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L32" i="19" l="1"/>
  <c r="K32" i="19"/>
  <c r="L8" i="19" l="1"/>
  <c r="K8" i="19"/>
  <c r="M7" i="19" l="1"/>
  <c r="F10" i="7" l="1"/>
  <c r="X10" i="7" l="1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Z9" i="7"/>
  <c r="N9" i="7"/>
  <c r="F9" i="7"/>
  <c r="B9" i="7"/>
  <c r="H9" i="7" l="1"/>
  <c r="I9" i="7" s="1"/>
  <c r="C9" i="7"/>
  <c r="AF9" i="7"/>
  <c r="AA9" i="7"/>
  <c r="T9" i="7"/>
  <c r="U9" i="7" s="1"/>
  <c r="O9" i="7"/>
  <c r="V10" i="7"/>
  <c r="X9" i="7"/>
  <c r="U10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380" i="18" l="1"/>
  <c r="B274" i="18"/>
  <c r="CF380" i="6"/>
  <c r="CE380" i="6"/>
  <c r="CD380" i="6"/>
  <c r="CB380" i="6"/>
  <c r="CA380" i="6"/>
  <c r="BZ380" i="6"/>
  <c r="BX380" i="6"/>
  <c r="BW380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71" i="18" l="1"/>
  <c r="Z11" i="7"/>
  <c r="H11" i="7"/>
  <c r="AA4" i="7" l="1"/>
  <c r="M32" i="19" l="1"/>
  <c r="Z10" i="7"/>
  <c r="AB10" i="7" l="1"/>
  <c r="AD9" i="7"/>
  <c r="AF10" i="7" s="1"/>
  <c r="I37" i="27"/>
  <c r="I38" i="27" s="1"/>
  <c r="I39" i="27" s="1"/>
  <c r="I40" i="27" s="1"/>
  <c r="I41" i="27" s="1"/>
  <c r="I36" i="27"/>
  <c r="H35" i="27"/>
  <c r="H51" i="27"/>
  <c r="AJ9" i="7" l="1"/>
  <c r="G35" i="27"/>
  <c r="H36" i="27"/>
  <c r="D11" i="27"/>
  <c r="H37" i="27" l="1"/>
  <c r="G36" i="27"/>
  <c r="L19" i="27"/>
  <c r="L18" i="27"/>
  <c r="L17" i="27"/>
  <c r="L16" i="27"/>
  <c r="V3" i="27"/>
  <c r="V4" i="27"/>
  <c r="V2" i="27"/>
  <c r="W10" i="27"/>
  <c r="H38" i="27" l="1"/>
  <c r="G37" i="27"/>
  <c r="D10" i="27"/>
  <c r="E10" i="27"/>
  <c r="H39" i="27" l="1"/>
  <c r="G38" i="27" s="1"/>
  <c r="N14" i="27"/>
  <c r="S5" i="27"/>
  <c r="R5" i="27"/>
  <c r="I21" i="27"/>
  <c r="H33" i="27" l="1"/>
  <c r="H34" i="27" s="1"/>
  <c r="H31" i="27"/>
  <c r="H29" i="27"/>
  <c r="H32" i="27"/>
  <c r="H30" i="27"/>
  <c r="H28" i="27"/>
  <c r="K19" i="27"/>
  <c r="K18" i="27"/>
  <c r="K17" i="27"/>
  <c r="K16" i="27"/>
  <c r="M42" i="27"/>
  <c r="N78" i="27" s="1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G76" i="27" s="1"/>
  <c r="M39" i="27"/>
  <c r="N75" i="27" s="1"/>
  <c r="L39" i="27"/>
  <c r="H75" i="27" s="1"/>
  <c r="K39" i="27"/>
  <c r="J39" i="27"/>
  <c r="M38" i="27"/>
  <c r="N74" i="27" s="1"/>
  <c r="L38" i="27"/>
  <c r="K74" i="27" s="1"/>
  <c r="K38" i="27"/>
  <c r="J38" i="27"/>
  <c r="M36" i="27"/>
  <c r="K36" i="27"/>
  <c r="J36" i="27"/>
  <c r="M34" i="27"/>
  <c r="K34" i="27"/>
  <c r="J34" i="27"/>
  <c r="M37" i="27"/>
  <c r="K37" i="27"/>
  <c r="J37" i="27"/>
  <c r="M35" i="27"/>
  <c r="K35" i="27"/>
  <c r="M32" i="27"/>
  <c r="K32" i="27"/>
  <c r="M33" i="27"/>
  <c r="K33" i="27"/>
  <c r="J33" i="27"/>
  <c r="M31" i="27"/>
  <c r="K31" i="27"/>
  <c r="J31" i="27"/>
  <c r="M30" i="27"/>
  <c r="K30" i="27"/>
  <c r="J30" i="27"/>
  <c r="M28" i="27"/>
  <c r="K28" i="27"/>
  <c r="M29" i="27"/>
  <c r="K29" i="27"/>
  <c r="M27" i="27"/>
  <c r="N63" i="27" s="1"/>
  <c r="K27" i="27"/>
  <c r="M26" i="27"/>
  <c r="N62" i="27" s="1"/>
  <c r="K26" i="27"/>
  <c r="M25" i="27"/>
  <c r="N61" i="27" s="1"/>
  <c r="K25" i="27"/>
  <c r="M24" i="27"/>
  <c r="N60" i="27" s="1"/>
  <c r="K24" i="27"/>
  <c r="M23" i="27"/>
  <c r="N59" i="27" s="1"/>
  <c r="K23" i="27"/>
  <c r="M22" i="27"/>
  <c r="N58" i="27" s="1"/>
  <c r="K22" i="27"/>
  <c r="M21" i="27"/>
  <c r="N57" i="27" s="1"/>
  <c r="K21" i="27"/>
  <c r="J21" i="27"/>
  <c r="L21" i="27"/>
  <c r="D57" i="27" s="1"/>
  <c r="M20" i="27"/>
  <c r="N56" i="27" s="1"/>
  <c r="L20" i="27"/>
  <c r="F56" i="27" s="1"/>
  <c r="K20" i="27"/>
  <c r="J20" i="27"/>
  <c r="BN12" i="6"/>
  <c r="BN13" i="6"/>
  <c r="D13" i="27"/>
  <c r="E13" i="27" s="1"/>
  <c r="AX79" i="27"/>
  <c r="AX78" i="27"/>
  <c r="AX77" i="27"/>
  <c r="AX76" i="27"/>
  <c r="AX75" i="27"/>
  <c r="AX74" i="27"/>
  <c r="AX73" i="27"/>
  <c r="AX72" i="27"/>
  <c r="AX71" i="27"/>
  <c r="AX70" i="27"/>
  <c r="AX69" i="27"/>
  <c r="AX68" i="27"/>
  <c r="AX67" i="27"/>
  <c r="AX66" i="27"/>
  <c r="AX65" i="27"/>
  <c r="AX64" i="27"/>
  <c r="AX63" i="27"/>
  <c r="AX62" i="27"/>
  <c r="AX61" i="27"/>
  <c r="AX60" i="27"/>
  <c r="AX59" i="27"/>
  <c r="AX58" i="27"/>
  <c r="M79" i="27"/>
  <c r="L79" i="27"/>
  <c r="K79" i="27"/>
  <c r="J79" i="27"/>
  <c r="I79" i="27"/>
  <c r="H79" i="27"/>
  <c r="G79" i="27"/>
  <c r="F79" i="27"/>
  <c r="E79" i="27"/>
  <c r="D79" i="27"/>
  <c r="C79" i="27"/>
  <c r="J56" i="27"/>
  <c r="A62" i="27"/>
  <c r="AF62" i="27"/>
  <c r="AF56" i="27"/>
  <c r="N79" i="27"/>
  <c r="N35" i="27"/>
  <c r="N37" i="27"/>
  <c r="N34" i="27"/>
  <c r="N36" i="27"/>
  <c r="O73" i="27" s="1"/>
  <c r="I4" i="19"/>
  <c r="BO14" i="6"/>
  <c r="BO13" i="6"/>
  <c r="BP13" i="6" s="1"/>
  <c r="BO12" i="6"/>
  <c r="N39" i="27"/>
  <c r="O75" i="27" s="1"/>
  <c r="N38" i="27"/>
  <c r="O74" i="27" s="1"/>
  <c r="N32" i="27"/>
  <c r="N33" i="27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9" i="27"/>
  <c r="N28" i="27"/>
  <c r="N30" i="27"/>
  <c r="O66" i="27" s="1"/>
  <c r="N31" i="27"/>
  <c r="O67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F58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 s="1"/>
  <c r="N19" i="27"/>
  <c r="N18" i="27"/>
  <c r="N17" i="27"/>
  <c r="N16" i="27"/>
  <c r="L12" i="27"/>
  <c r="H12" i="27"/>
  <c r="F12" i="27"/>
  <c r="L11" i="27"/>
  <c r="H11" i="27"/>
  <c r="L10" i="27"/>
  <c r="H10" i="27"/>
  <c r="F10" i="27" s="1"/>
  <c r="C6" i="27"/>
  <c r="B6" i="27"/>
  <c r="D5" i="27"/>
  <c r="F5" i="27"/>
  <c r="C6" i="19" s="1"/>
  <c r="J3" i="27"/>
  <c r="I42" i="27" s="1"/>
  <c r="I43" i="27" s="1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AL18" i="6" s="1"/>
  <c r="AK13" i="6"/>
  <c r="Y44" i="6" s="1"/>
  <c r="AJ13" i="6"/>
  <c r="E330" i="6" s="1"/>
  <c r="AI13" i="6"/>
  <c r="AH13" i="6"/>
  <c r="AI16" i="6" s="1"/>
  <c r="AG13" i="6"/>
  <c r="AH16" i="6" s="1"/>
  <c r="AF13" i="6"/>
  <c r="AE20" i="6" s="1"/>
  <c r="AE13" i="6"/>
  <c r="AD13" i="6"/>
  <c r="AD18" i="6" s="1"/>
  <c r="AC13" i="6"/>
  <c r="U44" i="6" s="1"/>
  <c r="AB13" i="6"/>
  <c r="AC16" i="6" s="1"/>
  <c r="AA13" i="6"/>
  <c r="Z13" i="6"/>
  <c r="E190" i="6" s="1"/>
  <c r="Y13" i="6"/>
  <c r="Y18" i="6" s="1"/>
  <c r="X13" i="6"/>
  <c r="Y16" i="6" s="1"/>
  <c r="W13" i="6"/>
  <c r="R44" i="6" s="1"/>
  <c r="V13" i="6"/>
  <c r="W16" i="6" s="1"/>
  <c r="U13" i="6"/>
  <c r="Q44" i="6" s="1"/>
  <c r="T13" i="6"/>
  <c r="S20" i="6" s="1"/>
  <c r="S13" i="6"/>
  <c r="T16" i="6" s="1"/>
  <c r="R13" i="6"/>
  <c r="R18" i="6" s="1"/>
  <c r="Q13" i="6"/>
  <c r="Q18" i="6" s="1"/>
  <c r="P13" i="6"/>
  <c r="P18" i="6" s="1"/>
  <c r="O13" i="6"/>
  <c r="P16" i="6" s="1"/>
  <c r="N13" i="6"/>
  <c r="E22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380" i="15"/>
  <c r="I380" i="15"/>
  <c r="H9" i="16"/>
  <c r="B13" i="19" s="1"/>
  <c r="H9" i="15"/>
  <c r="B12" i="19" s="1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H9" i="17"/>
  <c r="B14" i="19"/>
  <c r="B383" i="17"/>
  <c r="B381" i="17"/>
  <c r="B382" i="17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H8" i="6" s="1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F14" i="1"/>
  <c r="A61" i="19"/>
  <c r="X1" i="1"/>
  <c r="O9" i="1"/>
  <c r="F7" i="1" s="1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G12" i="27"/>
  <c r="BP14" i="6"/>
  <c r="AF70" i="27"/>
  <c r="AF65" i="27"/>
  <c r="BW15" i="7"/>
  <c r="A3" i="7"/>
  <c r="B11" i="7" s="1"/>
  <c r="J1" i="15"/>
  <c r="B6" i="6" s="1"/>
  <c r="A15" i="15"/>
  <c r="A16" i="15" s="1"/>
  <c r="F14" i="15"/>
  <c r="A62" i="19"/>
  <c r="O11" i="1"/>
  <c r="AB15" i="15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P54" i="27"/>
  <c r="C54" i="27"/>
  <c r="Q54" i="27"/>
  <c r="H25" i="27"/>
  <c r="H23" i="27"/>
  <c r="H26" i="27"/>
  <c r="H22" i="27"/>
  <c r="H24" i="27"/>
  <c r="O55" i="27"/>
  <c r="H27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H18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U20" i="6"/>
  <c r="H10" i="7" l="1"/>
  <c r="AL10" i="7"/>
  <c r="AP9" i="7" s="1"/>
  <c r="AR10" i="7" s="1"/>
  <c r="AV9" i="7" s="1"/>
  <c r="AX10" i="7" s="1"/>
  <c r="BB9" i="7" s="1"/>
  <c r="BD10" i="7" s="1"/>
  <c r="BH9" i="7" s="1"/>
  <c r="BJ10" i="7" s="1"/>
  <c r="N11" i="7"/>
  <c r="T11" i="7" s="1"/>
  <c r="AF11" i="7"/>
  <c r="AL11" i="7" s="1"/>
  <c r="AR11" i="7" s="1"/>
  <c r="AX11" i="7" s="1"/>
  <c r="BD11" i="7" s="1"/>
  <c r="BJ11" i="7" s="1"/>
  <c r="BP11" i="7" s="1"/>
  <c r="BV11" i="7" s="1"/>
  <c r="BS13" i="7"/>
  <c r="AN16" i="6"/>
  <c r="L29" i="6"/>
  <c r="M31" i="6" s="1"/>
  <c r="O29" i="6"/>
  <c r="O33" i="6" s="1"/>
  <c r="AG20" i="6"/>
  <c r="Y20" i="6"/>
  <c r="Y24" i="6" s="1"/>
  <c r="Y23" i="6" s="1"/>
  <c r="AJ18" i="6"/>
  <c r="M13" i="6"/>
  <c r="N16" i="6" s="1"/>
  <c r="V20" i="6"/>
  <c r="Z29" i="6"/>
  <c r="Y35" i="6" s="1"/>
  <c r="Y29" i="6"/>
  <c r="Z31" i="6" s="1"/>
  <c r="E274" i="6"/>
  <c r="P29" i="6"/>
  <c r="P33" i="6" s="1"/>
  <c r="S29" i="6"/>
  <c r="T31" i="6" s="1"/>
  <c r="E218" i="6"/>
  <c r="AK20" i="6"/>
  <c r="E358" i="6"/>
  <c r="N18" i="6"/>
  <c r="AF18" i="6"/>
  <c r="AN13" i="6"/>
  <c r="AM20" i="6" s="1"/>
  <c r="Z44" i="6"/>
  <c r="W29" i="6"/>
  <c r="V35" i="6" s="1"/>
  <c r="E78" i="6"/>
  <c r="AL16" i="6"/>
  <c r="X20" i="6"/>
  <c r="X31" i="6"/>
  <c r="E92" i="6"/>
  <c r="AC18" i="6"/>
  <c r="AK16" i="6"/>
  <c r="AI20" i="6"/>
  <c r="AG16" i="6"/>
  <c r="Q20" i="6"/>
  <c r="R29" i="6"/>
  <c r="R33" i="6" s="1"/>
  <c r="E302" i="6"/>
  <c r="AA20" i="6"/>
  <c r="AM16" i="6"/>
  <c r="L13" i="6"/>
  <c r="M29" i="6" s="1"/>
  <c r="M33" i="6" s="1"/>
  <c r="N29" i="6"/>
  <c r="N33" i="6" s="1"/>
  <c r="S16" i="6"/>
  <c r="AL20" i="6"/>
  <c r="X29" i="6"/>
  <c r="W35" i="6" s="1"/>
  <c r="AM18" i="6"/>
  <c r="M20" i="6"/>
  <c r="E176" i="6"/>
  <c r="T20" i="6"/>
  <c r="W18" i="6"/>
  <c r="O35" i="6"/>
  <c r="L44" i="6"/>
  <c r="M46" i="6" s="1"/>
  <c r="Y31" i="6"/>
  <c r="AB44" i="6"/>
  <c r="AA50" i="6" s="1"/>
  <c r="N20" i="6"/>
  <c r="P31" i="6"/>
  <c r="P20" i="6"/>
  <c r="P24" i="6" s="1"/>
  <c r="P23" i="6" s="1"/>
  <c r="P25" i="6" s="1"/>
  <c r="X16" i="6"/>
  <c r="N44" i="6"/>
  <c r="N48" i="6" s="1"/>
  <c r="AO13" i="6"/>
  <c r="P44" i="6"/>
  <c r="U18" i="6"/>
  <c r="E120" i="6"/>
  <c r="AK18" i="6"/>
  <c r="E232" i="6"/>
  <c r="AD16" i="6"/>
  <c r="S46" i="6"/>
  <c r="Q50" i="6"/>
  <c r="T50" i="6"/>
  <c r="U48" i="6"/>
  <c r="V46" i="6"/>
  <c r="X50" i="6"/>
  <c r="Z46" i="6"/>
  <c r="Y48" i="6"/>
  <c r="AB20" i="6"/>
  <c r="Z16" i="6"/>
  <c r="S44" i="6"/>
  <c r="R50" i="6" s="1"/>
  <c r="E148" i="6"/>
  <c r="V16" i="6"/>
  <c r="E344" i="6"/>
  <c r="AJ20" i="6"/>
  <c r="S18" i="6"/>
  <c r="R20" i="6"/>
  <c r="E64" i="6"/>
  <c r="O44" i="6"/>
  <c r="N50" i="6" s="1"/>
  <c r="R16" i="6"/>
  <c r="O18" i="6"/>
  <c r="O16" i="6"/>
  <c r="E36" i="6"/>
  <c r="BQ15" i="7"/>
  <c r="BK15" i="7"/>
  <c r="K15" i="15"/>
  <c r="V14" i="15"/>
  <c r="X1" i="15"/>
  <c r="G3" i="7"/>
  <c r="BP13" i="7"/>
  <c r="L1" i="1"/>
  <c r="A15" i="1"/>
  <c r="L12" i="1"/>
  <c r="A6" i="6"/>
  <c r="A11" i="19"/>
  <c r="A35" i="19" s="1"/>
  <c r="V14" i="1"/>
  <c r="R48" i="6"/>
  <c r="Q48" i="6"/>
  <c r="R46" i="6"/>
  <c r="AB16" i="6"/>
  <c r="Z20" i="6"/>
  <c r="AA18" i="6"/>
  <c r="E204" i="6"/>
  <c r="T44" i="6"/>
  <c r="E260" i="6"/>
  <c r="AF16" i="6"/>
  <c r="V44" i="6"/>
  <c r="AD20" i="6"/>
  <c r="AE18" i="6"/>
  <c r="AF20" i="6"/>
  <c r="AF24" i="6" s="1"/>
  <c r="AG18" i="6"/>
  <c r="E288" i="6"/>
  <c r="W44" i="6"/>
  <c r="AJ16" i="6"/>
  <c r="AI18" i="6"/>
  <c r="X44" i="6"/>
  <c r="E316" i="6"/>
  <c r="P50" i="6"/>
  <c r="AH20" i="6"/>
  <c r="AH24" i="6" s="1"/>
  <c r="AH23" i="6" s="1"/>
  <c r="O31" i="6"/>
  <c r="O20" i="6"/>
  <c r="E50" i="6"/>
  <c r="AB29" i="6"/>
  <c r="AA35" i="6" s="1"/>
  <c r="Q16" i="6"/>
  <c r="Q29" i="6"/>
  <c r="T18" i="6"/>
  <c r="E106" i="6"/>
  <c r="U16" i="6"/>
  <c r="V18" i="6"/>
  <c r="E134" i="6"/>
  <c r="E162" i="6"/>
  <c r="X18" i="6"/>
  <c r="W20" i="6"/>
  <c r="AA16" i="6"/>
  <c r="Z18" i="6"/>
  <c r="T29" i="6"/>
  <c r="AB18" i="6"/>
  <c r="U29" i="6"/>
  <c r="V29" i="6"/>
  <c r="AC20" i="6"/>
  <c r="E246" i="6"/>
  <c r="AE16" i="6"/>
  <c r="O65" i="27"/>
  <c r="O68" i="27"/>
  <c r="O72" i="27"/>
  <c r="L34" i="27"/>
  <c r="L36" i="27"/>
  <c r="K72" i="27" s="1"/>
  <c r="O70" i="27"/>
  <c r="O64" i="27"/>
  <c r="O69" i="27"/>
  <c r="O71" i="27"/>
  <c r="N73" i="27"/>
  <c r="L33" i="27"/>
  <c r="L31" i="27"/>
  <c r="J67" i="27" s="1"/>
  <c r="N65" i="27"/>
  <c r="N67" i="27"/>
  <c r="N68" i="27"/>
  <c r="N69" i="27"/>
  <c r="N70" i="27"/>
  <c r="N66" i="27"/>
  <c r="N71" i="27"/>
  <c r="L37" i="27"/>
  <c r="I73" i="27" s="1"/>
  <c r="L30" i="27"/>
  <c r="E66" i="27" s="1"/>
  <c r="L74" i="27"/>
  <c r="C56" i="27"/>
  <c r="H76" i="27"/>
  <c r="K75" i="27"/>
  <c r="D78" i="27"/>
  <c r="K56" i="27"/>
  <c r="K76" i="27"/>
  <c r="K77" i="27"/>
  <c r="L75" i="27"/>
  <c r="E78" i="27"/>
  <c r="M78" i="27"/>
  <c r="H56" i="27"/>
  <c r="G56" i="27"/>
  <c r="C78" i="27"/>
  <c r="C76" i="27"/>
  <c r="I77" i="27"/>
  <c r="J77" i="27"/>
  <c r="D75" i="27"/>
  <c r="K73" i="27"/>
  <c r="I78" i="27"/>
  <c r="L78" i="27"/>
  <c r="F78" i="27"/>
  <c r="I74" i="27"/>
  <c r="F74" i="27"/>
  <c r="D56" i="27"/>
  <c r="L56" i="27"/>
  <c r="E56" i="27"/>
  <c r="I56" i="27"/>
  <c r="M56" i="27"/>
  <c r="M57" i="27"/>
  <c r="J78" i="27"/>
  <c r="F76" i="27"/>
  <c r="J74" i="27"/>
  <c r="C72" i="27"/>
  <c r="C77" i="27"/>
  <c r="C75" i="27"/>
  <c r="I75" i="27"/>
  <c r="H20" i="27"/>
  <c r="H21" i="27"/>
  <c r="AE57" i="27" s="1"/>
  <c r="AY56" i="27"/>
  <c r="AY57" i="27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AY79" i="27"/>
  <c r="AO79" i="27" s="1"/>
  <c r="N72" i="27"/>
  <c r="L14" i="27"/>
  <c r="E74" i="27"/>
  <c r="D74" i="27"/>
  <c r="M74" i="27"/>
  <c r="G74" i="27"/>
  <c r="F72" i="27"/>
  <c r="G10" i="27"/>
  <c r="I10" i="27" s="1"/>
  <c r="J57" i="27"/>
  <c r="G57" i="27"/>
  <c r="M72" i="27"/>
  <c r="C74" i="27"/>
  <c r="H74" i="27"/>
  <c r="J75" i="27"/>
  <c r="F75" i="27"/>
  <c r="M75" i="27"/>
  <c r="E75" i="27"/>
  <c r="G75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AE66" i="27"/>
  <c r="AE63" i="27"/>
  <c r="E57" i="27"/>
  <c r="L57" i="27"/>
  <c r="F57" i="27"/>
  <c r="I57" i="27"/>
  <c r="H57" i="27"/>
  <c r="C57" i="27"/>
  <c r="K57" i="27"/>
  <c r="P56" i="27"/>
  <c r="U12" i="1"/>
  <c r="P58" i="27"/>
  <c r="P65" i="27"/>
  <c r="AE65" i="27"/>
  <c r="AE64" i="27"/>
  <c r="AE58" i="27"/>
  <c r="N64" i="27"/>
  <c r="AE62" i="27"/>
  <c r="P62" i="27"/>
  <c r="AE61" i="27"/>
  <c r="P57" i="27"/>
  <c r="AE60" i="27"/>
  <c r="AE59" i="27"/>
  <c r="AC9" i="1"/>
  <c r="AC12" i="1"/>
  <c r="A17" i="15"/>
  <c r="AB16" i="15"/>
  <c r="X16" i="15"/>
  <c r="E7" i="1"/>
  <c r="X15" i="15"/>
  <c r="J1" i="16"/>
  <c r="L1" i="15"/>
  <c r="A12" i="19"/>
  <c r="A36" i="19" s="1"/>
  <c r="J380" i="15"/>
  <c r="Y14" i="15"/>
  <c r="BJ13" i="7"/>
  <c r="AJ15" i="1"/>
  <c r="BX13" i="7"/>
  <c r="BL13" i="7"/>
  <c r="D13" i="7"/>
  <c r="BR13" i="7"/>
  <c r="B15" i="7"/>
  <c r="P11" i="1"/>
  <c r="E8" i="1"/>
  <c r="K11" i="19" s="1"/>
  <c r="K35" i="19" s="1"/>
  <c r="AJ380" i="1"/>
  <c r="BM13" i="7"/>
  <c r="BY13" i="7"/>
  <c r="K16" i="15"/>
  <c r="L1" i="16"/>
  <c r="J1" i="17"/>
  <c r="X1" i="16"/>
  <c r="C6" i="6"/>
  <c r="AK15" i="1"/>
  <c r="AB15" i="1"/>
  <c r="X15" i="1"/>
  <c r="A16" i="1"/>
  <c r="BV13" i="7"/>
  <c r="B13" i="7"/>
  <c r="J10" i="7" l="1"/>
  <c r="K10" i="7"/>
  <c r="L9" i="7"/>
  <c r="N10" i="7" s="1"/>
  <c r="BK10" i="7"/>
  <c r="BN9" i="7"/>
  <c r="BP10" i="7" s="1"/>
  <c r="X35" i="6"/>
  <c r="M16" i="6"/>
  <c r="AN18" i="6"/>
  <c r="N35" i="6"/>
  <c r="S33" i="6"/>
  <c r="R35" i="6"/>
  <c r="M44" i="6"/>
  <c r="M48" i="6" s="1"/>
  <c r="M35" i="6"/>
  <c r="M39" i="6" s="1"/>
  <c r="M38" i="6" s="1"/>
  <c r="M40" i="6" s="1"/>
  <c r="N24" i="6"/>
  <c r="N23" i="6" s="1"/>
  <c r="N25" i="6" s="1"/>
  <c r="M18" i="6"/>
  <c r="M24" i="6" s="1"/>
  <c r="M23" i="6" s="1"/>
  <c r="Z33" i="6"/>
  <c r="AA31" i="6"/>
  <c r="AL24" i="6"/>
  <c r="AL23" i="6" s="1"/>
  <c r="AL25" i="6" s="1"/>
  <c r="Y33" i="6"/>
  <c r="Y39" i="6" s="1"/>
  <c r="Y38" i="6" s="1"/>
  <c r="Y40" i="6" s="1"/>
  <c r="AA29" i="6"/>
  <c r="AA33" i="6" s="1"/>
  <c r="S48" i="6"/>
  <c r="Q31" i="6"/>
  <c r="W33" i="6"/>
  <c r="Z48" i="6"/>
  <c r="Y50" i="6"/>
  <c r="AA46" i="6"/>
  <c r="Q24" i="6"/>
  <c r="Q23" i="6" s="1"/>
  <c r="Q25" i="6" s="1"/>
  <c r="X24" i="6"/>
  <c r="X23" i="6" s="1"/>
  <c r="P46" i="6"/>
  <c r="AG24" i="6"/>
  <c r="AG23" i="6" s="1"/>
  <c r="AG25" i="6" s="1"/>
  <c r="N31" i="6"/>
  <c r="X33" i="6"/>
  <c r="S24" i="6"/>
  <c r="S23" i="6" s="1"/>
  <c r="S25" i="6" s="1"/>
  <c r="AK24" i="6"/>
  <c r="AK23" i="6" s="1"/>
  <c r="AK25" i="6" s="1"/>
  <c r="S31" i="6"/>
  <c r="Q35" i="6"/>
  <c r="Z24" i="6"/>
  <c r="Z23" i="6" s="1"/>
  <c r="Z25" i="6" s="1"/>
  <c r="O48" i="6"/>
  <c r="T46" i="6"/>
  <c r="AN20" i="6"/>
  <c r="AA44" i="6"/>
  <c r="M50" i="6"/>
  <c r="O46" i="6"/>
  <c r="P48" i="6"/>
  <c r="Q46" i="6"/>
  <c r="O50" i="6"/>
  <c r="R24" i="6"/>
  <c r="R23" i="6" s="1"/>
  <c r="R25" i="6" s="1"/>
  <c r="L11" i="15"/>
  <c r="L12" i="15"/>
  <c r="I11" i="7"/>
  <c r="Q11" i="15" s="1"/>
  <c r="K15" i="1"/>
  <c r="L15" i="1"/>
  <c r="AC24" i="6"/>
  <c r="AC23" i="6" s="1"/>
  <c r="V31" i="6"/>
  <c r="T35" i="6"/>
  <c r="U33" i="6"/>
  <c r="S35" i="6"/>
  <c r="T33" i="6"/>
  <c r="U31" i="6"/>
  <c r="U24" i="6"/>
  <c r="U23" i="6" s="1"/>
  <c r="T24" i="6"/>
  <c r="T23" i="6" s="1"/>
  <c r="T25" i="6" s="1"/>
  <c r="O24" i="6"/>
  <c r="O23" i="6" s="1"/>
  <c r="O25" i="6" s="1"/>
  <c r="AM24" i="6"/>
  <c r="AM23" i="6" s="1"/>
  <c r="AM25" i="6" s="1"/>
  <c r="Y25" i="6"/>
  <c r="X48" i="6"/>
  <c r="Y46" i="6"/>
  <c r="W50" i="6"/>
  <c r="AF23" i="6"/>
  <c r="AF25" i="6" s="1"/>
  <c r="U46" i="6"/>
  <c r="T48" i="6"/>
  <c r="S50" i="6"/>
  <c r="AA24" i="6"/>
  <c r="AA23" i="6" s="1"/>
  <c r="U35" i="6"/>
  <c r="W31" i="6"/>
  <c r="V33" i="6"/>
  <c r="AB24" i="6"/>
  <c r="AB23" i="6" s="1"/>
  <c r="AB25" i="6" s="1"/>
  <c r="W24" i="6"/>
  <c r="W23" i="6" s="1"/>
  <c r="V24" i="6"/>
  <c r="V23" i="6" s="1"/>
  <c r="V25" i="6" s="1"/>
  <c r="P35" i="6"/>
  <c r="Q33" i="6"/>
  <c r="R31" i="6"/>
  <c r="E12" i="6"/>
  <c r="E13" i="6"/>
  <c r="AJ24" i="6"/>
  <c r="AJ23" i="6" s="1"/>
  <c r="AD24" i="6"/>
  <c r="AD23" i="6" s="1"/>
  <c r="AD25" i="6" s="1"/>
  <c r="O39" i="6"/>
  <c r="O38" i="6" s="1"/>
  <c r="O40" i="6" s="1"/>
  <c r="AI24" i="6"/>
  <c r="AI23" i="6" s="1"/>
  <c r="AI25" i="6" s="1"/>
  <c r="W48" i="6"/>
  <c r="X46" i="6"/>
  <c r="V50" i="6"/>
  <c r="AE24" i="6"/>
  <c r="AE23" i="6" s="1"/>
  <c r="W46" i="6"/>
  <c r="U50" i="6"/>
  <c r="V48" i="6"/>
  <c r="AH25" i="6"/>
  <c r="R54" i="6"/>
  <c r="R53" i="6" s="1"/>
  <c r="R55" i="6" s="1"/>
  <c r="I33" i="27"/>
  <c r="I31" i="27"/>
  <c r="L72" i="27"/>
  <c r="I30" i="27"/>
  <c r="E72" i="27"/>
  <c r="H40" i="27"/>
  <c r="G39" i="27" s="1"/>
  <c r="D72" i="27"/>
  <c r="J72" i="27"/>
  <c r="I72" i="27"/>
  <c r="H72" i="27"/>
  <c r="D73" i="27"/>
  <c r="M73" i="27"/>
  <c r="L73" i="27"/>
  <c r="C73" i="27"/>
  <c r="G72" i="27"/>
  <c r="F73" i="27"/>
  <c r="E73" i="27"/>
  <c r="G73" i="27"/>
  <c r="H73" i="27"/>
  <c r="J73" i="27"/>
  <c r="I66" i="27"/>
  <c r="K66" i="27"/>
  <c r="I67" i="27"/>
  <c r="K67" i="27"/>
  <c r="L67" i="27"/>
  <c r="D67" i="27"/>
  <c r="G67" i="27"/>
  <c r="C67" i="27"/>
  <c r="F67" i="27"/>
  <c r="E67" i="27"/>
  <c r="H67" i="27"/>
  <c r="M67" i="27"/>
  <c r="AO72" i="27"/>
  <c r="J66" i="27"/>
  <c r="G66" i="27"/>
  <c r="H66" i="27"/>
  <c r="F66" i="27"/>
  <c r="M66" i="27"/>
  <c r="D66" i="27"/>
  <c r="C66" i="27"/>
  <c r="L66" i="27"/>
  <c r="J29" i="27"/>
  <c r="L29" i="27" s="1"/>
  <c r="I29" i="27" s="1"/>
  <c r="J24" i="27"/>
  <c r="L24" i="27" s="1"/>
  <c r="J26" i="27"/>
  <c r="L26" i="27" s="1"/>
  <c r="I26" i="27" s="1"/>
  <c r="J25" i="27"/>
  <c r="L25" i="27" s="1"/>
  <c r="I25" i="27" s="1"/>
  <c r="AO71" i="27"/>
  <c r="R3" i="27"/>
  <c r="AO63" i="27"/>
  <c r="AI12" i="1"/>
  <c r="AO64" i="27"/>
  <c r="AO78" i="27"/>
  <c r="AO76" i="27"/>
  <c r="AO74" i="27"/>
  <c r="AO70" i="27"/>
  <c r="AO68" i="27"/>
  <c r="AO66" i="27"/>
  <c r="AO62" i="27"/>
  <c r="AO60" i="27"/>
  <c r="AO58" i="27"/>
  <c r="AO56" i="27"/>
  <c r="AO59" i="27"/>
  <c r="AO67" i="27"/>
  <c r="AO75" i="27"/>
  <c r="AO61" i="27"/>
  <c r="AO65" i="27"/>
  <c r="AO69" i="27"/>
  <c r="AO73" i="27"/>
  <c r="AO77" i="27"/>
  <c r="AO57" i="27"/>
  <c r="G20" i="27"/>
  <c r="G21" i="27"/>
  <c r="AE56" i="27"/>
  <c r="AX56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18" i="15"/>
  <c r="X17" i="15"/>
  <c r="K17" i="15"/>
  <c r="AB17" i="15"/>
  <c r="L17" i="15"/>
  <c r="D17" i="15" s="1"/>
  <c r="AB16" i="1"/>
  <c r="AK16" i="1"/>
  <c r="X16" i="1"/>
  <c r="AJ16" i="1"/>
  <c r="K16" i="1"/>
  <c r="L16" i="1"/>
  <c r="A17" i="1"/>
  <c r="AC16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BT9" i="7" l="1"/>
  <c r="BV10" i="7" s="1"/>
  <c r="BQ10" i="7"/>
  <c r="P10" i="7"/>
  <c r="AH5" i="7" s="1"/>
  <c r="AH10" i="7" s="1"/>
  <c r="AN10" i="7" s="1"/>
  <c r="AT10" i="7" s="1"/>
  <c r="AZ10" i="7" s="1"/>
  <c r="BF10" i="7" s="1"/>
  <c r="BL10" i="7" s="1"/>
  <c r="BR10" i="7" s="1"/>
  <c r="BX10" i="7" s="1"/>
  <c r="R9" i="7"/>
  <c r="Q10" i="7"/>
  <c r="W10" i="7" s="1"/>
  <c r="AC10" i="7" s="1"/>
  <c r="AI5" i="7" s="1"/>
  <c r="AI10" i="7" s="1"/>
  <c r="AO10" i="7" s="1"/>
  <c r="AU10" i="7" s="1"/>
  <c r="BA10" i="7" s="1"/>
  <c r="BG10" i="7" s="1"/>
  <c r="BM10" i="7" s="1"/>
  <c r="BS10" i="7" s="1"/>
  <c r="BY10" i="7" s="1"/>
  <c r="P54" i="6"/>
  <c r="P53" i="6" s="1"/>
  <c r="P55" i="6" s="1"/>
  <c r="Z35" i="6"/>
  <c r="Z39" i="6" s="1"/>
  <c r="Z38" i="6" s="1"/>
  <c r="M54" i="6"/>
  <c r="M53" i="6" s="1"/>
  <c r="M55" i="6" s="1"/>
  <c r="AN24" i="6"/>
  <c r="AN23" i="6" s="1"/>
  <c r="AN25" i="6" s="1"/>
  <c r="X39" i="6"/>
  <c r="X38" i="6" s="1"/>
  <c r="X40" i="6" s="1"/>
  <c r="AT305" i="6" s="1"/>
  <c r="N46" i="6"/>
  <c r="N54" i="6" s="1"/>
  <c r="N53" i="6" s="1"/>
  <c r="N55" i="6" s="1"/>
  <c r="S54" i="6"/>
  <c r="S53" i="6" s="1"/>
  <c r="N39" i="6"/>
  <c r="N38" i="6" s="1"/>
  <c r="N40" i="6" s="1"/>
  <c r="M25" i="6"/>
  <c r="J17" i="6" s="1"/>
  <c r="V39" i="6"/>
  <c r="V38" i="6" s="1"/>
  <c r="V40" i="6" s="1"/>
  <c r="J346" i="6"/>
  <c r="J348" i="6"/>
  <c r="J344" i="6"/>
  <c r="J351" i="6"/>
  <c r="T54" i="6"/>
  <c r="T53" i="6" s="1"/>
  <c r="T55" i="6" s="1"/>
  <c r="J357" i="6"/>
  <c r="J354" i="6"/>
  <c r="J347" i="6"/>
  <c r="J353" i="6"/>
  <c r="J356" i="6"/>
  <c r="J349" i="6"/>
  <c r="J355" i="6"/>
  <c r="J352" i="6"/>
  <c r="J345" i="6"/>
  <c r="J350" i="6"/>
  <c r="AY23" i="6"/>
  <c r="O54" i="6"/>
  <c r="O53" i="6" s="1"/>
  <c r="AY25" i="6"/>
  <c r="J89" i="6"/>
  <c r="AY29" i="6"/>
  <c r="Z50" i="6"/>
  <c r="Z54" i="6" s="1"/>
  <c r="Z53" i="6" s="1"/>
  <c r="AA48" i="6"/>
  <c r="AA54" i="6" s="1"/>
  <c r="AA53" i="6" s="1"/>
  <c r="AA55" i="6" s="1"/>
  <c r="Q54" i="6"/>
  <c r="Q53" i="6" s="1"/>
  <c r="Q55" i="6" s="1"/>
  <c r="AY101" i="6" s="1"/>
  <c r="J81" i="6"/>
  <c r="J186" i="6"/>
  <c r="J288" i="6"/>
  <c r="Z55" i="6"/>
  <c r="J91" i="6"/>
  <c r="J78" i="6"/>
  <c r="J87" i="6"/>
  <c r="O9" i="15"/>
  <c r="AJ18" i="15" s="1"/>
  <c r="L15" i="15"/>
  <c r="D15" i="15" s="1"/>
  <c r="L16" i="15"/>
  <c r="D16" i="15" s="1"/>
  <c r="H15" i="7"/>
  <c r="P11" i="15"/>
  <c r="AK18" i="15" s="1"/>
  <c r="L11" i="16"/>
  <c r="J277" i="6"/>
  <c r="J278" i="6"/>
  <c r="J287" i="6"/>
  <c r="J280" i="6"/>
  <c r="J276" i="6"/>
  <c r="J283" i="6"/>
  <c r="J90" i="6"/>
  <c r="J80" i="6"/>
  <c r="J79" i="6"/>
  <c r="X54" i="6"/>
  <c r="X53" i="6" s="1"/>
  <c r="X55" i="6" s="1"/>
  <c r="AJ25" i="6"/>
  <c r="J338" i="6" s="1"/>
  <c r="U25" i="6"/>
  <c r="J132" i="6" s="1"/>
  <c r="AE25" i="6"/>
  <c r="J262" i="6" s="1"/>
  <c r="S55" i="6"/>
  <c r="AY169" i="6" s="1"/>
  <c r="AA25" i="6"/>
  <c r="J215" i="6" s="1"/>
  <c r="V54" i="6"/>
  <c r="V53" i="6" s="1"/>
  <c r="V55" i="6" s="1"/>
  <c r="W54" i="6"/>
  <c r="W53" i="6" s="1"/>
  <c r="J299" i="6"/>
  <c r="J300" i="6"/>
  <c r="J293" i="6"/>
  <c r="J294" i="6"/>
  <c r="J291" i="6"/>
  <c r="J292" i="6"/>
  <c r="J295" i="6"/>
  <c r="J297" i="6"/>
  <c r="J301" i="6"/>
  <c r="Q39" i="6"/>
  <c r="Q38" i="6" s="1"/>
  <c r="J184" i="6"/>
  <c r="J185" i="6"/>
  <c r="J177" i="6"/>
  <c r="J182" i="6"/>
  <c r="J180" i="6"/>
  <c r="J176" i="6"/>
  <c r="J181" i="6"/>
  <c r="J189" i="6"/>
  <c r="J188" i="6"/>
  <c r="T39" i="6"/>
  <c r="T38" i="6" s="1"/>
  <c r="T40" i="6" s="1"/>
  <c r="U39" i="6"/>
  <c r="U38" i="6" s="1"/>
  <c r="U40" i="6" s="1"/>
  <c r="J104" i="6"/>
  <c r="J102" i="6"/>
  <c r="J96" i="6"/>
  <c r="J94" i="6"/>
  <c r="J100" i="6"/>
  <c r="J101" i="6"/>
  <c r="J92" i="6"/>
  <c r="O55" i="6"/>
  <c r="U54" i="6"/>
  <c r="U53" i="6" s="1"/>
  <c r="J311" i="6"/>
  <c r="J304" i="6"/>
  <c r="J302" i="6"/>
  <c r="J303" i="6"/>
  <c r="J309" i="6"/>
  <c r="J314" i="6"/>
  <c r="J307" i="6"/>
  <c r="J310" i="6"/>
  <c r="J308" i="6"/>
  <c r="J305" i="6"/>
  <c r="J315" i="6"/>
  <c r="J313" i="6"/>
  <c r="J306" i="6"/>
  <c r="J312" i="6"/>
  <c r="J281" i="6"/>
  <c r="J298" i="6"/>
  <c r="J286" i="6"/>
  <c r="J289" i="6"/>
  <c r="J282" i="6"/>
  <c r="J275" i="6"/>
  <c r="J296" i="6"/>
  <c r="J290" i="6"/>
  <c r="J279" i="6"/>
  <c r="J274" i="6"/>
  <c r="J285" i="6"/>
  <c r="J284" i="6"/>
  <c r="AT36" i="6"/>
  <c r="J70" i="6"/>
  <c r="J53" i="6"/>
  <c r="J72" i="6"/>
  <c r="J62" i="6"/>
  <c r="J74" i="6"/>
  <c r="J54" i="6"/>
  <c r="J64" i="6"/>
  <c r="J73" i="6"/>
  <c r="J61" i="6"/>
  <c r="J66" i="6"/>
  <c r="J56" i="6"/>
  <c r="J68" i="6"/>
  <c r="J60" i="6"/>
  <c r="J65" i="6"/>
  <c r="J51" i="6"/>
  <c r="J76" i="6"/>
  <c r="J75" i="6"/>
  <c r="J63" i="6"/>
  <c r="J57" i="6"/>
  <c r="J69" i="6"/>
  <c r="J50" i="6"/>
  <c r="J77" i="6"/>
  <c r="J67" i="6"/>
  <c r="J58" i="6"/>
  <c r="J55" i="6"/>
  <c r="J59" i="6"/>
  <c r="J71" i="6"/>
  <c r="J52" i="6"/>
  <c r="R39" i="6"/>
  <c r="R38" i="6" s="1"/>
  <c r="R40" i="6" s="1"/>
  <c r="P39" i="6"/>
  <c r="P38" i="6" s="1"/>
  <c r="W25" i="6"/>
  <c r="J134" i="6" s="1"/>
  <c r="W39" i="6"/>
  <c r="W38" i="6" s="1"/>
  <c r="X25" i="6"/>
  <c r="J171" i="6" s="1"/>
  <c r="Y54" i="6"/>
  <c r="Y53" i="6" s="1"/>
  <c r="J178" i="6"/>
  <c r="J183" i="6"/>
  <c r="J172" i="6"/>
  <c r="J187" i="6"/>
  <c r="J174" i="6"/>
  <c r="J179" i="6"/>
  <c r="J165" i="6"/>
  <c r="J363" i="6"/>
  <c r="J371" i="6"/>
  <c r="J362" i="6"/>
  <c r="J360" i="6"/>
  <c r="J365" i="6"/>
  <c r="J369" i="6"/>
  <c r="J358" i="6"/>
  <c r="J370" i="6"/>
  <c r="J368" i="6"/>
  <c r="J366" i="6"/>
  <c r="J361" i="6"/>
  <c r="J367" i="6"/>
  <c r="J364" i="6"/>
  <c r="J359" i="6"/>
  <c r="AA39" i="6"/>
  <c r="AA38" i="6" s="1"/>
  <c r="J29" i="6"/>
  <c r="J26" i="6"/>
  <c r="J22" i="6"/>
  <c r="J25" i="6"/>
  <c r="J37" i="6"/>
  <c r="J39" i="6"/>
  <c r="J44" i="6"/>
  <c r="J24" i="6"/>
  <c r="J34" i="6"/>
  <c r="J32" i="6"/>
  <c r="J30" i="6"/>
  <c r="J31" i="6"/>
  <c r="J38" i="6"/>
  <c r="J27" i="6"/>
  <c r="J40" i="6"/>
  <c r="J45" i="6"/>
  <c r="J46" i="6"/>
  <c r="J42" i="6"/>
  <c r="J49" i="6"/>
  <c r="J23" i="6"/>
  <c r="J35" i="6"/>
  <c r="J36" i="6"/>
  <c r="J48" i="6"/>
  <c r="J47" i="6"/>
  <c r="J33" i="6"/>
  <c r="J28" i="6"/>
  <c r="J41" i="6"/>
  <c r="J43" i="6"/>
  <c r="S39" i="6"/>
  <c r="S38" i="6" s="1"/>
  <c r="S40" i="6" s="1"/>
  <c r="AC25" i="6"/>
  <c r="J221" i="6" s="1"/>
  <c r="J82" i="6"/>
  <c r="J86" i="6"/>
  <c r="J97" i="6"/>
  <c r="J88" i="6"/>
  <c r="J83" i="6"/>
  <c r="J95" i="6"/>
  <c r="J84" i="6"/>
  <c r="J105" i="6"/>
  <c r="J99" i="6"/>
  <c r="J85" i="6"/>
  <c r="J93" i="6"/>
  <c r="J103" i="6"/>
  <c r="J98" i="6"/>
  <c r="H41" i="27"/>
  <c r="AE67" i="27"/>
  <c r="E11" i="27"/>
  <c r="G11" i="27" s="1"/>
  <c r="F11" i="27"/>
  <c r="L61" i="27"/>
  <c r="E61" i="27"/>
  <c r="F61" i="27"/>
  <c r="G61" i="27"/>
  <c r="J61" i="27"/>
  <c r="C61" i="27"/>
  <c r="H61" i="27"/>
  <c r="K61" i="27"/>
  <c r="M61" i="27"/>
  <c r="I61" i="27"/>
  <c r="D61" i="27"/>
  <c r="K60" i="27"/>
  <c r="D60" i="27"/>
  <c r="I60" i="27"/>
  <c r="M60" i="27"/>
  <c r="I24" i="27"/>
  <c r="L60" i="27"/>
  <c r="C60" i="27"/>
  <c r="H60" i="27"/>
  <c r="E60" i="27"/>
  <c r="J60" i="27"/>
  <c r="F60" i="27"/>
  <c r="G60" i="27"/>
  <c r="G62" i="27"/>
  <c r="E62" i="27"/>
  <c r="K62" i="27"/>
  <c r="J62" i="27"/>
  <c r="I62" i="27"/>
  <c r="F62" i="27"/>
  <c r="C62" i="27"/>
  <c r="H62" i="27"/>
  <c r="L62" i="27"/>
  <c r="M62" i="27"/>
  <c r="D62" i="27"/>
  <c r="BH11" i="6"/>
  <c r="BH12" i="6" s="1"/>
  <c r="BH303" i="6" s="1"/>
  <c r="BH27" i="6"/>
  <c r="BH110" i="6"/>
  <c r="BH75" i="6"/>
  <c r="BH64" i="6"/>
  <c r="BH48" i="6"/>
  <c r="BH227" i="6"/>
  <c r="K18" i="15"/>
  <c r="AB18" i="15"/>
  <c r="A19" i="15"/>
  <c r="X18" i="15"/>
  <c r="L18" i="15"/>
  <c r="D18" i="15" s="1"/>
  <c r="L12" i="16"/>
  <c r="O9" i="16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O9" i="17"/>
  <c r="AJ15" i="17" s="1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BW10" i="7" l="1"/>
  <c r="BZ9" i="7"/>
  <c r="AT48" i="6"/>
  <c r="J375" i="6"/>
  <c r="AT30" i="6"/>
  <c r="AT37" i="6"/>
  <c r="AY34" i="6"/>
  <c r="AY18" i="6"/>
  <c r="J380" i="6"/>
  <c r="AT21" i="6"/>
  <c r="AT43" i="6"/>
  <c r="AT34" i="6"/>
  <c r="AT44" i="6"/>
  <c r="AT17" i="6"/>
  <c r="AT15" i="6"/>
  <c r="AY28" i="6"/>
  <c r="AY22" i="6"/>
  <c r="J374" i="6"/>
  <c r="J373" i="6"/>
  <c r="J379" i="6"/>
  <c r="J377" i="6"/>
  <c r="AT19" i="6"/>
  <c r="AT31" i="6"/>
  <c r="AT25" i="6"/>
  <c r="AT22" i="6"/>
  <c r="AT27" i="6"/>
  <c r="AT47" i="6"/>
  <c r="AT41" i="6"/>
  <c r="AT42" i="6"/>
  <c r="AT18" i="6"/>
  <c r="AZ18" i="6" s="1"/>
  <c r="AY27" i="6"/>
  <c r="AY26" i="6"/>
  <c r="AY35" i="6"/>
  <c r="AY30" i="6"/>
  <c r="AY19" i="6"/>
  <c r="AZ25" i="6"/>
  <c r="J378" i="6"/>
  <c r="J376" i="6"/>
  <c r="J372" i="6"/>
  <c r="AT20" i="6"/>
  <c r="Z40" i="6"/>
  <c r="AT355" i="6" s="1"/>
  <c r="AT26" i="6"/>
  <c r="AT46" i="6"/>
  <c r="AT23" i="6"/>
  <c r="AT45" i="6"/>
  <c r="AT33" i="6"/>
  <c r="AT39" i="6"/>
  <c r="AT38" i="6"/>
  <c r="AT24" i="6"/>
  <c r="AT32" i="6"/>
  <c r="AT28" i="6"/>
  <c r="AT35" i="6"/>
  <c r="AT40" i="6"/>
  <c r="AT49" i="6"/>
  <c r="AT29" i="6"/>
  <c r="AZ29" i="6" s="1"/>
  <c r="AY43" i="6"/>
  <c r="AT16" i="6"/>
  <c r="AY33" i="6"/>
  <c r="AZ33" i="6" s="1"/>
  <c r="AY15" i="6"/>
  <c r="AZ15" i="6" s="1"/>
  <c r="AY32" i="6"/>
  <c r="AZ32" i="6" s="1"/>
  <c r="AY21" i="6"/>
  <c r="AY16" i="6"/>
  <c r="AY20" i="6"/>
  <c r="AY24" i="6"/>
  <c r="AY17" i="6"/>
  <c r="AY31" i="6"/>
  <c r="J19" i="6"/>
  <c r="J21" i="6"/>
  <c r="J15" i="6"/>
  <c r="J20" i="6"/>
  <c r="J18" i="6"/>
  <c r="J16" i="6"/>
  <c r="BH319" i="6"/>
  <c r="BH105" i="6"/>
  <c r="BH116" i="6"/>
  <c r="BH289" i="6"/>
  <c r="BH251" i="6"/>
  <c r="BH33" i="6"/>
  <c r="BH253" i="6"/>
  <c r="BH272" i="6"/>
  <c r="BH195" i="6"/>
  <c r="BH188" i="6"/>
  <c r="BH228" i="6"/>
  <c r="BH361" i="6"/>
  <c r="BH161" i="6"/>
  <c r="BH316" i="6"/>
  <c r="BH266" i="6"/>
  <c r="BH332" i="6"/>
  <c r="BH171" i="6"/>
  <c r="BH82" i="6"/>
  <c r="BH374" i="6"/>
  <c r="BH320" i="6"/>
  <c r="BH213" i="6"/>
  <c r="BH211" i="6"/>
  <c r="BH160" i="6"/>
  <c r="BH311" i="6"/>
  <c r="BH159" i="6"/>
  <c r="BH322" i="6"/>
  <c r="BH91" i="6"/>
  <c r="BH307" i="6"/>
  <c r="BH95" i="6"/>
  <c r="BH191" i="6"/>
  <c r="BH222" i="6"/>
  <c r="BH296" i="6"/>
  <c r="BH331" i="6"/>
  <c r="BH150" i="6"/>
  <c r="BH108" i="6"/>
  <c r="BH219" i="6"/>
  <c r="BH233" i="6"/>
  <c r="BH206" i="6"/>
  <c r="BH302" i="6"/>
  <c r="BH145" i="6"/>
  <c r="BH96" i="6"/>
  <c r="BH360" i="6"/>
  <c r="BH380" i="6"/>
  <c r="BH44" i="6"/>
  <c r="BH263" i="6"/>
  <c r="BH35" i="6"/>
  <c r="BH136" i="6"/>
  <c r="BH212" i="6"/>
  <c r="BH117" i="6"/>
  <c r="BH375" i="6"/>
  <c r="BH177" i="6"/>
  <c r="BH99" i="6"/>
  <c r="BH181" i="6"/>
  <c r="BH153" i="6"/>
  <c r="BH353" i="6"/>
  <c r="BH90" i="6"/>
  <c r="BH31" i="6"/>
  <c r="BH167" i="6"/>
  <c r="BH93" i="6"/>
  <c r="BH208" i="6"/>
  <c r="BH325" i="6"/>
  <c r="BH348" i="6"/>
  <c r="BH338" i="6"/>
  <c r="BH112" i="6"/>
  <c r="BH16" i="6"/>
  <c r="BH138" i="6"/>
  <c r="BH309" i="6"/>
  <c r="BH141" i="6"/>
  <c r="BH28" i="6"/>
  <c r="BH151" i="6"/>
  <c r="BH271" i="6"/>
  <c r="BH166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24" i="6"/>
  <c r="BH178" i="6"/>
  <c r="BH55" i="6"/>
  <c r="BH59" i="6"/>
  <c r="BH56" i="6"/>
  <c r="BH308" i="6"/>
  <c r="BH376" i="6"/>
  <c r="BH291" i="6"/>
  <c r="AZ23" i="6"/>
  <c r="BH71" i="6"/>
  <c r="BH156" i="6"/>
  <c r="BH180" i="6"/>
  <c r="BH52" i="6"/>
  <c r="BH65" i="6"/>
  <c r="BH255" i="6"/>
  <c r="BH148" i="6"/>
  <c r="BH218" i="6"/>
  <c r="BH321" i="6"/>
  <c r="BH54" i="6"/>
  <c r="BH80" i="6"/>
  <c r="BH210" i="6"/>
  <c r="BH41" i="6"/>
  <c r="BH274" i="6"/>
  <c r="BH194" i="6"/>
  <c r="BH76" i="6"/>
  <c r="BH111" i="6"/>
  <c r="BH20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333" i="6"/>
  <c r="BH250" i="6"/>
  <c r="BH130" i="6"/>
  <c r="BH152" i="6"/>
  <c r="BH226" i="6"/>
  <c r="BH379" i="6"/>
  <c r="BH185" i="6"/>
  <c r="BH232" i="6"/>
  <c r="BH179" i="6"/>
  <c r="BH290" i="6"/>
  <c r="BH89" i="6"/>
  <c r="BH278" i="6"/>
  <c r="BH101" i="6"/>
  <c r="BH192" i="6"/>
  <c r="BH318" i="6"/>
  <c r="BH310" i="6"/>
  <c r="BH103" i="6"/>
  <c r="BH20" i="6"/>
  <c r="BH39" i="6"/>
  <c r="BH98" i="6"/>
  <c r="BH221" i="6"/>
  <c r="BH326" i="6"/>
  <c r="BH323" i="6"/>
  <c r="BH107" i="6"/>
  <c r="BH268" i="6"/>
  <c r="BH286" i="6"/>
  <c r="BH257" i="6"/>
  <c r="BH223" i="6"/>
  <c r="BH276" i="6"/>
  <c r="BH51" i="6"/>
  <c r="BH281" i="6"/>
  <c r="BH240" i="6"/>
  <c r="BH343" i="6"/>
  <c r="BH15" i="6"/>
  <c r="BH252" i="6"/>
  <c r="BH200" i="6"/>
  <c r="BH242" i="6"/>
  <c r="BH34" i="6"/>
  <c r="BH174" i="6"/>
  <c r="BH158" i="6"/>
  <c r="BH368" i="6"/>
  <c r="L15" i="16"/>
  <c r="D15" i="16" s="1"/>
  <c r="AT312" i="6"/>
  <c r="AZ22" i="6"/>
  <c r="N380" i="6" s="1"/>
  <c r="N381" i="6" s="1"/>
  <c r="AY373" i="6"/>
  <c r="J319" i="6"/>
  <c r="J326" i="6"/>
  <c r="J327" i="6"/>
  <c r="J321" i="6"/>
  <c r="AY378" i="6"/>
  <c r="AY379" i="6"/>
  <c r="AY112" i="6"/>
  <c r="AY97" i="6"/>
  <c r="AY122" i="6"/>
  <c r="AY103" i="6"/>
  <c r="AY142" i="6"/>
  <c r="AY93" i="6"/>
  <c r="AY123" i="6"/>
  <c r="J195" i="6"/>
  <c r="J199" i="6"/>
  <c r="AY377" i="6"/>
  <c r="AY376" i="6"/>
  <c r="AT314" i="6"/>
  <c r="AY372" i="6"/>
  <c r="AY375" i="6"/>
  <c r="AY380" i="6"/>
  <c r="AY374" i="6"/>
  <c r="AT322" i="6"/>
  <c r="AT318" i="6"/>
  <c r="J322" i="6"/>
  <c r="J320" i="6"/>
  <c r="AT319" i="6"/>
  <c r="AT302" i="6"/>
  <c r="AT309" i="6"/>
  <c r="AT328" i="6"/>
  <c r="AT320" i="6"/>
  <c r="AT303" i="6"/>
  <c r="AT307" i="6"/>
  <c r="AT311" i="6"/>
  <c r="AT324" i="6"/>
  <c r="AT321" i="6"/>
  <c r="J162" i="6"/>
  <c r="J164" i="6"/>
  <c r="J175" i="6"/>
  <c r="J168" i="6"/>
  <c r="AT333" i="6"/>
  <c r="J212" i="6"/>
  <c r="J192" i="6"/>
  <c r="J208" i="6"/>
  <c r="J258" i="6"/>
  <c r="J246" i="6"/>
  <c r="J250" i="6"/>
  <c r="J267" i="6"/>
  <c r="J108" i="6"/>
  <c r="J133" i="6"/>
  <c r="J109" i="6"/>
  <c r="AY137" i="6"/>
  <c r="AY99" i="6"/>
  <c r="AY107" i="6"/>
  <c r="AY128" i="6"/>
  <c r="AY94" i="6"/>
  <c r="AY139" i="6"/>
  <c r="AY117" i="6"/>
  <c r="J210" i="6"/>
  <c r="J211" i="6"/>
  <c r="J259" i="6"/>
  <c r="J266" i="6"/>
  <c r="J270" i="6"/>
  <c r="J115" i="6"/>
  <c r="J112" i="6"/>
  <c r="L11" i="17"/>
  <c r="Q17" i="1"/>
  <c r="E7" i="17"/>
  <c r="L12" i="17"/>
  <c r="L15" i="17" s="1"/>
  <c r="D15" i="17" s="1"/>
  <c r="AK15" i="15"/>
  <c r="P12" i="15"/>
  <c r="AK380" i="15"/>
  <c r="F8" i="15"/>
  <c r="AK16" i="15"/>
  <c r="AK17" i="15"/>
  <c r="AJ15" i="15"/>
  <c r="AJ16" i="15"/>
  <c r="H13" i="7"/>
  <c r="AJ380" i="15"/>
  <c r="F7" i="15"/>
  <c r="AJ17" i="15"/>
  <c r="J226" i="6"/>
  <c r="J245" i="6"/>
  <c r="J228" i="6"/>
  <c r="J220" i="6"/>
  <c r="J222" i="6"/>
  <c r="J241" i="6"/>
  <c r="J229" i="6"/>
  <c r="AT325" i="6"/>
  <c r="AT317" i="6"/>
  <c r="AT310" i="6"/>
  <c r="AT326" i="6"/>
  <c r="J140" i="6"/>
  <c r="J153" i="6"/>
  <c r="J161" i="6"/>
  <c r="J155" i="6"/>
  <c r="J146" i="6"/>
  <c r="J149" i="6"/>
  <c r="J150" i="6"/>
  <c r="AY138" i="6"/>
  <c r="AY110" i="6"/>
  <c r="AY111" i="6"/>
  <c r="AY127" i="6"/>
  <c r="AY118" i="6"/>
  <c r="AY144" i="6"/>
  <c r="AY135" i="6"/>
  <c r="AY133" i="6"/>
  <c r="AY124" i="6"/>
  <c r="AY121" i="6"/>
  <c r="AY92" i="6"/>
  <c r="AY106" i="6"/>
  <c r="AY98" i="6"/>
  <c r="AY146" i="6"/>
  <c r="J213" i="6"/>
  <c r="J193" i="6"/>
  <c r="J201" i="6"/>
  <c r="J196" i="6"/>
  <c r="J197" i="6"/>
  <c r="J198" i="6"/>
  <c r="J207" i="6"/>
  <c r="J257" i="6"/>
  <c r="J272" i="6"/>
  <c r="J247" i="6"/>
  <c r="J273" i="6"/>
  <c r="J248" i="6"/>
  <c r="J268" i="6"/>
  <c r="J261" i="6"/>
  <c r="J111" i="6"/>
  <c r="J126" i="6"/>
  <c r="J128" i="6"/>
  <c r="J119" i="6"/>
  <c r="J118" i="6"/>
  <c r="J107" i="6"/>
  <c r="J123" i="6"/>
  <c r="J231" i="6"/>
  <c r="J225" i="6"/>
  <c r="J235" i="6"/>
  <c r="J227" i="6"/>
  <c r="J243" i="6"/>
  <c r="J238" i="6"/>
  <c r="J219" i="6"/>
  <c r="AT304" i="6"/>
  <c r="AT329" i="6"/>
  <c r="AT308" i="6"/>
  <c r="J143" i="6"/>
  <c r="J137" i="6"/>
  <c r="J148" i="6"/>
  <c r="J138" i="6"/>
  <c r="J142" i="6"/>
  <c r="J136" i="6"/>
  <c r="J151" i="6"/>
  <c r="AT306" i="6"/>
  <c r="J114" i="6"/>
  <c r="J127" i="6"/>
  <c r="Y55" i="6"/>
  <c r="AY334" i="6" s="1"/>
  <c r="W40" i="6"/>
  <c r="AT282" i="6" s="1"/>
  <c r="U55" i="6"/>
  <c r="AY230" i="6" s="1"/>
  <c r="W55" i="6"/>
  <c r="AY286" i="6" s="1"/>
  <c r="AA40" i="6"/>
  <c r="AY69" i="6"/>
  <c r="AY38" i="6"/>
  <c r="AY47" i="6"/>
  <c r="AZ47" i="6" s="1"/>
  <c r="AY46" i="6"/>
  <c r="AY68" i="6"/>
  <c r="AY88" i="6"/>
  <c r="AY84" i="6"/>
  <c r="AY79" i="6"/>
  <c r="AY66" i="6"/>
  <c r="AY44" i="6"/>
  <c r="AY42" i="6"/>
  <c r="AZ42" i="6" s="1"/>
  <c r="AY62" i="6"/>
  <c r="AY45" i="6"/>
  <c r="AY89" i="6"/>
  <c r="AY50" i="6"/>
  <c r="AY71" i="6"/>
  <c r="AY74" i="6"/>
  <c r="AY70" i="6"/>
  <c r="AY77" i="6"/>
  <c r="AY57" i="6"/>
  <c r="AY39" i="6"/>
  <c r="AY73" i="6"/>
  <c r="AY91" i="6"/>
  <c r="AY81" i="6"/>
  <c r="AY54" i="6"/>
  <c r="AY63" i="6"/>
  <c r="AY56" i="6"/>
  <c r="AY37" i="6"/>
  <c r="AY199" i="6"/>
  <c r="AY157" i="6"/>
  <c r="AY154" i="6"/>
  <c r="AY202" i="6"/>
  <c r="AY175" i="6"/>
  <c r="AY187" i="6"/>
  <c r="AY166" i="6"/>
  <c r="AY171" i="6"/>
  <c r="AY155" i="6"/>
  <c r="AY180" i="6"/>
  <c r="AY179" i="6"/>
  <c r="AY192" i="6"/>
  <c r="AY203" i="6"/>
  <c r="AY200" i="6"/>
  <c r="AY170" i="6"/>
  <c r="AY201" i="6"/>
  <c r="AY181" i="6"/>
  <c r="AY164" i="6"/>
  <c r="AY156" i="6"/>
  <c r="AY148" i="6"/>
  <c r="AY149" i="6"/>
  <c r="AY165" i="6"/>
  <c r="AY188" i="6"/>
  <c r="AY190" i="6"/>
  <c r="AY178" i="6"/>
  <c r="AY150" i="6"/>
  <c r="AY186" i="6"/>
  <c r="AY185" i="6"/>
  <c r="J341" i="6"/>
  <c r="J335" i="6"/>
  <c r="J330" i="6"/>
  <c r="J334" i="6"/>
  <c r="J332" i="6"/>
  <c r="J339" i="6"/>
  <c r="J340" i="6"/>
  <c r="AT160" i="6"/>
  <c r="AT150" i="6"/>
  <c r="AT185" i="6"/>
  <c r="AT140" i="6"/>
  <c r="AT137" i="6"/>
  <c r="AT173" i="6"/>
  <c r="AT166" i="6"/>
  <c r="AT176" i="6"/>
  <c r="AT145" i="6"/>
  <c r="AT138" i="6"/>
  <c r="AT144" i="6"/>
  <c r="AZ144" i="6" s="1"/>
  <c r="AT172" i="6"/>
  <c r="AT162" i="6"/>
  <c r="AT153" i="6"/>
  <c r="AT159" i="6"/>
  <c r="AT141" i="6"/>
  <c r="AT158" i="6"/>
  <c r="AT175" i="6"/>
  <c r="AT146" i="6"/>
  <c r="AZ146" i="6" s="1"/>
  <c r="AT183" i="6"/>
  <c r="AT135" i="6"/>
  <c r="AT179" i="6"/>
  <c r="AT169" i="6"/>
  <c r="AZ169" i="6" s="1"/>
  <c r="AT161" i="6"/>
  <c r="AT149" i="6"/>
  <c r="AT170" i="6"/>
  <c r="AT184" i="6"/>
  <c r="AT163" i="6"/>
  <c r="AT139" i="6"/>
  <c r="AT155" i="6"/>
  <c r="AT174" i="6"/>
  <c r="AT152" i="6"/>
  <c r="AT136" i="6"/>
  <c r="AT143" i="6"/>
  <c r="AT134" i="6"/>
  <c r="AT180" i="6"/>
  <c r="AT147" i="6"/>
  <c r="AT167" i="6"/>
  <c r="AT181" i="6"/>
  <c r="AT178" i="6"/>
  <c r="AT171" i="6"/>
  <c r="AT142" i="6"/>
  <c r="AT154" i="6"/>
  <c r="AT177" i="6"/>
  <c r="AT186" i="6"/>
  <c r="AT189" i="6"/>
  <c r="AT188" i="6"/>
  <c r="AT148" i="6"/>
  <c r="AT156" i="6"/>
  <c r="AT165" i="6"/>
  <c r="AT164" i="6"/>
  <c r="AT187" i="6"/>
  <c r="AT182" i="6"/>
  <c r="AT168" i="6"/>
  <c r="AT157" i="6"/>
  <c r="AT151" i="6"/>
  <c r="AT243" i="6"/>
  <c r="AT228" i="6"/>
  <c r="AT231" i="6"/>
  <c r="AT242" i="6"/>
  <c r="AT233" i="6"/>
  <c r="AT236" i="6"/>
  <c r="AT221" i="6"/>
  <c r="AT220" i="6"/>
  <c r="AT225" i="6"/>
  <c r="AT227" i="6"/>
  <c r="AT235" i="6"/>
  <c r="AT229" i="6"/>
  <c r="AT224" i="6"/>
  <c r="AT237" i="6"/>
  <c r="AT223" i="6"/>
  <c r="AT234" i="6"/>
  <c r="AT230" i="6"/>
  <c r="AT245" i="6"/>
  <c r="AT222" i="6"/>
  <c r="AT218" i="6"/>
  <c r="AT241" i="6"/>
  <c r="AT239" i="6"/>
  <c r="AT226" i="6"/>
  <c r="AT198" i="6"/>
  <c r="AT204" i="6"/>
  <c r="AT209" i="6"/>
  <c r="AT193" i="6"/>
  <c r="AT211" i="6"/>
  <c r="AT208" i="6"/>
  <c r="AT213" i="6"/>
  <c r="AT210" i="6"/>
  <c r="AT206" i="6"/>
  <c r="AT207" i="6"/>
  <c r="AT201" i="6"/>
  <c r="AT197" i="6"/>
  <c r="AT192" i="6"/>
  <c r="AT194" i="6"/>
  <c r="AT191" i="6"/>
  <c r="AT219" i="6"/>
  <c r="AT232" i="6"/>
  <c r="AT244" i="6"/>
  <c r="AT238" i="6"/>
  <c r="AT240" i="6"/>
  <c r="AT200" i="6"/>
  <c r="AT205" i="6"/>
  <c r="AT216" i="6"/>
  <c r="AT196" i="6"/>
  <c r="AT195" i="6"/>
  <c r="AT202" i="6"/>
  <c r="AT212" i="6"/>
  <c r="AT190" i="6"/>
  <c r="AT199" i="6"/>
  <c r="AT214" i="6"/>
  <c r="AT203" i="6"/>
  <c r="AT215" i="6"/>
  <c r="AT217" i="6"/>
  <c r="J163" i="6"/>
  <c r="J173" i="6"/>
  <c r="J166" i="6"/>
  <c r="J167" i="6"/>
  <c r="J169" i="6"/>
  <c r="AT332" i="6"/>
  <c r="AT352" i="6"/>
  <c r="AT339" i="6"/>
  <c r="AT335" i="6"/>
  <c r="AT351" i="6"/>
  <c r="P40" i="6"/>
  <c r="AT50" i="6" s="1"/>
  <c r="J329" i="6"/>
  <c r="J317" i="6"/>
  <c r="J325" i="6"/>
  <c r="J323" i="6"/>
  <c r="J324" i="6"/>
  <c r="J318" i="6"/>
  <c r="J328" i="6"/>
  <c r="J316" i="6"/>
  <c r="J237" i="6"/>
  <c r="J239" i="6"/>
  <c r="J230" i="6"/>
  <c r="J232" i="6"/>
  <c r="J244" i="6"/>
  <c r="J233" i="6"/>
  <c r="J242" i="6"/>
  <c r="J224" i="6"/>
  <c r="J223" i="6"/>
  <c r="J218" i="6"/>
  <c r="J236" i="6"/>
  <c r="J240" i="6"/>
  <c r="J234" i="6"/>
  <c r="AY60" i="6"/>
  <c r="AY65" i="6"/>
  <c r="AY87" i="6"/>
  <c r="AY83" i="6"/>
  <c r="AY78" i="6"/>
  <c r="AY75" i="6"/>
  <c r="AY64" i="6"/>
  <c r="AY85" i="6"/>
  <c r="AY76" i="6"/>
  <c r="AY51" i="6"/>
  <c r="AY49" i="6"/>
  <c r="AY53" i="6"/>
  <c r="AY58" i="6"/>
  <c r="AY36" i="6"/>
  <c r="AY40" i="6"/>
  <c r="AY59" i="6"/>
  <c r="AY61" i="6"/>
  <c r="AY72" i="6"/>
  <c r="AY67" i="6"/>
  <c r="AY52" i="6"/>
  <c r="AY41" i="6"/>
  <c r="AY80" i="6"/>
  <c r="AY86" i="6"/>
  <c r="AY55" i="6"/>
  <c r="AY48" i="6"/>
  <c r="AZ48" i="6" s="1"/>
  <c r="AY82" i="6"/>
  <c r="AY90" i="6"/>
  <c r="AT316" i="6"/>
  <c r="AT313" i="6"/>
  <c r="AT315" i="6"/>
  <c r="AT327" i="6"/>
  <c r="AT323" i="6"/>
  <c r="J135" i="6"/>
  <c r="J144" i="6"/>
  <c r="J147" i="6"/>
  <c r="J154" i="6"/>
  <c r="J139" i="6"/>
  <c r="J141" i="6"/>
  <c r="J158" i="6"/>
  <c r="J156" i="6"/>
  <c r="J157" i="6"/>
  <c r="J152" i="6"/>
  <c r="J160" i="6"/>
  <c r="J145" i="6"/>
  <c r="J159" i="6"/>
  <c r="Q40" i="6"/>
  <c r="AT117" i="6" s="1"/>
  <c r="AY96" i="6"/>
  <c r="AY104" i="6"/>
  <c r="AY145" i="6"/>
  <c r="AY141" i="6"/>
  <c r="AY115" i="6"/>
  <c r="AY114" i="6"/>
  <c r="AY143" i="6"/>
  <c r="AY105" i="6"/>
  <c r="AY113" i="6"/>
  <c r="AY140" i="6"/>
  <c r="AY109" i="6"/>
  <c r="AY120" i="6"/>
  <c r="AY134" i="6"/>
  <c r="AY116" i="6"/>
  <c r="AY136" i="6"/>
  <c r="AY132" i="6"/>
  <c r="AY108" i="6"/>
  <c r="AY147" i="6"/>
  <c r="AY130" i="6"/>
  <c r="AY119" i="6"/>
  <c r="AY100" i="6"/>
  <c r="AY125" i="6"/>
  <c r="AY126" i="6"/>
  <c r="AY102" i="6"/>
  <c r="AY129" i="6"/>
  <c r="AY131" i="6"/>
  <c r="AY95" i="6"/>
  <c r="J204" i="6"/>
  <c r="J202" i="6"/>
  <c r="J206" i="6"/>
  <c r="J203" i="6"/>
  <c r="J191" i="6"/>
  <c r="J214" i="6"/>
  <c r="J205" i="6"/>
  <c r="J209" i="6"/>
  <c r="J194" i="6"/>
  <c r="J216" i="6"/>
  <c r="J200" i="6"/>
  <c r="J217" i="6"/>
  <c r="J190" i="6"/>
  <c r="AY162" i="6"/>
  <c r="AY163" i="6"/>
  <c r="AY184" i="6"/>
  <c r="AY174" i="6"/>
  <c r="AY151" i="6"/>
  <c r="AY176" i="6"/>
  <c r="AY193" i="6"/>
  <c r="AY189" i="6"/>
  <c r="AY161" i="6"/>
  <c r="AY182" i="6"/>
  <c r="AY159" i="6"/>
  <c r="AY168" i="6"/>
  <c r="AY152" i="6"/>
  <c r="AY167" i="6"/>
  <c r="AY160" i="6"/>
  <c r="AY177" i="6"/>
  <c r="AY191" i="6"/>
  <c r="AY197" i="6"/>
  <c r="AY183" i="6"/>
  <c r="AY196" i="6"/>
  <c r="AY172" i="6"/>
  <c r="AY158" i="6"/>
  <c r="AY173" i="6"/>
  <c r="AY195" i="6"/>
  <c r="AY194" i="6"/>
  <c r="AY198" i="6"/>
  <c r="AY153" i="6"/>
  <c r="J255" i="6"/>
  <c r="J251" i="6"/>
  <c r="J263" i="6"/>
  <c r="J256" i="6"/>
  <c r="J249" i="6"/>
  <c r="J252" i="6"/>
  <c r="J269" i="6"/>
  <c r="J264" i="6"/>
  <c r="J254" i="6"/>
  <c r="J271" i="6"/>
  <c r="J260" i="6"/>
  <c r="J265" i="6"/>
  <c r="J253" i="6"/>
  <c r="J113" i="6"/>
  <c r="J117" i="6"/>
  <c r="J125" i="6"/>
  <c r="J129" i="6"/>
  <c r="J131" i="6"/>
  <c r="J116" i="6"/>
  <c r="J130" i="6"/>
  <c r="J121" i="6"/>
  <c r="J106" i="6"/>
  <c r="J110" i="6"/>
  <c r="J120" i="6"/>
  <c r="J122" i="6"/>
  <c r="J124" i="6"/>
  <c r="J336" i="6"/>
  <c r="J342" i="6"/>
  <c r="J343" i="6"/>
  <c r="J331" i="6"/>
  <c r="J337" i="6"/>
  <c r="J333" i="6"/>
  <c r="J170" i="6"/>
  <c r="BH247" i="6"/>
  <c r="BH61" i="6"/>
  <c r="BH339" i="6"/>
  <c r="AE68" i="27"/>
  <c r="I11" i="27"/>
  <c r="BH358" i="6"/>
  <c r="BH142" i="6"/>
  <c r="BH280" i="6"/>
  <c r="BH294" i="6"/>
  <c r="BH238" i="6"/>
  <c r="BH342" i="6"/>
  <c r="BH135" i="6"/>
  <c r="BH196" i="6"/>
  <c r="BH364" i="6"/>
  <c r="BH239" i="6"/>
  <c r="BH175" i="6"/>
  <c r="BH118" i="6"/>
  <c r="BH87" i="6"/>
  <c r="BH209" i="6"/>
  <c r="BH46" i="6"/>
  <c r="BH74" i="6"/>
  <c r="BH38" i="6"/>
  <c r="BH25" i="6"/>
  <c r="BH225" i="6"/>
  <c r="BH372" i="6"/>
  <c r="BH81" i="6"/>
  <c r="BH292" i="6"/>
  <c r="BH149" i="6"/>
  <c r="BH37" i="6"/>
  <c r="BH355" i="6"/>
  <c r="BH163" i="6"/>
  <c r="BH115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58" i="6"/>
  <c r="BH357" i="6"/>
  <c r="BH26" i="6"/>
  <c r="BH300" i="6"/>
  <c r="BH157" i="6"/>
  <c r="BH24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202" i="6"/>
  <c r="BH102" i="6"/>
  <c r="BH42" i="6"/>
  <c r="BH94" i="6"/>
  <c r="BH120" i="6"/>
  <c r="BH354" i="6"/>
  <c r="BH265" i="6"/>
  <c r="BH295" i="6"/>
  <c r="BH88" i="6"/>
  <c r="BH297" i="6"/>
  <c r="BH137" i="6"/>
  <c r="BH363" i="6"/>
  <c r="BH125" i="6"/>
  <c r="BH259" i="6"/>
  <c r="BH113" i="6"/>
  <c r="BH335" i="6"/>
  <c r="BH124" i="6"/>
  <c r="BH362" i="6"/>
  <c r="BH45" i="6"/>
  <c r="BH359" i="6"/>
  <c r="BH86" i="6"/>
  <c r="BH279" i="6"/>
  <c r="BH176" i="6"/>
  <c r="BH329" i="6"/>
  <c r="BH58" i="6"/>
  <c r="BH334" i="6"/>
  <c r="BH261" i="6"/>
  <c r="BH237" i="6"/>
  <c r="BH66" i="6"/>
  <c r="BH147" i="6"/>
  <c r="BH367" i="6"/>
  <c r="BH183" i="6"/>
  <c r="BH229" i="6"/>
  <c r="BH197" i="6"/>
  <c r="BH32" i="6"/>
  <c r="BH282" i="6"/>
  <c r="BH264" i="6"/>
  <c r="BH198" i="6"/>
  <c r="BH378" i="6"/>
  <c r="BH275" i="6"/>
  <c r="BH67" i="6"/>
  <c r="BH84" i="6"/>
  <c r="BH347" i="6"/>
  <c r="BH50" i="6"/>
  <c r="BH356" i="6"/>
  <c r="BH344" i="6"/>
  <c r="BH169" i="6"/>
  <c r="BH131" i="6"/>
  <c r="BH79" i="6"/>
  <c r="BH62" i="6"/>
  <c r="BH350" i="6"/>
  <c r="BH349" i="6"/>
  <c r="BH366" i="6"/>
  <c r="BH40" i="6"/>
  <c r="BH126" i="6"/>
  <c r="BH254" i="6"/>
  <c r="BH57" i="6"/>
  <c r="BH369" i="6"/>
  <c r="BH162" i="6"/>
  <c r="BH134" i="6"/>
  <c r="BH53" i="6"/>
  <c r="BH190" i="6"/>
  <c r="BH29" i="6"/>
  <c r="BH92" i="6"/>
  <c r="BH19" i="6"/>
  <c r="BH371" i="6"/>
  <c r="BH293" i="6"/>
  <c r="BH129" i="6"/>
  <c r="BH220" i="6"/>
  <c r="BH287" i="6"/>
  <c r="BH85" i="6"/>
  <c r="BH77" i="6"/>
  <c r="BH72" i="6"/>
  <c r="BH340" i="6"/>
  <c r="BH304" i="6"/>
  <c r="BH244" i="6"/>
  <c r="BH288" i="6"/>
  <c r="BH215" i="6"/>
  <c r="BH70" i="6"/>
  <c r="BH205" i="6"/>
  <c r="BH121" i="6"/>
  <c r="BH139" i="6"/>
  <c r="BH97" i="6"/>
  <c r="BH144" i="6"/>
  <c r="N15" i="7"/>
  <c r="P11" i="16"/>
  <c r="A17" i="16"/>
  <c r="X16" i="16"/>
  <c r="L16" i="16"/>
  <c r="D16" i="16" s="1"/>
  <c r="AK16" i="16"/>
  <c r="AB16" i="16"/>
  <c r="K16" i="16"/>
  <c r="AJ16" i="16"/>
  <c r="AJ15" i="16"/>
  <c r="F7" i="16"/>
  <c r="N13" i="7"/>
  <c r="O11" i="7"/>
  <c r="Q11" i="16" s="1"/>
  <c r="AB19" i="15"/>
  <c r="A20" i="15"/>
  <c r="AK19" i="15"/>
  <c r="X19" i="15"/>
  <c r="AJ19" i="15"/>
  <c r="K19" i="15"/>
  <c r="L19" i="15"/>
  <c r="D19" i="15" s="1"/>
  <c r="O9" i="18"/>
  <c r="AJ15" i="18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J380" i="17"/>
  <c r="F7" i="17"/>
  <c r="T13" i="7"/>
  <c r="AB16" i="17"/>
  <c r="L16" i="17"/>
  <c r="D16" i="17" s="1"/>
  <c r="K16" i="17"/>
  <c r="X16" i="17"/>
  <c r="A17" i="17"/>
  <c r="AJ16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E8" i="15"/>
  <c r="K12" i="19" s="1"/>
  <c r="K36" i="19" s="1"/>
  <c r="E7" i="15"/>
  <c r="AZ137" i="6" l="1"/>
  <c r="AZ37" i="6"/>
  <c r="AZ17" i="6"/>
  <c r="AZ31" i="6"/>
  <c r="AZ34" i="6"/>
  <c r="AZ30" i="6"/>
  <c r="AT341" i="6"/>
  <c r="AT348" i="6"/>
  <c r="AT342" i="6"/>
  <c r="AT344" i="6"/>
  <c r="AT345" i="6"/>
  <c r="AZ44" i="6"/>
  <c r="AT364" i="6"/>
  <c r="AT357" i="6"/>
  <c r="AZ43" i="6"/>
  <c r="AZ35" i="6"/>
  <c r="AZ27" i="6"/>
  <c r="AZ19" i="6"/>
  <c r="AZ41" i="6"/>
  <c r="AZ26" i="6"/>
  <c r="AZ21" i="6"/>
  <c r="AZ28" i="6"/>
  <c r="AZ38" i="6"/>
  <c r="AZ49" i="6"/>
  <c r="AZ20" i="6"/>
  <c r="AZ46" i="6"/>
  <c r="AZ40" i="6"/>
  <c r="AZ16" i="6"/>
  <c r="AZ24" i="6"/>
  <c r="AT330" i="6"/>
  <c r="AT347" i="6"/>
  <c r="AT334" i="6"/>
  <c r="AZ334" i="6" s="1"/>
  <c r="AT340" i="6"/>
  <c r="AT350" i="6"/>
  <c r="AT346" i="6"/>
  <c r="AT349" i="6"/>
  <c r="AT353" i="6"/>
  <c r="AT331" i="6"/>
  <c r="AT354" i="6"/>
  <c r="AT336" i="6"/>
  <c r="AT343" i="6"/>
  <c r="AZ39" i="6"/>
  <c r="AZ45" i="6"/>
  <c r="AT337" i="6"/>
  <c r="AT356" i="6"/>
  <c r="AT338" i="6"/>
  <c r="AF17" i="1"/>
  <c r="AD17" i="1" s="1"/>
  <c r="AD301" i="1"/>
  <c r="AD221" i="1"/>
  <c r="AD372" i="1"/>
  <c r="AD194" i="1"/>
  <c r="AD156" i="1"/>
  <c r="E8" i="17"/>
  <c r="K14" i="19" s="1"/>
  <c r="K38" i="19" s="1"/>
  <c r="AZ153" i="6"/>
  <c r="AZ173" i="6"/>
  <c r="AZ172" i="6"/>
  <c r="AZ183" i="6"/>
  <c r="AZ191" i="6"/>
  <c r="AZ152" i="6"/>
  <c r="AZ161" i="6"/>
  <c r="AZ151" i="6"/>
  <c r="AZ143" i="6"/>
  <c r="AD322" i="1"/>
  <c r="AZ117" i="6"/>
  <c r="AZ158" i="6"/>
  <c r="AZ196" i="6"/>
  <c r="AZ197" i="6"/>
  <c r="AZ182" i="6"/>
  <c r="AZ174" i="6"/>
  <c r="AZ147" i="6"/>
  <c r="AT77" i="6"/>
  <c r="AZ77" i="6" s="1"/>
  <c r="AT74" i="6"/>
  <c r="AZ74" i="6" s="1"/>
  <c r="AT63" i="6"/>
  <c r="AZ63" i="6" s="1"/>
  <c r="AZ142" i="6"/>
  <c r="AT256" i="6"/>
  <c r="AT289" i="6"/>
  <c r="AT297" i="6"/>
  <c r="AT274" i="6"/>
  <c r="AD112" i="1"/>
  <c r="AD250" i="1"/>
  <c r="AD137" i="1"/>
  <c r="AZ139" i="6"/>
  <c r="AZ135" i="6"/>
  <c r="AZ194" i="6"/>
  <c r="AZ160" i="6"/>
  <c r="AZ159" i="6"/>
  <c r="AZ193" i="6"/>
  <c r="AZ184" i="6"/>
  <c r="AZ162" i="6"/>
  <c r="X380" i="6" s="1"/>
  <c r="X381" i="6" s="1"/>
  <c r="AZ136" i="6"/>
  <c r="AZ134" i="6"/>
  <c r="V380" i="6" s="1"/>
  <c r="V381" i="6" s="1"/>
  <c r="AZ145" i="6"/>
  <c r="AT292" i="6"/>
  <c r="AT267" i="6"/>
  <c r="AT271" i="6"/>
  <c r="AZ138" i="6"/>
  <c r="AY229" i="6"/>
  <c r="AZ229" i="6" s="1"/>
  <c r="AY251" i="6"/>
  <c r="AY214" i="6"/>
  <c r="AZ214" i="6" s="1"/>
  <c r="AY206" i="6"/>
  <c r="AZ206" i="6" s="1"/>
  <c r="AY219" i="6"/>
  <c r="AZ219" i="6" s="1"/>
  <c r="AY240" i="6"/>
  <c r="AZ240" i="6" s="1"/>
  <c r="AY209" i="6"/>
  <c r="AZ209" i="6" s="1"/>
  <c r="AT62" i="6"/>
  <c r="AZ62" i="6" s="1"/>
  <c r="AT64" i="6"/>
  <c r="AZ64" i="6" s="1"/>
  <c r="Q380" i="6" s="1"/>
  <c r="Q381" i="6" s="1"/>
  <c r="AT53" i="6"/>
  <c r="AZ53" i="6" s="1"/>
  <c r="AT59" i="6"/>
  <c r="AZ59" i="6" s="1"/>
  <c r="AY228" i="6"/>
  <c r="AY234" i="6"/>
  <c r="AZ234" i="6" s="1"/>
  <c r="AY225" i="6"/>
  <c r="AZ225" i="6" s="1"/>
  <c r="AY208" i="6"/>
  <c r="AZ208" i="6" s="1"/>
  <c r="AY218" i="6"/>
  <c r="AZ218" i="6" s="1"/>
  <c r="AB380" i="6" s="1"/>
  <c r="AB381" i="6" s="1"/>
  <c r="AY244" i="6"/>
  <c r="AZ244" i="6" s="1"/>
  <c r="AY213" i="6"/>
  <c r="AZ213" i="6" s="1"/>
  <c r="AT257" i="6"/>
  <c r="AT254" i="6"/>
  <c r="AT275" i="6"/>
  <c r="AT278" i="6"/>
  <c r="AT249" i="6"/>
  <c r="AT261" i="6"/>
  <c r="AD21" i="1"/>
  <c r="AD98" i="1"/>
  <c r="AD365" i="1"/>
  <c r="AD51" i="1"/>
  <c r="AD69" i="1"/>
  <c r="AD191" i="1"/>
  <c r="AD254" i="1"/>
  <c r="AD134" i="1"/>
  <c r="AD38" i="1"/>
  <c r="AD358" i="1"/>
  <c r="AD319" i="1"/>
  <c r="AD190" i="1"/>
  <c r="AD295" i="1"/>
  <c r="AD345" i="1"/>
  <c r="AD147" i="1"/>
  <c r="O10" i="17"/>
  <c r="U13" i="7" s="1"/>
  <c r="AA10" i="7" s="1"/>
  <c r="AD174" i="1"/>
  <c r="AD71" i="1"/>
  <c r="AD20" i="1"/>
  <c r="AD24" i="1"/>
  <c r="AD304" i="1"/>
  <c r="AD65" i="1"/>
  <c r="AD246" i="1"/>
  <c r="AD54" i="1"/>
  <c r="AD308" i="1"/>
  <c r="AD25" i="1"/>
  <c r="AD164" i="1"/>
  <c r="L11" i="18"/>
  <c r="L12" i="18"/>
  <c r="AC12" i="15"/>
  <c r="AC20" i="15" s="1"/>
  <c r="O12" i="15"/>
  <c r="O11" i="15"/>
  <c r="AC9" i="15"/>
  <c r="AC9" i="16" s="1"/>
  <c r="AD120" i="1"/>
  <c r="AD64" i="1"/>
  <c r="AD99" i="1"/>
  <c r="AD60" i="1"/>
  <c r="AD40" i="1"/>
  <c r="AD176" i="1"/>
  <c r="AD92" i="1"/>
  <c r="AD136" i="1"/>
  <c r="AD306" i="1"/>
  <c r="AD67" i="1"/>
  <c r="AD97" i="1"/>
  <c r="AD169" i="1"/>
  <c r="AD210" i="1"/>
  <c r="AD78" i="1"/>
  <c r="AD296" i="1"/>
  <c r="AD375" i="1"/>
  <c r="AD127" i="1"/>
  <c r="AD362" i="1"/>
  <c r="L12" i="19"/>
  <c r="P10" i="15"/>
  <c r="J12" i="6"/>
  <c r="AT68" i="6"/>
  <c r="AZ68" i="6" s="1"/>
  <c r="AT61" i="6"/>
  <c r="AZ61" i="6" s="1"/>
  <c r="AT75" i="6"/>
  <c r="AZ75" i="6" s="1"/>
  <c r="AT76" i="6"/>
  <c r="AZ76" i="6" s="1"/>
  <c r="AT55" i="6"/>
  <c r="AZ55" i="6" s="1"/>
  <c r="AT65" i="6"/>
  <c r="AZ65" i="6" s="1"/>
  <c r="AT51" i="6"/>
  <c r="AZ51" i="6" s="1"/>
  <c r="AT71" i="6"/>
  <c r="AZ71" i="6" s="1"/>
  <c r="AT95" i="6"/>
  <c r="AZ95" i="6" s="1"/>
  <c r="AT93" i="6"/>
  <c r="AZ93" i="6" s="1"/>
  <c r="AT92" i="6"/>
  <c r="AZ92" i="6" s="1"/>
  <c r="S380" i="6" s="1"/>
  <c r="S381" i="6" s="1"/>
  <c r="AT125" i="6"/>
  <c r="AZ125" i="6" s="1"/>
  <c r="AT88" i="6"/>
  <c r="AZ88" i="6" s="1"/>
  <c r="AT100" i="6"/>
  <c r="AZ100" i="6" s="1"/>
  <c r="AT99" i="6"/>
  <c r="AZ99" i="6" s="1"/>
  <c r="AT86" i="6"/>
  <c r="AZ86" i="6" s="1"/>
  <c r="AT80" i="6"/>
  <c r="AZ80" i="6" s="1"/>
  <c r="AT131" i="6"/>
  <c r="AZ131" i="6" s="1"/>
  <c r="AT96" i="6"/>
  <c r="AZ96" i="6" s="1"/>
  <c r="AT127" i="6"/>
  <c r="AZ127" i="6" s="1"/>
  <c r="AT111" i="6"/>
  <c r="AZ111" i="6" s="1"/>
  <c r="AT114" i="6"/>
  <c r="AZ114" i="6" s="1"/>
  <c r="AT54" i="6"/>
  <c r="AZ54" i="6" s="1"/>
  <c r="AT73" i="6"/>
  <c r="AZ73" i="6" s="1"/>
  <c r="AT72" i="6"/>
  <c r="AZ72" i="6" s="1"/>
  <c r="AZ230" i="6"/>
  <c r="AY233" i="6"/>
  <c r="AZ233" i="6" s="1"/>
  <c r="AY231" i="6"/>
  <c r="AZ231" i="6" s="1"/>
  <c r="AY226" i="6"/>
  <c r="AZ226" i="6" s="1"/>
  <c r="AY241" i="6"/>
  <c r="AZ241" i="6" s="1"/>
  <c r="AY221" i="6"/>
  <c r="AZ221" i="6" s="1"/>
  <c r="AY250" i="6"/>
  <c r="AY256" i="6"/>
  <c r="AY217" i="6"/>
  <c r="AZ217" i="6" s="1"/>
  <c r="AY232" i="6"/>
  <c r="AZ232" i="6" s="1"/>
  <c r="AC380" i="6" s="1"/>
  <c r="AC381" i="6" s="1"/>
  <c r="AY235" i="6"/>
  <c r="AZ235" i="6" s="1"/>
  <c r="AY204" i="6"/>
  <c r="AZ204" i="6" s="1"/>
  <c r="AA380" i="6" s="1"/>
  <c r="AA381" i="6" s="1"/>
  <c r="AY245" i="6"/>
  <c r="AZ245" i="6" s="1"/>
  <c r="AY220" i="6"/>
  <c r="AZ220" i="6" s="1"/>
  <c r="AY242" i="6"/>
  <c r="AZ242" i="6" s="1"/>
  <c r="AT270" i="6"/>
  <c r="AT268" i="6"/>
  <c r="AT290" i="6"/>
  <c r="AT295" i="6"/>
  <c r="AT247" i="6"/>
  <c r="AT299" i="6"/>
  <c r="AT266" i="6"/>
  <c r="AT277" i="6"/>
  <c r="AT265" i="6"/>
  <c r="AT293" i="6"/>
  <c r="AT262" i="6"/>
  <c r="AT246" i="6"/>
  <c r="AT288" i="6"/>
  <c r="AT276" i="6"/>
  <c r="AZ185" i="6"/>
  <c r="AZ190" i="6"/>
  <c r="Z380" i="6" s="1"/>
  <c r="Z381" i="6" s="1"/>
  <c r="AZ164" i="6"/>
  <c r="AZ171" i="6"/>
  <c r="AZ202" i="6"/>
  <c r="AZ157" i="6"/>
  <c r="AT89" i="6"/>
  <c r="AZ89" i="6" s="1"/>
  <c r="AT133" i="6"/>
  <c r="AZ133" i="6" s="1"/>
  <c r="AT118" i="6"/>
  <c r="AZ118" i="6" s="1"/>
  <c r="AT104" i="6"/>
  <c r="AZ104" i="6" s="1"/>
  <c r="AT107" i="6"/>
  <c r="AZ107" i="6" s="1"/>
  <c r="AT132" i="6"/>
  <c r="AZ132" i="6" s="1"/>
  <c r="AT78" i="6"/>
  <c r="AZ78" i="6" s="1"/>
  <c r="R380" i="6" s="1"/>
  <c r="R381" i="6" s="1"/>
  <c r="AT90" i="6"/>
  <c r="AZ90" i="6" s="1"/>
  <c r="AT102" i="6"/>
  <c r="AZ102" i="6" s="1"/>
  <c r="AT81" i="6"/>
  <c r="AZ81" i="6" s="1"/>
  <c r="AT105" i="6"/>
  <c r="AZ105" i="6" s="1"/>
  <c r="AT120" i="6"/>
  <c r="AZ120" i="6" s="1"/>
  <c r="U380" i="6" s="1"/>
  <c r="U381" i="6" s="1"/>
  <c r="AT124" i="6"/>
  <c r="AZ124" i="6" s="1"/>
  <c r="AT83" i="6"/>
  <c r="AZ83" i="6" s="1"/>
  <c r="AT58" i="6"/>
  <c r="AZ58" i="6" s="1"/>
  <c r="AT52" i="6"/>
  <c r="AZ52" i="6" s="1"/>
  <c r="AT69" i="6"/>
  <c r="AZ69" i="6" s="1"/>
  <c r="AT66" i="6"/>
  <c r="AZ66" i="6" s="1"/>
  <c r="AT283" i="6"/>
  <c r="AZ150" i="6"/>
  <c r="AZ165" i="6"/>
  <c r="AZ148" i="6"/>
  <c r="W380" i="6" s="1"/>
  <c r="W381" i="6" s="1"/>
  <c r="AZ201" i="6"/>
  <c r="AZ200" i="6"/>
  <c r="AZ192" i="6"/>
  <c r="AZ180" i="6"/>
  <c r="AZ187" i="6"/>
  <c r="AT372" i="6"/>
  <c r="AZ372" i="6" s="1"/>
  <c r="AM380" i="6" s="1"/>
  <c r="AM381" i="6" s="1"/>
  <c r="AT369" i="6"/>
  <c r="AT359" i="6"/>
  <c r="AT376" i="6"/>
  <c r="AZ376" i="6" s="1"/>
  <c r="AT380" i="6"/>
  <c r="AZ380" i="6" s="1"/>
  <c r="AT370" i="6"/>
  <c r="AT367" i="6"/>
  <c r="AT379" i="6"/>
  <c r="AZ379" i="6" s="1"/>
  <c r="AT371" i="6"/>
  <c r="AT378" i="6"/>
  <c r="AZ378" i="6" s="1"/>
  <c r="AT363" i="6"/>
  <c r="J13" i="6"/>
  <c r="AY298" i="6"/>
  <c r="AY275" i="6"/>
  <c r="AY305" i="6"/>
  <c r="AZ305" i="6" s="1"/>
  <c r="AY304" i="6"/>
  <c r="AZ304" i="6" s="1"/>
  <c r="AY312" i="6"/>
  <c r="AZ312" i="6" s="1"/>
  <c r="AY301" i="6"/>
  <c r="AY309" i="6"/>
  <c r="AZ309" i="6" s="1"/>
  <c r="AY302" i="6"/>
  <c r="AZ302" i="6" s="1"/>
  <c r="AH380" i="6" s="1"/>
  <c r="AH381" i="6" s="1"/>
  <c r="AY295" i="6"/>
  <c r="AY297" i="6"/>
  <c r="AY299" i="6"/>
  <c r="AY284" i="6"/>
  <c r="AY308" i="6"/>
  <c r="AZ308" i="6" s="1"/>
  <c r="AY311" i="6"/>
  <c r="AZ311" i="6" s="1"/>
  <c r="AY307" i="6"/>
  <c r="AZ307" i="6" s="1"/>
  <c r="AY267" i="6"/>
  <c r="AY280" i="6"/>
  <c r="AY315" i="6"/>
  <c r="AZ315" i="6" s="1"/>
  <c r="AY294" i="6"/>
  <c r="AY300" i="6"/>
  <c r="AY279" i="6"/>
  <c r="AY314" i="6"/>
  <c r="AZ314" i="6" s="1"/>
  <c r="AY262" i="6"/>
  <c r="AY271" i="6"/>
  <c r="AY268" i="6"/>
  <c r="AY274" i="6"/>
  <c r="AY264" i="6"/>
  <c r="AY282" i="6"/>
  <c r="AZ282" i="6" s="1"/>
  <c r="AZ228" i="6"/>
  <c r="AY327" i="6"/>
  <c r="AZ327" i="6" s="1"/>
  <c r="AY355" i="6"/>
  <c r="AZ355" i="6" s="1"/>
  <c r="AY317" i="6"/>
  <c r="AZ317" i="6" s="1"/>
  <c r="AY348" i="6"/>
  <c r="AZ348" i="6" s="1"/>
  <c r="AY335" i="6"/>
  <c r="AZ335" i="6" s="1"/>
  <c r="AY320" i="6"/>
  <c r="AZ320" i="6" s="1"/>
  <c r="AY369" i="6"/>
  <c r="AY357" i="6"/>
  <c r="AZ357" i="6" s="1"/>
  <c r="AY343" i="6"/>
  <c r="AY360" i="6"/>
  <c r="AY331" i="6"/>
  <c r="AY352" i="6"/>
  <c r="AZ352" i="6" s="1"/>
  <c r="AY344" i="6"/>
  <c r="AY350" i="6"/>
  <c r="AY338" i="6"/>
  <c r="AY336" i="6"/>
  <c r="AY325" i="6"/>
  <c r="AZ325" i="6" s="1"/>
  <c r="AY339" i="6"/>
  <c r="AZ339" i="6" s="1"/>
  <c r="AY321" i="6"/>
  <c r="AZ321" i="6" s="1"/>
  <c r="AY353" i="6"/>
  <c r="AY340" i="6"/>
  <c r="AY346" i="6"/>
  <c r="AY371" i="6"/>
  <c r="AY328" i="6"/>
  <c r="AZ328" i="6" s="1"/>
  <c r="AY316" i="6"/>
  <c r="AZ316" i="6" s="1"/>
  <c r="AI380" i="6" s="1"/>
  <c r="AI381" i="6" s="1"/>
  <c r="AY365" i="6"/>
  <c r="AY367" i="6"/>
  <c r="AY332" i="6"/>
  <c r="AZ332" i="6" s="1"/>
  <c r="AD209" i="1"/>
  <c r="AD233" i="1"/>
  <c r="AD216" i="1"/>
  <c r="AD125" i="1"/>
  <c r="AD264" i="1"/>
  <c r="AZ198" i="6"/>
  <c r="AZ195" i="6"/>
  <c r="AZ177" i="6"/>
  <c r="AZ167" i="6"/>
  <c r="AZ168" i="6"/>
  <c r="AZ189" i="6"/>
  <c r="AZ176" i="6"/>
  <c r="Y380" i="6" s="1"/>
  <c r="Y381" i="6" s="1"/>
  <c r="AZ163" i="6"/>
  <c r="AZ140" i="6"/>
  <c r="AZ141" i="6"/>
  <c r="AZ36" i="6"/>
  <c r="AZ186" i="6"/>
  <c r="AZ178" i="6"/>
  <c r="AZ188" i="6"/>
  <c r="AZ149" i="6"/>
  <c r="AZ156" i="6"/>
  <c r="AZ181" i="6"/>
  <c r="AZ170" i="6"/>
  <c r="AZ203" i="6"/>
  <c r="AZ179" i="6"/>
  <c r="AZ155" i="6"/>
  <c r="AZ166" i="6"/>
  <c r="AZ175" i="6"/>
  <c r="AZ154" i="6"/>
  <c r="AZ199" i="6"/>
  <c r="AT91" i="6"/>
  <c r="AZ91" i="6" s="1"/>
  <c r="AT98" i="6"/>
  <c r="AZ98" i="6" s="1"/>
  <c r="AT108" i="6"/>
  <c r="AZ108" i="6" s="1"/>
  <c r="AT94" i="6"/>
  <c r="AZ94" i="6" s="1"/>
  <c r="AT126" i="6"/>
  <c r="AZ126" i="6" s="1"/>
  <c r="AT119" i="6"/>
  <c r="AZ119" i="6" s="1"/>
  <c r="AT112" i="6"/>
  <c r="AZ112" i="6" s="1"/>
  <c r="AT129" i="6"/>
  <c r="AZ129" i="6" s="1"/>
  <c r="AT97" i="6"/>
  <c r="AZ97" i="6" s="1"/>
  <c r="AT103" i="6"/>
  <c r="AZ103" i="6" s="1"/>
  <c r="AT115" i="6"/>
  <c r="AZ115" i="6" s="1"/>
  <c r="AT106" i="6"/>
  <c r="AZ106" i="6" s="1"/>
  <c r="T380" i="6" s="1"/>
  <c r="T381" i="6" s="1"/>
  <c r="AT84" i="6"/>
  <c r="AZ84" i="6" s="1"/>
  <c r="AT85" i="6"/>
  <c r="AZ85" i="6" s="1"/>
  <c r="AT82" i="6"/>
  <c r="AZ82" i="6" s="1"/>
  <c r="AT121" i="6"/>
  <c r="AZ121" i="6" s="1"/>
  <c r="AT79" i="6"/>
  <c r="AZ79" i="6" s="1"/>
  <c r="AT130" i="6"/>
  <c r="AZ130" i="6" s="1"/>
  <c r="AT116" i="6"/>
  <c r="AZ116" i="6" s="1"/>
  <c r="AT101" i="6"/>
  <c r="AZ101" i="6" s="1"/>
  <c r="AT87" i="6"/>
  <c r="AZ87" i="6" s="1"/>
  <c r="AT123" i="6"/>
  <c r="AZ123" i="6" s="1"/>
  <c r="AT109" i="6"/>
  <c r="AZ109" i="6" s="1"/>
  <c r="AT110" i="6"/>
  <c r="AZ110" i="6" s="1"/>
  <c r="AT128" i="6"/>
  <c r="AZ128" i="6" s="1"/>
  <c r="AT122" i="6"/>
  <c r="AZ122" i="6" s="1"/>
  <c r="AT113" i="6"/>
  <c r="AZ113" i="6" s="1"/>
  <c r="AZ50" i="6"/>
  <c r="P380" i="6" s="1"/>
  <c r="P381" i="6" s="1"/>
  <c r="AT60" i="6"/>
  <c r="AZ60" i="6" s="1"/>
  <c r="AT57" i="6"/>
  <c r="AZ57" i="6" s="1"/>
  <c r="AT67" i="6"/>
  <c r="AZ67" i="6" s="1"/>
  <c r="AT56" i="6"/>
  <c r="AZ56" i="6" s="1"/>
  <c r="AT70" i="6"/>
  <c r="AZ70" i="6" s="1"/>
  <c r="AT366" i="6"/>
  <c r="AT377" i="6"/>
  <c r="AZ377" i="6" s="1"/>
  <c r="AT360" i="6"/>
  <c r="AT361" i="6"/>
  <c r="AT365" i="6"/>
  <c r="AT362" i="6"/>
  <c r="AT358" i="6"/>
  <c r="AT368" i="6"/>
  <c r="AT373" i="6"/>
  <c r="AZ373" i="6" s="1"/>
  <c r="AT374" i="6"/>
  <c r="AZ374" i="6" s="1"/>
  <c r="AT375" i="6"/>
  <c r="AZ375" i="6" s="1"/>
  <c r="AY288" i="6"/>
  <c r="AY291" i="6"/>
  <c r="AY313" i="6"/>
  <c r="AZ313" i="6" s="1"/>
  <c r="AY285" i="6"/>
  <c r="AY290" i="6"/>
  <c r="AY260" i="6"/>
  <c r="AY265" i="6"/>
  <c r="AY263" i="6"/>
  <c r="AY310" i="6"/>
  <c r="AZ310" i="6" s="1"/>
  <c r="AY272" i="6"/>
  <c r="AY270" i="6"/>
  <c r="AY281" i="6"/>
  <c r="AY277" i="6"/>
  <c r="AY306" i="6"/>
  <c r="AZ306" i="6" s="1"/>
  <c r="AY296" i="6"/>
  <c r="AY278" i="6"/>
  <c r="AY261" i="6"/>
  <c r="AY276" i="6"/>
  <c r="AY293" i="6"/>
  <c r="AY303" i="6"/>
  <c r="AZ303" i="6" s="1"/>
  <c r="AY266" i="6"/>
  <c r="AY292" i="6"/>
  <c r="AY289" i="6"/>
  <c r="AY287" i="6"/>
  <c r="AY283" i="6"/>
  <c r="AY273" i="6"/>
  <c r="AY269" i="6"/>
  <c r="AY258" i="6"/>
  <c r="AY207" i="6"/>
  <c r="AZ207" i="6" s="1"/>
  <c r="AY210" i="6"/>
  <c r="AZ210" i="6" s="1"/>
  <c r="AY247" i="6"/>
  <c r="AY222" i="6"/>
  <c r="AZ222" i="6" s="1"/>
  <c r="AY212" i="6"/>
  <c r="AZ212" i="6" s="1"/>
  <c r="AY227" i="6"/>
  <c r="AZ227" i="6" s="1"/>
  <c r="AY211" i="6"/>
  <c r="AZ211" i="6" s="1"/>
  <c r="AY215" i="6"/>
  <c r="AZ215" i="6" s="1"/>
  <c r="AY255" i="6"/>
  <c r="AY216" i="6"/>
  <c r="AZ216" i="6" s="1"/>
  <c r="AY248" i="6"/>
  <c r="AY223" i="6"/>
  <c r="AZ223" i="6" s="1"/>
  <c r="AY254" i="6"/>
  <c r="AY236" i="6"/>
  <c r="AZ236" i="6" s="1"/>
  <c r="AY237" i="6"/>
  <c r="AZ237" i="6" s="1"/>
  <c r="AY259" i="6"/>
  <c r="AY253" i="6"/>
  <c r="AY239" i="6"/>
  <c r="AZ239" i="6" s="1"/>
  <c r="AY249" i="6"/>
  <c r="AY257" i="6"/>
  <c r="AY205" i="6"/>
  <c r="AZ205" i="6" s="1"/>
  <c r="AY252" i="6"/>
  <c r="AY246" i="6"/>
  <c r="AY243" i="6"/>
  <c r="AZ243" i="6" s="1"/>
  <c r="AY224" i="6"/>
  <c r="AZ224" i="6" s="1"/>
  <c r="AY238" i="6"/>
  <c r="AZ238" i="6" s="1"/>
  <c r="AT263" i="6"/>
  <c r="AT294" i="6"/>
  <c r="AT300" i="6"/>
  <c r="AT250" i="6"/>
  <c r="AT287" i="6"/>
  <c r="AT273" i="6"/>
  <c r="AT269" i="6"/>
  <c r="AT281" i="6"/>
  <c r="AT248" i="6"/>
  <c r="AT286" i="6"/>
  <c r="AZ286" i="6" s="1"/>
  <c r="AT279" i="6"/>
  <c r="AT255" i="6"/>
  <c r="AT258" i="6"/>
  <c r="AT296" i="6"/>
  <c r="AT259" i="6"/>
  <c r="AT253" i="6"/>
  <c r="AT264" i="6"/>
  <c r="AT260" i="6"/>
  <c r="AT284" i="6"/>
  <c r="AT291" i="6"/>
  <c r="AT252" i="6"/>
  <c r="AT251" i="6"/>
  <c r="AT272" i="6"/>
  <c r="AT298" i="6"/>
  <c r="AT301" i="6"/>
  <c r="AT285" i="6"/>
  <c r="AT280" i="6"/>
  <c r="AY354" i="6"/>
  <c r="AY351" i="6"/>
  <c r="AZ351" i="6" s="1"/>
  <c r="AY337" i="6"/>
  <c r="AY368" i="6"/>
  <c r="AZ368" i="6" s="1"/>
  <c r="AY341" i="6"/>
  <c r="AZ341" i="6" s="1"/>
  <c r="AY319" i="6"/>
  <c r="AZ319" i="6" s="1"/>
  <c r="AY329" i="6"/>
  <c r="AZ329" i="6" s="1"/>
  <c r="AY326" i="6"/>
  <c r="AZ326" i="6" s="1"/>
  <c r="AY322" i="6"/>
  <c r="AZ322" i="6" s="1"/>
  <c r="AY333" i="6"/>
  <c r="AZ333" i="6" s="1"/>
  <c r="AY345" i="6"/>
  <c r="AZ345" i="6" s="1"/>
  <c r="AY358" i="6"/>
  <c r="AY364" i="6"/>
  <c r="AZ364" i="6" s="1"/>
  <c r="AY323" i="6"/>
  <c r="AZ323" i="6" s="1"/>
  <c r="AY342" i="6"/>
  <c r="AZ342" i="6" s="1"/>
  <c r="AY356" i="6"/>
  <c r="AY363" i="6"/>
  <c r="AY324" i="6"/>
  <c r="AZ324" i="6" s="1"/>
  <c r="AY359" i="6"/>
  <c r="AY318" i="6"/>
  <c r="AZ318" i="6" s="1"/>
  <c r="AY361" i="6"/>
  <c r="AY330" i="6"/>
  <c r="AY347" i="6"/>
  <c r="AY349" i="6"/>
  <c r="AY362" i="6"/>
  <c r="AY366" i="6"/>
  <c r="AY370" i="6"/>
  <c r="AD81" i="1"/>
  <c r="AD135" i="1"/>
  <c r="AD46" i="1"/>
  <c r="AD244" i="1"/>
  <c r="AD102" i="1"/>
  <c r="AD287" i="1"/>
  <c r="AD238" i="1"/>
  <c r="AD149" i="1"/>
  <c r="AD334" i="1"/>
  <c r="P70" i="27"/>
  <c r="AE69" i="27"/>
  <c r="J19" i="27"/>
  <c r="J18" i="27"/>
  <c r="J17" i="27"/>
  <c r="J16" i="27"/>
  <c r="J35" i="27"/>
  <c r="L35" i="27" s="1"/>
  <c r="J32" i="27"/>
  <c r="L32" i="27" s="1"/>
  <c r="I32" i="27" s="1"/>
  <c r="J23" i="27"/>
  <c r="L23" i="27" s="1"/>
  <c r="J22" i="27"/>
  <c r="L22" i="27" s="1"/>
  <c r="J28" i="27"/>
  <c r="L28" i="27" s="1"/>
  <c r="J27" i="27"/>
  <c r="L27" i="27" s="1"/>
  <c r="X20" i="15"/>
  <c r="AB20" i="15"/>
  <c r="A21" i="15"/>
  <c r="AJ20" i="15"/>
  <c r="L20" i="15"/>
  <c r="D20" i="15" s="1"/>
  <c r="AK20" i="15"/>
  <c r="K20" i="15"/>
  <c r="AC12" i="16"/>
  <c r="X17" i="16"/>
  <c r="A18" i="16"/>
  <c r="L17" i="16"/>
  <c r="D17" i="16" s="1"/>
  <c r="AJ17" i="16"/>
  <c r="AB17" i="16"/>
  <c r="K17" i="16"/>
  <c r="AK17" i="16"/>
  <c r="F8" i="16"/>
  <c r="P12" i="16"/>
  <c r="AK15" i="16"/>
  <c r="U11" i="7"/>
  <c r="Q11" i="17" s="1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D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D17" i="17" s="1"/>
  <c r="AB17" i="17"/>
  <c r="AK17" i="17"/>
  <c r="AJ17" i="17"/>
  <c r="O12" i="17"/>
  <c r="AC9" i="17"/>
  <c r="O11" i="17"/>
  <c r="AC12" i="17"/>
  <c r="AE381" i="1"/>
  <c r="X16" i="18"/>
  <c r="A17" i="18"/>
  <c r="AB16" i="18"/>
  <c r="K16" i="18"/>
  <c r="AJ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F7" i="18"/>
  <c r="Z13" i="7"/>
  <c r="AJ380" i="18"/>
  <c r="AC10" i="15"/>
  <c r="O10" i="15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D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D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D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O9" i="20"/>
  <c r="AZ344" i="6" l="1"/>
  <c r="AK380" i="6" s="1"/>
  <c r="AK381" i="6" s="1"/>
  <c r="AZ347" i="6"/>
  <c r="AZ354" i="6"/>
  <c r="AZ346" i="6"/>
  <c r="AZ353" i="6"/>
  <c r="L15" i="18"/>
  <c r="AZ337" i="6"/>
  <c r="AZ336" i="6"/>
  <c r="AZ350" i="6"/>
  <c r="AZ356" i="6"/>
  <c r="AZ340" i="6"/>
  <c r="AZ343" i="6"/>
  <c r="AZ349" i="6"/>
  <c r="AZ330" i="6"/>
  <c r="AJ380" i="6" s="1"/>
  <c r="AJ381" i="6" s="1"/>
  <c r="AZ338" i="6"/>
  <c r="AZ331" i="6"/>
  <c r="E8" i="18"/>
  <c r="K15" i="19" s="1"/>
  <c r="K39" i="19" s="1"/>
  <c r="J13" i="7"/>
  <c r="V13" i="7"/>
  <c r="W13" i="7"/>
  <c r="O11" i="16"/>
  <c r="K13" i="7"/>
  <c r="L16" i="18"/>
  <c r="O12" i="16"/>
  <c r="AZ271" i="6"/>
  <c r="AZ297" i="6"/>
  <c r="AZ275" i="6"/>
  <c r="AZ256" i="6"/>
  <c r="AZ249" i="6"/>
  <c r="AZ367" i="6"/>
  <c r="AZ371" i="6"/>
  <c r="AZ268" i="6"/>
  <c r="AZ299" i="6"/>
  <c r="AZ295" i="6"/>
  <c r="AZ246" i="6"/>
  <c r="AD380" i="6" s="1"/>
  <c r="AD381" i="6" s="1"/>
  <c r="AZ283" i="6"/>
  <c r="AZ293" i="6"/>
  <c r="AZ277" i="6"/>
  <c r="AZ359" i="6"/>
  <c r="AZ363" i="6"/>
  <c r="AZ276" i="6"/>
  <c r="AZ278" i="6"/>
  <c r="AZ251" i="6"/>
  <c r="AZ250" i="6"/>
  <c r="AZ366" i="6"/>
  <c r="AZ358" i="6"/>
  <c r="AL380" i="6" s="1"/>
  <c r="AL381" i="6" s="1"/>
  <c r="AZ254" i="6"/>
  <c r="AZ247" i="6"/>
  <c r="AZ289" i="6"/>
  <c r="AZ266" i="6"/>
  <c r="AZ261" i="6"/>
  <c r="AZ270" i="6"/>
  <c r="AZ265" i="6"/>
  <c r="AZ290" i="6"/>
  <c r="AZ288" i="6"/>
  <c r="AG380" i="6" s="1"/>
  <c r="AG381" i="6" s="1"/>
  <c r="AZ274" i="6"/>
  <c r="AF380" i="6" s="1"/>
  <c r="AF381" i="6" s="1"/>
  <c r="AZ267" i="6"/>
  <c r="AZ257" i="6"/>
  <c r="AZ292" i="6"/>
  <c r="AZ262" i="6"/>
  <c r="AC16" i="15"/>
  <c r="AC18" i="15"/>
  <c r="AC17" i="15"/>
  <c r="AC19" i="15"/>
  <c r="AC15" i="15"/>
  <c r="L11" i="20"/>
  <c r="AZ253" i="6"/>
  <c r="AZ255" i="6"/>
  <c r="AZ296" i="6"/>
  <c r="AT12" i="6"/>
  <c r="AZ365" i="6"/>
  <c r="AZ360" i="6"/>
  <c r="AZ248" i="6"/>
  <c r="AZ269" i="6"/>
  <c r="AY12" i="6"/>
  <c r="AZ300" i="6"/>
  <c r="AZ284" i="6"/>
  <c r="AZ301" i="6"/>
  <c r="AT13" i="6"/>
  <c r="AZ370" i="6"/>
  <c r="AZ362" i="6"/>
  <c r="AZ361" i="6"/>
  <c r="AZ252" i="6"/>
  <c r="AZ259" i="6"/>
  <c r="AZ258" i="6"/>
  <c r="AZ273" i="6"/>
  <c r="AZ287" i="6"/>
  <c r="AZ281" i="6"/>
  <c r="AZ272" i="6"/>
  <c r="AZ263" i="6"/>
  <c r="AZ260" i="6"/>
  <c r="AE380" i="6" s="1"/>
  <c r="AE381" i="6" s="1"/>
  <c r="AZ285" i="6"/>
  <c r="AZ291" i="6"/>
  <c r="AY13" i="6"/>
  <c r="O380" i="6"/>
  <c r="O381" i="6" s="1"/>
  <c r="AZ369" i="6"/>
  <c r="AZ264" i="6"/>
  <c r="AZ279" i="6"/>
  <c r="AZ294" i="6"/>
  <c r="AZ280" i="6"/>
  <c r="AZ298" i="6"/>
  <c r="G68" i="27"/>
  <c r="C68" i="27"/>
  <c r="I68" i="27"/>
  <c r="F68" i="27"/>
  <c r="E68" i="27"/>
  <c r="K68" i="27"/>
  <c r="M68" i="27"/>
  <c r="H68" i="27"/>
  <c r="J68" i="27"/>
  <c r="L68" i="27"/>
  <c r="D68" i="27"/>
  <c r="I28" i="27"/>
  <c r="M64" i="27"/>
  <c r="L64" i="27"/>
  <c r="F64" i="27"/>
  <c r="C64" i="27"/>
  <c r="K64" i="27"/>
  <c r="I64" i="27"/>
  <c r="E64" i="27"/>
  <c r="J64" i="27"/>
  <c r="G64" i="27"/>
  <c r="D64" i="27"/>
  <c r="H64" i="27"/>
  <c r="M71" i="27"/>
  <c r="J71" i="27"/>
  <c r="D71" i="27"/>
  <c r="F71" i="27"/>
  <c r="H71" i="27"/>
  <c r="C71" i="27"/>
  <c r="L71" i="27"/>
  <c r="K71" i="27"/>
  <c r="I71" i="27"/>
  <c r="E71" i="27"/>
  <c r="G71" i="27"/>
  <c r="P71" i="27"/>
  <c r="G34" i="27" s="1"/>
  <c r="AE70" i="27"/>
  <c r="L65" i="27"/>
  <c r="J65" i="27"/>
  <c r="H65" i="27"/>
  <c r="G65" i="27"/>
  <c r="D65" i="27"/>
  <c r="C65" i="27"/>
  <c r="I65" i="27"/>
  <c r="F65" i="27"/>
  <c r="K65" i="27"/>
  <c r="M65" i="27"/>
  <c r="E65" i="27"/>
  <c r="G59" i="27"/>
  <c r="K59" i="27"/>
  <c r="D59" i="27"/>
  <c r="I59" i="27"/>
  <c r="C59" i="27"/>
  <c r="I23" i="27"/>
  <c r="H59" i="27"/>
  <c r="M59" i="27"/>
  <c r="E59" i="27"/>
  <c r="F59" i="27"/>
  <c r="L59" i="27"/>
  <c r="J59" i="27"/>
  <c r="J70" i="27"/>
  <c r="E70" i="27"/>
  <c r="M70" i="27"/>
  <c r="H70" i="27"/>
  <c r="F70" i="27"/>
  <c r="G70" i="27"/>
  <c r="I70" i="27"/>
  <c r="L70" i="27"/>
  <c r="K70" i="27"/>
  <c r="D70" i="27"/>
  <c r="C70" i="27"/>
  <c r="I27" i="27"/>
  <c r="M63" i="27"/>
  <c r="J63" i="27"/>
  <c r="C63" i="27"/>
  <c r="I63" i="27"/>
  <c r="F63" i="27"/>
  <c r="D63" i="27"/>
  <c r="L63" i="27"/>
  <c r="E63" i="27"/>
  <c r="H63" i="27"/>
  <c r="G63" i="27"/>
  <c r="K63" i="27"/>
  <c r="I22" i="27"/>
  <c r="G58" i="27"/>
  <c r="J58" i="27"/>
  <c r="L58" i="27"/>
  <c r="K58" i="27"/>
  <c r="F58" i="27"/>
  <c r="D58" i="27"/>
  <c r="M58" i="27"/>
  <c r="E58" i="27"/>
  <c r="I58" i="27"/>
  <c r="C58" i="27"/>
  <c r="H58" i="27"/>
  <c r="E69" i="27"/>
  <c r="D69" i="27"/>
  <c r="I69" i="27"/>
  <c r="F69" i="27"/>
  <c r="C69" i="27"/>
  <c r="L69" i="27"/>
  <c r="J69" i="27"/>
  <c r="K69" i="27"/>
  <c r="H69" i="27"/>
  <c r="G69" i="27"/>
  <c r="M69" i="27"/>
  <c r="I17" i="1"/>
  <c r="L21" i="15"/>
  <c r="D21" i="15" s="1"/>
  <c r="X21" i="15"/>
  <c r="K21" i="15"/>
  <c r="AJ21" i="15"/>
  <c r="AK21" i="15"/>
  <c r="A22" i="15"/>
  <c r="AB21" i="15"/>
  <c r="AC21" i="15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AA11" i="7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AC17" i="16"/>
  <c r="AC16" i="16"/>
  <c r="AC15" i="16"/>
  <c r="AC18" i="16"/>
  <c r="AC12" i="18"/>
  <c r="O12" i="18"/>
  <c r="O11" i="18"/>
  <c r="AC9" i="18"/>
  <c r="K16" i="20"/>
  <c r="AB16" i="20"/>
  <c r="X16" i="20"/>
  <c r="A17" i="20"/>
  <c r="AJ16" i="20"/>
  <c r="O9" i="22"/>
  <c r="AJ15" i="22" s="1"/>
  <c r="K15" i="22"/>
  <c r="A16" i="22"/>
  <c r="X15" i="22"/>
  <c r="AB15" i="22"/>
  <c r="AB17" i="18"/>
  <c r="L17" i="18"/>
  <c r="A18" i="18"/>
  <c r="X17" i="18"/>
  <c r="K17" i="18"/>
  <c r="AJ17" i="18"/>
  <c r="AK17" i="18"/>
  <c r="AB18" i="17"/>
  <c r="A19" i="17"/>
  <c r="L18" i="17"/>
  <c r="X18" i="17"/>
  <c r="K18" i="17"/>
  <c r="AK18" i="17"/>
  <c r="AJ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F7" i="20"/>
  <c r="AF13" i="7"/>
  <c r="AJ380" i="20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O20" i="15"/>
  <c r="E20" i="15" s="1"/>
  <c r="O22" i="15"/>
  <c r="I13" i="7"/>
  <c r="O10" i="7" s="1"/>
  <c r="O16" i="15"/>
  <c r="E16" i="15" s="1"/>
  <c r="O18" i="15"/>
  <c r="E18" i="15" s="1"/>
  <c r="O21" i="15"/>
  <c r="O19" i="15"/>
  <c r="E19" i="15" s="1"/>
  <c r="O15" i="15"/>
  <c r="O17" i="15"/>
  <c r="E17" i="15" s="1"/>
  <c r="P12" i="18"/>
  <c r="F8" i="18"/>
  <c r="AK380" i="18"/>
  <c r="AK15" i="18"/>
  <c r="AJ15" i="20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E7" i="18" l="1"/>
  <c r="O10" i="18" s="1"/>
  <c r="AA13" i="7" s="1"/>
  <c r="AG10" i="7" s="1"/>
  <c r="E8" i="20" s="1"/>
  <c r="K16" i="19" s="1"/>
  <c r="AC13" i="7"/>
  <c r="P13" i="7"/>
  <c r="AB13" i="7"/>
  <c r="Q13" i="7"/>
  <c r="L16" i="20"/>
  <c r="E21" i="15"/>
  <c r="L11" i="22"/>
  <c r="AZ13" i="6"/>
  <c r="AZ12" i="6"/>
  <c r="AE71" i="27"/>
  <c r="P72" i="27"/>
  <c r="Q11" i="18"/>
  <c r="AG11" i="7"/>
  <c r="Q11" i="20" s="1"/>
  <c r="A23" i="15"/>
  <c r="L22" i="15"/>
  <c r="D22" i="15" s="1"/>
  <c r="E22" i="15" s="1"/>
  <c r="K22" i="15"/>
  <c r="AK22" i="15"/>
  <c r="X22" i="15"/>
  <c r="AJ22" i="15"/>
  <c r="AB22" i="15"/>
  <c r="AC22" i="15"/>
  <c r="AB19" i="16"/>
  <c r="AK19" i="16"/>
  <c r="K19" i="16"/>
  <c r="X19" i="16"/>
  <c r="AJ19" i="16"/>
  <c r="AC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D19" i="17" s="1"/>
  <c r="K19" i="17"/>
  <c r="A20" i="17"/>
  <c r="AK19" i="17"/>
  <c r="AJ19" i="17"/>
  <c r="AB16" i="22"/>
  <c r="A17" i="22"/>
  <c r="X16" i="22"/>
  <c r="K16" i="22"/>
  <c r="AJ16" i="22"/>
  <c r="P11" i="22"/>
  <c r="AL15" i="7"/>
  <c r="F7" i="22"/>
  <c r="AL13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O9" i="23"/>
  <c r="E15" i="15"/>
  <c r="E8" i="16"/>
  <c r="K13" i="19" s="1"/>
  <c r="K37" i="19" s="1"/>
  <c r="E7" i="16"/>
  <c r="R15" i="1"/>
  <c r="AC12" i="20"/>
  <c r="AC9" i="20"/>
  <c r="O12" i="20"/>
  <c r="O11" i="20"/>
  <c r="D18" i="17"/>
  <c r="X18" i="18"/>
  <c r="K18" i="18"/>
  <c r="L18" i="18"/>
  <c r="AB18" i="18"/>
  <c r="A19" i="18"/>
  <c r="AK18" i="18"/>
  <c r="AJ18" i="18"/>
  <c r="K17" i="20"/>
  <c r="AB17" i="20"/>
  <c r="L17" i="20"/>
  <c r="A18" i="20"/>
  <c r="X17" i="20"/>
  <c r="AJ17" i="20"/>
  <c r="AK17" i="20"/>
  <c r="S20" i="1"/>
  <c r="R20" i="1" s="1"/>
  <c r="P20" i="1" s="1"/>
  <c r="V20" i="1" s="1"/>
  <c r="K40" i="19" l="1"/>
  <c r="O18" i="18"/>
  <c r="O17" i="18"/>
  <c r="E7" i="20"/>
  <c r="O10" i="20" s="1"/>
  <c r="AG13" i="7" s="1"/>
  <c r="AM10" i="7" s="1"/>
  <c r="E8" i="22" s="1"/>
  <c r="K17" i="19" s="1"/>
  <c r="O15" i="18"/>
  <c r="O16" i="18"/>
  <c r="AI13" i="7"/>
  <c r="L11" i="23"/>
  <c r="P73" i="27"/>
  <c r="AE72" i="27"/>
  <c r="AH13" i="7"/>
  <c r="O16" i="20"/>
  <c r="AM11" i="7"/>
  <c r="O17" i="20"/>
  <c r="K20" i="16"/>
  <c r="A21" i="16"/>
  <c r="L20" i="16"/>
  <c r="D20" i="16" s="1"/>
  <c r="AJ20" i="16"/>
  <c r="X20" i="16"/>
  <c r="AB20" i="16"/>
  <c r="AK20" i="16"/>
  <c r="AC20" i="16"/>
  <c r="L23" i="15"/>
  <c r="D23" i="15" s="1"/>
  <c r="A24" i="15"/>
  <c r="AK23" i="15"/>
  <c r="AJ23" i="15"/>
  <c r="AB23" i="15"/>
  <c r="X23" i="15"/>
  <c r="K23" i="15"/>
  <c r="AC23" i="15"/>
  <c r="O23" i="15"/>
  <c r="E23" i="15" s="1"/>
  <c r="K19" i="18"/>
  <c r="L19" i="18"/>
  <c r="AB19" i="18"/>
  <c r="A20" i="18"/>
  <c r="X19" i="18"/>
  <c r="O19" i="18"/>
  <c r="AK19" i="18"/>
  <c r="AJ19" i="18"/>
  <c r="P15" i="1"/>
  <c r="O10" i="16"/>
  <c r="AC10" i="16"/>
  <c r="AC20" i="17" s="1"/>
  <c r="F7" i="23"/>
  <c r="AR13" i="7"/>
  <c r="AJ380" i="23"/>
  <c r="L12" i="23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O20" i="17"/>
  <c r="O9" i="24"/>
  <c r="AJ15" i="24" s="1"/>
  <c r="AJ15" i="23"/>
  <c r="K16" i="23"/>
  <c r="AB16" i="23"/>
  <c r="X16" i="23"/>
  <c r="A17" i="23"/>
  <c r="AJ16" i="23"/>
  <c r="A19" i="20"/>
  <c r="K18" i="20"/>
  <c r="AB18" i="20"/>
  <c r="X18" i="20"/>
  <c r="L18" i="20"/>
  <c r="AJ18" i="20"/>
  <c r="AK18" i="20"/>
  <c r="O18" i="20"/>
  <c r="AR15" i="7"/>
  <c r="P11" i="23"/>
  <c r="P10" i="20"/>
  <c r="L16" i="19"/>
  <c r="T21" i="1"/>
  <c r="AC9" i="22"/>
  <c r="AC12" i="22"/>
  <c r="O11" i="22"/>
  <c r="O12" i="22"/>
  <c r="L16" i="22"/>
  <c r="X17" i="22"/>
  <c r="L17" i="22"/>
  <c r="K17" i="22"/>
  <c r="AB17" i="22"/>
  <c r="A18" i="22"/>
  <c r="AJ17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K41" i="19" l="1"/>
  <c r="AC10" i="17"/>
  <c r="O15" i="20"/>
  <c r="E7" i="22"/>
  <c r="O10" i="22" s="1"/>
  <c r="AM13" i="7" s="1"/>
  <c r="AS10" i="7" s="1"/>
  <c r="AN13" i="7"/>
  <c r="AO13" i="7"/>
  <c r="P22" i="1"/>
  <c r="V22" i="1" s="1"/>
  <c r="L15" i="23"/>
  <c r="L11" i="24"/>
  <c r="P74" i="27"/>
  <c r="AE73" i="27"/>
  <c r="AC10" i="18"/>
  <c r="AC15" i="18" s="1"/>
  <c r="AC15" i="17"/>
  <c r="AC16" i="17"/>
  <c r="AC19" i="17"/>
  <c r="AC17" i="17"/>
  <c r="AC18" i="17"/>
  <c r="AB24" i="15"/>
  <c r="L24" i="15"/>
  <c r="D24" i="15" s="1"/>
  <c r="AK24" i="15"/>
  <c r="AJ24" i="15"/>
  <c r="X24" i="15"/>
  <c r="K24" i="15"/>
  <c r="A25" i="15"/>
  <c r="AC24" i="15"/>
  <c r="O24" i="15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J16" i="24"/>
  <c r="A19" i="22"/>
  <c r="X18" i="22"/>
  <c r="L18" i="22"/>
  <c r="K18" i="22"/>
  <c r="AB18" i="22"/>
  <c r="AJ18" i="22"/>
  <c r="AK18" i="22"/>
  <c r="P11" i="24"/>
  <c r="AK16" i="24" s="1"/>
  <c r="AX15" i="7"/>
  <c r="F7" i="24"/>
  <c r="AJ380" i="24"/>
  <c r="AX13" i="7"/>
  <c r="A22" i="17"/>
  <c r="K21" i="17"/>
  <c r="AB21" i="17"/>
  <c r="L21" i="17"/>
  <c r="D21" i="17" s="1"/>
  <c r="X21" i="17"/>
  <c r="AK21" i="17"/>
  <c r="AJ21" i="17"/>
  <c r="AC21" i="17"/>
  <c r="O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O12" i="23"/>
  <c r="AC9" i="23"/>
  <c r="O11" i="23"/>
  <c r="AC12" i="23"/>
  <c r="V15" i="1"/>
  <c r="AA15" i="1" s="1"/>
  <c r="AB20" i="18"/>
  <c r="X20" i="18"/>
  <c r="K20" i="18"/>
  <c r="A21" i="18"/>
  <c r="L20" i="18"/>
  <c r="AK20" i="18"/>
  <c r="AJ20" i="18"/>
  <c r="O20" i="18"/>
  <c r="AC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O19" i="20"/>
  <c r="AK16" i="23"/>
  <c r="A18" i="23"/>
  <c r="K17" i="23"/>
  <c r="L17" i="23"/>
  <c r="X17" i="23"/>
  <c r="AB17" i="23"/>
  <c r="AJ17" i="23"/>
  <c r="AK17" i="23"/>
  <c r="L16" i="23"/>
  <c r="D20" i="17"/>
  <c r="P10" i="22"/>
  <c r="L17" i="19"/>
  <c r="L12" i="24"/>
  <c r="O17" i="17"/>
  <c r="E17" i="17" s="1"/>
  <c r="O17" i="16"/>
  <c r="E17" i="16" s="1"/>
  <c r="O20" i="16"/>
  <c r="E20" i="16" s="1"/>
  <c r="O18" i="17"/>
  <c r="E18" i="17" s="1"/>
  <c r="O15" i="17"/>
  <c r="O13" i="7"/>
  <c r="O19" i="16"/>
  <c r="E19" i="16" s="1"/>
  <c r="O21" i="16"/>
  <c r="O19" i="17"/>
  <c r="E19" i="17" s="1"/>
  <c r="O16" i="17"/>
  <c r="E16" i="17" s="1"/>
  <c r="O18" i="16"/>
  <c r="E18" i="16" s="1"/>
  <c r="O15" i="16"/>
  <c r="O16" i="16"/>
  <c r="E16" i="16" s="1"/>
  <c r="O15" i="22" l="1"/>
  <c r="O18" i="22"/>
  <c r="O16" i="22"/>
  <c r="O17" i="22"/>
  <c r="E7" i="23"/>
  <c r="O10" i="23" s="1"/>
  <c r="AS13" i="7" s="1"/>
  <c r="E8" i="23"/>
  <c r="K18" i="19" s="1"/>
  <c r="K42" i="19" s="1"/>
  <c r="AY10" i="7"/>
  <c r="E8" i="24" s="1"/>
  <c r="K19" i="19" s="1"/>
  <c r="K43" i="19" s="1"/>
  <c r="AC19" i="18"/>
  <c r="AC18" i="18"/>
  <c r="AC17" i="18"/>
  <c r="AC16" i="18"/>
  <c r="AU13" i="7"/>
  <c r="L15" i="24"/>
  <c r="E21" i="16"/>
  <c r="E24" i="15"/>
  <c r="AY11" i="7"/>
  <c r="Q11" i="24" s="1"/>
  <c r="L11" i="25"/>
  <c r="P75" i="27"/>
  <c r="AE74" i="27"/>
  <c r="L16" i="24"/>
  <c r="AC10" i="20"/>
  <c r="AC15" i="20" s="1"/>
  <c r="R21" i="1"/>
  <c r="AT13" i="7"/>
  <c r="E21" i="17"/>
  <c r="A23" i="16"/>
  <c r="L22" i="16"/>
  <c r="D22" i="16" s="1"/>
  <c r="K22" i="16"/>
  <c r="AJ22" i="16"/>
  <c r="O22" i="16"/>
  <c r="AB22" i="16"/>
  <c r="X22" i="16"/>
  <c r="AK22" i="16"/>
  <c r="AC22" i="16"/>
  <c r="AJ25" i="15"/>
  <c r="A26" i="15"/>
  <c r="L25" i="15"/>
  <c r="D25" i="15" s="1"/>
  <c r="AB25" i="15"/>
  <c r="K25" i="15"/>
  <c r="X25" i="15"/>
  <c r="AK25" i="15"/>
  <c r="AC25" i="15"/>
  <c r="O25" i="15"/>
  <c r="E15" i="16"/>
  <c r="L12" i="25"/>
  <c r="AA20" i="1"/>
  <c r="Z20" i="1" s="1"/>
  <c r="Y20" i="1" s="1"/>
  <c r="I20" i="1"/>
  <c r="A19" i="23"/>
  <c r="AB18" i="23"/>
  <c r="X18" i="23"/>
  <c r="K18" i="23"/>
  <c r="L18" i="23"/>
  <c r="AJ18" i="23"/>
  <c r="AK18" i="23"/>
  <c r="A21" i="20"/>
  <c r="AB20" i="20"/>
  <c r="L20" i="20"/>
  <c r="X20" i="20"/>
  <c r="K20" i="20"/>
  <c r="AJ20" i="20"/>
  <c r="AK20" i="20"/>
  <c r="O20" i="20"/>
  <c r="P10" i="23"/>
  <c r="L18" i="19"/>
  <c r="O9" i="25"/>
  <c r="AJ16" i="25" s="1"/>
  <c r="X21" i="18"/>
  <c r="K21" i="18"/>
  <c r="L21" i="18"/>
  <c r="A22" i="18"/>
  <c r="AB21" i="18"/>
  <c r="AJ21" i="18"/>
  <c r="O21" i="18"/>
  <c r="AK21" i="18"/>
  <c r="AC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O22" i="17"/>
  <c r="O12" i="24"/>
  <c r="AC12" i="24"/>
  <c r="AC9" i="24"/>
  <c r="O11" i="24"/>
  <c r="E15" i="17"/>
  <c r="P11" i="25"/>
  <c r="AK16" i="25" s="1"/>
  <c r="BD15" i="7"/>
  <c r="K16" i="25"/>
  <c r="A17" i="25"/>
  <c r="AB16" i="25"/>
  <c r="X16" i="25"/>
  <c r="T23" i="1"/>
  <c r="E20" i="17"/>
  <c r="F8" i="24"/>
  <c r="P12" i="24"/>
  <c r="AK380" i="24"/>
  <c r="AK15" i="24"/>
  <c r="K19" i="22"/>
  <c r="L19" i="22"/>
  <c r="AB19" i="22"/>
  <c r="A20" i="22"/>
  <c r="X19" i="22"/>
  <c r="AJ19" i="22"/>
  <c r="AK19" i="22"/>
  <c r="O19" i="22"/>
  <c r="K17" i="24"/>
  <c r="X17" i="24"/>
  <c r="L17" i="24"/>
  <c r="A18" i="24"/>
  <c r="AB17" i="24"/>
  <c r="AJ17" i="24"/>
  <c r="AK17" i="24"/>
  <c r="O18" i="23" l="1"/>
  <c r="O16" i="23"/>
  <c r="O15" i="23"/>
  <c r="O17" i="23"/>
  <c r="AC19" i="20"/>
  <c r="AC16" i="20"/>
  <c r="AC20" i="20"/>
  <c r="AC18" i="20"/>
  <c r="AC17" i="20"/>
  <c r="BE11" i="7"/>
  <c r="Q11" i="25" s="1"/>
  <c r="E7" i="24"/>
  <c r="O10" i="24" s="1"/>
  <c r="AY13" i="7" s="1"/>
  <c r="BE10" i="7" s="1"/>
  <c r="E8" i="25" s="1"/>
  <c r="K20" i="19" s="1"/>
  <c r="K44" i="19" s="1"/>
  <c r="E25" i="15"/>
  <c r="BA13" i="7"/>
  <c r="E22" i="16"/>
  <c r="L16" i="25"/>
  <c r="L15" i="25"/>
  <c r="P76" i="27"/>
  <c r="AE75" i="27"/>
  <c r="AX57" i="27"/>
  <c r="AZ13" i="7"/>
  <c r="O16" i="24"/>
  <c r="P21" i="1"/>
  <c r="X26" i="15"/>
  <c r="AB26" i="15"/>
  <c r="L26" i="15"/>
  <c r="D26" i="15" s="1"/>
  <c r="AJ26" i="15"/>
  <c r="AC26" i="15"/>
  <c r="A27" i="15"/>
  <c r="K26" i="15"/>
  <c r="AK26" i="15"/>
  <c r="O26" i="15"/>
  <c r="E26" i="15" s="1"/>
  <c r="K23" i="16"/>
  <c r="X23" i="16"/>
  <c r="AK23" i="16"/>
  <c r="AC23" i="16"/>
  <c r="AB23" i="16"/>
  <c r="A24" i="16"/>
  <c r="L23" i="16"/>
  <c r="D23" i="16" s="1"/>
  <c r="AJ23" i="16"/>
  <c r="O23" i="16"/>
  <c r="AC17" i="22"/>
  <c r="AC19" i="22"/>
  <c r="AC16" i="22"/>
  <c r="AC15" i="22"/>
  <c r="AC10" i="22"/>
  <c r="AC18" i="22"/>
  <c r="I22" i="1"/>
  <c r="AA22" i="1"/>
  <c r="Z22" i="1" s="1"/>
  <c r="Y22" i="1" s="1"/>
  <c r="X18" i="24"/>
  <c r="A19" i="24"/>
  <c r="L18" i="24"/>
  <c r="K18" i="24"/>
  <c r="AB18" i="24"/>
  <c r="AJ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O19" i="23"/>
  <c r="AB20" i="22"/>
  <c r="L20" i="22"/>
  <c r="K20" i="22"/>
  <c r="X20" i="22"/>
  <c r="A21" i="22"/>
  <c r="AJ20" i="22"/>
  <c r="AK20" i="22"/>
  <c r="O20" i="22"/>
  <c r="AC20" i="22"/>
  <c r="P10" i="24"/>
  <c r="L19" i="19"/>
  <c r="K17" i="25"/>
  <c r="L17" i="25"/>
  <c r="A18" i="25"/>
  <c r="X17" i="25"/>
  <c r="AB17" i="25"/>
  <c r="AJ17" i="25"/>
  <c r="AK17" i="25"/>
  <c r="BK11" i="7"/>
  <c r="BL11" i="7"/>
  <c r="BJ15" i="7"/>
  <c r="AK380" i="25"/>
  <c r="F8" i="25"/>
  <c r="P12" i="25"/>
  <c r="AK15" i="25"/>
  <c r="D22" i="17"/>
  <c r="K23" i="17"/>
  <c r="A24" i="17"/>
  <c r="L23" i="17"/>
  <c r="D23" i="17" s="1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O22" i="18"/>
  <c r="AJ22" i="18"/>
  <c r="AK22" i="18"/>
  <c r="AC22" i="18"/>
  <c r="AJ380" i="25"/>
  <c r="F7" i="25"/>
  <c r="BD13" i="7"/>
  <c r="AJ15" i="25"/>
  <c r="X21" i="20"/>
  <c r="A22" i="20"/>
  <c r="AB21" i="20"/>
  <c r="L21" i="20"/>
  <c r="K21" i="20"/>
  <c r="AJ21" i="20"/>
  <c r="AK21" i="20"/>
  <c r="O21" i="20"/>
  <c r="AC21" i="20"/>
  <c r="E7" i="25" l="1"/>
  <c r="O18" i="24"/>
  <c r="O15" i="24"/>
  <c r="O17" i="24"/>
  <c r="P77" i="27"/>
  <c r="G40" i="27" s="1"/>
  <c r="H42" i="27"/>
  <c r="AE76" i="27"/>
  <c r="AN57" i="27"/>
  <c r="AN58" i="27" s="1"/>
  <c r="AN59" i="27" s="1"/>
  <c r="AN60" i="27" s="1"/>
  <c r="AN61" i="27" s="1"/>
  <c r="AN62" i="27" s="1"/>
  <c r="AN63" i="27" s="1"/>
  <c r="AN64" i="27" s="1"/>
  <c r="AN56" i="27"/>
  <c r="R23" i="1"/>
  <c r="AC18" i="23"/>
  <c r="AC16" i="23"/>
  <c r="AC19" i="23"/>
  <c r="AC17" i="23"/>
  <c r="AC10" i="23"/>
  <c r="AC15" i="23"/>
  <c r="A25" i="16"/>
  <c r="L24" i="16"/>
  <c r="D24" i="16" s="1"/>
  <c r="K24" i="16"/>
  <c r="AJ24" i="16"/>
  <c r="O24" i="16"/>
  <c r="AB24" i="16"/>
  <c r="AC24" i="16"/>
  <c r="X24" i="16"/>
  <c r="AK24" i="16"/>
  <c r="V21" i="1"/>
  <c r="O10" i="25"/>
  <c r="E23" i="16"/>
  <c r="AC27" i="15"/>
  <c r="K27" i="15"/>
  <c r="AB27" i="15"/>
  <c r="X27" i="15"/>
  <c r="AJ27" i="15"/>
  <c r="A28" i="15"/>
  <c r="L27" i="15"/>
  <c r="D27" i="15" s="1"/>
  <c r="AK27" i="15"/>
  <c r="O27" i="15"/>
  <c r="E27" i="15" s="1"/>
  <c r="X23" i="18"/>
  <c r="A24" i="18"/>
  <c r="L23" i="18"/>
  <c r="AB23" i="18"/>
  <c r="K23" i="18"/>
  <c r="AJ23" i="18"/>
  <c r="O23" i="18"/>
  <c r="AK23" i="18"/>
  <c r="AC23" i="18"/>
  <c r="E23" i="17"/>
  <c r="E22" i="17"/>
  <c r="P10" i="25"/>
  <c r="L20" i="19"/>
  <c r="K20" i="23"/>
  <c r="X20" i="23"/>
  <c r="L20" i="23"/>
  <c r="AB20" i="23"/>
  <c r="A21" i="23"/>
  <c r="AJ20" i="23"/>
  <c r="AK20" i="23"/>
  <c r="O20" i="23"/>
  <c r="AC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O22" i="20"/>
  <c r="AC22" i="20"/>
  <c r="O12" i="25"/>
  <c r="AC9" i="25"/>
  <c r="O11" i="25"/>
  <c r="AC12" i="25"/>
  <c r="X24" i="17"/>
  <c r="A25" i="17"/>
  <c r="L24" i="17"/>
  <c r="D24" i="17" s="1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O21" i="22"/>
  <c r="AC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O19" i="24"/>
  <c r="BF13" i="7" l="1"/>
  <c r="BG13" i="7"/>
  <c r="E24" i="16"/>
  <c r="O18" i="25"/>
  <c r="E24" i="17"/>
  <c r="P78" i="27"/>
  <c r="G41" i="27" s="1"/>
  <c r="H43" i="27"/>
  <c r="AE77" i="27"/>
  <c r="A29" i="15"/>
  <c r="X28" i="15"/>
  <c r="K28" i="15"/>
  <c r="AK28" i="15"/>
  <c r="L28" i="15"/>
  <c r="D28" i="15" s="1"/>
  <c r="AB28" i="15"/>
  <c r="AJ28" i="15"/>
  <c r="AC28" i="15"/>
  <c r="O28" i="15"/>
  <c r="BE13" i="7"/>
  <c r="O16" i="25"/>
  <c r="O17" i="25"/>
  <c r="O15" i="25"/>
  <c r="P23" i="1"/>
  <c r="X25" i="16"/>
  <c r="L25" i="16"/>
  <c r="D25" i="16" s="1"/>
  <c r="K25" i="16"/>
  <c r="AK25" i="16"/>
  <c r="O25" i="16"/>
  <c r="AB25" i="16"/>
  <c r="A26" i="16"/>
  <c r="AJ25" i="16"/>
  <c r="AC25" i="16"/>
  <c r="AC16" i="24"/>
  <c r="AC18" i="24"/>
  <c r="AC15" i="24"/>
  <c r="AC17" i="24"/>
  <c r="AC10" i="24"/>
  <c r="AC19" i="24"/>
  <c r="AA24" i="1"/>
  <c r="Z24" i="1" s="1"/>
  <c r="Y24" i="1" s="1"/>
  <c r="I24" i="1"/>
  <c r="A21" i="24"/>
  <c r="K20" i="24"/>
  <c r="L20" i="24"/>
  <c r="AB20" i="24"/>
  <c r="X20" i="24"/>
  <c r="AJ20" i="24"/>
  <c r="AK20" i="24"/>
  <c r="O20" i="24"/>
  <c r="AC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O19" i="25"/>
  <c r="BX11" i="7"/>
  <c r="BV15" i="7"/>
  <c r="BW11" i="7"/>
  <c r="A26" i="17"/>
  <c r="K25" i="17"/>
  <c r="AB25" i="17"/>
  <c r="X25" i="17"/>
  <c r="L25" i="17"/>
  <c r="D25" i="17" s="1"/>
  <c r="AJ25" i="17"/>
  <c r="AK25" i="17"/>
  <c r="AC25" i="17"/>
  <c r="O25" i="17"/>
  <c r="AC19" i="25"/>
  <c r="K22" i="22"/>
  <c r="L22" i="22"/>
  <c r="X22" i="22"/>
  <c r="AB22" i="22"/>
  <c r="A23" i="22"/>
  <c r="AJ22" i="22"/>
  <c r="AK22" i="22"/>
  <c r="O22" i="22"/>
  <c r="AC22" i="22"/>
  <c r="AB23" i="20"/>
  <c r="K23" i="20"/>
  <c r="X23" i="20"/>
  <c r="L23" i="20"/>
  <c r="A24" i="20"/>
  <c r="AJ23" i="20"/>
  <c r="AK23" i="20"/>
  <c r="O23" i="20"/>
  <c r="AC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O21" i="23"/>
  <c r="AC21" i="23"/>
  <c r="AB24" i="18"/>
  <c r="X24" i="18"/>
  <c r="K24" i="18"/>
  <c r="A25" i="18"/>
  <c r="L24" i="18"/>
  <c r="AJ24" i="18"/>
  <c r="O24" i="18"/>
  <c r="AK24" i="18"/>
  <c r="AC24" i="18"/>
  <c r="E25" i="17" l="1"/>
  <c r="AE79" i="27"/>
  <c r="P79" i="27"/>
  <c r="G42" i="27" s="1"/>
  <c r="AE78" i="27"/>
  <c r="AN65" i="27"/>
  <c r="AN66" i="27" s="1"/>
  <c r="AN67" i="27" s="1"/>
  <c r="E25" i="16"/>
  <c r="AC16" i="25"/>
  <c r="AC18" i="25"/>
  <c r="AC17" i="25"/>
  <c r="AC15" i="25"/>
  <c r="AC10" i="25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E28" i="15"/>
  <c r="A32" i="7"/>
  <c r="X29" i="15"/>
  <c r="A30" i="15"/>
  <c r="AJ29" i="15"/>
  <c r="AC29" i="15"/>
  <c r="K29" i="15"/>
  <c r="L29" i="15"/>
  <c r="AB29" i="15"/>
  <c r="AK29" i="15"/>
  <c r="O29" i="15"/>
  <c r="C32" i="7" s="1"/>
  <c r="I25" i="1"/>
  <c r="AA25" i="1"/>
  <c r="Z25" i="1" s="1"/>
  <c r="Y25" i="1" s="1"/>
  <c r="AB22" i="23"/>
  <c r="X22" i="23"/>
  <c r="L22" i="23"/>
  <c r="A23" i="23"/>
  <c r="K22" i="23"/>
  <c r="AJ22" i="23"/>
  <c r="AK22" i="23"/>
  <c r="O22" i="23"/>
  <c r="AC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O23" i="22"/>
  <c r="AC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O20" i="25"/>
  <c r="AC20" i="25"/>
  <c r="X25" i="18"/>
  <c r="L25" i="18"/>
  <c r="A26" i="18"/>
  <c r="K25" i="18"/>
  <c r="AB25" i="18"/>
  <c r="O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O24" i="20"/>
  <c r="AC24" i="20"/>
  <c r="A22" i="24"/>
  <c r="K21" i="24"/>
  <c r="X21" i="24"/>
  <c r="AB21" i="24"/>
  <c r="L21" i="24"/>
  <c r="AJ21" i="24"/>
  <c r="AK21" i="24"/>
  <c r="O21" i="24"/>
  <c r="AC21" i="24"/>
  <c r="AK68" i="27" l="1"/>
  <c r="AK66" i="27"/>
  <c r="AK60" i="27"/>
  <c r="AK70" i="27"/>
  <c r="AK75" i="27"/>
  <c r="AK61" i="27"/>
  <c r="AK59" i="27"/>
  <c r="AK57" i="27"/>
  <c r="AK63" i="27"/>
  <c r="AK74" i="27"/>
  <c r="AK78" i="27"/>
  <c r="AK73" i="27"/>
  <c r="AK72" i="27"/>
  <c r="AK58" i="27"/>
  <c r="AK62" i="27"/>
  <c r="AK69" i="27"/>
  <c r="AK71" i="27"/>
  <c r="AK77" i="27"/>
  <c r="AK64" i="27"/>
  <c r="AK67" i="27"/>
  <c r="AK65" i="27"/>
  <c r="AK56" i="27"/>
  <c r="AK76" i="27"/>
  <c r="AK79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Z21" i="1"/>
  <c r="E26" i="16"/>
  <c r="B32" i="7"/>
  <c r="D29" i="15"/>
  <c r="E29" i="15" s="1"/>
  <c r="X30" i="15"/>
  <c r="A31" i="15"/>
  <c r="K30" i="15"/>
  <c r="AK30" i="15"/>
  <c r="AC30" i="15"/>
  <c r="AB30" i="15"/>
  <c r="L30" i="15"/>
  <c r="D30" i="15" s="1"/>
  <c r="AJ30" i="15"/>
  <c r="O30" i="15"/>
  <c r="X27" i="16"/>
  <c r="L27" i="16"/>
  <c r="D27" i="16" s="1"/>
  <c r="AJ27" i="16"/>
  <c r="AC27" i="16"/>
  <c r="A28" i="16"/>
  <c r="AB27" i="16"/>
  <c r="K27" i="16"/>
  <c r="AK27" i="16"/>
  <c r="O27" i="16"/>
  <c r="AA27" i="1"/>
  <c r="Z27" i="1" s="1"/>
  <c r="Y27" i="1" s="1"/>
  <c r="L22" i="24"/>
  <c r="AB22" i="24"/>
  <c r="A23" i="24"/>
  <c r="X22" i="24"/>
  <c r="K22" i="24"/>
  <c r="AK22" i="24"/>
  <c r="AJ22" i="24"/>
  <c r="O22" i="24"/>
  <c r="AC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O24" i="22"/>
  <c r="AC24" i="22"/>
  <c r="X25" i="20"/>
  <c r="A26" i="20"/>
  <c r="K25" i="20"/>
  <c r="L25" i="20"/>
  <c r="AB25" i="20"/>
  <c r="AK25" i="20"/>
  <c r="AJ25" i="20"/>
  <c r="O25" i="20"/>
  <c r="AC25" i="20"/>
  <c r="S28" i="1"/>
  <c r="R28" i="1" s="1"/>
  <c r="X21" i="25"/>
  <c r="K21" i="25"/>
  <c r="AB21" i="25"/>
  <c r="A22" i="25"/>
  <c r="L21" i="25"/>
  <c r="AJ21" i="25"/>
  <c r="O21" i="25"/>
  <c r="AK21" i="25"/>
  <c r="AC21" i="25"/>
  <c r="D26" i="17"/>
  <c r="E26" i="17" s="1"/>
  <c r="I26" i="1"/>
  <c r="AA26" i="1"/>
  <c r="Z26" i="1" s="1"/>
  <c r="Y26" i="1" s="1"/>
  <c r="A24" i="23"/>
  <c r="K23" i="23"/>
  <c r="L23" i="23"/>
  <c r="X23" i="23"/>
  <c r="AB23" i="23"/>
  <c r="AJ23" i="23"/>
  <c r="AK23" i="23"/>
  <c r="O23" i="23"/>
  <c r="AC23" i="23"/>
  <c r="I27" i="1" l="1"/>
  <c r="AL76" i="27"/>
  <c r="AM76" i="27"/>
  <c r="AM65" i="27"/>
  <c r="AL65" i="27"/>
  <c r="AL64" i="27"/>
  <c r="AM64" i="27"/>
  <c r="AL71" i="27"/>
  <c r="AM71" i="27"/>
  <c r="AL62" i="27"/>
  <c r="AM62" i="27"/>
  <c r="AL72" i="27"/>
  <c r="AM72" i="27"/>
  <c r="AL78" i="27"/>
  <c r="AM78" i="27"/>
  <c r="AL63" i="27"/>
  <c r="AM63" i="27"/>
  <c r="AL59" i="27"/>
  <c r="AM59" i="27"/>
  <c r="AM75" i="27"/>
  <c r="AL75" i="27"/>
  <c r="AL60" i="27"/>
  <c r="AM60" i="27"/>
  <c r="AL68" i="27"/>
  <c r="AM68" i="27"/>
  <c r="AL79" i="27"/>
  <c r="AM79" i="27"/>
  <c r="AL56" i="27"/>
  <c r="AM56" i="27"/>
  <c r="AM67" i="27"/>
  <c r="AL67" i="27"/>
  <c r="AL77" i="27"/>
  <c r="AM77" i="27"/>
  <c r="AL69" i="27"/>
  <c r="AM69" i="27"/>
  <c r="AL58" i="27"/>
  <c r="AM58" i="27"/>
  <c r="AM73" i="27"/>
  <c r="AL73" i="27"/>
  <c r="AL74" i="27"/>
  <c r="AM74" i="27"/>
  <c r="AL57" i="27"/>
  <c r="AM57" i="27"/>
  <c r="AL61" i="27"/>
  <c r="AM61" i="27"/>
  <c r="AL70" i="27"/>
  <c r="AM70" i="27"/>
  <c r="AM66" i="27"/>
  <c r="AL66" i="27"/>
  <c r="E27" i="16"/>
  <c r="E30" i="15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L31" i="15"/>
  <c r="D31" i="15" s="1"/>
  <c r="K31" i="15"/>
  <c r="X31" i="15"/>
  <c r="AJ31" i="15"/>
  <c r="AC31" i="15"/>
  <c r="AB31" i="15"/>
  <c r="A32" i="15"/>
  <c r="AK31" i="15"/>
  <c r="O31" i="15"/>
  <c r="A25" i="23"/>
  <c r="K24" i="23"/>
  <c r="X24" i="23"/>
  <c r="L24" i="23"/>
  <c r="AB24" i="23"/>
  <c r="AK24" i="23"/>
  <c r="AJ24" i="23"/>
  <c r="O24" i="23"/>
  <c r="AC24" i="23"/>
  <c r="K22" i="25"/>
  <c r="AB22" i="25"/>
  <c r="X22" i="25"/>
  <c r="A23" i="25"/>
  <c r="L22" i="25"/>
  <c r="AJ22" i="25"/>
  <c r="AK22" i="25"/>
  <c r="O22" i="25"/>
  <c r="AC22" i="25"/>
  <c r="K26" i="20"/>
  <c r="AB26" i="20"/>
  <c r="X26" i="20"/>
  <c r="A27" i="20"/>
  <c r="L26" i="20"/>
  <c r="AK26" i="20"/>
  <c r="AJ26" i="20"/>
  <c r="O26" i="20"/>
  <c r="AC26" i="20"/>
  <c r="A26" i="22"/>
  <c r="L25" i="22"/>
  <c r="X25" i="22"/>
  <c r="AB25" i="22"/>
  <c r="K25" i="22"/>
  <c r="AK25" i="22"/>
  <c r="AJ25" i="22"/>
  <c r="O25" i="22"/>
  <c r="AC25" i="22"/>
  <c r="A29" i="17"/>
  <c r="L28" i="17"/>
  <c r="D28" i="17" s="1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O23" i="24"/>
  <c r="AC23" i="24"/>
  <c r="D27" i="17"/>
  <c r="E27" i="17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AJ66" i="27" l="1"/>
  <c r="T66" i="27" s="1"/>
  <c r="AJ73" i="27"/>
  <c r="Z73" i="27" s="1"/>
  <c r="AJ67" i="27"/>
  <c r="W67" i="27" s="1"/>
  <c r="AJ75" i="27"/>
  <c r="Y75" i="27" s="1"/>
  <c r="AJ65" i="27"/>
  <c r="R65" i="27" s="1"/>
  <c r="Z75" i="27"/>
  <c r="T65" i="27"/>
  <c r="AJ70" i="27"/>
  <c r="AJ61" i="27"/>
  <c r="AJ57" i="27"/>
  <c r="AJ74" i="27"/>
  <c r="AJ58" i="27"/>
  <c r="AJ69" i="27"/>
  <c r="AJ77" i="27"/>
  <c r="AJ56" i="27"/>
  <c r="AJ79" i="27"/>
  <c r="AJ68" i="27"/>
  <c r="AJ60" i="27"/>
  <c r="AJ59" i="27"/>
  <c r="AJ63" i="27"/>
  <c r="AJ78" i="27"/>
  <c r="AJ72" i="27"/>
  <c r="AJ62" i="27"/>
  <c r="AJ71" i="27"/>
  <c r="AJ64" i="27"/>
  <c r="AJ76" i="27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K32" i="15"/>
  <c r="X32" i="15"/>
  <c r="AB32" i="15"/>
  <c r="AJ32" i="15"/>
  <c r="O32" i="15"/>
  <c r="L32" i="15"/>
  <c r="D32" i="15" s="1"/>
  <c r="A33" i="15"/>
  <c r="AK32" i="15"/>
  <c r="AC32" i="15"/>
  <c r="E31" i="15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O25" i="23"/>
  <c r="AC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O24" i="24"/>
  <c r="AC24" i="24"/>
  <c r="E28" i="17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O26" i="22"/>
  <c r="AC26" i="22"/>
  <c r="X27" i="20"/>
  <c r="A28" i="20"/>
  <c r="K27" i="20"/>
  <c r="L27" i="20"/>
  <c r="AB27" i="20"/>
  <c r="AJ27" i="20"/>
  <c r="AK27" i="20"/>
  <c r="O27" i="20"/>
  <c r="AC27" i="20"/>
  <c r="A24" i="25"/>
  <c r="AB23" i="25"/>
  <c r="L23" i="25"/>
  <c r="X23" i="25"/>
  <c r="K23" i="25"/>
  <c r="AJ23" i="25"/>
  <c r="O23" i="25"/>
  <c r="AK23" i="25"/>
  <c r="AC23" i="25"/>
  <c r="E32" i="15" l="1"/>
  <c r="W65" i="27"/>
  <c r="Y65" i="27"/>
  <c r="Y67" i="27"/>
  <c r="S67" i="27"/>
  <c r="AA67" i="27"/>
  <c r="U65" i="27"/>
  <c r="Z65" i="27"/>
  <c r="Z67" i="27"/>
  <c r="V67" i="27"/>
  <c r="Y66" i="27"/>
  <c r="S66" i="27"/>
  <c r="T75" i="27"/>
  <c r="V73" i="27"/>
  <c r="Q67" i="27"/>
  <c r="T67" i="27"/>
  <c r="Q65" i="27"/>
  <c r="S65" i="27"/>
  <c r="X65" i="27"/>
  <c r="R67" i="27"/>
  <c r="U67" i="27"/>
  <c r="X67" i="27"/>
  <c r="AA66" i="27"/>
  <c r="Q66" i="27"/>
  <c r="X66" i="27"/>
  <c r="Z66" i="27"/>
  <c r="U66" i="27"/>
  <c r="W66" i="27"/>
  <c r="X75" i="27"/>
  <c r="S73" i="27"/>
  <c r="U73" i="27"/>
  <c r="Q73" i="27"/>
  <c r="U75" i="27"/>
  <c r="W75" i="27"/>
  <c r="Q75" i="27"/>
  <c r="AA75" i="27"/>
  <c r="W73" i="27"/>
  <c r="T73" i="27"/>
  <c r="Y73" i="27"/>
  <c r="AA73" i="27"/>
  <c r="R75" i="27"/>
  <c r="V75" i="27"/>
  <c r="S75" i="27"/>
  <c r="X73" i="27"/>
  <c r="R73" i="27"/>
  <c r="AA65" i="27"/>
  <c r="V65" i="27"/>
  <c r="V66" i="27"/>
  <c r="R66" i="27"/>
  <c r="R64" i="27"/>
  <c r="U64" i="27"/>
  <c r="X64" i="27"/>
  <c r="AA64" i="27"/>
  <c r="Z64" i="27"/>
  <c r="V64" i="27"/>
  <c r="T64" i="27"/>
  <c r="S64" i="27"/>
  <c r="Y64" i="27"/>
  <c r="W64" i="27"/>
  <c r="Q64" i="27"/>
  <c r="Y62" i="27"/>
  <c r="AA62" i="27"/>
  <c r="T62" i="27"/>
  <c r="W62" i="27"/>
  <c r="Q62" i="27"/>
  <c r="X62" i="27"/>
  <c r="R62" i="27"/>
  <c r="V62" i="27"/>
  <c r="U62" i="27"/>
  <c r="S62" i="27"/>
  <c r="Z62" i="27"/>
  <c r="U78" i="27"/>
  <c r="Z78" i="27"/>
  <c r="X78" i="27"/>
  <c r="Q78" i="27"/>
  <c r="R78" i="27"/>
  <c r="Y78" i="27"/>
  <c r="W78" i="27"/>
  <c r="AA78" i="27"/>
  <c r="S78" i="27"/>
  <c r="T78" i="27"/>
  <c r="V78" i="27"/>
  <c r="X59" i="27"/>
  <c r="R59" i="27"/>
  <c r="V59" i="27"/>
  <c r="AA59" i="27"/>
  <c r="Z59" i="27"/>
  <c r="Q59" i="27"/>
  <c r="T59" i="27"/>
  <c r="U59" i="27"/>
  <c r="W59" i="27"/>
  <c r="Y59" i="27"/>
  <c r="S59" i="27"/>
  <c r="V68" i="27"/>
  <c r="R68" i="27"/>
  <c r="W68" i="27"/>
  <c r="X68" i="27"/>
  <c r="Z68" i="27"/>
  <c r="Q68" i="27"/>
  <c r="T68" i="27"/>
  <c r="S68" i="27"/>
  <c r="Y68" i="27"/>
  <c r="U68" i="27"/>
  <c r="AA68" i="27"/>
  <c r="AA56" i="27"/>
  <c r="X56" i="27"/>
  <c r="Z56" i="27"/>
  <c r="S56" i="27"/>
  <c r="U56" i="27"/>
  <c r="R56" i="27"/>
  <c r="Q56" i="27"/>
  <c r="T56" i="27"/>
  <c r="W56" i="27"/>
  <c r="Y56" i="27"/>
  <c r="V56" i="27"/>
  <c r="X69" i="27"/>
  <c r="Z69" i="27"/>
  <c r="W69" i="27"/>
  <c r="R69" i="27"/>
  <c r="S69" i="27"/>
  <c r="Y69" i="27"/>
  <c r="Q69" i="27"/>
  <c r="AA69" i="27"/>
  <c r="T69" i="27"/>
  <c r="U69" i="27"/>
  <c r="V69" i="27"/>
  <c r="R74" i="27"/>
  <c r="S74" i="27"/>
  <c r="AA74" i="27"/>
  <c r="X74" i="27"/>
  <c r="Z74" i="27"/>
  <c r="T74" i="27"/>
  <c r="U74" i="27"/>
  <c r="V74" i="27"/>
  <c r="Q74" i="27"/>
  <c r="Y74" i="27"/>
  <c r="W74" i="27"/>
  <c r="Q61" i="27"/>
  <c r="U61" i="27"/>
  <c r="V61" i="27"/>
  <c r="T61" i="27"/>
  <c r="Z61" i="27"/>
  <c r="W61" i="27"/>
  <c r="X61" i="27"/>
  <c r="R61" i="27"/>
  <c r="AA61" i="27"/>
  <c r="AB61" i="27" s="1"/>
  <c r="AC61" i="27" s="1"/>
  <c r="S61" i="27"/>
  <c r="Y61" i="27"/>
  <c r="Q76" i="27"/>
  <c r="Z76" i="27"/>
  <c r="S76" i="27"/>
  <c r="T76" i="27"/>
  <c r="R76" i="27"/>
  <c r="Y76" i="27"/>
  <c r="X76" i="27"/>
  <c r="AA76" i="27"/>
  <c r="W76" i="27"/>
  <c r="V76" i="27"/>
  <c r="U76" i="27"/>
  <c r="X71" i="27"/>
  <c r="Q71" i="27"/>
  <c r="Y71" i="27"/>
  <c r="Z71" i="27"/>
  <c r="W71" i="27"/>
  <c r="V71" i="27"/>
  <c r="U71" i="27"/>
  <c r="AA71" i="27"/>
  <c r="S71" i="27"/>
  <c r="T71" i="27"/>
  <c r="R71" i="27"/>
  <c r="U72" i="27"/>
  <c r="W72" i="27"/>
  <c r="Z72" i="27"/>
  <c r="R72" i="27"/>
  <c r="S72" i="27"/>
  <c r="AA72" i="27"/>
  <c r="AB72" i="27" s="1"/>
  <c r="AC72" i="27" s="1"/>
  <c r="AD72" i="27" s="1"/>
  <c r="T72" i="27"/>
  <c r="Q72" i="27"/>
  <c r="X72" i="27"/>
  <c r="V72" i="27"/>
  <c r="Y72" i="27"/>
  <c r="Y63" i="27"/>
  <c r="W63" i="27"/>
  <c r="V63" i="27"/>
  <c r="Q63" i="27"/>
  <c r="X63" i="27"/>
  <c r="T63" i="27"/>
  <c r="AA63" i="27"/>
  <c r="U63" i="27"/>
  <c r="S63" i="27"/>
  <c r="Z63" i="27"/>
  <c r="R63" i="27"/>
  <c r="Z60" i="27"/>
  <c r="U60" i="27"/>
  <c r="T60" i="27"/>
  <c r="S60" i="27"/>
  <c r="Q60" i="27"/>
  <c r="W60" i="27"/>
  <c r="Y60" i="27"/>
  <c r="AA60" i="27"/>
  <c r="AB60" i="27" s="1"/>
  <c r="AC60" i="27" s="1"/>
  <c r="V60" i="27"/>
  <c r="R60" i="27"/>
  <c r="X60" i="27"/>
  <c r="U79" i="27"/>
  <c r="X79" i="27"/>
  <c r="Z79" i="27"/>
  <c r="T79" i="27"/>
  <c r="Q79" i="27"/>
  <c r="Y79" i="27"/>
  <c r="S79" i="27"/>
  <c r="W79" i="27"/>
  <c r="R79" i="27"/>
  <c r="AA79" i="27"/>
  <c r="AB79" i="27" s="1"/>
  <c r="AC79" i="27" s="1"/>
  <c r="AD79" i="27" s="1"/>
  <c r="V79" i="27"/>
  <c r="Z77" i="27"/>
  <c r="Y77" i="27"/>
  <c r="R77" i="27"/>
  <c r="U77" i="27"/>
  <c r="X77" i="27"/>
  <c r="V77" i="27"/>
  <c r="Q77" i="27"/>
  <c r="AA77" i="27"/>
  <c r="W77" i="27"/>
  <c r="T77" i="27"/>
  <c r="S77" i="27"/>
  <c r="W58" i="27"/>
  <c r="Z58" i="27"/>
  <c r="X58" i="27"/>
  <c r="AA58" i="27"/>
  <c r="U58" i="27"/>
  <c r="S58" i="27"/>
  <c r="T58" i="27"/>
  <c r="V58" i="27"/>
  <c r="R58" i="27"/>
  <c r="Q58" i="27"/>
  <c r="Y58" i="27"/>
  <c r="X57" i="27"/>
  <c r="Z57" i="27"/>
  <c r="S57" i="27"/>
  <c r="AA57" i="27"/>
  <c r="Q57" i="27"/>
  <c r="V57" i="27"/>
  <c r="T57" i="27"/>
  <c r="U57" i="27"/>
  <c r="Y57" i="27"/>
  <c r="R57" i="27"/>
  <c r="W57" i="27"/>
  <c r="U70" i="27"/>
  <c r="R70" i="27"/>
  <c r="T70" i="27"/>
  <c r="X70" i="27"/>
  <c r="Y70" i="27"/>
  <c r="AA70" i="27"/>
  <c r="AB70" i="27" s="1"/>
  <c r="AC70" i="27" s="1"/>
  <c r="W70" i="27"/>
  <c r="Z70" i="27"/>
  <c r="Q70" i="27"/>
  <c r="S70" i="27"/>
  <c r="V70" i="27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L33" i="15"/>
  <c r="D33" i="15" s="1"/>
  <c r="K33" i="15"/>
  <c r="X33" i="15"/>
  <c r="AJ33" i="15"/>
  <c r="AC33" i="15"/>
  <c r="AB33" i="15"/>
  <c r="A34" i="15"/>
  <c r="AK33" i="15"/>
  <c r="O33" i="15"/>
  <c r="E33" i="15" s="1"/>
  <c r="D29" i="16"/>
  <c r="E29" i="16" s="1"/>
  <c r="B44" i="7"/>
  <c r="X27" i="22"/>
  <c r="L27" i="22"/>
  <c r="A28" i="22"/>
  <c r="AB27" i="22"/>
  <c r="K27" i="22"/>
  <c r="AJ27" i="22"/>
  <c r="AK27" i="22"/>
  <c r="O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O26" i="23"/>
  <c r="AC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O24" i="25"/>
  <c r="AC24" i="25"/>
  <c r="A29" i="20"/>
  <c r="AB28" i="20"/>
  <c r="L28" i="20"/>
  <c r="X28" i="20"/>
  <c r="K28" i="20"/>
  <c r="AJ28" i="20"/>
  <c r="AK28" i="20"/>
  <c r="O28" i="20"/>
  <c r="AC28" i="20"/>
  <c r="D29" i="17"/>
  <c r="E29" i="17" s="1"/>
  <c r="B56" i="7"/>
  <c r="K25" i="24"/>
  <c r="A26" i="24"/>
  <c r="X25" i="24"/>
  <c r="AB25" i="24"/>
  <c r="L25" i="24"/>
  <c r="AJ25" i="24"/>
  <c r="AK25" i="24"/>
  <c r="O25" i="24"/>
  <c r="AC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30" i="16" l="1"/>
  <c r="AB66" i="27"/>
  <c r="AC66" i="27" s="1"/>
  <c r="AF66" i="27" s="1"/>
  <c r="P66" i="27" s="1"/>
  <c r="G29" i="27" s="1"/>
  <c r="AB65" i="27"/>
  <c r="AC65" i="27" s="1"/>
  <c r="AB77" i="27"/>
  <c r="AC77" i="27" s="1"/>
  <c r="AD77" i="27" s="1"/>
  <c r="AB57" i="27"/>
  <c r="AC57" i="27" s="1"/>
  <c r="AD57" i="27" s="1"/>
  <c r="AB63" i="27"/>
  <c r="AC63" i="27" s="1"/>
  <c r="AF61" i="27"/>
  <c r="P61" i="27" s="1"/>
  <c r="G25" i="27" s="1"/>
  <c r="AD61" i="27" s="1"/>
  <c r="AB64" i="27"/>
  <c r="AC64" i="27" s="1"/>
  <c r="AB75" i="27"/>
  <c r="AC75" i="27" s="1"/>
  <c r="AD75" i="27" s="1"/>
  <c r="AB76" i="27"/>
  <c r="AC76" i="27" s="1"/>
  <c r="AD76" i="27" s="1"/>
  <c r="AB67" i="27"/>
  <c r="AC67" i="27" s="1"/>
  <c r="AF68" i="27" s="1"/>
  <c r="P68" i="27" s="1"/>
  <c r="AB68" i="27"/>
  <c r="AC68" i="27" s="1"/>
  <c r="AB59" i="27"/>
  <c r="AC59" i="27" s="1"/>
  <c r="AF59" i="27" s="1"/>
  <c r="P59" i="27" s="1"/>
  <c r="G22" i="27" s="1"/>
  <c r="AB62" i="27"/>
  <c r="AC62" i="27" s="1"/>
  <c r="AF63" i="27" s="1"/>
  <c r="P63" i="27" s="1"/>
  <c r="AB58" i="27"/>
  <c r="AC58" i="27" s="1"/>
  <c r="AB71" i="27"/>
  <c r="AC71" i="27" s="1"/>
  <c r="AD71" i="27" s="1"/>
  <c r="AB74" i="27"/>
  <c r="AC74" i="27" s="1"/>
  <c r="AD74" i="27" s="1"/>
  <c r="AB73" i="27"/>
  <c r="AC73" i="27" s="1"/>
  <c r="AD73" i="27" s="1"/>
  <c r="AB69" i="27"/>
  <c r="AC69" i="27" s="1"/>
  <c r="AB56" i="27"/>
  <c r="AC56" i="27" s="1"/>
  <c r="AD56" i="27" s="1"/>
  <c r="AB78" i="27"/>
  <c r="AC78" i="27" s="1"/>
  <c r="AD78" i="27" s="1"/>
  <c r="AB34" i="15"/>
  <c r="X34" i="15"/>
  <c r="AK34" i="15"/>
  <c r="O34" i="15"/>
  <c r="L34" i="15"/>
  <c r="D34" i="15" s="1"/>
  <c r="A35" i="15"/>
  <c r="K34" i="15"/>
  <c r="AJ34" i="15"/>
  <c r="AC34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O26" i="24"/>
  <c r="AC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O27" i="23"/>
  <c r="AC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O25" i="25"/>
  <c r="AK25" i="25"/>
  <c r="AC25" i="25"/>
  <c r="B68" i="7"/>
  <c r="D30" i="17"/>
  <c r="E30" i="17" s="1"/>
  <c r="X28" i="22"/>
  <c r="AB28" i="22"/>
  <c r="A29" i="22"/>
  <c r="K28" i="22"/>
  <c r="L28" i="22"/>
  <c r="AJ28" i="22"/>
  <c r="AK28" i="22"/>
  <c r="O28" i="22"/>
  <c r="AC28" i="22"/>
  <c r="AF60" i="27" l="1"/>
  <c r="P60" i="27" s="1"/>
  <c r="AF64" i="27"/>
  <c r="P64" i="27" s="1"/>
  <c r="AD65" i="27" s="1"/>
  <c r="AF67" i="27"/>
  <c r="P67" i="27" s="1"/>
  <c r="G30" i="27" s="1"/>
  <c r="AF69" i="27"/>
  <c r="P69" i="27" s="1"/>
  <c r="G23" i="27"/>
  <c r="AD59" i="27" s="1"/>
  <c r="AD58" i="27"/>
  <c r="G24" i="27"/>
  <c r="AD60" i="27" s="1"/>
  <c r="G26" i="27"/>
  <c r="AD62" i="27" s="1"/>
  <c r="E34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K35" i="15"/>
  <c r="L35" i="15"/>
  <c r="D35" i="15" s="1"/>
  <c r="AK35" i="15"/>
  <c r="O35" i="15"/>
  <c r="A36" i="15"/>
  <c r="X35" i="15"/>
  <c r="AB35" i="15"/>
  <c r="AJ35" i="15"/>
  <c r="AC35" i="15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O26" i="25"/>
  <c r="AK26" i="25"/>
  <c r="AC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O28" i="23"/>
  <c r="AC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D31" i="17"/>
  <c r="E31" i="17" s="1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4"/>
  <c r="AC27" i="24"/>
  <c r="G32" i="27" l="1"/>
  <c r="G33" i="27"/>
  <c r="G31" i="27"/>
  <c r="AD67" i="27" s="1"/>
  <c r="AD70" i="27"/>
  <c r="G28" i="27"/>
  <c r="AD64" i="27" s="1"/>
  <c r="G27" i="27"/>
  <c r="AD63" i="27" s="1"/>
  <c r="A82" i="27" a="1"/>
  <c r="J85" i="27" s="1"/>
  <c r="AD66" i="27"/>
  <c r="I32" i="1"/>
  <c r="E35" i="15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37" i="15"/>
  <c r="AB36" i="15"/>
  <c r="AK36" i="15"/>
  <c r="O36" i="15"/>
  <c r="K36" i="15"/>
  <c r="L36" i="15"/>
  <c r="D36" i="15" s="1"/>
  <c r="E36" i="15" s="1"/>
  <c r="X36" i="15"/>
  <c r="AJ36" i="15"/>
  <c r="AC36" i="15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O29" i="23"/>
  <c r="AG44" i="7" s="1"/>
  <c r="AC29" i="23"/>
  <c r="A34" i="17"/>
  <c r="K33" i="17"/>
  <c r="X33" i="17"/>
  <c r="L33" i="17"/>
  <c r="D33" i="17" s="1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O27" i="25"/>
  <c r="AC27" i="25"/>
  <c r="L28" i="24"/>
  <c r="A29" i="24"/>
  <c r="X28" i="24"/>
  <c r="AB28" i="24"/>
  <c r="K28" i="24"/>
  <c r="AK28" i="24"/>
  <c r="AJ28" i="24"/>
  <c r="O28" i="24"/>
  <c r="AC28" i="24"/>
  <c r="P34" i="1"/>
  <c r="V34" i="1" s="1"/>
  <c r="D32" i="17"/>
  <c r="E32" i="17" s="1"/>
  <c r="AF32" i="7"/>
  <c r="X30" i="22"/>
  <c r="L30" i="22"/>
  <c r="A31" i="22"/>
  <c r="K30" i="22"/>
  <c r="AB30" i="22"/>
  <c r="AK30" i="22"/>
  <c r="AJ30" i="22"/>
  <c r="O30" i="22"/>
  <c r="AC30" i="22"/>
  <c r="E33" i="17" l="1"/>
  <c r="AD68" i="27"/>
  <c r="AD69" i="27"/>
  <c r="S92" i="27"/>
  <c r="Y88" i="27"/>
  <c r="Z90" i="27"/>
  <c r="N92" i="27"/>
  <c r="V91" i="27"/>
  <c r="X94" i="27"/>
  <c r="O84" i="27"/>
  <c r="B86" i="27"/>
  <c r="Q82" i="27"/>
  <c r="C84" i="27"/>
  <c r="A86" i="27"/>
  <c r="G83" i="27"/>
  <c r="V88" i="27"/>
  <c r="A91" i="27"/>
  <c r="U87" i="27"/>
  <c r="J89" i="27"/>
  <c r="J90" i="27"/>
  <c r="U85" i="27"/>
  <c r="W89" i="27"/>
  <c r="J93" i="27"/>
  <c r="M82" i="27"/>
  <c r="N84" i="27"/>
  <c r="N94" i="27"/>
  <c r="Z82" i="27"/>
  <c r="S88" i="27"/>
  <c r="Z87" i="27"/>
  <c r="A94" i="27"/>
  <c r="M84" i="27"/>
  <c r="R84" i="27"/>
  <c r="F85" i="27"/>
  <c r="E92" i="27"/>
  <c r="D94" i="27"/>
  <c r="U83" i="27"/>
  <c r="P84" i="27"/>
  <c r="X85" i="27"/>
  <c r="Y92" i="27"/>
  <c r="A93" i="27"/>
  <c r="K88" i="27"/>
  <c r="H91" i="27"/>
  <c r="Y89" i="27"/>
  <c r="R89" i="27"/>
  <c r="U86" i="27"/>
  <c r="X87" i="27"/>
  <c r="S89" i="27"/>
  <c r="L90" i="27"/>
  <c r="G94" i="27"/>
  <c r="L92" i="27"/>
  <c r="R92" i="27"/>
  <c r="H89" i="27"/>
  <c r="O83" i="27"/>
  <c r="G93" i="27"/>
  <c r="R83" i="27"/>
  <c r="C91" i="27"/>
  <c r="V90" i="27"/>
  <c r="E84" i="27"/>
  <c r="E86" i="27"/>
  <c r="V89" i="27"/>
  <c r="W84" i="27"/>
  <c r="U94" i="27"/>
  <c r="R93" i="27"/>
  <c r="E82" i="27"/>
  <c r="L83" i="27"/>
  <c r="S91" i="27"/>
  <c r="K85" i="27"/>
  <c r="Q87" i="27"/>
  <c r="K87" i="27"/>
  <c r="F88" i="27"/>
  <c r="V82" i="27"/>
  <c r="B83" i="27"/>
  <c r="P83" i="27"/>
  <c r="Z92" i="27"/>
  <c r="D89" i="27"/>
  <c r="A84" i="27"/>
  <c r="Z91" i="27"/>
  <c r="T88" i="27"/>
  <c r="L94" i="27"/>
  <c r="I85" i="27"/>
  <c r="C86" i="27"/>
  <c r="M86" i="27"/>
  <c r="Q84" i="27"/>
  <c r="W90" i="27"/>
  <c r="W86" i="27"/>
  <c r="V84" i="27"/>
  <c r="D86" i="27"/>
  <c r="T89" i="27"/>
  <c r="O90" i="27"/>
  <c r="V93" i="27"/>
  <c r="C83" i="27"/>
  <c r="U88" i="27"/>
  <c r="P94" i="27"/>
  <c r="C82" i="27"/>
  <c r="F89" i="27"/>
  <c r="O86" i="27"/>
  <c r="I83" i="27"/>
  <c r="P91" i="27"/>
  <c r="L87" i="27"/>
  <c r="D82" i="27"/>
  <c r="C94" i="27"/>
  <c r="W85" i="27"/>
  <c r="K89" i="27"/>
  <c r="A83" i="27"/>
  <c r="R86" i="27"/>
  <c r="I82" i="27"/>
  <c r="W83" i="27"/>
  <c r="T90" i="27"/>
  <c r="J94" i="27"/>
  <c r="T84" i="27"/>
  <c r="B85" i="27"/>
  <c r="Z86" i="27"/>
  <c r="A82" i="27"/>
  <c r="E87" i="27"/>
  <c r="F92" i="27"/>
  <c r="F94" i="27"/>
  <c r="U89" i="27"/>
  <c r="D84" i="27"/>
  <c r="P82" i="27"/>
  <c r="W94" i="27"/>
  <c r="I91" i="27"/>
  <c r="B91" i="27"/>
  <c r="C93" i="27"/>
  <c r="R85" i="27"/>
  <c r="J86" i="27"/>
  <c r="J92" i="27"/>
  <c r="K91" i="27"/>
  <c r="Q88" i="27"/>
  <c r="X84" i="27"/>
  <c r="Z88" i="27"/>
  <c r="E88" i="27"/>
  <c r="N89" i="27"/>
  <c r="P89" i="27"/>
  <c r="G90" i="27"/>
  <c r="M93" i="27"/>
  <c r="T91" i="27"/>
  <c r="Y90" i="27"/>
  <c r="N93" i="27"/>
  <c r="L84" i="27"/>
  <c r="S93" i="27"/>
  <c r="B89" i="27"/>
  <c r="G88" i="27"/>
  <c r="E83" i="27"/>
  <c r="S83" i="27"/>
  <c r="S86" i="27"/>
  <c r="I94" i="27"/>
  <c r="X90" i="27"/>
  <c r="F82" i="27"/>
  <c r="V85" i="27"/>
  <c r="K90" i="27"/>
  <c r="P93" i="27"/>
  <c r="T87" i="27"/>
  <c r="C90" i="27"/>
  <c r="I93" i="27"/>
  <c r="Y84" i="27"/>
  <c r="F86" i="27"/>
  <c r="Q89" i="27"/>
  <c r="M87" i="27"/>
  <c r="R88" i="27"/>
  <c r="L89" i="27"/>
  <c r="D93" i="27"/>
  <c r="I90" i="27"/>
  <c r="K86" i="27"/>
  <c r="J84" i="27"/>
  <c r="E90" i="27"/>
  <c r="U84" i="27"/>
  <c r="F90" i="27"/>
  <c r="U90" i="27"/>
  <c r="P92" i="27"/>
  <c r="A87" i="27"/>
  <c r="G84" i="27"/>
  <c r="T86" i="27"/>
  <c r="D91" i="27"/>
  <c r="S82" i="27"/>
  <c r="P85" i="27"/>
  <c r="V94" i="27"/>
  <c r="X93" i="27"/>
  <c r="W82" i="27"/>
  <c r="Y94" i="27"/>
  <c r="L91" i="27"/>
  <c r="B87" i="27"/>
  <c r="V86" i="27"/>
  <c r="I86" i="27"/>
  <c r="E91" i="27"/>
  <c r="A89" i="27"/>
  <c r="S85" i="27"/>
  <c r="Z89" i="27"/>
  <c r="G92" i="27"/>
  <c r="N83" i="27"/>
  <c r="L93" i="27"/>
  <c r="H83" i="27"/>
  <c r="T82" i="27"/>
  <c r="B82" i="27"/>
  <c r="R90" i="27"/>
  <c r="H88" i="27"/>
  <c r="H85" i="27"/>
  <c r="X92" i="27"/>
  <c r="M83" i="27"/>
  <c r="Q90" i="27"/>
  <c r="U82" i="27"/>
  <c r="P87" i="27"/>
  <c r="V87" i="27"/>
  <c r="I88" i="27"/>
  <c r="O89" i="27"/>
  <c r="Q92" i="27"/>
  <c r="K83" i="27"/>
  <c r="G91" i="27"/>
  <c r="S87" i="27"/>
  <c r="Z94" i="27"/>
  <c r="Q86" i="27"/>
  <c r="K82" i="27"/>
  <c r="O88" i="27"/>
  <c r="A85" i="27"/>
  <c r="V92" i="27"/>
  <c r="U93" i="27"/>
  <c r="X86" i="27"/>
  <c r="X82" i="27"/>
  <c r="C92" i="27"/>
  <c r="Q91" i="27"/>
  <c r="H82" i="27"/>
  <c r="J82" i="27"/>
  <c r="R87" i="27"/>
  <c r="Y93" i="27"/>
  <c r="N90" i="27"/>
  <c r="H93" i="27"/>
  <c r="B90" i="27"/>
  <c r="Y83" i="27"/>
  <c r="B84" i="27"/>
  <c r="F87" i="27"/>
  <c r="Q85" i="27"/>
  <c r="K84" i="27"/>
  <c r="M94" i="27"/>
  <c r="Q93" i="27"/>
  <c r="X83" i="27"/>
  <c r="O91" i="27"/>
  <c r="Y87" i="27"/>
  <c r="H90" i="27"/>
  <c r="P86" i="27"/>
  <c r="Y91" i="27"/>
  <c r="R91" i="27"/>
  <c r="Q83" i="27"/>
  <c r="B92" i="27"/>
  <c r="J91" i="27"/>
  <c r="A88" i="27"/>
  <c r="M90" i="27"/>
  <c r="M88" i="27"/>
  <c r="N82" i="27"/>
  <c r="F91" i="27"/>
  <c r="N86" i="27"/>
  <c r="O93" i="27"/>
  <c r="B88" i="27"/>
  <c r="W87" i="27"/>
  <c r="S90" i="27"/>
  <c r="L86" i="27"/>
  <c r="G86" i="27"/>
  <c r="Y85" i="27"/>
  <c r="T94" i="27"/>
  <c r="B94" i="27"/>
  <c r="J83" i="27"/>
  <c r="R94" i="27"/>
  <c r="H84" i="27"/>
  <c r="N88" i="27"/>
  <c r="M89" i="27"/>
  <c r="Z93" i="27"/>
  <c r="S94" i="27"/>
  <c r="I92" i="27"/>
  <c r="K94" i="27"/>
  <c r="P90" i="27"/>
  <c r="X88" i="27"/>
  <c r="G85" i="27"/>
  <c r="L88" i="27"/>
  <c r="V83" i="27"/>
  <c r="F83" i="27"/>
  <c r="D83" i="27"/>
  <c r="K92" i="27"/>
  <c r="L85" i="27"/>
  <c r="G82" i="27"/>
  <c r="U92" i="27"/>
  <c r="Z85" i="27"/>
  <c r="H92" i="27"/>
  <c r="P88" i="27"/>
  <c r="G51" i="27" s="1"/>
  <c r="D85" i="27"/>
  <c r="E93" i="27"/>
  <c r="E94" i="27"/>
  <c r="W93" i="27"/>
  <c r="O87" i="27"/>
  <c r="C89" i="27"/>
  <c r="N85" i="27"/>
  <c r="Z84" i="27"/>
  <c r="X89" i="27"/>
  <c r="A92" i="27"/>
  <c r="G89" i="27"/>
  <c r="M91" i="27"/>
  <c r="A90" i="27"/>
  <c r="W91" i="27"/>
  <c r="O92" i="27"/>
  <c r="B93" i="27"/>
  <c r="M85" i="27"/>
  <c r="T92" i="27"/>
  <c r="W92" i="27"/>
  <c r="F93" i="27"/>
  <c r="T93" i="27"/>
  <c r="T83" i="27"/>
  <c r="Q94" i="27"/>
  <c r="X91" i="27"/>
  <c r="E85" i="27"/>
  <c r="C85" i="27"/>
  <c r="C88" i="27"/>
  <c r="W88" i="27"/>
  <c r="E89" i="27"/>
  <c r="H94" i="27"/>
  <c r="O82" i="27"/>
  <c r="H87" i="27"/>
  <c r="N87" i="27"/>
  <c r="J88" i="27"/>
  <c r="D88" i="27"/>
  <c r="Z83" i="27"/>
  <c r="H86" i="27"/>
  <c r="Y82" i="27"/>
  <c r="Y86" i="27"/>
  <c r="D92" i="27"/>
  <c r="I89" i="27"/>
  <c r="L82" i="27"/>
  <c r="U91" i="27"/>
  <c r="T85" i="27"/>
  <c r="G87" i="27"/>
  <c r="O85" i="27"/>
  <c r="I84" i="27"/>
  <c r="K93" i="27"/>
  <c r="J87" i="27"/>
  <c r="F84" i="27"/>
  <c r="C87" i="27"/>
  <c r="O94" i="27"/>
  <c r="N91" i="27"/>
  <c r="M92" i="27"/>
  <c r="I87" i="27"/>
  <c r="D87" i="27"/>
  <c r="D90" i="27"/>
  <c r="R82" i="27"/>
  <c r="S84" i="27"/>
  <c r="I31" i="1"/>
  <c r="Z31" i="1"/>
  <c r="E33" i="16"/>
  <c r="K37" i="15"/>
  <c r="L37" i="15"/>
  <c r="D37" i="15" s="1"/>
  <c r="X37" i="15"/>
  <c r="AJ37" i="15"/>
  <c r="AC37" i="15"/>
  <c r="AB37" i="15"/>
  <c r="A38" i="15"/>
  <c r="AK37" i="15"/>
  <c r="O37" i="15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O29" i="24"/>
  <c r="AG56" i="7" s="1"/>
  <c r="AJ29" i="24"/>
  <c r="AC29" i="24"/>
  <c r="K28" i="25"/>
  <c r="AB28" i="25"/>
  <c r="A29" i="25"/>
  <c r="L28" i="25"/>
  <c r="X28" i="25"/>
  <c r="AJ28" i="25"/>
  <c r="AK28" i="25"/>
  <c r="O28" i="25"/>
  <c r="AC28" i="25"/>
  <c r="K34" i="17"/>
  <c r="X34" i="17"/>
  <c r="L34" i="17"/>
  <c r="D34" i="17" s="1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O30" i="23"/>
  <c r="AC30" i="23"/>
  <c r="AB36" i="1"/>
  <c r="L36" i="1"/>
  <c r="A37" i="1"/>
  <c r="AK36" i="1"/>
  <c r="X36" i="1"/>
  <c r="O36" i="1"/>
  <c r="K36" i="1"/>
  <c r="AJ36" i="1"/>
  <c r="Q36" i="1"/>
  <c r="AC36" i="1"/>
  <c r="U36" i="1"/>
  <c r="AB38" i="15" l="1"/>
  <c r="L38" i="15"/>
  <c r="D38" i="15" s="1"/>
  <c r="X38" i="15"/>
  <c r="AK38" i="15"/>
  <c r="O38" i="15"/>
  <c r="A39" i="15"/>
  <c r="K38" i="15"/>
  <c r="AJ38" i="15"/>
  <c r="AC38" i="15"/>
  <c r="Y31" i="1"/>
  <c r="E34" i="17"/>
  <c r="E34" i="16"/>
  <c r="L35" i="16"/>
  <c r="D35" i="16" s="1"/>
  <c r="K35" i="16"/>
  <c r="AK35" i="16"/>
  <c r="AC35" i="16"/>
  <c r="A36" i="16"/>
  <c r="AB35" i="16"/>
  <c r="X35" i="16"/>
  <c r="AJ35" i="16"/>
  <c r="O35" i="16"/>
  <c r="E37" i="15"/>
  <c r="I34" i="1"/>
  <c r="AA34" i="1"/>
  <c r="Z34" i="1" s="1"/>
  <c r="Y34" i="1" s="1"/>
  <c r="X35" i="17"/>
  <c r="A36" i="17"/>
  <c r="L35" i="17"/>
  <c r="D35" i="17" s="1"/>
  <c r="AB35" i="17"/>
  <c r="K35" i="17"/>
  <c r="AJ35" i="17"/>
  <c r="AK35" i="17"/>
  <c r="AC35" i="17"/>
  <c r="O35" i="17"/>
  <c r="E35" i="17" s="1"/>
  <c r="K29" i="25"/>
  <c r="X29" i="25"/>
  <c r="AB29" i="25"/>
  <c r="L29" i="25"/>
  <c r="AE68" i="7"/>
  <c r="A30" i="25"/>
  <c r="AJ29" i="25"/>
  <c r="O29" i="25"/>
  <c r="AG68" i="7" s="1"/>
  <c r="AK29" i="25"/>
  <c r="AC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O30" i="24"/>
  <c r="AC30" i="24"/>
  <c r="A33" i="22"/>
  <c r="K32" i="22"/>
  <c r="AB32" i="22"/>
  <c r="X32" i="22"/>
  <c r="L32" i="22"/>
  <c r="AJ32" i="22"/>
  <c r="AK32" i="22"/>
  <c r="O32" i="22"/>
  <c r="AC32" i="22"/>
  <c r="X39" i="15" l="1"/>
  <c r="K39" i="15"/>
  <c r="AB39" i="15"/>
  <c r="AJ39" i="15"/>
  <c r="AC39" i="15"/>
  <c r="L39" i="15"/>
  <c r="D39" i="15" s="1"/>
  <c r="A40" i="15"/>
  <c r="AK39" i="15"/>
  <c r="O39" i="15"/>
  <c r="AB36" i="16"/>
  <c r="X36" i="16"/>
  <c r="AJ36" i="16"/>
  <c r="AC36" i="16"/>
  <c r="L36" i="16"/>
  <c r="D36" i="16" s="1"/>
  <c r="AK36" i="16"/>
  <c r="K36" i="16"/>
  <c r="A37" i="16"/>
  <c r="O36" i="16"/>
  <c r="E35" i="16"/>
  <c r="E38" i="15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O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O30" i="25"/>
  <c r="AC30" i="25"/>
  <c r="AF68" i="7"/>
  <c r="I35" i="1"/>
  <c r="AA35" i="1"/>
  <c r="Z35" i="1" s="1"/>
  <c r="Y35" i="1" s="1"/>
  <c r="I37" i="1" l="1"/>
  <c r="X37" i="16"/>
  <c r="K37" i="16"/>
  <c r="A38" i="16"/>
  <c r="AJ37" i="16"/>
  <c r="O37" i="16"/>
  <c r="AB37" i="16"/>
  <c r="L37" i="16"/>
  <c r="D37" i="16" s="1"/>
  <c r="E37" i="16" s="1"/>
  <c r="AK37" i="16"/>
  <c r="AC37" i="16"/>
  <c r="L40" i="15"/>
  <c r="D40" i="15" s="1"/>
  <c r="K40" i="15"/>
  <c r="AB40" i="15"/>
  <c r="AJ40" i="15"/>
  <c r="AC40" i="15"/>
  <c r="A41" i="15"/>
  <c r="X40" i="15"/>
  <c r="AK40" i="15"/>
  <c r="O40" i="15"/>
  <c r="E40" i="15" s="1"/>
  <c r="E36" i="16"/>
  <c r="E39" i="15"/>
  <c r="X31" i="25"/>
  <c r="A32" i="25"/>
  <c r="K31" i="25"/>
  <c r="L31" i="25"/>
  <c r="AB31" i="25"/>
  <c r="AJ31" i="25"/>
  <c r="O31" i="25"/>
  <c r="AK31" i="25"/>
  <c r="AC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D36" i="17"/>
  <c r="E36" i="17" s="1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O32" i="24"/>
  <c r="AC32" i="24"/>
  <c r="X34" i="22"/>
  <c r="L34" i="22"/>
  <c r="AB34" i="22"/>
  <c r="A35" i="22"/>
  <c r="K34" i="22"/>
  <c r="AJ34" i="22"/>
  <c r="AK34" i="22"/>
  <c r="O34" i="22"/>
  <c r="AC34" i="22"/>
  <c r="AA37" i="1" l="1"/>
  <c r="Z37" i="1" s="1"/>
  <c r="Y37" i="1" s="1"/>
  <c r="P39" i="1"/>
  <c r="V39" i="1" s="1"/>
  <c r="AB41" i="15"/>
  <c r="K41" i="15"/>
  <c r="A42" i="15"/>
  <c r="AJ41" i="15"/>
  <c r="AC41" i="15"/>
  <c r="L41" i="15"/>
  <c r="D41" i="15" s="1"/>
  <c r="X41" i="15"/>
  <c r="AK41" i="15"/>
  <c r="O41" i="15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D37" i="17"/>
  <c r="E37" i="17" s="1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32" i="25"/>
  <c r="AC32" i="25"/>
  <c r="E41" i="15" l="1"/>
  <c r="X42" i="15"/>
  <c r="AB42" i="15"/>
  <c r="A43" i="15"/>
  <c r="AK42" i="15"/>
  <c r="O42" i="15"/>
  <c r="L42" i="15"/>
  <c r="D42" i="15" s="1"/>
  <c r="K42" i="15"/>
  <c r="AJ42" i="15"/>
  <c r="AC42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D38" i="17"/>
  <c r="K33" i="25"/>
  <c r="A34" i="25"/>
  <c r="L33" i="25"/>
  <c r="AB33" i="25"/>
  <c r="X33" i="25"/>
  <c r="AJ33" i="25"/>
  <c r="O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E38" i="17"/>
  <c r="K39" i="17"/>
  <c r="L39" i="17"/>
  <c r="D39" i="17" s="1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39" i="16" l="1"/>
  <c r="X40" i="16"/>
  <c r="K40" i="16"/>
  <c r="AK40" i="16"/>
  <c r="AC40" i="16"/>
  <c r="A41" i="16"/>
  <c r="L40" i="16"/>
  <c r="D40" i="16" s="1"/>
  <c r="AB40" i="16"/>
  <c r="AJ40" i="16"/>
  <c r="O40" i="16"/>
  <c r="E42" i="15"/>
  <c r="AB43" i="15"/>
  <c r="X43" i="15"/>
  <c r="AK43" i="15"/>
  <c r="AC43" i="15"/>
  <c r="L43" i="15"/>
  <c r="D43" i="15" s="1"/>
  <c r="A44" i="15"/>
  <c r="K43" i="15"/>
  <c r="AJ43" i="15"/>
  <c r="O43" i="15"/>
  <c r="E43" i="15" s="1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E39" i="17"/>
  <c r="A41" i="17"/>
  <c r="L40" i="17"/>
  <c r="D40" i="17" s="1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O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E40" i="16" l="1"/>
  <c r="K41" i="16"/>
  <c r="L41" i="16"/>
  <c r="D41" i="16" s="1"/>
  <c r="X41" i="16"/>
  <c r="AK41" i="16"/>
  <c r="O41" i="16"/>
  <c r="A42" i="16"/>
  <c r="AB41" i="16"/>
  <c r="AJ41" i="16"/>
  <c r="AC41" i="16"/>
  <c r="A45" i="15"/>
  <c r="AB44" i="15"/>
  <c r="AK44" i="15"/>
  <c r="AC44" i="15"/>
  <c r="X44" i="15"/>
  <c r="L44" i="15"/>
  <c r="D44" i="15" s="1"/>
  <c r="K44" i="15"/>
  <c r="AJ44" i="15"/>
  <c r="O44" i="15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E40" i="17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I42" i="1" l="1"/>
  <c r="E41" i="16"/>
  <c r="E44" i="15"/>
  <c r="K45" i="15"/>
  <c r="A46" i="15"/>
  <c r="AK45" i="15"/>
  <c r="AC45" i="15"/>
  <c r="AB45" i="15"/>
  <c r="L45" i="15"/>
  <c r="D45" i="15" s="1"/>
  <c r="X45" i="15"/>
  <c r="AJ45" i="15"/>
  <c r="O45" i="15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D41" i="17"/>
  <c r="E41" i="17" s="1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A42" i="1" l="1"/>
  <c r="Z42" i="1" s="1"/>
  <c r="Y42" i="1" s="1"/>
  <c r="E45" i="15"/>
  <c r="E42" i="16"/>
  <c r="X43" i="16"/>
  <c r="L43" i="16"/>
  <c r="D43" i="16" s="1"/>
  <c r="A44" i="16"/>
  <c r="AJ43" i="16"/>
  <c r="O43" i="16"/>
  <c r="AB43" i="16"/>
  <c r="K43" i="16"/>
  <c r="AK43" i="16"/>
  <c r="AC43" i="16"/>
  <c r="X46" i="15"/>
  <c r="AB46" i="15"/>
  <c r="AJ46" i="15"/>
  <c r="O46" i="15"/>
  <c r="A47" i="15"/>
  <c r="L46" i="15"/>
  <c r="D46" i="15" s="1"/>
  <c r="K46" i="15"/>
  <c r="AK46" i="15"/>
  <c r="AC46" i="15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2" i="17"/>
  <c r="E42" i="17" s="1"/>
  <c r="E46" i="15" l="1"/>
  <c r="E43" i="16"/>
  <c r="K47" i="15"/>
  <c r="L47" i="15"/>
  <c r="D47" i="15" s="1"/>
  <c r="X47" i="15"/>
  <c r="AJ47" i="15"/>
  <c r="AC47" i="15"/>
  <c r="A48" i="15"/>
  <c r="AB47" i="15"/>
  <c r="AK47" i="15"/>
  <c r="O47" i="15"/>
  <c r="L44" i="16"/>
  <c r="D44" i="16" s="1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D43" i="17"/>
  <c r="E43" i="17" s="1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7" i="15" l="1"/>
  <c r="AA44" i="1"/>
  <c r="Z44" i="1" s="1"/>
  <c r="Y44" i="1" s="1"/>
  <c r="I44" i="1"/>
  <c r="E44" i="16"/>
  <c r="A49" i="15"/>
  <c r="L48" i="15"/>
  <c r="D48" i="15" s="1"/>
  <c r="AK48" i="15"/>
  <c r="O48" i="15"/>
  <c r="AB48" i="15"/>
  <c r="K48" i="15"/>
  <c r="X48" i="15"/>
  <c r="AJ48" i="15"/>
  <c r="AC48" i="15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D44" i="17"/>
  <c r="E44" i="17" s="1"/>
  <c r="X45" i="17"/>
  <c r="A46" i="17"/>
  <c r="AB45" i="17"/>
  <c r="L45" i="17"/>
  <c r="D45" i="17" s="1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8" i="15" l="1"/>
  <c r="E45" i="17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K49" i="15"/>
  <c r="L49" i="15"/>
  <c r="D49" i="15" s="1"/>
  <c r="AB49" i="15"/>
  <c r="AJ49" i="15"/>
  <c r="O49" i="15"/>
  <c r="X49" i="15"/>
  <c r="A50" i="15"/>
  <c r="AK49" i="15"/>
  <c r="AC49" i="15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AB50" i="15" l="1"/>
  <c r="K50" i="15"/>
  <c r="AK50" i="15"/>
  <c r="O50" i="15"/>
  <c r="L50" i="15"/>
  <c r="D50" i="15" s="1"/>
  <c r="X50" i="15"/>
  <c r="A51" i="15"/>
  <c r="AJ50" i="15"/>
  <c r="AC50" i="15"/>
  <c r="E49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D46" i="17"/>
  <c r="E46" i="17" s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D47" i="17" s="1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50" i="15" l="1"/>
  <c r="E47" i="16"/>
  <c r="K48" i="16"/>
  <c r="X48" i="16"/>
  <c r="AK48" i="16"/>
  <c r="AC48" i="16"/>
  <c r="A49" i="16"/>
  <c r="L48" i="16"/>
  <c r="D48" i="16" s="1"/>
  <c r="AB48" i="16"/>
  <c r="AJ48" i="16"/>
  <c r="O48" i="16"/>
  <c r="K51" i="15"/>
  <c r="A52" i="15"/>
  <c r="AK51" i="15"/>
  <c r="O51" i="15"/>
  <c r="L51" i="15"/>
  <c r="D51" i="15" s="1"/>
  <c r="AB51" i="15"/>
  <c r="X51" i="15"/>
  <c r="AJ51" i="15"/>
  <c r="AC51" i="15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E47" i="17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51" i="15" l="1"/>
  <c r="E48" i="16"/>
  <c r="L52" i="15"/>
  <c r="D52" i="15" s="1"/>
  <c r="A53" i="15"/>
  <c r="AK52" i="15"/>
  <c r="O52" i="15"/>
  <c r="AB52" i="15"/>
  <c r="K52" i="15"/>
  <c r="X52" i="15"/>
  <c r="AJ52" i="15"/>
  <c r="AC52" i="15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D49" i="17" s="1"/>
  <c r="AJ49" i="17"/>
  <c r="AK49" i="17"/>
  <c r="AC49" i="17"/>
  <c r="O49" i="17"/>
  <c r="E49" i="17" s="1"/>
  <c r="D48" i="17"/>
  <c r="E48" i="17" s="1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E52" i="15" l="1"/>
  <c r="L53" i="15"/>
  <c r="D53" i="15" s="1"/>
  <c r="K53" i="15"/>
  <c r="AK53" i="15"/>
  <c r="O53" i="15"/>
  <c r="AB53" i="15"/>
  <c r="A54" i="15"/>
  <c r="X53" i="15"/>
  <c r="AJ53" i="15"/>
  <c r="AC53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D50" i="17" s="1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E53" i="15" l="1"/>
  <c r="I50" i="1"/>
  <c r="AA50" i="1"/>
  <c r="Z50" i="1" s="1"/>
  <c r="Y50" i="1" s="1"/>
  <c r="AB54" i="15"/>
  <c r="L54" i="15"/>
  <c r="D54" i="15" s="1"/>
  <c r="K54" i="15"/>
  <c r="AK54" i="15"/>
  <c r="AC54" i="15"/>
  <c r="X54" i="15"/>
  <c r="A55" i="15"/>
  <c r="AJ54" i="15"/>
  <c r="O54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E50" i="17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1" i="16" l="1"/>
  <c r="E54" i="15"/>
  <c r="L52" i="16"/>
  <c r="D52" i="16" s="1"/>
  <c r="X52" i="16"/>
  <c r="AK52" i="16"/>
  <c r="AC52" i="16"/>
  <c r="A53" i="16"/>
  <c r="K52" i="16"/>
  <c r="AB52" i="16"/>
  <c r="AJ52" i="16"/>
  <c r="O52" i="16"/>
  <c r="AB55" i="15"/>
  <c r="L55" i="15"/>
  <c r="D55" i="15" s="1"/>
  <c r="K55" i="15"/>
  <c r="AK55" i="15"/>
  <c r="AC55" i="15"/>
  <c r="X55" i="15"/>
  <c r="A56" i="15"/>
  <c r="AJ55" i="15"/>
  <c r="O55" i="15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D52" i="17" s="1"/>
  <c r="AB52" i="17"/>
  <c r="X52" i="17"/>
  <c r="A53" i="17"/>
  <c r="AJ52" i="17"/>
  <c r="AK52" i="17"/>
  <c r="AC52" i="17"/>
  <c r="O52" i="17"/>
  <c r="D51" i="17"/>
  <c r="E51" i="17" s="1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5" i="15" l="1"/>
  <c r="AB56" i="15"/>
  <c r="X56" i="15"/>
  <c r="AK56" i="15"/>
  <c r="O56" i="15"/>
  <c r="A57" i="15"/>
  <c r="L56" i="15"/>
  <c r="D56" i="15" s="1"/>
  <c r="E56" i="15" s="1"/>
  <c r="K56" i="15"/>
  <c r="AJ56" i="15"/>
  <c r="AC56" i="15"/>
  <c r="E52" i="17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E53" i="16" l="1"/>
  <c r="AB54" i="16"/>
  <c r="A55" i="16"/>
  <c r="L54" i="16"/>
  <c r="D54" i="16" s="1"/>
  <c r="AK54" i="16"/>
  <c r="O54" i="16"/>
  <c r="K54" i="16"/>
  <c r="X54" i="16"/>
  <c r="AJ54" i="16"/>
  <c r="AC54" i="16"/>
  <c r="AK57" i="15"/>
  <c r="AB57" i="15"/>
  <c r="L57" i="15"/>
  <c r="D57" i="15" s="1"/>
  <c r="X57" i="15"/>
  <c r="AJ57" i="15"/>
  <c r="AC57" i="15"/>
  <c r="K57" i="15"/>
  <c r="A58" i="15"/>
  <c r="O57" i="15"/>
  <c r="E57" i="15" s="1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D53" i="17"/>
  <c r="E53" i="17" s="1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K55" i="16" l="1"/>
  <c r="A56" i="16"/>
  <c r="AJ55" i="16"/>
  <c r="AC55" i="16"/>
  <c r="L55" i="16"/>
  <c r="D55" i="16" s="1"/>
  <c r="AB55" i="16"/>
  <c r="X55" i="16"/>
  <c r="AK55" i="16"/>
  <c r="O55" i="16"/>
  <c r="AB58" i="15"/>
  <c r="L58" i="15"/>
  <c r="D58" i="15" s="1"/>
  <c r="AK58" i="15"/>
  <c r="O58" i="15"/>
  <c r="E58" i="15" s="1"/>
  <c r="A59" i="15"/>
  <c r="K58" i="15"/>
  <c r="X58" i="15"/>
  <c r="AJ58" i="15"/>
  <c r="AC58" i="15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D54" i="17"/>
  <c r="E54" i="17" s="1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K59" i="15" l="1"/>
  <c r="A60" i="15"/>
  <c r="AB59" i="15"/>
  <c r="AJ59" i="15"/>
  <c r="AC59" i="15"/>
  <c r="X59" i="15"/>
  <c r="L59" i="15"/>
  <c r="D59" i="15" s="1"/>
  <c r="AK59" i="15"/>
  <c r="O59" i="15"/>
  <c r="E59" i="15" s="1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5" i="17"/>
  <c r="E55" i="17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E56" i="16" l="1"/>
  <c r="AC57" i="16"/>
  <c r="A58" i="16"/>
  <c r="L57" i="16"/>
  <c r="D57" i="16" s="1"/>
  <c r="K57" i="16"/>
  <c r="AK57" i="16"/>
  <c r="O57" i="16"/>
  <c r="AB57" i="16"/>
  <c r="X57" i="16"/>
  <c r="AJ57" i="16"/>
  <c r="K60" i="15"/>
  <c r="X60" i="15"/>
  <c r="L60" i="15"/>
  <c r="AK60" i="15"/>
  <c r="AC60" i="15"/>
  <c r="A33" i="7"/>
  <c r="AB60" i="15"/>
  <c r="A61" i="15"/>
  <c r="AJ60" i="15"/>
  <c r="O60" i="15"/>
  <c r="C33" i="7" s="1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D56" i="17"/>
  <c r="E56" i="17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7" i="16" l="1"/>
  <c r="B33" i="7"/>
  <c r="D60" i="15"/>
  <c r="E60" i="15" s="1"/>
  <c r="X58" i="16"/>
  <c r="AB58" i="16"/>
  <c r="AK58" i="16"/>
  <c r="AC58" i="16"/>
  <c r="K58" i="16"/>
  <c r="A59" i="16"/>
  <c r="L58" i="16"/>
  <c r="D58" i="16" s="1"/>
  <c r="AJ58" i="16"/>
  <c r="O58" i="16"/>
  <c r="L61" i="15"/>
  <c r="D61" i="15" s="1"/>
  <c r="AB61" i="15"/>
  <c r="A62" i="15"/>
  <c r="AK61" i="15"/>
  <c r="O61" i="15"/>
  <c r="E61" i="15" s="1"/>
  <c r="K61" i="15"/>
  <c r="X61" i="15"/>
  <c r="AJ61" i="15"/>
  <c r="AC61" i="15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D58" i="17" s="1"/>
  <c r="AJ58" i="17"/>
  <c r="AK58" i="17"/>
  <c r="AC58" i="17"/>
  <c r="O58" i="17"/>
  <c r="E58" i="17" s="1"/>
  <c r="D57" i="17"/>
  <c r="E57" i="17" s="1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A63" i="15" l="1"/>
  <c r="AB62" i="15"/>
  <c r="AK62" i="15"/>
  <c r="O62" i="15"/>
  <c r="L62" i="15"/>
  <c r="D62" i="15" s="1"/>
  <c r="K62" i="15"/>
  <c r="X62" i="15"/>
  <c r="AJ62" i="15"/>
  <c r="AC62" i="15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E62" i="15" l="1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A64" i="15"/>
  <c r="K63" i="15"/>
  <c r="L63" i="15"/>
  <c r="D63" i="15" s="1"/>
  <c r="AJ63" i="15"/>
  <c r="AC63" i="15"/>
  <c r="AB63" i="15"/>
  <c r="X63" i="15"/>
  <c r="AK63" i="15"/>
  <c r="O63" i="15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59" i="17"/>
  <c r="E59" i="17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E63" i="15"/>
  <c r="AB64" i="15"/>
  <c r="L64" i="15"/>
  <c r="D64" i="15" s="1"/>
  <c r="AK64" i="15"/>
  <c r="O64" i="15"/>
  <c r="E64" i="15" s="1"/>
  <c r="K64" i="15"/>
  <c r="X64" i="15"/>
  <c r="A65" i="15"/>
  <c r="AJ64" i="15"/>
  <c r="AC64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D60" i="17"/>
  <c r="E60" i="17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D61" i="17" s="1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1" i="16" l="1"/>
  <c r="AA62" i="1"/>
  <c r="Z62" i="1" s="1"/>
  <c r="Y62" i="1" s="1"/>
  <c r="I61" i="1"/>
  <c r="A66" i="15"/>
  <c r="L65" i="15"/>
  <c r="D65" i="15" s="1"/>
  <c r="AK65" i="15"/>
  <c r="AC65" i="15"/>
  <c r="X65" i="15"/>
  <c r="K65" i="15"/>
  <c r="AB65" i="15"/>
  <c r="AJ65" i="15"/>
  <c r="O65" i="15"/>
  <c r="A63" i="16"/>
  <c r="L62" i="16"/>
  <c r="D62" i="16" s="1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E61" i="17"/>
  <c r="X62" i="17"/>
  <c r="K62" i="17"/>
  <c r="AB62" i="17"/>
  <c r="L62" i="17"/>
  <c r="D62" i="17" s="1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E65" i="15" l="1"/>
  <c r="I62" i="1"/>
  <c r="A64" i="16"/>
  <c r="L63" i="16"/>
  <c r="D63" i="16" s="1"/>
  <c r="AB63" i="16"/>
  <c r="AK63" i="16"/>
  <c r="O63" i="16"/>
  <c r="K63" i="16"/>
  <c r="X63" i="16"/>
  <c r="AJ63" i="16"/>
  <c r="AC63" i="16"/>
  <c r="E62" i="16"/>
  <c r="AB66" i="15"/>
  <c r="L66" i="15"/>
  <c r="D66" i="15" s="1"/>
  <c r="AJ66" i="15"/>
  <c r="O66" i="15"/>
  <c r="E66" i="15" s="1"/>
  <c r="K66" i="15"/>
  <c r="A67" i="15"/>
  <c r="X66" i="15"/>
  <c r="AK66" i="15"/>
  <c r="AC66" i="15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E62" i="17"/>
  <c r="X63" i="17"/>
  <c r="L63" i="17"/>
  <c r="D63" i="17" s="1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E63" i="17" l="1"/>
  <c r="E63" i="16"/>
  <c r="AB67" i="15"/>
  <c r="L67" i="15"/>
  <c r="D67" i="15" s="1"/>
  <c r="X67" i="15"/>
  <c r="AJ67" i="15"/>
  <c r="O67" i="15"/>
  <c r="K67" i="15"/>
  <c r="A68" i="15"/>
  <c r="AK67" i="15"/>
  <c r="AC67" i="15"/>
  <c r="X64" i="16"/>
  <c r="A65" i="16"/>
  <c r="L64" i="16"/>
  <c r="D64" i="16" s="1"/>
  <c r="AK64" i="16"/>
  <c r="O64" i="16"/>
  <c r="AB64" i="16"/>
  <c r="AC64" i="16"/>
  <c r="K64" i="16"/>
  <c r="AJ64" i="16"/>
  <c r="I64" i="1"/>
  <c r="AA64" i="1"/>
  <c r="Z64" i="1" s="1"/>
  <c r="Y64" i="1" s="1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P66" i="1" l="1"/>
  <c r="V66" i="1" s="1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AK65" i="16"/>
  <c r="AC65" i="16"/>
  <c r="A69" i="15"/>
  <c r="L68" i="15"/>
  <c r="D68" i="15" s="1"/>
  <c r="K68" i="15"/>
  <c r="AK68" i="15"/>
  <c r="AC68" i="15"/>
  <c r="X68" i="15"/>
  <c r="AB68" i="15"/>
  <c r="AJ68" i="15"/>
  <c r="O68" i="15"/>
  <c r="E67" i="15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D64" i="17"/>
  <c r="E64" i="17" s="1"/>
  <c r="AB65" i="17"/>
  <c r="A66" i="17"/>
  <c r="X65" i="17"/>
  <c r="K65" i="17"/>
  <c r="L65" i="17"/>
  <c r="D65" i="17" s="1"/>
  <c r="AJ65" i="17"/>
  <c r="AK65" i="17"/>
  <c r="AC65" i="17"/>
  <c r="O65" i="17"/>
  <c r="E65" i="17" s="1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E65" i="16" l="1"/>
  <c r="AB69" i="15"/>
  <c r="A70" i="15"/>
  <c r="AK69" i="15"/>
  <c r="AC69" i="15"/>
  <c r="K69" i="15"/>
  <c r="L69" i="15"/>
  <c r="D69" i="15" s="1"/>
  <c r="X69" i="15"/>
  <c r="AJ69" i="15"/>
  <c r="O69" i="15"/>
  <c r="AB66" i="16"/>
  <c r="X66" i="16"/>
  <c r="AK66" i="16"/>
  <c r="AC66" i="16"/>
  <c r="A67" i="16"/>
  <c r="L66" i="16"/>
  <c r="D66" i="16" s="1"/>
  <c r="K66" i="16"/>
  <c r="AJ66" i="16"/>
  <c r="O66" i="16"/>
  <c r="E68" i="15"/>
  <c r="AF57" i="7"/>
  <c r="AB66" i="17"/>
  <c r="A67" i="17"/>
  <c r="K66" i="17"/>
  <c r="L66" i="17"/>
  <c r="D66" i="17" s="1"/>
  <c r="X66" i="17"/>
  <c r="AJ66" i="17"/>
  <c r="AK66" i="17"/>
  <c r="O66" i="17"/>
  <c r="E66" i="17" s="1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X67" i="16" l="1"/>
  <c r="L67" i="16"/>
  <c r="D67" i="16" s="1"/>
  <c r="AK67" i="16"/>
  <c r="AC67" i="16"/>
  <c r="AB67" i="16"/>
  <c r="A68" i="16"/>
  <c r="K67" i="16"/>
  <c r="AJ67" i="16"/>
  <c r="O67" i="16"/>
  <c r="AB70" i="15"/>
  <c r="X70" i="15"/>
  <c r="AJ70" i="15"/>
  <c r="AC70" i="15"/>
  <c r="K70" i="15"/>
  <c r="A71" i="15"/>
  <c r="L70" i="15"/>
  <c r="D70" i="15" s="1"/>
  <c r="AK70" i="15"/>
  <c r="O70" i="15"/>
  <c r="E70" i="15" s="1"/>
  <c r="E66" i="16"/>
  <c r="E69" i="15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D67" i="17" s="1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E67" i="16" l="1"/>
  <c r="X68" i="16"/>
  <c r="A69" i="16"/>
  <c r="K68" i="16"/>
  <c r="AK68" i="16"/>
  <c r="O68" i="16"/>
  <c r="L68" i="16"/>
  <c r="D68" i="16" s="1"/>
  <c r="AB68" i="16"/>
  <c r="AJ68" i="16"/>
  <c r="AC68" i="16"/>
  <c r="L71" i="15"/>
  <c r="D71" i="15" s="1"/>
  <c r="AB71" i="15"/>
  <c r="AJ71" i="15"/>
  <c r="O71" i="15"/>
  <c r="A72" i="15"/>
  <c r="X71" i="15"/>
  <c r="K71" i="15"/>
  <c r="AK71" i="15"/>
  <c r="AC71" i="15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E67" i="17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8" i="16" l="1"/>
  <c r="A73" i="15"/>
  <c r="K72" i="15"/>
  <c r="L72" i="15"/>
  <c r="D72" i="15" s="1"/>
  <c r="AJ72" i="15"/>
  <c r="AC72" i="15"/>
  <c r="AB72" i="15"/>
  <c r="X72" i="15"/>
  <c r="AK72" i="15"/>
  <c r="O72" i="15"/>
  <c r="E71" i="15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D69" i="17" s="1"/>
  <c r="AJ69" i="17"/>
  <c r="AK69" i="17"/>
  <c r="O69" i="17"/>
  <c r="AC69" i="17"/>
  <c r="D68" i="17"/>
  <c r="E68" i="17" s="1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69" i="16" l="1"/>
  <c r="AB70" i="16"/>
  <c r="A71" i="16"/>
  <c r="AK70" i="16"/>
  <c r="AC70" i="16"/>
  <c r="X70" i="16"/>
  <c r="L70" i="16"/>
  <c r="D70" i="16" s="1"/>
  <c r="K70" i="16"/>
  <c r="AJ70" i="16"/>
  <c r="O70" i="16"/>
  <c r="E72" i="15"/>
  <c r="A74" i="15"/>
  <c r="X73" i="15"/>
  <c r="AJ73" i="15"/>
  <c r="O73" i="15"/>
  <c r="K73" i="15"/>
  <c r="L73" i="15"/>
  <c r="D73" i="15" s="1"/>
  <c r="E73" i="15" s="1"/>
  <c r="AB73" i="15"/>
  <c r="AK73" i="15"/>
  <c r="AC73" i="15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D70" i="17" s="1"/>
  <c r="AK70" i="17"/>
  <c r="AJ70" i="17"/>
  <c r="AC70" i="17"/>
  <c r="O70" i="17"/>
  <c r="E70" i="17" s="1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E69" i="17"/>
  <c r="AB68" i="20"/>
  <c r="A69" i="20"/>
  <c r="K68" i="20"/>
  <c r="X68" i="20"/>
  <c r="L68" i="20"/>
  <c r="AJ68" i="20"/>
  <c r="AK68" i="20"/>
  <c r="O68" i="20"/>
  <c r="AC68" i="20"/>
  <c r="E70" i="16" l="1"/>
  <c r="AA71" i="1"/>
  <c r="Z71" i="1" s="1"/>
  <c r="Y71" i="1" s="1"/>
  <c r="K74" i="15"/>
  <c r="A75" i="15"/>
  <c r="AK74" i="15"/>
  <c r="O74" i="15"/>
  <c r="L74" i="15"/>
  <c r="D74" i="15" s="1"/>
  <c r="AB74" i="15"/>
  <c r="X74" i="15"/>
  <c r="AJ74" i="15"/>
  <c r="AC74" i="15"/>
  <c r="K71" i="16"/>
  <c r="A72" i="16"/>
  <c r="AK71" i="16"/>
  <c r="AC71" i="16"/>
  <c r="L71" i="16"/>
  <c r="D71" i="16" s="1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I71" i="1" l="1"/>
  <c r="AB72" i="16"/>
  <c r="X72" i="16"/>
  <c r="AK72" i="16"/>
  <c r="AC72" i="16"/>
  <c r="L72" i="16"/>
  <c r="D72" i="16" s="1"/>
  <c r="A73" i="16"/>
  <c r="K72" i="16"/>
  <c r="AJ72" i="16"/>
  <c r="O72" i="16"/>
  <c r="E71" i="16"/>
  <c r="E74" i="15"/>
  <c r="A76" i="15"/>
  <c r="K75" i="15"/>
  <c r="AK75" i="15"/>
  <c r="O75" i="15"/>
  <c r="AB75" i="15"/>
  <c r="L75" i="15"/>
  <c r="D75" i="15" s="1"/>
  <c r="E75" i="15" s="1"/>
  <c r="X75" i="15"/>
  <c r="AJ75" i="15"/>
  <c r="AC75" i="15"/>
  <c r="D71" i="17"/>
  <c r="E71" i="17" s="1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A77" i="15" l="1"/>
  <c r="L76" i="15"/>
  <c r="D76" i="15" s="1"/>
  <c r="K76" i="15"/>
  <c r="AK76" i="15"/>
  <c r="AC76" i="15"/>
  <c r="AB76" i="15"/>
  <c r="X76" i="15"/>
  <c r="AJ76" i="15"/>
  <c r="O76" i="15"/>
  <c r="A74" i="16"/>
  <c r="K73" i="16"/>
  <c r="X73" i="16"/>
  <c r="AK73" i="16"/>
  <c r="O73" i="16"/>
  <c r="L73" i="16"/>
  <c r="D73" i="16" s="1"/>
  <c r="AB73" i="16"/>
  <c r="AJ73" i="16"/>
  <c r="AC73" i="16"/>
  <c r="E72" i="16"/>
  <c r="I73" i="1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D72" i="17"/>
  <c r="E72" i="17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D73" i="17" s="1"/>
  <c r="A74" i="17"/>
  <c r="AJ73" i="17"/>
  <c r="AK73" i="17"/>
  <c r="AC73" i="17"/>
  <c r="O73" i="17"/>
  <c r="E76" i="15" l="1"/>
  <c r="E73" i="17"/>
  <c r="AA73" i="1"/>
  <c r="Z73" i="1" s="1"/>
  <c r="Y73" i="1" s="1"/>
  <c r="E73" i="16"/>
  <c r="K77" i="15"/>
  <c r="L77" i="15"/>
  <c r="D77" i="15" s="1"/>
  <c r="AK77" i="15"/>
  <c r="O77" i="15"/>
  <c r="E77" i="15" s="1"/>
  <c r="A78" i="15"/>
  <c r="AB77" i="15"/>
  <c r="X77" i="15"/>
  <c r="AJ77" i="15"/>
  <c r="AC77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D74" i="17" s="1"/>
  <c r="X74" i="17"/>
  <c r="K74" i="17"/>
  <c r="AJ74" i="17"/>
  <c r="AK74" i="17"/>
  <c r="AC74" i="17"/>
  <c r="O74" i="17"/>
  <c r="E74" i="17" s="1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6" l="1"/>
  <c r="L75" i="16"/>
  <c r="D75" i="16" s="1"/>
  <c r="AJ75" i="16"/>
  <c r="AC75" i="16"/>
  <c r="K75" i="16"/>
  <c r="AB75" i="16"/>
  <c r="X75" i="16"/>
  <c r="AK75" i="16"/>
  <c r="O75" i="16"/>
  <c r="X78" i="15"/>
  <c r="A79" i="15"/>
  <c r="AJ78" i="15"/>
  <c r="O78" i="15"/>
  <c r="K78" i="15"/>
  <c r="L78" i="15"/>
  <c r="D78" i="15" s="1"/>
  <c r="E78" i="15" s="1"/>
  <c r="AB78" i="15"/>
  <c r="AK78" i="15"/>
  <c r="AC78" i="15"/>
  <c r="I75" i="1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E75" i="16" l="1"/>
  <c r="AA75" i="1"/>
  <c r="Z75" i="1" s="1"/>
  <c r="Y75" i="1" s="1"/>
  <c r="AB79" i="15"/>
  <c r="A80" i="15"/>
  <c r="AK79" i="15"/>
  <c r="O79" i="15"/>
  <c r="K79" i="15"/>
  <c r="L79" i="15"/>
  <c r="D79" i="15" s="1"/>
  <c r="X79" i="15"/>
  <c r="AJ79" i="15"/>
  <c r="AC79" i="15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D76" i="17" s="1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D75" i="17"/>
  <c r="E75" i="17" s="1"/>
  <c r="X70" i="25"/>
  <c r="A71" i="25"/>
  <c r="K70" i="25"/>
  <c r="L70" i="25"/>
  <c r="AB70" i="25"/>
  <c r="AJ70" i="25"/>
  <c r="O70" i="25"/>
  <c r="AK70" i="25"/>
  <c r="AC70" i="25"/>
  <c r="E79" i="15" l="1"/>
  <c r="E76" i="16"/>
  <c r="K77" i="16"/>
  <c r="X77" i="16"/>
  <c r="AK77" i="16"/>
  <c r="AC77" i="16"/>
  <c r="L77" i="16"/>
  <c r="D77" i="16" s="1"/>
  <c r="A78" i="16"/>
  <c r="AB77" i="16"/>
  <c r="AJ77" i="16"/>
  <c r="O77" i="16"/>
  <c r="K80" i="15"/>
  <c r="AB80" i="15"/>
  <c r="AK80" i="15"/>
  <c r="O80" i="15"/>
  <c r="A81" i="15"/>
  <c r="L80" i="15"/>
  <c r="D80" i="15" s="1"/>
  <c r="X80" i="15"/>
  <c r="AJ80" i="15"/>
  <c r="AC80" i="15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E76" i="17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X81" i="15" l="1"/>
  <c r="A82" i="15"/>
  <c r="AJ81" i="15"/>
  <c r="AC81" i="15"/>
  <c r="L81" i="15"/>
  <c r="D81" i="15" s="1"/>
  <c r="AB81" i="15"/>
  <c r="K81" i="15"/>
  <c r="AK81" i="15"/>
  <c r="O81" i="15"/>
  <c r="E81" i="15" s="1"/>
  <c r="L78" i="16"/>
  <c r="D78" i="16" s="1"/>
  <c r="A79" i="16"/>
  <c r="AB78" i="16"/>
  <c r="AJ78" i="16"/>
  <c r="O78" i="16"/>
  <c r="X78" i="16"/>
  <c r="K78" i="16"/>
  <c r="AK78" i="16"/>
  <c r="AC78" i="16"/>
  <c r="E80" i="15"/>
  <c r="E77" i="16"/>
  <c r="D77" i="17"/>
  <c r="E77" i="17" s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D78" i="17" s="1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8" i="16" l="1"/>
  <c r="L82" i="15"/>
  <c r="D82" i="15" s="1"/>
  <c r="A83" i="15"/>
  <c r="AK82" i="15"/>
  <c r="O82" i="15"/>
  <c r="X82" i="15"/>
  <c r="AB82" i="15"/>
  <c r="K82" i="15"/>
  <c r="AJ82" i="15"/>
  <c r="AC82" i="15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E78" i="17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79" i="16" l="1"/>
  <c r="AB80" i="16"/>
  <c r="A81" i="16"/>
  <c r="X80" i="16"/>
  <c r="AJ80" i="16"/>
  <c r="O80" i="16"/>
  <c r="L80" i="16"/>
  <c r="D80" i="16" s="1"/>
  <c r="K80" i="16"/>
  <c r="AK80" i="16"/>
  <c r="AC80" i="16"/>
  <c r="E82" i="15"/>
  <c r="AB83" i="15"/>
  <c r="K83" i="15"/>
  <c r="AK83" i="15"/>
  <c r="O83" i="15"/>
  <c r="A84" i="15"/>
  <c r="L83" i="15"/>
  <c r="D83" i="15" s="1"/>
  <c r="X83" i="15"/>
  <c r="AJ83" i="15"/>
  <c r="AC83" i="15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D79" i="17"/>
  <c r="E79" i="17" s="1"/>
  <c r="AB80" i="17"/>
  <c r="K80" i="17"/>
  <c r="X80" i="17"/>
  <c r="A81" i="17"/>
  <c r="L80" i="17"/>
  <c r="D80" i="17" s="1"/>
  <c r="AJ80" i="17"/>
  <c r="AK80" i="17"/>
  <c r="AC80" i="17"/>
  <c r="O80" i="17"/>
  <c r="E80" i="17" s="1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0" i="16" l="1"/>
  <c r="E83" i="15"/>
  <c r="L81" i="16"/>
  <c r="D81" i="16" s="1"/>
  <c r="AB81" i="16"/>
  <c r="A82" i="16"/>
  <c r="AK81" i="16"/>
  <c r="O81" i="16"/>
  <c r="K81" i="16"/>
  <c r="X81" i="16"/>
  <c r="AJ81" i="16"/>
  <c r="AC81" i="16"/>
  <c r="X84" i="15"/>
  <c r="K84" i="15"/>
  <c r="AK84" i="15"/>
  <c r="O84" i="15"/>
  <c r="A85" i="15"/>
  <c r="AB84" i="15"/>
  <c r="L84" i="15"/>
  <c r="D84" i="15" s="1"/>
  <c r="AJ84" i="15"/>
  <c r="AC84" i="15"/>
  <c r="I81" i="1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I82" i="1" l="1"/>
  <c r="L82" i="16"/>
  <c r="D82" i="16" s="1"/>
  <c r="X82" i="16"/>
  <c r="AJ82" i="16"/>
  <c r="AC82" i="16"/>
  <c r="K82" i="16"/>
  <c r="A83" i="16"/>
  <c r="AB82" i="16"/>
  <c r="AK82" i="16"/>
  <c r="O82" i="16"/>
  <c r="E81" i="16"/>
  <c r="E84" i="15"/>
  <c r="K85" i="15"/>
  <c r="L85" i="15"/>
  <c r="D85" i="15" s="1"/>
  <c r="AK85" i="15"/>
  <c r="AC85" i="15"/>
  <c r="AB85" i="15"/>
  <c r="X85" i="15"/>
  <c r="A86" i="15"/>
  <c r="AJ85" i="15"/>
  <c r="O85" i="15"/>
  <c r="A81" i="20"/>
  <c r="L80" i="20"/>
  <c r="AB80" i="20"/>
  <c r="X80" i="20"/>
  <c r="K80" i="20"/>
  <c r="AJ80" i="20"/>
  <c r="AK80" i="20"/>
  <c r="O80" i="20"/>
  <c r="AC80" i="20"/>
  <c r="D81" i="17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E81" i="17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L86" i="15"/>
  <c r="D86" i="15" s="1"/>
  <c r="X86" i="15"/>
  <c r="K86" i="15"/>
  <c r="AJ86" i="15"/>
  <c r="AC86" i="15"/>
  <c r="A87" i="15"/>
  <c r="AB86" i="15"/>
  <c r="AK86" i="15"/>
  <c r="O86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5" i="15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D83" i="17" s="1"/>
  <c r="A84" i="17"/>
  <c r="K83" i="17"/>
  <c r="AB83" i="17"/>
  <c r="AJ83" i="17"/>
  <c r="AK83" i="17"/>
  <c r="AC83" i="17"/>
  <c r="O83" i="17"/>
  <c r="D82" i="17"/>
  <c r="E82" i="17" s="1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3" i="16" l="1"/>
  <c r="E83" i="17"/>
  <c r="I83" i="1"/>
  <c r="L84" i="16"/>
  <c r="D84" i="16" s="1"/>
  <c r="X84" i="16"/>
  <c r="AK84" i="16"/>
  <c r="AC84" i="16"/>
  <c r="A85" i="16"/>
  <c r="AB84" i="16"/>
  <c r="K84" i="16"/>
  <c r="AJ84" i="16"/>
  <c r="O84" i="16"/>
  <c r="AB87" i="15"/>
  <c r="L87" i="15"/>
  <c r="D87" i="15" s="1"/>
  <c r="AK87" i="15"/>
  <c r="O87" i="15"/>
  <c r="E87" i="15" s="1"/>
  <c r="A88" i="15"/>
  <c r="X87" i="15"/>
  <c r="K87" i="15"/>
  <c r="AJ87" i="15"/>
  <c r="AC87" i="15"/>
  <c r="E86" i="15"/>
  <c r="AA84" i="1"/>
  <c r="Z84" i="1" s="1"/>
  <c r="Y84" i="1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D84" i="17" s="1"/>
  <c r="AJ84" i="17"/>
  <c r="AK84" i="17"/>
  <c r="AC84" i="17"/>
  <c r="O84" i="17"/>
  <c r="E84" i="17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I84" i="1" l="1"/>
  <c r="A34" i="7"/>
  <c r="A89" i="15"/>
  <c r="AB88" i="15"/>
  <c r="AJ88" i="15"/>
  <c r="O88" i="15"/>
  <c r="C34" i="7" s="1"/>
  <c r="L88" i="15"/>
  <c r="K88" i="15"/>
  <c r="X88" i="15"/>
  <c r="AK88" i="15"/>
  <c r="AC88" i="15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D85" i="17" s="1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B34" i="7" l="1"/>
  <c r="D88" i="15"/>
  <c r="E88" i="15" s="1"/>
  <c r="K89" i="15"/>
  <c r="L89" i="15"/>
  <c r="D89" i="15" s="1"/>
  <c r="A90" i="15"/>
  <c r="AJ89" i="15"/>
  <c r="AC89" i="15"/>
  <c r="X89" i="15"/>
  <c r="AB89" i="15"/>
  <c r="AK89" i="15"/>
  <c r="O89" i="15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E85" i="17"/>
  <c r="X86" i="17"/>
  <c r="L86" i="17"/>
  <c r="D86" i="17" s="1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6" i="17" l="1"/>
  <c r="E89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AB90" i="15"/>
  <c r="K90" i="15"/>
  <c r="AK90" i="15"/>
  <c r="O90" i="15"/>
  <c r="A91" i="15"/>
  <c r="AC90" i="15"/>
  <c r="X90" i="15"/>
  <c r="L90" i="15"/>
  <c r="D90" i="15" s="1"/>
  <c r="AJ90" i="15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7" i="16" l="1"/>
  <c r="X91" i="15"/>
  <c r="K91" i="15"/>
  <c r="AK91" i="15"/>
  <c r="AC91" i="15"/>
  <c r="A92" i="15"/>
  <c r="L91" i="15"/>
  <c r="D91" i="15" s="1"/>
  <c r="AB91" i="15"/>
  <c r="AJ91" i="15"/>
  <c r="O91" i="15"/>
  <c r="L88" i="16"/>
  <c r="X88" i="16"/>
  <c r="A89" i="16"/>
  <c r="AK88" i="16"/>
  <c r="AC88" i="16"/>
  <c r="K88" i="16"/>
  <c r="A46" i="7"/>
  <c r="AB88" i="16"/>
  <c r="AJ88" i="16"/>
  <c r="O88" i="16"/>
  <c r="C46" i="7" s="1"/>
  <c r="E90" i="15"/>
  <c r="D22" i="7"/>
  <c r="V88" i="1"/>
  <c r="X83" i="24"/>
  <c r="K83" i="24"/>
  <c r="L83" i="24"/>
  <c r="AB83" i="24"/>
  <c r="A84" i="24"/>
  <c r="AJ83" i="24"/>
  <c r="AK83" i="24"/>
  <c r="O83" i="24"/>
  <c r="AC83" i="24"/>
  <c r="D87" i="17"/>
  <c r="E87" i="17" s="1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I89" i="1" l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E91" i="15"/>
  <c r="K92" i="15"/>
  <c r="X92" i="15"/>
  <c r="AK92" i="15"/>
  <c r="O92" i="15"/>
  <c r="AB92" i="15"/>
  <c r="L92" i="15"/>
  <c r="D92" i="15" s="1"/>
  <c r="E92" i="15" s="1"/>
  <c r="A93" i="15"/>
  <c r="AJ92" i="15"/>
  <c r="AC92" i="15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D88" i="17"/>
  <c r="E88" i="17" s="1"/>
  <c r="X89" i="17"/>
  <c r="A90" i="17"/>
  <c r="L89" i="17"/>
  <c r="D89" i="17" s="1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AA89" i="1" l="1"/>
  <c r="Z89" i="1" s="1"/>
  <c r="Y89" i="1" s="1"/>
  <c r="I90" i="1"/>
  <c r="K90" i="16"/>
  <c r="AB90" i="16"/>
  <c r="AJ90" i="16"/>
  <c r="AC90" i="16"/>
  <c r="X90" i="16"/>
  <c r="A91" i="16"/>
  <c r="L90" i="16"/>
  <c r="D90" i="16" s="1"/>
  <c r="AK90" i="16"/>
  <c r="O90" i="16"/>
  <c r="A94" i="15"/>
  <c r="K93" i="15"/>
  <c r="AJ93" i="15"/>
  <c r="O93" i="15"/>
  <c r="L93" i="15"/>
  <c r="D93" i="15" s="1"/>
  <c r="AB93" i="15"/>
  <c r="X93" i="15"/>
  <c r="AK93" i="15"/>
  <c r="AC93" i="15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E89" i="17"/>
  <c r="A91" i="17"/>
  <c r="K90" i="17"/>
  <c r="AB90" i="17"/>
  <c r="L90" i="17"/>
  <c r="D90" i="17" s="1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AA90" i="1" l="1"/>
  <c r="Z90" i="1" s="1"/>
  <c r="Y90" i="1" s="1"/>
  <c r="E93" i="15"/>
  <c r="E90" i="16"/>
  <c r="K94" i="15"/>
  <c r="AB94" i="15"/>
  <c r="AJ94" i="15"/>
  <c r="O94" i="15"/>
  <c r="X94" i="15"/>
  <c r="L94" i="15"/>
  <c r="D94" i="15" s="1"/>
  <c r="A95" i="15"/>
  <c r="AK94" i="15"/>
  <c r="AC94" i="15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E90" i="17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1" i="16" l="1"/>
  <c r="E94" i="15"/>
  <c r="X92" i="16"/>
  <c r="L92" i="16"/>
  <c r="D92" i="16" s="1"/>
  <c r="A93" i="16"/>
  <c r="AJ92" i="16"/>
  <c r="O92" i="16"/>
  <c r="AB92" i="16"/>
  <c r="K92" i="16"/>
  <c r="AK92" i="16"/>
  <c r="AC92" i="16"/>
  <c r="X95" i="15"/>
  <c r="AC95" i="15"/>
  <c r="AB95" i="15"/>
  <c r="L95" i="15"/>
  <c r="D95" i="15" s="1"/>
  <c r="K95" i="15"/>
  <c r="AJ95" i="15"/>
  <c r="O95" i="15"/>
  <c r="A96" i="15"/>
  <c r="AK95" i="15"/>
  <c r="K89" i="22"/>
  <c r="A90" i="22"/>
  <c r="L89" i="22"/>
  <c r="X89" i="22"/>
  <c r="AB89" i="22"/>
  <c r="AJ89" i="22"/>
  <c r="AK89" i="22"/>
  <c r="O89" i="22"/>
  <c r="AC89" i="22"/>
  <c r="D91" i="17"/>
  <c r="E91" i="17" s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5" i="15" l="1"/>
  <c r="E92" i="16"/>
  <c r="K96" i="15"/>
  <c r="AB96" i="15"/>
  <c r="A97" i="15"/>
  <c r="AJ96" i="15"/>
  <c r="AC96" i="15"/>
  <c r="X96" i="15"/>
  <c r="L96" i="15"/>
  <c r="D96" i="15" s="1"/>
  <c r="AK96" i="15"/>
  <c r="O96" i="15"/>
  <c r="E96" i="15" s="1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I91" i="1"/>
  <c r="X87" i="25"/>
  <c r="L87" i="25"/>
  <c r="K87" i="25"/>
  <c r="AB87" i="25"/>
  <c r="A88" i="25"/>
  <c r="AJ87" i="25"/>
  <c r="O87" i="25"/>
  <c r="AK87" i="25"/>
  <c r="AC87" i="25"/>
  <c r="D92" i="17"/>
  <c r="E92" i="17" s="1"/>
  <c r="A94" i="17"/>
  <c r="K93" i="17"/>
  <c r="X93" i="17"/>
  <c r="AB93" i="17"/>
  <c r="L93" i="17"/>
  <c r="D93" i="17" s="1"/>
  <c r="AJ93" i="17"/>
  <c r="AK93" i="17"/>
  <c r="AC93" i="17"/>
  <c r="O93" i="17"/>
  <c r="E93" i="17" s="1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3" i="16" l="1"/>
  <c r="X94" i="16"/>
  <c r="A95" i="16"/>
  <c r="K94" i="16"/>
  <c r="O94" i="16"/>
  <c r="L94" i="16"/>
  <c r="D94" i="16" s="1"/>
  <c r="AB94" i="16"/>
  <c r="AK94" i="16"/>
  <c r="AC94" i="16"/>
  <c r="AJ94" i="16"/>
  <c r="L97" i="15"/>
  <c r="D97" i="15" s="1"/>
  <c r="AB97" i="15"/>
  <c r="K97" i="15"/>
  <c r="AJ97" i="15"/>
  <c r="AC97" i="15"/>
  <c r="X97" i="15"/>
  <c r="A98" i="15"/>
  <c r="AK97" i="15"/>
  <c r="O97" i="15"/>
  <c r="E97" i="15" s="1"/>
  <c r="I94" i="1"/>
  <c r="AA94" i="1"/>
  <c r="Z94" i="1" s="1"/>
  <c r="Y94" i="1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L98" i="15" l="1"/>
  <c r="D98" i="15" s="1"/>
  <c r="A99" i="15"/>
  <c r="K98" i="15"/>
  <c r="AK98" i="15"/>
  <c r="O98" i="15"/>
  <c r="E98" i="15" s="1"/>
  <c r="AB98" i="15"/>
  <c r="X98" i="15"/>
  <c r="AJ98" i="15"/>
  <c r="AC98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4" i="17"/>
  <c r="E94" i="17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E95" i="16" l="1"/>
  <c r="AB99" i="15"/>
  <c r="K99" i="15"/>
  <c r="A100" i="15"/>
  <c r="AJ99" i="15"/>
  <c r="AC99" i="15"/>
  <c r="L99" i="15"/>
  <c r="D99" i="15" s="1"/>
  <c r="X99" i="15"/>
  <c r="AK99" i="15"/>
  <c r="O99" i="15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D96" i="17" s="1"/>
  <c r="X96" i="17"/>
  <c r="K96" i="17"/>
  <c r="AJ96" i="17"/>
  <c r="AK96" i="17"/>
  <c r="AC96" i="17"/>
  <c r="O96" i="17"/>
  <c r="D95" i="17"/>
  <c r="E95" i="17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E96" i="17" l="1"/>
  <c r="E99" i="15"/>
  <c r="I96" i="1"/>
  <c r="E96" i="16"/>
  <c r="A101" i="15"/>
  <c r="L100" i="15"/>
  <c r="D100" i="15" s="1"/>
  <c r="AK100" i="15"/>
  <c r="O100" i="15"/>
  <c r="K100" i="15"/>
  <c r="AB100" i="15"/>
  <c r="X100" i="15"/>
  <c r="AJ100" i="15"/>
  <c r="AC100" i="15"/>
  <c r="K97" i="16"/>
  <c r="A98" i="16"/>
  <c r="AK97" i="16"/>
  <c r="AC97" i="16"/>
  <c r="AB97" i="16"/>
  <c r="L97" i="16"/>
  <c r="D97" i="16" s="1"/>
  <c r="X97" i="16"/>
  <c r="AJ97" i="16"/>
  <c r="O97" i="16"/>
  <c r="I97" i="1"/>
  <c r="AA97" i="1"/>
  <c r="Z97" i="1" s="1"/>
  <c r="Y97" i="1" s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7" i="16" l="1"/>
  <c r="A99" i="16"/>
  <c r="L98" i="16"/>
  <c r="D98" i="16" s="1"/>
  <c r="AJ98" i="16"/>
  <c r="AC98" i="16"/>
  <c r="X98" i="16"/>
  <c r="K98" i="16"/>
  <c r="AB98" i="16"/>
  <c r="AK98" i="16"/>
  <c r="O98" i="16"/>
  <c r="X101" i="15"/>
  <c r="K101" i="15"/>
  <c r="L101" i="15"/>
  <c r="D101" i="15" s="1"/>
  <c r="AK101" i="15"/>
  <c r="AC101" i="15"/>
  <c r="A102" i="15"/>
  <c r="AB101" i="15"/>
  <c r="AJ101" i="15"/>
  <c r="O101" i="15"/>
  <c r="E100" i="15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AA98" i="1"/>
  <c r="Z98" i="1" s="1"/>
  <c r="Y98" i="1" s="1"/>
  <c r="I98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D97" i="17"/>
  <c r="E97" i="17" s="1"/>
  <c r="AB98" i="17"/>
  <c r="K98" i="17"/>
  <c r="X98" i="17"/>
  <c r="A99" i="17"/>
  <c r="L98" i="17"/>
  <c r="D98" i="17" s="1"/>
  <c r="AK98" i="17"/>
  <c r="AJ98" i="17"/>
  <c r="AC98" i="17"/>
  <c r="O98" i="17"/>
  <c r="E98" i="17" l="1"/>
  <c r="E98" i="16"/>
  <c r="E101" i="15"/>
  <c r="A103" i="15"/>
  <c r="AB102" i="15"/>
  <c r="AK102" i="15"/>
  <c r="AC102" i="15"/>
  <c r="X102" i="15"/>
  <c r="O102" i="15"/>
  <c r="K102" i="15"/>
  <c r="L102" i="15"/>
  <c r="D102" i="15" s="1"/>
  <c r="AJ102" i="15"/>
  <c r="A100" i="16"/>
  <c r="L99" i="16"/>
  <c r="D99" i="16" s="1"/>
  <c r="X99" i="16"/>
  <c r="AJ99" i="16"/>
  <c r="O99" i="16"/>
  <c r="K99" i="16"/>
  <c r="AB99" i="16"/>
  <c r="AK99" i="16"/>
  <c r="AC99" i="16"/>
  <c r="I99" i="1"/>
  <c r="AA99" i="1"/>
  <c r="Z99" i="1" s="1"/>
  <c r="Y99" i="1" s="1"/>
  <c r="S100" i="1"/>
  <c r="R100" i="1" s="1"/>
  <c r="P100" i="1" s="1"/>
  <c r="V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D99" i="17" s="1"/>
  <c r="AJ99" i="17"/>
  <c r="AK99" i="17"/>
  <c r="AC99" i="17"/>
  <c r="O99" i="17"/>
  <c r="E99" i="17" s="1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E99" i="16" l="1"/>
  <c r="AB103" i="15"/>
  <c r="L103" i="15"/>
  <c r="D103" i="15" s="1"/>
  <c r="K103" i="15"/>
  <c r="AJ103" i="15"/>
  <c r="AC103" i="15"/>
  <c r="A104" i="15"/>
  <c r="X103" i="15"/>
  <c r="AK103" i="15"/>
  <c r="O103" i="15"/>
  <c r="L100" i="16"/>
  <c r="D100" i="16" s="1"/>
  <c r="X100" i="16"/>
  <c r="K100" i="16"/>
  <c r="AJ100" i="16"/>
  <c r="O100" i="16"/>
  <c r="AB100" i="16"/>
  <c r="A101" i="16"/>
  <c r="AK100" i="16"/>
  <c r="AC100" i="16"/>
  <c r="E102" i="15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D100" i="17" s="1"/>
  <c r="AB100" i="17"/>
  <c r="A101" i="17"/>
  <c r="AJ100" i="17"/>
  <c r="AK100" i="17"/>
  <c r="AC100" i="17"/>
  <c r="O100" i="17"/>
  <c r="E100" i="17" s="1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L101" i="16"/>
  <c r="D101" i="16" s="1"/>
  <c r="AB101" i="16"/>
  <c r="AK101" i="16"/>
  <c r="AC101" i="16"/>
  <c r="A102" i="16"/>
  <c r="K101" i="16"/>
  <c r="X101" i="16"/>
  <c r="AJ101" i="16"/>
  <c r="O101" i="16"/>
  <c r="E100" i="16"/>
  <c r="AB104" i="15"/>
  <c r="K104" i="15"/>
  <c r="A105" i="15"/>
  <c r="AK104" i="15"/>
  <c r="AC104" i="15"/>
  <c r="L104" i="15"/>
  <c r="D104" i="15" s="1"/>
  <c r="X104" i="15"/>
  <c r="AJ104" i="15"/>
  <c r="O104" i="15"/>
  <c r="E103" i="15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4" i="15" l="1"/>
  <c r="X105" i="15"/>
  <c r="AB105" i="15"/>
  <c r="AK105" i="15"/>
  <c r="O105" i="15"/>
  <c r="L105" i="15"/>
  <c r="D105" i="15" s="1"/>
  <c r="A106" i="15"/>
  <c r="K105" i="15"/>
  <c r="AJ105" i="15"/>
  <c r="AC105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D101" i="17"/>
  <c r="E101" i="17" s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E102" i="16" l="1"/>
  <c r="E105" i="15"/>
  <c r="A104" i="16"/>
  <c r="X103" i="16"/>
  <c r="L103" i="16"/>
  <c r="D103" i="16" s="1"/>
  <c r="AJ103" i="16"/>
  <c r="O103" i="16"/>
  <c r="AB103" i="16"/>
  <c r="K103" i="16"/>
  <c r="AK103" i="16"/>
  <c r="AC103" i="16"/>
  <c r="L106" i="15"/>
  <c r="D106" i="15" s="1"/>
  <c r="A107" i="15"/>
  <c r="K106" i="15"/>
  <c r="O106" i="15"/>
  <c r="X106" i="15"/>
  <c r="AB106" i="15"/>
  <c r="AK106" i="15"/>
  <c r="AC106" i="15"/>
  <c r="AJ106" i="15"/>
  <c r="D102" i="17"/>
  <c r="E102" i="17" s="1"/>
  <c r="AB103" i="17"/>
  <c r="X103" i="17"/>
  <c r="L103" i="17"/>
  <c r="D103" i="17" s="1"/>
  <c r="K103" i="17"/>
  <c r="A104" i="17"/>
  <c r="AJ103" i="17"/>
  <c r="AK103" i="17"/>
  <c r="AC103" i="17"/>
  <c r="O103" i="17"/>
  <c r="E103" i="17" s="1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6" i="15" l="1"/>
  <c r="A108" i="15"/>
  <c r="K107" i="15"/>
  <c r="AK107" i="15"/>
  <c r="AC107" i="15"/>
  <c r="L107" i="15"/>
  <c r="D107" i="15" s="1"/>
  <c r="AB107" i="15"/>
  <c r="X107" i="15"/>
  <c r="AJ107" i="15"/>
  <c r="O107" i="15"/>
  <c r="E107" i="15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I104" i="1"/>
  <c r="AA104" i="1"/>
  <c r="Z104" i="1" s="1"/>
  <c r="Y104" i="1" s="1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K104" i="17"/>
  <c r="X104" i="17"/>
  <c r="L104" i="17"/>
  <c r="D104" i="17" s="1"/>
  <c r="A105" i="17"/>
  <c r="AB104" i="17"/>
  <c r="AJ104" i="17"/>
  <c r="AK104" i="17"/>
  <c r="O104" i="17"/>
  <c r="AC104" i="17"/>
  <c r="AA103" i="1"/>
  <c r="Z103" i="1" s="1"/>
  <c r="Y103" i="1" s="1"/>
  <c r="I103" i="1"/>
  <c r="E104" i="17" l="1"/>
  <c r="AB105" i="16"/>
  <c r="K105" i="16"/>
  <c r="AJ105" i="16"/>
  <c r="AC105" i="16"/>
  <c r="L105" i="16"/>
  <c r="D105" i="16" s="1"/>
  <c r="X105" i="16"/>
  <c r="A106" i="16"/>
  <c r="AK105" i="16"/>
  <c r="O105" i="16"/>
  <c r="E104" i="16"/>
  <c r="K108" i="15"/>
  <c r="L108" i="15"/>
  <c r="D108" i="15" s="1"/>
  <c r="X108" i="15"/>
  <c r="AK108" i="15"/>
  <c r="AC108" i="15"/>
  <c r="A109" i="15"/>
  <c r="AB108" i="15"/>
  <c r="AJ108" i="15"/>
  <c r="O108" i="15"/>
  <c r="I105" i="1"/>
  <c r="AA105" i="1"/>
  <c r="Z105" i="1" s="1"/>
  <c r="Y105" i="1" s="1"/>
  <c r="A106" i="17"/>
  <c r="K105" i="17"/>
  <c r="L105" i="17"/>
  <c r="D105" i="17" s="1"/>
  <c r="X105" i="17"/>
  <c r="AB105" i="17"/>
  <c r="AJ105" i="17"/>
  <c r="AK105" i="17"/>
  <c r="AC105" i="17"/>
  <c r="O105" i="17"/>
  <c r="E105" i="17" s="1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s="1"/>
  <c r="AB106" i="16" l="1"/>
  <c r="K106" i="16"/>
  <c r="AK106" i="16"/>
  <c r="AC106" i="16"/>
  <c r="X106" i="16"/>
  <c r="L106" i="16"/>
  <c r="D106" i="16" s="1"/>
  <c r="A107" i="16"/>
  <c r="AJ106" i="16"/>
  <c r="O106" i="16"/>
  <c r="E105" i="16"/>
  <c r="X109" i="15"/>
  <c r="AB109" i="15"/>
  <c r="AK109" i="15"/>
  <c r="O109" i="15"/>
  <c r="A110" i="15"/>
  <c r="L109" i="15"/>
  <c r="D109" i="15" s="1"/>
  <c r="K109" i="15"/>
  <c r="AJ109" i="15"/>
  <c r="AC109" i="15"/>
  <c r="E108" i="15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D106" i="17" s="1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9" i="15" l="1"/>
  <c r="E106" i="17"/>
  <c r="E106" i="16"/>
  <c r="I106" i="1"/>
  <c r="AA106" i="1"/>
  <c r="Z106" i="1" s="1"/>
  <c r="Y106" i="1" s="1"/>
  <c r="AB110" i="15"/>
  <c r="L110" i="15"/>
  <c r="D110" i="15" s="1"/>
  <c r="A111" i="15"/>
  <c r="AJ110" i="15"/>
  <c r="O110" i="15"/>
  <c r="X110" i="15"/>
  <c r="K110" i="15"/>
  <c r="AK110" i="15"/>
  <c r="AC110" i="15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D107" i="17" s="1"/>
  <c r="AJ107" i="17"/>
  <c r="AK107" i="17"/>
  <c r="AC107" i="17"/>
  <c r="O107" i="17"/>
  <c r="E107" i="17" s="1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E107" i="16" l="1"/>
  <c r="E110" i="15"/>
  <c r="I107" i="1"/>
  <c r="AA107" i="1"/>
  <c r="Z107" i="1" s="1"/>
  <c r="Y107" i="1" s="1"/>
  <c r="L111" i="15"/>
  <c r="D111" i="15" s="1"/>
  <c r="A112" i="15"/>
  <c r="AK111" i="15"/>
  <c r="O111" i="15"/>
  <c r="AB111" i="15"/>
  <c r="X111" i="15"/>
  <c r="K111" i="15"/>
  <c r="AJ111" i="15"/>
  <c r="AC111" i="15"/>
  <c r="K108" i="16"/>
  <c r="O108" i="16"/>
  <c r="L108" i="16"/>
  <c r="D108" i="16" s="1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E111" i="15" l="1"/>
  <c r="E108" i="16"/>
  <c r="A113" i="15"/>
  <c r="K112" i="15"/>
  <c r="AJ112" i="15"/>
  <c r="O112" i="15"/>
  <c r="L112" i="15"/>
  <c r="D112" i="15" s="1"/>
  <c r="AB112" i="15"/>
  <c r="X112" i="15"/>
  <c r="AK112" i="15"/>
  <c r="AC112" i="15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A109" i="1"/>
  <c r="Z109" i="1" s="1"/>
  <c r="Y109" i="1" s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08" i="17"/>
  <c r="E108" i="17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09" i="16" l="1"/>
  <c r="X113" i="15"/>
  <c r="K113" i="15"/>
  <c r="AB113" i="15"/>
  <c r="AJ113" i="15"/>
  <c r="O113" i="15"/>
  <c r="A114" i="15"/>
  <c r="L113" i="15"/>
  <c r="D113" i="15" s="1"/>
  <c r="AK113" i="15"/>
  <c r="AC113" i="15"/>
  <c r="X110" i="16"/>
  <c r="L110" i="16"/>
  <c r="D110" i="16" s="1"/>
  <c r="AJ110" i="16"/>
  <c r="AC110" i="16"/>
  <c r="K110" i="16"/>
  <c r="A111" i="16"/>
  <c r="AB110" i="16"/>
  <c r="AK110" i="16"/>
  <c r="O110" i="16"/>
  <c r="E112" i="15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D109" i="17"/>
  <c r="E109" i="17" s="1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E110" i="16" l="1"/>
  <c r="L111" i="16"/>
  <c r="D111" i="16" s="1"/>
  <c r="A112" i="16"/>
  <c r="K111" i="16"/>
  <c r="AJ111" i="16"/>
  <c r="O111" i="16"/>
  <c r="X111" i="16"/>
  <c r="AB111" i="16"/>
  <c r="AK111" i="16"/>
  <c r="AC111" i="16"/>
  <c r="E113" i="15"/>
  <c r="A115" i="15"/>
  <c r="X114" i="15"/>
  <c r="AK114" i="15"/>
  <c r="O114" i="15"/>
  <c r="AB114" i="15"/>
  <c r="L114" i="15"/>
  <c r="D114" i="15" s="1"/>
  <c r="E114" i="15" s="1"/>
  <c r="K114" i="15"/>
  <c r="AJ114" i="15"/>
  <c r="AC114" i="15"/>
  <c r="AA111" i="1"/>
  <c r="Z111" i="1" s="1"/>
  <c r="Y111" i="1" s="1"/>
  <c r="I111" i="1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0" i="17"/>
  <c r="E110" i="17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L115" i="15" l="1"/>
  <c r="D115" i="15" s="1"/>
  <c r="AB115" i="15"/>
  <c r="A116" i="15"/>
  <c r="AK115" i="15"/>
  <c r="AC115" i="15"/>
  <c r="K115" i="15"/>
  <c r="X115" i="15"/>
  <c r="AJ115" i="15"/>
  <c r="O115" i="15"/>
  <c r="E115" i="15" s="1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D111" i="17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E111" i="17"/>
  <c r="K112" i="17"/>
  <c r="X112" i="17"/>
  <c r="L112" i="17"/>
  <c r="D112" i="17" s="1"/>
  <c r="A113" i="17"/>
  <c r="AB112" i="17"/>
  <c r="AK112" i="17"/>
  <c r="AJ112" i="17"/>
  <c r="O112" i="17"/>
  <c r="AC112" i="17"/>
  <c r="T113" i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2" i="16" l="1"/>
  <c r="AB116" i="15"/>
  <c r="X116" i="15"/>
  <c r="K116" i="15"/>
  <c r="AK116" i="15"/>
  <c r="AC116" i="15"/>
  <c r="L116" i="15"/>
  <c r="D116" i="15" s="1"/>
  <c r="A117" i="15"/>
  <c r="AJ116" i="15"/>
  <c r="O116" i="15"/>
  <c r="E112" i="17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X113" i="17"/>
  <c r="K113" i="17"/>
  <c r="A114" i="17"/>
  <c r="L113" i="17"/>
  <c r="D113" i="17" s="1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3" i="17" l="1"/>
  <c r="X114" i="16"/>
  <c r="A115" i="16"/>
  <c r="AK114" i="16"/>
  <c r="AC114" i="16"/>
  <c r="AB114" i="16"/>
  <c r="L114" i="16"/>
  <c r="D114" i="16" s="1"/>
  <c r="K114" i="16"/>
  <c r="AJ114" i="16"/>
  <c r="O114" i="16"/>
  <c r="E116" i="15"/>
  <c r="L117" i="15"/>
  <c r="D117" i="15" s="1"/>
  <c r="K117" i="15"/>
  <c r="AK117" i="15"/>
  <c r="O117" i="15"/>
  <c r="X117" i="15"/>
  <c r="AB117" i="15"/>
  <c r="A118" i="15"/>
  <c r="AJ117" i="15"/>
  <c r="AC117" i="15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E117" i="15" l="1"/>
  <c r="E114" i="16"/>
  <c r="AB118" i="15"/>
  <c r="L118" i="15"/>
  <c r="D118" i="15" s="1"/>
  <c r="AK118" i="15"/>
  <c r="AC118" i="15"/>
  <c r="X118" i="15"/>
  <c r="AJ118" i="15"/>
  <c r="A119" i="15"/>
  <c r="K118" i="15"/>
  <c r="O118" i="15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AA114" i="1"/>
  <c r="Z114" i="1" s="1"/>
  <c r="Y114" i="1" s="1"/>
  <c r="I114" i="1"/>
  <c r="D114" i="17"/>
  <c r="E114" i="17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A117" i="16" l="1"/>
  <c r="L116" i="16"/>
  <c r="D116" i="16" s="1"/>
  <c r="AJ116" i="16"/>
  <c r="AC116" i="16"/>
  <c r="AB116" i="16"/>
  <c r="K116" i="16"/>
  <c r="AK116" i="16"/>
  <c r="O116" i="16"/>
  <c r="X116" i="16"/>
  <c r="E115" i="16"/>
  <c r="E118" i="15"/>
  <c r="A35" i="7"/>
  <c r="K119" i="15"/>
  <c r="X119" i="15"/>
  <c r="AJ119" i="15"/>
  <c r="AC119" i="15"/>
  <c r="A120" i="15"/>
  <c r="AB119" i="15"/>
  <c r="L119" i="15"/>
  <c r="AK119" i="15"/>
  <c r="O119" i="15"/>
  <c r="C35" i="7" s="1"/>
  <c r="A114" i="22"/>
  <c r="L113" i="22"/>
  <c r="X113" i="22"/>
  <c r="K113" i="22"/>
  <c r="AB113" i="22"/>
  <c r="AJ113" i="22"/>
  <c r="AK113" i="22"/>
  <c r="O113" i="22"/>
  <c r="AC113" i="22"/>
  <c r="D115" i="17"/>
  <c r="E115" i="17" s="1"/>
  <c r="X116" i="17"/>
  <c r="K116" i="17"/>
  <c r="A117" i="17"/>
  <c r="L116" i="17"/>
  <c r="AB116" i="17"/>
  <c r="AJ116" i="17"/>
  <c r="AK116" i="17"/>
  <c r="O116" i="17"/>
  <c r="AC116" i="17"/>
  <c r="I116" i="1"/>
  <c r="AA116" i="1"/>
  <c r="Z116" i="1" s="1"/>
  <c r="Y116" i="1" s="1"/>
  <c r="AB111" i="24"/>
  <c r="A112" i="24"/>
  <c r="K111" i="24"/>
  <c r="L111" i="24"/>
  <c r="X111" i="24"/>
  <c r="AJ111" i="24"/>
  <c r="AK111" i="24"/>
  <c r="O111" i="24"/>
  <c r="AC111" i="24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E116" i="16" l="1"/>
  <c r="B35" i="7"/>
  <c r="D119" i="15"/>
  <c r="E119" i="15" s="1"/>
  <c r="K120" i="15"/>
  <c r="X120" i="15"/>
  <c r="AJ120" i="15"/>
  <c r="AC120" i="15"/>
  <c r="A121" i="15"/>
  <c r="L120" i="15"/>
  <c r="D120" i="15" s="1"/>
  <c r="AB120" i="15"/>
  <c r="AK120" i="15"/>
  <c r="O120" i="15"/>
  <c r="A118" i="16"/>
  <c r="K117" i="16"/>
  <c r="AJ117" i="16"/>
  <c r="AC117" i="16"/>
  <c r="X117" i="16"/>
  <c r="AB117" i="16"/>
  <c r="L117" i="16"/>
  <c r="D117" i="16" s="1"/>
  <c r="AK117" i="16"/>
  <c r="O117" i="16"/>
  <c r="I117" i="1"/>
  <c r="AA117" i="1"/>
  <c r="Z117" i="1" s="1"/>
  <c r="Y117" i="1" s="1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D117" i="17" s="1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D116" i="17"/>
  <c r="E116" i="17" s="1"/>
  <c r="K114" i="22"/>
  <c r="AB114" i="22"/>
  <c r="A115" i="22"/>
  <c r="X114" i="22"/>
  <c r="L114" i="22"/>
  <c r="AK114" i="22"/>
  <c r="AJ114" i="22"/>
  <c r="O114" i="22"/>
  <c r="AC114" i="22"/>
  <c r="E120" i="15" l="1"/>
  <c r="L121" i="15"/>
  <c r="D121" i="15" s="1"/>
  <c r="A122" i="15"/>
  <c r="AK121" i="15"/>
  <c r="O121" i="15"/>
  <c r="K121" i="15"/>
  <c r="X121" i="15"/>
  <c r="AB121" i="15"/>
  <c r="AJ121" i="15"/>
  <c r="AC121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E117" i="17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E121" i="15" l="1"/>
  <c r="E118" i="16"/>
  <c r="AB122" i="15"/>
  <c r="L122" i="15"/>
  <c r="D122" i="15" s="1"/>
  <c r="AK122" i="15"/>
  <c r="O122" i="15"/>
  <c r="E122" i="15" s="1"/>
  <c r="X122" i="15"/>
  <c r="A123" i="15"/>
  <c r="K122" i="15"/>
  <c r="AJ122" i="15"/>
  <c r="AC122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D118" i="17"/>
  <c r="E118" i="17" s="1"/>
  <c r="I118" i="1"/>
  <c r="AA118" i="1"/>
  <c r="Z118" i="1" s="1"/>
  <c r="Y118" i="1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I120" i="1" l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K123" i="15"/>
  <c r="X123" i="15"/>
  <c r="AB123" i="15"/>
  <c r="AK123" i="15"/>
  <c r="O123" i="15"/>
  <c r="A124" i="15"/>
  <c r="L123" i="15"/>
  <c r="D123" i="15" s="1"/>
  <c r="AJ123" i="15"/>
  <c r="AC123" i="15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D120" i="17" s="1"/>
  <c r="AB120" i="17"/>
  <c r="AJ120" i="17"/>
  <c r="AK120" i="17"/>
  <c r="AC120" i="17"/>
  <c r="O120" i="17"/>
  <c r="B59" i="7"/>
  <c r="D119" i="17"/>
  <c r="E119" i="17" s="1"/>
  <c r="E120" i="17" l="1"/>
  <c r="E120" i="16"/>
  <c r="AA120" i="1"/>
  <c r="Z120" i="1" s="1"/>
  <c r="Y120" i="1" s="1"/>
  <c r="E123" i="15"/>
  <c r="K124" i="15"/>
  <c r="A125" i="15"/>
  <c r="AB124" i="15"/>
  <c r="AK124" i="15"/>
  <c r="AC124" i="15"/>
  <c r="L124" i="15"/>
  <c r="D124" i="15" s="1"/>
  <c r="X124" i="15"/>
  <c r="AJ124" i="15"/>
  <c r="O124" i="15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1" i="16" l="1"/>
  <c r="E124" i="15"/>
  <c r="L122" i="16"/>
  <c r="D122" i="16" s="1"/>
  <c r="X122" i="16"/>
  <c r="AJ122" i="16"/>
  <c r="AC122" i="16"/>
  <c r="AB122" i="16"/>
  <c r="A123" i="16"/>
  <c r="K122" i="16"/>
  <c r="AK122" i="16"/>
  <c r="O122" i="16"/>
  <c r="A126" i="15"/>
  <c r="L125" i="15"/>
  <c r="D125" i="15" s="1"/>
  <c r="AB125" i="15"/>
  <c r="AJ125" i="15"/>
  <c r="AC125" i="15"/>
  <c r="K125" i="15"/>
  <c r="X125" i="15"/>
  <c r="AK125" i="15"/>
  <c r="O125" i="15"/>
  <c r="I121" i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D121" i="17"/>
  <c r="E121" i="17" s="1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L122" i="17"/>
  <c r="D122" i="17" s="1"/>
  <c r="AB122" i="17"/>
  <c r="A123" i="17"/>
  <c r="X122" i="17"/>
  <c r="K122" i="17"/>
  <c r="AJ122" i="17"/>
  <c r="AK122" i="17"/>
  <c r="AC122" i="17"/>
  <c r="O122" i="17"/>
  <c r="E122" i="17" s="1"/>
  <c r="AB116" i="25"/>
  <c r="K116" i="25"/>
  <c r="X116" i="25"/>
  <c r="A117" i="25"/>
  <c r="L116" i="25"/>
  <c r="AJ116" i="25"/>
  <c r="O116" i="25"/>
  <c r="AK116" i="25"/>
  <c r="AC116" i="25"/>
  <c r="K126" i="15" l="1"/>
  <c r="X126" i="15"/>
  <c r="AK126" i="15"/>
  <c r="O126" i="15"/>
  <c r="L126" i="15"/>
  <c r="D126" i="15" s="1"/>
  <c r="AB126" i="15"/>
  <c r="A127" i="15"/>
  <c r="AJ126" i="15"/>
  <c r="AC126" i="15"/>
  <c r="L123" i="16"/>
  <c r="D123" i="16" s="1"/>
  <c r="X123" i="16"/>
  <c r="AB123" i="16"/>
  <c r="AJ123" i="16"/>
  <c r="O123" i="16"/>
  <c r="K123" i="16"/>
  <c r="A124" i="16"/>
  <c r="AK123" i="16"/>
  <c r="AC123" i="16"/>
  <c r="E125" i="15"/>
  <c r="E122" i="16"/>
  <c r="S124" i="1"/>
  <c r="R124" i="1" s="1"/>
  <c r="P124" i="1" s="1"/>
  <c r="V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D123" i="17" s="1"/>
  <c r="X123" i="17"/>
  <c r="A124" i="17"/>
  <c r="AB123" i="17"/>
  <c r="AJ123" i="17"/>
  <c r="AK123" i="17"/>
  <c r="O123" i="17"/>
  <c r="E123" i="17" s="1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6" i="15" l="1"/>
  <c r="X124" i="16"/>
  <c r="AB124" i="16"/>
  <c r="K124" i="16"/>
  <c r="L124" i="16"/>
  <c r="D124" i="16" s="1"/>
  <c r="AK124" i="16"/>
  <c r="O124" i="16"/>
  <c r="A125" i="16"/>
  <c r="AJ124" i="16"/>
  <c r="AC124" i="16"/>
  <c r="E123" i="16"/>
  <c r="L127" i="15"/>
  <c r="D127" i="15" s="1"/>
  <c r="AB127" i="15"/>
  <c r="AK127" i="15"/>
  <c r="AC127" i="15"/>
  <c r="A128" i="15"/>
  <c r="X127" i="15"/>
  <c r="K127" i="15"/>
  <c r="AJ127" i="15"/>
  <c r="O127" i="15"/>
  <c r="E127" i="15" s="1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E124" i="16" l="1"/>
  <c r="X128" i="15"/>
  <c r="A129" i="15"/>
  <c r="AJ128" i="15"/>
  <c r="O128" i="15"/>
  <c r="K128" i="15"/>
  <c r="L128" i="15"/>
  <c r="D128" i="15" s="1"/>
  <c r="AB128" i="15"/>
  <c r="AK128" i="15"/>
  <c r="AC128" i="15"/>
  <c r="A126" i="16"/>
  <c r="L125" i="16"/>
  <c r="D125" i="16" s="1"/>
  <c r="AK125" i="16"/>
  <c r="AC125" i="16"/>
  <c r="X125" i="16"/>
  <c r="AB125" i="16"/>
  <c r="K125" i="16"/>
  <c r="AJ125" i="16"/>
  <c r="O125" i="16"/>
  <c r="T126" i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D124" i="17"/>
  <c r="E124" i="17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AB126" i="16" l="1"/>
  <c r="X126" i="16"/>
  <c r="L126" i="16"/>
  <c r="D126" i="16" s="1"/>
  <c r="AK126" i="16"/>
  <c r="AC126" i="16"/>
  <c r="A127" i="16"/>
  <c r="K126" i="16"/>
  <c r="AJ126" i="16"/>
  <c r="O126" i="16"/>
  <c r="E128" i="15"/>
  <c r="L129" i="15"/>
  <c r="D129" i="15" s="1"/>
  <c r="AB129" i="15"/>
  <c r="X129" i="15"/>
  <c r="AJ129" i="15"/>
  <c r="AC129" i="15"/>
  <c r="K129" i="15"/>
  <c r="A130" i="15"/>
  <c r="AK129" i="15"/>
  <c r="O129" i="15"/>
  <c r="E129" i="15" s="1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D125" i="17"/>
  <c r="E125" i="17" s="1"/>
  <c r="S126" i="1"/>
  <c r="R126" i="1" s="1"/>
  <c r="P126" i="1" s="1"/>
  <c r="V126" i="1" s="1"/>
  <c r="A131" i="15" l="1"/>
  <c r="L130" i="15"/>
  <c r="D130" i="15" s="1"/>
  <c r="AJ130" i="15"/>
  <c r="O130" i="15"/>
  <c r="E130" i="15" s="1"/>
  <c r="K130" i="15"/>
  <c r="AB130" i="15"/>
  <c r="X130" i="15"/>
  <c r="AK130" i="15"/>
  <c r="AC130" i="15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AA127" i="1"/>
  <c r="Z127" i="1" s="1"/>
  <c r="Y127" i="1" s="1"/>
  <c r="I127" i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I125" i="1"/>
  <c r="AA125" i="1"/>
  <c r="Z125" i="1" s="1"/>
  <c r="Y125" i="1" s="1"/>
  <c r="V128" i="1"/>
  <c r="D126" i="17"/>
  <c r="E126" i="17" s="1"/>
  <c r="E127" i="16" l="1"/>
  <c r="X128" i="16"/>
  <c r="L128" i="16"/>
  <c r="D128" i="16" s="1"/>
  <c r="K128" i="16"/>
  <c r="AK128" i="16"/>
  <c r="O128" i="16"/>
  <c r="A129" i="16"/>
  <c r="AB128" i="16"/>
  <c r="AJ128" i="16"/>
  <c r="AC128" i="16"/>
  <c r="K131" i="15"/>
  <c r="X131" i="15"/>
  <c r="AK131" i="15"/>
  <c r="O131" i="15"/>
  <c r="A132" i="15"/>
  <c r="L131" i="15"/>
  <c r="D131" i="15" s="1"/>
  <c r="E131" i="15" s="1"/>
  <c r="AB131" i="15"/>
  <c r="AJ131" i="15"/>
  <c r="AC131" i="15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D127" i="17"/>
  <c r="E127" i="17" s="1"/>
  <c r="S129" i="1"/>
  <c r="R129" i="1" s="1"/>
  <c r="P129" i="1" s="1"/>
  <c r="V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E128" i="16" l="1"/>
  <c r="A133" i="15"/>
  <c r="K132" i="15"/>
  <c r="AK132" i="15"/>
  <c r="O132" i="15"/>
  <c r="X132" i="15"/>
  <c r="AB132" i="15"/>
  <c r="L132" i="15"/>
  <c r="D132" i="15" s="1"/>
  <c r="AJ132" i="15"/>
  <c r="AC132" i="15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D128" i="17"/>
  <c r="E128" i="17" s="1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A131" i="16" l="1"/>
  <c r="AB130" i="16"/>
  <c r="X130" i="16"/>
  <c r="AJ130" i="16"/>
  <c r="O130" i="16"/>
  <c r="L130" i="16"/>
  <c r="D130" i="16" s="1"/>
  <c r="K130" i="16"/>
  <c r="AK130" i="16"/>
  <c r="AC130" i="16"/>
  <c r="E129" i="16"/>
  <c r="E132" i="15"/>
  <c r="A134" i="15"/>
  <c r="O133" i="15"/>
  <c r="K133" i="15"/>
  <c r="L133" i="15"/>
  <c r="D133" i="15" s="1"/>
  <c r="AB133" i="15"/>
  <c r="AJ133" i="15"/>
  <c r="AC133" i="15"/>
  <c r="X133" i="15"/>
  <c r="AK133" i="15"/>
  <c r="AA130" i="1"/>
  <c r="Z130" i="1" s="1"/>
  <c r="Y130" i="1" s="1"/>
  <c r="I130" i="1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D129" i="17"/>
  <c r="E129" i="17" s="1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AA129" i="1"/>
  <c r="Z129" i="1" s="1"/>
  <c r="Y129" i="1" s="1"/>
  <c r="E130" i="16" l="1"/>
  <c r="K134" i="15"/>
  <c r="AB134" i="15"/>
  <c r="L134" i="15"/>
  <c r="D134" i="15" s="1"/>
  <c r="AJ134" i="15"/>
  <c r="O134" i="15"/>
  <c r="X134" i="15"/>
  <c r="A135" i="15"/>
  <c r="AK134" i="15"/>
  <c r="AC134" i="15"/>
  <c r="E133" i="15"/>
  <c r="K131" i="16"/>
  <c r="X131" i="16"/>
  <c r="AJ131" i="16"/>
  <c r="AC131" i="16"/>
  <c r="L131" i="16"/>
  <c r="D131" i="16" s="1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D130" i="17"/>
  <c r="E130" i="17" s="1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A133" i="16" l="1"/>
  <c r="L132" i="16"/>
  <c r="D132" i="16" s="1"/>
  <c r="K132" i="16"/>
  <c r="AK132" i="16"/>
  <c r="O132" i="16"/>
  <c r="X132" i="16"/>
  <c r="AB132" i="16"/>
  <c r="AJ132" i="16"/>
  <c r="AC132" i="16"/>
  <c r="E131" i="16"/>
  <c r="L135" i="15"/>
  <c r="D135" i="15" s="1"/>
  <c r="O135" i="15"/>
  <c r="A136" i="15"/>
  <c r="AB135" i="15"/>
  <c r="X135" i="15"/>
  <c r="AK135" i="15"/>
  <c r="AC135" i="15"/>
  <c r="K135" i="15"/>
  <c r="AJ135" i="15"/>
  <c r="E134" i="15"/>
  <c r="S133" i="1"/>
  <c r="R133" i="1" s="1"/>
  <c r="P133" i="1" s="1"/>
  <c r="V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D131" i="17"/>
  <c r="E131" i="17" s="1"/>
  <c r="A130" i="22"/>
  <c r="AB129" i="22"/>
  <c r="L129" i="22"/>
  <c r="K129" i="22"/>
  <c r="X129" i="22"/>
  <c r="AK129" i="22"/>
  <c r="AJ129" i="22"/>
  <c r="O129" i="22"/>
  <c r="AC129" i="22"/>
  <c r="E135" i="15" l="1"/>
  <c r="E132" i="16"/>
  <c r="L136" i="15"/>
  <c r="D136" i="15" s="1"/>
  <c r="X136" i="15"/>
  <c r="AB136" i="15"/>
  <c r="AK136" i="15"/>
  <c r="AC136" i="15"/>
  <c r="K136" i="15"/>
  <c r="A137" i="15"/>
  <c r="AJ136" i="15"/>
  <c r="O136" i="15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D132" i="17"/>
  <c r="E132" i="17" s="1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K132" i="18"/>
  <c r="L132" i="18"/>
  <c r="AB132" i="18"/>
  <c r="X132" i="18"/>
  <c r="A133" i="18"/>
  <c r="O132" i="18"/>
  <c r="AJ132" i="18"/>
  <c r="AK132" i="18"/>
  <c r="AC132" i="18"/>
  <c r="E133" i="16" l="1"/>
  <c r="AA134" i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K137" i="15"/>
  <c r="L137" i="15"/>
  <c r="D137" i="15" s="1"/>
  <c r="A138" i="15"/>
  <c r="AJ137" i="15"/>
  <c r="O137" i="15"/>
  <c r="X137" i="15"/>
  <c r="AB137" i="15"/>
  <c r="AK137" i="15"/>
  <c r="AC137" i="15"/>
  <c r="E136" i="15"/>
  <c r="I134" i="1"/>
  <c r="I132" i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D133" i="17"/>
  <c r="E133" i="17" s="1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S135" i="1"/>
  <c r="R135" i="1" s="1"/>
  <c r="P135" i="1" s="1"/>
  <c r="V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7" i="15" l="1"/>
  <c r="X135" i="16"/>
  <c r="L135" i="16"/>
  <c r="D135" i="16" s="1"/>
  <c r="AK135" i="16"/>
  <c r="AC135" i="16"/>
  <c r="AB135" i="16"/>
  <c r="K135" i="16"/>
  <c r="A136" i="16"/>
  <c r="AJ135" i="16"/>
  <c r="O135" i="16"/>
  <c r="AB138" i="15"/>
  <c r="K138" i="15"/>
  <c r="AK138" i="15"/>
  <c r="AC138" i="15"/>
  <c r="X138" i="15"/>
  <c r="L138" i="15"/>
  <c r="D138" i="15" s="1"/>
  <c r="A139" i="15"/>
  <c r="AJ138" i="15"/>
  <c r="O138" i="15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D134" i="17"/>
  <c r="E134" i="17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E135" i="16" l="1"/>
  <c r="AB139" i="15"/>
  <c r="A140" i="15"/>
  <c r="AK139" i="15"/>
  <c r="O139" i="15"/>
  <c r="X139" i="15"/>
  <c r="K139" i="15"/>
  <c r="L139" i="15"/>
  <c r="D139" i="15" s="1"/>
  <c r="AJ139" i="15"/>
  <c r="AC139" i="15"/>
  <c r="E138" i="15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D135" i="17"/>
  <c r="E135" i="17" s="1"/>
  <c r="I135" i="1"/>
  <c r="AA135" i="1"/>
  <c r="Z135" i="1" s="1"/>
  <c r="Y135" i="1" s="1"/>
  <c r="E139" i="15" l="1"/>
  <c r="AB137" i="16"/>
  <c r="K137" i="16"/>
  <c r="AJ137" i="16"/>
  <c r="AC137" i="16"/>
  <c r="X137" i="16"/>
  <c r="L137" i="16"/>
  <c r="D137" i="16" s="1"/>
  <c r="A138" i="16"/>
  <c r="AK137" i="16"/>
  <c r="O137" i="16"/>
  <c r="L140" i="15"/>
  <c r="D140" i="15" s="1"/>
  <c r="K140" i="15"/>
  <c r="AK140" i="15"/>
  <c r="O140" i="15"/>
  <c r="AB140" i="15"/>
  <c r="A141" i="15"/>
  <c r="X140" i="15"/>
  <c r="AJ140" i="15"/>
  <c r="AC140" i="15"/>
  <c r="AA137" i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D136" i="17"/>
  <c r="E136" i="17" s="1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7" i="16" l="1"/>
  <c r="I137" i="1"/>
  <c r="X141" i="15"/>
  <c r="L141" i="15"/>
  <c r="D141" i="15" s="1"/>
  <c r="AJ141" i="15"/>
  <c r="AC141" i="15"/>
  <c r="AB141" i="15"/>
  <c r="K141" i="15"/>
  <c r="A142" i="15"/>
  <c r="AK141" i="15"/>
  <c r="O141" i="15"/>
  <c r="E140" i="15"/>
  <c r="A139" i="16"/>
  <c r="L138" i="16"/>
  <c r="D138" i="16" s="1"/>
  <c r="K138" i="16"/>
  <c r="AK138" i="16"/>
  <c r="O138" i="16"/>
  <c r="X138" i="16"/>
  <c r="AB138" i="16"/>
  <c r="AJ138" i="16"/>
  <c r="AC138" i="16"/>
  <c r="I138" i="1"/>
  <c r="AA138" i="1"/>
  <c r="Z138" i="1" s="1"/>
  <c r="Y138" i="1" s="1"/>
  <c r="A134" i="24"/>
  <c r="K133" i="24"/>
  <c r="X133" i="24"/>
  <c r="L133" i="24"/>
  <c r="AB133" i="24"/>
  <c r="AK133" i="24"/>
  <c r="O133" i="24"/>
  <c r="AJ133" i="24"/>
  <c r="AC133" i="24"/>
  <c r="D137" i="17"/>
  <c r="E137" i="17" s="1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8" i="16" l="1"/>
  <c r="E141" i="15"/>
  <c r="A140" i="16"/>
  <c r="AB139" i="16"/>
  <c r="AJ139" i="16"/>
  <c r="AC139" i="16"/>
  <c r="K139" i="16"/>
  <c r="L139" i="16"/>
  <c r="D139" i="16" s="1"/>
  <c r="X139" i="16"/>
  <c r="AK139" i="16"/>
  <c r="O139" i="16"/>
  <c r="AB142" i="15"/>
  <c r="L142" i="15"/>
  <c r="D142" i="15" s="1"/>
  <c r="AK142" i="15"/>
  <c r="O142" i="15"/>
  <c r="E142" i="15" s="1"/>
  <c r="X142" i="15"/>
  <c r="A143" i="15"/>
  <c r="AC142" i="15"/>
  <c r="K142" i="15"/>
  <c r="AJ142" i="15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D138" i="17"/>
  <c r="E138" i="17" s="1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E139" i="16" l="1"/>
  <c r="L143" i="15"/>
  <c r="D143" i="15" s="1"/>
  <c r="AB143" i="15"/>
  <c r="K143" i="15"/>
  <c r="AK143" i="15"/>
  <c r="AC143" i="15"/>
  <c r="X143" i="15"/>
  <c r="A144" i="15"/>
  <c r="AJ143" i="15"/>
  <c r="O143" i="15"/>
  <c r="A141" i="16"/>
  <c r="K140" i="16"/>
  <c r="AJ140" i="16"/>
  <c r="AC140" i="16"/>
  <c r="X140" i="16"/>
  <c r="L140" i="16"/>
  <c r="D140" i="16" s="1"/>
  <c r="AB140" i="16"/>
  <c r="AK140" i="16"/>
  <c r="O140" i="16"/>
  <c r="I140" i="1"/>
  <c r="AA140" i="1"/>
  <c r="Z140" i="1" s="1"/>
  <c r="Y140" i="1" s="1"/>
  <c r="L139" i="18"/>
  <c r="X139" i="18"/>
  <c r="AB139" i="18"/>
  <c r="A140" i="18"/>
  <c r="K139" i="18"/>
  <c r="AJ139" i="18"/>
  <c r="O139" i="18"/>
  <c r="AK139" i="18"/>
  <c r="AC139" i="18"/>
  <c r="D139" i="17"/>
  <c r="E139" i="17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A139" i="20"/>
  <c r="L138" i="20"/>
  <c r="X138" i="20"/>
  <c r="K138" i="20"/>
  <c r="AB138" i="20"/>
  <c r="AJ138" i="20"/>
  <c r="AK138" i="20"/>
  <c r="O138" i="20"/>
  <c r="AC138" i="20"/>
  <c r="P142" i="1" l="1"/>
  <c r="V142" i="1" s="1"/>
  <c r="E140" i="16"/>
  <c r="I141" i="1"/>
  <c r="A142" i="16"/>
  <c r="X141" i="16"/>
  <c r="AB141" i="16"/>
  <c r="AK141" i="16"/>
  <c r="O141" i="16"/>
  <c r="K141" i="16"/>
  <c r="L141" i="16"/>
  <c r="D141" i="16" s="1"/>
  <c r="AJ141" i="16"/>
  <c r="AC141" i="16"/>
  <c r="AB144" i="15"/>
  <c r="K144" i="15"/>
  <c r="A145" i="15"/>
  <c r="AJ144" i="15"/>
  <c r="AC144" i="15"/>
  <c r="X144" i="15"/>
  <c r="L144" i="15"/>
  <c r="D144" i="15" s="1"/>
  <c r="AK144" i="15"/>
  <c r="O144" i="15"/>
  <c r="E144" i="15" s="1"/>
  <c r="E143" i="15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A139" i="22"/>
  <c r="AB138" i="22"/>
  <c r="L138" i="22"/>
  <c r="K138" i="22"/>
  <c r="X138" i="22"/>
  <c r="AJ138" i="22"/>
  <c r="AK138" i="22"/>
  <c r="O138" i="22"/>
  <c r="AC138" i="22"/>
  <c r="D140" i="17"/>
  <c r="E140" i="17" s="1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E141" i="16" l="1"/>
  <c r="K142" i="16"/>
  <c r="A143" i="16"/>
  <c r="X142" i="16"/>
  <c r="AK142" i="16"/>
  <c r="O142" i="16"/>
  <c r="AB142" i="16"/>
  <c r="L142" i="16"/>
  <c r="D142" i="16" s="1"/>
  <c r="AJ142" i="16"/>
  <c r="AC142" i="16"/>
  <c r="X145" i="15"/>
  <c r="K145" i="15"/>
  <c r="L145" i="15"/>
  <c r="D145" i="15" s="1"/>
  <c r="AK145" i="15"/>
  <c r="AC145" i="15"/>
  <c r="AB145" i="15"/>
  <c r="A146" i="15"/>
  <c r="AJ145" i="15"/>
  <c r="O145" i="15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AA142" i="1"/>
  <c r="Z142" i="1" s="1"/>
  <c r="Y142" i="1" s="1"/>
  <c r="I142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D141" i="17"/>
  <c r="E141" i="17" s="1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2" i="16" l="1"/>
  <c r="A147" i="15"/>
  <c r="AB146" i="15"/>
  <c r="X146" i="15"/>
  <c r="AJ146" i="15"/>
  <c r="AC146" i="15"/>
  <c r="L146" i="15"/>
  <c r="D146" i="15" s="1"/>
  <c r="K146" i="15"/>
  <c r="AK146" i="15"/>
  <c r="O146" i="15"/>
  <c r="E145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D142" i="17"/>
  <c r="E142" i="17" s="1"/>
  <c r="E146" i="15" l="1"/>
  <c r="E143" i="16"/>
  <c r="L144" i="16"/>
  <c r="D144" i="16" s="1"/>
  <c r="AB144" i="16"/>
  <c r="K144" i="16"/>
  <c r="AJ144" i="16"/>
  <c r="O144" i="16"/>
  <c r="A145" i="16"/>
  <c r="X144" i="16"/>
  <c r="AK144" i="16"/>
  <c r="AC144" i="16"/>
  <c r="K147" i="15"/>
  <c r="A148" i="15"/>
  <c r="X147" i="15"/>
  <c r="AK147" i="15"/>
  <c r="AC147" i="15"/>
  <c r="AB147" i="15"/>
  <c r="L147" i="15"/>
  <c r="D147" i="15" s="1"/>
  <c r="AJ147" i="15"/>
  <c r="O147" i="15"/>
  <c r="E147" i="15" s="1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3" i="17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E143" i="17"/>
  <c r="I143" i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A146" i="16" l="1"/>
  <c r="L145" i="16"/>
  <c r="D145" i="16" s="1"/>
  <c r="X145" i="16"/>
  <c r="AK145" i="16"/>
  <c r="O145" i="16"/>
  <c r="K145" i="16"/>
  <c r="AB145" i="16"/>
  <c r="AJ145" i="16"/>
  <c r="AC145" i="16"/>
  <c r="A149" i="15"/>
  <c r="AB148" i="15"/>
  <c r="L148" i="15"/>
  <c r="D148" i="15" s="1"/>
  <c r="AK148" i="15"/>
  <c r="AC148" i="15"/>
  <c r="K148" i="15"/>
  <c r="X148" i="15"/>
  <c r="AJ148" i="15"/>
  <c r="O148" i="15"/>
  <c r="E144" i="16"/>
  <c r="I145" i="1"/>
  <c r="AA145" i="1"/>
  <c r="Z145" i="1" s="1"/>
  <c r="Y145" i="1" s="1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D144" i="17"/>
  <c r="E144" i="17" s="1"/>
  <c r="S146" i="1"/>
  <c r="R146" i="1" s="1"/>
  <c r="P146" i="1" s="1"/>
  <c r="V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E145" i="16" l="1"/>
  <c r="E148" i="15"/>
  <c r="K149" i="15"/>
  <c r="L149" i="15"/>
  <c r="A150" i="15"/>
  <c r="AK149" i="15"/>
  <c r="O149" i="15"/>
  <c r="C36" i="7" s="1"/>
  <c r="AB149" i="15"/>
  <c r="X149" i="15"/>
  <c r="A36" i="7"/>
  <c r="AJ149" i="15"/>
  <c r="AC149" i="15"/>
  <c r="AJ146" i="16"/>
  <c r="K146" i="16"/>
  <c r="AB146" i="16"/>
  <c r="X146" i="16"/>
  <c r="AK146" i="16"/>
  <c r="O146" i="16"/>
  <c r="L146" i="16"/>
  <c r="D146" i="16" s="1"/>
  <c r="A147" i="16"/>
  <c r="AC146" i="16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D145" i="17"/>
  <c r="E145" i="17" s="1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L148" i="1"/>
  <c r="AK148" i="1"/>
  <c r="AJ148" i="1"/>
  <c r="X148" i="1"/>
  <c r="Q148" i="1"/>
  <c r="A149" i="1"/>
  <c r="AB148" i="1"/>
  <c r="U148" i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6" i="16" l="1"/>
  <c r="AB150" i="15"/>
  <c r="X150" i="15"/>
  <c r="AK150" i="15"/>
  <c r="O150" i="15"/>
  <c r="L150" i="15"/>
  <c r="D150" i="15" s="1"/>
  <c r="A151" i="15"/>
  <c r="K150" i="15"/>
  <c r="AJ150" i="15"/>
  <c r="AC150" i="15"/>
  <c r="AB147" i="16"/>
  <c r="K147" i="16"/>
  <c r="AK147" i="16"/>
  <c r="AC147" i="16"/>
  <c r="X147" i="16"/>
  <c r="L147" i="16"/>
  <c r="D147" i="16" s="1"/>
  <c r="A148" i="16"/>
  <c r="AJ147" i="16"/>
  <c r="O147" i="16"/>
  <c r="D149" i="15"/>
  <c r="E149" i="15" s="1"/>
  <c r="B36" i="7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D146" i="17"/>
  <c r="E146" i="17" s="1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A146" i="20"/>
  <c r="K145" i="20"/>
  <c r="AB145" i="20"/>
  <c r="L145" i="20"/>
  <c r="X145" i="20"/>
  <c r="AJ145" i="20"/>
  <c r="AK145" i="20"/>
  <c r="O145" i="20"/>
  <c r="AC145" i="20"/>
  <c r="E147" i="16" l="1"/>
  <c r="E150" i="15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L151" i="15"/>
  <c r="D151" i="15" s="1"/>
  <c r="K151" i="15"/>
  <c r="AJ151" i="15"/>
  <c r="O151" i="15"/>
  <c r="X151" i="15"/>
  <c r="AB151" i="15"/>
  <c r="A152" i="15"/>
  <c r="AK151" i="15"/>
  <c r="AC151" i="15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D147" i="17"/>
  <c r="E147" i="17" s="1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51" i="15" l="1"/>
  <c r="A153" i="15"/>
  <c r="X152" i="15"/>
  <c r="L152" i="15"/>
  <c r="D152" i="15" s="1"/>
  <c r="AJ152" i="15"/>
  <c r="O152" i="15"/>
  <c r="E152" i="15" s="1"/>
  <c r="AB152" i="15"/>
  <c r="K152" i="15"/>
  <c r="AK152" i="15"/>
  <c r="AC152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D148" i="17"/>
  <c r="E148" i="17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A151" i="16" l="1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L153" i="15"/>
  <c r="D153" i="15" s="1"/>
  <c r="A154" i="15"/>
  <c r="AK153" i="15"/>
  <c r="AC153" i="15"/>
  <c r="AB153" i="15"/>
  <c r="K153" i="15"/>
  <c r="X153" i="15"/>
  <c r="AJ153" i="15"/>
  <c r="O153" i="15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D149" i="17"/>
  <c r="E149" i="17" s="1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X154" i="15" l="1"/>
  <c r="L154" i="15"/>
  <c r="D154" i="15" s="1"/>
  <c r="A155" i="15"/>
  <c r="AK154" i="15"/>
  <c r="AC154" i="15"/>
  <c r="K154" i="15"/>
  <c r="AB154" i="15"/>
  <c r="AJ154" i="15"/>
  <c r="O154" i="15"/>
  <c r="K151" i="16"/>
  <c r="A152" i="16"/>
  <c r="AK151" i="16"/>
  <c r="AC151" i="16"/>
  <c r="AB151" i="16"/>
  <c r="L151" i="16"/>
  <c r="D151" i="16" s="1"/>
  <c r="X151" i="16"/>
  <c r="AJ151" i="16"/>
  <c r="O151" i="16"/>
  <c r="E153" i="15"/>
  <c r="E150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I150" i="1"/>
  <c r="AA150" i="1"/>
  <c r="Z150" i="1" s="1"/>
  <c r="Y150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D150" i="17"/>
  <c r="E150" i="17" s="1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4" i="15" l="1"/>
  <c r="E151" i="16"/>
  <c r="AB152" i="16"/>
  <c r="X152" i="16"/>
  <c r="A153" i="16"/>
  <c r="AK152" i="16"/>
  <c r="O152" i="16"/>
  <c r="K152" i="16"/>
  <c r="L152" i="16"/>
  <c r="D152" i="16" s="1"/>
  <c r="AJ152" i="16"/>
  <c r="AC152" i="16"/>
  <c r="K155" i="15"/>
  <c r="X155" i="15"/>
  <c r="A156" i="15"/>
  <c r="AJ155" i="15"/>
  <c r="AB155" i="15"/>
  <c r="L155" i="15"/>
  <c r="D155" i="15" s="1"/>
  <c r="AK155" i="15"/>
  <c r="O155" i="15"/>
  <c r="E155" i="15" s="1"/>
  <c r="AC155" i="15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A147" i="25"/>
  <c r="X146" i="25"/>
  <c r="L146" i="25"/>
  <c r="AB146" i="25"/>
  <c r="K146" i="25"/>
  <c r="AJ146" i="25"/>
  <c r="AK146" i="25"/>
  <c r="O146" i="25"/>
  <c r="AC146" i="25"/>
  <c r="D151" i="17"/>
  <c r="E151" i="17" s="1"/>
  <c r="K147" i="24"/>
  <c r="X147" i="24"/>
  <c r="L147" i="24"/>
  <c r="AB147" i="24"/>
  <c r="A148" i="24"/>
  <c r="AJ147" i="24"/>
  <c r="AK147" i="24"/>
  <c r="O147" i="24"/>
  <c r="AC147" i="24"/>
  <c r="AA151" i="1"/>
  <c r="Z151" i="1" s="1"/>
  <c r="Y151" i="1" s="1"/>
  <c r="I151" i="1"/>
  <c r="E152" i="16" l="1"/>
  <c r="AB156" i="15"/>
  <c r="X156" i="15"/>
  <c r="AK156" i="15"/>
  <c r="O156" i="15"/>
  <c r="K156" i="15"/>
  <c r="L156" i="15"/>
  <c r="D156" i="15" s="1"/>
  <c r="A157" i="15"/>
  <c r="AJ156" i="15"/>
  <c r="AC156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D152" i="17"/>
  <c r="E152" i="17" s="1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3" i="16" l="1"/>
  <c r="K157" i="15"/>
  <c r="L157" i="15"/>
  <c r="D157" i="15" s="1"/>
  <c r="X157" i="15"/>
  <c r="AK157" i="15"/>
  <c r="AC157" i="15"/>
  <c r="AB157" i="15"/>
  <c r="A158" i="15"/>
  <c r="AJ157" i="15"/>
  <c r="O157" i="15"/>
  <c r="L154" i="16"/>
  <c r="D154" i="16" s="1"/>
  <c r="A155" i="16"/>
  <c r="AJ154" i="16"/>
  <c r="AC154" i="16"/>
  <c r="AB154" i="16"/>
  <c r="K154" i="16"/>
  <c r="X154" i="16"/>
  <c r="AK154" i="16"/>
  <c r="O154" i="16"/>
  <c r="E156" i="15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D153" i="17"/>
  <c r="E153" i="17" s="1"/>
  <c r="K152" i="20"/>
  <c r="L152" i="20"/>
  <c r="X152" i="20"/>
  <c r="A153" i="20"/>
  <c r="AB152" i="20"/>
  <c r="AJ152" i="20"/>
  <c r="AK152" i="20"/>
  <c r="O152" i="20"/>
  <c r="AC152" i="20"/>
  <c r="AA154" i="1" l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7" i="15"/>
  <c r="E154" i="16"/>
  <c r="X158" i="15"/>
  <c r="AB158" i="15"/>
  <c r="K158" i="15"/>
  <c r="AK158" i="15"/>
  <c r="AC158" i="15"/>
  <c r="A159" i="15"/>
  <c r="L158" i="15"/>
  <c r="D158" i="15" s="1"/>
  <c r="AJ158" i="15"/>
  <c r="O158" i="15"/>
  <c r="E158" i="15" s="1"/>
  <c r="I155" i="1"/>
  <c r="AA155" i="1"/>
  <c r="Z155" i="1" s="1"/>
  <c r="Y155" i="1" s="1"/>
  <c r="D154" i="17"/>
  <c r="E154" i="17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E155" i="16" l="1"/>
  <c r="AB159" i="15"/>
  <c r="A160" i="15"/>
  <c r="AK159" i="15"/>
  <c r="O159" i="15"/>
  <c r="K159" i="15"/>
  <c r="L159" i="15"/>
  <c r="D159" i="15" s="1"/>
  <c r="E159" i="15" s="1"/>
  <c r="X159" i="15"/>
  <c r="AJ159" i="15"/>
  <c r="AC159" i="15"/>
  <c r="A157" i="16"/>
  <c r="X156" i="16"/>
  <c r="K156" i="16"/>
  <c r="AK156" i="16"/>
  <c r="O156" i="16"/>
  <c r="L156" i="16"/>
  <c r="D156" i="16" s="1"/>
  <c r="AB156" i="16"/>
  <c r="AJ156" i="16"/>
  <c r="AC156" i="16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D155" i="17"/>
  <c r="E155" i="17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X157" i="16" l="1"/>
  <c r="A158" i="16"/>
  <c r="L157" i="16"/>
  <c r="D157" i="16" s="1"/>
  <c r="AK157" i="16"/>
  <c r="O157" i="16"/>
  <c r="AB157" i="16"/>
  <c r="K157" i="16"/>
  <c r="AJ157" i="16"/>
  <c r="AC157" i="16"/>
  <c r="AB160" i="15"/>
  <c r="X160" i="15"/>
  <c r="AJ160" i="15"/>
  <c r="O160" i="15"/>
  <c r="K160" i="15"/>
  <c r="A161" i="15"/>
  <c r="L160" i="15"/>
  <c r="D160" i="15" s="1"/>
  <c r="AK160" i="15"/>
  <c r="AC160" i="15"/>
  <c r="E156" i="16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6" i="17"/>
  <c r="E156" i="17" s="1"/>
  <c r="E160" i="15" l="1"/>
  <c r="X158" i="16"/>
  <c r="A159" i="16"/>
  <c r="AJ158" i="16"/>
  <c r="AC158" i="16"/>
  <c r="K158" i="16"/>
  <c r="AB158" i="16"/>
  <c r="L158" i="16"/>
  <c r="D158" i="16" s="1"/>
  <c r="AK158" i="16"/>
  <c r="O158" i="16"/>
  <c r="X161" i="15"/>
  <c r="L161" i="15"/>
  <c r="D161" i="15" s="1"/>
  <c r="AK161" i="15"/>
  <c r="O161" i="15"/>
  <c r="E161" i="15" s="1"/>
  <c r="A162" i="15"/>
  <c r="K161" i="15"/>
  <c r="AB161" i="15"/>
  <c r="AJ161" i="15"/>
  <c r="AC161" i="15"/>
  <c r="E157" i="16"/>
  <c r="K158" i="17"/>
  <c r="X158" i="17"/>
  <c r="A159" i="17"/>
  <c r="AB158" i="17"/>
  <c r="L158" i="17"/>
  <c r="O158" i="17"/>
  <c r="AJ158" i="17"/>
  <c r="AK158" i="17"/>
  <c r="AC158" i="17"/>
  <c r="D157" i="17"/>
  <c r="E157" i="17" s="1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I157" i="1"/>
  <c r="AA157" i="1"/>
  <c r="Z157" i="1" s="1"/>
  <c r="Y157" i="1" s="1"/>
  <c r="I159" i="1" l="1"/>
  <c r="E158" i="16"/>
  <c r="AB162" i="15"/>
  <c r="X162" i="15"/>
  <c r="K162" i="15"/>
  <c r="AJ162" i="15"/>
  <c r="AC162" i="15"/>
  <c r="A163" i="15"/>
  <c r="L162" i="15"/>
  <c r="D162" i="15" s="1"/>
  <c r="AK162" i="15"/>
  <c r="O162" i="15"/>
  <c r="E162" i="15" s="1"/>
  <c r="L159" i="16"/>
  <c r="D159" i="16" s="1"/>
  <c r="AB159" i="16"/>
  <c r="A160" i="16"/>
  <c r="AK159" i="16"/>
  <c r="O159" i="16"/>
  <c r="X159" i="16"/>
  <c r="K159" i="16"/>
  <c r="AJ159" i="16"/>
  <c r="AC159" i="16"/>
  <c r="AA159" i="1"/>
  <c r="Z159" i="1" s="1"/>
  <c r="Y159" i="1" s="1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D158" i="17"/>
  <c r="E158" i="17" s="1"/>
  <c r="A160" i="17"/>
  <c r="L159" i="17"/>
  <c r="X159" i="17"/>
  <c r="AB159" i="17"/>
  <c r="K159" i="17"/>
  <c r="AJ159" i="17"/>
  <c r="O159" i="17"/>
  <c r="AK159" i="17"/>
  <c r="AC159" i="17"/>
  <c r="I158" i="1"/>
  <c r="AA158" i="1"/>
  <c r="Z158" i="1" s="1"/>
  <c r="Y158" i="1" s="1"/>
  <c r="S160" i="1"/>
  <c r="R160" i="1" s="1"/>
  <c r="P160" i="1" s="1"/>
  <c r="V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X160" i="16" l="1"/>
  <c r="K160" i="16"/>
  <c r="L160" i="16"/>
  <c r="D160" i="16" s="1"/>
  <c r="AJ160" i="16"/>
  <c r="O160" i="16"/>
  <c r="A161" i="16"/>
  <c r="AB160" i="16"/>
  <c r="AK160" i="16"/>
  <c r="AC160" i="16"/>
  <c r="E159" i="16"/>
  <c r="X163" i="15"/>
  <c r="L163" i="15"/>
  <c r="D163" i="15" s="1"/>
  <c r="K163" i="15"/>
  <c r="AJ163" i="15"/>
  <c r="O163" i="15"/>
  <c r="AB163" i="15"/>
  <c r="A164" i="15"/>
  <c r="AK163" i="15"/>
  <c r="AC163" i="15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D159" i="17"/>
  <c r="E159" i="17" s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3" i="15" l="1"/>
  <c r="A162" i="16"/>
  <c r="K161" i="16"/>
  <c r="AJ161" i="16"/>
  <c r="AC161" i="16"/>
  <c r="AB161" i="16"/>
  <c r="L161" i="16"/>
  <c r="D161" i="16" s="1"/>
  <c r="X161" i="16"/>
  <c r="AK161" i="16"/>
  <c r="O161" i="16"/>
  <c r="X164" i="15"/>
  <c r="AB164" i="15"/>
  <c r="K164" i="15"/>
  <c r="AJ164" i="15"/>
  <c r="O164" i="15"/>
  <c r="A165" i="15"/>
  <c r="L164" i="15"/>
  <c r="D164" i="15" s="1"/>
  <c r="E164" i="15" s="1"/>
  <c r="AK164" i="15"/>
  <c r="AC164" i="15"/>
  <c r="E160" i="16"/>
  <c r="A159" i="22"/>
  <c r="X158" i="22"/>
  <c r="L158" i="22"/>
  <c r="AB158" i="22"/>
  <c r="K158" i="22"/>
  <c r="AK158" i="22"/>
  <c r="AJ158" i="22"/>
  <c r="O158" i="22"/>
  <c r="AC158" i="22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D160" i="17"/>
  <c r="E160" i="17" s="1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1" i="16" l="1"/>
  <c r="I161" i="1"/>
  <c r="AA161" i="1"/>
  <c r="Z161" i="1" s="1"/>
  <c r="Y161" i="1" s="1"/>
  <c r="X165" i="15"/>
  <c r="A166" i="15"/>
  <c r="K165" i="15"/>
  <c r="AK165" i="15"/>
  <c r="AC165" i="15"/>
  <c r="AB165" i="15"/>
  <c r="L165" i="15"/>
  <c r="D165" i="15" s="1"/>
  <c r="AJ165" i="15"/>
  <c r="O165" i="15"/>
  <c r="AB162" i="16"/>
  <c r="L162" i="16"/>
  <c r="D162" i="16" s="1"/>
  <c r="K162" i="16"/>
  <c r="AJ162" i="16"/>
  <c r="O162" i="16"/>
  <c r="A163" i="16"/>
  <c r="X162" i="16"/>
  <c r="AK162" i="16"/>
  <c r="AC162" i="16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D161" i="17"/>
  <c r="E161" i="17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E162" i="16" l="1"/>
  <c r="AA162" i="1"/>
  <c r="Z162" i="1" s="1"/>
  <c r="Y162" i="1" s="1"/>
  <c r="I162" i="1"/>
  <c r="L163" i="16"/>
  <c r="D163" i="16" s="1"/>
  <c r="A164" i="16"/>
  <c r="AB163" i="16"/>
  <c r="AK163" i="16"/>
  <c r="O163" i="16"/>
  <c r="X163" i="16"/>
  <c r="K163" i="16"/>
  <c r="AJ163" i="16"/>
  <c r="AC163" i="16"/>
  <c r="E165" i="15"/>
  <c r="L166" i="15"/>
  <c r="D166" i="15" s="1"/>
  <c r="X166" i="15"/>
  <c r="K166" i="15"/>
  <c r="AK166" i="15"/>
  <c r="O166" i="15"/>
  <c r="E166" i="15" s="1"/>
  <c r="AB166" i="15"/>
  <c r="A167" i="15"/>
  <c r="AJ166" i="15"/>
  <c r="AC166" i="15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D162" i="17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A159" i="24"/>
  <c r="K158" i="24"/>
  <c r="AB158" i="24"/>
  <c r="X158" i="24"/>
  <c r="L158" i="24"/>
  <c r="AK158" i="24"/>
  <c r="AJ158" i="24"/>
  <c r="O158" i="24"/>
  <c r="AC158" i="24"/>
  <c r="E162" i="17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I164" i="1" l="1"/>
  <c r="K164" i="16"/>
  <c r="A165" i="16"/>
  <c r="AJ164" i="16"/>
  <c r="AC164" i="16"/>
  <c r="L164" i="16"/>
  <c r="D164" i="16" s="1"/>
  <c r="X164" i="16"/>
  <c r="AB164" i="16"/>
  <c r="AK164" i="16"/>
  <c r="O164" i="16"/>
  <c r="L167" i="15"/>
  <c r="D167" i="15" s="1"/>
  <c r="AB167" i="15"/>
  <c r="AK167" i="15"/>
  <c r="O167" i="15"/>
  <c r="X167" i="15"/>
  <c r="K167" i="15"/>
  <c r="A168" i="15"/>
  <c r="AJ167" i="15"/>
  <c r="AC167" i="15"/>
  <c r="E163" i="16"/>
  <c r="AA164" i="1"/>
  <c r="Z164" i="1" s="1"/>
  <c r="Y164" i="1" s="1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D163" i="17"/>
  <c r="E163" i="17" s="1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AA163" i="1"/>
  <c r="Z163" i="1" s="1"/>
  <c r="Y163" i="1" s="1"/>
  <c r="I163" i="1"/>
  <c r="E167" i="15" l="1"/>
  <c r="E164" i="16"/>
  <c r="K168" i="15"/>
  <c r="AB168" i="15"/>
  <c r="AK168" i="15"/>
  <c r="O168" i="15"/>
  <c r="A169" i="15"/>
  <c r="L168" i="15"/>
  <c r="D168" i="15" s="1"/>
  <c r="X168" i="15"/>
  <c r="AJ168" i="15"/>
  <c r="AC168" i="15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D164" i="17"/>
  <c r="E164" i="17" s="1"/>
  <c r="AB159" i="25"/>
  <c r="A160" i="25"/>
  <c r="X159" i="25"/>
  <c r="L159" i="25"/>
  <c r="K159" i="25"/>
  <c r="AJ159" i="25"/>
  <c r="O159" i="25"/>
  <c r="AK159" i="25"/>
  <c r="AC159" i="25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9" i="15" l="1"/>
  <c r="A170" i="15"/>
  <c r="L169" i="15"/>
  <c r="D169" i="15" s="1"/>
  <c r="AJ169" i="15"/>
  <c r="AC169" i="15"/>
  <c r="X169" i="15"/>
  <c r="K169" i="15"/>
  <c r="AK169" i="15"/>
  <c r="O169" i="15"/>
  <c r="E169" i="15" s="1"/>
  <c r="X166" i="16"/>
  <c r="A167" i="16"/>
  <c r="AJ166" i="16"/>
  <c r="AC166" i="16"/>
  <c r="AB166" i="16"/>
  <c r="K166" i="16"/>
  <c r="L166" i="16"/>
  <c r="D166" i="16" s="1"/>
  <c r="AK166" i="16"/>
  <c r="O166" i="16"/>
  <c r="E165" i="16"/>
  <c r="E168" i="15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D165" i="17"/>
  <c r="E165" i="17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E166" i="16" l="1"/>
  <c r="K170" i="15"/>
  <c r="A171" i="15"/>
  <c r="AB170" i="15"/>
  <c r="AJ170" i="15"/>
  <c r="AC170" i="15"/>
  <c r="X170" i="15"/>
  <c r="L170" i="15"/>
  <c r="D170" i="15" s="1"/>
  <c r="AK170" i="15"/>
  <c r="O170" i="15"/>
  <c r="E170" i="15" s="1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D166" i="17"/>
  <c r="E166" i="17" s="1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AA166" i="1"/>
  <c r="Z166" i="1" s="1"/>
  <c r="Y166" i="1" s="1"/>
  <c r="I166" i="1"/>
  <c r="E167" i="16" l="1"/>
  <c r="L168" i="16"/>
  <c r="D168" i="16" s="1"/>
  <c r="X168" i="16"/>
  <c r="K168" i="16"/>
  <c r="AK168" i="16"/>
  <c r="O168" i="16"/>
  <c r="AB168" i="16"/>
  <c r="A169" i="16"/>
  <c r="AJ168" i="16"/>
  <c r="AC168" i="16"/>
  <c r="K171" i="15"/>
  <c r="L171" i="15"/>
  <c r="D171" i="15" s="1"/>
  <c r="AB171" i="15"/>
  <c r="AJ171" i="15"/>
  <c r="O171" i="15"/>
  <c r="A172" i="15"/>
  <c r="X171" i="15"/>
  <c r="AK171" i="15"/>
  <c r="AC171" i="15"/>
  <c r="L163" i="24"/>
  <c r="K163" i="24"/>
  <c r="AB163" i="24"/>
  <c r="A164" i="24"/>
  <c r="X163" i="24"/>
  <c r="AK163" i="24"/>
  <c r="AJ163" i="24"/>
  <c r="O163" i="24"/>
  <c r="AC163" i="24"/>
  <c r="T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D167" i="17"/>
  <c r="E167" i="17" s="1"/>
  <c r="L162" i="25"/>
  <c r="K162" i="25"/>
  <c r="AB162" i="25"/>
  <c r="A163" i="25"/>
  <c r="X162" i="25"/>
  <c r="AJ162" i="25"/>
  <c r="AK162" i="25"/>
  <c r="O162" i="25"/>
  <c r="AC162" i="25"/>
  <c r="E171" i="15" l="1"/>
  <c r="A173" i="15"/>
  <c r="X172" i="15"/>
  <c r="AJ172" i="15"/>
  <c r="O172" i="15"/>
  <c r="AB172" i="15"/>
  <c r="L172" i="15"/>
  <c r="D172" i="15" s="1"/>
  <c r="E172" i="15" s="1"/>
  <c r="K172" i="15"/>
  <c r="AK172" i="15"/>
  <c r="AC172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K167" i="20"/>
  <c r="AB167" i="20"/>
  <c r="L167" i="20"/>
  <c r="A168" i="20"/>
  <c r="X167" i="20"/>
  <c r="AK167" i="20"/>
  <c r="AJ167" i="20"/>
  <c r="O167" i="20"/>
  <c r="AC167" i="20"/>
  <c r="D168" i="17"/>
  <c r="E168" i="17" s="1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AA168" i="1"/>
  <c r="Z168" i="1" s="1"/>
  <c r="Y168" i="1" s="1"/>
  <c r="E169" i="16" l="1"/>
  <c r="K170" i="16"/>
  <c r="L170" i="16"/>
  <c r="D170" i="16" s="1"/>
  <c r="AJ170" i="16"/>
  <c r="AC170" i="16"/>
  <c r="A171" i="16"/>
  <c r="X170" i="16"/>
  <c r="AB170" i="16"/>
  <c r="AK170" i="16"/>
  <c r="O170" i="16"/>
  <c r="A174" i="15"/>
  <c r="X173" i="15"/>
  <c r="K173" i="15"/>
  <c r="AJ173" i="15"/>
  <c r="AC173" i="15"/>
  <c r="AB173" i="15"/>
  <c r="L173" i="15"/>
  <c r="D173" i="15" s="1"/>
  <c r="AK173" i="15"/>
  <c r="O173" i="15"/>
  <c r="E173" i="15" s="1"/>
  <c r="I169" i="1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A165" i="25"/>
  <c r="AB164" i="25"/>
  <c r="L164" i="25"/>
  <c r="X164" i="25"/>
  <c r="K164" i="25"/>
  <c r="AJ164" i="25"/>
  <c r="O164" i="25"/>
  <c r="AK164" i="25"/>
  <c r="AC164" i="25"/>
  <c r="D169" i="17"/>
  <c r="E169" i="17" s="1"/>
  <c r="K167" i="22"/>
  <c r="L167" i="22"/>
  <c r="AB167" i="22"/>
  <c r="X167" i="22"/>
  <c r="A168" i="22"/>
  <c r="AJ167" i="22"/>
  <c r="AK167" i="22"/>
  <c r="O167" i="22"/>
  <c r="AC167" i="22"/>
  <c r="T171" i="1"/>
  <c r="P172" i="1" l="1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A175" i="15"/>
  <c r="L174" i="15"/>
  <c r="D174" i="15" s="1"/>
  <c r="AJ174" i="15"/>
  <c r="O174" i="15"/>
  <c r="E174" i="15" s="1"/>
  <c r="AB174" i="15"/>
  <c r="X174" i="15"/>
  <c r="K174" i="15"/>
  <c r="AK174" i="15"/>
  <c r="AC174" i="15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V172" i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D170" i="17"/>
  <c r="E170" i="17" s="1"/>
  <c r="S171" i="1"/>
  <c r="R171" i="1" s="1"/>
  <c r="P171" i="1" s="1"/>
  <c r="I170" i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E171" i="16" l="1"/>
  <c r="L175" i="15"/>
  <c r="D175" i="15" s="1"/>
  <c r="A176" i="15"/>
  <c r="K175" i="15"/>
  <c r="AJ175" i="15"/>
  <c r="AC175" i="15"/>
  <c r="X175" i="15"/>
  <c r="O175" i="15"/>
  <c r="E175" i="15" s="1"/>
  <c r="AB175" i="15"/>
  <c r="AK175" i="15"/>
  <c r="K172" i="16"/>
  <c r="X172" i="16"/>
  <c r="AJ172" i="16"/>
  <c r="L172" i="16"/>
  <c r="D172" i="16" s="1"/>
  <c r="AB172" i="16"/>
  <c r="A173" i="16"/>
  <c r="AK172" i="16"/>
  <c r="O172" i="16"/>
  <c r="AC172" i="16"/>
  <c r="V171" i="1"/>
  <c r="D171" i="17"/>
  <c r="E171" i="17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AA172" i="1"/>
  <c r="Z172" i="1" s="1"/>
  <c r="Y172" i="1" s="1"/>
  <c r="I172" i="1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X176" i="15" l="1"/>
  <c r="L176" i="15"/>
  <c r="D176" i="15" s="1"/>
  <c r="AJ176" i="15"/>
  <c r="O176" i="15"/>
  <c r="E176" i="15" s="1"/>
  <c r="K176" i="15"/>
  <c r="A177" i="15"/>
  <c r="AB176" i="15"/>
  <c r="AK176" i="15"/>
  <c r="AC176" i="15"/>
  <c r="L173" i="16"/>
  <c r="D173" i="16" s="1"/>
  <c r="X173" i="16"/>
  <c r="A174" i="16"/>
  <c r="AK173" i="16"/>
  <c r="O173" i="16"/>
  <c r="AB173" i="16"/>
  <c r="K173" i="16"/>
  <c r="AJ173" i="16"/>
  <c r="AC173" i="16"/>
  <c r="E172" i="16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D172" i="17"/>
  <c r="E172" i="17" s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A168" i="25"/>
  <c r="AB167" i="25"/>
  <c r="L167" i="25"/>
  <c r="K167" i="25"/>
  <c r="X167" i="25"/>
  <c r="AJ167" i="25"/>
  <c r="O167" i="25"/>
  <c r="AK167" i="25"/>
  <c r="AC167" i="25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X174" i="16" l="1"/>
  <c r="AB174" i="16"/>
  <c r="AK174" i="16"/>
  <c r="AC174" i="16"/>
  <c r="A175" i="16"/>
  <c r="L174" i="16"/>
  <c r="D174" i="16" s="1"/>
  <c r="K174" i="16"/>
  <c r="AJ174" i="16"/>
  <c r="O174" i="16"/>
  <c r="E173" i="16"/>
  <c r="X177" i="15"/>
  <c r="A178" i="15"/>
  <c r="AK177" i="15"/>
  <c r="O177" i="15"/>
  <c r="K177" i="15"/>
  <c r="L177" i="15"/>
  <c r="D177" i="15" s="1"/>
  <c r="E177" i="15" s="1"/>
  <c r="AB177" i="15"/>
  <c r="AJ177" i="15"/>
  <c r="AC177" i="15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D173" i="17"/>
  <c r="E173" i="17" s="1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I173" i="1"/>
  <c r="AA173" i="1"/>
  <c r="Z173" i="1" s="1"/>
  <c r="Y173" i="1" s="1"/>
  <c r="E174" i="16" l="1"/>
  <c r="A179" i="15"/>
  <c r="L178" i="15"/>
  <c r="D178" i="15" s="1"/>
  <c r="AK178" i="15"/>
  <c r="AC178" i="15"/>
  <c r="K178" i="15"/>
  <c r="X178" i="15"/>
  <c r="AB178" i="15"/>
  <c r="AJ178" i="15"/>
  <c r="O178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K169" i="25"/>
  <c r="X169" i="25"/>
  <c r="AB169" i="25"/>
  <c r="A170" i="25"/>
  <c r="L169" i="25"/>
  <c r="AJ169" i="25"/>
  <c r="O169" i="25"/>
  <c r="AK169" i="25"/>
  <c r="AC169" i="25"/>
  <c r="D174" i="17"/>
  <c r="E174" i="17" s="1"/>
  <c r="E178" i="15" l="1"/>
  <c r="L176" i="16"/>
  <c r="D176" i="16" s="1"/>
  <c r="K176" i="16"/>
  <c r="AK176" i="16"/>
  <c r="AC176" i="16"/>
  <c r="X176" i="16"/>
  <c r="A177" i="16"/>
  <c r="AB176" i="16"/>
  <c r="AJ176" i="16"/>
  <c r="O176" i="16"/>
  <c r="E175" i="16"/>
  <c r="A180" i="15"/>
  <c r="L179" i="15"/>
  <c r="D179" i="15" s="1"/>
  <c r="AJ179" i="15"/>
  <c r="O179" i="15"/>
  <c r="E179" i="15" s="1"/>
  <c r="K179" i="15"/>
  <c r="AB179" i="15"/>
  <c r="X179" i="15"/>
  <c r="AK179" i="15"/>
  <c r="AC179" i="15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D175" i="17"/>
  <c r="E175" i="17" s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V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AB177" i="16" l="1"/>
  <c r="L177" i="16"/>
  <c r="D177" i="16" s="1"/>
  <c r="A178" i="16"/>
  <c r="AK177" i="16"/>
  <c r="O177" i="16"/>
  <c r="X177" i="16"/>
  <c r="K177" i="16"/>
  <c r="AJ177" i="16"/>
  <c r="AC177" i="16"/>
  <c r="A181" i="15"/>
  <c r="AB180" i="15"/>
  <c r="L180" i="15"/>
  <c r="AJ180" i="15"/>
  <c r="O180" i="15"/>
  <c r="C37" i="7" s="1"/>
  <c r="X180" i="15"/>
  <c r="K180" i="15"/>
  <c r="A37" i="7"/>
  <c r="AK180" i="15"/>
  <c r="AC180" i="15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D176" i="17"/>
  <c r="E176" i="17" s="1"/>
  <c r="X177" i="17"/>
  <c r="K177" i="17"/>
  <c r="A178" i="17"/>
  <c r="L177" i="17"/>
  <c r="AB177" i="17"/>
  <c r="AJ177" i="17"/>
  <c r="AK177" i="17"/>
  <c r="O177" i="17"/>
  <c r="AC177" i="17"/>
  <c r="V178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7" i="16" l="1"/>
  <c r="AA178" i="1"/>
  <c r="Z178" i="1" s="1"/>
  <c r="Y178" i="1" s="1"/>
  <c r="B37" i="7"/>
  <c r="D180" i="15"/>
  <c r="E180" i="15" s="1"/>
  <c r="A182" i="15"/>
  <c r="O181" i="15"/>
  <c r="AB181" i="15"/>
  <c r="K181" i="15"/>
  <c r="X181" i="15"/>
  <c r="AK181" i="15"/>
  <c r="AC181" i="15"/>
  <c r="L181" i="15"/>
  <c r="D181" i="15" s="1"/>
  <c r="AJ181" i="15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AA177" i="1"/>
  <c r="Z177" i="1" s="1"/>
  <c r="Y177" i="1" s="1"/>
  <c r="I177" i="1"/>
  <c r="D177" i="17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E177" i="17"/>
  <c r="K178" i="17"/>
  <c r="X178" i="17"/>
  <c r="AB178" i="17"/>
  <c r="A179" i="17"/>
  <c r="L178" i="17"/>
  <c r="AJ178" i="17"/>
  <c r="O178" i="17"/>
  <c r="AK178" i="17"/>
  <c r="AC178" i="17"/>
  <c r="I178" i="1" l="1"/>
  <c r="X179" i="16"/>
  <c r="K179" i="16"/>
  <c r="AJ179" i="16"/>
  <c r="AC179" i="16"/>
  <c r="A180" i="16"/>
  <c r="L179" i="16"/>
  <c r="D179" i="16" s="1"/>
  <c r="AB179" i="16"/>
  <c r="AK179" i="16"/>
  <c r="O179" i="16"/>
  <c r="K182" i="15"/>
  <c r="L182" i="15"/>
  <c r="D182" i="15" s="1"/>
  <c r="X182" i="15"/>
  <c r="AK182" i="15"/>
  <c r="O182" i="15"/>
  <c r="A183" i="15"/>
  <c r="AB182" i="15"/>
  <c r="AJ182" i="15"/>
  <c r="AC182" i="15"/>
  <c r="E178" i="16"/>
  <c r="E181" i="15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D178" i="17"/>
  <c r="E178" i="17" s="1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AB174" i="24"/>
  <c r="A175" i="24"/>
  <c r="X174" i="24"/>
  <c r="L174" i="24"/>
  <c r="K174" i="24"/>
  <c r="AK174" i="24"/>
  <c r="O174" i="24"/>
  <c r="AJ174" i="24"/>
  <c r="AC174" i="24"/>
  <c r="E182" i="15" l="1"/>
  <c r="E179" i="16"/>
  <c r="A184" i="15"/>
  <c r="L183" i="15"/>
  <c r="D183" i="15" s="1"/>
  <c r="X183" i="15"/>
  <c r="AJ183" i="15"/>
  <c r="AC183" i="15"/>
  <c r="K183" i="15"/>
  <c r="AB183" i="15"/>
  <c r="AK183" i="15"/>
  <c r="O183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D179" i="17"/>
  <c r="E179" i="17" s="1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E183" i="15" l="1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K184" i="15"/>
  <c r="L184" i="15"/>
  <c r="D184" i="15" s="1"/>
  <c r="X184" i="15"/>
  <c r="AJ184" i="15"/>
  <c r="AC184" i="15"/>
  <c r="A185" i="15"/>
  <c r="AB184" i="15"/>
  <c r="AK184" i="15"/>
  <c r="O184" i="15"/>
  <c r="I180" i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D180" i="17"/>
  <c r="E180" i="17" s="1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K178" i="22"/>
  <c r="AB178" i="22"/>
  <c r="X178" i="22"/>
  <c r="A179" i="22"/>
  <c r="L178" i="22"/>
  <c r="AK178" i="22"/>
  <c r="AJ178" i="22"/>
  <c r="O178" i="22"/>
  <c r="AC178" i="22"/>
  <c r="E181" i="16" l="1"/>
  <c r="AB185" i="15"/>
  <c r="L185" i="15"/>
  <c r="D185" i="15" s="1"/>
  <c r="AK185" i="15"/>
  <c r="AC185" i="15"/>
  <c r="A186" i="15"/>
  <c r="K185" i="15"/>
  <c r="X185" i="15"/>
  <c r="AJ185" i="15"/>
  <c r="O185" i="15"/>
  <c r="E184" i="15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D181" i="17"/>
  <c r="E181" i="17" s="1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V184" i="1" s="1"/>
  <c r="AA183" i="1"/>
  <c r="Z183" i="1" s="1"/>
  <c r="Y183" i="1" s="1"/>
  <c r="E182" i="16"/>
  <c r="E185" i="15"/>
  <c r="L183" i="16"/>
  <c r="D183" i="16" s="1"/>
  <c r="AB183" i="16"/>
  <c r="X183" i="16"/>
  <c r="AK183" i="16"/>
  <c r="O183" i="16"/>
  <c r="A184" i="16"/>
  <c r="K183" i="16"/>
  <c r="AJ183" i="16"/>
  <c r="AC183" i="16"/>
  <c r="L186" i="15"/>
  <c r="D186" i="15" s="1"/>
  <c r="AB186" i="15"/>
  <c r="K186" i="15"/>
  <c r="AJ186" i="15"/>
  <c r="O186" i="15"/>
  <c r="E186" i="15" s="1"/>
  <c r="X186" i="15"/>
  <c r="A187" i="15"/>
  <c r="AK186" i="15"/>
  <c r="AC186" i="15"/>
  <c r="K181" i="20"/>
  <c r="AB181" i="20"/>
  <c r="L181" i="20"/>
  <c r="X181" i="20"/>
  <c r="A182" i="20"/>
  <c r="AJ181" i="20"/>
  <c r="AK181" i="20"/>
  <c r="O181" i="20"/>
  <c r="AC181" i="20"/>
  <c r="AE37" i="7"/>
  <c r="AB180" i="22"/>
  <c r="A181" i="22"/>
  <c r="X180" i="22"/>
  <c r="K180" i="22"/>
  <c r="L180" i="22"/>
  <c r="AJ180" i="22"/>
  <c r="AK180" i="22"/>
  <c r="O180" i="22"/>
  <c r="AG37" i="7" s="1"/>
  <c r="AC180" i="22"/>
  <c r="D182" i="17"/>
  <c r="E182" i="17" s="1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I184" i="1"/>
  <c r="A188" i="15"/>
  <c r="X187" i="15"/>
  <c r="K187" i="15"/>
  <c r="AK187" i="15"/>
  <c r="O187" i="15"/>
  <c r="L187" i="15"/>
  <c r="D187" i="15" s="1"/>
  <c r="AB187" i="15"/>
  <c r="AJ187" i="15"/>
  <c r="AC187" i="15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D183" i="17"/>
  <c r="E183" i="17" s="1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4" i="16" l="1"/>
  <c r="AA184" i="1"/>
  <c r="Z184" i="1" s="1"/>
  <c r="Y184" i="1" s="1"/>
  <c r="K185" i="16"/>
  <c r="A186" i="16"/>
  <c r="L185" i="16"/>
  <c r="D185" i="16" s="1"/>
  <c r="AK185" i="16"/>
  <c r="O185" i="16"/>
  <c r="X185" i="16"/>
  <c r="AB185" i="16"/>
  <c r="AJ185" i="16"/>
  <c r="AC185" i="16"/>
  <c r="E187" i="15"/>
  <c r="A189" i="15"/>
  <c r="L188" i="15"/>
  <c r="D188" i="15" s="1"/>
  <c r="K188" i="15"/>
  <c r="AJ188" i="15"/>
  <c r="O188" i="15"/>
  <c r="X188" i="15"/>
  <c r="AB188" i="15"/>
  <c r="AK188" i="15"/>
  <c r="AC188" i="15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AB185" i="17"/>
  <c r="X185" i="17"/>
  <c r="L185" i="17"/>
  <c r="A186" i="17"/>
  <c r="K185" i="17"/>
  <c r="AJ185" i="17"/>
  <c r="O185" i="17"/>
  <c r="AK185" i="17"/>
  <c r="AC185" i="17"/>
  <c r="D184" i="17"/>
  <c r="E184" i="17" s="1"/>
  <c r="AF49" i="7"/>
  <c r="E188" i="15" l="1"/>
  <c r="A187" i="16"/>
  <c r="AB186" i="16"/>
  <c r="AJ186" i="16"/>
  <c r="AC186" i="16"/>
  <c r="X186" i="16"/>
  <c r="L186" i="16"/>
  <c r="D186" i="16" s="1"/>
  <c r="K186" i="16"/>
  <c r="AK186" i="16"/>
  <c r="O186" i="16"/>
  <c r="X189" i="15"/>
  <c r="AB189" i="15"/>
  <c r="K189" i="15"/>
  <c r="AK189" i="15"/>
  <c r="AC189" i="15"/>
  <c r="L189" i="15"/>
  <c r="D189" i="15" s="1"/>
  <c r="A190" i="15"/>
  <c r="AJ189" i="15"/>
  <c r="O189" i="15"/>
  <c r="E185" i="16"/>
  <c r="D185" i="17"/>
  <c r="E185" i="17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E189" i="15"/>
  <c r="AA187" i="1"/>
  <c r="Z187" i="1" s="1"/>
  <c r="Y187" i="1" s="1"/>
  <c r="X190" i="15"/>
  <c r="AB190" i="15"/>
  <c r="L190" i="15"/>
  <c r="D190" i="15" s="1"/>
  <c r="AK190" i="15"/>
  <c r="AC190" i="15"/>
  <c r="K190" i="15"/>
  <c r="A191" i="15"/>
  <c r="AJ190" i="15"/>
  <c r="O190" i="15"/>
  <c r="E190" i="15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D186" i="17"/>
  <c r="E186" i="17" s="1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91" i="15"/>
  <c r="A192" i="15"/>
  <c r="AK191" i="15"/>
  <c r="O191" i="15"/>
  <c r="L191" i="15"/>
  <c r="D191" i="15" s="1"/>
  <c r="X191" i="15"/>
  <c r="AB191" i="15"/>
  <c r="AJ191" i="15"/>
  <c r="AC191" i="15"/>
  <c r="D187" i="17"/>
  <c r="E187" i="17" s="1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I186" i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E191" i="15" l="1"/>
  <c r="L192" i="15"/>
  <c r="D192" i="15" s="1"/>
  <c r="K192" i="15"/>
  <c r="A193" i="15"/>
  <c r="AJ192" i="15"/>
  <c r="AC192" i="15"/>
  <c r="X192" i="15"/>
  <c r="AB192" i="15"/>
  <c r="AK192" i="15"/>
  <c r="O192" i="15"/>
  <c r="E192" i="15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A189" i="1"/>
  <c r="Z189" i="1" s="1"/>
  <c r="Y189" i="1" s="1"/>
  <c r="I189" i="1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I188" i="1"/>
  <c r="AA188" i="1"/>
  <c r="Z188" i="1" s="1"/>
  <c r="Y188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D188" i="17"/>
  <c r="E188" i="17" s="1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E189" i="16" l="1"/>
  <c r="L193" i="15"/>
  <c r="D193" i="15" s="1"/>
  <c r="X193" i="15"/>
  <c r="AK193" i="15"/>
  <c r="O193" i="15"/>
  <c r="AB193" i="15"/>
  <c r="K193" i="15"/>
  <c r="A194" i="15"/>
  <c r="AJ193" i="15"/>
  <c r="AC193" i="15"/>
  <c r="A191" i="16"/>
  <c r="L190" i="16"/>
  <c r="D190" i="16" s="1"/>
  <c r="AK190" i="16"/>
  <c r="AC190" i="16"/>
  <c r="K190" i="16"/>
  <c r="X190" i="16"/>
  <c r="AB190" i="16"/>
  <c r="AJ190" i="16"/>
  <c r="O190" i="16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D189" i="17"/>
  <c r="E189" i="17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A191" i="17"/>
  <c r="K190" i="17"/>
  <c r="X190" i="17"/>
  <c r="L190" i="17"/>
  <c r="AB190" i="17"/>
  <c r="AJ190" i="17"/>
  <c r="O190" i="17"/>
  <c r="AK190" i="17"/>
  <c r="AC190" i="17"/>
  <c r="E190" i="16" l="1"/>
  <c r="A192" i="16"/>
  <c r="L191" i="16"/>
  <c r="D191" i="16" s="1"/>
  <c r="K191" i="16"/>
  <c r="AK191" i="16"/>
  <c r="O191" i="16"/>
  <c r="X191" i="16"/>
  <c r="AJ191" i="16"/>
  <c r="AB191" i="16"/>
  <c r="AC191" i="16"/>
  <c r="L194" i="15"/>
  <c r="D194" i="15" s="1"/>
  <c r="K194" i="15"/>
  <c r="AK194" i="15"/>
  <c r="O194" i="15"/>
  <c r="A195" i="15"/>
  <c r="AB194" i="15"/>
  <c r="X194" i="15"/>
  <c r="AJ194" i="15"/>
  <c r="AC194" i="15"/>
  <c r="E193" i="15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D190" i="17"/>
  <c r="E190" i="17" s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E194" i="15" l="1"/>
  <c r="E191" i="16"/>
  <c r="A196" i="15"/>
  <c r="AB195" i="15"/>
  <c r="X195" i="15"/>
  <c r="AJ195" i="15"/>
  <c r="AC195" i="15"/>
  <c r="K195" i="15"/>
  <c r="L195" i="15"/>
  <c r="D195" i="15" s="1"/>
  <c r="AK195" i="15"/>
  <c r="O195" i="15"/>
  <c r="E195" i="15" s="1"/>
  <c r="X192" i="16"/>
  <c r="AB192" i="16"/>
  <c r="A193" i="16"/>
  <c r="AJ192" i="16"/>
  <c r="O192" i="16"/>
  <c r="K192" i="16"/>
  <c r="L192" i="16"/>
  <c r="D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D191" i="17"/>
  <c r="E191" i="17" s="1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E192" i="16" l="1"/>
  <c r="X193" i="16"/>
  <c r="L193" i="16"/>
  <c r="D193" i="16" s="1"/>
  <c r="A194" i="16"/>
  <c r="AK193" i="16"/>
  <c r="O193" i="16"/>
  <c r="AB193" i="16"/>
  <c r="K193" i="16"/>
  <c r="AJ193" i="16"/>
  <c r="AC193" i="16"/>
  <c r="AA193" i="1"/>
  <c r="Z193" i="1" s="1"/>
  <c r="Y193" i="1" s="1"/>
  <c r="L196" i="15"/>
  <c r="D196" i="15" s="1"/>
  <c r="AB196" i="15"/>
  <c r="AJ196" i="15"/>
  <c r="O196" i="15"/>
  <c r="K196" i="15"/>
  <c r="X196" i="15"/>
  <c r="A197" i="15"/>
  <c r="AK196" i="15"/>
  <c r="AC196" i="15"/>
  <c r="I193" i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D192" i="17"/>
  <c r="E192" i="17" s="1"/>
  <c r="K187" i="25"/>
  <c r="A188" i="25"/>
  <c r="L187" i="25"/>
  <c r="X187" i="25"/>
  <c r="AB187" i="25"/>
  <c r="AJ187" i="25"/>
  <c r="AK187" i="25"/>
  <c r="O187" i="25"/>
  <c r="AC187" i="25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E196" i="15" l="1"/>
  <c r="P195" i="1"/>
  <c r="V195" i="1" s="1"/>
  <c r="G61" i="19" s="1"/>
  <c r="E193" i="16"/>
  <c r="AA194" i="1"/>
  <c r="Z194" i="1" s="1"/>
  <c r="Y194" i="1" s="1"/>
  <c r="A198" i="15"/>
  <c r="X197" i="15"/>
  <c r="AK197" i="15"/>
  <c r="O197" i="15"/>
  <c r="K197" i="15"/>
  <c r="AB197" i="15"/>
  <c r="L197" i="15"/>
  <c r="D197" i="15" s="1"/>
  <c r="AJ197" i="15"/>
  <c r="AC197" i="15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3" i="17"/>
  <c r="E193" i="17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4" i="16" l="1"/>
  <c r="I194" i="1"/>
  <c r="E197" i="15"/>
  <c r="AB198" i="15"/>
  <c r="X198" i="15"/>
  <c r="K198" i="15"/>
  <c r="AK198" i="15"/>
  <c r="AC198" i="15"/>
  <c r="A199" i="15"/>
  <c r="L198" i="15"/>
  <c r="D198" i="15" s="1"/>
  <c r="AJ198" i="15"/>
  <c r="O198" i="15"/>
  <c r="E198" i="15" s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V196" i="1"/>
  <c r="A196" i="17"/>
  <c r="X195" i="17"/>
  <c r="L195" i="17"/>
  <c r="K195" i="17"/>
  <c r="AB195" i="17"/>
  <c r="AJ195" i="17"/>
  <c r="AK195" i="17"/>
  <c r="O195" i="17"/>
  <c r="AC195" i="17"/>
  <c r="D194" i="17"/>
  <c r="E194" i="17" s="1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E195" i="16"/>
  <c r="L196" i="16"/>
  <c r="D196" i="16" s="1"/>
  <c r="AB196" i="16"/>
  <c r="A197" i="16"/>
  <c r="AJ196" i="16"/>
  <c r="O196" i="16"/>
  <c r="K196" i="16"/>
  <c r="X196" i="16"/>
  <c r="AK196" i="16"/>
  <c r="AC196" i="16"/>
  <c r="A200" i="15"/>
  <c r="L199" i="15"/>
  <c r="D199" i="15" s="1"/>
  <c r="AB199" i="15"/>
  <c r="AK199" i="15"/>
  <c r="AC199" i="15"/>
  <c r="X199" i="15"/>
  <c r="K199" i="15"/>
  <c r="AJ199" i="15"/>
  <c r="O199" i="15"/>
  <c r="V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D195" i="17"/>
  <c r="E195" i="17" s="1"/>
  <c r="K196" i="17"/>
  <c r="X196" i="17"/>
  <c r="A197" i="17"/>
  <c r="L196" i="17"/>
  <c r="AB196" i="17"/>
  <c r="O196" i="17"/>
  <c r="AJ196" i="17"/>
  <c r="AK196" i="17"/>
  <c r="AC196" i="17"/>
  <c r="A193" i="23"/>
  <c r="L192" i="23"/>
  <c r="AB192" i="23"/>
  <c r="X192" i="23"/>
  <c r="K192" i="23"/>
  <c r="AJ192" i="23"/>
  <c r="AK192" i="23"/>
  <c r="O192" i="23"/>
  <c r="AC192" i="23"/>
  <c r="E199" i="15" l="1"/>
  <c r="X197" i="16"/>
  <c r="L197" i="16"/>
  <c r="D197" i="16" s="1"/>
  <c r="AJ197" i="16"/>
  <c r="AC197" i="16"/>
  <c r="A198" i="16"/>
  <c r="K197" i="16"/>
  <c r="AB197" i="16"/>
  <c r="AK197" i="16"/>
  <c r="O197" i="16"/>
  <c r="E196" i="16"/>
  <c r="X200" i="15"/>
  <c r="AB200" i="15"/>
  <c r="AK200" i="15"/>
  <c r="O200" i="15"/>
  <c r="A201" i="15"/>
  <c r="L200" i="15"/>
  <c r="D200" i="15" s="1"/>
  <c r="K200" i="15"/>
  <c r="AJ200" i="15"/>
  <c r="AC200" i="15"/>
  <c r="AA196" i="1"/>
  <c r="Z196" i="1" s="1"/>
  <c r="Y196" i="1" s="1"/>
  <c r="I196" i="1"/>
  <c r="D196" i="17"/>
  <c r="E196" i="17" s="1"/>
  <c r="S198" i="1"/>
  <c r="R198" i="1" s="1"/>
  <c r="P198" i="1" s="1"/>
  <c r="V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E200" i="15" l="1"/>
  <c r="A202" i="15"/>
  <c r="X201" i="15"/>
  <c r="AB201" i="15"/>
  <c r="AJ201" i="15"/>
  <c r="O201" i="15"/>
  <c r="K201" i="15"/>
  <c r="L201" i="15"/>
  <c r="D201" i="15" s="1"/>
  <c r="E201" i="15" s="1"/>
  <c r="AK201" i="15"/>
  <c r="AC201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D197" i="17"/>
  <c r="AA197" i="1"/>
  <c r="Z197" i="1" s="1"/>
  <c r="Y197" i="1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V199" i="1"/>
  <c r="AB193" i="24"/>
  <c r="X193" i="24"/>
  <c r="A194" i="24"/>
  <c r="K193" i="24"/>
  <c r="L193" i="24"/>
  <c r="AJ193" i="24"/>
  <c r="AK193" i="24"/>
  <c r="O193" i="24"/>
  <c r="AC193" i="24"/>
  <c r="E197" i="17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K199" i="16" l="1"/>
  <c r="X199" i="16"/>
  <c r="A200" i="16"/>
  <c r="AK199" i="16"/>
  <c r="O199" i="16"/>
  <c r="AB199" i="16"/>
  <c r="L199" i="16"/>
  <c r="D199" i="16" s="1"/>
  <c r="E199" i="16" s="1"/>
  <c r="AJ199" i="16"/>
  <c r="AC199" i="16"/>
  <c r="AB202" i="15"/>
  <c r="A203" i="15"/>
  <c r="K202" i="15"/>
  <c r="AK202" i="15"/>
  <c r="O202" i="15"/>
  <c r="L202" i="15"/>
  <c r="D202" i="15" s="1"/>
  <c r="X202" i="15"/>
  <c r="AJ202" i="15"/>
  <c r="AC202" i="15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D198" i="17"/>
  <c r="E198" i="17" s="1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S200" i="1"/>
  <c r="R200" i="1" s="1"/>
  <c r="P200" i="1" s="1"/>
  <c r="V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2" i="15" l="1"/>
  <c r="A204" i="15"/>
  <c r="X203" i="15"/>
  <c r="AK203" i="15"/>
  <c r="O203" i="15"/>
  <c r="AB203" i="15"/>
  <c r="L203" i="15"/>
  <c r="D203" i="15" s="1"/>
  <c r="E203" i="15" s="1"/>
  <c r="K203" i="15"/>
  <c r="AJ203" i="15"/>
  <c r="AC203" i="15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S201" i="1"/>
  <c r="R201" i="1" s="1"/>
  <c r="P201" i="1" s="1"/>
  <c r="V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D199" i="17"/>
  <c r="E199" i="17" s="1"/>
  <c r="K196" i="23"/>
  <c r="L196" i="23"/>
  <c r="A197" i="23"/>
  <c r="AB196" i="23"/>
  <c r="X196" i="23"/>
  <c r="AJ196" i="23"/>
  <c r="AK196" i="23"/>
  <c r="O196" i="23"/>
  <c r="AC196" i="23"/>
  <c r="I200" i="1" l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AB204" i="15"/>
  <c r="A205" i="15"/>
  <c r="AK204" i="15"/>
  <c r="O204" i="15"/>
  <c r="L204" i="15"/>
  <c r="D204" i="15" s="1"/>
  <c r="X204" i="15"/>
  <c r="K204" i="15"/>
  <c r="AJ204" i="15"/>
  <c r="AC204" i="15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0" i="17"/>
  <c r="E200" i="17" s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K202" i="16" l="1"/>
  <c r="L202" i="16"/>
  <c r="D202" i="16" s="1"/>
  <c r="AB202" i="16"/>
  <c r="AJ202" i="16"/>
  <c r="O202" i="16"/>
  <c r="X202" i="16"/>
  <c r="A203" i="16"/>
  <c r="AK202" i="16"/>
  <c r="AC202" i="16"/>
  <c r="E204" i="15"/>
  <c r="AB205" i="15"/>
  <c r="A206" i="15"/>
  <c r="AJ205" i="15"/>
  <c r="AC205" i="15"/>
  <c r="L205" i="15"/>
  <c r="D205" i="15" s="1"/>
  <c r="K205" i="15"/>
  <c r="X205" i="15"/>
  <c r="AK205" i="15"/>
  <c r="O205" i="15"/>
  <c r="E205" i="15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D201" i="17"/>
  <c r="E201" i="17" s="1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2" i="16" l="1"/>
  <c r="X206" i="15"/>
  <c r="L206" i="15"/>
  <c r="D206" i="15" s="1"/>
  <c r="AB206" i="15"/>
  <c r="AK206" i="15"/>
  <c r="AC206" i="15"/>
  <c r="K206" i="15"/>
  <c r="A207" i="15"/>
  <c r="AJ206" i="15"/>
  <c r="O206" i="15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D202" i="17"/>
  <c r="E202" i="17" s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6" i="15" l="1"/>
  <c r="A205" i="16"/>
  <c r="L204" i="16"/>
  <c r="D204" i="16" s="1"/>
  <c r="AJ204" i="16"/>
  <c r="AC204" i="16"/>
  <c r="AB204" i="16"/>
  <c r="K204" i="16"/>
  <c r="X204" i="16"/>
  <c r="AK204" i="16"/>
  <c r="O204" i="16"/>
  <c r="E203" i="16"/>
  <c r="AB207" i="15"/>
  <c r="A208" i="15"/>
  <c r="K207" i="15"/>
  <c r="AJ207" i="15"/>
  <c r="O207" i="15"/>
  <c r="L207" i="15"/>
  <c r="D207" i="15" s="1"/>
  <c r="X207" i="15"/>
  <c r="AK207" i="15"/>
  <c r="AC207" i="15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D203" i="17"/>
  <c r="E203" i="17" s="1"/>
  <c r="A205" i="17"/>
  <c r="AB204" i="17"/>
  <c r="K204" i="17"/>
  <c r="L204" i="17"/>
  <c r="X204" i="17"/>
  <c r="AK204" i="17"/>
  <c r="AJ204" i="17"/>
  <c r="O204" i="17"/>
  <c r="AC204" i="17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7" i="15" l="1"/>
  <c r="E204" i="16"/>
  <c r="L208" i="15"/>
  <c r="D208" i="15" s="1"/>
  <c r="AC208" i="15"/>
  <c r="K208" i="15"/>
  <c r="AB208" i="15"/>
  <c r="A209" i="15"/>
  <c r="AJ208" i="15"/>
  <c r="O208" i="15"/>
  <c r="E208" i="15" s="1"/>
  <c r="X208" i="15"/>
  <c r="AK208" i="15"/>
  <c r="K205" i="16"/>
  <c r="L205" i="16"/>
  <c r="D205" i="16" s="1"/>
  <c r="AB205" i="16"/>
  <c r="AJ205" i="16"/>
  <c r="O205" i="16"/>
  <c r="X205" i="16"/>
  <c r="A206" i="16"/>
  <c r="AK205" i="16"/>
  <c r="AC205" i="16"/>
  <c r="I205" i="1"/>
  <c r="AA205" i="1"/>
  <c r="Z205" i="1" s="1"/>
  <c r="Y205" i="1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D204" i="17"/>
  <c r="E204" i="17" s="1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E205" i="16" l="1"/>
  <c r="AB206" i="16"/>
  <c r="A207" i="16"/>
  <c r="L206" i="16"/>
  <c r="D206" i="16" s="1"/>
  <c r="AK206" i="16"/>
  <c r="O206" i="16"/>
  <c r="K206" i="16"/>
  <c r="X206" i="16"/>
  <c r="AJ206" i="16"/>
  <c r="AC206" i="16"/>
  <c r="AB209" i="15"/>
  <c r="X209" i="15"/>
  <c r="L209" i="15"/>
  <c r="D209" i="15" s="1"/>
  <c r="AK209" i="15"/>
  <c r="AC209" i="15"/>
  <c r="K209" i="15"/>
  <c r="A210" i="15"/>
  <c r="AJ209" i="15"/>
  <c r="O209" i="15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V207" i="1"/>
  <c r="D205" i="17"/>
  <c r="E205" i="17" s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I207" i="1" l="1"/>
  <c r="A38" i="7"/>
  <c r="AK210" i="15"/>
  <c r="AB210" i="15"/>
  <c r="A211" i="15"/>
  <c r="X210" i="15"/>
  <c r="AJ210" i="15"/>
  <c r="O210" i="15"/>
  <c r="C38" i="7" s="1"/>
  <c r="K210" i="15"/>
  <c r="L210" i="15"/>
  <c r="AC210" i="15"/>
  <c r="E209" i="15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D206" i="17"/>
  <c r="E206" i="17" s="1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S208" i="1"/>
  <c r="R208" i="1" s="1"/>
  <c r="P208" i="1" s="1"/>
  <c r="V208" i="1" s="1"/>
  <c r="AA207" i="1" l="1"/>
  <c r="Z207" i="1" s="1"/>
  <c r="Y207" i="1" s="1"/>
  <c r="L208" i="16"/>
  <c r="D208" i="16" s="1"/>
  <c r="K208" i="16"/>
  <c r="X208" i="16"/>
  <c r="AK208" i="16"/>
  <c r="O208" i="16"/>
  <c r="A209" i="16"/>
  <c r="AB208" i="16"/>
  <c r="AJ208" i="16"/>
  <c r="AC208" i="16"/>
  <c r="L211" i="15"/>
  <c r="D211" i="15" s="1"/>
  <c r="A212" i="15"/>
  <c r="K211" i="15"/>
  <c r="AJ211" i="15"/>
  <c r="AC211" i="15"/>
  <c r="AB211" i="15"/>
  <c r="X211" i="15"/>
  <c r="AK211" i="15"/>
  <c r="O211" i="15"/>
  <c r="E207" i="16"/>
  <c r="B38" i="7"/>
  <c r="D210" i="15"/>
  <c r="E210" i="15" s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D207" i="17"/>
  <c r="E207" i="17" s="1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K204" i="23"/>
  <c r="A205" i="23"/>
  <c r="L204" i="23"/>
  <c r="AB204" i="23"/>
  <c r="X204" i="23"/>
  <c r="AK204" i="23"/>
  <c r="AJ204" i="23"/>
  <c r="O204" i="23"/>
  <c r="AC204" i="23"/>
  <c r="E211" i="15" l="1"/>
  <c r="X209" i="16"/>
  <c r="A210" i="16"/>
  <c r="L209" i="16"/>
  <c r="D209" i="16" s="1"/>
  <c r="AK209" i="16"/>
  <c r="O209" i="16"/>
  <c r="K209" i="16"/>
  <c r="AB209" i="16"/>
  <c r="AJ209" i="16"/>
  <c r="AC209" i="16"/>
  <c r="X212" i="15"/>
  <c r="A213" i="15"/>
  <c r="AB212" i="15"/>
  <c r="AK212" i="15"/>
  <c r="AC212" i="15"/>
  <c r="L212" i="15"/>
  <c r="D212" i="15" s="1"/>
  <c r="K212" i="15"/>
  <c r="AJ212" i="15"/>
  <c r="O212" i="15"/>
  <c r="E208" i="16"/>
  <c r="AB205" i="23"/>
  <c r="A206" i="23"/>
  <c r="K205" i="23"/>
  <c r="L205" i="23"/>
  <c r="X205" i="23"/>
  <c r="AJ205" i="23"/>
  <c r="AK205" i="23"/>
  <c r="O205" i="23"/>
  <c r="AC205" i="23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D208" i="17"/>
  <c r="E208" i="17" s="1"/>
  <c r="K207" i="20"/>
  <c r="L207" i="20"/>
  <c r="AB207" i="20"/>
  <c r="X207" i="20"/>
  <c r="A208" i="20"/>
  <c r="AJ207" i="20"/>
  <c r="AK207" i="20"/>
  <c r="O207" i="20"/>
  <c r="AC207" i="20"/>
  <c r="T210" i="1"/>
  <c r="B26" i="7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AA208" i="1"/>
  <c r="Z208" i="1" s="1"/>
  <c r="Y208" i="1" s="1"/>
  <c r="I208" i="1"/>
  <c r="K213" i="15" l="1"/>
  <c r="AB213" i="15"/>
  <c r="AK213" i="15"/>
  <c r="O213" i="15"/>
  <c r="A214" i="15"/>
  <c r="L213" i="15"/>
  <c r="D213" i="15" s="1"/>
  <c r="X213" i="15"/>
  <c r="AJ213" i="15"/>
  <c r="AC213" i="15"/>
  <c r="E209" i="16"/>
  <c r="E212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I209" i="1"/>
  <c r="AA209" i="1"/>
  <c r="Z209" i="1" s="1"/>
  <c r="Y209" i="1" s="1"/>
  <c r="D209" i="17"/>
  <c r="E209" i="17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3" i="15" l="1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AB214" i="15"/>
  <c r="L214" i="15"/>
  <c r="D214" i="15" s="1"/>
  <c r="AJ214" i="15"/>
  <c r="O214" i="15"/>
  <c r="X214" i="15"/>
  <c r="K214" i="15"/>
  <c r="A215" i="15"/>
  <c r="AK214" i="15"/>
  <c r="AC214" i="15"/>
  <c r="D26" i="7"/>
  <c r="V210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AB205" i="25"/>
  <c r="X205" i="25"/>
  <c r="L205" i="25"/>
  <c r="K205" i="25"/>
  <c r="A206" i="25"/>
  <c r="AK205" i="25"/>
  <c r="AJ205" i="25"/>
  <c r="O205" i="25"/>
  <c r="AC205" i="25"/>
  <c r="D210" i="17"/>
  <c r="E210" i="17" s="1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E211" i="16" l="1"/>
  <c r="X215" i="15"/>
  <c r="A216" i="15"/>
  <c r="L215" i="15"/>
  <c r="D215" i="15" s="1"/>
  <c r="AJ215" i="15"/>
  <c r="AB215" i="15"/>
  <c r="K215" i="15"/>
  <c r="AK215" i="15"/>
  <c r="O215" i="15"/>
  <c r="AC215" i="15"/>
  <c r="E214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D211" i="17"/>
  <c r="E211" i="17" s="1"/>
  <c r="I210" i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5" i="15" l="1"/>
  <c r="K213" i="16"/>
  <c r="AB213" i="16"/>
  <c r="A214" i="16"/>
  <c r="AJ213" i="16"/>
  <c r="O213" i="16"/>
  <c r="L213" i="16"/>
  <c r="D213" i="16" s="1"/>
  <c r="X213" i="16"/>
  <c r="AK213" i="16"/>
  <c r="AC213" i="16"/>
  <c r="X216" i="15"/>
  <c r="K216" i="15"/>
  <c r="AK216" i="15"/>
  <c r="O216" i="15"/>
  <c r="AB216" i="15"/>
  <c r="A217" i="15"/>
  <c r="L216" i="15"/>
  <c r="D216" i="15" s="1"/>
  <c r="AJ216" i="15"/>
  <c r="AC216" i="15"/>
  <c r="E212" i="16"/>
  <c r="AF26" i="7"/>
  <c r="K213" i="17"/>
  <c r="A214" i="17"/>
  <c r="X213" i="17"/>
  <c r="AB213" i="17"/>
  <c r="L213" i="17"/>
  <c r="O213" i="17"/>
  <c r="AK213" i="17"/>
  <c r="AJ213" i="17"/>
  <c r="AC213" i="17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2" i="17"/>
  <c r="E212" i="17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6" i="15" l="1"/>
  <c r="E213" i="16"/>
  <c r="X217" i="15"/>
  <c r="A218" i="15"/>
  <c r="K217" i="15"/>
  <c r="AJ217" i="15"/>
  <c r="O217" i="15"/>
  <c r="AC217" i="15"/>
  <c r="AB217" i="15"/>
  <c r="L217" i="15"/>
  <c r="D217" i="15" s="1"/>
  <c r="AK217" i="15"/>
  <c r="AB214" i="16"/>
  <c r="A215" i="16"/>
  <c r="L214" i="16"/>
  <c r="D214" i="16" s="1"/>
  <c r="AK214" i="16"/>
  <c r="O214" i="16"/>
  <c r="K214" i="16"/>
  <c r="X214" i="16"/>
  <c r="AJ214" i="16"/>
  <c r="AC214" i="16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D213" i="17"/>
  <c r="E213" i="17" s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S215" i="1"/>
  <c r="R215" i="1" s="1"/>
  <c r="P215" i="1" s="1"/>
  <c r="V215" i="1" s="1"/>
  <c r="AB214" i="17"/>
  <c r="K214" i="17"/>
  <c r="L214" i="17"/>
  <c r="A215" i="17"/>
  <c r="X214" i="17"/>
  <c r="AJ214" i="17"/>
  <c r="O214" i="17"/>
  <c r="AK214" i="17"/>
  <c r="AC214" i="17"/>
  <c r="E214" i="16" l="1"/>
  <c r="K218" i="15"/>
  <c r="A219" i="15"/>
  <c r="AK218" i="15"/>
  <c r="O218" i="15"/>
  <c r="L218" i="15"/>
  <c r="D218" i="15" s="1"/>
  <c r="X218" i="15"/>
  <c r="AB218" i="15"/>
  <c r="AJ218" i="15"/>
  <c r="AC218" i="15"/>
  <c r="K215" i="16"/>
  <c r="AB215" i="16"/>
  <c r="L215" i="16"/>
  <c r="D215" i="16" s="1"/>
  <c r="AK215" i="16"/>
  <c r="O215" i="16"/>
  <c r="A216" i="16"/>
  <c r="X215" i="16"/>
  <c r="AJ215" i="16"/>
  <c r="AC215" i="16"/>
  <c r="E217" i="15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D214" i="17"/>
  <c r="E214" i="17" s="1"/>
  <c r="AF50" i="7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X216" i="16" l="1"/>
  <c r="AB216" i="16"/>
  <c r="AJ216" i="16"/>
  <c r="AC216" i="16"/>
  <c r="L216" i="16"/>
  <c r="D216" i="16" s="1"/>
  <c r="K216" i="16"/>
  <c r="A217" i="16"/>
  <c r="AK216" i="16"/>
  <c r="O216" i="16"/>
  <c r="E215" i="16"/>
  <c r="E218" i="15"/>
  <c r="L219" i="15"/>
  <c r="D219" i="15" s="1"/>
  <c r="K219" i="15"/>
  <c r="AK219" i="15"/>
  <c r="O219" i="15"/>
  <c r="A220" i="15"/>
  <c r="X219" i="15"/>
  <c r="AB219" i="15"/>
  <c r="AJ219" i="15"/>
  <c r="AC219" i="15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D215" i="17"/>
  <c r="E215" i="17" s="1"/>
  <c r="K216" i="17"/>
  <c r="A217" i="17"/>
  <c r="L216" i="17"/>
  <c r="X216" i="17"/>
  <c r="AB216" i="17"/>
  <c r="AJ216" i="17"/>
  <c r="AK216" i="17"/>
  <c r="O216" i="17"/>
  <c r="AC216" i="17"/>
  <c r="E219" i="15" l="1"/>
  <c r="AB220" i="15"/>
  <c r="A221" i="15"/>
  <c r="AK220" i="15"/>
  <c r="O220" i="15"/>
  <c r="X220" i="15"/>
  <c r="L220" i="15"/>
  <c r="D220" i="15" s="1"/>
  <c r="K220" i="15"/>
  <c r="AJ220" i="15"/>
  <c r="AC220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D216" i="17"/>
  <c r="E216" i="17" s="1"/>
  <c r="AB213" i="23"/>
  <c r="K213" i="23"/>
  <c r="L213" i="23"/>
  <c r="X213" i="23"/>
  <c r="A214" i="23"/>
  <c r="AJ213" i="23"/>
  <c r="AK213" i="23"/>
  <c r="O213" i="23"/>
  <c r="AC213" i="23"/>
  <c r="X211" i="25"/>
  <c r="L211" i="25"/>
  <c r="K211" i="25"/>
  <c r="AB211" i="25"/>
  <c r="A212" i="25"/>
  <c r="AJ211" i="25"/>
  <c r="AK211" i="25"/>
  <c r="O211" i="25"/>
  <c r="AC211" i="25"/>
  <c r="A219" i="16" l="1"/>
  <c r="L218" i="16"/>
  <c r="D218" i="16" s="1"/>
  <c r="AJ218" i="16"/>
  <c r="AC218" i="16"/>
  <c r="K218" i="16"/>
  <c r="AB218" i="16"/>
  <c r="X218" i="16"/>
  <c r="AK218" i="16"/>
  <c r="O218" i="16"/>
  <c r="E220" i="15"/>
  <c r="K221" i="15"/>
  <c r="AB221" i="15"/>
  <c r="AJ221" i="15"/>
  <c r="O221" i="15"/>
  <c r="A222" i="15"/>
  <c r="L221" i="15"/>
  <c r="D221" i="15" s="1"/>
  <c r="X221" i="15"/>
  <c r="AK221" i="15"/>
  <c r="AC221" i="15"/>
  <c r="I218" i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D217" i="17"/>
  <c r="E217" i="17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I217" i="1"/>
  <c r="AA217" i="1"/>
  <c r="Z217" i="1" s="1"/>
  <c r="Y217" i="1" s="1"/>
  <c r="S219" i="1"/>
  <c r="R219" i="1" s="1"/>
  <c r="P219" i="1" s="1"/>
  <c r="V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8" i="16" l="1"/>
  <c r="E221" i="15"/>
  <c r="L222" i="15"/>
  <c r="D222" i="15" s="1"/>
  <c r="AB222" i="15"/>
  <c r="AK222" i="15"/>
  <c r="A223" i="15"/>
  <c r="K222" i="15"/>
  <c r="AJ222" i="15"/>
  <c r="O222" i="15"/>
  <c r="X222" i="15"/>
  <c r="AC222" i="15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D218" i="17"/>
  <c r="E218" i="17" s="1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X220" i="16" l="1"/>
  <c r="A221" i="16"/>
  <c r="L220" i="16"/>
  <c r="D220" i="16" s="1"/>
  <c r="AJ220" i="16"/>
  <c r="O220" i="16"/>
  <c r="AB220" i="16"/>
  <c r="K220" i="16"/>
  <c r="AK220" i="16"/>
  <c r="AC220" i="16"/>
  <c r="E222" i="15"/>
  <c r="E219" i="16"/>
  <c r="AB223" i="15"/>
  <c r="A224" i="15"/>
  <c r="L223" i="15"/>
  <c r="D223" i="15" s="1"/>
  <c r="AJ223" i="15"/>
  <c r="AC223" i="15"/>
  <c r="K223" i="15"/>
  <c r="X223" i="15"/>
  <c r="AK223" i="15"/>
  <c r="O223" i="15"/>
  <c r="I219" i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V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D219" i="17"/>
  <c r="E219" i="17" s="1"/>
  <c r="X220" i="17"/>
  <c r="L220" i="17"/>
  <c r="AB220" i="17"/>
  <c r="A221" i="17"/>
  <c r="K220" i="17"/>
  <c r="AK220" i="17"/>
  <c r="AJ220" i="17"/>
  <c r="O220" i="17"/>
  <c r="AC220" i="17"/>
  <c r="E223" i="15" l="1"/>
  <c r="X221" i="16"/>
  <c r="L221" i="16"/>
  <c r="D221" i="16" s="1"/>
  <c r="AJ221" i="16"/>
  <c r="AC221" i="16"/>
  <c r="AB221" i="16"/>
  <c r="K221" i="16"/>
  <c r="A222" i="16"/>
  <c r="AK221" i="16"/>
  <c r="O221" i="16"/>
  <c r="K224" i="15"/>
  <c r="X224" i="15"/>
  <c r="AB224" i="15"/>
  <c r="AJ224" i="15"/>
  <c r="AC224" i="15"/>
  <c r="L224" i="15"/>
  <c r="D224" i="15" s="1"/>
  <c r="A225" i="15"/>
  <c r="AK224" i="15"/>
  <c r="O224" i="15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I221" i="1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K221" i="17"/>
  <c r="L221" i="17"/>
  <c r="X221" i="17"/>
  <c r="A222" i="17"/>
  <c r="AB221" i="17"/>
  <c r="AJ221" i="17"/>
  <c r="O221" i="17"/>
  <c r="AK221" i="17"/>
  <c r="AC221" i="17"/>
  <c r="D220" i="17"/>
  <c r="E220" i="17" s="1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AA222" i="1"/>
  <c r="Z222" i="1" s="1"/>
  <c r="Y222" i="1" s="1"/>
  <c r="E224" i="15"/>
  <c r="A226" i="15"/>
  <c r="K225" i="15"/>
  <c r="AB225" i="15"/>
  <c r="AK225" i="15"/>
  <c r="AC225" i="15"/>
  <c r="L225" i="15"/>
  <c r="D225" i="15" s="1"/>
  <c r="X225" i="15"/>
  <c r="AJ225" i="15"/>
  <c r="O225" i="15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D221" i="17"/>
  <c r="E221" i="17" s="1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E225" i="15" l="1"/>
  <c r="I222" i="1"/>
  <c r="X226" i="15"/>
  <c r="A227" i="15"/>
  <c r="AJ226" i="15"/>
  <c r="O226" i="15"/>
  <c r="K226" i="15"/>
  <c r="L226" i="15"/>
  <c r="D226" i="15" s="1"/>
  <c r="E226" i="15" s="1"/>
  <c r="AB226" i="15"/>
  <c r="AK226" i="15"/>
  <c r="AC226" i="15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D222" i="17"/>
  <c r="E222" i="17" s="1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K227" i="15" l="1"/>
  <c r="AJ227" i="15"/>
  <c r="AB227" i="15"/>
  <c r="L227" i="15"/>
  <c r="D227" i="15" s="1"/>
  <c r="AK227" i="15"/>
  <c r="O227" i="15"/>
  <c r="A228" i="15"/>
  <c r="X227" i="15"/>
  <c r="AC227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D223" i="17"/>
  <c r="E223" i="17" s="1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S224" i="1"/>
  <c r="R224" i="1" s="1"/>
  <c r="P224" i="1" s="1"/>
  <c r="V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I223" i="1"/>
  <c r="AA223" i="1"/>
  <c r="Z223" i="1" s="1"/>
  <c r="Y223" i="1" s="1"/>
  <c r="S225" i="1"/>
  <c r="R225" i="1" s="1"/>
  <c r="P225" i="1" s="1"/>
  <c r="V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4" i="16" l="1"/>
  <c r="E227" i="15"/>
  <c r="A226" i="16"/>
  <c r="X225" i="16"/>
  <c r="AK225" i="16"/>
  <c r="AC225" i="16"/>
  <c r="L225" i="16"/>
  <c r="D225" i="16" s="1"/>
  <c r="AB225" i="16"/>
  <c r="K225" i="16"/>
  <c r="AJ225" i="16"/>
  <c r="O225" i="16"/>
  <c r="L228" i="15"/>
  <c r="D228" i="15" s="1"/>
  <c r="A229" i="15"/>
  <c r="AB228" i="15"/>
  <c r="AJ228" i="15"/>
  <c r="O228" i="15"/>
  <c r="E228" i="15" s="1"/>
  <c r="K228" i="15"/>
  <c r="X228" i="15"/>
  <c r="AK228" i="15"/>
  <c r="AC228" i="15"/>
  <c r="AA225" i="1"/>
  <c r="Z225" i="1" s="1"/>
  <c r="Y225" i="1" s="1"/>
  <c r="I225" i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4" i="17"/>
  <c r="E224" i="17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P227" i="1" l="1"/>
  <c r="V227" i="1" s="1"/>
  <c r="AB229" i="15"/>
  <c r="K229" i="15"/>
  <c r="AJ229" i="15"/>
  <c r="O229" i="15"/>
  <c r="L229" i="15"/>
  <c r="D229" i="15" s="1"/>
  <c r="A230" i="15"/>
  <c r="X229" i="15"/>
  <c r="AK229" i="15"/>
  <c r="AC229" i="15"/>
  <c r="E225" i="16"/>
  <c r="X226" i="16"/>
  <c r="L226" i="16"/>
  <c r="D226" i="16" s="1"/>
  <c r="K226" i="16"/>
  <c r="AK226" i="16"/>
  <c r="O226" i="16"/>
  <c r="AB226" i="16"/>
  <c r="A227" i="16"/>
  <c r="AJ226" i="16"/>
  <c r="AC226" i="16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5" i="17"/>
  <c r="E225" i="17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6" i="16" l="1"/>
  <c r="K230" i="15"/>
  <c r="X230" i="15"/>
  <c r="A231" i="15"/>
  <c r="AK230" i="15"/>
  <c r="AC230" i="15"/>
  <c r="AB230" i="15"/>
  <c r="L230" i="15"/>
  <c r="D230" i="15" s="1"/>
  <c r="AJ230" i="15"/>
  <c r="O230" i="15"/>
  <c r="E230" i="15" s="1"/>
  <c r="K227" i="16"/>
  <c r="L227" i="16"/>
  <c r="D227" i="16" s="1"/>
  <c r="AJ227" i="16"/>
  <c r="AC227" i="16"/>
  <c r="X227" i="16"/>
  <c r="A228" i="16"/>
  <c r="AB227" i="16"/>
  <c r="AK227" i="16"/>
  <c r="O227" i="16"/>
  <c r="E229" i="15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AB227" i="17"/>
  <c r="L227" i="17"/>
  <c r="X227" i="17"/>
  <c r="K227" i="17"/>
  <c r="A228" i="17"/>
  <c r="AJ227" i="17"/>
  <c r="O227" i="17"/>
  <c r="AK227" i="17"/>
  <c r="AC227" i="17"/>
  <c r="D226" i="17"/>
  <c r="E226" i="17" s="1"/>
  <c r="AA226" i="1"/>
  <c r="Z226" i="1" s="1"/>
  <c r="Y226" i="1" s="1"/>
  <c r="I226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A232" i="15" l="1"/>
  <c r="AB231" i="15"/>
  <c r="AK231" i="15"/>
  <c r="AC231" i="15"/>
  <c r="X231" i="15"/>
  <c r="K231" i="15"/>
  <c r="O231" i="15"/>
  <c r="L231" i="15"/>
  <c r="D231" i="15" s="1"/>
  <c r="AJ231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7" i="17"/>
  <c r="E227" i="17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31" i="15" l="1"/>
  <c r="AA228" i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X232" i="15"/>
  <c r="K232" i="15"/>
  <c r="AJ232" i="15"/>
  <c r="O232" i="15"/>
  <c r="AB232" i="15"/>
  <c r="L232" i="15"/>
  <c r="D232" i="15" s="1"/>
  <c r="E232" i="15" s="1"/>
  <c r="A233" i="15"/>
  <c r="AK232" i="15"/>
  <c r="AC232" i="15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D228" i="17"/>
  <c r="E228" i="17" s="1"/>
  <c r="T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I228" i="1" l="1"/>
  <c r="A234" i="15"/>
  <c r="K233" i="15"/>
  <c r="X233" i="15"/>
  <c r="AJ233" i="15"/>
  <c r="AC233" i="15"/>
  <c r="AB233" i="15"/>
  <c r="L233" i="15"/>
  <c r="D233" i="15" s="1"/>
  <c r="AK233" i="15"/>
  <c r="O233" i="15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D229" i="17"/>
  <c r="E229" i="17" s="1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I229" i="1"/>
  <c r="E230" i="16" l="1"/>
  <c r="X231" i="16"/>
  <c r="K231" i="16"/>
  <c r="AJ231" i="16"/>
  <c r="AC231" i="16"/>
  <c r="L231" i="16"/>
  <c r="D231" i="16" s="1"/>
  <c r="A232" i="16"/>
  <c r="AB231" i="16"/>
  <c r="AK231" i="16"/>
  <c r="O231" i="16"/>
  <c r="E233" i="15"/>
  <c r="K234" i="15"/>
  <c r="AB234" i="15"/>
  <c r="AK234" i="15"/>
  <c r="AC234" i="15"/>
  <c r="A235" i="15"/>
  <c r="X234" i="15"/>
  <c r="L234" i="15"/>
  <c r="D234" i="15" s="1"/>
  <c r="AJ234" i="15"/>
  <c r="O234" i="15"/>
  <c r="E234" i="15" s="1"/>
  <c r="A231" i="18"/>
  <c r="AJ230" i="18"/>
  <c r="X230" i="18"/>
  <c r="AB230" i="18"/>
  <c r="K230" i="18"/>
  <c r="L230" i="18"/>
  <c r="AK230" i="18"/>
  <c r="O230" i="18"/>
  <c r="AC230" i="18"/>
  <c r="D230" i="17"/>
  <c r="E230" i="17" s="1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I232" i="1" l="1"/>
  <c r="X232" i="16"/>
  <c r="L232" i="16"/>
  <c r="D232" i="16" s="1"/>
  <c r="AJ232" i="16"/>
  <c r="AC232" i="16"/>
  <c r="K232" i="16"/>
  <c r="A233" i="16"/>
  <c r="AB232" i="16"/>
  <c r="AK232" i="16"/>
  <c r="O232" i="16"/>
  <c r="X235" i="15"/>
  <c r="L235" i="15"/>
  <c r="D235" i="15" s="1"/>
  <c r="AK235" i="15"/>
  <c r="O235" i="15"/>
  <c r="E235" i="15" s="1"/>
  <c r="A236" i="15"/>
  <c r="K235" i="15"/>
  <c r="AB235" i="15"/>
  <c r="AJ235" i="15"/>
  <c r="AC235" i="15"/>
  <c r="E231" i="16"/>
  <c r="AA230" i="1"/>
  <c r="Z230" i="1" s="1"/>
  <c r="Y230" i="1" s="1"/>
  <c r="I230" i="1"/>
  <c r="A229" i="23"/>
  <c r="L228" i="23"/>
  <c r="X228" i="23"/>
  <c r="K228" i="23"/>
  <c r="AB228" i="23"/>
  <c r="AJ228" i="23"/>
  <c r="AK228" i="23"/>
  <c r="O228" i="23"/>
  <c r="AC228" i="23"/>
  <c r="D231" i="17"/>
  <c r="E231" i="17" s="1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AA231" i="1"/>
  <c r="Z231" i="1" s="1"/>
  <c r="Y231" i="1" s="1"/>
  <c r="I231" i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2" i="16"/>
  <c r="K236" i="15"/>
  <c r="A237" i="15"/>
  <c r="AJ236" i="15"/>
  <c r="O236" i="15"/>
  <c r="L236" i="15"/>
  <c r="D236" i="15" s="1"/>
  <c r="AB236" i="15"/>
  <c r="X236" i="15"/>
  <c r="AC236" i="15"/>
  <c r="AK236" i="15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D232" i="17"/>
  <c r="E232" i="17" s="1"/>
  <c r="AB228" i="24"/>
  <c r="K228" i="24"/>
  <c r="A229" i="24"/>
  <c r="X228" i="24"/>
  <c r="L228" i="24"/>
  <c r="AJ228" i="24"/>
  <c r="AK228" i="24"/>
  <c r="O228" i="24"/>
  <c r="AC228" i="24"/>
  <c r="E236" i="15" l="1"/>
  <c r="P235" i="1"/>
  <c r="V235" i="1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A238" i="15"/>
  <c r="X237" i="15"/>
  <c r="K237" i="15"/>
  <c r="AJ237" i="15"/>
  <c r="O237" i="15"/>
  <c r="L237" i="15"/>
  <c r="D237" i="15" s="1"/>
  <c r="AB237" i="15"/>
  <c r="AK237" i="15"/>
  <c r="AC237" i="15"/>
  <c r="I234" i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D233" i="17"/>
  <c r="E233" i="17" s="1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AA234" i="1"/>
  <c r="Z234" i="1" s="1"/>
  <c r="Y234" i="1" s="1"/>
  <c r="E237" i="15"/>
  <c r="AB238" i="15"/>
  <c r="K238" i="15"/>
  <c r="A239" i="15"/>
  <c r="AJ238" i="15"/>
  <c r="AC238" i="15"/>
  <c r="X238" i="15"/>
  <c r="L238" i="15"/>
  <c r="D238" i="15" s="1"/>
  <c r="AK238" i="15"/>
  <c r="O238" i="15"/>
  <c r="E238" i="15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D234" i="17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E234" i="17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AA235" i="1" l="1"/>
  <c r="Z235" i="1" s="1"/>
  <c r="Y235" i="1" s="1"/>
  <c r="X236" i="16"/>
  <c r="AB236" i="16"/>
  <c r="AJ236" i="16"/>
  <c r="AC236" i="16"/>
  <c r="A237" i="16"/>
  <c r="K236" i="16"/>
  <c r="L236" i="16"/>
  <c r="D236" i="16" s="1"/>
  <c r="AK236" i="16"/>
  <c r="O236" i="16"/>
  <c r="E235" i="16"/>
  <c r="AB239" i="15"/>
  <c r="K239" i="15"/>
  <c r="A240" i="15"/>
  <c r="AK239" i="15"/>
  <c r="AC239" i="15"/>
  <c r="L239" i="15"/>
  <c r="D239" i="15" s="1"/>
  <c r="X239" i="15"/>
  <c r="AJ239" i="15"/>
  <c r="O239" i="15"/>
  <c r="I236" i="1"/>
  <c r="AA236" i="1"/>
  <c r="Z236" i="1" s="1"/>
  <c r="Y236" i="1" s="1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D235" i="17"/>
  <c r="E235" i="17" s="1"/>
  <c r="E239" i="15" l="1"/>
  <c r="P238" i="1"/>
  <c r="V238" i="1" s="1"/>
  <c r="AB240" i="15"/>
  <c r="K240" i="15"/>
  <c r="X240" i="15"/>
  <c r="AK240" i="15"/>
  <c r="AC240" i="15"/>
  <c r="L240" i="15"/>
  <c r="D240" i="15" s="1"/>
  <c r="A241" i="15"/>
  <c r="AJ240" i="15"/>
  <c r="O240" i="15"/>
  <c r="E236" i="16"/>
  <c r="AB237" i="16"/>
  <c r="A238" i="16"/>
  <c r="AJ237" i="16"/>
  <c r="AC237" i="16"/>
  <c r="X237" i="16"/>
  <c r="K237" i="16"/>
  <c r="L237" i="16"/>
  <c r="D237" i="16" s="1"/>
  <c r="AK237" i="16"/>
  <c r="O237" i="16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D236" i="17"/>
  <c r="E236" i="17" s="1"/>
  <c r="E240" i="15" l="1"/>
  <c r="AA238" i="1"/>
  <c r="Z238" i="1" s="1"/>
  <c r="Y238" i="1" s="1"/>
  <c r="A239" i="16"/>
  <c r="X238" i="16"/>
  <c r="K238" i="16"/>
  <c r="AK238" i="16"/>
  <c r="O238" i="16"/>
  <c r="AJ238" i="16"/>
  <c r="L238" i="16"/>
  <c r="D238" i="16" s="1"/>
  <c r="AB238" i="16"/>
  <c r="AC238" i="16"/>
  <c r="E237" i="16"/>
  <c r="A39" i="7"/>
  <c r="L241" i="15"/>
  <c r="A242" i="15"/>
  <c r="AK241" i="15"/>
  <c r="O241" i="15"/>
  <c r="C39" i="7" s="1"/>
  <c r="K241" i="15"/>
  <c r="AB241" i="15"/>
  <c r="X241" i="15"/>
  <c r="AJ241" i="15"/>
  <c r="AC241" i="15"/>
  <c r="S239" i="1"/>
  <c r="R239" i="1" s="1"/>
  <c r="P239" i="1" s="1"/>
  <c r="V239" i="1" s="1"/>
  <c r="I238" i="1"/>
  <c r="D237" i="17"/>
  <c r="E237" i="17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AA237" i="1"/>
  <c r="Z237" i="1" s="1"/>
  <c r="Y237" i="1" s="1"/>
  <c r="E238" i="16" l="1"/>
  <c r="B39" i="7"/>
  <c r="D241" i="15"/>
  <c r="E241" i="15" s="1"/>
  <c r="AA239" i="1"/>
  <c r="Z239" i="1" s="1"/>
  <c r="Y239" i="1" s="1"/>
  <c r="AB242" i="15"/>
  <c r="A243" i="15"/>
  <c r="AK242" i="15"/>
  <c r="O242" i="15"/>
  <c r="L242" i="15"/>
  <c r="D242" i="15" s="1"/>
  <c r="X242" i="15"/>
  <c r="K242" i="15"/>
  <c r="AJ242" i="15"/>
  <c r="AC242" i="15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D238" i="17"/>
  <c r="E238" i="17" s="1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E239" i="16" l="1"/>
  <c r="I239" i="1"/>
  <c r="L240" i="16"/>
  <c r="D240" i="16" s="1"/>
  <c r="AB240" i="16"/>
  <c r="A241" i="16"/>
  <c r="AJ240" i="16"/>
  <c r="O240" i="16"/>
  <c r="X240" i="16"/>
  <c r="K240" i="16"/>
  <c r="AK240" i="16"/>
  <c r="AC240" i="16"/>
  <c r="E242" i="15"/>
  <c r="AB243" i="15"/>
  <c r="L243" i="15"/>
  <c r="D243" i="15" s="1"/>
  <c r="K243" i="15"/>
  <c r="AJ243" i="15"/>
  <c r="AC243" i="15"/>
  <c r="X243" i="15"/>
  <c r="A244" i="15"/>
  <c r="AK243" i="15"/>
  <c r="O243" i="15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A237" i="23"/>
  <c r="AB236" i="23"/>
  <c r="X236" i="23"/>
  <c r="L236" i="23"/>
  <c r="K236" i="23"/>
  <c r="AJ236" i="23"/>
  <c r="AK236" i="23"/>
  <c r="O236" i="23"/>
  <c r="AC236" i="23"/>
  <c r="B27" i="7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D239" i="17"/>
  <c r="E239" i="17" s="1"/>
  <c r="E243" i="15" l="1"/>
  <c r="K244" i="15"/>
  <c r="A245" i="15"/>
  <c r="AK244" i="15"/>
  <c r="O244" i="15"/>
  <c r="L244" i="15"/>
  <c r="D244" i="15" s="1"/>
  <c r="X244" i="15"/>
  <c r="AB244" i="15"/>
  <c r="AJ244" i="15"/>
  <c r="AC244" i="15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D240" i="17"/>
  <c r="E240" i="17" s="1"/>
  <c r="S242" i="1"/>
  <c r="R242" i="1" s="1"/>
  <c r="P242" i="1" s="1"/>
  <c r="V242" i="1" s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A238" i="23"/>
  <c r="L237" i="23"/>
  <c r="X237" i="23"/>
  <c r="K237" i="23"/>
  <c r="AB237" i="23"/>
  <c r="AJ237" i="23"/>
  <c r="AK237" i="23"/>
  <c r="O237" i="23"/>
  <c r="AC237" i="23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E244" i="15" l="1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X245" i="15"/>
  <c r="L245" i="15"/>
  <c r="D245" i="15" s="1"/>
  <c r="AJ245" i="15"/>
  <c r="AC245" i="15"/>
  <c r="K245" i="15"/>
  <c r="A246" i="15"/>
  <c r="AB245" i="15"/>
  <c r="AK245" i="15"/>
  <c r="O245" i="15"/>
  <c r="D241" i="17"/>
  <c r="E241" i="17" s="1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2" i="16" l="1"/>
  <c r="K243" i="16"/>
  <c r="AB243" i="16"/>
  <c r="AK243" i="16"/>
  <c r="AC243" i="16"/>
  <c r="L243" i="16"/>
  <c r="D243" i="16" s="1"/>
  <c r="X243" i="16"/>
  <c r="A244" i="16"/>
  <c r="AJ243" i="16"/>
  <c r="O243" i="16"/>
  <c r="L246" i="15"/>
  <c r="D246" i="15" s="1"/>
  <c r="A247" i="15"/>
  <c r="AJ246" i="15"/>
  <c r="AC246" i="15"/>
  <c r="AB246" i="15"/>
  <c r="K246" i="15"/>
  <c r="X246" i="15"/>
  <c r="AK246" i="15"/>
  <c r="O246" i="15"/>
  <c r="E246" i="15" s="1"/>
  <c r="E245" i="15"/>
  <c r="AA243" i="1"/>
  <c r="Z243" i="1" s="1"/>
  <c r="Y243" i="1" s="1"/>
  <c r="I243" i="1"/>
  <c r="K237" i="25"/>
  <c r="L237" i="25"/>
  <c r="AB237" i="25"/>
  <c r="X237" i="25"/>
  <c r="A238" i="25"/>
  <c r="AJ237" i="25"/>
  <c r="O237" i="25"/>
  <c r="AK237" i="25"/>
  <c r="AC237" i="25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D242" i="17"/>
  <c r="E242" i="17" s="1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K247" i="15" l="1"/>
  <c r="A248" i="15"/>
  <c r="AK247" i="15"/>
  <c r="O247" i="15"/>
  <c r="X247" i="15"/>
  <c r="AB247" i="15"/>
  <c r="AC247" i="15"/>
  <c r="L247" i="15"/>
  <c r="D247" i="15" s="1"/>
  <c r="AJ247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D243" i="17"/>
  <c r="E243" i="17" s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K245" i="16" l="1"/>
  <c r="X245" i="16"/>
  <c r="AB245" i="16"/>
  <c r="AK245" i="16"/>
  <c r="O245" i="16"/>
  <c r="A246" i="16"/>
  <c r="L245" i="16"/>
  <c r="D245" i="16" s="1"/>
  <c r="E245" i="16" s="1"/>
  <c r="AJ245" i="16"/>
  <c r="AC245" i="16"/>
  <c r="E247" i="15"/>
  <c r="AB248" i="15"/>
  <c r="K248" i="15"/>
  <c r="A249" i="15"/>
  <c r="AJ248" i="15"/>
  <c r="O248" i="15"/>
  <c r="X248" i="15"/>
  <c r="L248" i="15"/>
  <c r="D248" i="15" s="1"/>
  <c r="E248" i="15" s="1"/>
  <c r="AK248" i="15"/>
  <c r="AC248" i="15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A243" i="22"/>
  <c r="X242" i="22"/>
  <c r="AB242" i="22"/>
  <c r="L242" i="22"/>
  <c r="K242" i="22"/>
  <c r="AJ242" i="22"/>
  <c r="AK242" i="22"/>
  <c r="O242" i="22"/>
  <c r="AC242" i="22"/>
  <c r="D244" i="17"/>
  <c r="E244" i="17" s="1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AA244" i="1"/>
  <c r="Z244" i="1" s="1"/>
  <c r="Y244" i="1" s="1"/>
  <c r="AF39" i="7"/>
  <c r="X246" i="16" l="1"/>
  <c r="K246" i="16"/>
  <c r="AK246" i="16"/>
  <c r="AC246" i="16"/>
  <c r="A247" i="16"/>
  <c r="L246" i="16"/>
  <c r="D246" i="16" s="1"/>
  <c r="AB246" i="16"/>
  <c r="AJ246" i="16"/>
  <c r="O246" i="16"/>
  <c r="I246" i="1"/>
  <c r="A250" i="15"/>
  <c r="K249" i="15"/>
  <c r="AK249" i="15"/>
  <c r="O249" i="15"/>
  <c r="AB249" i="15"/>
  <c r="L249" i="15"/>
  <c r="D249" i="15" s="1"/>
  <c r="E249" i="15" s="1"/>
  <c r="X249" i="15"/>
  <c r="AJ249" i="15"/>
  <c r="AC249" i="15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D245" i="17"/>
  <c r="E245" i="17" s="1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E246" i="16" l="1"/>
  <c r="AA246" i="1"/>
  <c r="Z246" i="1" s="1"/>
  <c r="Y246" i="1" s="1"/>
  <c r="X250" i="15"/>
  <c r="AB250" i="15"/>
  <c r="K250" i="15"/>
  <c r="AJ250" i="15"/>
  <c r="AC250" i="15"/>
  <c r="L250" i="15"/>
  <c r="D250" i="15" s="1"/>
  <c r="A251" i="15"/>
  <c r="AK250" i="15"/>
  <c r="O250" i="15"/>
  <c r="K247" i="16"/>
  <c r="AB247" i="16"/>
  <c r="AJ247" i="16"/>
  <c r="AC247" i="16"/>
  <c r="X247" i="16"/>
  <c r="L247" i="16"/>
  <c r="D247" i="16" s="1"/>
  <c r="A248" i="16"/>
  <c r="AK247" i="16"/>
  <c r="O247" i="16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D246" i="17"/>
  <c r="E246" i="17" s="1"/>
  <c r="AF63" i="7"/>
  <c r="E247" i="16" l="1"/>
  <c r="P249" i="1"/>
  <c r="V249" i="1" s="1"/>
  <c r="AA248" i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E250" i="15"/>
  <c r="X251" i="15"/>
  <c r="A252" i="15"/>
  <c r="AB251" i="15"/>
  <c r="AK251" i="15"/>
  <c r="AC251" i="15"/>
  <c r="L251" i="15"/>
  <c r="D251" i="15" s="1"/>
  <c r="K251" i="15"/>
  <c r="AJ251" i="15"/>
  <c r="O251" i="15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D247" i="17"/>
  <c r="E247" i="17" s="1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I248" i="1" l="1"/>
  <c r="E251" i="15"/>
  <c r="I249" i="1"/>
  <c r="E248" i="16"/>
  <c r="L249" i="16"/>
  <c r="D249" i="16" s="1"/>
  <c r="X249" i="16"/>
  <c r="AJ249" i="16"/>
  <c r="AC249" i="16"/>
  <c r="AB249" i="16"/>
  <c r="A250" i="16"/>
  <c r="K249" i="16"/>
  <c r="AK249" i="16"/>
  <c r="O249" i="16"/>
  <c r="A253" i="15"/>
  <c r="L252" i="15"/>
  <c r="D252" i="15" s="1"/>
  <c r="AK252" i="15"/>
  <c r="AC252" i="15"/>
  <c r="AB252" i="15"/>
  <c r="K252" i="15"/>
  <c r="X252" i="15"/>
  <c r="AJ252" i="15"/>
  <c r="O252" i="15"/>
  <c r="AA249" i="1"/>
  <c r="Z249" i="1" s="1"/>
  <c r="Y249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D248" i="17"/>
  <c r="E248" i="17" s="1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X253" i="15" l="1"/>
  <c r="AB253" i="15"/>
  <c r="K253" i="15"/>
  <c r="AK253" i="15"/>
  <c r="AC253" i="15"/>
  <c r="A254" i="15"/>
  <c r="L253" i="15"/>
  <c r="D253" i="15" s="1"/>
  <c r="AJ253" i="15"/>
  <c r="O253" i="15"/>
  <c r="E253" i="15" s="1"/>
  <c r="A251" i="16"/>
  <c r="AB250" i="16"/>
  <c r="K250" i="16"/>
  <c r="AJ250" i="16"/>
  <c r="O250" i="16"/>
  <c r="L250" i="16"/>
  <c r="D250" i="16" s="1"/>
  <c r="X250" i="16"/>
  <c r="AK250" i="16"/>
  <c r="AC250" i="16"/>
  <c r="E252" i="15"/>
  <c r="E249" i="16"/>
  <c r="I250" i="1"/>
  <c r="AA250" i="1"/>
  <c r="Z250" i="1" s="1"/>
  <c r="Y250" i="1" s="1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D249" i="17"/>
  <c r="E249" i="17" s="1"/>
  <c r="E250" i="16" l="1"/>
  <c r="AA251" i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AB254" i="15"/>
  <c r="L254" i="15"/>
  <c r="D254" i="15" s="1"/>
  <c r="AK254" i="15"/>
  <c r="O254" i="15"/>
  <c r="X254" i="15"/>
  <c r="A255" i="15"/>
  <c r="K254" i="15"/>
  <c r="AJ254" i="15"/>
  <c r="AC254" i="15"/>
  <c r="T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D250" i="17"/>
  <c r="E250" i="17" s="1"/>
  <c r="E251" i="16" l="1"/>
  <c r="I251" i="1"/>
  <c r="X255" i="15"/>
  <c r="AB255" i="15"/>
  <c r="AJ255" i="15"/>
  <c r="O255" i="15"/>
  <c r="K255" i="15"/>
  <c r="A256" i="15"/>
  <c r="L255" i="15"/>
  <c r="D255" i="15" s="1"/>
  <c r="AK255" i="15"/>
  <c r="AC255" i="15"/>
  <c r="E254" i="15"/>
  <c r="A253" i="16"/>
  <c r="AB252" i="16"/>
  <c r="K252" i="16"/>
  <c r="AK252" i="16"/>
  <c r="O252" i="16"/>
  <c r="X252" i="16"/>
  <c r="L252" i="16"/>
  <c r="D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D251" i="17"/>
  <c r="E251" i="17" s="1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E252" i="16" l="1"/>
  <c r="E255" i="15"/>
  <c r="X256" i="15"/>
  <c r="AB256" i="15"/>
  <c r="K256" i="15"/>
  <c r="AJ256" i="15"/>
  <c r="AC256" i="15"/>
  <c r="L256" i="15"/>
  <c r="D256" i="15" s="1"/>
  <c r="A257" i="15"/>
  <c r="AK256" i="15"/>
  <c r="O256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AA253" i="1"/>
  <c r="Z253" i="1" s="1"/>
  <c r="Y253" i="1" s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D252" i="17"/>
  <c r="E252" i="17" s="1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E256" i="15" l="1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258" i="15"/>
  <c r="AB257" i="15"/>
  <c r="K257" i="15"/>
  <c r="AJ257" i="15"/>
  <c r="O257" i="15"/>
  <c r="L257" i="15"/>
  <c r="D257" i="15" s="1"/>
  <c r="X257" i="15"/>
  <c r="AK257" i="15"/>
  <c r="AC257" i="15"/>
  <c r="I254" i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D253" i="17"/>
  <c r="E253" i="17" s="1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E257" i="15" l="1"/>
  <c r="AA254" i="1"/>
  <c r="Z254" i="1" s="1"/>
  <c r="Y254" i="1" s="1"/>
  <c r="L258" i="15"/>
  <c r="D258" i="15" s="1"/>
  <c r="A259" i="15"/>
  <c r="AK258" i="15"/>
  <c r="AC258" i="15"/>
  <c r="X258" i="15"/>
  <c r="AB258" i="15"/>
  <c r="K258" i="15"/>
  <c r="AJ258" i="15"/>
  <c r="O258" i="15"/>
  <c r="E258" i="15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4" i="17"/>
  <c r="E254" i="17" s="1"/>
  <c r="D256" i="1"/>
  <c r="E256" i="1" s="1"/>
  <c r="V256" i="1"/>
  <c r="F256" i="1" l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AB259" i="15"/>
  <c r="K259" i="15"/>
  <c r="AJ259" i="15"/>
  <c r="O259" i="15"/>
  <c r="X259" i="15"/>
  <c r="L259" i="15"/>
  <c r="D259" i="15" s="1"/>
  <c r="A260" i="15"/>
  <c r="AK259" i="15"/>
  <c r="AC259" i="15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D255" i="17"/>
  <c r="E255" i="17" s="1"/>
  <c r="K250" i="25"/>
  <c r="L250" i="25"/>
  <c r="A251" i="25"/>
  <c r="X250" i="25"/>
  <c r="AB250" i="25"/>
  <c r="AJ250" i="25"/>
  <c r="O250" i="25"/>
  <c r="AK250" i="25"/>
  <c r="AC250" i="25"/>
  <c r="F257" i="1" l="1"/>
  <c r="I257" i="1" s="1"/>
  <c r="AA256" i="1"/>
  <c r="Z256" i="1" s="1"/>
  <c r="Y256" i="1" s="1"/>
  <c r="G256" i="1"/>
  <c r="BW256" i="6" s="1"/>
  <c r="E256" i="16"/>
  <c r="L260" i="15"/>
  <c r="D260" i="15" s="1"/>
  <c r="AB260" i="15"/>
  <c r="X260" i="15"/>
  <c r="AK260" i="15"/>
  <c r="AC260" i="15"/>
  <c r="A261" i="15"/>
  <c r="K260" i="15"/>
  <c r="AJ260" i="15"/>
  <c r="O260" i="15"/>
  <c r="E259" i="15"/>
  <c r="AB257" i="16"/>
  <c r="K257" i="16"/>
  <c r="AJ257" i="16"/>
  <c r="AC257" i="16"/>
  <c r="A258" i="16"/>
  <c r="L257" i="16"/>
  <c r="D257" i="16" s="1"/>
  <c r="X257" i="16"/>
  <c r="AK257" i="16"/>
  <c r="O257" i="16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D256" i="17"/>
  <c r="E256" i="17" s="1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AA257" i="1" l="1"/>
  <c r="Z257" i="1" s="1"/>
  <c r="Y257" i="1" s="1"/>
  <c r="G257" i="1"/>
  <c r="BW257" i="6" s="1"/>
  <c r="E257" i="16"/>
  <c r="AB261" i="15"/>
  <c r="L261" i="15"/>
  <c r="D261" i="15" s="1"/>
  <c r="AJ261" i="15"/>
  <c r="AC261" i="15"/>
  <c r="X261" i="15"/>
  <c r="A262" i="15"/>
  <c r="K261" i="15"/>
  <c r="AK261" i="15"/>
  <c r="O261" i="15"/>
  <c r="AB258" i="16"/>
  <c r="A259" i="16"/>
  <c r="AJ258" i="16"/>
  <c r="AC258" i="16"/>
  <c r="K258" i="16"/>
  <c r="X258" i="16"/>
  <c r="L258" i="16"/>
  <c r="D258" i="16" s="1"/>
  <c r="AK258" i="16"/>
  <c r="O258" i="16"/>
  <c r="E260" i="15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D257" i="17"/>
  <c r="E257" i="17" s="1"/>
  <c r="K255" i="22"/>
  <c r="A256" i="22"/>
  <c r="AB255" i="22"/>
  <c r="X255" i="22"/>
  <c r="L255" i="22"/>
  <c r="AJ255" i="22"/>
  <c r="AK255" i="22"/>
  <c r="O255" i="22"/>
  <c r="AC255" i="22"/>
  <c r="A260" i="16" l="1"/>
  <c r="L259" i="16"/>
  <c r="D259" i="16" s="1"/>
  <c r="AB259" i="16"/>
  <c r="AK259" i="16"/>
  <c r="O259" i="16"/>
  <c r="X259" i="16"/>
  <c r="K259" i="16"/>
  <c r="AJ259" i="16"/>
  <c r="AC259" i="16"/>
  <c r="E258" i="16"/>
  <c r="K262" i="15"/>
  <c r="L262" i="15"/>
  <c r="D262" i="15" s="1"/>
  <c r="AJ262" i="15"/>
  <c r="O262" i="15"/>
  <c r="E262" i="15" s="1"/>
  <c r="A263" i="15"/>
  <c r="AB262" i="15"/>
  <c r="X262" i="15"/>
  <c r="AK262" i="15"/>
  <c r="AC262" i="15"/>
  <c r="E261" i="15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D258" i="17"/>
  <c r="E258" i="17" s="1"/>
  <c r="E259" i="16" l="1"/>
  <c r="AB263" i="15"/>
  <c r="K263" i="15"/>
  <c r="AJ263" i="15"/>
  <c r="O263" i="15"/>
  <c r="A264" i="15"/>
  <c r="L263" i="15"/>
  <c r="D263" i="15" s="1"/>
  <c r="X263" i="15"/>
  <c r="AK263" i="15"/>
  <c r="AC263" i="15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59" i="17"/>
  <c r="E259" i="17" s="1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K261" i="16" l="1"/>
  <c r="AB261" i="16"/>
  <c r="AJ261" i="16"/>
  <c r="AC261" i="16"/>
  <c r="L261" i="16"/>
  <c r="D261" i="16" s="1"/>
  <c r="X261" i="16"/>
  <c r="AK261" i="16"/>
  <c r="A262" i="16"/>
  <c r="O261" i="16"/>
  <c r="E263" i="15"/>
  <c r="X264" i="15"/>
  <c r="K264" i="15"/>
  <c r="AK264" i="15"/>
  <c r="O264" i="15"/>
  <c r="L264" i="15"/>
  <c r="D264" i="15" s="1"/>
  <c r="A265" i="15"/>
  <c r="AB264" i="15"/>
  <c r="AJ264" i="15"/>
  <c r="AC264" i="15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D260" i="17"/>
  <c r="E260" i="17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4" i="15" l="1"/>
  <c r="F262" i="1"/>
  <c r="AA262" i="1" s="1"/>
  <c r="Z262" i="1" s="1"/>
  <c r="Y262" i="1" s="1"/>
  <c r="E261" i="16"/>
  <c r="L265" i="15"/>
  <c r="D265" i="15" s="1"/>
  <c r="K265" i="15"/>
  <c r="AB265" i="15"/>
  <c r="AK265" i="15"/>
  <c r="AC265" i="15"/>
  <c r="X265" i="15"/>
  <c r="A266" i="15"/>
  <c r="AJ265" i="15"/>
  <c r="O265" i="15"/>
  <c r="E265" i="15" s="1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D261" i="17"/>
  <c r="E261" i="17" s="1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E262" i="16"/>
  <c r="G262" i="1"/>
  <c r="BW262" i="6" s="1"/>
  <c r="A267" i="15"/>
  <c r="L266" i="15"/>
  <c r="D266" i="15" s="1"/>
  <c r="K266" i="15"/>
  <c r="AJ266" i="15"/>
  <c r="AC266" i="15"/>
  <c r="X266" i="15"/>
  <c r="AB266" i="15"/>
  <c r="AK266" i="15"/>
  <c r="O266" i="15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D262" i="17"/>
  <c r="E262" i="17" s="1"/>
  <c r="A259" i="24"/>
  <c r="K258" i="24"/>
  <c r="X258" i="24"/>
  <c r="L258" i="24"/>
  <c r="AB258" i="24"/>
  <c r="AJ258" i="24"/>
  <c r="AK258" i="24"/>
  <c r="O258" i="24"/>
  <c r="AC258" i="24"/>
  <c r="E263" i="16" l="1"/>
  <c r="A268" i="15"/>
  <c r="X267" i="15"/>
  <c r="AB267" i="15"/>
  <c r="AK267" i="15"/>
  <c r="AC267" i="15"/>
  <c r="L267" i="15"/>
  <c r="D267" i="15" s="1"/>
  <c r="K267" i="15"/>
  <c r="AJ267" i="15"/>
  <c r="O267" i="15"/>
  <c r="L264" i="16"/>
  <c r="D264" i="16" s="1"/>
  <c r="X264" i="16"/>
  <c r="K264" i="16"/>
  <c r="AK264" i="16"/>
  <c r="O264" i="16"/>
  <c r="A265" i="16"/>
  <c r="AB264" i="16"/>
  <c r="AJ264" i="16"/>
  <c r="AC264" i="16"/>
  <c r="E266" i="15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D263" i="17"/>
  <c r="E263" i="17" s="1"/>
  <c r="A259" i="25"/>
  <c r="L258" i="25"/>
  <c r="X258" i="25"/>
  <c r="K258" i="25"/>
  <c r="AB258" i="25"/>
  <c r="AJ258" i="25"/>
  <c r="O258" i="25"/>
  <c r="AK258" i="25"/>
  <c r="AC258" i="25"/>
  <c r="E267" i="15" l="1"/>
  <c r="E264" i="16"/>
  <c r="X265" i="16"/>
  <c r="K265" i="16"/>
  <c r="AJ265" i="16"/>
  <c r="AC265" i="16"/>
  <c r="AB265" i="16"/>
  <c r="L265" i="16"/>
  <c r="D265" i="16" s="1"/>
  <c r="A266" i="16"/>
  <c r="AK265" i="16"/>
  <c r="O265" i="16"/>
  <c r="A269" i="15"/>
  <c r="K268" i="15"/>
  <c r="AJ268" i="15"/>
  <c r="AC268" i="15"/>
  <c r="X268" i="15"/>
  <c r="L268" i="15"/>
  <c r="D268" i="15" s="1"/>
  <c r="AB268" i="15"/>
  <c r="AK268" i="15"/>
  <c r="O268" i="15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D264" i="17"/>
  <c r="E264" i="17" s="1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5" i="16" l="1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E268" i="15"/>
  <c r="X269" i="15"/>
  <c r="K269" i="15"/>
  <c r="AJ269" i="15"/>
  <c r="O269" i="15"/>
  <c r="AB269" i="15"/>
  <c r="L269" i="15"/>
  <c r="D269" i="15" s="1"/>
  <c r="E269" i="15" s="1"/>
  <c r="A270" i="15"/>
  <c r="AK269" i="15"/>
  <c r="AC269" i="15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D265" i="17"/>
  <c r="E265" i="17" s="1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E266" i="16" l="1"/>
  <c r="AA266" i="1"/>
  <c r="Z266" i="1" s="1"/>
  <c r="Y266" i="1" s="1"/>
  <c r="F267" i="1"/>
  <c r="I267" i="1" s="1"/>
  <c r="AB270" i="15"/>
  <c r="A271" i="15"/>
  <c r="K270" i="15"/>
  <c r="AK270" i="15"/>
  <c r="AC270" i="15"/>
  <c r="L270" i="15"/>
  <c r="D270" i="15" s="1"/>
  <c r="X270" i="15"/>
  <c r="AJ270" i="15"/>
  <c r="O270" i="15"/>
  <c r="A268" i="16"/>
  <c r="X267" i="16"/>
  <c r="L267" i="16"/>
  <c r="D267" i="16" s="1"/>
  <c r="AK267" i="16"/>
  <c r="O267" i="16"/>
  <c r="K267" i="16"/>
  <c r="AB267" i="16"/>
  <c r="AJ267" i="16"/>
  <c r="AC267" i="16"/>
  <c r="I266" i="1"/>
  <c r="G267" i="1"/>
  <c r="BW267" i="6" s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D266" i="17"/>
  <c r="E266" i="17" s="1"/>
  <c r="K263" i="23"/>
  <c r="L263" i="23"/>
  <c r="AB263" i="23"/>
  <c r="A264" i="23"/>
  <c r="X263" i="23"/>
  <c r="AJ263" i="23"/>
  <c r="AK263" i="23"/>
  <c r="O263" i="23"/>
  <c r="AC263" i="23"/>
  <c r="P269" i="1" l="1"/>
  <c r="V269" i="1" s="1"/>
  <c r="AA267" i="1"/>
  <c r="Z267" i="1" s="1"/>
  <c r="Y267" i="1" s="1"/>
  <c r="E267" i="16"/>
  <c r="AB268" i="16"/>
  <c r="K268" i="16"/>
  <c r="A269" i="16"/>
  <c r="AK268" i="16"/>
  <c r="O268" i="16"/>
  <c r="L268" i="16"/>
  <c r="D268" i="16" s="1"/>
  <c r="X268" i="16"/>
  <c r="AJ268" i="16"/>
  <c r="AC268" i="16"/>
  <c r="K271" i="15"/>
  <c r="X271" i="15"/>
  <c r="AB271" i="15"/>
  <c r="AK271" i="15"/>
  <c r="AC271" i="15"/>
  <c r="L271" i="15"/>
  <c r="D271" i="15" s="1"/>
  <c r="A272" i="15"/>
  <c r="AJ271" i="15"/>
  <c r="O271" i="15"/>
  <c r="E270" i="15"/>
  <c r="X264" i="23"/>
  <c r="A265" i="23"/>
  <c r="L264" i="23"/>
  <c r="AB264" i="23"/>
  <c r="K264" i="23"/>
  <c r="AJ264" i="23"/>
  <c r="AK264" i="23"/>
  <c r="O264" i="23"/>
  <c r="AC264" i="23"/>
  <c r="D267" i="17"/>
  <c r="E267" i="17" s="1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E268" i="16" l="1"/>
  <c r="F269" i="1"/>
  <c r="G269" i="1" s="1"/>
  <c r="BW269" i="6" s="1"/>
  <c r="AB272" i="15"/>
  <c r="X272" i="15"/>
  <c r="A273" i="15"/>
  <c r="AK272" i="15"/>
  <c r="AC272" i="15"/>
  <c r="O272" i="15"/>
  <c r="C40" i="7" s="1"/>
  <c r="L272" i="15"/>
  <c r="A40" i="7"/>
  <c r="K272" i="15"/>
  <c r="AJ272" i="15"/>
  <c r="E271" i="15"/>
  <c r="A270" i="16"/>
  <c r="AB269" i="16"/>
  <c r="X269" i="16"/>
  <c r="AJ269" i="16"/>
  <c r="O269" i="16"/>
  <c r="K269" i="16"/>
  <c r="L269" i="16"/>
  <c r="D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D268" i="17"/>
  <c r="E268" i="17" s="1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69" i="16" l="1"/>
  <c r="AA269" i="1"/>
  <c r="Z269" i="1" s="1"/>
  <c r="Y269" i="1" s="1"/>
  <c r="I269" i="1"/>
  <c r="AB270" i="16"/>
  <c r="K270" i="16"/>
  <c r="AJ270" i="16"/>
  <c r="AC270" i="16"/>
  <c r="A271" i="16"/>
  <c r="L270" i="16"/>
  <c r="D270" i="16" s="1"/>
  <c r="X270" i="16"/>
  <c r="AK270" i="16"/>
  <c r="O270" i="16"/>
  <c r="B40" i="7"/>
  <c r="D272" i="15"/>
  <c r="E272" i="15" s="1"/>
  <c r="X273" i="15"/>
  <c r="L273" i="15"/>
  <c r="D273" i="15" s="1"/>
  <c r="AB273" i="15"/>
  <c r="AJ273" i="15"/>
  <c r="O273" i="15"/>
  <c r="A274" i="15"/>
  <c r="K273" i="15"/>
  <c r="AK273" i="15"/>
  <c r="AC273" i="15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D269" i="17"/>
  <c r="E269" i="17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E271" i="1"/>
  <c r="X274" i="15" l="1"/>
  <c r="L274" i="15"/>
  <c r="D274" i="15" s="1"/>
  <c r="AJ274" i="15"/>
  <c r="O274" i="15"/>
  <c r="E274" i="15" s="1"/>
  <c r="K274" i="15"/>
  <c r="AB274" i="15"/>
  <c r="A275" i="15"/>
  <c r="AK274" i="15"/>
  <c r="AC274" i="15"/>
  <c r="K271" i="16"/>
  <c r="AB271" i="16"/>
  <c r="X271" i="16"/>
  <c r="AK271" i="16"/>
  <c r="O271" i="16"/>
  <c r="AJ271" i="16"/>
  <c r="AC271" i="16"/>
  <c r="L271" i="16"/>
  <c r="D271" i="16" s="1"/>
  <c r="A272" i="16"/>
  <c r="E273" i="15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D270" i="17"/>
  <c r="E270" i="17" s="1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E271" i="16"/>
  <c r="K275" i="15"/>
  <c r="L275" i="15"/>
  <c r="D275" i="15" s="1"/>
  <c r="AK275" i="15"/>
  <c r="O275" i="15"/>
  <c r="E275" i="15" s="1"/>
  <c r="A276" i="15"/>
  <c r="X275" i="15"/>
  <c r="AB275" i="15"/>
  <c r="AJ275" i="15"/>
  <c r="AC275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D271" i="17"/>
  <c r="E271" i="17" s="1"/>
  <c r="X269" i="22"/>
  <c r="K269" i="22"/>
  <c r="AB269" i="22"/>
  <c r="A270" i="22"/>
  <c r="L269" i="22"/>
  <c r="AJ269" i="22"/>
  <c r="AK269" i="22"/>
  <c r="O269" i="22"/>
  <c r="AC269" i="22"/>
  <c r="F273" i="1" l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X276" i="15"/>
  <c r="A277" i="15"/>
  <c r="AJ276" i="15"/>
  <c r="AC276" i="15"/>
  <c r="L276" i="15"/>
  <c r="D276" i="15" s="1"/>
  <c r="AB276" i="15"/>
  <c r="K276" i="15"/>
  <c r="AK276" i="15"/>
  <c r="O276" i="15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D272" i="17"/>
  <c r="E272" i="17" s="1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AA273" i="1" l="1"/>
  <c r="Z273" i="1" s="1"/>
  <c r="Y273" i="1" s="1"/>
  <c r="I273" i="1"/>
  <c r="E276" i="15"/>
  <c r="K274" i="16"/>
  <c r="X274" i="16"/>
  <c r="AJ274" i="16"/>
  <c r="AC274" i="16"/>
  <c r="L274" i="16"/>
  <c r="D274" i="16" s="1"/>
  <c r="A275" i="16"/>
  <c r="AB274" i="16"/>
  <c r="AK274" i="16"/>
  <c r="O274" i="16"/>
  <c r="AB277" i="15"/>
  <c r="L277" i="15"/>
  <c r="D277" i="15" s="1"/>
  <c r="AJ277" i="15"/>
  <c r="O277" i="15"/>
  <c r="K277" i="15"/>
  <c r="X277" i="15"/>
  <c r="A278" i="15"/>
  <c r="AK277" i="15"/>
  <c r="AC277" i="15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D273" i="17"/>
  <c r="E273" i="17" s="1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7" i="15" l="1"/>
  <c r="E274" i="16"/>
  <c r="X278" i="15"/>
  <c r="AB278" i="15"/>
  <c r="A279" i="15"/>
  <c r="AK278" i="15"/>
  <c r="AC278" i="15"/>
  <c r="L278" i="15"/>
  <c r="D278" i="15" s="1"/>
  <c r="K278" i="15"/>
  <c r="AJ278" i="15"/>
  <c r="O278" i="15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D274" i="17"/>
  <c r="E274" i="17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5" i="16"/>
  <c r="X276" i="16"/>
  <c r="L276" i="16"/>
  <c r="D276" i="16" s="1"/>
  <c r="K276" i="16"/>
  <c r="AJ276" i="16"/>
  <c r="O276" i="16"/>
  <c r="AB276" i="16"/>
  <c r="A277" i="16"/>
  <c r="AK276" i="16"/>
  <c r="AC276" i="16"/>
  <c r="E278" i="15"/>
  <c r="X279" i="15"/>
  <c r="A280" i="15"/>
  <c r="AB279" i="15"/>
  <c r="AK279" i="15"/>
  <c r="O279" i="15"/>
  <c r="K279" i="15"/>
  <c r="L279" i="15"/>
  <c r="D279" i="15" s="1"/>
  <c r="AJ279" i="15"/>
  <c r="AC279" i="15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D275" i="17"/>
  <c r="E275" i="17" s="1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E279" i="15" l="1"/>
  <c r="AA276" i="1"/>
  <c r="Z276" i="1" s="1"/>
  <c r="Y276" i="1" s="1"/>
  <c r="G276" i="1"/>
  <c r="BW276" i="6" s="1"/>
  <c r="X277" i="16"/>
  <c r="L277" i="16"/>
  <c r="D277" i="16" s="1"/>
  <c r="AB277" i="16"/>
  <c r="AK277" i="16"/>
  <c r="O277" i="16"/>
  <c r="K277" i="16"/>
  <c r="A278" i="16"/>
  <c r="AJ277" i="16"/>
  <c r="AC277" i="16"/>
  <c r="X280" i="15"/>
  <c r="L280" i="15"/>
  <c r="D280" i="15" s="1"/>
  <c r="A281" i="15"/>
  <c r="AK280" i="15"/>
  <c r="O280" i="15"/>
  <c r="AB280" i="15"/>
  <c r="K280" i="15"/>
  <c r="AJ280" i="15"/>
  <c r="AC280" i="15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D276" i="17"/>
  <c r="E276" i="17" s="1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80" i="15" l="1"/>
  <c r="E277" i="16"/>
  <c r="V277" i="1"/>
  <c r="F277" i="1" s="1"/>
  <c r="AB281" i="15"/>
  <c r="K281" i="15"/>
  <c r="X281" i="15"/>
  <c r="AJ281" i="15"/>
  <c r="AC281" i="15"/>
  <c r="A282" i="15"/>
  <c r="L281" i="15"/>
  <c r="D281" i="15" s="1"/>
  <c r="AK281" i="15"/>
  <c r="O281" i="15"/>
  <c r="E281" i="15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D277" i="17"/>
  <c r="E277" i="17" s="1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I277" i="1" l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L282" i="15"/>
  <c r="D282" i="15" s="1"/>
  <c r="X282" i="15"/>
  <c r="AK282" i="15"/>
  <c r="AB282" i="15"/>
  <c r="K282" i="15"/>
  <c r="AJ282" i="15"/>
  <c r="O282" i="15"/>
  <c r="E282" i="15" s="1"/>
  <c r="A283" i="15"/>
  <c r="AC282" i="15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D278" i="17"/>
  <c r="E278" i="17" s="1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AA279" i="1"/>
  <c r="Z279" i="1" s="1"/>
  <c r="Y279" i="1" s="1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L283" i="15"/>
  <c r="D283" i="15" s="1"/>
  <c r="X283" i="15"/>
  <c r="AJ283" i="15"/>
  <c r="O283" i="15"/>
  <c r="A284" i="15"/>
  <c r="AB283" i="15"/>
  <c r="K283" i="15"/>
  <c r="AK283" i="15"/>
  <c r="AC283" i="15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D279" i="17"/>
  <c r="E279" i="17" s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3" i="15" l="1"/>
  <c r="G280" i="1"/>
  <c r="BW280" i="6" s="1"/>
  <c r="I280" i="1"/>
  <c r="F281" i="1"/>
  <c r="AA281" i="1" s="1"/>
  <c r="Z281" i="1" s="1"/>
  <c r="Y281" i="1" s="1"/>
  <c r="AB284" i="15"/>
  <c r="K284" i="15"/>
  <c r="AJ284" i="15"/>
  <c r="O284" i="15"/>
  <c r="L284" i="15"/>
  <c r="D284" i="15" s="1"/>
  <c r="X284" i="15"/>
  <c r="A285" i="15"/>
  <c r="AK284" i="15"/>
  <c r="AC284" i="15"/>
  <c r="E280" i="16"/>
  <c r="AB281" i="16"/>
  <c r="X281" i="16"/>
  <c r="L281" i="16"/>
  <c r="D281" i="16" s="1"/>
  <c r="AK281" i="16"/>
  <c r="O281" i="16"/>
  <c r="A282" i="16"/>
  <c r="K281" i="16"/>
  <c r="AJ281" i="16"/>
  <c r="AC281" i="16"/>
  <c r="I281" i="1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D280" i="17"/>
  <c r="E280" i="17" s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G281" i="1" l="1"/>
  <c r="BW281" i="6" s="1"/>
  <c r="E281" i="16"/>
  <c r="A286" i="15"/>
  <c r="K285" i="15"/>
  <c r="AJ285" i="15"/>
  <c r="O285" i="15"/>
  <c r="X285" i="15"/>
  <c r="L285" i="15"/>
  <c r="D285" i="15" s="1"/>
  <c r="E285" i="15" s="1"/>
  <c r="AB285" i="15"/>
  <c r="AK285" i="15"/>
  <c r="AC285" i="15"/>
  <c r="E284" i="15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D281" i="17"/>
  <c r="E281" i="17" s="1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G283" i="1" s="1"/>
  <c r="BW283" i="6" s="1"/>
  <c r="E282" i="16"/>
  <c r="X283" i="16"/>
  <c r="L283" i="16"/>
  <c r="D283" i="16" s="1"/>
  <c r="A284" i="16"/>
  <c r="AK283" i="16"/>
  <c r="O283" i="16"/>
  <c r="K283" i="16"/>
  <c r="AB283" i="16"/>
  <c r="AJ283" i="16"/>
  <c r="AC283" i="16"/>
  <c r="K286" i="15"/>
  <c r="AB286" i="15"/>
  <c r="AJ286" i="15"/>
  <c r="O286" i="15"/>
  <c r="X286" i="15"/>
  <c r="L286" i="15"/>
  <c r="D286" i="15" s="1"/>
  <c r="E286" i="15" s="1"/>
  <c r="A287" i="15"/>
  <c r="AK286" i="15"/>
  <c r="AC286" i="15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D282" i="17"/>
  <c r="E282" i="17" s="1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AA283" i="1"/>
  <c r="Z283" i="1" s="1"/>
  <c r="Y283" i="1" s="1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AB287" i="15"/>
  <c r="X287" i="15"/>
  <c r="L287" i="15"/>
  <c r="D287" i="15" s="1"/>
  <c r="AK287" i="15"/>
  <c r="O287" i="15"/>
  <c r="E287" i="15" s="1"/>
  <c r="K287" i="15"/>
  <c r="A288" i="15"/>
  <c r="AJ287" i="15"/>
  <c r="AC287" i="15"/>
  <c r="E283" i="16"/>
  <c r="G284" i="1"/>
  <c r="BW284" i="6" s="1"/>
  <c r="A280" i="24"/>
  <c r="AB279" i="24"/>
  <c r="X279" i="24"/>
  <c r="K279" i="24"/>
  <c r="L279" i="24"/>
  <c r="AJ279" i="24"/>
  <c r="AK279" i="24"/>
  <c r="O279" i="24"/>
  <c r="AC279" i="24"/>
  <c r="D283" i="17"/>
  <c r="E283" i="17" s="1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E284" i="16" l="1"/>
  <c r="I284" i="1"/>
  <c r="F285" i="1"/>
  <c r="AA285" i="1" s="1"/>
  <c r="Z285" i="1" s="1"/>
  <c r="Y285" i="1" s="1"/>
  <c r="K288" i="15"/>
  <c r="X288" i="15"/>
  <c r="AJ288" i="15"/>
  <c r="O288" i="15"/>
  <c r="A289" i="15"/>
  <c r="AB288" i="15"/>
  <c r="L288" i="15"/>
  <c r="D288" i="15" s="1"/>
  <c r="AK288" i="15"/>
  <c r="AC288" i="15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E286" i="1" s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D284" i="17"/>
  <c r="E284" i="17" s="1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I285" i="1" l="1"/>
  <c r="G285" i="1"/>
  <c r="BW285" i="6" s="1"/>
  <c r="A287" i="16"/>
  <c r="L286" i="16"/>
  <c r="D286" i="16" s="1"/>
  <c r="AB286" i="16"/>
  <c r="AK286" i="16"/>
  <c r="O286" i="16"/>
  <c r="K286" i="16"/>
  <c r="X286" i="16"/>
  <c r="AJ286" i="16"/>
  <c r="AC286" i="16"/>
  <c r="E288" i="15"/>
  <c r="AB289" i="15"/>
  <c r="L289" i="15"/>
  <c r="D289" i="15" s="1"/>
  <c r="X289" i="15"/>
  <c r="AK289" i="15"/>
  <c r="O289" i="15"/>
  <c r="A290" i="15"/>
  <c r="K289" i="15"/>
  <c r="AJ289" i="15"/>
  <c r="AC289" i="15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D285" i="17"/>
  <c r="E285" i="17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E286" i="16" l="1"/>
  <c r="L290" i="15"/>
  <c r="D290" i="15" s="1"/>
  <c r="K290" i="15"/>
  <c r="AK290" i="15"/>
  <c r="O290" i="15"/>
  <c r="X290" i="15"/>
  <c r="A291" i="15"/>
  <c r="AB290" i="15"/>
  <c r="AJ290" i="15"/>
  <c r="AC290" i="15"/>
  <c r="F287" i="1"/>
  <c r="G287" i="1" s="1"/>
  <c r="BW287" i="6" s="1"/>
  <c r="J61" i="19"/>
  <c r="E289" i="15"/>
  <c r="X287" i="16"/>
  <c r="L287" i="16"/>
  <c r="D287" i="16" s="1"/>
  <c r="K287" i="16"/>
  <c r="AK287" i="16"/>
  <c r="O287" i="16"/>
  <c r="A288" i="16"/>
  <c r="AB287" i="16"/>
  <c r="AJ287" i="16"/>
  <c r="AC287" i="16"/>
  <c r="I287" i="1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D286" i="17"/>
  <c r="E286" i="17" s="1"/>
  <c r="A283" i="24"/>
  <c r="AB282" i="24"/>
  <c r="K282" i="24"/>
  <c r="X282" i="24"/>
  <c r="L282" i="24"/>
  <c r="AJ282" i="24"/>
  <c r="AK282" i="24"/>
  <c r="O282" i="24"/>
  <c r="AC282" i="24"/>
  <c r="E290" i="15" l="1"/>
  <c r="E287" i="16"/>
  <c r="AA287" i="1"/>
  <c r="Z287" i="1" s="1"/>
  <c r="Y287" i="1" s="1"/>
  <c r="AB288" i="16"/>
  <c r="L288" i="16"/>
  <c r="D288" i="16" s="1"/>
  <c r="K288" i="16"/>
  <c r="AK288" i="16"/>
  <c r="O288" i="16"/>
  <c r="A289" i="16"/>
  <c r="X288" i="16"/>
  <c r="AJ288" i="16"/>
  <c r="AC288" i="16"/>
  <c r="AB291" i="15"/>
  <c r="A292" i="15"/>
  <c r="AJ291" i="15"/>
  <c r="O291" i="15"/>
  <c r="L291" i="15"/>
  <c r="D291" i="15" s="1"/>
  <c r="K291" i="15"/>
  <c r="X291" i="15"/>
  <c r="AK291" i="15"/>
  <c r="AC291" i="15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D287" i="17"/>
  <c r="E287" i="17" s="1"/>
  <c r="A283" i="25"/>
  <c r="X282" i="25"/>
  <c r="K282" i="25"/>
  <c r="AB282" i="25"/>
  <c r="L282" i="25"/>
  <c r="AJ282" i="25"/>
  <c r="O282" i="25"/>
  <c r="AK282" i="25"/>
  <c r="AC282" i="25"/>
  <c r="E291" i="15" l="1"/>
  <c r="E288" i="16"/>
  <c r="AB289" i="16"/>
  <c r="L289" i="16"/>
  <c r="D289" i="16" s="1"/>
  <c r="A290" i="16"/>
  <c r="AK289" i="16"/>
  <c r="O289" i="16"/>
  <c r="K289" i="16"/>
  <c r="X289" i="16"/>
  <c r="AJ289" i="16"/>
  <c r="AC289" i="16"/>
  <c r="X292" i="15"/>
  <c r="A293" i="15"/>
  <c r="L292" i="15"/>
  <c r="D292" i="15" s="1"/>
  <c r="AJ292" i="15"/>
  <c r="AC292" i="15"/>
  <c r="K292" i="15"/>
  <c r="AB292" i="15"/>
  <c r="AK292" i="15"/>
  <c r="O292" i="15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D288" i="17"/>
  <c r="E288" i="17" s="1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89" i="16" l="1"/>
  <c r="E292" i="15"/>
  <c r="L293" i="15"/>
  <c r="D293" i="15" s="1"/>
  <c r="K293" i="15"/>
  <c r="AJ293" i="15"/>
  <c r="O293" i="15"/>
  <c r="A294" i="15"/>
  <c r="AB293" i="15"/>
  <c r="X293" i="15"/>
  <c r="AK293" i="15"/>
  <c r="AC293" i="15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D289" i="17"/>
  <c r="E289" i="17" s="1"/>
  <c r="I288" i="1"/>
  <c r="G288" i="1"/>
  <c r="BW288" i="6" s="1"/>
  <c r="AA288" i="1"/>
  <c r="Z288" i="1" s="1"/>
  <c r="Y288" i="1" s="1"/>
  <c r="E293" i="15" l="1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X294" i="15"/>
  <c r="A295" i="15"/>
  <c r="AJ294" i="15"/>
  <c r="AC294" i="15"/>
  <c r="AB294" i="15"/>
  <c r="L294" i="15"/>
  <c r="D294" i="15" s="1"/>
  <c r="K294" i="15"/>
  <c r="AK294" i="15"/>
  <c r="O294" i="15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D290" i="17"/>
  <c r="E290" i="17" s="1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I291" i="1"/>
  <c r="A293" i="16"/>
  <c r="X292" i="16"/>
  <c r="L292" i="16"/>
  <c r="D292" i="16" s="1"/>
  <c r="AK292" i="16"/>
  <c r="O292" i="16"/>
  <c r="AB292" i="16"/>
  <c r="K292" i="16"/>
  <c r="AJ292" i="16"/>
  <c r="AC292" i="16"/>
  <c r="P293" i="1"/>
  <c r="E294" i="15"/>
  <c r="K295" i="15"/>
  <c r="X295" i="15"/>
  <c r="AJ295" i="15"/>
  <c r="O295" i="15"/>
  <c r="AB295" i="15"/>
  <c r="A296" i="15"/>
  <c r="L295" i="15"/>
  <c r="D295" i="15" s="1"/>
  <c r="AK295" i="15"/>
  <c r="AC295" i="15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D291" i="17"/>
  <c r="E291" i="17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E295" i="15" l="1"/>
  <c r="F292" i="1"/>
  <c r="G292" i="1" s="1"/>
  <c r="BW292" i="6" s="1"/>
  <c r="K296" i="15"/>
  <c r="A297" i="15"/>
  <c r="AB296" i="15"/>
  <c r="AK296" i="15"/>
  <c r="O296" i="15"/>
  <c r="AC296" i="15"/>
  <c r="X296" i="15"/>
  <c r="L296" i="15"/>
  <c r="D296" i="15" s="1"/>
  <c r="AJ296" i="15"/>
  <c r="E292" i="16"/>
  <c r="AB293" i="16"/>
  <c r="A294" i="16"/>
  <c r="X293" i="16"/>
  <c r="AK293" i="16"/>
  <c r="O293" i="16"/>
  <c r="L293" i="16"/>
  <c r="D293" i="16" s="1"/>
  <c r="K293" i="16"/>
  <c r="AJ293" i="16"/>
  <c r="AC293" i="16"/>
  <c r="AA292" i="1"/>
  <c r="Z292" i="1" s="1"/>
  <c r="Y292" i="1" s="1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D292" i="17"/>
  <c r="E292" i="17" s="1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F294" i="1" l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E296" i="15"/>
  <c r="X297" i="15"/>
  <c r="AB297" i="15"/>
  <c r="AJ297" i="15"/>
  <c r="O297" i="15"/>
  <c r="A298" i="15"/>
  <c r="L297" i="15"/>
  <c r="D297" i="15" s="1"/>
  <c r="K297" i="15"/>
  <c r="AK297" i="15"/>
  <c r="AC297" i="15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D293" i="17"/>
  <c r="E293" i="17" s="1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E297" i="15" l="1"/>
  <c r="AA294" i="1"/>
  <c r="Z294" i="1" s="1"/>
  <c r="Y294" i="1" s="1"/>
  <c r="A299" i="15"/>
  <c r="L298" i="15"/>
  <c r="D298" i="15" s="1"/>
  <c r="X298" i="15"/>
  <c r="AJ298" i="15"/>
  <c r="AC298" i="15"/>
  <c r="AB298" i="15"/>
  <c r="K298" i="15"/>
  <c r="AK298" i="15"/>
  <c r="O298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D294" i="17"/>
  <c r="E294" i="17" s="1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E298" i="15" l="1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A300" i="15"/>
  <c r="AB299" i="15"/>
  <c r="X299" i="15"/>
  <c r="AK299" i="15"/>
  <c r="AC299" i="15"/>
  <c r="K299" i="15"/>
  <c r="L299" i="15"/>
  <c r="D299" i="15" s="1"/>
  <c r="AJ299" i="15"/>
  <c r="O299" i="15"/>
  <c r="E299" i="15" s="1"/>
  <c r="D295" i="17"/>
  <c r="E295" i="17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G296" i="1" l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A301" i="15"/>
  <c r="K300" i="15"/>
  <c r="X300" i="15"/>
  <c r="AK300" i="15"/>
  <c r="AC300" i="15"/>
  <c r="L300" i="15"/>
  <c r="D300" i="15" s="1"/>
  <c r="AB300" i="15"/>
  <c r="AJ300" i="15"/>
  <c r="O300" i="15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AA297" i="1"/>
  <c r="Z297" i="1" s="1"/>
  <c r="Y297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D296" i="17"/>
  <c r="E296" i="17" s="1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F298" i="1"/>
  <c r="G298" i="1" s="1"/>
  <c r="BW298" i="6" s="1"/>
  <c r="E300" i="15"/>
  <c r="AB301" i="15"/>
  <c r="A302" i="15"/>
  <c r="AK301" i="15"/>
  <c r="O301" i="15"/>
  <c r="X301" i="15"/>
  <c r="L301" i="15"/>
  <c r="D301" i="15" s="1"/>
  <c r="E301" i="15" s="1"/>
  <c r="K301" i="15"/>
  <c r="AJ301" i="15"/>
  <c r="AC301" i="15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D297" i="17"/>
  <c r="E297" i="17" s="1"/>
  <c r="I298" i="1" l="1"/>
  <c r="AA298" i="1"/>
  <c r="Z298" i="1" s="1"/>
  <c r="Y298" i="1" s="1"/>
  <c r="P300" i="1"/>
  <c r="V300" i="1" s="1"/>
  <c r="A41" i="7"/>
  <c r="L302" i="15"/>
  <c r="X302" i="15"/>
  <c r="AK302" i="15"/>
  <c r="O302" i="15"/>
  <c r="C41" i="7" s="1"/>
  <c r="A303" i="15"/>
  <c r="K302" i="15"/>
  <c r="AB302" i="15"/>
  <c r="AJ302" i="15"/>
  <c r="AC302" i="15"/>
  <c r="AB299" i="16"/>
  <c r="X299" i="16"/>
  <c r="AJ299" i="16"/>
  <c r="AC299" i="16"/>
  <c r="L299" i="16"/>
  <c r="D299" i="16" s="1"/>
  <c r="K299" i="16"/>
  <c r="A300" i="16"/>
  <c r="AK299" i="16"/>
  <c r="O299" i="16"/>
  <c r="D298" i="17"/>
  <c r="E298" i="17" s="1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F300" i="1"/>
  <c r="AA300" i="1" s="1"/>
  <c r="Z300" i="1" s="1"/>
  <c r="Y300" i="1" s="1"/>
  <c r="AB303" i="15"/>
  <c r="X303" i="15"/>
  <c r="AJ303" i="15"/>
  <c r="O303" i="15"/>
  <c r="A304" i="15"/>
  <c r="L303" i="15"/>
  <c r="D303" i="15" s="1"/>
  <c r="E303" i="15" s="1"/>
  <c r="K303" i="15"/>
  <c r="AK303" i="15"/>
  <c r="AC303" i="15"/>
  <c r="B41" i="7"/>
  <c r="D302" i="15"/>
  <c r="E302" i="15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I300" i="1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D299" i="17"/>
  <c r="E299" i="17" s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G300" i="1"/>
  <c r="BW300" i="6" s="1"/>
  <c r="AB301" i="16"/>
  <c r="K301" i="16"/>
  <c r="AK301" i="16"/>
  <c r="AC301" i="16"/>
  <c r="X301" i="16"/>
  <c r="L301" i="16"/>
  <c r="D301" i="16" s="1"/>
  <c r="A302" i="16"/>
  <c r="AJ301" i="16"/>
  <c r="O301" i="16"/>
  <c r="K304" i="15"/>
  <c r="AB304" i="15"/>
  <c r="AK304" i="15"/>
  <c r="O304" i="15"/>
  <c r="X304" i="15"/>
  <c r="L304" i="15"/>
  <c r="D304" i="15" s="1"/>
  <c r="E304" i="15" s="1"/>
  <c r="A305" i="15"/>
  <c r="AJ304" i="15"/>
  <c r="AC304" i="15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A301" i="1"/>
  <c r="Z301" i="1" s="1"/>
  <c r="Y301" i="1" s="1"/>
  <c r="D300" i="17"/>
  <c r="E300" i="17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E301" i="16"/>
  <c r="L305" i="15"/>
  <c r="D305" i="15" s="1"/>
  <c r="AB305" i="15"/>
  <c r="X305" i="15"/>
  <c r="AK305" i="15"/>
  <c r="AC305" i="15"/>
  <c r="K305" i="15"/>
  <c r="A306" i="15"/>
  <c r="AJ305" i="15"/>
  <c r="O305" i="15"/>
  <c r="E305" i="15" s="1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1" i="17"/>
  <c r="E301" i="17" s="1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X303" i="16" l="1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L306" i="15"/>
  <c r="D306" i="15" s="1"/>
  <c r="A307" i="15"/>
  <c r="X306" i="15"/>
  <c r="AK306" i="15"/>
  <c r="O306" i="15"/>
  <c r="E306" i="15" s="1"/>
  <c r="K306" i="15"/>
  <c r="AB306" i="15"/>
  <c r="AJ306" i="15"/>
  <c r="AC306" i="15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D302" i="17"/>
  <c r="E302" i="17" s="1"/>
  <c r="F304" i="1" l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L307" i="15"/>
  <c r="D307" i="15" s="1"/>
  <c r="X307" i="15"/>
  <c r="AJ307" i="15"/>
  <c r="O307" i="15"/>
  <c r="AB307" i="15"/>
  <c r="K307" i="15"/>
  <c r="A308" i="15"/>
  <c r="AK307" i="15"/>
  <c r="AC307" i="15"/>
  <c r="A305" i="17"/>
  <c r="X304" i="17"/>
  <c r="AB304" i="17"/>
  <c r="L304" i="17"/>
  <c r="K304" i="17"/>
  <c r="O304" i="17"/>
  <c r="AK304" i="17"/>
  <c r="AJ304" i="17"/>
  <c r="AC304" i="17"/>
  <c r="D303" i="17"/>
  <c r="E303" i="17" s="1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I304" i="1" l="1"/>
  <c r="AA304" i="1"/>
  <c r="Z304" i="1" s="1"/>
  <c r="Y304" i="1" s="1"/>
  <c r="E307" i="15"/>
  <c r="I303" i="1"/>
  <c r="G303" i="1"/>
  <c r="BW303" i="6" s="1"/>
  <c r="F305" i="1"/>
  <c r="AA305" i="1" s="1"/>
  <c r="Z305" i="1" s="1"/>
  <c r="Y305" i="1" s="1"/>
  <c r="E304" i="16"/>
  <c r="A309" i="15"/>
  <c r="K308" i="15"/>
  <c r="AB308" i="15"/>
  <c r="AJ308" i="15"/>
  <c r="O308" i="15"/>
  <c r="L308" i="15"/>
  <c r="D308" i="15" s="1"/>
  <c r="X308" i="15"/>
  <c r="AK308" i="15"/>
  <c r="AC308" i="15"/>
  <c r="AB305" i="16"/>
  <c r="K305" i="16"/>
  <c r="AJ305" i="16"/>
  <c r="AC305" i="16"/>
  <c r="A306" i="16"/>
  <c r="X305" i="16"/>
  <c r="L305" i="16"/>
  <c r="D305" i="16" s="1"/>
  <c r="AK305" i="16"/>
  <c r="O305" i="16"/>
  <c r="I305" i="1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D304" i="17"/>
  <c r="E304" i="17" s="1"/>
  <c r="G305" i="1" l="1"/>
  <c r="BW305" i="6" s="1"/>
  <c r="E305" i="16"/>
  <c r="X306" i="16"/>
  <c r="K306" i="16"/>
  <c r="AJ306" i="16"/>
  <c r="AC306" i="16"/>
  <c r="AB306" i="16"/>
  <c r="A307" i="16"/>
  <c r="L306" i="16"/>
  <c r="D306" i="16" s="1"/>
  <c r="AK306" i="16"/>
  <c r="O306" i="16"/>
  <c r="E308" i="15"/>
  <c r="L309" i="15"/>
  <c r="D309" i="15" s="1"/>
  <c r="X309" i="15"/>
  <c r="AJ309" i="15"/>
  <c r="O309" i="15"/>
  <c r="A310" i="15"/>
  <c r="K309" i="15"/>
  <c r="AB309" i="15"/>
  <c r="AK309" i="15"/>
  <c r="AC309" i="15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D305" i="17"/>
  <c r="E305" i="17" s="1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X310" i="15" l="1"/>
  <c r="AB310" i="15"/>
  <c r="AJ310" i="15"/>
  <c r="AC310" i="15"/>
  <c r="L310" i="15"/>
  <c r="D310" i="15" s="1"/>
  <c r="K310" i="15"/>
  <c r="A311" i="15"/>
  <c r="AK310" i="15"/>
  <c r="O310" i="15"/>
  <c r="E310" i="15" s="1"/>
  <c r="E306" i="16"/>
  <c r="E309" i="15"/>
  <c r="A308" i="16"/>
  <c r="X307" i="16"/>
  <c r="L307" i="16"/>
  <c r="D307" i="16" s="1"/>
  <c r="AK307" i="16"/>
  <c r="O307" i="16"/>
  <c r="K307" i="16"/>
  <c r="AB307" i="16"/>
  <c r="AJ307" i="16"/>
  <c r="AC307" i="16"/>
  <c r="D306" i="17"/>
  <c r="E306" i="17" s="1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7" i="16" l="1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A312" i="15"/>
  <c r="K311" i="15"/>
  <c r="AB311" i="15"/>
  <c r="AK311" i="15"/>
  <c r="AC311" i="15"/>
  <c r="L311" i="15"/>
  <c r="D311" i="15" s="1"/>
  <c r="X311" i="15"/>
  <c r="AJ311" i="15"/>
  <c r="O311" i="15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D307" i="17"/>
  <c r="E307" i="17" s="1"/>
  <c r="K303" i="24"/>
  <c r="A304" i="24"/>
  <c r="X303" i="24"/>
  <c r="AB303" i="24"/>
  <c r="L303" i="24"/>
  <c r="AJ303" i="24"/>
  <c r="AK303" i="24"/>
  <c r="O303" i="24"/>
  <c r="AC303" i="24"/>
  <c r="X309" i="16" l="1"/>
  <c r="A310" i="16"/>
  <c r="AK309" i="16"/>
  <c r="AC309" i="16"/>
  <c r="AB309" i="16"/>
  <c r="L309" i="16"/>
  <c r="D309" i="16" s="1"/>
  <c r="K309" i="16"/>
  <c r="AJ309" i="16"/>
  <c r="O309" i="16"/>
  <c r="E311" i="15"/>
  <c r="L312" i="15"/>
  <c r="D312" i="15" s="1"/>
  <c r="X312" i="15"/>
  <c r="K312" i="15"/>
  <c r="AK312" i="15"/>
  <c r="AC312" i="15"/>
  <c r="A313" i="15"/>
  <c r="AB312" i="15"/>
  <c r="AJ312" i="15"/>
  <c r="O312" i="15"/>
  <c r="E312" i="15" s="1"/>
  <c r="K304" i="24"/>
  <c r="L304" i="24"/>
  <c r="A305" i="24"/>
  <c r="X304" i="24"/>
  <c r="AB304" i="24"/>
  <c r="AJ304" i="24"/>
  <c r="AK304" i="24"/>
  <c r="O304" i="24"/>
  <c r="AC304" i="24"/>
  <c r="D308" i="17"/>
  <c r="E308" i="17" s="1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F310" i="1"/>
  <c r="I310" i="1" s="1"/>
  <c r="K313" i="15"/>
  <c r="L313" i="15"/>
  <c r="D313" i="15" s="1"/>
  <c r="AB313" i="15"/>
  <c r="AJ313" i="15"/>
  <c r="AC313" i="15"/>
  <c r="A314" i="15"/>
  <c r="X313" i="15"/>
  <c r="AK313" i="15"/>
  <c r="O313" i="15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D309" i="17"/>
  <c r="E309" i="17" s="1"/>
  <c r="K305" i="24"/>
  <c r="A306" i="24"/>
  <c r="X305" i="24"/>
  <c r="AB305" i="24"/>
  <c r="L305" i="24"/>
  <c r="AJ305" i="24"/>
  <c r="AK305" i="24"/>
  <c r="O305" i="24"/>
  <c r="AC305" i="24"/>
  <c r="E310" i="16" l="1"/>
  <c r="E313" i="15"/>
  <c r="AA310" i="1"/>
  <c r="Z310" i="1" s="1"/>
  <c r="Y310" i="1" s="1"/>
  <c r="G310" i="1"/>
  <c r="BW310" i="6" s="1"/>
  <c r="K314" i="15"/>
  <c r="AB314" i="15"/>
  <c r="X314" i="15"/>
  <c r="AK314" i="15"/>
  <c r="AC314" i="15"/>
  <c r="L314" i="15"/>
  <c r="D314" i="15" s="1"/>
  <c r="A315" i="15"/>
  <c r="AJ314" i="15"/>
  <c r="O314" i="15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D310" i="17"/>
  <c r="E310" i="17" s="1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E314" i="15" l="1"/>
  <c r="E311" i="16"/>
  <c r="X312" i="16"/>
  <c r="A313" i="16"/>
  <c r="AJ312" i="16"/>
  <c r="AC312" i="16"/>
  <c r="AB312" i="16"/>
  <c r="K312" i="16"/>
  <c r="L312" i="16"/>
  <c r="D312" i="16" s="1"/>
  <c r="AK312" i="16"/>
  <c r="O312" i="16"/>
  <c r="K315" i="15"/>
  <c r="A316" i="15"/>
  <c r="AK315" i="15"/>
  <c r="O315" i="15"/>
  <c r="L315" i="15"/>
  <c r="D315" i="15" s="1"/>
  <c r="X315" i="15"/>
  <c r="AB315" i="15"/>
  <c r="AJ315" i="15"/>
  <c r="AC315" i="15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D311" i="17"/>
  <c r="E311" i="17" s="1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F313" i="1" l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5" i="15"/>
  <c r="L316" i="15"/>
  <c r="D316" i="15" s="1"/>
  <c r="A317" i="15"/>
  <c r="X316" i="15"/>
  <c r="AK316" i="15"/>
  <c r="AC316" i="15"/>
  <c r="K316" i="15"/>
  <c r="AB316" i="15"/>
  <c r="AJ316" i="15"/>
  <c r="O316" i="15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D312" i="17"/>
  <c r="E312" i="17" s="1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G313" i="1"/>
  <c r="BW313" i="6" s="1"/>
  <c r="E313" i="16"/>
  <c r="F314" i="1"/>
  <c r="AA314" i="1" s="1"/>
  <c r="Z314" i="1" s="1"/>
  <c r="Y314" i="1" s="1"/>
  <c r="L317" i="15"/>
  <c r="D317" i="15" s="1"/>
  <c r="K317" i="15"/>
  <c r="AJ317" i="15"/>
  <c r="O317" i="15"/>
  <c r="A318" i="15"/>
  <c r="X317" i="15"/>
  <c r="AB317" i="15"/>
  <c r="AK317" i="15"/>
  <c r="AC317" i="15"/>
  <c r="E316" i="15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D313" i="17"/>
  <c r="E313" i="17" s="1"/>
  <c r="X313" i="18"/>
  <c r="AJ313" i="18"/>
  <c r="A314" i="18"/>
  <c r="AB313" i="18"/>
  <c r="K313" i="18"/>
  <c r="L313" i="18"/>
  <c r="O313" i="18"/>
  <c r="AK313" i="18"/>
  <c r="AC313" i="18"/>
  <c r="F315" i="1" l="1"/>
  <c r="AA315" i="1" s="1"/>
  <c r="Z315" i="1" s="1"/>
  <c r="Y315" i="1" s="1"/>
  <c r="G314" i="1"/>
  <c r="BW314" i="6" s="1"/>
  <c r="X318" i="15"/>
  <c r="AB318" i="15"/>
  <c r="AK318" i="15"/>
  <c r="O318" i="15"/>
  <c r="K318" i="15"/>
  <c r="L318" i="15"/>
  <c r="D318" i="15" s="1"/>
  <c r="E318" i="15" s="1"/>
  <c r="A319" i="15"/>
  <c r="AJ318" i="15"/>
  <c r="AC318" i="15"/>
  <c r="E314" i="16"/>
  <c r="AB315" i="16"/>
  <c r="X315" i="16"/>
  <c r="AK315" i="16"/>
  <c r="AC315" i="16"/>
  <c r="K315" i="16"/>
  <c r="A316" i="16"/>
  <c r="L315" i="16"/>
  <c r="D315" i="16" s="1"/>
  <c r="AJ315" i="16"/>
  <c r="O315" i="16"/>
  <c r="E317" i="15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D314" i="17"/>
  <c r="E314" i="17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I315" i="1" l="1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A320" i="15"/>
  <c r="K319" i="15"/>
  <c r="AJ319" i="15"/>
  <c r="O319" i="15"/>
  <c r="L319" i="15"/>
  <c r="D319" i="15" s="1"/>
  <c r="X319" i="15"/>
  <c r="AB319" i="15"/>
  <c r="AK319" i="15"/>
  <c r="AC319" i="15"/>
  <c r="D315" i="17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E315" i="17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9" i="15"/>
  <c r="I316" i="1"/>
  <c r="L320" i="15"/>
  <c r="D320" i="15" s="1"/>
  <c r="X320" i="15"/>
  <c r="K320" i="15"/>
  <c r="AK320" i="15"/>
  <c r="O320" i="15"/>
  <c r="E320" i="15" s="1"/>
  <c r="A321" i="15"/>
  <c r="AB320" i="15"/>
  <c r="AJ320" i="15"/>
  <c r="AC320" i="15"/>
  <c r="E316" i="16"/>
  <c r="X317" i="16"/>
  <c r="AB317" i="16"/>
  <c r="A318" i="16"/>
  <c r="AK317" i="16"/>
  <c r="O317" i="16"/>
  <c r="K317" i="16"/>
  <c r="L317" i="16"/>
  <c r="D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D316" i="17"/>
  <c r="E316" i="17" s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7" i="16" l="1"/>
  <c r="A322" i="15"/>
  <c r="L321" i="15"/>
  <c r="D321" i="15" s="1"/>
  <c r="AJ321" i="15"/>
  <c r="AC321" i="15"/>
  <c r="X321" i="15"/>
  <c r="K321" i="15"/>
  <c r="AB321" i="15"/>
  <c r="AK321" i="15"/>
  <c r="O321" i="15"/>
  <c r="X318" i="16"/>
  <c r="A319" i="16"/>
  <c r="L318" i="16"/>
  <c r="D318" i="16" s="1"/>
  <c r="AJ318" i="16"/>
  <c r="O318" i="16"/>
  <c r="K318" i="16"/>
  <c r="AB318" i="16"/>
  <c r="AK318" i="16"/>
  <c r="AC318" i="16"/>
  <c r="D317" i="17"/>
  <c r="E317" i="17" s="1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21" i="15" l="1"/>
  <c r="E318" i="16"/>
  <c r="AB319" i="16"/>
  <c r="L319" i="16"/>
  <c r="D319" i="16" s="1"/>
  <c r="AJ319" i="16"/>
  <c r="AC319" i="16"/>
  <c r="A320" i="16"/>
  <c r="X319" i="16"/>
  <c r="K319" i="16"/>
  <c r="AK319" i="16"/>
  <c r="O319" i="16"/>
  <c r="AB322" i="15"/>
  <c r="X322" i="15"/>
  <c r="AJ322" i="15"/>
  <c r="O322" i="15"/>
  <c r="K322" i="15"/>
  <c r="L322" i="15"/>
  <c r="D322" i="15" s="1"/>
  <c r="E322" i="15" s="1"/>
  <c r="A323" i="15"/>
  <c r="AK322" i="15"/>
  <c r="AC322" i="15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D318" i="17"/>
  <c r="E318" i="17" s="1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K320" i="16" l="1"/>
  <c r="L320" i="16"/>
  <c r="D320" i="16" s="1"/>
  <c r="A321" i="16"/>
  <c r="AJ320" i="16"/>
  <c r="O320" i="16"/>
  <c r="X320" i="16"/>
  <c r="AB320" i="16"/>
  <c r="AK320" i="16"/>
  <c r="AC320" i="16"/>
  <c r="F320" i="1"/>
  <c r="I320" i="1" s="1"/>
  <c r="L323" i="15"/>
  <c r="D323" i="15" s="1"/>
  <c r="A324" i="15"/>
  <c r="X323" i="15"/>
  <c r="AK323" i="15"/>
  <c r="AC323" i="15"/>
  <c r="K323" i="15"/>
  <c r="AB323" i="15"/>
  <c r="AJ323" i="15"/>
  <c r="O323" i="15"/>
  <c r="E323" i="15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D319" i="17"/>
  <c r="E319" i="17" s="1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E320" i="16" l="1"/>
  <c r="G320" i="1"/>
  <c r="BW320" i="6" s="1"/>
  <c r="AA320" i="1"/>
  <c r="Z320" i="1" s="1"/>
  <c r="Y320" i="1" s="1"/>
  <c r="P322" i="1"/>
  <c r="V322" i="1" s="1"/>
  <c r="A325" i="15"/>
  <c r="AB324" i="15"/>
  <c r="L324" i="15"/>
  <c r="D324" i="15" s="1"/>
  <c r="AK324" i="15"/>
  <c r="O324" i="15"/>
  <c r="X324" i="15"/>
  <c r="K324" i="15"/>
  <c r="AJ324" i="15"/>
  <c r="AC324" i="15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D320" i="17"/>
  <c r="E320" i="17" s="1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P323" i="1" l="1"/>
  <c r="V323" i="1" s="1"/>
  <c r="K322" i="16"/>
  <c r="X322" i="16"/>
  <c r="AJ322" i="16"/>
  <c r="AC322" i="16"/>
  <c r="A323" i="16"/>
  <c r="L322" i="16"/>
  <c r="D322" i="16" s="1"/>
  <c r="AB322" i="16"/>
  <c r="AK322" i="16"/>
  <c r="O322" i="16"/>
  <c r="E324" i="15"/>
  <c r="K325" i="15"/>
  <c r="AB325" i="15"/>
  <c r="AK325" i="15"/>
  <c r="O325" i="15"/>
  <c r="L325" i="15"/>
  <c r="D325" i="15" s="1"/>
  <c r="X325" i="15"/>
  <c r="A326" i="15"/>
  <c r="AJ325" i="15"/>
  <c r="AC325" i="15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D321" i="17"/>
  <c r="E321" i="17" s="1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2" i="16" l="1"/>
  <c r="X326" i="15"/>
  <c r="L326" i="15"/>
  <c r="D326" i="15" s="1"/>
  <c r="AJ326" i="15"/>
  <c r="O326" i="15"/>
  <c r="K326" i="15"/>
  <c r="AB326" i="15"/>
  <c r="A327" i="15"/>
  <c r="AK326" i="15"/>
  <c r="AC326" i="15"/>
  <c r="E325" i="15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D322" i="17"/>
  <c r="E322" i="17" s="1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3" i="16" l="1"/>
  <c r="E326" i="15"/>
  <c r="A325" i="16"/>
  <c r="L324" i="16"/>
  <c r="D324" i="16" s="1"/>
  <c r="AK324" i="16"/>
  <c r="AC324" i="16"/>
  <c r="AB324" i="16"/>
  <c r="K324" i="16"/>
  <c r="X324" i="16"/>
  <c r="AJ324" i="16"/>
  <c r="O324" i="16"/>
  <c r="A328" i="15"/>
  <c r="K327" i="15"/>
  <c r="AJ327" i="15"/>
  <c r="O327" i="15"/>
  <c r="X327" i="15"/>
  <c r="L327" i="15"/>
  <c r="D327" i="15" s="1"/>
  <c r="AB327" i="15"/>
  <c r="AK327" i="15"/>
  <c r="AC327" i="15"/>
  <c r="D325" i="1"/>
  <c r="E325" i="1" s="1"/>
  <c r="K324" i="17"/>
  <c r="A325" i="17"/>
  <c r="L324" i="17"/>
  <c r="AB324" i="17"/>
  <c r="X324" i="17"/>
  <c r="AJ324" i="17"/>
  <c r="O324" i="17"/>
  <c r="AK324" i="17"/>
  <c r="AC324" i="17"/>
  <c r="D323" i="17"/>
  <c r="E323" i="17" s="1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P326" i="1" l="1"/>
  <c r="V326" i="1" s="1"/>
  <c r="E327" i="15"/>
  <c r="L325" i="16"/>
  <c r="D325" i="16" s="1"/>
  <c r="K325" i="16"/>
  <c r="X325" i="16"/>
  <c r="AK325" i="16"/>
  <c r="O325" i="16"/>
  <c r="A326" i="16"/>
  <c r="AB325" i="16"/>
  <c r="AJ325" i="16"/>
  <c r="AC325" i="16"/>
  <c r="K328" i="15"/>
  <c r="L328" i="15"/>
  <c r="D328" i="15" s="1"/>
  <c r="AK328" i="15"/>
  <c r="O328" i="15"/>
  <c r="E328" i="15" s="1"/>
  <c r="AB328" i="15"/>
  <c r="A329" i="15"/>
  <c r="X328" i="15"/>
  <c r="AJ328" i="15"/>
  <c r="AC328" i="15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4" i="17"/>
  <c r="E324" i="17" s="1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F326" i="1" l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L329" i="15"/>
  <c r="D329" i="15" s="1"/>
  <c r="K329" i="15"/>
  <c r="AJ329" i="15"/>
  <c r="AC329" i="15"/>
  <c r="AB329" i="15"/>
  <c r="A330" i="15"/>
  <c r="X329" i="15"/>
  <c r="AK329" i="15"/>
  <c r="O329" i="15"/>
  <c r="E329" i="15" s="1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I326" i="1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AA325" i="1"/>
  <c r="Z325" i="1" s="1"/>
  <c r="Y325" i="1" s="1"/>
  <c r="D325" i="17"/>
  <c r="E325" i="17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E327" i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E326" i="16"/>
  <c r="K330" i="15"/>
  <c r="L330" i="15"/>
  <c r="D330" i="15" s="1"/>
  <c r="AJ330" i="15"/>
  <c r="O330" i="15"/>
  <c r="A331" i="15"/>
  <c r="X330" i="15"/>
  <c r="AB330" i="15"/>
  <c r="AK330" i="15"/>
  <c r="AC330" i="15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D326" i="17"/>
  <c r="E326" i="17" s="1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E330" i="15" l="1"/>
  <c r="P329" i="1"/>
  <c r="F328" i="1"/>
  <c r="AA328" i="1" s="1"/>
  <c r="Z328" i="1" s="1"/>
  <c r="Y328" i="1" s="1"/>
  <c r="AB331" i="15"/>
  <c r="A332" i="15"/>
  <c r="AJ331" i="15"/>
  <c r="O331" i="15"/>
  <c r="X331" i="15"/>
  <c r="L331" i="15"/>
  <c r="D331" i="15" s="1"/>
  <c r="K331" i="15"/>
  <c r="AK331" i="15"/>
  <c r="AC331" i="15"/>
  <c r="AB328" i="16"/>
  <c r="K328" i="16"/>
  <c r="X328" i="16"/>
  <c r="AK328" i="16"/>
  <c r="O328" i="16"/>
  <c r="L328" i="16"/>
  <c r="D328" i="16" s="1"/>
  <c r="A329" i="16"/>
  <c r="AJ328" i="16"/>
  <c r="AC328" i="16"/>
  <c r="E327" i="16"/>
  <c r="I328" i="1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D327" i="17"/>
  <c r="E327" i="17" s="1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31" i="15"/>
  <c r="L332" i="15"/>
  <c r="D332" i="15" s="1"/>
  <c r="K332" i="15"/>
  <c r="A333" i="15"/>
  <c r="AK332" i="15"/>
  <c r="AC332" i="15"/>
  <c r="X332" i="15"/>
  <c r="AB332" i="15"/>
  <c r="AJ332" i="15"/>
  <c r="O332" i="15"/>
  <c r="E332" i="15" s="1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D328" i="17"/>
  <c r="E328" i="17" s="1"/>
  <c r="L323" i="25"/>
  <c r="K323" i="25"/>
  <c r="X323" i="25"/>
  <c r="A324" i="25"/>
  <c r="AB323" i="25"/>
  <c r="AJ323" i="25"/>
  <c r="O323" i="25"/>
  <c r="AK323" i="25"/>
  <c r="AC323" i="25"/>
  <c r="AA329" i="1" l="1"/>
  <c r="Z329" i="1" s="1"/>
  <c r="Y329" i="1" s="1"/>
  <c r="I329" i="1"/>
  <c r="AB333" i="15"/>
  <c r="K333" i="15"/>
  <c r="A334" i="15"/>
  <c r="AJ333" i="15"/>
  <c r="O333" i="15"/>
  <c r="C42" i="7" s="1"/>
  <c r="L333" i="15"/>
  <c r="X333" i="15"/>
  <c r="A42" i="7"/>
  <c r="AK333" i="15"/>
  <c r="AC333" i="15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D329" i="17"/>
  <c r="E329" i="17" s="1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F331" i="1" l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D333" i="15"/>
  <c r="E333" i="15" s="1"/>
  <c r="B42" i="7"/>
  <c r="E330" i="16"/>
  <c r="X334" i="15"/>
  <c r="AB334" i="15"/>
  <c r="A335" i="15"/>
  <c r="AK334" i="15"/>
  <c r="AC334" i="15"/>
  <c r="L334" i="15"/>
  <c r="D334" i="15" s="1"/>
  <c r="K334" i="15"/>
  <c r="AJ334" i="15"/>
  <c r="O334" i="15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D330" i="17"/>
  <c r="E330" i="17" s="1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G331" i="1"/>
  <c r="BW331" i="6" s="1"/>
  <c r="E334" i="15"/>
  <c r="F332" i="1"/>
  <c r="G332" i="1" s="1"/>
  <c r="BW332" i="6" s="1"/>
  <c r="E331" i="16"/>
  <c r="A336" i="15"/>
  <c r="X335" i="15"/>
  <c r="K335" i="15"/>
  <c r="AJ335" i="15"/>
  <c r="L335" i="15"/>
  <c r="D335" i="15" s="1"/>
  <c r="AB335" i="15"/>
  <c r="AK335" i="15"/>
  <c r="O335" i="15"/>
  <c r="AC335" i="15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D331" i="17"/>
  <c r="E331" i="17" s="1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AA332" i="1" l="1"/>
  <c r="Z332" i="1" s="1"/>
  <c r="Y332" i="1" s="1"/>
  <c r="E335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A337" i="15"/>
  <c r="K336" i="15"/>
  <c r="AJ336" i="15"/>
  <c r="O336" i="15"/>
  <c r="L336" i="15"/>
  <c r="D336" i="15" s="1"/>
  <c r="X336" i="15"/>
  <c r="AB336" i="15"/>
  <c r="AK336" i="15"/>
  <c r="AC336" i="15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D332" i="17"/>
  <c r="E332" i="17" s="1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E336" i="15" l="1"/>
  <c r="K337" i="15"/>
  <c r="AB337" i="15"/>
  <c r="AJ337" i="15"/>
  <c r="O337" i="15"/>
  <c r="X337" i="15"/>
  <c r="L337" i="15"/>
  <c r="D337" i="15" s="1"/>
  <c r="E337" i="15" s="1"/>
  <c r="A338" i="15"/>
  <c r="AK337" i="15"/>
  <c r="AC337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D333" i="17"/>
  <c r="E333" i="17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A336" i="16" l="1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L338" i="15"/>
  <c r="D338" i="15" s="1"/>
  <c r="X338" i="15"/>
  <c r="AJ338" i="15"/>
  <c r="O338" i="15"/>
  <c r="A339" i="15"/>
  <c r="K338" i="15"/>
  <c r="AB338" i="15"/>
  <c r="AK338" i="15"/>
  <c r="AC338" i="15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D334" i="17"/>
  <c r="E334" i="17" s="1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8" i="15" l="1"/>
  <c r="AB339" i="15"/>
  <c r="L339" i="15"/>
  <c r="D339" i="15" s="1"/>
  <c r="X339" i="15"/>
  <c r="AK339" i="15"/>
  <c r="O339" i="15"/>
  <c r="K339" i="15"/>
  <c r="A340" i="15"/>
  <c r="AJ339" i="15"/>
  <c r="AC339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D335" i="17"/>
  <c r="E335" i="17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E336" i="16" l="1"/>
  <c r="A338" i="16"/>
  <c r="L337" i="16"/>
  <c r="D337" i="16" s="1"/>
  <c r="K337" i="16"/>
  <c r="AK337" i="16"/>
  <c r="O337" i="16"/>
  <c r="AB337" i="16"/>
  <c r="X337" i="16"/>
  <c r="AJ337" i="16"/>
  <c r="AC337" i="16"/>
  <c r="L340" i="15"/>
  <c r="D340" i="15" s="1"/>
  <c r="K340" i="15"/>
  <c r="AB340" i="15"/>
  <c r="AK340" i="15"/>
  <c r="AC340" i="15"/>
  <c r="A341" i="15"/>
  <c r="X340" i="15"/>
  <c r="AJ340" i="15"/>
  <c r="O340" i="15"/>
  <c r="E339" i="15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D336" i="17"/>
  <c r="E336" i="17" s="1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AB341" i="15" l="1"/>
  <c r="L341" i="15"/>
  <c r="D341" i="15" s="1"/>
  <c r="AJ341" i="15"/>
  <c r="O341" i="15"/>
  <c r="E341" i="15" s="1"/>
  <c r="K341" i="15"/>
  <c r="A342" i="15"/>
  <c r="X341" i="15"/>
  <c r="AK341" i="15"/>
  <c r="AC341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40" i="15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D337" i="17"/>
  <c r="E337" i="17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AA339" i="1" s="1"/>
  <c r="Z339" i="1" s="1"/>
  <c r="Y339" i="1" s="1"/>
  <c r="AA338" i="1"/>
  <c r="Z338" i="1" s="1"/>
  <c r="Y338" i="1" s="1"/>
  <c r="I338" i="1"/>
  <c r="E338" i="16"/>
  <c r="X342" i="15"/>
  <c r="K342" i="15"/>
  <c r="AK342" i="15"/>
  <c r="O342" i="15"/>
  <c r="A343" i="15"/>
  <c r="L342" i="15"/>
  <c r="D342" i="15" s="1"/>
  <c r="AB342" i="15"/>
  <c r="AJ342" i="15"/>
  <c r="AC342" i="15"/>
  <c r="K339" i="16"/>
  <c r="X339" i="16"/>
  <c r="AJ339" i="16"/>
  <c r="AC339" i="16"/>
  <c r="A340" i="16"/>
  <c r="L339" i="16"/>
  <c r="D339" i="16" s="1"/>
  <c r="AB339" i="16"/>
  <c r="AK339" i="16"/>
  <c r="O339" i="16"/>
  <c r="G339" i="1"/>
  <c r="BW339" i="6" s="1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D338" i="17"/>
  <c r="E338" i="17" s="1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E339" i="16"/>
  <c r="AB343" i="15"/>
  <c r="K343" i="15"/>
  <c r="AJ343" i="15"/>
  <c r="O343" i="15"/>
  <c r="X343" i="15"/>
  <c r="L343" i="15"/>
  <c r="D343" i="15" s="1"/>
  <c r="A344" i="15"/>
  <c r="AK343" i="15"/>
  <c r="AC343" i="15"/>
  <c r="L340" i="16"/>
  <c r="D340" i="16" s="1"/>
  <c r="AB340" i="16"/>
  <c r="AK340" i="16"/>
  <c r="AC340" i="16"/>
  <c r="A341" i="16"/>
  <c r="K340" i="16"/>
  <c r="X340" i="16"/>
  <c r="AJ340" i="16"/>
  <c r="O340" i="16"/>
  <c r="E342" i="15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D339" i="17"/>
  <c r="E339" i="17" s="1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G341" i="1" s="1"/>
  <c r="BW341" i="6" s="1"/>
  <c r="X341" i="16"/>
  <c r="K341" i="16"/>
  <c r="L341" i="16"/>
  <c r="D341" i="16" s="1"/>
  <c r="AK341" i="16"/>
  <c r="O341" i="16"/>
  <c r="A342" i="16"/>
  <c r="AB341" i="16"/>
  <c r="AJ341" i="16"/>
  <c r="AC341" i="16"/>
  <c r="E340" i="16"/>
  <c r="E343" i="15"/>
  <c r="AB344" i="15"/>
  <c r="A345" i="15"/>
  <c r="AJ344" i="15"/>
  <c r="AC344" i="15"/>
  <c r="K344" i="15"/>
  <c r="L344" i="15"/>
  <c r="D344" i="15" s="1"/>
  <c r="X344" i="15"/>
  <c r="AK344" i="15"/>
  <c r="O344" i="15"/>
  <c r="D340" i="17"/>
  <c r="E340" i="17" s="1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F342" i="1"/>
  <c r="G342" i="1" s="1"/>
  <c r="BW342" i="6" s="1"/>
  <c r="E344" i="15"/>
  <c r="K342" i="16"/>
  <c r="A343" i="16"/>
  <c r="X342" i="16"/>
  <c r="AK342" i="16"/>
  <c r="O342" i="16"/>
  <c r="L342" i="16"/>
  <c r="D342" i="16" s="1"/>
  <c r="AB342" i="16"/>
  <c r="AJ342" i="16"/>
  <c r="AC342" i="16"/>
  <c r="L345" i="15"/>
  <c r="D345" i="15" s="1"/>
  <c r="X345" i="15"/>
  <c r="AB345" i="15"/>
  <c r="AK345" i="15"/>
  <c r="AC345" i="15"/>
  <c r="K345" i="15"/>
  <c r="A346" i="15"/>
  <c r="AJ345" i="15"/>
  <c r="O345" i="15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D341" i="17"/>
  <c r="E341" i="17" s="1"/>
  <c r="AA342" i="1" l="1"/>
  <c r="Z342" i="1" s="1"/>
  <c r="Y342" i="1" s="1"/>
  <c r="I342" i="1"/>
  <c r="E342" i="16"/>
  <c r="F343" i="1"/>
  <c r="AA343" i="1" s="1"/>
  <c r="Z343" i="1" s="1"/>
  <c r="Y343" i="1" s="1"/>
  <c r="L346" i="15"/>
  <c r="D346" i="15" s="1"/>
  <c r="A347" i="15"/>
  <c r="K346" i="15"/>
  <c r="AK346" i="15"/>
  <c r="AC346" i="15"/>
  <c r="AB346" i="15"/>
  <c r="X346" i="15"/>
  <c r="AJ346" i="15"/>
  <c r="O346" i="15"/>
  <c r="E346" i="15" s="1"/>
  <c r="E345" i="15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D342" i="17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E342" i="17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X344" i="16"/>
  <c r="K344" i="16"/>
  <c r="AJ344" i="16"/>
  <c r="AC344" i="16"/>
  <c r="AB344" i="16"/>
  <c r="L344" i="16"/>
  <c r="D344" i="16" s="1"/>
  <c r="A345" i="16"/>
  <c r="AK344" i="16"/>
  <c r="O344" i="16"/>
  <c r="X347" i="15"/>
  <c r="L347" i="15"/>
  <c r="D347" i="15" s="1"/>
  <c r="AK347" i="15"/>
  <c r="O347" i="15"/>
  <c r="E347" i="15" s="1"/>
  <c r="A348" i="15"/>
  <c r="K347" i="15"/>
  <c r="AB347" i="15"/>
  <c r="AJ347" i="15"/>
  <c r="AC347" i="15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D343" i="17"/>
  <c r="E343" i="17" s="1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4" i="16" l="1"/>
  <c r="AB348" i="15"/>
  <c r="L348" i="15"/>
  <c r="D348" i="15" s="1"/>
  <c r="X348" i="15"/>
  <c r="AK348" i="15"/>
  <c r="O348" i="15"/>
  <c r="A349" i="15"/>
  <c r="K348" i="15"/>
  <c r="AJ348" i="15"/>
  <c r="AC348" i="15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D344" i="17"/>
  <c r="E344" i="17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K346" i="16"/>
  <c r="A347" i="16"/>
  <c r="X346" i="16"/>
  <c r="AK346" i="16"/>
  <c r="O346" i="16"/>
  <c r="L346" i="16"/>
  <c r="D346" i="16" s="1"/>
  <c r="AB346" i="16"/>
  <c r="AJ346" i="16"/>
  <c r="AC346" i="16"/>
  <c r="L349" i="15"/>
  <c r="D349" i="15" s="1"/>
  <c r="A350" i="15"/>
  <c r="AB349" i="15"/>
  <c r="AK349" i="15"/>
  <c r="AC349" i="15"/>
  <c r="X349" i="15"/>
  <c r="K349" i="15"/>
  <c r="AJ349" i="15"/>
  <c r="O349" i="15"/>
  <c r="E348" i="15"/>
  <c r="D345" i="17"/>
  <c r="E345" i="17" s="1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6" i="16" l="1"/>
  <c r="P348" i="1"/>
  <c r="V348" i="1" s="1"/>
  <c r="E349" i="15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K350" i="15"/>
  <c r="X350" i="15"/>
  <c r="AJ350" i="15"/>
  <c r="L350" i="15"/>
  <c r="D350" i="15" s="1"/>
  <c r="O350" i="15"/>
  <c r="AB350" i="15"/>
  <c r="A351" i="15"/>
  <c r="AK350" i="15"/>
  <c r="AC350" i="15"/>
  <c r="I347" i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D346" i="17"/>
  <c r="E346" i="17" s="1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E350" i="15" l="1"/>
  <c r="G347" i="1"/>
  <c r="BW347" i="6" s="1"/>
  <c r="A352" i="15"/>
  <c r="AK351" i="15"/>
  <c r="L351" i="15"/>
  <c r="D351" i="15" s="1"/>
  <c r="O351" i="15"/>
  <c r="AB351" i="15"/>
  <c r="X351" i="15"/>
  <c r="K351" i="15"/>
  <c r="AJ351" i="15"/>
  <c r="AC351" i="15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D347" i="17"/>
  <c r="E347" i="17" s="1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G348" i="1" l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E351" i="15"/>
  <c r="X352" i="15"/>
  <c r="K352" i="15"/>
  <c r="AJ352" i="15"/>
  <c r="AK352" i="15"/>
  <c r="AC352" i="15"/>
  <c r="A353" i="15"/>
  <c r="AB352" i="15"/>
  <c r="L352" i="15"/>
  <c r="D352" i="15" s="1"/>
  <c r="O352" i="15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D348" i="17"/>
  <c r="E348" i="17" s="1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2" i="15" l="1"/>
  <c r="AB353" i="15"/>
  <c r="K353" i="15"/>
  <c r="AJ353" i="15"/>
  <c r="O353" i="15"/>
  <c r="L353" i="15"/>
  <c r="D353" i="15" s="1"/>
  <c r="A354" i="15"/>
  <c r="X353" i="15"/>
  <c r="AK353" i="15"/>
  <c r="AC353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D349" i="17"/>
  <c r="E349" i="17" s="1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E350" i="16" l="1"/>
  <c r="P352" i="1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355" i="15"/>
  <c r="L354" i="15"/>
  <c r="D354" i="15" s="1"/>
  <c r="AB354" i="15"/>
  <c r="AK354" i="15"/>
  <c r="AC354" i="15"/>
  <c r="X354" i="15"/>
  <c r="AJ354" i="15"/>
  <c r="K354" i="15"/>
  <c r="O354" i="15"/>
  <c r="E353" i="15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V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D350" i="17"/>
  <c r="E350" i="17" s="1"/>
  <c r="E354" i="15" l="1"/>
  <c r="G351" i="1"/>
  <c r="BW351" i="6" s="1"/>
  <c r="AB355" i="15"/>
  <c r="K355" i="15"/>
  <c r="AK355" i="15"/>
  <c r="L355" i="15"/>
  <c r="D355" i="15" s="1"/>
  <c r="O355" i="15"/>
  <c r="A356" i="15"/>
  <c r="AJ355" i="15"/>
  <c r="X355" i="15"/>
  <c r="AC355" i="15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D351" i="17"/>
  <c r="E351" i="17" s="1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G353" i="1" s="1"/>
  <c r="BW353" i="6" s="1"/>
  <c r="E355" i="15"/>
  <c r="K353" i="16"/>
  <c r="X353" i="16"/>
  <c r="AB353" i="16"/>
  <c r="AK353" i="16"/>
  <c r="O353" i="16"/>
  <c r="AC353" i="16"/>
  <c r="A354" i="16"/>
  <c r="L353" i="16"/>
  <c r="D353" i="16" s="1"/>
  <c r="AJ353" i="16"/>
  <c r="E352" i="16"/>
  <c r="L356" i="15"/>
  <c r="D356" i="15" s="1"/>
  <c r="AB356" i="15"/>
  <c r="A357" i="15"/>
  <c r="O356" i="15"/>
  <c r="X356" i="15"/>
  <c r="K356" i="15"/>
  <c r="AK356" i="15"/>
  <c r="AJ356" i="15"/>
  <c r="AC356" i="15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D352" i="17"/>
  <c r="E352" i="17" s="1"/>
  <c r="E353" i="16" l="1"/>
  <c r="E356" i="15"/>
  <c r="AA353" i="1"/>
  <c r="Z353" i="1" s="1"/>
  <c r="Y353" i="1" s="1"/>
  <c r="F354" i="1"/>
  <c r="AA354" i="1" s="1"/>
  <c r="Z354" i="1" s="1"/>
  <c r="Y354" i="1" s="1"/>
  <c r="A358" i="15"/>
  <c r="AB357" i="15"/>
  <c r="AK357" i="15"/>
  <c r="AC357" i="15"/>
  <c r="K357" i="15"/>
  <c r="L357" i="15"/>
  <c r="D357" i="15" s="1"/>
  <c r="AJ357" i="15"/>
  <c r="X357" i="15"/>
  <c r="O357" i="15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D353" i="17"/>
  <c r="E353" i="17" s="1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F355" i="1" l="1"/>
  <c r="AA355" i="1" s="1"/>
  <c r="Z355" i="1" s="1"/>
  <c r="Y355" i="1" s="1"/>
  <c r="G354" i="1"/>
  <c r="BW354" i="6" s="1"/>
  <c r="P356" i="1"/>
  <c r="V356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E357" i="15"/>
  <c r="X358" i="15"/>
  <c r="AB358" i="15"/>
  <c r="AJ358" i="15"/>
  <c r="AC358" i="15"/>
  <c r="K358" i="15"/>
  <c r="A359" i="15"/>
  <c r="L358" i="15"/>
  <c r="D358" i="15" s="1"/>
  <c r="AK358" i="15"/>
  <c r="O358" i="15"/>
  <c r="D356" i="1"/>
  <c r="E356" i="1" s="1"/>
  <c r="D354" i="17"/>
  <c r="E354" i="17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I355" i="1" l="1"/>
  <c r="G355" i="1"/>
  <c r="BW355" i="6" s="1"/>
  <c r="E355" i="16"/>
  <c r="E358" i="15"/>
  <c r="A360" i="15"/>
  <c r="AB359" i="15"/>
  <c r="K359" i="15"/>
  <c r="AJ359" i="15"/>
  <c r="AC359" i="15"/>
  <c r="L359" i="15"/>
  <c r="D359" i="15" s="1"/>
  <c r="AK359" i="15"/>
  <c r="X359" i="15"/>
  <c r="O359" i="15"/>
  <c r="A357" i="16"/>
  <c r="K356" i="16"/>
  <c r="AJ356" i="16"/>
  <c r="AC356" i="16"/>
  <c r="L356" i="16"/>
  <c r="D356" i="16" s="1"/>
  <c r="AB356" i="16"/>
  <c r="X356" i="16"/>
  <c r="AK356" i="16"/>
  <c r="O356" i="16"/>
  <c r="D355" i="17"/>
  <c r="E355" i="17" s="1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E359" i="15" l="1"/>
  <c r="AB360" i="15"/>
  <c r="X360" i="15"/>
  <c r="K360" i="15"/>
  <c r="O360" i="15"/>
  <c r="A361" i="15"/>
  <c r="AJ360" i="15"/>
  <c r="L360" i="15"/>
  <c r="D360" i="15" s="1"/>
  <c r="AK360" i="15"/>
  <c r="AC360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D356" i="17"/>
  <c r="E356" i="17" s="1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F358" i="1" l="1"/>
  <c r="AA358" i="1" s="1"/>
  <c r="Z358" i="1" s="1"/>
  <c r="Y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E360" i="15"/>
  <c r="AB361" i="15"/>
  <c r="AJ361" i="15"/>
  <c r="K361" i="15"/>
  <c r="AK361" i="15"/>
  <c r="AC361" i="15"/>
  <c r="A362" i="15"/>
  <c r="L361" i="15"/>
  <c r="D361" i="15" s="1"/>
  <c r="X361" i="15"/>
  <c r="O361" i="15"/>
  <c r="E361" i="15" s="1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I358" i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D357" i="17"/>
  <c r="E357" i="17" s="1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E358" i="16"/>
  <c r="F359" i="1"/>
  <c r="I359" i="1" s="1"/>
  <c r="K362" i="15"/>
  <c r="AK362" i="15"/>
  <c r="X362" i="15"/>
  <c r="AJ362" i="15"/>
  <c r="AC362" i="15"/>
  <c r="AB362" i="15"/>
  <c r="L362" i="15"/>
  <c r="D362" i="15" s="1"/>
  <c r="A363" i="15"/>
  <c r="O362" i="15"/>
  <c r="AB359" i="16"/>
  <c r="A360" i="16"/>
  <c r="AJ359" i="16"/>
  <c r="AC359" i="16"/>
  <c r="K359" i="16"/>
  <c r="L359" i="16"/>
  <c r="D359" i="16" s="1"/>
  <c r="X359" i="16"/>
  <c r="AK359" i="16"/>
  <c r="O359" i="16"/>
  <c r="X357" i="20"/>
  <c r="A358" i="20"/>
  <c r="AK357" i="20"/>
  <c r="AB357" i="20"/>
  <c r="K357" i="20"/>
  <c r="L357" i="20"/>
  <c r="AJ357" i="20"/>
  <c r="O357" i="20"/>
  <c r="AC357" i="20"/>
  <c r="D358" i="17"/>
  <c r="E358" i="17" s="1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G360" i="1" s="1"/>
  <c r="BW360" i="6" s="1"/>
  <c r="P361" i="1"/>
  <c r="V361" i="1" s="1"/>
  <c r="E359" i="16"/>
  <c r="G359" i="1"/>
  <c r="BW359" i="6" s="1"/>
  <c r="AA359" i="1"/>
  <c r="Z359" i="1" s="1"/>
  <c r="Y359" i="1" s="1"/>
  <c r="A43" i="7"/>
  <c r="A364" i="15"/>
  <c r="X363" i="15"/>
  <c r="AB363" i="15"/>
  <c r="O363" i="15"/>
  <c r="C43" i="7" s="1"/>
  <c r="K363" i="15"/>
  <c r="AJ363" i="15"/>
  <c r="L363" i="15"/>
  <c r="AK363" i="15"/>
  <c r="AC363" i="15"/>
  <c r="X360" i="16"/>
  <c r="AK360" i="16"/>
  <c r="A361" i="16"/>
  <c r="AC360" i="16"/>
  <c r="AB360" i="16"/>
  <c r="AJ360" i="16"/>
  <c r="L360" i="16"/>
  <c r="D360" i="16" s="1"/>
  <c r="K360" i="16"/>
  <c r="O360" i="16"/>
  <c r="E362" i="15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D359" i="17"/>
  <c r="E359" i="17" s="1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I360" i="1"/>
  <c r="F361" i="1"/>
  <c r="G361" i="1" s="1"/>
  <c r="BW361" i="6" s="1"/>
  <c r="B43" i="7"/>
  <c r="D363" i="15"/>
  <c r="E363" i="15" s="1"/>
  <c r="X364" i="15"/>
  <c r="AK364" i="15"/>
  <c r="K364" i="15"/>
  <c r="AJ364" i="15"/>
  <c r="AC364" i="15"/>
  <c r="A365" i="15"/>
  <c r="L364" i="15"/>
  <c r="D364" i="15" s="1"/>
  <c r="AB364" i="15"/>
  <c r="O364" i="15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D360" i="17"/>
  <c r="E360" i="17" s="1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I361" i="1"/>
  <c r="X365" i="15"/>
  <c r="AJ365" i="15"/>
  <c r="L365" i="15"/>
  <c r="D365" i="15" s="1"/>
  <c r="AK365" i="15"/>
  <c r="AC365" i="15"/>
  <c r="K365" i="15"/>
  <c r="AB365" i="15"/>
  <c r="A366" i="15"/>
  <c r="O365" i="15"/>
  <c r="E361" i="16"/>
  <c r="A363" i="16"/>
  <c r="X362" i="16"/>
  <c r="AJ362" i="16"/>
  <c r="AC362" i="16"/>
  <c r="K362" i="16"/>
  <c r="L362" i="16"/>
  <c r="D362" i="16" s="1"/>
  <c r="AB362" i="16"/>
  <c r="AK362" i="16"/>
  <c r="O362" i="16"/>
  <c r="E364" i="15"/>
  <c r="S363" i="1"/>
  <c r="R363" i="1" s="1"/>
  <c r="P363" i="1" s="1"/>
  <c r="D31" i="7" s="1"/>
  <c r="B31" i="7"/>
  <c r="D363" i="1"/>
  <c r="E363" i="1" s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D361" i="17"/>
  <c r="E361" i="17" s="1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E362" i="16" l="1"/>
  <c r="K366" i="15"/>
  <c r="AK366" i="15"/>
  <c r="L366" i="15"/>
  <c r="D366" i="15" s="1"/>
  <c r="AJ366" i="15"/>
  <c r="AC366" i="15"/>
  <c r="A367" i="15"/>
  <c r="X366" i="15"/>
  <c r="AB366" i="15"/>
  <c r="O366" i="15"/>
  <c r="E366" i="15" s="1"/>
  <c r="X363" i="16"/>
  <c r="AK363" i="16"/>
  <c r="A364" i="16"/>
  <c r="AJ363" i="16"/>
  <c r="O363" i="16"/>
  <c r="C55" i="7" s="1"/>
  <c r="K363" i="16"/>
  <c r="AB363" i="16"/>
  <c r="A55" i="7"/>
  <c r="L363" i="16"/>
  <c r="AC363" i="16"/>
  <c r="E365" i="15"/>
  <c r="D362" i="17"/>
  <c r="E362" i="17" s="1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B55" i="7" l="1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L367" i="15"/>
  <c r="D367" i="15" s="1"/>
  <c r="AB367" i="15"/>
  <c r="AJ367" i="15"/>
  <c r="O367" i="15"/>
  <c r="A368" i="15"/>
  <c r="X367" i="15"/>
  <c r="K367" i="15"/>
  <c r="AK367" i="15"/>
  <c r="AC367" i="15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D363" i="17"/>
  <c r="E363" i="17" s="1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E367" i="15" l="1"/>
  <c r="L368" i="15"/>
  <c r="D368" i="15" s="1"/>
  <c r="A369" i="15"/>
  <c r="AB368" i="15"/>
  <c r="AK368" i="15"/>
  <c r="AC368" i="15"/>
  <c r="X368" i="15"/>
  <c r="AJ368" i="15"/>
  <c r="K368" i="15"/>
  <c r="O368" i="15"/>
  <c r="E368" i="15" s="1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D364" i="17"/>
  <c r="E364" i="17" s="1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G365" i="1"/>
  <c r="BW365" i="6" s="1"/>
  <c r="E365" i="16"/>
  <c r="K369" i="15"/>
  <c r="AJ369" i="15"/>
  <c r="A370" i="15"/>
  <c r="O369" i="15"/>
  <c r="AC369" i="15"/>
  <c r="L369" i="15"/>
  <c r="D369" i="15" s="1"/>
  <c r="AB369" i="15"/>
  <c r="AK369" i="15"/>
  <c r="X369" i="15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D365" i="17"/>
  <c r="E365" i="17" s="1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AK370" i="15" l="1"/>
  <c r="AJ370" i="15"/>
  <c r="A371" i="15"/>
  <c r="X370" i="15"/>
  <c r="K370" i="15"/>
  <c r="AC370" i="15"/>
  <c r="AB370" i="15"/>
  <c r="L370" i="15"/>
  <c r="D370" i="15" s="1"/>
  <c r="O370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E369" i="15"/>
  <c r="AA367" i="1"/>
  <c r="Z367" i="1" s="1"/>
  <c r="Y367" i="1" s="1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D366" i="17"/>
  <c r="E366" i="17" s="1"/>
  <c r="X367" i="17"/>
  <c r="A368" i="17"/>
  <c r="AJ367" i="17"/>
  <c r="O367" i="17"/>
  <c r="AB367" i="17"/>
  <c r="L367" i="17"/>
  <c r="K367" i="17"/>
  <c r="AK367" i="17"/>
  <c r="AC367" i="17"/>
  <c r="E368" i="1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E370" i="15" l="1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K371" i="15"/>
  <c r="AB371" i="15"/>
  <c r="A372" i="15"/>
  <c r="AK371" i="15"/>
  <c r="O371" i="15"/>
  <c r="L371" i="15"/>
  <c r="D371" i="15" s="1"/>
  <c r="AJ371" i="15"/>
  <c r="X371" i="15"/>
  <c r="AC371" i="15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D367" i="17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E367" i="17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370" i="16" l="1"/>
  <c r="AJ369" i="16"/>
  <c r="L369" i="16"/>
  <c r="D369" i="16" s="1"/>
  <c r="K369" i="16"/>
  <c r="O369" i="16"/>
  <c r="X369" i="16"/>
  <c r="AK369" i="16"/>
  <c r="AB369" i="16"/>
  <c r="AC369" i="16"/>
  <c r="E371" i="15"/>
  <c r="AB372" i="15"/>
  <c r="A373" i="15"/>
  <c r="X372" i="15"/>
  <c r="AK372" i="15"/>
  <c r="AC372" i="15"/>
  <c r="K372" i="15"/>
  <c r="L372" i="15"/>
  <c r="D372" i="15" s="1"/>
  <c r="AJ372" i="15"/>
  <c r="O372" i="15"/>
  <c r="E372" i="15" s="1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D368" i="17"/>
  <c r="E368" i="17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I370" i="1" s="1"/>
  <c r="L373" i="15"/>
  <c r="AK373" i="15"/>
  <c r="K373" i="15"/>
  <c r="AC373" i="15"/>
  <c r="AB373" i="15"/>
  <c r="X373" i="15"/>
  <c r="A374" i="15"/>
  <c r="AJ373" i="15"/>
  <c r="O373" i="15"/>
  <c r="E369" i="16"/>
  <c r="K370" i="16"/>
  <c r="A371" i="16"/>
  <c r="AJ370" i="16"/>
  <c r="AC370" i="16"/>
  <c r="L370" i="16"/>
  <c r="D370" i="16" s="1"/>
  <c r="X370" i="16"/>
  <c r="AB370" i="16"/>
  <c r="AK370" i="16"/>
  <c r="O370" i="16"/>
  <c r="G370" i="1"/>
  <c r="BW370" i="6" s="1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D369" i="17"/>
  <c r="E369" i="17" s="1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AA370" i="1" l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74" i="15"/>
  <c r="AJ374" i="15"/>
  <c r="A375" i="15"/>
  <c r="O374" i="15"/>
  <c r="X374" i="15"/>
  <c r="L374" i="15"/>
  <c r="D374" i="15" s="1"/>
  <c r="AK374" i="15"/>
  <c r="AB374" i="15"/>
  <c r="AC374" i="15"/>
  <c r="D373" i="15"/>
  <c r="E373" i="15" s="1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0" i="17"/>
  <c r="E370" i="17" s="1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AA372" i="1" s="1"/>
  <c r="Z372" i="1" s="1"/>
  <c r="Y372" i="1" s="1"/>
  <c r="AB375" i="15"/>
  <c r="A376" i="15"/>
  <c r="AJ375" i="15"/>
  <c r="AC375" i="15"/>
  <c r="X375" i="15"/>
  <c r="K375" i="15"/>
  <c r="L375" i="15"/>
  <c r="AK375" i="15"/>
  <c r="O375" i="15"/>
  <c r="E374" i="15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D371" i="17"/>
  <c r="E371" i="17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I372" i="1" l="1"/>
  <c r="G372" i="1"/>
  <c r="BW372" i="6" s="1"/>
  <c r="E372" i="16"/>
  <c r="AB376" i="15"/>
  <c r="AK376" i="15"/>
  <c r="X376" i="15"/>
  <c r="O376" i="15"/>
  <c r="K376" i="15"/>
  <c r="AJ376" i="15"/>
  <c r="L376" i="15"/>
  <c r="A377" i="15"/>
  <c r="AC376" i="15"/>
  <c r="K373" i="16"/>
  <c r="L373" i="16"/>
  <c r="D373" i="16" s="1"/>
  <c r="A374" i="16"/>
  <c r="AC373" i="16"/>
  <c r="AB373" i="16"/>
  <c r="AJ373" i="16"/>
  <c r="X373" i="16"/>
  <c r="AK373" i="16"/>
  <c r="O373" i="16"/>
  <c r="D375" i="15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2" i="17"/>
  <c r="E372" i="17" s="1"/>
  <c r="D374" i="1"/>
  <c r="E374" i="1" s="1"/>
  <c r="F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P375" i="1" l="1"/>
  <c r="E375" i="15"/>
  <c r="E373" i="16"/>
  <c r="D376" i="15"/>
  <c r="E376" i="15" s="1"/>
  <c r="X374" i="16"/>
  <c r="AB374" i="16"/>
  <c r="AK374" i="16"/>
  <c r="L374" i="16"/>
  <c r="D374" i="16" s="1"/>
  <c r="O374" i="16"/>
  <c r="K374" i="16"/>
  <c r="AJ374" i="16"/>
  <c r="A375" i="16"/>
  <c r="AC374" i="16"/>
  <c r="X377" i="15"/>
  <c r="AK377" i="15"/>
  <c r="L377" i="15"/>
  <c r="AJ377" i="15"/>
  <c r="AC377" i="15"/>
  <c r="A378" i="15"/>
  <c r="AB377" i="15"/>
  <c r="K377" i="15"/>
  <c r="O377" i="15"/>
  <c r="AA374" i="1"/>
  <c r="Z374" i="1" s="1"/>
  <c r="Y374" i="1" s="1"/>
  <c r="G374" i="1"/>
  <c r="BW374" i="6" s="1"/>
  <c r="I374" i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D373" i="17"/>
  <c r="E373" i="17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E374" i="16" l="1"/>
  <c r="D377" i="15"/>
  <c r="E377" i="15" s="1"/>
  <c r="AJ375" i="16"/>
  <c r="A376" i="16"/>
  <c r="K375" i="16"/>
  <c r="AB375" i="16"/>
  <c r="AK375" i="16"/>
  <c r="O375" i="16"/>
  <c r="X375" i="16"/>
  <c r="L375" i="16"/>
  <c r="D375" i="16" s="1"/>
  <c r="AC375" i="16"/>
  <c r="F375" i="1"/>
  <c r="AA375" i="1" s="1"/>
  <c r="Z375" i="1" s="1"/>
  <c r="Y375" i="1" s="1"/>
  <c r="AB378" i="15"/>
  <c r="AJ378" i="15"/>
  <c r="K378" i="15"/>
  <c r="AK378" i="15"/>
  <c r="AC378" i="15"/>
  <c r="X378" i="15"/>
  <c r="A379" i="15"/>
  <c r="L378" i="15"/>
  <c r="D378" i="15" s="1"/>
  <c r="O378" i="15"/>
  <c r="G375" i="1"/>
  <c r="BW375" i="6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D374" i="17"/>
  <c r="E374" i="17" s="1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6" l="1"/>
  <c r="I375" i="1"/>
  <c r="E378" i="15"/>
  <c r="K379" i="15"/>
  <c r="L379" i="15"/>
  <c r="AB379" i="15"/>
  <c r="O379" i="15"/>
  <c r="AJ379" i="15"/>
  <c r="AJ9" i="15" s="1"/>
  <c r="X379" i="15"/>
  <c r="AK379" i="15"/>
  <c r="AC379" i="15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D375" i="17"/>
  <c r="E375" i="17" s="1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D379" i="15" l="1"/>
  <c r="AJ8" i="15" s="1"/>
  <c r="B36" i="19"/>
  <c r="O382" i="15"/>
  <c r="C36" i="19"/>
  <c r="AL9" i="15"/>
  <c r="AJ6" i="15"/>
  <c r="L381" i="15"/>
  <c r="L383" i="15"/>
  <c r="AJ7" i="15"/>
  <c r="AJ11" i="15" s="1"/>
  <c r="AL7" i="15"/>
  <c r="AL11" i="15" s="1"/>
  <c r="AL5" i="15"/>
  <c r="AJ5" i="15"/>
  <c r="AK7" i="15"/>
  <c r="AK5" i="15"/>
  <c r="O383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AC381" i="15"/>
  <c r="AC383" i="15"/>
  <c r="E379" i="15"/>
  <c r="AJ10" i="15" s="1"/>
  <c r="D381" i="15"/>
  <c r="O381" i="15"/>
  <c r="L382" i="15"/>
  <c r="AK6" i="15"/>
  <c r="AC382" i="15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D376" i="17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E376" i="17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E382" i="15" l="1"/>
  <c r="AJ3" i="15"/>
  <c r="O12" i="19" s="1"/>
  <c r="D383" i="15"/>
  <c r="D382" i="15"/>
  <c r="D9" i="15"/>
  <c r="D11" i="15" s="1"/>
  <c r="E36" i="19" s="1"/>
  <c r="L36" i="19"/>
  <c r="AJ12" i="15"/>
  <c r="AJ13" i="15" s="1"/>
  <c r="E377" i="16"/>
  <c r="F378" i="1"/>
  <c r="AA378" i="1" s="1"/>
  <c r="Z378" i="1" s="1"/>
  <c r="Y378" i="1" s="1"/>
  <c r="K378" i="16"/>
  <c r="AJ378" i="16"/>
  <c r="L378" i="16"/>
  <c r="D378" i="16" s="1"/>
  <c r="AK378" i="16"/>
  <c r="O378" i="16"/>
  <c r="X378" i="16"/>
  <c r="AB378" i="16"/>
  <c r="A379" i="16"/>
  <c r="AC378" i="16"/>
  <c r="E383" i="15"/>
  <c r="E381" i="15"/>
  <c r="AK8" i="15"/>
  <c r="E9" i="15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D377" i="17"/>
  <c r="E377" i="17" s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9" i="1"/>
  <c r="AJ6" i="1"/>
  <c r="AJ5" i="1"/>
  <c r="AL7" i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E11" i="15" l="1"/>
  <c r="C12" i="19" s="1"/>
  <c r="L35" i="19"/>
  <c r="AL11" i="1"/>
  <c r="AJ11" i="1"/>
  <c r="I378" i="1"/>
  <c r="U10" i="15"/>
  <c r="E378" i="16"/>
  <c r="T383" i="1"/>
  <c r="T381" i="1"/>
  <c r="T382" i="1"/>
  <c r="AB379" i="16"/>
  <c r="AK379" i="16"/>
  <c r="X379" i="16"/>
  <c r="AC379" i="16"/>
  <c r="L379" i="16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I15" i="7"/>
  <c r="Q10" i="15"/>
  <c r="AE11" i="15" s="1"/>
  <c r="I16" i="7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289" i="15"/>
  <c r="AH289" i="15" s="1"/>
  <c r="D378" i="17"/>
  <c r="E378" i="17" s="1"/>
  <c r="A374" i="25"/>
  <c r="L373" i="25"/>
  <c r="K373" i="25"/>
  <c r="AJ373" i="25"/>
  <c r="AK373" i="25"/>
  <c r="X373" i="25"/>
  <c r="AB373" i="25"/>
  <c r="O373" i="25"/>
  <c r="AC373" i="25"/>
  <c r="U19" i="15" l="1"/>
  <c r="T19" i="15" s="1"/>
  <c r="S19" i="15" s="1"/>
  <c r="R19" i="15" s="1"/>
  <c r="AI33" i="15"/>
  <c r="AH33" i="15" s="1"/>
  <c r="U360" i="15"/>
  <c r="T360" i="15" s="1"/>
  <c r="S360" i="15" s="1"/>
  <c r="R360" i="15" s="1"/>
  <c r="AI161" i="15"/>
  <c r="AH161" i="15" s="1"/>
  <c r="AG161" i="15" s="1"/>
  <c r="AF161" i="15" s="1"/>
  <c r="U232" i="15"/>
  <c r="T232" i="15" s="1"/>
  <c r="S232" i="15" s="1"/>
  <c r="R232" i="15" s="1"/>
  <c r="AI350" i="15"/>
  <c r="AH350" i="15" s="1"/>
  <c r="AG350" i="15" s="1"/>
  <c r="AF350" i="15" s="1"/>
  <c r="AI225" i="15"/>
  <c r="AH225" i="15" s="1"/>
  <c r="AI97" i="15"/>
  <c r="AH97" i="15" s="1"/>
  <c r="AG97" i="15" s="1"/>
  <c r="AF97" i="15" s="1"/>
  <c r="U296" i="15"/>
  <c r="T296" i="15" s="1"/>
  <c r="S296" i="15" s="1"/>
  <c r="R296" i="15" s="1"/>
  <c r="U136" i="15"/>
  <c r="T136" i="15" s="1"/>
  <c r="S136" i="15" s="1"/>
  <c r="R136" i="15" s="1"/>
  <c r="AI321" i="15"/>
  <c r="AH321" i="15" s="1"/>
  <c r="AI257" i="15"/>
  <c r="AH257" i="15" s="1"/>
  <c r="AG257" i="15" s="1"/>
  <c r="AF257" i="15" s="1"/>
  <c r="AI193" i="15"/>
  <c r="AH193" i="15" s="1"/>
  <c r="AI129" i="15"/>
  <c r="AH129" i="15" s="1"/>
  <c r="AG129" i="15" s="1"/>
  <c r="AF129" i="15" s="1"/>
  <c r="AI65" i="15"/>
  <c r="AH65" i="15" s="1"/>
  <c r="AG65" i="15" s="1"/>
  <c r="AF65" i="15" s="1"/>
  <c r="U328" i="15"/>
  <c r="T328" i="15" s="1"/>
  <c r="S328" i="15" s="1"/>
  <c r="R328" i="15" s="1"/>
  <c r="U264" i="15"/>
  <c r="T264" i="15" s="1"/>
  <c r="S264" i="15" s="1"/>
  <c r="R264" i="15" s="1"/>
  <c r="U200" i="15"/>
  <c r="T200" i="15" s="1"/>
  <c r="S200" i="15" s="1"/>
  <c r="R200" i="15" s="1"/>
  <c r="U72" i="15"/>
  <c r="T72" i="15" s="1"/>
  <c r="S72" i="15" s="1"/>
  <c r="R72" i="15" s="1"/>
  <c r="F36" i="19"/>
  <c r="AI358" i="15"/>
  <c r="AH358" i="15" s="1"/>
  <c r="AI337" i="15"/>
  <c r="AH337" i="15" s="1"/>
  <c r="AG337" i="15" s="1"/>
  <c r="AF337" i="15" s="1"/>
  <c r="AI305" i="15"/>
  <c r="AH305" i="15" s="1"/>
  <c r="AI273" i="15"/>
  <c r="AH273" i="15" s="1"/>
  <c r="AG273" i="15" s="1"/>
  <c r="AF273" i="15" s="1"/>
  <c r="AI241" i="15"/>
  <c r="AH241" i="15" s="1"/>
  <c r="AG241" i="15" s="1"/>
  <c r="AF241" i="15" s="1"/>
  <c r="AI209" i="15"/>
  <c r="AH209" i="15" s="1"/>
  <c r="AI177" i="15"/>
  <c r="AH177" i="15" s="1"/>
  <c r="AG177" i="15" s="1"/>
  <c r="AF177" i="15" s="1"/>
  <c r="AI145" i="15"/>
  <c r="AH145" i="15" s="1"/>
  <c r="AG145" i="15" s="1"/>
  <c r="AF145" i="15" s="1"/>
  <c r="AI113" i="15"/>
  <c r="AH113" i="15" s="1"/>
  <c r="AI81" i="15"/>
  <c r="AH81" i="15" s="1"/>
  <c r="AI49" i="15"/>
  <c r="AH49" i="15" s="1"/>
  <c r="AG49" i="15" s="1"/>
  <c r="AF49" i="15" s="1"/>
  <c r="AI24" i="15"/>
  <c r="AH24" i="15" s="1"/>
  <c r="AG24" i="15" s="1"/>
  <c r="AF24" i="15" s="1"/>
  <c r="U376" i="15"/>
  <c r="T376" i="15" s="1"/>
  <c r="S376" i="15" s="1"/>
  <c r="R376" i="15" s="1"/>
  <c r="U344" i="15"/>
  <c r="T344" i="15" s="1"/>
  <c r="S344" i="15" s="1"/>
  <c r="R344" i="15" s="1"/>
  <c r="U312" i="15"/>
  <c r="T312" i="15" s="1"/>
  <c r="S312" i="15" s="1"/>
  <c r="R312" i="15" s="1"/>
  <c r="U280" i="15"/>
  <c r="T280" i="15" s="1"/>
  <c r="S280" i="15" s="1"/>
  <c r="R280" i="15" s="1"/>
  <c r="U248" i="15"/>
  <c r="T248" i="15" s="1"/>
  <c r="S248" i="15" s="1"/>
  <c r="R248" i="15" s="1"/>
  <c r="U216" i="15"/>
  <c r="T216" i="15" s="1"/>
  <c r="S216" i="15" s="1"/>
  <c r="R216" i="15" s="1"/>
  <c r="U168" i="15"/>
  <c r="T168" i="15" s="1"/>
  <c r="S168" i="15" s="1"/>
  <c r="R168" i="15" s="1"/>
  <c r="U104" i="15"/>
  <c r="T104" i="15" s="1"/>
  <c r="S104" i="15" s="1"/>
  <c r="R104" i="15" s="1"/>
  <c r="U40" i="15"/>
  <c r="T40" i="15" s="1"/>
  <c r="S40" i="15" s="1"/>
  <c r="R40" i="15" s="1"/>
  <c r="D379" i="16"/>
  <c r="B37" i="19"/>
  <c r="AI362" i="15"/>
  <c r="AH362" i="15" s="1"/>
  <c r="AI354" i="15"/>
  <c r="AH354" i="15" s="1"/>
  <c r="AI345" i="15"/>
  <c r="AH345" i="15" s="1"/>
  <c r="AG345" i="15" s="1"/>
  <c r="AF345" i="15" s="1"/>
  <c r="AI329" i="15"/>
  <c r="AH329" i="15" s="1"/>
  <c r="AI313" i="15"/>
  <c r="AH313" i="15" s="1"/>
  <c r="AG313" i="15" s="1"/>
  <c r="AF313" i="15" s="1"/>
  <c r="AI297" i="15"/>
  <c r="AH297" i="15" s="1"/>
  <c r="AI281" i="15"/>
  <c r="AH281" i="15" s="1"/>
  <c r="AG281" i="15" s="1"/>
  <c r="AF281" i="15" s="1"/>
  <c r="AI265" i="15"/>
  <c r="AH265" i="15" s="1"/>
  <c r="AG265" i="15" s="1"/>
  <c r="AF265" i="15" s="1"/>
  <c r="AI249" i="15"/>
  <c r="AH249" i="15" s="1"/>
  <c r="AI233" i="15"/>
  <c r="AH233" i="15" s="1"/>
  <c r="AI217" i="15"/>
  <c r="AH217" i="15" s="1"/>
  <c r="AG217" i="15" s="1"/>
  <c r="AF217" i="15" s="1"/>
  <c r="AI201" i="15"/>
  <c r="AH201" i="15" s="1"/>
  <c r="AG201" i="15" s="1"/>
  <c r="AF201" i="15" s="1"/>
  <c r="AI185" i="15"/>
  <c r="AH185" i="15" s="1"/>
  <c r="AI169" i="15"/>
  <c r="AH169" i="15" s="1"/>
  <c r="AG169" i="15" s="1"/>
  <c r="AF169" i="15" s="1"/>
  <c r="AI153" i="15"/>
  <c r="AH153" i="15" s="1"/>
  <c r="AI137" i="15"/>
  <c r="AH137" i="15" s="1"/>
  <c r="AI121" i="15"/>
  <c r="AH121" i="15" s="1"/>
  <c r="AI105" i="15"/>
  <c r="AH105" i="15" s="1"/>
  <c r="AG105" i="15" s="1"/>
  <c r="AF105" i="15" s="1"/>
  <c r="AI89" i="15"/>
  <c r="AH89" i="15" s="1"/>
  <c r="AG89" i="15" s="1"/>
  <c r="AF89" i="15" s="1"/>
  <c r="AI73" i="15"/>
  <c r="AH73" i="15" s="1"/>
  <c r="AG73" i="15" s="1"/>
  <c r="AF73" i="15" s="1"/>
  <c r="AI57" i="15"/>
  <c r="AH57" i="15" s="1"/>
  <c r="AG57" i="15" s="1"/>
  <c r="AF57" i="15" s="1"/>
  <c r="AI41" i="15"/>
  <c r="AH41" i="15" s="1"/>
  <c r="AI21" i="15"/>
  <c r="AH21" i="15" s="1"/>
  <c r="AG21" i="15" s="1"/>
  <c r="AF21" i="15" s="1"/>
  <c r="U368" i="15"/>
  <c r="T368" i="15" s="1"/>
  <c r="S368" i="15" s="1"/>
  <c r="R368" i="15" s="1"/>
  <c r="U352" i="15"/>
  <c r="T352" i="15" s="1"/>
  <c r="S352" i="15" s="1"/>
  <c r="R352" i="15" s="1"/>
  <c r="U336" i="15"/>
  <c r="T336" i="15" s="1"/>
  <c r="S336" i="15" s="1"/>
  <c r="R336" i="15" s="1"/>
  <c r="U320" i="15"/>
  <c r="T320" i="15" s="1"/>
  <c r="S320" i="15" s="1"/>
  <c r="R320" i="15" s="1"/>
  <c r="U304" i="15"/>
  <c r="T304" i="15" s="1"/>
  <c r="S304" i="15" s="1"/>
  <c r="R304" i="15" s="1"/>
  <c r="U288" i="15"/>
  <c r="T288" i="15" s="1"/>
  <c r="S288" i="15" s="1"/>
  <c r="R288" i="15" s="1"/>
  <c r="U272" i="15"/>
  <c r="T272" i="15" s="1"/>
  <c r="S272" i="15" s="1"/>
  <c r="R272" i="15" s="1"/>
  <c r="U256" i="15"/>
  <c r="T256" i="15" s="1"/>
  <c r="S256" i="15" s="1"/>
  <c r="R256" i="15" s="1"/>
  <c r="U240" i="15"/>
  <c r="T240" i="15" s="1"/>
  <c r="S240" i="15" s="1"/>
  <c r="R240" i="15" s="1"/>
  <c r="U224" i="15"/>
  <c r="T224" i="15" s="1"/>
  <c r="S224" i="15" s="1"/>
  <c r="R224" i="15" s="1"/>
  <c r="U208" i="15"/>
  <c r="T208" i="15" s="1"/>
  <c r="S208" i="15" s="1"/>
  <c r="R208" i="15" s="1"/>
  <c r="U184" i="15"/>
  <c r="T184" i="15" s="1"/>
  <c r="S184" i="15" s="1"/>
  <c r="R184" i="15" s="1"/>
  <c r="U152" i="15"/>
  <c r="T152" i="15" s="1"/>
  <c r="S152" i="15" s="1"/>
  <c r="R152" i="15" s="1"/>
  <c r="U120" i="15"/>
  <c r="T120" i="15" s="1"/>
  <c r="S120" i="15" s="1"/>
  <c r="R120" i="15" s="1"/>
  <c r="U88" i="15"/>
  <c r="T88" i="15" s="1"/>
  <c r="S88" i="15" s="1"/>
  <c r="R88" i="15" s="1"/>
  <c r="U56" i="15"/>
  <c r="T56" i="15" s="1"/>
  <c r="AI11" i="15"/>
  <c r="AI375" i="15" s="1"/>
  <c r="AH375" i="15" s="1"/>
  <c r="AG375" i="15" s="1"/>
  <c r="AF375" i="15" s="1"/>
  <c r="AI360" i="15"/>
  <c r="AH360" i="15" s="1"/>
  <c r="AG360" i="15" s="1"/>
  <c r="AF360" i="15" s="1"/>
  <c r="AI356" i="15"/>
  <c r="AH356" i="15" s="1"/>
  <c r="AG356" i="15" s="1"/>
  <c r="AF356" i="15" s="1"/>
  <c r="AI352" i="15"/>
  <c r="AH352" i="15" s="1"/>
  <c r="AI348" i="15"/>
  <c r="AH348" i="15" s="1"/>
  <c r="AI341" i="15"/>
  <c r="AH341" i="15" s="1"/>
  <c r="AG341" i="15" s="1"/>
  <c r="AF341" i="15" s="1"/>
  <c r="AI333" i="15"/>
  <c r="AH333" i="15" s="1"/>
  <c r="AG333" i="15" s="1"/>
  <c r="AF333" i="15" s="1"/>
  <c r="AI325" i="15"/>
  <c r="AH325" i="15" s="1"/>
  <c r="AI317" i="15"/>
  <c r="AH317" i="15" s="1"/>
  <c r="AG317" i="15" s="1"/>
  <c r="AF317" i="15" s="1"/>
  <c r="AI309" i="15"/>
  <c r="AH309" i="15" s="1"/>
  <c r="AG309" i="15" s="1"/>
  <c r="AF309" i="15" s="1"/>
  <c r="AI301" i="15"/>
  <c r="AH301" i="15" s="1"/>
  <c r="AG301" i="15" s="1"/>
  <c r="AF301" i="15" s="1"/>
  <c r="AI293" i="15"/>
  <c r="AH293" i="15" s="1"/>
  <c r="AI285" i="15"/>
  <c r="AH285" i="15" s="1"/>
  <c r="AG285" i="15" s="1"/>
  <c r="AF285" i="15" s="1"/>
  <c r="AI277" i="15"/>
  <c r="AH277" i="15" s="1"/>
  <c r="AG277" i="15" s="1"/>
  <c r="AF277" i="15" s="1"/>
  <c r="AI269" i="15"/>
  <c r="AH269" i="15" s="1"/>
  <c r="AG269" i="15" s="1"/>
  <c r="AF269" i="15" s="1"/>
  <c r="AI261" i="15"/>
  <c r="AH261" i="15" s="1"/>
  <c r="AG261" i="15" s="1"/>
  <c r="AF261" i="15" s="1"/>
  <c r="AI253" i="15"/>
  <c r="AH253" i="15" s="1"/>
  <c r="AG253" i="15" s="1"/>
  <c r="AF253" i="15" s="1"/>
  <c r="AI245" i="15"/>
  <c r="AH245" i="15" s="1"/>
  <c r="AI237" i="15"/>
  <c r="AH237" i="15" s="1"/>
  <c r="AG237" i="15" s="1"/>
  <c r="AF237" i="15" s="1"/>
  <c r="AI229" i="15"/>
  <c r="AH229" i="15" s="1"/>
  <c r="AI221" i="15"/>
  <c r="AH221" i="15" s="1"/>
  <c r="AG221" i="15" s="1"/>
  <c r="AF221" i="15" s="1"/>
  <c r="AI213" i="15"/>
  <c r="AH213" i="15" s="1"/>
  <c r="AG213" i="15" s="1"/>
  <c r="AF213" i="15" s="1"/>
  <c r="AI205" i="15"/>
  <c r="AH205" i="15" s="1"/>
  <c r="AI197" i="15"/>
  <c r="AH197" i="15" s="1"/>
  <c r="AG197" i="15" s="1"/>
  <c r="AF197" i="15" s="1"/>
  <c r="AI189" i="15"/>
  <c r="AH189" i="15" s="1"/>
  <c r="AG189" i="15" s="1"/>
  <c r="AF189" i="15" s="1"/>
  <c r="AI181" i="15"/>
  <c r="AH181" i="15" s="1"/>
  <c r="AI173" i="15"/>
  <c r="AH173" i="15" s="1"/>
  <c r="AI165" i="15"/>
  <c r="AH165" i="15" s="1"/>
  <c r="AI157" i="15"/>
  <c r="AH157" i="15" s="1"/>
  <c r="AI149" i="15"/>
  <c r="AH149" i="15" s="1"/>
  <c r="AI141" i="15"/>
  <c r="AH141" i="15" s="1"/>
  <c r="AI133" i="15"/>
  <c r="AH133" i="15" s="1"/>
  <c r="AI125" i="15"/>
  <c r="AH125" i="15" s="1"/>
  <c r="AG125" i="15" s="1"/>
  <c r="AF125" i="15" s="1"/>
  <c r="AI117" i="15"/>
  <c r="AH117" i="15" s="1"/>
  <c r="AI109" i="15"/>
  <c r="AH109" i="15" s="1"/>
  <c r="AG109" i="15" s="1"/>
  <c r="AF109" i="15" s="1"/>
  <c r="AI101" i="15"/>
  <c r="AH101" i="15" s="1"/>
  <c r="AG101" i="15" s="1"/>
  <c r="AF101" i="15" s="1"/>
  <c r="AI93" i="15"/>
  <c r="AH93" i="15" s="1"/>
  <c r="AI85" i="15"/>
  <c r="AH85" i="15" s="1"/>
  <c r="AG85" i="15" s="1"/>
  <c r="AF85" i="15" s="1"/>
  <c r="AI77" i="15"/>
  <c r="AH77" i="15" s="1"/>
  <c r="AG77" i="15" s="1"/>
  <c r="AF77" i="15" s="1"/>
  <c r="AI69" i="15"/>
  <c r="AH69" i="15" s="1"/>
  <c r="AG69" i="15" s="1"/>
  <c r="AF69" i="15" s="1"/>
  <c r="AI61" i="15"/>
  <c r="AH61" i="15" s="1"/>
  <c r="AI53" i="15"/>
  <c r="AH53" i="15" s="1"/>
  <c r="AG53" i="15" s="1"/>
  <c r="AF53" i="15" s="1"/>
  <c r="AI45" i="15"/>
  <c r="AH45" i="15" s="1"/>
  <c r="AG45" i="15" s="1"/>
  <c r="AF45" i="15" s="1"/>
  <c r="AI37" i="15"/>
  <c r="AH37" i="15" s="1"/>
  <c r="AG37" i="15" s="1"/>
  <c r="AF37" i="15" s="1"/>
  <c r="AI29" i="15"/>
  <c r="AH29" i="15" s="1"/>
  <c r="AG29" i="15" s="1"/>
  <c r="AF29" i="15" s="1"/>
  <c r="AI27" i="15"/>
  <c r="AH27" i="15" s="1"/>
  <c r="AG27" i="15" s="1"/>
  <c r="AF27" i="15" s="1"/>
  <c r="U372" i="15"/>
  <c r="T372" i="15" s="1"/>
  <c r="S372" i="15" s="1"/>
  <c r="R372" i="15" s="1"/>
  <c r="U364" i="15"/>
  <c r="T364" i="15" s="1"/>
  <c r="S364" i="15" s="1"/>
  <c r="R364" i="15" s="1"/>
  <c r="U356" i="15"/>
  <c r="T356" i="15" s="1"/>
  <c r="S356" i="15" s="1"/>
  <c r="R356" i="15" s="1"/>
  <c r="U348" i="15"/>
  <c r="T348" i="15" s="1"/>
  <c r="S348" i="15" s="1"/>
  <c r="R348" i="15" s="1"/>
  <c r="U340" i="15"/>
  <c r="T340" i="15" s="1"/>
  <c r="S340" i="15" s="1"/>
  <c r="R340" i="15" s="1"/>
  <c r="U332" i="15"/>
  <c r="T332" i="15" s="1"/>
  <c r="S332" i="15" s="1"/>
  <c r="R332" i="15" s="1"/>
  <c r="U324" i="15"/>
  <c r="T324" i="15" s="1"/>
  <c r="S324" i="15" s="1"/>
  <c r="R324" i="15" s="1"/>
  <c r="U316" i="15"/>
  <c r="T316" i="15" s="1"/>
  <c r="S316" i="15" s="1"/>
  <c r="R316" i="15" s="1"/>
  <c r="U308" i="15"/>
  <c r="T308" i="15" s="1"/>
  <c r="S308" i="15" s="1"/>
  <c r="R308" i="15" s="1"/>
  <c r="U300" i="15"/>
  <c r="T300" i="15" s="1"/>
  <c r="S300" i="15" s="1"/>
  <c r="R300" i="15" s="1"/>
  <c r="U292" i="15"/>
  <c r="T292" i="15" s="1"/>
  <c r="S292" i="15" s="1"/>
  <c r="R292" i="15" s="1"/>
  <c r="U284" i="15"/>
  <c r="T284" i="15" s="1"/>
  <c r="S284" i="15" s="1"/>
  <c r="R284" i="15" s="1"/>
  <c r="U276" i="15"/>
  <c r="T276" i="15" s="1"/>
  <c r="U268" i="15"/>
  <c r="T268" i="15" s="1"/>
  <c r="S268" i="15" s="1"/>
  <c r="R268" i="15" s="1"/>
  <c r="U260" i="15"/>
  <c r="T260" i="15" s="1"/>
  <c r="S260" i="15" s="1"/>
  <c r="R260" i="15" s="1"/>
  <c r="U252" i="15"/>
  <c r="T252" i="15" s="1"/>
  <c r="S252" i="15" s="1"/>
  <c r="R252" i="15" s="1"/>
  <c r="U244" i="15"/>
  <c r="T244" i="15" s="1"/>
  <c r="S244" i="15" s="1"/>
  <c r="R244" i="15" s="1"/>
  <c r="U236" i="15"/>
  <c r="T236" i="15" s="1"/>
  <c r="S236" i="15" s="1"/>
  <c r="R236" i="15" s="1"/>
  <c r="U228" i="15"/>
  <c r="T228" i="15" s="1"/>
  <c r="S228" i="15" s="1"/>
  <c r="R228" i="15" s="1"/>
  <c r="U220" i="15"/>
  <c r="T220" i="15" s="1"/>
  <c r="S220" i="15" s="1"/>
  <c r="R220" i="15" s="1"/>
  <c r="U212" i="15"/>
  <c r="T212" i="15" s="1"/>
  <c r="S212" i="15" s="1"/>
  <c r="R212" i="15" s="1"/>
  <c r="U204" i="15"/>
  <c r="T204" i="15" s="1"/>
  <c r="S204" i="15" s="1"/>
  <c r="R204" i="15" s="1"/>
  <c r="U192" i="15"/>
  <c r="T192" i="15" s="1"/>
  <c r="S192" i="15" s="1"/>
  <c r="R192" i="15" s="1"/>
  <c r="U176" i="15"/>
  <c r="T176" i="15" s="1"/>
  <c r="S176" i="15" s="1"/>
  <c r="R176" i="15" s="1"/>
  <c r="U160" i="15"/>
  <c r="T160" i="15" s="1"/>
  <c r="S160" i="15" s="1"/>
  <c r="R160" i="15" s="1"/>
  <c r="U144" i="15"/>
  <c r="T144" i="15" s="1"/>
  <c r="S144" i="15" s="1"/>
  <c r="R144" i="15" s="1"/>
  <c r="U128" i="15"/>
  <c r="T128" i="15" s="1"/>
  <c r="S128" i="15" s="1"/>
  <c r="R128" i="15" s="1"/>
  <c r="U112" i="15"/>
  <c r="T112" i="15" s="1"/>
  <c r="S112" i="15" s="1"/>
  <c r="R112" i="15" s="1"/>
  <c r="U96" i="15"/>
  <c r="T96" i="15" s="1"/>
  <c r="S96" i="15" s="1"/>
  <c r="R96" i="15" s="1"/>
  <c r="U80" i="15"/>
  <c r="T80" i="15" s="1"/>
  <c r="S80" i="15" s="1"/>
  <c r="R80" i="15" s="1"/>
  <c r="U64" i="15"/>
  <c r="T64" i="15" s="1"/>
  <c r="S64" i="15" s="1"/>
  <c r="R64" i="15" s="1"/>
  <c r="U48" i="15"/>
  <c r="T48" i="15" s="1"/>
  <c r="S48" i="15" s="1"/>
  <c r="R48" i="15" s="1"/>
  <c r="U32" i="15"/>
  <c r="T32" i="15" s="1"/>
  <c r="S32" i="15" s="1"/>
  <c r="R32" i="15" s="1"/>
  <c r="U17" i="15"/>
  <c r="T17" i="15" s="1"/>
  <c r="S17" i="15" s="1"/>
  <c r="R17" i="15" s="1"/>
  <c r="Q346" i="15"/>
  <c r="AJ3" i="1"/>
  <c r="O11" i="19" s="1"/>
  <c r="Q378" i="15"/>
  <c r="Q269" i="15"/>
  <c r="Q362" i="15"/>
  <c r="Q322" i="15"/>
  <c r="Q199" i="15"/>
  <c r="Q370" i="15"/>
  <c r="Q354" i="15"/>
  <c r="Q338" i="15"/>
  <c r="Q301" i="15"/>
  <c r="Q237" i="15"/>
  <c r="Q135" i="15"/>
  <c r="Q330" i="15"/>
  <c r="Q314" i="15"/>
  <c r="Q285" i="15"/>
  <c r="Q253" i="15"/>
  <c r="Q221" i="15"/>
  <c r="Q167" i="15"/>
  <c r="Q103" i="15"/>
  <c r="Q19" i="15"/>
  <c r="Q37" i="15"/>
  <c r="Q65" i="15"/>
  <c r="Q73" i="15"/>
  <c r="Q81" i="15"/>
  <c r="Q89" i="15"/>
  <c r="Q93" i="15"/>
  <c r="Q97" i="15"/>
  <c r="Q101" i="15"/>
  <c r="Q105" i="15"/>
  <c r="Q109" i="15"/>
  <c r="Q113" i="15"/>
  <c r="Q117" i="15"/>
  <c r="Q121" i="15"/>
  <c r="Q125" i="15"/>
  <c r="Q129" i="15"/>
  <c r="Q133" i="15"/>
  <c r="Q137" i="15"/>
  <c r="Q141" i="15"/>
  <c r="Q145" i="15"/>
  <c r="Q149" i="15"/>
  <c r="Q153" i="15"/>
  <c r="Q157" i="15"/>
  <c r="Q161" i="15"/>
  <c r="Q165" i="15"/>
  <c r="Q169" i="15"/>
  <c r="Q173" i="15"/>
  <c r="Q177" i="15"/>
  <c r="Q181" i="15"/>
  <c r="Q185" i="15"/>
  <c r="Q189" i="15"/>
  <c r="Q193" i="15"/>
  <c r="Q197" i="15"/>
  <c r="Q201" i="15"/>
  <c r="Q205" i="15"/>
  <c r="Q209" i="15"/>
  <c r="Q212" i="15"/>
  <c r="P212" i="15" s="1"/>
  <c r="V212" i="15" s="1"/>
  <c r="F212" i="15" s="1"/>
  <c r="Q214" i="15"/>
  <c r="Q216" i="15"/>
  <c r="Q218" i="15"/>
  <c r="Q220" i="15"/>
  <c r="Q222" i="15"/>
  <c r="Q224" i="15"/>
  <c r="Q226" i="15"/>
  <c r="Q228" i="15"/>
  <c r="P228" i="15" s="1"/>
  <c r="V228" i="15" s="1"/>
  <c r="F228" i="15" s="1"/>
  <c r="Q230" i="15"/>
  <c r="Q232" i="15"/>
  <c r="P232" i="15" s="1"/>
  <c r="V232" i="15" s="1"/>
  <c r="F232" i="15" s="1"/>
  <c r="Q234" i="15"/>
  <c r="Q236" i="15"/>
  <c r="Q238" i="15"/>
  <c r="Q240" i="15"/>
  <c r="Q242" i="15"/>
  <c r="Q244" i="15"/>
  <c r="P244" i="15" s="1"/>
  <c r="V244" i="15" s="1"/>
  <c r="F244" i="15" s="1"/>
  <c r="Q246" i="15"/>
  <c r="Q248" i="15"/>
  <c r="Q250" i="15"/>
  <c r="Q252" i="15"/>
  <c r="Q254" i="15"/>
  <c r="Q256" i="15"/>
  <c r="Q258" i="15"/>
  <c r="Q260" i="15"/>
  <c r="P260" i="15" s="1"/>
  <c r="V260" i="15" s="1"/>
  <c r="F260" i="15" s="1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P292" i="15" s="1"/>
  <c r="V292" i="15" s="1"/>
  <c r="F292" i="15" s="1"/>
  <c r="Q294" i="15"/>
  <c r="Q296" i="15"/>
  <c r="Q298" i="15"/>
  <c r="Q300" i="15"/>
  <c r="Q302" i="15"/>
  <c r="Q304" i="15"/>
  <c r="Q306" i="15"/>
  <c r="Q308" i="15"/>
  <c r="P308" i="15" s="1"/>
  <c r="V308" i="15" s="1"/>
  <c r="F308" i="15" s="1"/>
  <c r="Q310" i="15"/>
  <c r="Q53" i="15"/>
  <c r="Q77" i="15"/>
  <c r="Q91" i="15"/>
  <c r="Q99" i="15"/>
  <c r="Q107" i="15"/>
  <c r="Q115" i="15"/>
  <c r="Q123" i="15"/>
  <c r="Q131" i="15"/>
  <c r="Q139" i="15"/>
  <c r="Q147" i="15"/>
  <c r="Q155" i="15"/>
  <c r="Q163" i="15"/>
  <c r="Q171" i="15"/>
  <c r="Q179" i="15"/>
  <c r="Q187" i="15"/>
  <c r="Q195" i="15"/>
  <c r="Q203" i="15"/>
  <c r="Q211" i="15"/>
  <c r="Q215" i="15"/>
  <c r="Q219" i="15"/>
  <c r="Q223" i="15"/>
  <c r="Q227" i="15"/>
  <c r="Q231" i="15"/>
  <c r="Q235" i="15"/>
  <c r="Q239" i="15"/>
  <c r="Q243" i="15"/>
  <c r="Q247" i="15"/>
  <c r="Q251" i="15"/>
  <c r="Q255" i="15"/>
  <c r="Q259" i="15"/>
  <c r="Q263" i="15"/>
  <c r="Q267" i="15"/>
  <c r="Q271" i="15"/>
  <c r="Q275" i="15"/>
  <c r="Q279" i="15"/>
  <c r="Q283" i="15"/>
  <c r="Q287" i="15"/>
  <c r="Q291" i="15"/>
  <c r="Q295" i="15"/>
  <c r="Q299" i="15"/>
  <c r="Q303" i="15"/>
  <c r="Q307" i="15"/>
  <c r="Q311" i="15"/>
  <c r="Q313" i="15"/>
  <c r="Q315" i="15"/>
  <c r="Q317" i="15"/>
  <c r="Q319" i="15"/>
  <c r="Q321" i="15"/>
  <c r="Q323" i="15"/>
  <c r="Q325" i="15"/>
  <c r="Q327" i="15"/>
  <c r="Q329" i="15"/>
  <c r="Q331" i="15"/>
  <c r="Q333" i="15"/>
  <c r="Q335" i="15"/>
  <c r="Q337" i="15"/>
  <c r="Q339" i="15"/>
  <c r="Q341" i="15"/>
  <c r="Q343" i="15"/>
  <c r="Q345" i="15"/>
  <c r="Q347" i="15"/>
  <c r="Q349" i="15"/>
  <c r="Q351" i="15"/>
  <c r="Q353" i="15"/>
  <c r="Q355" i="15"/>
  <c r="Q357" i="15"/>
  <c r="Q359" i="15"/>
  <c r="Q361" i="15"/>
  <c r="Q363" i="15"/>
  <c r="Q365" i="15"/>
  <c r="Q367" i="15"/>
  <c r="Q369" i="15"/>
  <c r="Q371" i="15"/>
  <c r="Q373" i="15"/>
  <c r="Q375" i="15"/>
  <c r="Q377" i="15"/>
  <c r="Q379" i="15"/>
  <c r="Q69" i="15"/>
  <c r="Q95" i="15"/>
  <c r="Q111" i="15"/>
  <c r="Q127" i="15"/>
  <c r="Q143" i="15"/>
  <c r="Q159" i="15"/>
  <c r="Q175" i="15"/>
  <c r="Q191" i="15"/>
  <c r="Q207" i="15"/>
  <c r="Q217" i="15"/>
  <c r="Q225" i="15"/>
  <c r="Q233" i="15"/>
  <c r="Q241" i="15"/>
  <c r="Q249" i="15"/>
  <c r="Q257" i="15"/>
  <c r="Q265" i="15"/>
  <c r="Q273" i="15"/>
  <c r="Q281" i="15"/>
  <c r="Q289" i="15"/>
  <c r="Q297" i="15"/>
  <c r="Q305" i="15"/>
  <c r="Q312" i="15"/>
  <c r="P312" i="15" s="1"/>
  <c r="V312" i="15" s="1"/>
  <c r="F312" i="15" s="1"/>
  <c r="Q316" i="15"/>
  <c r="Q320" i="15"/>
  <c r="Q324" i="15"/>
  <c r="Q328" i="15"/>
  <c r="Q332" i="15"/>
  <c r="P332" i="15" s="1"/>
  <c r="V332" i="15" s="1"/>
  <c r="F332" i="15" s="1"/>
  <c r="Q336" i="15"/>
  <c r="Q340" i="15"/>
  <c r="Q344" i="15"/>
  <c r="Q348" i="15"/>
  <c r="P348" i="15" s="1"/>
  <c r="V348" i="15" s="1"/>
  <c r="F348" i="15" s="1"/>
  <c r="Q352" i="15"/>
  <c r="Q356" i="15"/>
  <c r="Q360" i="15"/>
  <c r="Q364" i="15"/>
  <c r="P364" i="15" s="1"/>
  <c r="V364" i="15" s="1"/>
  <c r="F364" i="15" s="1"/>
  <c r="Q368" i="15"/>
  <c r="Q372" i="15"/>
  <c r="Q376" i="15"/>
  <c r="P376" i="15" s="1"/>
  <c r="V376" i="15" s="1"/>
  <c r="F376" i="15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P53" i="15" s="1"/>
  <c r="V53" i="15" s="1"/>
  <c r="F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P65" i="15" s="1"/>
  <c r="V65" i="15" s="1"/>
  <c r="F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P81" i="15" s="1"/>
  <c r="V81" i="15" s="1"/>
  <c r="F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P93" i="15" s="1"/>
  <c r="V93" i="15" s="1"/>
  <c r="F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P99" i="15" s="1"/>
  <c r="V99" i="15" s="1"/>
  <c r="F99" i="15" s="1"/>
  <c r="U101" i="15"/>
  <c r="T101" i="15" s="1"/>
  <c r="S101" i="15" s="1"/>
  <c r="R101" i="15" s="1"/>
  <c r="U103" i="15"/>
  <c r="T103" i="15" s="1"/>
  <c r="S103" i="15" s="1"/>
  <c r="R103" i="15" s="1"/>
  <c r="P103" i="15" s="1"/>
  <c r="V103" i="15" s="1"/>
  <c r="F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P109" i="15" s="1"/>
  <c r="V109" i="15" s="1"/>
  <c r="F109" i="15" s="1"/>
  <c r="U111" i="15"/>
  <c r="T111" i="15" s="1"/>
  <c r="S111" i="15" s="1"/>
  <c r="R111" i="15" s="1"/>
  <c r="P111" i="15" s="1"/>
  <c r="V111" i="15" s="1"/>
  <c r="F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P117" i="15" s="1"/>
  <c r="V117" i="15" s="1"/>
  <c r="F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P125" i="15" s="1"/>
  <c r="V125" i="15" s="1"/>
  <c r="F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P131" i="15" s="1"/>
  <c r="V131" i="15" s="1"/>
  <c r="F131" i="15" s="1"/>
  <c r="U133" i="15"/>
  <c r="T133" i="15" s="1"/>
  <c r="S133" i="15" s="1"/>
  <c r="R133" i="15" s="1"/>
  <c r="P133" i="15" s="1"/>
  <c r="V133" i="15" s="1"/>
  <c r="F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P141" i="15" s="1"/>
  <c r="V141" i="15" s="1"/>
  <c r="F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P147" i="15" s="1"/>
  <c r="V147" i="15" s="1"/>
  <c r="F147" i="15" s="1"/>
  <c r="U149" i="15"/>
  <c r="T149" i="15" s="1"/>
  <c r="S149" i="15" s="1"/>
  <c r="R149" i="15" s="1"/>
  <c r="P149" i="15" s="1"/>
  <c r="V149" i="15" s="1"/>
  <c r="F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P157" i="15" s="1"/>
  <c r="V157" i="15" s="1"/>
  <c r="F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P163" i="15" s="1"/>
  <c r="V163" i="15" s="1"/>
  <c r="F163" i="15" s="1"/>
  <c r="U165" i="15"/>
  <c r="T165" i="15" s="1"/>
  <c r="S165" i="15" s="1"/>
  <c r="R165" i="15" s="1"/>
  <c r="P165" i="15" s="1"/>
  <c r="V165" i="15" s="1"/>
  <c r="F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P173" i="15" s="1"/>
  <c r="V173" i="15" s="1"/>
  <c r="F173" i="15" s="1"/>
  <c r="U175" i="15"/>
  <c r="T175" i="15" s="1"/>
  <c r="S175" i="15" s="1"/>
  <c r="R175" i="15" s="1"/>
  <c r="P175" i="15" s="1"/>
  <c r="V175" i="15" s="1"/>
  <c r="F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P181" i="15" s="1"/>
  <c r="V181" i="15" s="1"/>
  <c r="F181" i="15" s="1"/>
  <c r="U183" i="15"/>
  <c r="T183" i="15" s="1"/>
  <c r="S183" i="15" s="1"/>
  <c r="R183" i="15" s="1"/>
  <c r="U185" i="15"/>
  <c r="T185" i="15" s="1"/>
  <c r="S185" i="15" s="1"/>
  <c r="R185" i="15" s="1"/>
  <c r="U187" i="15"/>
  <c r="T187" i="15" s="1"/>
  <c r="S187" i="15" s="1"/>
  <c r="R187" i="15" s="1"/>
  <c r="U189" i="15"/>
  <c r="T189" i="15" s="1"/>
  <c r="S189" i="15" s="1"/>
  <c r="R189" i="15" s="1"/>
  <c r="P189" i="15" s="1"/>
  <c r="V189" i="15" s="1"/>
  <c r="F189" i="15" s="1"/>
  <c r="U191" i="15"/>
  <c r="T191" i="15" s="1"/>
  <c r="S191" i="15" s="1"/>
  <c r="R191" i="15" s="1"/>
  <c r="U193" i="15"/>
  <c r="T193" i="15" s="1"/>
  <c r="S193" i="15" s="1"/>
  <c r="R193" i="15" s="1"/>
  <c r="U195" i="15"/>
  <c r="T195" i="15" s="1"/>
  <c r="S195" i="15" s="1"/>
  <c r="R195" i="15" s="1"/>
  <c r="P195" i="15" s="1"/>
  <c r="V195" i="15" s="1"/>
  <c r="F195" i="15" s="1"/>
  <c r="U197" i="15"/>
  <c r="T197" i="15" s="1"/>
  <c r="S197" i="15" s="1"/>
  <c r="R197" i="15" s="1"/>
  <c r="U199" i="15"/>
  <c r="T199" i="15" s="1"/>
  <c r="S199" i="15" s="1"/>
  <c r="R199" i="15" s="1"/>
  <c r="U22" i="15"/>
  <c r="T22" i="15" s="1"/>
  <c r="S22" i="15" s="1"/>
  <c r="R22" i="15" s="1"/>
  <c r="U15" i="15"/>
  <c r="T15" i="15" s="1"/>
  <c r="U26" i="15"/>
  <c r="T26" i="15" s="1"/>
  <c r="S26" i="15" s="1"/>
  <c r="R26" i="15" s="1"/>
  <c r="U30" i="15"/>
  <c r="T30" i="15" s="1"/>
  <c r="S30" i="15" s="1"/>
  <c r="R30" i="15" s="1"/>
  <c r="U34" i="15"/>
  <c r="T34" i="15" s="1"/>
  <c r="S34" i="15" s="1"/>
  <c r="R34" i="15" s="1"/>
  <c r="U38" i="15"/>
  <c r="T38" i="15" s="1"/>
  <c r="S38" i="15" s="1"/>
  <c r="R38" i="15" s="1"/>
  <c r="U42" i="15"/>
  <c r="T42" i="15" s="1"/>
  <c r="S42" i="15" s="1"/>
  <c r="R42" i="15" s="1"/>
  <c r="U46" i="15"/>
  <c r="T46" i="15" s="1"/>
  <c r="S46" i="15" s="1"/>
  <c r="R46" i="15" s="1"/>
  <c r="U50" i="15"/>
  <c r="T50" i="15" s="1"/>
  <c r="S50" i="15" s="1"/>
  <c r="R50" i="15" s="1"/>
  <c r="U54" i="15"/>
  <c r="T54" i="15" s="1"/>
  <c r="S54" i="15" s="1"/>
  <c r="R54" i="15" s="1"/>
  <c r="U58" i="15"/>
  <c r="T58" i="15" s="1"/>
  <c r="S58" i="15" s="1"/>
  <c r="R58" i="15" s="1"/>
  <c r="U62" i="15"/>
  <c r="T62" i="15" s="1"/>
  <c r="S62" i="15" s="1"/>
  <c r="R62" i="15" s="1"/>
  <c r="U66" i="15"/>
  <c r="T66" i="15" s="1"/>
  <c r="S66" i="15" s="1"/>
  <c r="R66" i="15" s="1"/>
  <c r="U70" i="15"/>
  <c r="T70" i="15" s="1"/>
  <c r="S70" i="15" s="1"/>
  <c r="R70" i="15" s="1"/>
  <c r="U74" i="15"/>
  <c r="T74" i="15" s="1"/>
  <c r="S74" i="15" s="1"/>
  <c r="R74" i="15" s="1"/>
  <c r="U78" i="15"/>
  <c r="T78" i="15" s="1"/>
  <c r="S78" i="15" s="1"/>
  <c r="R78" i="15" s="1"/>
  <c r="U82" i="15"/>
  <c r="T82" i="15" s="1"/>
  <c r="S82" i="15" s="1"/>
  <c r="R82" i="15" s="1"/>
  <c r="U86" i="15"/>
  <c r="T86" i="15" s="1"/>
  <c r="S86" i="15" s="1"/>
  <c r="R86" i="15" s="1"/>
  <c r="U90" i="15"/>
  <c r="T90" i="15" s="1"/>
  <c r="S90" i="15" s="1"/>
  <c r="R90" i="15" s="1"/>
  <c r="U94" i="15"/>
  <c r="T94" i="15" s="1"/>
  <c r="S94" i="15" s="1"/>
  <c r="R94" i="15" s="1"/>
  <c r="U98" i="15"/>
  <c r="T98" i="15" s="1"/>
  <c r="S98" i="15" s="1"/>
  <c r="R98" i="15" s="1"/>
  <c r="U102" i="15"/>
  <c r="T102" i="15" s="1"/>
  <c r="S102" i="15" s="1"/>
  <c r="R102" i="15" s="1"/>
  <c r="U106" i="15"/>
  <c r="T106" i="15" s="1"/>
  <c r="S106" i="15" s="1"/>
  <c r="R106" i="15" s="1"/>
  <c r="U110" i="15"/>
  <c r="T110" i="15" s="1"/>
  <c r="S110" i="15" s="1"/>
  <c r="R110" i="15" s="1"/>
  <c r="U114" i="15"/>
  <c r="T114" i="15" s="1"/>
  <c r="S114" i="15" s="1"/>
  <c r="R114" i="15" s="1"/>
  <c r="U118" i="15"/>
  <c r="T118" i="15" s="1"/>
  <c r="S118" i="15" s="1"/>
  <c r="R118" i="15" s="1"/>
  <c r="U122" i="15"/>
  <c r="T122" i="15" s="1"/>
  <c r="S122" i="15" s="1"/>
  <c r="R122" i="15" s="1"/>
  <c r="U126" i="15"/>
  <c r="T126" i="15" s="1"/>
  <c r="S126" i="15" s="1"/>
  <c r="R126" i="15" s="1"/>
  <c r="U130" i="15"/>
  <c r="T130" i="15" s="1"/>
  <c r="S130" i="15" s="1"/>
  <c r="R130" i="15" s="1"/>
  <c r="U134" i="15"/>
  <c r="T134" i="15" s="1"/>
  <c r="S134" i="15" s="1"/>
  <c r="R134" i="15" s="1"/>
  <c r="U138" i="15"/>
  <c r="T138" i="15" s="1"/>
  <c r="S138" i="15" s="1"/>
  <c r="R138" i="15" s="1"/>
  <c r="U142" i="15"/>
  <c r="T142" i="15" s="1"/>
  <c r="S142" i="15" s="1"/>
  <c r="R142" i="15" s="1"/>
  <c r="U146" i="15"/>
  <c r="T146" i="15" s="1"/>
  <c r="S146" i="15" s="1"/>
  <c r="R146" i="15" s="1"/>
  <c r="U150" i="15"/>
  <c r="T150" i="15" s="1"/>
  <c r="S150" i="15" s="1"/>
  <c r="R150" i="15" s="1"/>
  <c r="U154" i="15"/>
  <c r="T154" i="15" s="1"/>
  <c r="S154" i="15" s="1"/>
  <c r="R154" i="15" s="1"/>
  <c r="U158" i="15"/>
  <c r="T158" i="15" s="1"/>
  <c r="S158" i="15" s="1"/>
  <c r="R158" i="15" s="1"/>
  <c r="U162" i="15"/>
  <c r="T162" i="15" s="1"/>
  <c r="S162" i="15" s="1"/>
  <c r="R162" i="15" s="1"/>
  <c r="U166" i="15"/>
  <c r="T166" i="15" s="1"/>
  <c r="S166" i="15" s="1"/>
  <c r="R166" i="15" s="1"/>
  <c r="U170" i="15"/>
  <c r="T170" i="15" s="1"/>
  <c r="S170" i="15" s="1"/>
  <c r="R170" i="15" s="1"/>
  <c r="U174" i="15"/>
  <c r="T174" i="15" s="1"/>
  <c r="S174" i="15" s="1"/>
  <c r="R174" i="15" s="1"/>
  <c r="U178" i="15"/>
  <c r="T178" i="15" s="1"/>
  <c r="S178" i="15" s="1"/>
  <c r="R178" i="15" s="1"/>
  <c r="U182" i="15"/>
  <c r="T182" i="15" s="1"/>
  <c r="S182" i="15" s="1"/>
  <c r="R182" i="15" s="1"/>
  <c r="U186" i="15"/>
  <c r="T186" i="15" s="1"/>
  <c r="S186" i="15" s="1"/>
  <c r="R186" i="15" s="1"/>
  <c r="U190" i="15"/>
  <c r="T190" i="15" s="1"/>
  <c r="S190" i="15" s="1"/>
  <c r="R190" i="15" s="1"/>
  <c r="U194" i="15"/>
  <c r="T194" i="15" s="1"/>
  <c r="S194" i="15" s="1"/>
  <c r="R194" i="15" s="1"/>
  <c r="U198" i="15"/>
  <c r="T198" i="15" s="1"/>
  <c r="S198" i="15" s="1"/>
  <c r="R198" i="15" s="1"/>
  <c r="U201" i="15"/>
  <c r="T201" i="15" s="1"/>
  <c r="S201" i="15" s="1"/>
  <c r="R201" i="15" s="1"/>
  <c r="U203" i="15"/>
  <c r="T203" i="15" s="1"/>
  <c r="S203" i="15" s="1"/>
  <c r="R203" i="15" s="1"/>
  <c r="U205" i="15"/>
  <c r="T205" i="15" s="1"/>
  <c r="S205" i="15" s="1"/>
  <c r="R205" i="15" s="1"/>
  <c r="P205" i="15" s="1"/>
  <c r="V205" i="15" s="1"/>
  <c r="F205" i="15" s="1"/>
  <c r="U207" i="15"/>
  <c r="T207" i="15" s="1"/>
  <c r="S207" i="15" s="1"/>
  <c r="R207" i="15" s="1"/>
  <c r="U209" i="15"/>
  <c r="T209" i="15" s="1"/>
  <c r="S209" i="15" s="1"/>
  <c r="R209" i="15" s="1"/>
  <c r="U211" i="15"/>
  <c r="T211" i="15" s="1"/>
  <c r="S211" i="15" s="1"/>
  <c r="R211" i="15" s="1"/>
  <c r="P211" i="15" s="1"/>
  <c r="V211" i="15" s="1"/>
  <c r="F211" i="15" s="1"/>
  <c r="U213" i="15"/>
  <c r="T213" i="15" s="1"/>
  <c r="S213" i="15" s="1"/>
  <c r="R213" i="15" s="1"/>
  <c r="U215" i="15"/>
  <c r="T215" i="15" s="1"/>
  <c r="S215" i="15" s="1"/>
  <c r="R215" i="15" s="1"/>
  <c r="U217" i="15"/>
  <c r="T217" i="15" s="1"/>
  <c r="S217" i="15" s="1"/>
  <c r="R217" i="15" s="1"/>
  <c r="P217" i="15" s="1"/>
  <c r="V217" i="15" s="1"/>
  <c r="F217" i="15" s="1"/>
  <c r="U219" i="15"/>
  <c r="T219" i="15" s="1"/>
  <c r="S219" i="15" s="1"/>
  <c r="R219" i="15" s="1"/>
  <c r="P219" i="15" s="1"/>
  <c r="V219" i="15" s="1"/>
  <c r="F219" i="15" s="1"/>
  <c r="U221" i="15"/>
  <c r="T221" i="15" s="1"/>
  <c r="S221" i="15" s="1"/>
  <c r="R221" i="15" s="1"/>
  <c r="U223" i="15"/>
  <c r="T223" i="15" s="1"/>
  <c r="S223" i="15" s="1"/>
  <c r="R223" i="15" s="1"/>
  <c r="U225" i="15"/>
  <c r="T225" i="15" s="1"/>
  <c r="S225" i="15" s="1"/>
  <c r="R225" i="15" s="1"/>
  <c r="U227" i="15"/>
  <c r="T227" i="15" s="1"/>
  <c r="S227" i="15" s="1"/>
  <c r="R227" i="15" s="1"/>
  <c r="U229" i="15"/>
  <c r="T229" i="15" s="1"/>
  <c r="S229" i="15" s="1"/>
  <c r="R229" i="15" s="1"/>
  <c r="U231" i="15"/>
  <c r="T231" i="15" s="1"/>
  <c r="S231" i="15" s="1"/>
  <c r="R231" i="15" s="1"/>
  <c r="U233" i="15"/>
  <c r="T233" i="15" s="1"/>
  <c r="S233" i="15" s="1"/>
  <c r="R233" i="15" s="1"/>
  <c r="P233" i="15" s="1"/>
  <c r="U235" i="15"/>
  <c r="T235" i="15" s="1"/>
  <c r="S235" i="15" s="1"/>
  <c r="R235" i="15" s="1"/>
  <c r="P235" i="15" s="1"/>
  <c r="V235" i="15" s="1"/>
  <c r="F235" i="15" s="1"/>
  <c r="U237" i="15"/>
  <c r="T237" i="15" s="1"/>
  <c r="S237" i="15" s="1"/>
  <c r="R237" i="15" s="1"/>
  <c r="U239" i="15"/>
  <c r="T239" i="15" s="1"/>
  <c r="S239" i="15" s="1"/>
  <c r="R239" i="15" s="1"/>
  <c r="U241" i="15"/>
  <c r="T241" i="15" s="1"/>
  <c r="S241" i="15" s="1"/>
  <c r="R241" i="15" s="1"/>
  <c r="U243" i="15"/>
  <c r="T243" i="15" s="1"/>
  <c r="S243" i="15" s="1"/>
  <c r="R243" i="15" s="1"/>
  <c r="P243" i="15" s="1"/>
  <c r="V243" i="15" s="1"/>
  <c r="F243" i="15" s="1"/>
  <c r="U245" i="15"/>
  <c r="T245" i="15" s="1"/>
  <c r="S245" i="15" s="1"/>
  <c r="R245" i="15" s="1"/>
  <c r="U247" i="15"/>
  <c r="T247" i="15" s="1"/>
  <c r="S247" i="15" s="1"/>
  <c r="R247" i="15" s="1"/>
  <c r="U249" i="15"/>
  <c r="T249" i="15" s="1"/>
  <c r="S249" i="15" s="1"/>
  <c r="R249" i="15" s="1"/>
  <c r="P249" i="15" s="1"/>
  <c r="V249" i="15" s="1"/>
  <c r="F249" i="15" s="1"/>
  <c r="U251" i="15"/>
  <c r="T251" i="15" s="1"/>
  <c r="S251" i="15" s="1"/>
  <c r="R251" i="15" s="1"/>
  <c r="P251" i="15" s="1"/>
  <c r="V251" i="15" s="1"/>
  <c r="F251" i="15" s="1"/>
  <c r="U253" i="15"/>
  <c r="T253" i="15" s="1"/>
  <c r="S253" i="15" s="1"/>
  <c r="R253" i="15" s="1"/>
  <c r="P253" i="15" s="1"/>
  <c r="V253" i="15" s="1"/>
  <c r="F253" i="15" s="1"/>
  <c r="U255" i="15"/>
  <c r="T255" i="15" s="1"/>
  <c r="S255" i="15" s="1"/>
  <c r="R255" i="15" s="1"/>
  <c r="U257" i="15"/>
  <c r="T257" i="15" s="1"/>
  <c r="S257" i="15" s="1"/>
  <c r="R257" i="15" s="1"/>
  <c r="U259" i="15"/>
  <c r="T259" i="15" s="1"/>
  <c r="S259" i="15" s="1"/>
  <c r="R259" i="15" s="1"/>
  <c r="P259" i="15" s="1"/>
  <c r="V259" i="15" s="1"/>
  <c r="F259" i="15" s="1"/>
  <c r="U261" i="15"/>
  <c r="T261" i="15" s="1"/>
  <c r="S261" i="15" s="1"/>
  <c r="R261" i="15" s="1"/>
  <c r="U263" i="15"/>
  <c r="T263" i="15" s="1"/>
  <c r="S263" i="15" s="1"/>
  <c r="R263" i="15" s="1"/>
  <c r="U265" i="15"/>
  <c r="T265" i="15" s="1"/>
  <c r="S265" i="15" s="1"/>
  <c r="R265" i="15" s="1"/>
  <c r="P265" i="15" s="1"/>
  <c r="V265" i="15" s="1"/>
  <c r="F265" i="15" s="1"/>
  <c r="U267" i="15"/>
  <c r="T267" i="15" s="1"/>
  <c r="S267" i="15" s="1"/>
  <c r="R267" i="15" s="1"/>
  <c r="P267" i="15" s="1"/>
  <c r="V267" i="15" s="1"/>
  <c r="F267" i="15" s="1"/>
  <c r="U269" i="15"/>
  <c r="T269" i="15" s="1"/>
  <c r="S269" i="15" s="1"/>
  <c r="R269" i="15" s="1"/>
  <c r="U271" i="15"/>
  <c r="T271" i="15" s="1"/>
  <c r="S271" i="15" s="1"/>
  <c r="R271" i="15" s="1"/>
  <c r="U273" i="15"/>
  <c r="T273" i="15" s="1"/>
  <c r="S273" i="15" s="1"/>
  <c r="R273" i="15" s="1"/>
  <c r="U275" i="15"/>
  <c r="T275" i="15" s="1"/>
  <c r="S275" i="15" s="1"/>
  <c r="R275" i="15" s="1"/>
  <c r="P275" i="15" s="1"/>
  <c r="V275" i="15" s="1"/>
  <c r="F275" i="15" s="1"/>
  <c r="U277" i="15"/>
  <c r="T277" i="15" s="1"/>
  <c r="S277" i="15" s="1"/>
  <c r="R277" i="15" s="1"/>
  <c r="U279" i="15"/>
  <c r="T279" i="15" s="1"/>
  <c r="S279" i="15" s="1"/>
  <c r="R279" i="15" s="1"/>
  <c r="U281" i="15"/>
  <c r="T281" i="15" s="1"/>
  <c r="S281" i="15" s="1"/>
  <c r="R281" i="15" s="1"/>
  <c r="P281" i="15" s="1"/>
  <c r="V281" i="15" s="1"/>
  <c r="F281" i="15" s="1"/>
  <c r="U283" i="15"/>
  <c r="T283" i="15" s="1"/>
  <c r="S283" i="15" s="1"/>
  <c r="R283" i="15" s="1"/>
  <c r="P283" i="15" s="1"/>
  <c r="V283" i="15" s="1"/>
  <c r="F283" i="15" s="1"/>
  <c r="U285" i="15"/>
  <c r="T285" i="15" s="1"/>
  <c r="S285" i="15" s="1"/>
  <c r="R285" i="15" s="1"/>
  <c r="U287" i="15"/>
  <c r="T287" i="15" s="1"/>
  <c r="S287" i="15" s="1"/>
  <c r="R287" i="15" s="1"/>
  <c r="U289" i="15"/>
  <c r="T289" i="15" s="1"/>
  <c r="S289" i="15" s="1"/>
  <c r="R289" i="15" s="1"/>
  <c r="U291" i="15"/>
  <c r="T291" i="15" s="1"/>
  <c r="S291" i="15" s="1"/>
  <c r="R291" i="15" s="1"/>
  <c r="P291" i="15" s="1"/>
  <c r="V291" i="15" s="1"/>
  <c r="F291" i="15" s="1"/>
  <c r="U293" i="15"/>
  <c r="T293" i="15" s="1"/>
  <c r="S293" i="15" s="1"/>
  <c r="R293" i="15" s="1"/>
  <c r="U295" i="15"/>
  <c r="T295" i="15" s="1"/>
  <c r="S295" i="15" s="1"/>
  <c r="R295" i="15" s="1"/>
  <c r="U297" i="15"/>
  <c r="T297" i="15" s="1"/>
  <c r="S297" i="15" s="1"/>
  <c r="R297" i="15" s="1"/>
  <c r="P297" i="15" s="1"/>
  <c r="U299" i="15"/>
  <c r="T299" i="15" s="1"/>
  <c r="S299" i="15" s="1"/>
  <c r="R299" i="15" s="1"/>
  <c r="P299" i="15" s="1"/>
  <c r="V299" i="15" s="1"/>
  <c r="F299" i="15" s="1"/>
  <c r="U301" i="15"/>
  <c r="T301" i="15" s="1"/>
  <c r="S301" i="15" s="1"/>
  <c r="R301" i="15" s="1"/>
  <c r="P301" i="15" s="1"/>
  <c r="V301" i="15" s="1"/>
  <c r="F301" i="15" s="1"/>
  <c r="U303" i="15"/>
  <c r="T303" i="15" s="1"/>
  <c r="S303" i="15" s="1"/>
  <c r="R303" i="15" s="1"/>
  <c r="U305" i="15"/>
  <c r="T305" i="15" s="1"/>
  <c r="S305" i="15" s="1"/>
  <c r="R305" i="15" s="1"/>
  <c r="U307" i="15"/>
  <c r="T307" i="15" s="1"/>
  <c r="S307" i="15" s="1"/>
  <c r="R307" i="15" s="1"/>
  <c r="P307" i="15" s="1"/>
  <c r="V307" i="15" s="1"/>
  <c r="F307" i="15" s="1"/>
  <c r="U309" i="15"/>
  <c r="T309" i="15" s="1"/>
  <c r="S309" i="15" s="1"/>
  <c r="R309" i="15" s="1"/>
  <c r="U311" i="15"/>
  <c r="T311" i="15" s="1"/>
  <c r="S311" i="15" s="1"/>
  <c r="R311" i="15" s="1"/>
  <c r="U313" i="15"/>
  <c r="T313" i="15" s="1"/>
  <c r="S313" i="15" s="1"/>
  <c r="R313" i="15" s="1"/>
  <c r="U315" i="15"/>
  <c r="T315" i="15" s="1"/>
  <c r="S315" i="15" s="1"/>
  <c r="R315" i="15" s="1"/>
  <c r="U317" i="15"/>
  <c r="T317" i="15" s="1"/>
  <c r="S317" i="15" s="1"/>
  <c r="R317" i="15" s="1"/>
  <c r="U319" i="15"/>
  <c r="T319" i="15" s="1"/>
  <c r="S319" i="15" s="1"/>
  <c r="R319" i="15" s="1"/>
  <c r="U321" i="15"/>
  <c r="T321" i="15" s="1"/>
  <c r="S321" i="15" s="1"/>
  <c r="R321" i="15" s="1"/>
  <c r="U323" i="15"/>
  <c r="T323" i="15" s="1"/>
  <c r="S323" i="15" s="1"/>
  <c r="R323" i="15" s="1"/>
  <c r="U325" i="15"/>
  <c r="T325" i="15" s="1"/>
  <c r="S325" i="15" s="1"/>
  <c r="R325" i="15" s="1"/>
  <c r="U327" i="15"/>
  <c r="T327" i="15" s="1"/>
  <c r="S327" i="15" s="1"/>
  <c r="R327" i="15" s="1"/>
  <c r="U329" i="15"/>
  <c r="T329" i="15" s="1"/>
  <c r="S329" i="15" s="1"/>
  <c r="R329" i="15" s="1"/>
  <c r="U331" i="15"/>
  <c r="T331" i="15" s="1"/>
  <c r="S331" i="15" s="1"/>
  <c r="R331" i="15" s="1"/>
  <c r="U333" i="15"/>
  <c r="T333" i="15" s="1"/>
  <c r="S333" i="15" s="1"/>
  <c r="R333" i="15" s="1"/>
  <c r="U335" i="15"/>
  <c r="T335" i="15" s="1"/>
  <c r="S335" i="15" s="1"/>
  <c r="R335" i="15" s="1"/>
  <c r="U337" i="15"/>
  <c r="T337" i="15" s="1"/>
  <c r="S337" i="15" s="1"/>
  <c r="R337" i="15" s="1"/>
  <c r="U339" i="15"/>
  <c r="T339" i="15" s="1"/>
  <c r="S339" i="15" s="1"/>
  <c r="R339" i="15" s="1"/>
  <c r="U341" i="15"/>
  <c r="T341" i="15" s="1"/>
  <c r="S341" i="15" s="1"/>
  <c r="R341" i="15" s="1"/>
  <c r="U343" i="15"/>
  <c r="T343" i="15" s="1"/>
  <c r="S343" i="15" s="1"/>
  <c r="R343" i="15" s="1"/>
  <c r="U345" i="15"/>
  <c r="T345" i="15" s="1"/>
  <c r="S345" i="15" s="1"/>
  <c r="R345" i="15" s="1"/>
  <c r="U347" i="15"/>
  <c r="T347" i="15" s="1"/>
  <c r="S347" i="15" s="1"/>
  <c r="R347" i="15" s="1"/>
  <c r="U349" i="15"/>
  <c r="T349" i="15" s="1"/>
  <c r="S349" i="15" s="1"/>
  <c r="R349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S365" i="15" s="1"/>
  <c r="R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H18" i="15" s="1"/>
  <c r="AI25" i="15"/>
  <c r="AH25" i="15" s="1"/>
  <c r="AG25" i="15" s="1"/>
  <c r="AF25" i="15" s="1"/>
  <c r="AI28" i="15"/>
  <c r="AH28" i="15" s="1"/>
  <c r="AI20" i="15"/>
  <c r="AH20" i="15" s="1"/>
  <c r="AG20" i="15" s="1"/>
  <c r="AF20" i="15" s="1"/>
  <c r="AI16" i="15"/>
  <c r="AH16" i="15" s="1"/>
  <c r="AI26" i="15"/>
  <c r="AH26" i="15" s="1"/>
  <c r="AI30" i="15"/>
  <c r="AH30" i="15" s="1"/>
  <c r="AI32" i="15"/>
  <c r="AH32" i="15" s="1"/>
  <c r="AI34" i="15"/>
  <c r="AH34" i="15" s="1"/>
  <c r="AG34" i="15" s="1"/>
  <c r="AF34" i="15" s="1"/>
  <c r="AI36" i="15"/>
  <c r="AH36" i="15" s="1"/>
  <c r="AG36" i="15" s="1"/>
  <c r="AF36" i="15" s="1"/>
  <c r="AI38" i="15"/>
  <c r="AH38" i="15" s="1"/>
  <c r="AI40" i="15"/>
  <c r="AH40" i="15" s="1"/>
  <c r="AI42" i="15"/>
  <c r="AH42" i="15" s="1"/>
  <c r="AG42" i="15" s="1"/>
  <c r="AF42" i="15" s="1"/>
  <c r="AI44" i="15"/>
  <c r="AH44" i="15" s="1"/>
  <c r="AG44" i="15" s="1"/>
  <c r="AF44" i="15" s="1"/>
  <c r="AI46" i="15"/>
  <c r="AH46" i="15" s="1"/>
  <c r="AI48" i="15"/>
  <c r="AH48" i="15" s="1"/>
  <c r="AI50" i="15"/>
  <c r="AH50" i="15" s="1"/>
  <c r="AG50" i="15" s="1"/>
  <c r="AF50" i="15" s="1"/>
  <c r="AI52" i="15"/>
  <c r="AH52" i="15" s="1"/>
  <c r="AI54" i="15"/>
  <c r="AH54" i="15" s="1"/>
  <c r="AI56" i="15"/>
  <c r="AH56" i="15" s="1"/>
  <c r="AI58" i="15"/>
  <c r="AH58" i="15" s="1"/>
  <c r="AG58" i="15" s="1"/>
  <c r="AF58" i="15" s="1"/>
  <c r="AI60" i="15"/>
  <c r="AH60" i="15" s="1"/>
  <c r="AI62" i="15"/>
  <c r="AH62" i="15" s="1"/>
  <c r="AI64" i="15"/>
  <c r="AH64" i="15" s="1"/>
  <c r="AG64" i="15" s="1"/>
  <c r="AF64" i="15" s="1"/>
  <c r="AI66" i="15"/>
  <c r="AH66" i="15" s="1"/>
  <c r="AI68" i="15"/>
  <c r="AH68" i="15" s="1"/>
  <c r="AG68" i="15" s="1"/>
  <c r="AF68" i="15" s="1"/>
  <c r="AI70" i="15"/>
  <c r="AH70" i="15" s="1"/>
  <c r="AG70" i="15" s="1"/>
  <c r="AF70" i="15" s="1"/>
  <c r="AI72" i="15"/>
  <c r="AH72" i="15" s="1"/>
  <c r="AG72" i="15" s="1"/>
  <c r="AF72" i="15" s="1"/>
  <c r="AI74" i="15"/>
  <c r="AH74" i="15" s="1"/>
  <c r="AI76" i="15"/>
  <c r="AH76" i="15" s="1"/>
  <c r="AG76" i="15" s="1"/>
  <c r="AF76" i="15" s="1"/>
  <c r="AI78" i="15"/>
  <c r="AH78" i="15" s="1"/>
  <c r="AG78" i="15" s="1"/>
  <c r="AF78" i="15" s="1"/>
  <c r="AI80" i="15"/>
  <c r="AH80" i="15" s="1"/>
  <c r="AI82" i="15"/>
  <c r="AH82" i="15" s="1"/>
  <c r="AI84" i="15"/>
  <c r="AH84" i="15" s="1"/>
  <c r="AI86" i="15"/>
  <c r="AH86" i="15" s="1"/>
  <c r="AI88" i="15"/>
  <c r="AH88" i="15" s="1"/>
  <c r="AI90" i="15"/>
  <c r="AH90" i="15" s="1"/>
  <c r="AI92" i="15"/>
  <c r="AH92" i="15" s="1"/>
  <c r="AG92" i="15" s="1"/>
  <c r="AF92" i="15" s="1"/>
  <c r="AI94" i="15"/>
  <c r="AH94" i="15" s="1"/>
  <c r="AI96" i="15"/>
  <c r="AH96" i="15" s="1"/>
  <c r="AI98" i="15"/>
  <c r="AH98" i="15" s="1"/>
  <c r="AG98" i="15" s="1"/>
  <c r="AF98" i="15" s="1"/>
  <c r="AI100" i="15"/>
  <c r="AH100" i="15" s="1"/>
  <c r="AI102" i="15"/>
  <c r="AH102" i="15" s="1"/>
  <c r="AG102" i="15" s="1"/>
  <c r="AF102" i="15" s="1"/>
  <c r="AI104" i="15"/>
  <c r="AH104" i="15" s="1"/>
  <c r="AG104" i="15" s="1"/>
  <c r="AF104" i="15" s="1"/>
  <c r="AI106" i="15"/>
  <c r="AH106" i="15" s="1"/>
  <c r="AI108" i="15"/>
  <c r="AH108" i="15" s="1"/>
  <c r="AI110" i="15"/>
  <c r="AH110" i="15" s="1"/>
  <c r="AI112" i="15"/>
  <c r="AH112" i="15" s="1"/>
  <c r="AG112" i="15" s="1"/>
  <c r="AF112" i="15" s="1"/>
  <c r="AI114" i="15"/>
  <c r="AH114" i="15" s="1"/>
  <c r="AI116" i="15"/>
  <c r="AH116" i="15" s="1"/>
  <c r="AI118" i="15"/>
  <c r="AH118" i="15" s="1"/>
  <c r="AI120" i="15"/>
  <c r="AH120" i="15" s="1"/>
  <c r="AI122" i="15"/>
  <c r="AH122" i="15" s="1"/>
  <c r="AI124" i="15"/>
  <c r="AH124" i="15" s="1"/>
  <c r="AG124" i="15" s="1"/>
  <c r="AF124" i="15" s="1"/>
  <c r="AI126" i="15"/>
  <c r="AH126" i="15" s="1"/>
  <c r="AI128" i="15"/>
  <c r="AH128" i="15" s="1"/>
  <c r="AI130" i="15"/>
  <c r="AH130" i="15" s="1"/>
  <c r="AG130" i="15" s="1"/>
  <c r="AF130" i="15" s="1"/>
  <c r="AI132" i="15"/>
  <c r="AH132" i="15" s="1"/>
  <c r="AI134" i="15"/>
  <c r="AH134" i="15" s="1"/>
  <c r="AG134" i="15" s="1"/>
  <c r="AF134" i="15" s="1"/>
  <c r="AI136" i="15"/>
  <c r="AH136" i="15" s="1"/>
  <c r="AG136" i="15" s="1"/>
  <c r="AF136" i="15" s="1"/>
  <c r="AI138" i="15"/>
  <c r="AH138" i="15" s="1"/>
  <c r="AG138" i="15" s="1"/>
  <c r="AF138" i="15" s="1"/>
  <c r="AI140" i="15"/>
  <c r="AH140" i="15" s="1"/>
  <c r="AG140" i="15" s="1"/>
  <c r="AF140" i="15" s="1"/>
  <c r="AI142" i="15"/>
  <c r="AH142" i="15" s="1"/>
  <c r="AG142" i="15" s="1"/>
  <c r="AF142" i="15" s="1"/>
  <c r="AI144" i="15"/>
  <c r="AH144" i="15" s="1"/>
  <c r="AI146" i="15"/>
  <c r="AH146" i="15" s="1"/>
  <c r="AI148" i="15"/>
  <c r="AH148" i="15" s="1"/>
  <c r="AI150" i="15"/>
  <c r="AH150" i="15" s="1"/>
  <c r="AG150" i="15" s="1"/>
  <c r="AF150" i="15" s="1"/>
  <c r="AI152" i="15"/>
  <c r="AH152" i="15" s="1"/>
  <c r="AI154" i="15"/>
  <c r="AH154" i="15" s="1"/>
  <c r="AI156" i="15"/>
  <c r="AH156" i="15" s="1"/>
  <c r="AG156" i="15" s="1"/>
  <c r="AF156" i="15" s="1"/>
  <c r="AI158" i="15"/>
  <c r="AH158" i="15" s="1"/>
  <c r="AI160" i="15"/>
  <c r="AH160" i="15" s="1"/>
  <c r="AG160" i="15" s="1"/>
  <c r="AF160" i="15" s="1"/>
  <c r="AI162" i="15"/>
  <c r="AH162" i="15" s="1"/>
  <c r="AG162" i="15" s="1"/>
  <c r="AF162" i="15" s="1"/>
  <c r="AI164" i="15"/>
  <c r="AH164" i="15" s="1"/>
  <c r="AG164" i="15" s="1"/>
  <c r="AF164" i="15" s="1"/>
  <c r="AI166" i="15"/>
  <c r="AH166" i="15" s="1"/>
  <c r="AG166" i="15" s="1"/>
  <c r="AF166" i="15" s="1"/>
  <c r="AI168" i="15"/>
  <c r="AH168" i="15" s="1"/>
  <c r="AI170" i="15"/>
  <c r="AH170" i="15" s="1"/>
  <c r="AG170" i="15" s="1"/>
  <c r="AF170" i="15" s="1"/>
  <c r="AI172" i="15"/>
  <c r="AH172" i="15" s="1"/>
  <c r="AI174" i="15"/>
  <c r="AH174" i="15" s="1"/>
  <c r="AI176" i="15"/>
  <c r="AH176" i="15" s="1"/>
  <c r="AG176" i="15" s="1"/>
  <c r="AF176" i="15" s="1"/>
  <c r="AI178" i="15"/>
  <c r="AH178" i="15" s="1"/>
  <c r="AI180" i="15"/>
  <c r="AH180" i="15" s="1"/>
  <c r="AI182" i="15"/>
  <c r="AH182" i="15" s="1"/>
  <c r="AG182" i="15" s="1"/>
  <c r="AF182" i="15" s="1"/>
  <c r="AI184" i="15"/>
  <c r="AH184" i="15" s="1"/>
  <c r="AG184" i="15" s="1"/>
  <c r="AF184" i="15" s="1"/>
  <c r="AI186" i="15"/>
  <c r="AH186" i="15" s="1"/>
  <c r="AI188" i="15"/>
  <c r="AH188" i="15" s="1"/>
  <c r="AI190" i="15"/>
  <c r="AH190" i="15" s="1"/>
  <c r="AI192" i="15"/>
  <c r="AH192" i="15" s="1"/>
  <c r="AG192" i="15" s="1"/>
  <c r="AF192" i="15" s="1"/>
  <c r="AI194" i="15"/>
  <c r="AH194" i="15" s="1"/>
  <c r="AI196" i="15"/>
  <c r="AH196" i="15" s="1"/>
  <c r="AI198" i="15"/>
  <c r="AH198" i="15" s="1"/>
  <c r="AI200" i="15"/>
  <c r="AH200" i="15" s="1"/>
  <c r="AG200" i="15" s="1"/>
  <c r="AF200" i="15" s="1"/>
  <c r="AI202" i="15"/>
  <c r="AH202" i="15" s="1"/>
  <c r="AG202" i="15" s="1"/>
  <c r="AF202" i="15" s="1"/>
  <c r="AI204" i="15"/>
  <c r="AH204" i="15" s="1"/>
  <c r="AI206" i="15"/>
  <c r="AH206" i="15" s="1"/>
  <c r="AG206" i="15" s="1"/>
  <c r="AF206" i="15" s="1"/>
  <c r="AI208" i="15"/>
  <c r="AH208" i="15" s="1"/>
  <c r="AI210" i="15"/>
  <c r="AH210" i="15" s="1"/>
  <c r="AG210" i="15" s="1"/>
  <c r="AF210" i="15" s="1"/>
  <c r="AI212" i="15"/>
  <c r="AH212" i="15" s="1"/>
  <c r="AI214" i="15"/>
  <c r="AH214" i="15" s="1"/>
  <c r="AI216" i="15"/>
  <c r="AH216" i="15" s="1"/>
  <c r="AG216" i="15" s="1"/>
  <c r="AF216" i="15" s="1"/>
  <c r="AI218" i="15"/>
  <c r="AH218" i="15" s="1"/>
  <c r="AI220" i="15"/>
  <c r="AH220" i="15" s="1"/>
  <c r="AG220" i="15" s="1"/>
  <c r="AF220" i="15" s="1"/>
  <c r="AI222" i="15"/>
  <c r="AH222" i="15" s="1"/>
  <c r="AI224" i="15"/>
  <c r="AH224" i="15" s="1"/>
  <c r="AG224" i="15" s="1"/>
  <c r="AF224" i="15" s="1"/>
  <c r="AI226" i="15"/>
  <c r="AH226" i="15" s="1"/>
  <c r="AI228" i="15"/>
  <c r="AH228" i="15" s="1"/>
  <c r="AI230" i="15"/>
  <c r="AH230" i="15" s="1"/>
  <c r="AG230" i="15" s="1"/>
  <c r="AF230" i="15" s="1"/>
  <c r="AI232" i="15"/>
  <c r="AH232" i="15" s="1"/>
  <c r="AI234" i="15"/>
  <c r="AH234" i="15" s="1"/>
  <c r="AG234" i="15" s="1"/>
  <c r="AF234" i="15" s="1"/>
  <c r="AI236" i="15"/>
  <c r="AH236" i="15" s="1"/>
  <c r="AG236" i="15" s="1"/>
  <c r="AF236" i="15" s="1"/>
  <c r="AI238" i="15"/>
  <c r="AH238" i="15" s="1"/>
  <c r="AG238" i="15" s="1"/>
  <c r="AF238" i="15" s="1"/>
  <c r="AI240" i="15"/>
  <c r="AH240" i="15" s="1"/>
  <c r="AG240" i="15" s="1"/>
  <c r="AF240" i="15" s="1"/>
  <c r="AI242" i="15"/>
  <c r="AH242" i="15" s="1"/>
  <c r="AI244" i="15"/>
  <c r="AH244" i="15" s="1"/>
  <c r="AG244" i="15" s="1"/>
  <c r="AF244" i="15" s="1"/>
  <c r="AI246" i="15"/>
  <c r="AH246" i="15" s="1"/>
  <c r="AI248" i="15"/>
  <c r="AH248" i="15" s="1"/>
  <c r="AI250" i="15"/>
  <c r="AH250" i="15" s="1"/>
  <c r="AI252" i="15"/>
  <c r="AH252" i="15" s="1"/>
  <c r="AI254" i="15"/>
  <c r="AH254" i="15" s="1"/>
  <c r="AG254" i="15" s="1"/>
  <c r="AF254" i="15" s="1"/>
  <c r="AI256" i="15"/>
  <c r="AH256" i="15" s="1"/>
  <c r="AI258" i="15"/>
  <c r="AH258" i="15" s="1"/>
  <c r="AI260" i="15"/>
  <c r="AH260" i="15" s="1"/>
  <c r="AI262" i="15"/>
  <c r="AH262" i="15" s="1"/>
  <c r="AG262" i="15" s="1"/>
  <c r="AF262" i="15" s="1"/>
  <c r="AI264" i="15"/>
  <c r="AH264" i="15" s="1"/>
  <c r="AG264" i="15" s="1"/>
  <c r="AF264" i="15" s="1"/>
  <c r="AI266" i="15"/>
  <c r="AH266" i="15" s="1"/>
  <c r="AI268" i="15"/>
  <c r="AH268" i="15" s="1"/>
  <c r="AI270" i="15"/>
  <c r="AH270" i="15" s="1"/>
  <c r="AI272" i="15"/>
  <c r="AH272" i="15" s="1"/>
  <c r="AI274" i="15"/>
  <c r="AH274" i="15" s="1"/>
  <c r="AI276" i="15"/>
  <c r="AH276" i="15" s="1"/>
  <c r="AI278" i="15"/>
  <c r="AH278" i="15" s="1"/>
  <c r="AG278" i="15" s="1"/>
  <c r="AF278" i="15" s="1"/>
  <c r="AI280" i="15"/>
  <c r="AH280" i="15" s="1"/>
  <c r="AG280" i="15" s="1"/>
  <c r="AF280" i="15" s="1"/>
  <c r="AI282" i="15"/>
  <c r="AH282" i="15" s="1"/>
  <c r="AG282" i="15" s="1"/>
  <c r="AF282" i="15" s="1"/>
  <c r="AI284" i="15"/>
  <c r="AH284" i="15" s="1"/>
  <c r="AI286" i="15"/>
  <c r="AH286" i="15" s="1"/>
  <c r="AI288" i="15"/>
  <c r="AH288" i="15" s="1"/>
  <c r="AG288" i="15" s="1"/>
  <c r="AF288" i="15" s="1"/>
  <c r="AI290" i="15"/>
  <c r="AH290" i="15" s="1"/>
  <c r="AG290" i="15" s="1"/>
  <c r="AF290" i="15" s="1"/>
  <c r="AI292" i="15"/>
  <c r="AH292" i="15" s="1"/>
  <c r="AI294" i="15"/>
  <c r="AH294" i="15" s="1"/>
  <c r="AG294" i="15" s="1"/>
  <c r="AF294" i="15" s="1"/>
  <c r="AI296" i="15"/>
  <c r="AH296" i="15" s="1"/>
  <c r="AI298" i="15"/>
  <c r="AH298" i="15" s="1"/>
  <c r="AI300" i="15"/>
  <c r="AH300" i="15" s="1"/>
  <c r="AI302" i="15"/>
  <c r="AH302" i="15" s="1"/>
  <c r="AI304" i="15"/>
  <c r="AH304" i="15" s="1"/>
  <c r="AI306" i="15"/>
  <c r="AH306" i="15" s="1"/>
  <c r="AI308" i="15"/>
  <c r="AH308" i="15" s="1"/>
  <c r="AI310" i="15"/>
  <c r="AH310" i="15" s="1"/>
  <c r="AG310" i="15" s="1"/>
  <c r="AF310" i="15" s="1"/>
  <c r="AI312" i="15"/>
  <c r="AH312" i="15" s="1"/>
  <c r="AI314" i="15"/>
  <c r="AH314" i="15" s="1"/>
  <c r="AI316" i="15"/>
  <c r="AH316" i="15" s="1"/>
  <c r="AG316" i="15" s="1"/>
  <c r="AF316" i="15" s="1"/>
  <c r="AI318" i="15"/>
  <c r="AH318" i="15" s="1"/>
  <c r="AG318" i="15" s="1"/>
  <c r="AF318" i="15" s="1"/>
  <c r="AI320" i="15"/>
  <c r="AH320" i="15" s="1"/>
  <c r="AI322" i="15"/>
  <c r="AH322" i="15" s="1"/>
  <c r="AG322" i="15" s="1"/>
  <c r="AF322" i="15" s="1"/>
  <c r="AI324" i="15"/>
  <c r="AH324" i="15" s="1"/>
  <c r="AG324" i="15" s="1"/>
  <c r="AF324" i="15" s="1"/>
  <c r="AI326" i="15"/>
  <c r="AH326" i="15" s="1"/>
  <c r="AI328" i="15"/>
  <c r="AH328" i="15" s="1"/>
  <c r="AI330" i="15"/>
  <c r="AH330" i="15" s="1"/>
  <c r="AI332" i="15"/>
  <c r="AH332" i="15" s="1"/>
  <c r="AI334" i="15"/>
  <c r="AH334" i="15" s="1"/>
  <c r="AI336" i="15"/>
  <c r="AH336" i="15" s="1"/>
  <c r="AG336" i="15" s="1"/>
  <c r="AF336" i="15" s="1"/>
  <c r="AI338" i="15"/>
  <c r="AH338" i="15" s="1"/>
  <c r="AI340" i="15"/>
  <c r="AH340" i="15" s="1"/>
  <c r="AG340" i="15" s="1"/>
  <c r="AF340" i="15" s="1"/>
  <c r="AI342" i="15"/>
  <c r="AH342" i="15" s="1"/>
  <c r="AG342" i="15" s="1"/>
  <c r="AF342" i="15" s="1"/>
  <c r="AI344" i="15"/>
  <c r="AH344" i="15" s="1"/>
  <c r="AG344" i="15" s="1"/>
  <c r="AF344" i="15" s="1"/>
  <c r="AI346" i="15"/>
  <c r="AH346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3" i="15"/>
  <c r="AH343" i="15" s="1"/>
  <c r="AI339" i="15"/>
  <c r="AH339" i="15" s="1"/>
  <c r="AI335" i="15"/>
  <c r="AH335" i="15" s="1"/>
  <c r="AI331" i="15"/>
  <c r="AH331" i="15" s="1"/>
  <c r="AI327" i="15"/>
  <c r="AH327" i="15" s="1"/>
  <c r="AI323" i="15"/>
  <c r="AH323" i="15" s="1"/>
  <c r="AI319" i="15"/>
  <c r="AH319" i="15" s="1"/>
  <c r="AI315" i="15"/>
  <c r="AH315" i="15" s="1"/>
  <c r="AG315" i="15" s="1"/>
  <c r="AF315" i="15" s="1"/>
  <c r="AI311" i="15"/>
  <c r="AH311" i="15" s="1"/>
  <c r="AG311" i="15" s="1"/>
  <c r="AF311" i="15" s="1"/>
  <c r="AI307" i="15"/>
  <c r="AH307" i="15" s="1"/>
  <c r="AG307" i="15" s="1"/>
  <c r="AF307" i="15" s="1"/>
  <c r="AI303" i="15"/>
  <c r="AH303" i="15" s="1"/>
  <c r="AG303" i="15" s="1"/>
  <c r="AF303" i="15" s="1"/>
  <c r="AI299" i="15"/>
  <c r="AH299" i="15" s="1"/>
  <c r="AG299" i="15" s="1"/>
  <c r="AF299" i="15" s="1"/>
  <c r="AI295" i="15"/>
  <c r="AH295" i="15" s="1"/>
  <c r="AI291" i="15"/>
  <c r="AH291" i="15" s="1"/>
  <c r="AG291" i="15" s="1"/>
  <c r="AF291" i="15" s="1"/>
  <c r="AI287" i="15"/>
  <c r="AH287" i="15" s="1"/>
  <c r="AI283" i="15"/>
  <c r="AH283" i="15" s="1"/>
  <c r="AG283" i="15" s="1"/>
  <c r="AF283" i="15" s="1"/>
  <c r="AI279" i="15"/>
  <c r="AH279" i="15" s="1"/>
  <c r="AG279" i="15" s="1"/>
  <c r="AF279" i="15" s="1"/>
  <c r="AI275" i="15"/>
  <c r="AH275" i="15" s="1"/>
  <c r="AI271" i="15"/>
  <c r="AH271" i="15" s="1"/>
  <c r="AG271" i="15" s="1"/>
  <c r="AF271" i="15" s="1"/>
  <c r="AI267" i="15"/>
  <c r="AH267" i="15" s="1"/>
  <c r="AG267" i="15" s="1"/>
  <c r="AF267" i="15" s="1"/>
  <c r="AI263" i="15"/>
  <c r="AH263" i="15" s="1"/>
  <c r="AG263" i="15" s="1"/>
  <c r="AF263" i="15" s="1"/>
  <c r="AI259" i="15"/>
  <c r="AH259" i="15" s="1"/>
  <c r="AG259" i="15" s="1"/>
  <c r="AF259" i="15" s="1"/>
  <c r="AI255" i="15"/>
  <c r="AH255" i="15" s="1"/>
  <c r="AG255" i="15" s="1"/>
  <c r="AF255" i="15" s="1"/>
  <c r="AI251" i="15"/>
  <c r="AH251" i="15" s="1"/>
  <c r="AG251" i="15" s="1"/>
  <c r="AF251" i="15" s="1"/>
  <c r="AI247" i="15"/>
  <c r="AH247" i="15" s="1"/>
  <c r="AI243" i="15"/>
  <c r="AH243" i="15" s="1"/>
  <c r="AI239" i="15"/>
  <c r="AH239" i="15" s="1"/>
  <c r="AG239" i="15" s="1"/>
  <c r="AF239" i="15" s="1"/>
  <c r="AI235" i="15"/>
  <c r="AH235" i="15" s="1"/>
  <c r="AG235" i="15" s="1"/>
  <c r="AF235" i="15" s="1"/>
  <c r="AI231" i="15"/>
  <c r="AH231" i="15" s="1"/>
  <c r="AG231" i="15" s="1"/>
  <c r="AF231" i="15" s="1"/>
  <c r="AI227" i="15"/>
  <c r="AH227" i="15" s="1"/>
  <c r="AG227" i="15" s="1"/>
  <c r="AF227" i="15" s="1"/>
  <c r="AI223" i="15"/>
  <c r="AH223" i="15" s="1"/>
  <c r="AI219" i="15"/>
  <c r="AH219" i="15" s="1"/>
  <c r="AG219" i="15" s="1"/>
  <c r="AF219" i="15" s="1"/>
  <c r="AI215" i="15"/>
  <c r="AH215" i="15" s="1"/>
  <c r="AG215" i="15" s="1"/>
  <c r="AF215" i="15" s="1"/>
  <c r="AI211" i="15"/>
  <c r="AH211" i="15" s="1"/>
  <c r="AG211" i="15" s="1"/>
  <c r="AF211" i="15" s="1"/>
  <c r="AI207" i="15"/>
  <c r="AH207" i="15" s="1"/>
  <c r="AG207" i="15" s="1"/>
  <c r="AF207" i="15" s="1"/>
  <c r="AI203" i="15"/>
  <c r="AH203" i="15" s="1"/>
  <c r="AI199" i="15"/>
  <c r="AH199" i="15" s="1"/>
  <c r="AG199" i="15" s="1"/>
  <c r="AF199" i="15" s="1"/>
  <c r="AI195" i="15"/>
  <c r="AH195" i="15" s="1"/>
  <c r="AG195" i="15" s="1"/>
  <c r="AF195" i="15" s="1"/>
  <c r="AI191" i="15"/>
  <c r="AH191" i="15" s="1"/>
  <c r="AI187" i="15"/>
  <c r="AH187" i="15" s="1"/>
  <c r="AG187" i="15" s="1"/>
  <c r="AF187" i="15" s="1"/>
  <c r="AI183" i="15"/>
  <c r="AH183" i="15" s="1"/>
  <c r="AG183" i="15" s="1"/>
  <c r="AF183" i="15" s="1"/>
  <c r="AI179" i="15"/>
  <c r="AH179" i="15" s="1"/>
  <c r="AI175" i="15"/>
  <c r="AH175" i="15" s="1"/>
  <c r="AG175" i="15" s="1"/>
  <c r="AF175" i="15" s="1"/>
  <c r="AI171" i="15"/>
  <c r="AH171" i="15" s="1"/>
  <c r="AG171" i="15" s="1"/>
  <c r="AF171" i="15" s="1"/>
  <c r="AI167" i="15"/>
  <c r="AH167" i="15" s="1"/>
  <c r="AI163" i="15"/>
  <c r="AH163" i="15" s="1"/>
  <c r="AG163" i="15" s="1"/>
  <c r="AF163" i="15" s="1"/>
  <c r="AI159" i="15"/>
  <c r="AH159" i="15" s="1"/>
  <c r="AI155" i="15"/>
  <c r="AH155" i="15" s="1"/>
  <c r="AI151" i="15"/>
  <c r="AH151" i="15" s="1"/>
  <c r="AI147" i="15"/>
  <c r="AH147" i="15" s="1"/>
  <c r="AI143" i="15"/>
  <c r="AH143" i="15" s="1"/>
  <c r="AG143" i="15" s="1"/>
  <c r="AF143" i="15" s="1"/>
  <c r="AI139" i="15"/>
  <c r="AH139" i="15" s="1"/>
  <c r="AG139" i="15" s="1"/>
  <c r="AF139" i="15" s="1"/>
  <c r="AI135" i="15"/>
  <c r="AH135" i="15" s="1"/>
  <c r="AG135" i="15" s="1"/>
  <c r="AF135" i="15" s="1"/>
  <c r="AI131" i="15"/>
  <c r="AH131" i="15" s="1"/>
  <c r="AI127" i="15"/>
  <c r="AH127" i="15" s="1"/>
  <c r="AI123" i="15"/>
  <c r="AH123" i="15" s="1"/>
  <c r="AG123" i="15" s="1"/>
  <c r="AF123" i="15" s="1"/>
  <c r="AI119" i="15"/>
  <c r="AH119" i="15" s="1"/>
  <c r="AG119" i="15" s="1"/>
  <c r="AF119" i="15" s="1"/>
  <c r="AI115" i="15"/>
  <c r="AH115" i="15" s="1"/>
  <c r="AI111" i="15"/>
  <c r="AH111" i="15" s="1"/>
  <c r="AI107" i="15"/>
  <c r="AH107" i="15" s="1"/>
  <c r="AI103" i="15"/>
  <c r="AH103" i="15" s="1"/>
  <c r="AG103" i="15" s="1"/>
  <c r="AF103" i="15" s="1"/>
  <c r="AI99" i="15"/>
  <c r="AH99" i="15" s="1"/>
  <c r="AI95" i="15"/>
  <c r="AH95" i="15" s="1"/>
  <c r="AG95" i="15" s="1"/>
  <c r="AF95" i="15" s="1"/>
  <c r="AI91" i="15"/>
  <c r="AH91" i="15" s="1"/>
  <c r="AI87" i="15"/>
  <c r="AH87" i="15" s="1"/>
  <c r="AI83" i="15"/>
  <c r="AH83" i="15" s="1"/>
  <c r="AI79" i="15"/>
  <c r="AH79" i="15" s="1"/>
  <c r="AG79" i="15" s="1"/>
  <c r="AF79" i="15" s="1"/>
  <c r="AI75" i="15"/>
  <c r="AH75" i="15" s="1"/>
  <c r="AI71" i="15"/>
  <c r="AH71" i="15" s="1"/>
  <c r="AG71" i="15" s="1"/>
  <c r="AF71" i="15" s="1"/>
  <c r="AI67" i="15"/>
  <c r="AH67" i="15" s="1"/>
  <c r="AG67" i="15" s="1"/>
  <c r="AF67" i="15" s="1"/>
  <c r="AI63" i="15"/>
  <c r="AH63" i="15" s="1"/>
  <c r="AI59" i="15"/>
  <c r="AH59" i="15" s="1"/>
  <c r="AG59" i="15" s="1"/>
  <c r="AF59" i="15" s="1"/>
  <c r="AI55" i="15"/>
  <c r="AH55" i="15" s="1"/>
  <c r="AI51" i="15"/>
  <c r="AH51" i="15" s="1"/>
  <c r="AI47" i="15"/>
  <c r="AH47" i="15" s="1"/>
  <c r="AG47" i="15" s="1"/>
  <c r="AF47" i="15" s="1"/>
  <c r="AI43" i="15"/>
  <c r="AH43" i="15" s="1"/>
  <c r="AG43" i="15" s="1"/>
  <c r="AF43" i="15" s="1"/>
  <c r="AI39" i="15"/>
  <c r="AH39" i="15" s="1"/>
  <c r="AI35" i="15"/>
  <c r="AH35" i="15" s="1"/>
  <c r="AG35" i="15" s="1"/>
  <c r="AF35" i="15" s="1"/>
  <c r="AI31" i="15"/>
  <c r="AH31" i="15" s="1"/>
  <c r="AG31" i="15" s="1"/>
  <c r="AF31" i="15" s="1"/>
  <c r="AI19" i="15"/>
  <c r="AH19" i="15" s="1"/>
  <c r="AI17" i="15"/>
  <c r="AH17" i="15" s="1"/>
  <c r="AI23" i="15"/>
  <c r="AH23" i="15" s="1"/>
  <c r="AI22" i="15"/>
  <c r="AH22" i="15" s="1"/>
  <c r="AG22" i="15" s="1"/>
  <c r="AF22" i="15" s="1"/>
  <c r="U378" i="15"/>
  <c r="T378" i="15" s="1"/>
  <c r="S378" i="15" s="1"/>
  <c r="R378" i="15" s="1"/>
  <c r="U374" i="15"/>
  <c r="T374" i="15" s="1"/>
  <c r="S374" i="15" s="1"/>
  <c r="R374" i="15" s="1"/>
  <c r="U370" i="15"/>
  <c r="T370" i="15" s="1"/>
  <c r="S370" i="15" s="1"/>
  <c r="R370" i="15" s="1"/>
  <c r="U366" i="15"/>
  <c r="T366" i="15" s="1"/>
  <c r="S366" i="15" s="1"/>
  <c r="R366" i="15" s="1"/>
  <c r="U362" i="15"/>
  <c r="T362" i="15" s="1"/>
  <c r="S362" i="15" s="1"/>
  <c r="R362" i="15" s="1"/>
  <c r="U358" i="15"/>
  <c r="T358" i="15" s="1"/>
  <c r="S358" i="15" s="1"/>
  <c r="R358" i="15" s="1"/>
  <c r="U354" i="15"/>
  <c r="T354" i="15" s="1"/>
  <c r="S354" i="15" s="1"/>
  <c r="R354" i="15" s="1"/>
  <c r="U350" i="15"/>
  <c r="T350" i="15" s="1"/>
  <c r="S350" i="15" s="1"/>
  <c r="R350" i="15" s="1"/>
  <c r="U346" i="15"/>
  <c r="T346" i="15" s="1"/>
  <c r="S346" i="15" s="1"/>
  <c r="R346" i="15" s="1"/>
  <c r="U342" i="15"/>
  <c r="T342" i="15" s="1"/>
  <c r="S342" i="15" s="1"/>
  <c r="R342" i="15" s="1"/>
  <c r="U338" i="15"/>
  <c r="T338" i="15" s="1"/>
  <c r="S338" i="15" s="1"/>
  <c r="R338" i="15" s="1"/>
  <c r="U334" i="15"/>
  <c r="T334" i="15" s="1"/>
  <c r="S334" i="15" s="1"/>
  <c r="R334" i="15" s="1"/>
  <c r="U330" i="15"/>
  <c r="T330" i="15" s="1"/>
  <c r="S330" i="15" s="1"/>
  <c r="R330" i="15" s="1"/>
  <c r="U326" i="15"/>
  <c r="T326" i="15" s="1"/>
  <c r="S326" i="15" s="1"/>
  <c r="R326" i="15" s="1"/>
  <c r="U322" i="15"/>
  <c r="T322" i="15" s="1"/>
  <c r="S322" i="15" s="1"/>
  <c r="R322" i="15" s="1"/>
  <c r="U318" i="15"/>
  <c r="T318" i="15" s="1"/>
  <c r="S318" i="15" s="1"/>
  <c r="R318" i="15" s="1"/>
  <c r="U314" i="15"/>
  <c r="T314" i="15" s="1"/>
  <c r="S314" i="15" s="1"/>
  <c r="R314" i="15" s="1"/>
  <c r="U310" i="15"/>
  <c r="T310" i="15" s="1"/>
  <c r="S310" i="15" s="1"/>
  <c r="R310" i="15" s="1"/>
  <c r="U306" i="15"/>
  <c r="T306" i="15" s="1"/>
  <c r="S306" i="15" s="1"/>
  <c r="R306" i="15" s="1"/>
  <c r="U302" i="15"/>
  <c r="T302" i="15" s="1"/>
  <c r="S302" i="15" s="1"/>
  <c r="R302" i="15" s="1"/>
  <c r="U298" i="15"/>
  <c r="T298" i="15" s="1"/>
  <c r="S298" i="15" s="1"/>
  <c r="R298" i="15" s="1"/>
  <c r="U294" i="15"/>
  <c r="T294" i="15" s="1"/>
  <c r="S294" i="15" s="1"/>
  <c r="R294" i="15" s="1"/>
  <c r="U290" i="15"/>
  <c r="T290" i="15" s="1"/>
  <c r="S290" i="15" s="1"/>
  <c r="R290" i="15" s="1"/>
  <c r="U286" i="15"/>
  <c r="T286" i="15" s="1"/>
  <c r="S286" i="15" s="1"/>
  <c r="R286" i="15" s="1"/>
  <c r="U282" i="15"/>
  <c r="T282" i="15" s="1"/>
  <c r="S282" i="15" s="1"/>
  <c r="R282" i="15" s="1"/>
  <c r="U278" i="15"/>
  <c r="T278" i="15" s="1"/>
  <c r="S278" i="15" s="1"/>
  <c r="R278" i="15" s="1"/>
  <c r="U274" i="15"/>
  <c r="T274" i="15" s="1"/>
  <c r="S274" i="15" s="1"/>
  <c r="R274" i="15" s="1"/>
  <c r="U270" i="15"/>
  <c r="T270" i="15" s="1"/>
  <c r="S270" i="15" s="1"/>
  <c r="R270" i="15" s="1"/>
  <c r="U266" i="15"/>
  <c r="T266" i="15" s="1"/>
  <c r="S266" i="15" s="1"/>
  <c r="R266" i="15" s="1"/>
  <c r="U262" i="15"/>
  <c r="T262" i="15" s="1"/>
  <c r="S262" i="15" s="1"/>
  <c r="R262" i="15" s="1"/>
  <c r="U258" i="15"/>
  <c r="T258" i="15" s="1"/>
  <c r="S258" i="15" s="1"/>
  <c r="R258" i="15" s="1"/>
  <c r="U254" i="15"/>
  <c r="T254" i="15" s="1"/>
  <c r="S254" i="15" s="1"/>
  <c r="R254" i="15" s="1"/>
  <c r="U250" i="15"/>
  <c r="T250" i="15" s="1"/>
  <c r="S250" i="15" s="1"/>
  <c r="R250" i="15" s="1"/>
  <c r="U246" i="15"/>
  <c r="T246" i="15" s="1"/>
  <c r="S246" i="15" s="1"/>
  <c r="R246" i="15" s="1"/>
  <c r="U242" i="15"/>
  <c r="T242" i="15" s="1"/>
  <c r="S242" i="15" s="1"/>
  <c r="R242" i="15" s="1"/>
  <c r="U238" i="15"/>
  <c r="T238" i="15" s="1"/>
  <c r="S238" i="15" s="1"/>
  <c r="R238" i="15" s="1"/>
  <c r="U234" i="15"/>
  <c r="T234" i="15" s="1"/>
  <c r="S234" i="15" s="1"/>
  <c r="R234" i="15" s="1"/>
  <c r="U230" i="15"/>
  <c r="T230" i="15" s="1"/>
  <c r="S230" i="15" s="1"/>
  <c r="R230" i="15" s="1"/>
  <c r="U226" i="15"/>
  <c r="T226" i="15" s="1"/>
  <c r="S226" i="15" s="1"/>
  <c r="R226" i="15" s="1"/>
  <c r="U222" i="15"/>
  <c r="T222" i="15" s="1"/>
  <c r="S222" i="15" s="1"/>
  <c r="R222" i="15" s="1"/>
  <c r="U218" i="15"/>
  <c r="T218" i="15" s="1"/>
  <c r="S218" i="15" s="1"/>
  <c r="R218" i="15" s="1"/>
  <c r="U214" i="15"/>
  <c r="T214" i="15" s="1"/>
  <c r="S214" i="15" s="1"/>
  <c r="R214" i="15" s="1"/>
  <c r="U210" i="15"/>
  <c r="T210" i="15" s="1"/>
  <c r="S210" i="15" s="1"/>
  <c r="R210" i="15" s="1"/>
  <c r="U206" i="15"/>
  <c r="T206" i="15" s="1"/>
  <c r="S206" i="15" s="1"/>
  <c r="R206" i="15" s="1"/>
  <c r="U202" i="15"/>
  <c r="T202" i="15" s="1"/>
  <c r="S202" i="15" s="1"/>
  <c r="R202" i="15" s="1"/>
  <c r="U196" i="15"/>
  <c r="T196" i="15" s="1"/>
  <c r="S196" i="15" s="1"/>
  <c r="R196" i="15" s="1"/>
  <c r="U188" i="15"/>
  <c r="T188" i="15" s="1"/>
  <c r="S188" i="15" s="1"/>
  <c r="R188" i="15" s="1"/>
  <c r="U180" i="15"/>
  <c r="T180" i="15" s="1"/>
  <c r="S180" i="15" s="1"/>
  <c r="R180" i="15" s="1"/>
  <c r="U172" i="15"/>
  <c r="T172" i="15" s="1"/>
  <c r="S172" i="15" s="1"/>
  <c r="R172" i="15" s="1"/>
  <c r="U164" i="15"/>
  <c r="T164" i="15" s="1"/>
  <c r="S164" i="15" s="1"/>
  <c r="R164" i="15" s="1"/>
  <c r="U156" i="15"/>
  <c r="T156" i="15" s="1"/>
  <c r="S156" i="15" s="1"/>
  <c r="R156" i="15" s="1"/>
  <c r="U148" i="15"/>
  <c r="T148" i="15" s="1"/>
  <c r="S148" i="15" s="1"/>
  <c r="R148" i="15" s="1"/>
  <c r="U140" i="15"/>
  <c r="T140" i="15" s="1"/>
  <c r="S140" i="15" s="1"/>
  <c r="R140" i="15" s="1"/>
  <c r="U132" i="15"/>
  <c r="T132" i="15" s="1"/>
  <c r="S132" i="15" s="1"/>
  <c r="R132" i="15" s="1"/>
  <c r="U124" i="15"/>
  <c r="T124" i="15" s="1"/>
  <c r="S124" i="15" s="1"/>
  <c r="R124" i="15" s="1"/>
  <c r="U116" i="15"/>
  <c r="T116" i="15" s="1"/>
  <c r="S116" i="15" s="1"/>
  <c r="R116" i="15" s="1"/>
  <c r="U108" i="15"/>
  <c r="T108" i="15" s="1"/>
  <c r="S108" i="15" s="1"/>
  <c r="R108" i="15" s="1"/>
  <c r="U100" i="15"/>
  <c r="T100" i="15" s="1"/>
  <c r="S100" i="15" s="1"/>
  <c r="R100" i="15" s="1"/>
  <c r="U92" i="15"/>
  <c r="T92" i="15" s="1"/>
  <c r="S92" i="15" s="1"/>
  <c r="R92" i="15" s="1"/>
  <c r="U84" i="15"/>
  <c r="T84" i="15" s="1"/>
  <c r="S84" i="15" s="1"/>
  <c r="R84" i="15" s="1"/>
  <c r="U76" i="15"/>
  <c r="T76" i="15" s="1"/>
  <c r="S76" i="15" s="1"/>
  <c r="R76" i="15" s="1"/>
  <c r="U68" i="15"/>
  <c r="T68" i="15" s="1"/>
  <c r="S68" i="15" s="1"/>
  <c r="R68" i="15" s="1"/>
  <c r="U60" i="15"/>
  <c r="T60" i="15" s="1"/>
  <c r="S60" i="15" s="1"/>
  <c r="R60" i="15" s="1"/>
  <c r="U52" i="15"/>
  <c r="T52" i="15" s="1"/>
  <c r="S52" i="15" s="1"/>
  <c r="R52" i="15" s="1"/>
  <c r="U44" i="15"/>
  <c r="T44" i="15" s="1"/>
  <c r="S44" i="15" s="1"/>
  <c r="R44" i="15" s="1"/>
  <c r="U36" i="15"/>
  <c r="T36" i="15" s="1"/>
  <c r="S36" i="15" s="1"/>
  <c r="R36" i="15" s="1"/>
  <c r="U28" i="15"/>
  <c r="T28" i="15" s="1"/>
  <c r="S28" i="15" s="1"/>
  <c r="R28" i="15" s="1"/>
  <c r="U18" i="15"/>
  <c r="T18" i="15" s="1"/>
  <c r="S18" i="15" s="1"/>
  <c r="R18" i="15" s="1"/>
  <c r="Q374" i="15"/>
  <c r="Q366" i="15"/>
  <c r="Q358" i="15"/>
  <c r="Q350" i="15"/>
  <c r="Q342" i="15"/>
  <c r="Q334" i="15"/>
  <c r="Q326" i="15"/>
  <c r="Q318" i="15"/>
  <c r="Q309" i="15"/>
  <c r="Q293" i="15"/>
  <c r="Q277" i="15"/>
  <c r="Q261" i="15"/>
  <c r="Q245" i="15"/>
  <c r="Q229" i="15"/>
  <c r="Q213" i="15"/>
  <c r="Q183" i="15"/>
  <c r="Q151" i="15"/>
  <c r="Q119" i="15"/>
  <c r="Q85" i="15"/>
  <c r="Q87" i="15"/>
  <c r="Q83" i="15"/>
  <c r="Q79" i="15"/>
  <c r="Q75" i="15"/>
  <c r="Q71" i="15"/>
  <c r="Q67" i="15"/>
  <c r="Q61" i="15"/>
  <c r="Q45" i="15"/>
  <c r="Q29" i="15"/>
  <c r="Q210" i="15"/>
  <c r="P210" i="15" s="1"/>
  <c r="Q208" i="15"/>
  <c r="Q206" i="15"/>
  <c r="Q204" i="15"/>
  <c r="Q202" i="15"/>
  <c r="P202" i="15" s="1"/>
  <c r="V202" i="15" s="1"/>
  <c r="F202" i="15" s="1"/>
  <c r="Q200" i="15"/>
  <c r="P200" i="15" s="1"/>
  <c r="V200" i="15" s="1"/>
  <c r="F200" i="15" s="1"/>
  <c r="Q198" i="15"/>
  <c r="Q196" i="15"/>
  <c r="P196" i="15" s="1"/>
  <c r="V196" i="15" s="1"/>
  <c r="F196" i="15" s="1"/>
  <c r="Q194" i="15"/>
  <c r="Q192" i="15"/>
  <c r="Q190" i="15"/>
  <c r="Q188" i="15"/>
  <c r="Q186" i="15"/>
  <c r="Q184" i="15"/>
  <c r="P184" i="15" s="1"/>
  <c r="V184" i="15" s="1"/>
  <c r="F184" i="15" s="1"/>
  <c r="Q182" i="15"/>
  <c r="Q180" i="15"/>
  <c r="P180" i="15" s="1"/>
  <c r="Q178" i="15"/>
  <c r="Q176" i="15"/>
  <c r="Q174" i="15"/>
  <c r="Q172" i="15"/>
  <c r="Q170" i="15"/>
  <c r="Q168" i="15"/>
  <c r="Q166" i="15"/>
  <c r="Q164" i="15"/>
  <c r="P164" i="15" s="1"/>
  <c r="V164" i="15" s="1"/>
  <c r="F164" i="15" s="1"/>
  <c r="Q162" i="15"/>
  <c r="Q160" i="15"/>
  <c r="Q158" i="15"/>
  <c r="Q156" i="15"/>
  <c r="Q154" i="15"/>
  <c r="Q152" i="15"/>
  <c r="Q150" i="15"/>
  <c r="Q148" i="15"/>
  <c r="P148" i="15" s="1"/>
  <c r="V148" i="15" s="1"/>
  <c r="F148" i="15" s="1"/>
  <c r="Q146" i="15"/>
  <c r="Q144" i="15"/>
  <c r="Q142" i="15"/>
  <c r="Q140" i="15"/>
  <c r="Q138" i="15"/>
  <c r="Q136" i="15"/>
  <c r="Q134" i="15"/>
  <c r="Q132" i="15"/>
  <c r="P132" i="15" s="1"/>
  <c r="V132" i="15" s="1"/>
  <c r="F132" i="15" s="1"/>
  <c r="Q130" i="15"/>
  <c r="Q128" i="15"/>
  <c r="Q126" i="15"/>
  <c r="Q124" i="15"/>
  <c r="Q122" i="15"/>
  <c r="Q120" i="15"/>
  <c r="P120" i="15" s="1"/>
  <c r="V120" i="15" s="1"/>
  <c r="F120" i="15" s="1"/>
  <c r="Q118" i="15"/>
  <c r="Q116" i="15"/>
  <c r="P116" i="15" s="1"/>
  <c r="V116" i="15" s="1"/>
  <c r="F116" i="15" s="1"/>
  <c r="Q114" i="15"/>
  <c r="Q112" i="15"/>
  <c r="Q110" i="15"/>
  <c r="Q108" i="15"/>
  <c r="Q106" i="15"/>
  <c r="Q104" i="15"/>
  <c r="P104" i="15" s="1"/>
  <c r="V104" i="15" s="1"/>
  <c r="F104" i="15" s="1"/>
  <c r="Q102" i="15"/>
  <c r="Q100" i="15"/>
  <c r="Q98" i="15"/>
  <c r="Q96" i="15"/>
  <c r="Q94" i="15"/>
  <c r="Q92" i="15"/>
  <c r="Q90" i="15"/>
  <c r="Q88" i="15"/>
  <c r="Q86" i="15"/>
  <c r="Q84" i="15"/>
  <c r="P84" i="15" s="1"/>
  <c r="V84" i="15" s="1"/>
  <c r="F84" i="15" s="1"/>
  <c r="Q82" i="15"/>
  <c r="Q80" i="15"/>
  <c r="Q78" i="15"/>
  <c r="Q76" i="15"/>
  <c r="Q74" i="15"/>
  <c r="Q72" i="15"/>
  <c r="Q70" i="15"/>
  <c r="Q68" i="15"/>
  <c r="P68" i="15" s="1"/>
  <c r="V68" i="15" s="1"/>
  <c r="F68" i="15" s="1"/>
  <c r="Q66" i="15"/>
  <c r="Q63" i="15"/>
  <c r="Q57" i="15"/>
  <c r="Q49" i="15"/>
  <c r="Q41" i="15"/>
  <c r="Q33" i="15"/>
  <c r="Q25" i="15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E379" i="16"/>
  <c r="AG258" i="15"/>
  <c r="AF258" i="15" s="1"/>
  <c r="AB378" i="20"/>
  <c r="X378" i="20"/>
  <c r="AK378" i="20"/>
  <c r="K378" i="20"/>
  <c r="A379" i="20"/>
  <c r="L378" i="20"/>
  <c r="AJ378" i="20"/>
  <c r="O378" i="20"/>
  <c r="AC378" i="20"/>
  <c r="AM5" i="17"/>
  <c r="AK6" i="17"/>
  <c r="AK5" i="17"/>
  <c r="AK7" i="17"/>
  <c r="AK11" i="17" s="1"/>
  <c r="AM9" i="17"/>
  <c r="AK9" i="17"/>
  <c r="AM7" i="17"/>
  <c r="AM11" i="17" s="1"/>
  <c r="AJ5" i="17"/>
  <c r="AJ6" i="17"/>
  <c r="D379" i="17"/>
  <c r="AJ8" i="17" s="1"/>
  <c r="L382" i="17"/>
  <c r="L381" i="17"/>
  <c r="L383" i="17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G289" i="15"/>
  <c r="AF289" i="15" s="1"/>
  <c r="AG249" i="15"/>
  <c r="AF249" i="15" s="1"/>
  <c r="AG153" i="15"/>
  <c r="AF153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276" i="15"/>
  <c r="R276" i="15" s="1"/>
  <c r="S56" i="15"/>
  <c r="R56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19" i="15" l="1"/>
  <c r="V19" i="15" s="1"/>
  <c r="F19" i="15" s="1"/>
  <c r="H19" i="15" s="1"/>
  <c r="P24" i="15"/>
  <c r="V24" i="15" s="1"/>
  <c r="F24" i="15" s="1"/>
  <c r="P22" i="15"/>
  <c r="V22" i="15" s="1"/>
  <c r="F22" i="15" s="1"/>
  <c r="P26" i="15"/>
  <c r="P42" i="15"/>
  <c r="V42" i="15" s="1"/>
  <c r="F42" i="15" s="1"/>
  <c r="P50" i="15"/>
  <c r="V50" i="15" s="1"/>
  <c r="F50" i="15" s="1"/>
  <c r="P58" i="15"/>
  <c r="AD135" i="15"/>
  <c r="P31" i="15"/>
  <c r="V31" i="15" s="1"/>
  <c r="F31" i="15" s="1"/>
  <c r="H31" i="15" s="1"/>
  <c r="P47" i="15"/>
  <c r="V47" i="15" s="1"/>
  <c r="F47" i="15" s="1"/>
  <c r="G47" i="15" s="1"/>
  <c r="BX47" i="6" s="1"/>
  <c r="P55" i="15"/>
  <c r="V55" i="15" s="1"/>
  <c r="F55" i="15" s="1"/>
  <c r="H55" i="15" s="1"/>
  <c r="P67" i="15"/>
  <c r="V67" i="15" s="1"/>
  <c r="F67" i="15" s="1"/>
  <c r="G67" i="15" s="1"/>
  <c r="BX67" i="6" s="1"/>
  <c r="P83" i="15"/>
  <c r="V83" i="15" s="1"/>
  <c r="F83" i="15" s="1"/>
  <c r="G83" i="15" s="1"/>
  <c r="BX83" i="6" s="1"/>
  <c r="P218" i="15"/>
  <c r="V218" i="15" s="1"/>
  <c r="F218" i="15" s="1"/>
  <c r="G218" i="15" s="1"/>
  <c r="BX218" i="6" s="1"/>
  <c r="P226" i="15"/>
  <c r="V226" i="15" s="1"/>
  <c r="F226" i="15" s="1"/>
  <c r="H226" i="15" s="1"/>
  <c r="P234" i="15"/>
  <c r="V234" i="15" s="1"/>
  <c r="F234" i="15" s="1"/>
  <c r="G234" i="15" s="1"/>
  <c r="BX234" i="6" s="1"/>
  <c r="P242" i="15"/>
  <c r="V242" i="15" s="1"/>
  <c r="F242" i="15" s="1"/>
  <c r="H242" i="15" s="1"/>
  <c r="P250" i="15"/>
  <c r="V250" i="15" s="1"/>
  <c r="F250" i="15" s="1"/>
  <c r="G250" i="15" s="1"/>
  <c r="BX250" i="6" s="1"/>
  <c r="P258" i="15"/>
  <c r="V258" i="15" s="1"/>
  <c r="F258" i="15" s="1"/>
  <c r="G258" i="15" s="1"/>
  <c r="BX258" i="6" s="1"/>
  <c r="P266" i="15"/>
  <c r="V266" i="15" s="1"/>
  <c r="F266" i="15" s="1"/>
  <c r="G266" i="15" s="1"/>
  <c r="BX266" i="6" s="1"/>
  <c r="P274" i="15"/>
  <c r="V274" i="15" s="1"/>
  <c r="F274" i="15" s="1"/>
  <c r="H274" i="15" s="1"/>
  <c r="P282" i="15"/>
  <c r="V282" i="15" s="1"/>
  <c r="F282" i="15" s="1"/>
  <c r="H282" i="15" s="1"/>
  <c r="P290" i="15"/>
  <c r="V290" i="15" s="1"/>
  <c r="F290" i="15" s="1"/>
  <c r="H290" i="15" s="1"/>
  <c r="P306" i="15"/>
  <c r="V306" i="15" s="1"/>
  <c r="F306" i="15" s="1"/>
  <c r="G306" i="15" s="1"/>
  <c r="BX306" i="6" s="1"/>
  <c r="P322" i="15"/>
  <c r="V322" i="15" s="1"/>
  <c r="F322" i="15" s="1"/>
  <c r="H322" i="15" s="1"/>
  <c r="P330" i="15"/>
  <c r="V330" i="15" s="1"/>
  <c r="F330" i="15" s="1"/>
  <c r="H330" i="15" s="1"/>
  <c r="P338" i="15"/>
  <c r="V338" i="15" s="1"/>
  <c r="F338" i="15" s="1"/>
  <c r="H338" i="15" s="1"/>
  <c r="P360" i="15"/>
  <c r="V360" i="15" s="1"/>
  <c r="F360" i="15" s="1"/>
  <c r="G360" i="15" s="1"/>
  <c r="BX360" i="6" s="1"/>
  <c r="P352" i="15"/>
  <c r="V352" i="15" s="1"/>
  <c r="F352" i="15" s="1"/>
  <c r="H352" i="15" s="1"/>
  <c r="P344" i="15"/>
  <c r="V344" i="15" s="1"/>
  <c r="F344" i="15" s="1"/>
  <c r="G344" i="15" s="1"/>
  <c r="BX344" i="6" s="1"/>
  <c r="P328" i="15"/>
  <c r="V328" i="15" s="1"/>
  <c r="F328" i="15" s="1"/>
  <c r="G328" i="15" s="1"/>
  <c r="BX328" i="6" s="1"/>
  <c r="P320" i="15"/>
  <c r="V320" i="15" s="1"/>
  <c r="F320" i="15" s="1"/>
  <c r="G320" i="15" s="1"/>
  <c r="BX320" i="6" s="1"/>
  <c r="P288" i="15"/>
  <c r="V288" i="15" s="1"/>
  <c r="F288" i="15" s="1"/>
  <c r="P280" i="15"/>
  <c r="V280" i="15" s="1"/>
  <c r="F280" i="15" s="1"/>
  <c r="G280" i="15" s="1"/>
  <c r="BX280" i="6" s="1"/>
  <c r="P256" i="15"/>
  <c r="V256" i="15" s="1"/>
  <c r="F256" i="15" s="1"/>
  <c r="H256" i="15" s="1"/>
  <c r="P224" i="15"/>
  <c r="V224" i="15" s="1"/>
  <c r="F224" i="15" s="1"/>
  <c r="H224" i="15" s="1"/>
  <c r="P216" i="15"/>
  <c r="V216" i="15" s="1"/>
  <c r="F216" i="15" s="1"/>
  <c r="H216" i="15" s="1"/>
  <c r="AD71" i="15"/>
  <c r="AD199" i="15"/>
  <c r="P346" i="15"/>
  <c r="V346" i="15" s="1"/>
  <c r="F346" i="15" s="1"/>
  <c r="H346" i="15" s="1"/>
  <c r="AI367" i="15"/>
  <c r="AH367" i="15" s="1"/>
  <c r="AG367" i="15" s="1"/>
  <c r="AF367" i="15" s="1"/>
  <c r="P271" i="15"/>
  <c r="V271" i="15" s="1"/>
  <c r="F271" i="15" s="1"/>
  <c r="H271" i="15" s="1"/>
  <c r="AD103" i="15"/>
  <c r="AA103" i="15" s="1"/>
  <c r="Z103" i="15" s="1"/>
  <c r="Y103" i="15" s="1"/>
  <c r="AD119" i="15"/>
  <c r="AD183" i="15"/>
  <c r="AD215" i="15"/>
  <c r="AD231" i="15"/>
  <c r="AD311" i="15"/>
  <c r="P32" i="15"/>
  <c r="V32" i="15" s="1"/>
  <c r="F32" i="15" s="1"/>
  <c r="P40" i="15"/>
  <c r="V40" i="15" s="1"/>
  <c r="F40" i="15" s="1"/>
  <c r="P64" i="15"/>
  <c r="V64" i="15" s="1"/>
  <c r="F64" i="15" s="1"/>
  <c r="P33" i="15"/>
  <c r="V33" i="15" s="1"/>
  <c r="F33" i="15" s="1"/>
  <c r="G33" i="15" s="1"/>
  <c r="BX33" i="6" s="1"/>
  <c r="P49" i="15"/>
  <c r="V49" i="15" s="1"/>
  <c r="F49" i="15" s="1"/>
  <c r="G49" i="15" s="1"/>
  <c r="BX49" i="6" s="1"/>
  <c r="P72" i="15"/>
  <c r="V72" i="15" s="1"/>
  <c r="F72" i="15" s="1"/>
  <c r="H72" i="15" s="1"/>
  <c r="P96" i="15"/>
  <c r="V96" i="15" s="1"/>
  <c r="F96" i="15" s="1"/>
  <c r="G96" i="15" s="1"/>
  <c r="BX96" i="6" s="1"/>
  <c r="P128" i="15"/>
  <c r="V128" i="15" s="1"/>
  <c r="F128" i="15" s="1"/>
  <c r="H128" i="15" s="1"/>
  <c r="P160" i="15"/>
  <c r="V160" i="15" s="1"/>
  <c r="F160" i="15" s="1"/>
  <c r="G160" i="15" s="1"/>
  <c r="BX160" i="6" s="1"/>
  <c r="P168" i="15"/>
  <c r="V168" i="15" s="1"/>
  <c r="F168" i="15" s="1"/>
  <c r="G168" i="15" s="1"/>
  <c r="BX168" i="6" s="1"/>
  <c r="P192" i="15"/>
  <c r="V192" i="15" s="1"/>
  <c r="F192" i="15" s="1"/>
  <c r="G192" i="15" s="1"/>
  <c r="BX192" i="6" s="1"/>
  <c r="P29" i="15"/>
  <c r="D32" i="7" s="1"/>
  <c r="P61" i="15"/>
  <c r="V61" i="15" s="1"/>
  <c r="F61" i="15" s="1"/>
  <c r="H61" i="15" s="1"/>
  <c r="P70" i="15"/>
  <c r="V70" i="15" s="1"/>
  <c r="F70" i="15" s="1"/>
  <c r="H70" i="15" s="1"/>
  <c r="P78" i="15"/>
  <c r="V78" i="15" s="1"/>
  <c r="F78" i="15" s="1"/>
  <c r="H78" i="15" s="1"/>
  <c r="P86" i="15"/>
  <c r="V86" i="15" s="1"/>
  <c r="F86" i="15" s="1"/>
  <c r="H86" i="15" s="1"/>
  <c r="P94" i="15"/>
  <c r="V94" i="15" s="1"/>
  <c r="F94" i="15" s="1"/>
  <c r="G94" i="15" s="1"/>
  <c r="BX94" i="6" s="1"/>
  <c r="P102" i="15"/>
  <c r="V102" i="15" s="1"/>
  <c r="F102" i="15" s="1"/>
  <c r="H102" i="15" s="1"/>
  <c r="P110" i="15"/>
  <c r="V110" i="15" s="1"/>
  <c r="F110" i="15" s="1"/>
  <c r="H110" i="15" s="1"/>
  <c r="P118" i="15"/>
  <c r="V118" i="15" s="1"/>
  <c r="F118" i="15" s="1"/>
  <c r="H118" i="15" s="1"/>
  <c r="P126" i="15"/>
  <c r="V126" i="15" s="1"/>
  <c r="F126" i="15" s="1"/>
  <c r="G126" i="15" s="1"/>
  <c r="BX126" i="6" s="1"/>
  <c r="P142" i="15"/>
  <c r="V142" i="15" s="1"/>
  <c r="F142" i="15" s="1"/>
  <c r="H142" i="15" s="1"/>
  <c r="P158" i="15"/>
  <c r="V158" i="15" s="1"/>
  <c r="F158" i="15" s="1"/>
  <c r="H158" i="15" s="1"/>
  <c r="P166" i="15"/>
  <c r="V166" i="15" s="1"/>
  <c r="F166" i="15" s="1"/>
  <c r="H166" i="15" s="1"/>
  <c r="P174" i="15"/>
  <c r="V174" i="15" s="1"/>
  <c r="F174" i="15" s="1"/>
  <c r="H174" i="15" s="1"/>
  <c r="P182" i="15"/>
  <c r="V182" i="15" s="1"/>
  <c r="F182" i="15" s="1"/>
  <c r="H182" i="15" s="1"/>
  <c r="P190" i="15"/>
  <c r="V190" i="15" s="1"/>
  <c r="F190" i="15" s="1"/>
  <c r="H190" i="15" s="1"/>
  <c r="P198" i="15"/>
  <c r="V198" i="15" s="1"/>
  <c r="F198" i="15" s="1"/>
  <c r="G198" i="15" s="1"/>
  <c r="BX198" i="6" s="1"/>
  <c r="AI376" i="15"/>
  <c r="AH376" i="15" s="1"/>
  <c r="AG376" i="15" s="1"/>
  <c r="AF376" i="15" s="1"/>
  <c r="AD376" i="15" s="1"/>
  <c r="AA376" i="15" s="1"/>
  <c r="Z376" i="15" s="1"/>
  <c r="Y376" i="15" s="1"/>
  <c r="AI379" i="15"/>
  <c r="AI371" i="15"/>
  <c r="AH371" i="15" s="1"/>
  <c r="AI363" i="15"/>
  <c r="AH363" i="15" s="1"/>
  <c r="AG363" i="15" s="1"/>
  <c r="AF363" i="15" s="1"/>
  <c r="AD363" i="15" s="1"/>
  <c r="P372" i="15"/>
  <c r="V372" i="15" s="1"/>
  <c r="F372" i="15" s="1"/>
  <c r="G372" i="15" s="1"/>
  <c r="BX372" i="6" s="1"/>
  <c r="P356" i="15"/>
  <c r="V356" i="15" s="1"/>
  <c r="F356" i="15" s="1"/>
  <c r="G356" i="15" s="1"/>
  <c r="BX356" i="6" s="1"/>
  <c r="P340" i="15"/>
  <c r="V340" i="15" s="1"/>
  <c r="F340" i="15" s="1"/>
  <c r="G340" i="15" s="1"/>
  <c r="BX340" i="6" s="1"/>
  <c r="AD263" i="15"/>
  <c r="AD279" i="15"/>
  <c r="L38" i="19"/>
  <c r="AD21" i="15"/>
  <c r="AD27" i="15"/>
  <c r="AI372" i="15"/>
  <c r="AH372" i="15" s="1"/>
  <c r="AG372" i="15" s="1"/>
  <c r="AF372" i="15" s="1"/>
  <c r="AD372" i="15" s="1"/>
  <c r="AA372" i="15" s="1"/>
  <c r="Z372" i="15" s="1"/>
  <c r="Y372" i="15" s="1"/>
  <c r="P38" i="15"/>
  <c r="V38" i="15" s="1"/>
  <c r="F38" i="15" s="1"/>
  <c r="P20" i="15"/>
  <c r="V20" i="15" s="1"/>
  <c r="F20" i="15" s="1"/>
  <c r="P365" i="15"/>
  <c r="V365" i="15" s="1"/>
  <c r="F365" i="15" s="1"/>
  <c r="H365" i="15" s="1"/>
  <c r="P88" i="15"/>
  <c r="V88" i="15" s="1"/>
  <c r="F88" i="15" s="1"/>
  <c r="G88" i="15" s="1"/>
  <c r="BX88" i="6" s="1"/>
  <c r="P152" i="15"/>
  <c r="V152" i="15" s="1"/>
  <c r="F152" i="15" s="1"/>
  <c r="G152" i="15" s="1"/>
  <c r="BX152" i="6" s="1"/>
  <c r="P208" i="15"/>
  <c r="V208" i="15" s="1"/>
  <c r="F208" i="15" s="1"/>
  <c r="G208" i="15" s="1"/>
  <c r="BX208" i="6" s="1"/>
  <c r="AI365" i="15"/>
  <c r="AH365" i="15" s="1"/>
  <c r="AG365" i="15" s="1"/>
  <c r="AF365" i="15" s="1"/>
  <c r="AI369" i="15"/>
  <c r="AH369" i="15" s="1"/>
  <c r="AG369" i="15" s="1"/>
  <c r="AF369" i="15" s="1"/>
  <c r="AD369" i="15" s="1"/>
  <c r="AI373" i="15"/>
  <c r="AH373" i="15" s="1"/>
  <c r="AG373" i="15" s="1"/>
  <c r="AF373" i="15" s="1"/>
  <c r="AI377" i="15"/>
  <c r="AH377" i="15" s="1"/>
  <c r="AG377" i="15" s="1"/>
  <c r="AF377" i="15" s="1"/>
  <c r="AD377" i="15" s="1"/>
  <c r="P368" i="15"/>
  <c r="V368" i="15" s="1"/>
  <c r="F368" i="15" s="1"/>
  <c r="H368" i="15" s="1"/>
  <c r="P336" i="15"/>
  <c r="V336" i="15" s="1"/>
  <c r="F336" i="15" s="1"/>
  <c r="G336" i="15" s="1"/>
  <c r="BX336" i="6" s="1"/>
  <c r="P304" i="15"/>
  <c r="V304" i="15" s="1"/>
  <c r="F304" i="15" s="1"/>
  <c r="G304" i="15" s="1"/>
  <c r="BX304" i="6" s="1"/>
  <c r="P240" i="15"/>
  <c r="V240" i="15" s="1"/>
  <c r="F240" i="15" s="1"/>
  <c r="G240" i="15" s="1"/>
  <c r="BX240" i="6" s="1"/>
  <c r="AI368" i="15"/>
  <c r="AH368" i="15" s="1"/>
  <c r="AG368" i="15" s="1"/>
  <c r="AF368" i="15" s="1"/>
  <c r="AD35" i="15"/>
  <c r="AD43" i="15"/>
  <c r="AD59" i="15"/>
  <c r="AD67" i="15"/>
  <c r="AA67" i="15" s="1"/>
  <c r="Z67" i="15" s="1"/>
  <c r="Y67" i="15" s="1"/>
  <c r="AD123" i="15"/>
  <c r="AD139" i="15"/>
  <c r="AD163" i="15"/>
  <c r="AA163" i="15" s="1"/>
  <c r="Z163" i="15" s="1"/>
  <c r="Y163" i="15" s="1"/>
  <c r="AD171" i="15"/>
  <c r="AD187" i="15"/>
  <c r="AD195" i="15"/>
  <c r="AA195" i="15" s="1"/>
  <c r="Z195" i="15" s="1"/>
  <c r="Y195" i="15" s="1"/>
  <c r="AD211" i="15"/>
  <c r="AA211" i="15" s="1"/>
  <c r="Z211" i="15" s="1"/>
  <c r="Y211" i="15" s="1"/>
  <c r="AD219" i="15"/>
  <c r="AA219" i="15" s="1"/>
  <c r="Z219" i="15" s="1"/>
  <c r="Y219" i="15" s="1"/>
  <c r="AD227" i="15"/>
  <c r="AD235" i="15"/>
  <c r="AA235" i="15" s="1"/>
  <c r="Z235" i="15" s="1"/>
  <c r="Y235" i="15" s="1"/>
  <c r="AD251" i="15"/>
  <c r="AA251" i="15" s="1"/>
  <c r="Z251" i="15" s="1"/>
  <c r="Y251" i="15" s="1"/>
  <c r="AD259" i="15"/>
  <c r="AA259" i="15" s="1"/>
  <c r="Z259" i="15" s="1"/>
  <c r="Y259" i="15" s="1"/>
  <c r="AD267" i="15"/>
  <c r="AA267" i="15" s="1"/>
  <c r="Z267" i="15" s="1"/>
  <c r="Y267" i="15" s="1"/>
  <c r="AD283" i="15"/>
  <c r="AA283" i="15" s="1"/>
  <c r="Z283" i="15" s="1"/>
  <c r="Y283" i="15" s="1"/>
  <c r="AD291" i="15"/>
  <c r="AA291" i="15" s="1"/>
  <c r="Z291" i="15" s="1"/>
  <c r="Y291" i="15" s="1"/>
  <c r="AD299" i="15"/>
  <c r="AA299" i="15" s="1"/>
  <c r="Z299" i="15" s="1"/>
  <c r="Y299" i="15" s="1"/>
  <c r="AD307" i="15"/>
  <c r="AA307" i="15" s="1"/>
  <c r="Z307" i="15" s="1"/>
  <c r="Y307" i="15" s="1"/>
  <c r="AD315" i="15"/>
  <c r="AD347" i="15"/>
  <c r="AD22" i="15"/>
  <c r="AD31" i="15"/>
  <c r="AA31" i="15" s="1"/>
  <c r="Z31" i="15" s="1"/>
  <c r="Y31" i="15" s="1"/>
  <c r="AD47" i="15"/>
  <c r="AA47" i="15" s="1"/>
  <c r="Z47" i="15" s="1"/>
  <c r="Y47" i="15" s="1"/>
  <c r="AD79" i="15"/>
  <c r="AD95" i="15"/>
  <c r="AD143" i="15"/>
  <c r="AD175" i="15"/>
  <c r="AA175" i="15" s="1"/>
  <c r="Z175" i="15" s="1"/>
  <c r="Y175" i="15" s="1"/>
  <c r="AD207" i="15"/>
  <c r="AD239" i="15"/>
  <c r="AD255" i="15"/>
  <c r="AD271" i="15"/>
  <c r="AA271" i="15" s="1"/>
  <c r="Z271" i="15" s="1"/>
  <c r="Y271" i="15" s="1"/>
  <c r="AD303" i="15"/>
  <c r="J15" i="7"/>
  <c r="AI364" i="15"/>
  <c r="AI366" i="15"/>
  <c r="AH366" i="15" s="1"/>
  <c r="AG366" i="15" s="1"/>
  <c r="AF366" i="15" s="1"/>
  <c r="AD366" i="15" s="1"/>
  <c r="AI374" i="15"/>
  <c r="AH374" i="15" s="1"/>
  <c r="AG374" i="15" s="1"/>
  <c r="AF374" i="15" s="1"/>
  <c r="AI370" i="15"/>
  <c r="AH370" i="15" s="1"/>
  <c r="AG370" i="15" s="1"/>
  <c r="AF370" i="15" s="1"/>
  <c r="AD370" i="15" s="1"/>
  <c r="AI378" i="15"/>
  <c r="AH378" i="15" s="1"/>
  <c r="P23" i="15"/>
  <c r="V23" i="15" s="1"/>
  <c r="F23" i="15" s="1"/>
  <c r="P16" i="15"/>
  <c r="V16" i="15" s="1"/>
  <c r="F16" i="15" s="1"/>
  <c r="P44" i="15"/>
  <c r="V44" i="15" s="1"/>
  <c r="F44" i="15" s="1"/>
  <c r="P48" i="15"/>
  <c r="V48" i="15" s="1"/>
  <c r="F48" i="15" s="1"/>
  <c r="P60" i="15"/>
  <c r="V60" i="15" s="1"/>
  <c r="F60" i="15" s="1"/>
  <c r="P254" i="15"/>
  <c r="V254" i="15" s="1"/>
  <c r="F254" i="15" s="1"/>
  <c r="H254" i="15" s="1"/>
  <c r="U12" i="16"/>
  <c r="O16" i="7" s="1"/>
  <c r="J16" i="7"/>
  <c r="P11" i="7" s="1"/>
  <c r="U11" i="16" s="1"/>
  <c r="P150" i="15"/>
  <c r="V150" i="15" s="1"/>
  <c r="F150" i="15" s="1"/>
  <c r="G150" i="15" s="1"/>
  <c r="BX150" i="6" s="1"/>
  <c r="U381" i="15"/>
  <c r="P46" i="15"/>
  <c r="V46" i="15" s="1"/>
  <c r="F46" i="15" s="1"/>
  <c r="P54" i="15"/>
  <c r="V54" i="15" s="1"/>
  <c r="F54" i="15" s="1"/>
  <c r="P62" i="15"/>
  <c r="V62" i="15" s="1"/>
  <c r="F62" i="15" s="1"/>
  <c r="P214" i="15"/>
  <c r="V214" i="15" s="1"/>
  <c r="F214" i="15" s="1"/>
  <c r="P17" i="15"/>
  <c r="V17" i="15" s="1"/>
  <c r="F17" i="15" s="1"/>
  <c r="P80" i="15"/>
  <c r="V80" i="15" s="1"/>
  <c r="F80" i="15" s="1"/>
  <c r="H80" i="15" s="1"/>
  <c r="P112" i="15"/>
  <c r="V112" i="15" s="1"/>
  <c r="F112" i="15" s="1"/>
  <c r="G112" i="15" s="1"/>
  <c r="BX112" i="6" s="1"/>
  <c r="P144" i="15"/>
  <c r="V144" i="15" s="1"/>
  <c r="F144" i="15" s="1"/>
  <c r="G144" i="15" s="1"/>
  <c r="BX144" i="6" s="1"/>
  <c r="P176" i="15"/>
  <c r="V176" i="15" s="1"/>
  <c r="F176" i="15" s="1"/>
  <c r="G176" i="15" s="1"/>
  <c r="BX176" i="6" s="1"/>
  <c r="P204" i="15"/>
  <c r="V204" i="15" s="1"/>
  <c r="F204" i="15" s="1"/>
  <c r="P300" i="15"/>
  <c r="V300" i="15" s="1"/>
  <c r="F300" i="15" s="1"/>
  <c r="H300" i="15" s="1"/>
  <c r="P268" i="15"/>
  <c r="V268" i="15" s="1"/>
  <c r="F268" i="15" s="1"/>
  <c r="H268" i="15" s="1"/>
  <c r="P236" i="15"/>
  <c r="V236" i="15" s="1"/>
  <c r="F236" i="15" s="1"/>
  <c r="G236" i="15" s="1"/>
  <c r="BX236" i="6" s="1"/>
  <c r="P220" i="15"/>
  <c r="V220" i="15" s="1"/>
  <c r="F220" i="15" s="1"/>
  <c r="P27" i="15"/>
  <c r="V27" i="15" s="1"/>
  <c r="F27" i="15" s="1"/>
  <c r="G27" i="15" s="1"/>
  <c r="BX27" i="6" s="1"/>
  <c r="P43" i="15"/>
  <c r="V43" i="15" s="1"/>
  <c r="F43" i="15" s="1"/>
  <c r="P59" i="15"/>
  <c r="V59" i="15" s="1"/>
  <c r="F59" i="15" s="1"/>
  <c r="P63" i="15"/>
  <c r="V63" i="15" s="1"/>
  <c r="F63" i="15" s="1"/>
  <c r="G63" i="15" s="1"/>
  <c r="BX63" i="6" s="1"/>
  <c r="P76" i="15"/>
  <c r="V76" i="15" s="1"/>
  <c r="F76" i="15" s="1"/>
  <c r="G76" i="15" s="1"/>
  <c r="BX76" i="6" s="1"/>
  <c r="P124" i="15"/>
  <c r="V124" i="15" s="1"/>
  <c r="F124" i="15" s="1"/>
  <c r="P140" i="15"/>
  <c r="V140" i="15" s="1"/>
  <c r="F140" i="15" s="1"/>
  <c r="H140" i="15" s="1"/>
  <c r="P156" i="15"/>
  <c r="V156" i="15" s="1"/>
  <c r="F156" i="15" s="1"/>
  <c r="P188" i="15"/>
  <c r="V188" i="15" s="1"/>
  <c r="F188" i="15" s="1"/>
  <c r="H188" i="15" s="1"/>
  <c r="P79" i="15"/>
  <c r="V79" i="15" s="1"/>
  <c r="F79" i="15" s="1"/>
  <c r="G79" i="15" s="1"/>
  <c r="BX79" i="6" s="1"/>
  <c r="P87" i="15"/>
  <c r="V87" i="15" s="1"/>
  <c r="F87" i="15" s="1"/>
  <c r="G87" i="15" s="1"/>
  <c r="BX87" i="6" s="1"/>
  <c r="P362" i="15"/>
  <c r="V362" i="15" s="1"/>
  <c r="F362" i="15" s="1"/>
  <c r="P378" i="15"/>
  <c r="V378" i="15" s="1"/>
  <c r="F378" i="15" s="1"/>
  <c r="G378" i="15" s="1"/>
  <c r="BX378" i="6" s="1"/>
  <c r="P199" i="15"/>
  <c r="V199" i="15" s="1"/>
  <c r="F199" i="15" s="1"/>
  <c r="P316" i="15"/>
  <c r="V316" i="15" s="1"/>
  <c r="F316" i="15" s="1"/>
  <c r="G316" i="15" s="1"/>
  <c r="BX316" i="6" s="1"/>
  <c r="P269" i="15"/>
  <c r="V269" i="15" s="1"/>
  <c r="F269" i="15" s="1"/>
  <c r="G269" i="15" s="1"/>
  <c r="BX269" i="6" s="1"/>
  <c r="P134" i="15"/>
  <c r="V134" i="15" s="1"/>
  <c r="F134" i="15" s="1"/>
  <c r="H134" i="15" s="1"/>
  <c r="P138" i="15"/>
  <c r="V138" i="15" s="1"/>
  <c r="F138" i="15" s="1"/>
  <c r="H138" i="15" s="1"/>
  <c r="P294" i="15"/>
  <c r="V294" i="15" s="1"/>
  <c r="F294" i="15" s="1"/>
  <c r="G294" i="15" s="1"/>
  <c r="BX294" i="6" s="1"/>
  <c r="P298" i="15"/>
  <c r="V298" i="15" s="1"/>
  <c r="F298" i="15" s="1"/>
  <c r="P324" i="15"/>
  <c r="V324" i="15" s="1"/>
  <c r="P39" i="15"/>
  <c r="V39" i="15" s="1"/>
  <c r="F39" i="15" s="1"/>
  <c r="G39" i="15" s="1"/>
  <c r="BX39" i="6" s="1"/>
  <c r="P75" i="15"/>
  <c r="V75" i="15" s="1"/>
  <c r="F75" i="15" s="1"/>
  <c r="P143" i="15"/>
  <c r="V143" i="15" s="1"/>
  <c r="F143" i="15" s="1"/>
  <c r="AA143" i="15" s="1"/>
  <c r="Z143" i="15" s="1"/>
  <c r="Y143" i="15" s="1"/>
  <c r="P193" i="15"/>
  <c r="V193" i="15" s="1"/>
  <c r="F193" i="15" s="1"/>
  <c r="G193" i="15" s="1"/>
  <c r="BX193" i="6" s="1"/>
  <c r="P370" i="15"/>
  <c r="V370" i="15" s="1"/>
  <c r="F370" i="15" s="1"/>
  <c r="H370" i="15" s="1"/>
  <c r="P37" i="15"/>
  <c r="V37" i="15" s="1"/>
  <c r="F37" i="15" s="1"/>
  <c r="G37" i="15" s="1"/>
  <c r="BX37" i="6" s="1"/>
  <c r="P207" i="15"/>
  <c r="V207" i="15" s="1"/>
  <c r="F207" i="15" s="1"/>
  <c r="G207" i="15" s="1"/>
  <c r="BX207" i="6" s="1"/>
  <c r="P227" i="15"/>
  <c r="V227" i="15" s="1"/>
  <c r="P222" i="15"/>
  <c r="V222" i="15" s="1"/>
  <c r="F222" i="15" s="1"/>
  <c r="G222" i="15" s="1"/>
  <c r="BX222" i="6" s="1"/>
  <c r="P230" i="15"/>
  <c r="V230" i="15" s="1"/>
  <c r="F230" i="15" s="1"/>
  <c r="H230" i="15" s="1"/>
  <c r="P238" i="15"/>
  <c r="V238" i="15" s="1"/>
  <c r="F238" i="15" s="1"/>
  <c r="H238" i="15" s="1"/>
  <c r="P246" i="15"/>
  <c r="V246" i="15" s="1"/>
  <c r="F246" i="15" s="1"/>
  <c r="G246" i="15" s="1"/>
  <c r="BX246" i="6" s="1"/>
  <c r="P262" i="15"/>
  <c r="V262" i="15" s="1"/>
  <c r="F262" i="15" s="1"/>
  <c r="H262" i="15" s="1"/>
  <c r="P270" i="15"/>
  <c r="V270" i="15" s="1"/>
  <c r="F270" i="15" s="1"/>
  <c r="G270" i="15" s="1"/>
  <c r="BX270" i="6" s="1"/>
  <c r="P278" i="15"/>
  <c r="V278" i="15" s="1"/>
  <c r="F278" i="15" s="1"/>
  <c r="G278" i="15" s="1"/>
  <c r="BX278" i="6" s="1"/>
  <c r="P286" i="15"/>
  <c r="V286" i="15" s="1"/>
  <c r="F286" i="15" s="1"/>
  <c r="G286" i="15" s="1"/>
  <c r="BX286" i="6" s="1"/>
  <c r="P302" i="15"/>
  <c r="D41" i="7" s="1"/>
  <c r="P310" i="15"/>
  <c r="V310" i="15" s="1"/>
  <c r="F310" i="15" s="1"/>
  <c r="H310" i="15" s="1"/>
  <c r="P326" i="15"/>
  <c r="V326" i="15" s="1"/>
  <c r="F326" i="15" s="1"/>
  <c r="G326" i="15" s="1"/>
  <c r="BX326" i="6" s="1"/>
  <c r="P342" i="15"/>
  <c r="V342" i="15" s="1"/>
  <c r="F342" i="15" s="1"/>
  <c r="H342" i="15" s="1"/>
  <c r="P358" i="15"/>
  <c r="V358" i="15" s="1"/>
  <c r="P374" i="15"/>
  <c r="V374" i="15" s="1"/>
  <c r="F374" i="15" s="1"/>
  <c r="G374" i="15" s="1"/>
  <c r="BX374" i="6" s="1"/>
  <c r="P377" i="15"/>
  <c r="V377" i="15" s="1"/>
  <c r="F377" i="15" s="1"/>
  <c r="G377" i="15" s="1"/>
  <c r="BX377" i="6" s="1"/>
  <c r="P373" i="15"/>
  <c r="V373" i="15" s="1"/>
  <c r="F373" i="15" s="1"/>
  <c r="H373" i="15" s="1"/>
  <c r="P369" i="15"/>
  <c r="V369" i="15" s="1"/>
  <c r="F369" i="15" s="1"/>
  <c r="H369" i="15" s="1"/>
  <c r="P361" i="15"/>
  <c r="V361" i="15" s="1"/>
  <c r="F361" i="15" s="1"/>
  <c r="G361" i="15" s="1"/>
  <c r="BX361" i="6" s="1"/>
  <c r="P357" i="15"/>
  <c r="V357" i="15" s="1"/>
  <c r="F357" i="15" s="1"/>
  <c r="G357" i="15" s="1"/>
  <c r="BX357" i="6" s="1"/>
  <c r="P353" i="15"/>
  <c r="V353" i="15" s="1"/>
  <c r="F353" i="15" s="1"/>
  <c r="H353" i="15" s="1"/>
  <c r="P349" i="15"/>
  <c r="V349" i="15" s="1"/>
  <c r="F349" i="15" s="1"/>
  <c r="G349" i="15" s="1"/>
  <c r="BX349" i="6" s="1"/>
  <c r="P345" i="15"/>
  <c r="V345" i="15" s="1"/>
  <c r="F345" i="15" s="1"/>
  <c r="G345" i="15" s="1"/>
  <c r="BX345" i="6" s="1"/>
  <c r="P341" i="15"/>
  <c r="V341" i="15" s="1"/>
  <c r="F341" i="15" s="1"/>
  <c r="H341" i="15" s="1"/>
  <c r="P337" i="15"/>
  <c r="V337" i="15" s="1"/>
  <c r="F337" i="15" s="1"/>
  <c r="G337" i="15" s="1"/>
  <c r="BX337" i="6" s="1"/>
  <c r="P333" i="15"/>
  <c r="V333" i="15" s="1"/>
  <c r="F333" i="15" s="1"/>
  <c r="P329" i="15"/>
  <c r="V329" i="15" s="1"/>
  <c r="F329" i="15" s="1"/>
  <c r="H329" i="15" s="1"/>
  <c r="P325" i="15"/>
  <c r="V325" i="15" s="1"/>
  <c r="F325" i="15" s="1"/>
  <c r="H325" i="15" s="1"/>
  <c r="P321" i="15"/>
  <c r="V321" i="15" s="1"/>
  <c r="F321" i="15" s="1"/>
  <c r="H321" i="15" s="1"/>
  <c r="P317" i="15"/>
  <c r="V317" i="15" s="1"/>
  <c r="F317" i="15" s="1"/>
  <c r="H317" i="15" s="1"/>
  <c r="P313" i="15"/>
  <c r="V313" i="15" s="1"/>
  <c r="F313" i="15" s="1"/>
  <c r="G313" i="15" s="1"/>
  <c r="BX313" i="6" s="1"/>
  <c r="P305" i="15"/>
  <c r="V305" i="15" s="1"/>
  <c r="F305" i="15" s="1"/>
  <c r="H305" i="15" s="1"/>
  <c r="P289" i="15"/>
  <c r="V289" i="15" s="1"/>
  <c r="F289" i="15" s="1"/>
  <c r="G289" i="15" s="1"/>
  <c r="BX289" i="6" s="1"/>
  <c r="P285" i="15"/>
  <c r="V285" i="15" s="1"/>
  <c r="F285" i="15" s="1"/>
  <c r="H285" i="15" s="1"/>
  <c r="P273" i="15"/>
  <c r="V273" i="15" s="1"/>
  <c r="F273" i="15" s="1"/>
  <c r="G273" i="15" s="1"/>
  <c r="BX273" i="6" s="1"/>
  <c r="P257" i="15"/>
  <c r="V257" i="15" s="1"/>
  <c r="F257" i="15" s="1"/>
  <c r="H257" i="15" s="1"/>
  <c r="P241" i="15"/>
  <c r="D39" i="7" s="1"/>
  <c r="P237" i="15"/>
  <c r="V237" i="15" s="1"/>
  <c r="F237" i="15" s="1"/>
  <c r="G237" i="15" s="1"/>
  <c r="BX237" i="6" s="1"/>
  <c r="P225" i="15"/>
  <c r="V225" i="15" s="1"/>
  <c r="F225" i="15" s="1"/>
  <c r="G225" i="15" s="1"/>
  <c r="BX225" i="6" s="1"/>
  <c r="P221" i="15"/>
  <c r="V221" i="15" s="1"/>
  <c r="F221" i="15" s="1"/>
  <c r="G221" i="15" s="1"/>
  <c r="BX221" i="6" s="1"/>
  <c r="P209" i="15"/>
  <c r="V209" i="15" s="1"/>
  <c r="F209" i="15" s="1"/>
  <c r="H209" i="15" s="1"/>
  <c r="P201" i="15"/>
  <c r="V201" i="15" s="1"/>
  <c r="F201" i="15" s="1"/>
  <c r="H201" i="15" s="1"/>
  <c r="P185" i="15"/>
  <c r="V185" i="15" s="1"/>
  <c r="F185" i="15" s="1"/>
  <c r="G185" i="15" s="1"/>
  <c r="BX185" i="6" s="1"/>
  <c r="P177" i="15"/>
  <c r="V177" i="15" s="1"/>
  <c r="F177" i="15" s="1"/>
  <c r="H177" i="15" s="1"/>
  <c r="P169" i="15"/>
  <c r="V169" i="15" s="1"/>
  <c r="F169" i="15" s="1"/>
  <c r="G169" i="15" s="1"/>
  <c r="BX169" i="6" s="1"/>
  <c r="P161" i="15"/>
  <c r="V161" i="15" s="1"/>
  <c r="F161" i="15" s="1"/>
  <c r="G161" i="15" s="1"/>
  <c r="BX161" i="6" s="1"/>
  <c r="P153" i="15"/>
  <c r="V153" i="15" s="1"/>
  <c r="F153" i="15" s="1"/>
  <c r="H153" i="15" s="1"/>
  <c r="P145" i="15"/>
  <c r="V145" i="15" s="1"/>
  <c r="F145" i="15" s="1"/>
  <c r="H145" i="15" s="1"/>
  <c r="P137" i="15"/>
  <c r="V137" i="15" s="1"/>
  <c r="F137" i="15" s="1"/>
  <c r="H137" i="15" s="1"/>
  <c r="P129" i="15"/>
  <c r="V129" i="15" s="1"/>
  <c r="F129" i="15" s="1"/>
  <c r="G129" i="15" s="1"/>
  <c r="BX129" i="6" s="1"/>
  <c r="P121" i="15"/>
  <c r="V121" i="15" s="1"/>
  <c r="F121" i="15" s="1"/>
  <c r="G121" i="15" s="1"/>
  <c r="BX121" i="6" s="1"/>
  <c r="P113" i="15"/>
  <c r="V113" i="15" s="1"/>
  <c r="F113" i="15" s="1"/>
  <c r="H113" i="15" s="1"/>
  <c r="P105" i="15"/>
  <c r="V105" i="15" s="1"/>
  <c r="F105" i="15" s="1"/>
  <c r="G105" i="15" s="1"/>
  <c r="BX105" i="6" s="1"/>
  <c r="P97" i="15"/>
  <c r="V97" i="15" s="1"/>
  <c r="F97" i="15" s="1"/>
  <c r="G97" i="15" s="1"/>
  <c r="BX97" i="6" s="1"/>
  <c r="P89" i="15"/>
  <c r="V89" i="15" s="1"/>
  <c r="F89" i="15" s="1"/>
  <c r="G89" i="15" s="1"/>
  <c r="BX89" i="6" s="1"/>
  <c r="P77" i="15"/>
  <c r="V77" i="15" s="1"/>
  <c r="F77" i="15" s="1"/>
  <c r="P73" i="15"/>
  <c r="V73" i="15" s="1"/>
  <c r="F73" i="15" s="1"/>
  <c r="G73" i="15" s="1"/>
  <c r="BX73" i="6" s="1"/>
  <c r="P69" i="15"/>
  <c r="V69" i="15" s="1"/>
  <c r="F69" i="15" s="1"/>
  <c r="P100" i="15"/>
  <c r="V100" i="15" s="1"/>
  <c r="F100" i="15" s="1"/>
  <c r="H100" i="15" s="1"/>
  <c r="P172" i="15"/>
  <c r="V172" i="15" s="1"/>
  <c r="F172" i="15" s="1"/>
  <c r="H172" i="15" s="1"/>
  <c r="Q12" i="16"/>
  <c r="Q10" i="16" s="1"/>
  <c r="P71" i="15"/>
  <c r="V71" i="15" s="1"/>
  <c r="F71" i="15" s="1"/>
  <c r="P101" i="15"/>
  <c r="V101" i="15" s="1"/>
  <c r="F101" i="15" s="1"/>
  <c r="D36" i="7"/>
  <c r="P197" i="15"/>
  <c r="V197" i="15" s="1"/>
  <c r="P379" i="15"/>
  <c r="P314" i="15"/>
  <c r="V314" i="15" s="1"/>
  <c r="F314" i="15" s="1"/>
  <c r="G314" i="15" s="1"/>
  <c r="BX314" i="6" s="1"/>
  <c r="P354" i="15"/>
  <c r="V354" i="15" s="1"/>
  <c r="F354" i="15" s="1"/>
  <c r="H354" i="15" s="1"/>
  <c r="P167" i="15"/>
  <c r="V167" i="15" s="1"/>
  <c r="F167" i="15" s="1"/>
  <c r="H167" i="15" s="1"/>
  <c r="P135" i="15"/>
  <c r="V135" i="15" s="1"/>
  <c r="F135" i="15" s="1"/>
  <c r="P318" i="15"/>
  <c r="V318" i="15" s="1"/>
  <c r="F318" i="15" s="1"/>
  <c r="G318" i="15" s="1"/>
  <c r="BX318" i="6" s="1"/>
  <c r="AD349" i="15"/>
  <c r="AD353" i="15"/>
  <c r="AD357" i="15"/>
  <c r="AD365" i="15"/>
  <c r="AA365" i="15" s="1"/>
  <c r="Z365" i="15" s="1"/>
  <c r="Y365" i="15" s="1"/>
  <c r="P309" i="15"/>
  <c r="V309" i="15" s="1"/>
  <c r="F309" i="15" s="1"/>
  <c r="H309" i="15" s="1"/>
  <c r="P277" i="15"/>
  <c r="V277" i="15" s="1"/>
  <c r="F277" i="15" s="1"/>
  <c r="G277" i="15" s="1"/>
  <c r="BX277" i="6" s="1"/>
  <c r="P245" i="15"/>
  <c r="V245" i="15" s="1"/>
  <c r="F245" i="15" s="1"/>
  <c r="H245" i="15" s="1"/>
  <c r="P213" i="15"/>
  <c r="V213" i="15" s="1"/>
  <c r="F213" i="15" s="1"/>
  <c r="H213" i="15" s="1"/>
  <c r="P85" i="15"/>
  <c r="V85" i="15" s="1"/>
  <c r="F85" i="15" s="1"/>
  <c r="G85" i="15" s="1"/>
  <c r="BX85" i="6" s="1"/>
  <c r="P45" i="15"/>
  <c r="V45" i="15" s="1"/>
  <c r="F45" i="15" s="1"/>
  <c r="G45" i="15" s="1"/>
  <c r="BX45" i="6" s="1"/>
  <c r="AD351" i="15"/>
  <c r="AD359" i="15"/>
  <c r="AD367" i="15"/>
  <c r="AD375" i="15"/>
  <c r="P51" i="15"/>
  <c r="V51" i="15" s="1"/>
  <c r="E379" i="17"/>
  <c r="AJ10" i="17" s="1"/>
  <c r="AJ12" i="17" s="1"/>
  <c r="P334" i="15"/>
  <c r="V334" i="15" s="1"/>
  <c r="F334" i="15" s="1"/>
  <c r="H334" i="15" s="1"/>
  <c r="P350" i="15"/>
  <c r="V350" i="15" s="1"/>
  <c r="F350" i="15" s="1"/>
  <c r="H350" i="15" s="1"/>
  <c r="P366" i="15"/>
  <c r="V366" i="15" s="1"/>
  <c r="F366" i="15" s="1"/>
  <c r="G366" i="15" s="1"/>
  <c r="BX366" i="6" s="1"/>
  <c r="P293" i="15"/>
  <c r="V293" i="15" s="1"/>
  <c r="F293" i="15" s="1"/>
  <c r="G293" i="15" s="1"/>
  <c r="BX293" i="6" s="1"/>
  <c r="P261" i="15"/>
  <c r="V261" i="15" s="1"/>
  <c r="F261" i="15" s="1"/>
  <c r="G261" i="15" s="1"/>
  <c r="BX261" i="6" s="1"/>
  <c r="P229" i="15"/>
  <c r="V229" i="15" s="1"/>
  <c r="F229" i="15" s="1"/>
  <c r="G229" i="15" s="1"/>
  <c r="BX229" i="6" s="1"/>
  <c r="P21" i="15"/>
  <c r="V21" i="15" s="1"/>
  <c r="F21" i="15" s="1"/>
  <c r="P36" i="15"/>
  <c r="V36" i="15" s="1"/>
  <c r="F36" i="15" s="1"/>
  <c r="P52" i="15"/>
  <c r="V52" i="15" s="1"/>
  <c r="F52" i="15" s="1"/>
  <c r="P18" i="15"/>
  <c r="V18" i="15" s="1"/>
  <c r="F18" i="15" s="1"/>
  <c r="U382" i="15"/>
  <c r="U383" i="15"/>
  <c r="P92" i="15"/>
  <c r="V92" i="15" s="1"/>
  <c r="F92" i="15" s="1"/>
  <c r="P108" i="15"/>
  <c r="V108" i="15" s="1"/>
  <c r="P136" i="15"/>
  <c r="V136" i="15" s="1"/>
  <c r="P248" i="15"/>
  <c r="V248" i="15" s="1"/>
  <c r="F248" i="15" s="1"/>
  <c r="G248" i="15" s="1"/>
  <c r="BX248" i="6" s="1"/>
  <c r="P252" i="15"/>
  <c r="V252" i="15" s="1"/>
  <c r="F252" i="15" s="1"/>
  <c r="H252" i="15" s="1"/>
  <c r="P264" i="15"/>
  <c r="V264" i="15" s="1"/>
  <c r="P272" i="15"/>
  <c r="V272" i="15" s="1"/>
  <c r="F272" i="15" s="1"/>
  <c r="P276" i="15"/>
  <c r="V276" i="15" s="1"/>
  <c r="F276" i="15" s="1"/>
  <c r="H276" i="15" s="1"/>
  <c r="P284" i="15"/>
  <c r="V284" i="15" s="1"/>
  <c r="F284" i="15" s="1"/>
  <c r="H284" i="15" s="1"/>
  <c r="P296" i="15"/>
  <c r="V296" i="15" s="1"/>
  <c r="F296" i="15" s="1"/>
  <c r="H296" i="15" s="1"/>
  <c r="AD24" i="15"/>
  <c r="AD29" i="15"/>
  <c r="AD37" i="15"/>
  <c r="AD45" i="15"/>
  <c r="AD49" i="15"/>
  <c r="AA49" i="15" s="1"/>
  <c r="Z49" i="15" s="1"/>
  <c r="Y49" i="15" s="1"/>
  <c r="AD53" i="15"/>
  <c r="AA53" i="15" s="1"/>
  <c r="Z53" i="15" s="1"/>
  <c r="Y53" i="15" s="1"/>
  <c r="AD57" i="15"/>
  <c r="AD65" i="15"/>
  <c r="AA65" i="15" s="1"/>
  <c r="Z65" i="15" s="1"/>
  <c r="Y65" i="15" s="1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D213" i="15"/>
  <c r="AA213" i="15" s="1"/>
  <c r="Z213" i="15" s="1"/>
  <c r="Y213" i="15" s="1"/>
  <c r="AD217" i="15"/>
  <c r="AA217" i="15" s="1"/>
  <c r="Z217" i="15" s="1"/>
  <c r="Y217" i="15" s="1"/>
  <c r="AD221" i="15"/>
  <c r="AD237" i="15"/>
  <c r="AD241" i="15"/>
  <c r="AD249" i="15"/>
  <c r="AA249" i="15" s="1"/>
  <c r="Z249" i="15" s="1"/>
  <c r="Y249" i="15" s="1"/>
  <c r="AD253" i="15"/>
  <c r="AA253" i="15" s="1"/>
  <c r="Z253" i="15" s="1"/>
  <c r="Y253" i="15" s="1"/>
  <c r="AD257" i="15"/>
  <c r="AD261" i="15"/>
  <c r="AD265" i="15"/>
  <c r="AA265" i="15" s="1"/>
  <c r="Z265" i="15" s="1"/>
  <c r="Y265" i="15" s="1"/>
  <c r="AD269" i="15"/>
  <c r="AD273" i="15"/>
  <c r="AD277" i="15"/>
  <c r="AD281" i="15"/>
  <c r="AA281" i="15" s="1"/>
  <c r="Z281" i="15" s="1"/>
  <c r="Y281" i="15" s="1"/>
  <c r="AD285" i="15"/>
  <c r="AD289" i="15"/>
  <c r="AD301" i="15"/>
  <c r="AA301" i="15" s="1"/>
  <c r="Z301" i="15" s="1"/>
  <c r="Y301" i="15" s="1"/>
  <c r="AD309" i="15"/>
  <c r="AD313" i="15"/>
  <c r="AD317" i="15"/>
  <c r="AD333" i="15"/>
  <c r="AD337" i="15"/>
  <c r="AD341" i="15"/>
  <c r="AD345" i="15"/>
  <c r="P35" i="15"/>
  <c r="V35" i="15" s="1"/>
  <c r="F35" i="15" s="1"/>
  <c r="G35" i="15" s="1"/>
  <c r="BX35" i="6" s="1"/>
  <c r="P95" i="15"/>
  <c r="V95" i="15" s="1"/>
  <c r="F95" i="15" s="1"/>
  <c r="G95" i="15" s="1"/>
  <c r="BX95" i="6" s="1"/>
  <c r="P171" i="15"/>
  <c r="V171" i="15" s="1"/>
  <c r="P203" i="15"/>
  <c r="V203" i="15" s="1"/>
  <c r="F203" i="15" s="1"/>
  <c r="H203" i="15" s="1"/>
  <c r="P223" i="15"/>
  <c r="V223" i="15" s="1"/>
  <c r="F223" i="15" s="1"/>
  <c r="H223" i="15" s="1"/>
  <c r="P231" i="15"/>
  <c r="V231" i="15" s="1"/>
  <c r="F231" i="15" s="1"/>
  <c r="H231" i="15" s="1"/>
  <c r="P25" i="15"/>
  <c r="V25" i="15" s="1"/>
  <c r="F25" i="15" s="1"/>
  <c r="G25" i="15" s="1"/>
  <c r="BX25" i="6" s="1"/>
  <c r="P41" i="15"/>
  <c r="V41" i="15" s="1"/>
  <c r="F41" i="15" s="1"/>
  <c r="H41" i="15" s="1"/>
  <c r="P57" i="15"/>
  <c r="V57" i="15" s="1"/>
  <c r="F57" i="15" s="1"/>
  <c r="G57" i="15" s="1"/>
  <c r="BX57" i="6" s="1"/>
  <c r="P66" i="15"/>
  <c r="V66" i="15" s="1"/>
  <c r="F66" i="15" s="1"/>
  <c r="H66" i="15" s="1"/>
  <c r="P74" i="15"/>
  <c r="V74" i="15" s="1"/>
  <c r="F74" i="15" s="1"/>
  <c r="G74" i="15" s="1"/>
  <c r="BX74" i="6" s="1"/>
  <c r="P82" i="15"/>
  <c r="V82" i="15" s="1"/>
  <c r="F82" i="15" s="1"/>
  <c r="H82" i="15" s="1"/>
  <c r="P90" i="15"/>
  <c r="V90" i="15" s="1"/>
  <c r="F90" i="15" s="1"/>
  <c r="G90" i="15" s="1"/>
  <c r="BX90" i="6" s="1"/>
  <c r="P98" i="15"/>
  <c r="V98" i="15" s="1"/>
  <c r="F98" i="15" s="1"/>
  <c r="H98" i="15" s="1"/>
  <c r="P106" i="15"/>
  <c r="V106" i="15" s="1"/>
  <c r="F106" i="15" s="1"/>
  <c r="H106" i="15" s="1"/>
  <c r="P114" i="15"/>
  <c r="V114" i="15" s="1"/>
  <c r="F114" i="15" s="1"/>
  <c r="G114" i="15" s="1"/>
  <c r="BX114" i="6" s="1"/>
  <c r="P122" i="15"/>
  <c r="V122" i="15" s="1"/>
  <c r="F122" i="15" s="1"/>
  <c r="H122" i="15" s="1"/>
  <c r="P130" i="15"/>
  <c r="V130" i="15" s="1"/>
  <c r="F130" i="15" s="1"/>
  <c r="G130" i="15" s="1"/>
  <c r="BX130" i="6" s="1"/>
  <c r="P146" i="15"/>
  <c r="V146" i="15" s="1"/>
  <c r="F146" i="15" s="1"/>
  <c r="H146" i="15" s="1"/>
  <c r="P154" i="15"/>
  <c r="V154" i="15" s="1"/>
  <c r="F154" i="15" s="1"/>
  <c r="G154" i="15" s="1"/>
  <c r="BX154" i="6" s="1"/>
  <c r="P162" i="15"/>
  <c r="V162" i="15" s="1"/>
  <c r="F162" i="15" s="1"/>
  <c r="G162" i="15" s="1"/>
  <c r="BX162" i="6" s="1"/>
  <c r="P170" i="15"/>
  <c r="V170" i="15" s="1"/>
  <c r="F170" i="15" s="1"/>
  <c r="H170" i="15" s="1"/>
  <c r="P178" i="15"/>
  <c r="V178" i="15" s="1"/>
  <c r="F178" i="15" s="1"/>
  <c r="H178" i="15" s="1"/>
  <c r="P186" i="15"/>
  <c r="V186" i="15" s="1"/>
  <c r="F186" i="15" s="1"/>
  <c r="H186" i="15" s="1"/>
  <c r="P194" i="15"/>
  <c r="V194" i="15" s="1"/>
  <c r="F194" i="15" s="1"/>
  <c r="H194" i="15" s="1"/>
  <c r="P206" i="15"/>
  <c r="V206" i="15" s="1"/>
  <c r="F206" i="15" s="1"/>
  <c r="G206" i="15" s="1"/>
  <c r="BX206" i="6" s="1"/>
  <c r="P375" i="15"/>
  <c r="V375" i="15" s="1"/>
  <c r="F375" i="15" s="1"/>
  <c r="G375" i="15" s="1"/>
  <c r="BX375" i="6" s="1"/>
  <c r="P371" i="15"/>
  <c r="V371" i="15" s="1"/>
  <c r="F371" i="15" s="1"/>
  <c r="G371" i="15" s="1"/>
  <c r="BX371" i="6" s="1"/>
  <c r="P367" i="15"/>
  <c r="V367" i="15" s="1"/>
  <c r="F367" i="15" s="1"/>
  <c r="H367" i="15" s="1"/>
  <c r="P363" i="15"/>
  <c r="P359" i="15"/>
  <c r="V359" i="15" s="1"/>
  <c r="F359" i="15" s="1"/>
  <c r="AA359" i="15" s="1"/>
  <c r="Z359" i="15" s="1"/>
  <c r="Y359" i="15" s="1"/>
  <c r="P355" i="15"/>
  <c r="V355" i="15" s="1"/>
  <c r="F355" i="15" s="1"/>
  <c r="H355" i="15" s="1"/>
  <c r="P351" i="15"/>
  <c r="V351" i="15" s="1"/>
  <c r="F351" i="15" s="1"/>
  <c r="G351" i="15" s="1"/>
  <c r="BX351" i="6" s="1"/>
  <c r="P347" i="15"/>
  <c r="V347" i="15" s="1"/>
  <c r="F347" i="15" s="1"/>
  <c r="P343" i="15"/>
  <c r="V343" i="15" s="1"/>
  <c r="F343" i="15" s="1"/>
  <c r="H343" i="15" s="1"/>
  <c r="P339" i="15"/>
  <c r="V339" i="15" s="1"/>
  <c r="F339" i="15" s="1"/>
  <c r="G339" i="15" s="1"/>
  <c r="BX339" i="6" s="1"/>
  <c r="P335" i="15"/>
  <c r="V335" i="15" s="1"/>
  <c r="F335" i="15" s="1"/>
  <c r="H335" i="15" s="1"/>
  <c r="P331" i="15"/>
  <c r="V331" i="15" s="1"/>
  <c r="F331" i="15" s="1"/>
  <c r="H331" i="15" s="1"/>
  <c r="P327" i="15"/>
  <c r="V327" i="15" s="1"/>
  <c r="F327" i="15" s="1"/>
  <c r="H327" i="15" s="1"/>
  <c r="P323" i="15"/>
  <c r="V323" i="15" s="1"/>
  <c r="F323" i="15" s="1"/>
  <c r="H323" i="15" s="1"/>
  <c r="P319" i="15"/>
  <c r="V319" i="15" s="1"/>
  <c r="F319" i="15" s="1"/>
  <c r="H319" i="15" s="1"/>
  <c r="P315" i="15"/>
  <c r="V315" i="15" s="1"/>
  <c r="F315" i="15" s="1"/>
  <c r="H315" i="15" s="1"/>
  <c r="P311" i="15"/>
  <c r="V311" i="15" s="1"/>
  <c r="F311" i="15" s="1"/>
  <c r="H311" i="15" s="1"/>
  <c r="P303" i="15"/>
  <c r="V303" i="15" s="1"/>
  <c r="F303" i="15" s="1"/>
  <c r="P295" i="15"/>
  <c r="V295" i="15" s="1"/>
  <c r="F295" i="15" s="1"/>
  <c r="G295" i="15" s="1"/>
  <c r="BX295" i="6" s="1"/>
  <c r="P287" i="15"/>
  <c r="V287" i="15" s="1"/>
  <c r="F287" i="15" s="1"/>
  <c r="H287" i="15" s="1"/>
  <c r="P279" i="15"/>
  <c r="V279" i="15" s="1"/>
  <c r="F279" i="15" s="1"/>
  <c r="G279" i="15" s="1"/>
  <c r="BX279" i="6" s="1"/>
  <c r="P263" i="15"/>
  <c r="V263" i="15" s="1"/>
  <c r="F263" i="15" s="1"/>
  <c r="G263" i="15" s="1"/>
  <c r="BX263" i="6" s="1"/>
  <c r="P255" i="15"/>
  <c r="V255" i="15" s="1"/>
  <c r="F255" i="15" s="1"/>
  <c r="G255" i="15" s="1"/>
  <c r="BX255" i="6" s="1"/>
  <c r="P247" i="15"/>
  <c r="V247" i="15" s="1"/>
  <c r="F247" i="15" s="1"/>
  <c r="H247" i="15" s="1"/>
  <c r="P239" i="15"/>
  <c r="V239" i="15" s="1"/>
  <c r="F239" i="15" s="1"/>
  <c r="H239" i="15" s="1"/>
  <c r="P215" i="15"/>
  <c r="V215" i="15" s="1"/>
  <c r="F215" i="15" s="1"/>
  <c r="H215" i="15" s="1"/>
  <c r="P191" i="15"/>
  <c r="V191" i="15" s="1"/>
  <c r="F191" i="15" s="1"/>
  <c r="G191" i="15" s="1"/>
  <c r="BX191" i="6" s="1"/>
  <c r="P187" i="15"/>
  <c r="V187" i="15" s="1"/>
  <c r="F187" i="15" s="1"/>
  <c r="G187" i="15" s="1"/>
  <c r="BX187" i="6" s="1"/>
  <c r="P183" i="15"/>
  <c r="V183" i="15" s="1"/>
  <c r="F183" i="15" s="1"/>
  <c r="H183" i="15" s="1"/>
  <c r="P159" i="15"/>
  <c r="V159" i="15" s="1"/>
  <c r="F159" i="15" s="1"/>
  <c r="G159" i="15" s="1"/>
  <c r="BX159" i="6" s="1"/>
  <c r="P155" i="15"/>
  <c r="V155" i="15" s="1"/>
  <c r="F155" i="15" s="1"/>
  <c r="H155" i="15" s="1"/>
  <c r="P151" i="15"/>
  <c r="V151" i="15" s="1"/>
  <c r="F151" i="15" s="1"/>
  <c r="G151" i="15" s="1"/>
  <c r="BX151" i="6" s="1"/>
  <c r="P139" i="15"/>
  <c r="V139" i="15" s="1"/>
  <c r="F139" i="15" s="1"/>
  <c r="G139" i="15" s="1"/>
  <c r="BX139" i="6" s="1"/>
  <c r="P127" i="15"/>
  <c r="V127" i="15" s="1"/>
  <c r="F127" i="15" s="1"/>
  <c r="H127" i="15" s="1"/>
  <c r="P123" i="15"/>
  <c r="V123" i="15" s="1"/>
  <c r="F123" i="15" s="1"/>
  <c r="H123" i="15" s="1"/>
  <c r="P119" i="15"/>
  <c r="P107" i="15"/>
  <c r="V107" i="15" s="1"/>
  <c r="F107" i="15" s="1"/>
  <c r="G107" i="15" s="1"/>
  <c r="BX107" i="6" s="1"/>
  <c r="P91" i="15"/>
  <c r="V91" i="15" s="1"/>
  <c r="F91" i="15" s="1"/>
  <c r="H91" i="15" s="1"/>
  <c r="V29" i="15"/>
  <c r="F29" i="15" s="1"/>
  <c r="AA29" i="15" s="1"/>
  <c r="Z29" i="15" s="1"/>
  <c r="Y29" i="15" s="1"/>
  <c r="V180" i="15"/>
  <c r="F180" i="15" s="1"/>
  <c r="H180" i="15" s="1"/>
  <c r="D37" i="7"/>
  <c r="V210" i="15"/>
  <c r="F210" i="15" s="1"/>
  <c r="G210" i="15" s="1"/>
  <c r="BX210" i="6" s="1"/>
  <c r="D38" i="7"/>
  <c r="P56" i="15"/>
  <c r="V56" i="15" s="1"/>
  <c r="F56" i="15" s="1"/>
  <c r="P34" i="15"/>
  <c r="V34" i="15" s="1"/>
  <c r="F34" i="15" s="1"/>
  <c r="H34" i="15" s="1"/>
  <c r="P28" i="15"/>
  <c r="V28" i="15" s="1"/>
  <c r="F28" i="15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A68" i="15" s="1"/>
  <c r="Z68" i="15" s="1"/>
  <c r="Y68" i="15" s="1"/>
  <c r="AD72" i="15"/>
  <c r="AD76" i="15"/>
  <c r="AD92" i="15"/>
  <c r="AD104" i="15"/>
  <c r="AA104" i="15" s="1"/>
  <c r="Z104" i="15" s="1"/>
  <c r="Y104" i="15" s="1"/>
  <c r="AD112" i="15"/>
  <c r="AD124" i="15"/>
  <c r="AD136" i="15"/>
  <c r="AD140" i="15"/>
  <c r="AD156" i="15"/>
  <c r="AD160" i="15"/>
  <c r="AD164" i="15"/>
  <c r="AA164" i="15" s="1"/>
  <c r="Z164" i="15" s="1"/>
  <c r="Y164" i="15" s="1"/>
  <c r="AD176" i="15"/>
  <c r="AD184" i="15"/>
  <c r="AA184" i="15" s="1"/>
  <c r="Z184" i="15" s="1"/>
  <c r="Y184" i="15" s="1"/>
  <c r="AD192" i="15"/>
  <c r="AD200" i="15"/>
  <c r="AA200" i="15" s="1"/>
  <c r="Z200" i="15" s="1"/>
  <c r="Y200" i="15" s="1"/>
  <c r="AD216" i="15"/>
  <c r="AA216" i="15" s="1"/>
  <c r="Z216" i="15" s="1"/>
  <c r="Y216" i="15" s="1"/>
  <c r="AD220" i="15"/>
  <c r="AD224" i="15"/>
  <c r="AD236" i="15"/>
  <c r="AD240" i="15"/>
  <c r="AD244" i="15"/>
  <c r="AA244" i="15" s="1"/>
  <c r="Z244" i="15" s="1"/>
  <c r="Y244" i="15" s="1"/>
  <c r="AD264" i="15"/>
  <c r="AD280" i="15"/>
  <c r="AA280" i="15" s="1"/>
  <c r="Z280" i="15" s="1"/>
  <c r="Y280" i="15" s="1"/>
  <c r="AD288" i="15"/>
  <c r="AD316" i="15"/>
  <c r="AD324" i="15"/>
  <c r="AD336" i="15"/>
  <c r="AD340" i="15"/>
  <c r="AD344" i="15"/>
  <c r="AA344" i="15" s="1"/>
  <c r="Z344" i="15" s="1"/>
  <c r="Y344" i="15" s="1"/>
  <c r="AD356" i="15"/>
  <c r="AD360" i="15"/>
  <c r="AA360" i="15" s="1"/>
  <c r="Z360" i="15" s="1"/>
  <c r="Y360" i="15" s="1"/>
  <c r="AJ7" i="16"/>
  <c r="AJ6" i="16"/>
  <c r="AJ9" i="16"/>
  <c r="AJ5" i="16"/>
  <c r="AK5" i="16"/>
  <c r="AM5" i="16"/>
  <c r="AK9" i="16"/>
  <c r="AK6" i="16"/>
  <c r="AM7" i="16"/>
  <c r="AM11" i="16" s="1"/>
  <c r="AK7" i="16"/>
  <c r="AK11" i="16" s="1"/>
  <c r="AM9" i="16"/>
  <c r="L382" i="16"/>
  <c r="L381" i="16"/>
  <c r="D380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A202" i="15" s="1"/>
  <c r="Z202" i="15" s="1"/>
  <c r="Y202" i="15" s="1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C382" i="16"/>
  <c r="AC381" i="16"/>
  <c r="AC383" i="16"/>
  <c r="O383" i="16"/>
  <c r="O382" i="16"/>
  <c r="O381" i="16"/>
  <c r="V26" i="15"/>
  <c r="F26" i="15" s="1"/>
  <c r="V58" i="15"/>
  <c r="F58" i="15" s="1"/>
  <c r="G116" i="15"/>
  <c r="BX116" i="6" s="1"/>
  <c r="H116" i="15"/>
  <c r="G164" i="15"/>
  <c r="BX164" i="6" s="1"/>
  <c r="H164" i="15"/>
  <c r="H168" i="15"/>
  <c r="G243" i="15"/>
  <c r="BX243" i="6" s="1"/>
  <c r="H243" i="15"/>
  <c r="H251" i="15"/>
  <c r="G251" i="15"/>
  <c r="BX251" i="6" s="1"/>
  <c r="G259" i="15"/>
  <c r="BX259" i="6" s="1"/>
  <c r="H259" i="15"/>
  <c r="G267" i="15"/>
  <c r="BX267" i="6" s="1"/>
  <c r="H267" i="15"/>
  <c r="G275" i="15"/>
  <c r="BX275" i="6" s="1"/>
  <c r="H275" i="15"/>
  <c r="G283" i="15"/>
  <c r="BX283" i="6" s="1"/>
  <c r="H283" i="15"/>
  <c r="G291" i="15"/>
  <c r="BX291" i="6" s="1"/>
  <c r="H291" i="15"/>
  <c r="G299" i="15"/>
  <c r="BX299" i="6" s="1"/>
  <c r="H299" i="15"/>
  <c r="H307" i="15"/>
  <c r="G307" i="15"/>
  <c r="BX307" i="6" s="1"/>
  <c r="G212" i="15"/>
  <c r="BX212" i="6" s="1"/>
  <c r="H212" i="15"/>
  <c r="G228" i="15"/>
  <c r="BX228" i="6" s="1"/>
  <c r="H228" i="15"/>
  <c r="G232" i="15"/>
  <c r="BX232" i="6" s="1"/>
  <c r="H232" i="15"/>
  <c r="H244" i="15"/>
  <c r="G244" i="15"/>
  <c r="BX244" i="6" s="1"/>
  <c r="H260" i="15"/>
  <c r="G260" i="15"/>
  <c r="BX260" i="6" s="1"/>
  <c r="H292" i="15"/>
  <c r="G292" i="15"/>
  <c r="BX292" i="6" s="1"/>
  <c r="G125" i="15"/>
  <c r="BX125" i="6" s="1"/>
  <c r="H125" i="15"/>
  <c r="G133" i="15"/>
  <c r="BX133" i="6" s="1"/>
  <c r="H133" i="15"/>
  <c r="G141" i="15"/>
  <c r="BX141" i="6" s="1"/>
  <c r="H141" i="15"/>
  <c r="H149" i="15"/>
  <c r="G149" i="15"/>
  <c r="BX149" i="6" s="1"/>
  <c r="G249" i="15"/>
  <c r="BX249" i="6" s="1"/>
  <c r="H249" i="15"/>
  <c r="G253" i="15"/>
  <c r="BX253" i="6" s="1"/>
  <c r="H253" i="15"/>
  <c r="H265" i="15"/>
  <c r="G265" i="15"/>
  <c r="BX265" i="6" s="1"/>
  <c r="H281" i="15"/>
  <c r="G281" i="15"/>
  <c r="BX281" i="6" s="1"/>
  <c r="V297" i="15"/>
  <c r="F297" i="15" s="1"/>
  <c r="G301" i="15"/>
  <c r="BX301" i="6" s="1"/>
  <c r="H301" i="15"/>
  <c r="G104" i="15"/>
  <c r="BX104" i="6" s="1"/>
  <c r="H104" i="15"/>
  <c r="H120" i="15"/>
  <c r="G120" i="15"/>
  <c r="BX120" i="6" s="1"/>
  <c r="H132" i="15"/>
  <c r="G132" i="15"/>
  <c r="BX132" i="6" s="1"/>
  <c r="H148" i="15"/>
  <c r="G148" i="15"/>
  <c r="BX148" i="6" s="1"/>
  <c r="H131" i="15"/>
  <c r="G131" i="15"/>
  <c r="BX131" i="6" s="1"/>
  <c r="G147" i="15"/>
  <c r="BX147" i="6" s="1"/>
  <c r="H147" i="15"/>
  <c r="G271" i="15"/>
  <c r="BX271" i="6" s="1"/>
  <c r="G19" i="15"/>
  <c r="BX19" i="6" s="1"/>
  <c r="G202" i="15"/>
  <c r="BX202" i="6" s="1"/>
  <c r="H202" i="15"/>
  <c r="H308" i="15"/>
  <c r="G308" i="15"/>
  <c r="BX308" i="6" s="1"/>
  <c r="H312" i="15"/>
  <c r="G312" i="15"/>
  <c r="BX312" i="6" s="1"/>
  <c r="G332" i="15"/>
  <c r="BX332" i="6" s="1"/>
  <c r="H332" i="15"/>
  <c r="G348" i="15"/>
  <c r="BX348" i="6" s="1"/>
  <c r="H348" i="15"/>
  <c r="G364" i="15"/>
  <c r="BX364" i="6" s="1"/>
  <c r="H364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AJ9" i="17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H53" i="15"/>
  <c r="G53" i="15"/>
  <c r="BX53" i="6" s="1"/>
  <c r="H65" i="15"/>
  <c r="G65" i="15"/>
  <c r="BX65" i="6" s="1"/>
  <c r="H81" i="15"/>
  <c r="G81" i="15"/>
  <c r="BX81" i="6" s="1"/>
  <c r="H93" i="15"/>
  <c r="G93" i="15"/>
  <c r="BX93" i="6" s="1"/>
  <c r="G99" i="15"/>
  <c r="BX99" i="6" s="1"/>
  <c r="H99" i="15"/>
  <c r="H103" i="15"/>
  <c r="G103" i="15"/>
  <c r="BX103" i="6" s="1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63" i="15"/>
  <c r="BX163" i="6" s="1"/>
  <c r="H163" i="15"/>
  <c r="G165" i="15"/>
  <c r="BX165" i="6" s="1"/>
  <c r="H165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89" i="15"/>
  <c r="BX189" i="6" s="1"/>
  <c r="H189" i="15"/>
  <c r="G195" i="15"/>
  <c r="BX195" i="6" s="1"/>
  <c r="H195" i="15"/>
  <c r="G205" i="15"/>
  <c r="BX205" i="6" s="1"/>
  <c r="H205" i="15"/>
  <c r="G211" i="15"/>
  <c r="BX211" i="6" s="1"/>
  <c r="H211" i="15"/>
  <c r="G217" i="15"/>
  <c r="BX217" i="6" s="1"/>
  <c r="H217" i="15"/>
  <c r="G219" i="15"/>
  <c r="BX219" i="6" s="1"/>
  <c r="H219" i="15"/>
  <c r="V233" i="15"/>
  <c r="F233" i="15" s="1"/>
  <c r="G235" i="15"/>
  <c r="BX235" i="6" s="1"/>
  <c r="H235" i="15"/>
  <c r="D9" i="17"/>
  <c r="D11" i="17" s="1"/>
  <c r="E38" i="19" s="1"/>
  <c r="D381" i="17"/>
  <c r="D383" i="17"/>
  <c r="D382" i="17"/>
  <c r="AJ7" i="17"/>
  <c r="AK3" i="17"/>
  <c r="Q14" i="19" s="1"/>
  <c r="AG15" i="15"/>
  <c r="E11" i="1"/>
  <c r="F35" i="19" s="1"/>
  <c r="T382" i="15"/>
  <c r="T381" i="15"/>
  <c r="T383" i="15"/>
  <c r="S15" i="15"/>
  <c r="H68" i="15"/>
  <c r="G68" i="15"/>
  <c r="BX68" i="6" s="1"/>
  <c r="G84" i="15"/>
  <c r="BX84" i="6" s="1"/>
  <c r="H84" i="15"/>
  <c r="G184" i="15"/>
  <c r="BX184" i="6" s="1"/>
  <c r="H184" i="15"/>
  <c r="G196" i="15"/>
  <c r="BX196" i="6" s="1"/>
  <c r="H196" i="15"/>
  <c r="G200" i="15"/>
  <c r="BX200" i="6" s="1"/>
  <c r="H200" i="15"/>
  <c r="AJ13" i="1"/>
  <c r="AG23" i="15"/>
  <c r="AF23" i="15" s="1"/>
  <c r="AD23" i="15" s="1"/>
  <c r="AG17" i="15"/>
  <c r="AG19" i="15"/>
  <c r="AF19" i="15" s="1"/>
  <c r="AD19" i="15" s="1"/>
  <c r="AA19" i="15" s="1"/>
  <c r="Z19" i="15" s="1"/>
  <c r="Y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A81" i="15" s="1"/>
  <c r="Z81" i="15" s="1"/>
  <c r="Y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A99" i="15" s="1"/>
  <c r="Z99" i="15" s="1"/>
  <c r="Y99" i="15" s="1"/>
  <c r="AG107" i="15"/>
  <c r="AF107" i="15" s="1"/>
  <c r="AD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A131" i="15" s="1"/>
  <c r="Z131" i="15" s="1"/>
  <c r="Y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A147" i="15" s="1"/>
  <c r="Z147" i="15" s="1"/>
  <c r="Y147" i="15" s="1"/>
  <c r="AG149" i="15"/>
  <c r="AF149" i="15" s="1"/>
  <c r="AD149" i="15" s="1"/>
  <c r="AA149" i="15" s="1"/>
  <c r="Z149" i="15" s="1"/>
  <c r="Y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G165" i="15"/>
  <c r="AF165" i="15" s="1"/>
  <c r="AD165" i="15" s="1"/>
  <c r="AA165" i="15" s="1"/>
  <c r="Z165" i="15" s="1"/>
  <c r="Y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A205" i="15" s="1"/>
  <c r="Z205" i="15" s="1"/>
  <c r="Y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A275" i="15" s="1"/>
  <c r="Z275" i="15" s="1"/>
  <c r="Y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71" i="15"/>
  <c r="AF371" i="15" s="1"/>
  <c r="AD371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A84" i="15" s="1"/>
  <c r="Z84" i="15" s="1"/>
  <c r="Y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A116" i="15" s="1"/>
  <c r="Z116" i="15" s="1"/>
  <c r="Y116" i="15" s="1"/>
  <c r="AG118" i="15"/>
  <c r="AF118" i="15" s="1"/>
  <c r="AD118" i="15" s="1"/>
  <c r="AG120" i="15"/>
  <c r="AF120" i="15" s="1"/>
  <c r="AD120" i="15" s="1"/>
  <c r="AA120" i="15" s="1"/>
  <c r="Z120" i="15" s="1"/>
  <c r="Y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A132" i="15" s="1"/>
  <c r="Z132" i="15" s="1"/>
  <c r="Y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A212" i="15" s="1"/>
  <c r="Z212" i="15" s="1"/>
  <c r="Y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A332" i="15" s="1"/>
  <c r="Z332" i="15" s="1"/>
  <c r="Y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A348" i="15" s="1"/>
  <c r="Z348" i="15" s="1"/>
  <c r="Y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H67" i="15" l="1"/>
  <c r="I67" i="15" s="1"/>
  <c r="H344" i="15"/>
  <c r="J344" i="15" s="1"/>
  <c r="H234" i="15"/>
  <c r="I234" i="15" s="1"/>
  <c r="G224" i="15"/>
  <c r="BX224" i="6" s="1"/>
  <c r="G352" i="15"/>
  <c r="BX352" i="6" s="1"/>
  <c r="G338" i="15"/>
  <c r="BX338" i="6" s="1"/>
  <c r="H258" i="15"/>
  <c r="J258" i="15" s="1"/>
  <c r="H160" i="15"/>
  <c r="J160" i="15" s="1"/>
  <c r="AA346" i="15"/>
  <c r="Z346" i="15" s="1"/>
  <c r="Y346" i="15" s="1"/>
  <c r="AA330" i="15"/>
  <c r="Z330" i="15" s="1"/>
  <c r="Y330" i="15" s="1"/>
  <c r="AD368" i="15"/>
  <c r="AA368" i="15" s="1"/>
  <c r="Z368" i="15" s="1"/>
  <c r="Y368" i="15" s="1"/>
  <c r="AA71" i="15"/>
  <c r="Z71" i="15" s="1"/>
  <c r="Y71" i="15" s="1"/>
  <c r="H83" i="15"/>
  <c r="I83" i="15" s="1"/>
  <c r="G55" i="15"/>
  <c r="BX55" i="6" s="1"/>
  <c r="G322" i="15"/>
  <c r="BX322" i="6" s="1"/>
  <c r="G290" i="15"/>
  <c r="BX290" i="6" s="1"/>
  <c r="AA352" i="15"/>
  <c r="Z352" i="15" s="1"/>
  <c r="Y352" i="15" s="1"/>
  <c r="AA242" i="15"/>
  <c r="Z242" i="15" s="1"/>
  <c r="Y242" i="15" s="1"/>
  <c r="AA83" i="15"/>
  <c r="Z83" i="15" s="1"/>
  <c r="Y83" i="15" s="1"/>
  <c r="G31" i="15"/>
  <c r="BX31" i="6" s="1"/>
  <c r="H328" i="15"/>
  <c r="I328" i="15" s="1"/>
  <c r="G274" i="15"/>
  <c r="BX274" i="6" s="1"/>
  <c r="G242" i="15"/>
  <c r="BX242" i="6" s="1"/>
  <c r="G226" i="15"/>
  <c r="BX226" i="6" s="1"/>
  <c r="G256" i="15"/>
  <c r="BX256" i="6" s="1"/>
  <c r="G216" i="15"/>
  <c r="BX216" i="6" s="1"/>
  <c r="AA338" i="15"/>
  <c r="Z338" i="15" s="1"/>
  <c r="Y338" i="15" s="1"/>
  <c r="AA328" i="15"/>
  <c r="Z328" i="15" s="1"/>
  <c r="Y328" i="15" s="1"/>
  <c r="AA274" i="15"/>
  <c r="Z274" i="15" s="1"/>
  <c r="Y274" i="15" s="1"/>
  <c r="AA256" i="15"/>
  <c r="Z256" i="15" s="1"/>
  <c r="Y256" i="15" s="1"/>
  <c r="AA226" i="15"/>
  <c r="Z226" i="15" s="1"/>
  <c r="Y226" i="15" s="1"/>
  <c r="AA55" i="15"/>
  <c r="Z55" i="15" s="1"/>
  <c r="Y55" i="15" s="1"/>
  <c r="AA322" i="15"/>
  <c r="Z322" i="15" s="1"/>
  <c r="Y322" i="15" s="1"/>
  <c r="AA290" i="15"/>
  <c r="Z290" i="15" s="1"/>
  <c r="Y290" i="15" s="1"/>
  <c r="AA258" i="15"/>
  <c r="Z258" i="15" s="1"/>
  <c r="Y258" i="15" s="1"/>
  <c r="H360" i="15"/>
  <c r="J360" i="15" s="1"/>
  <c r="H320" i="15"/>
  <c r="I320" i="15" s="1"/>
  <c r="H266" i="15"/>
  <c r="J266" i="15" s="1"/>
  <c r="W2" i="7"/>
  <c r="H47" i="15"/>
  <c r="I47" i="15" s="1"/>
  <c r="G346" i="15"/>
  <c r="BX346" i="6" s="1"/>
  <c r="G330" i="15"/>
  <c r="BX330" i="6" s="1"/>
  <c r="H306" i="15"/>
  <c r="I306" i="15" s="1"/>
  <c r="G282" i="15"/>
  <c r="BX282" i="6" s="1"/>
  <c r="H250" i="15"/>
  <c r="J250" i="15" s="1"/>
  <c r="H218" i="15"/>
  <c r="I218" i="15" s="1"/>
  <c r="H280" i="15"/>
  <c r="I280" i="15" s="1"/>
  <c r="AA320" i="15"/>
  <c r="Z320" i="15" s="1"/>
  <c r="Y320" i="15" s="1"/>
  <c r="AA306" i="15"/>
  <c r="Z306" i="15" s="1"/>
  <c r="Y306" i="15" s="1"/>
  <c r="AA266" i="15"/>
  <c r="Z266" i="15" s="1"/>
  <c r="Y266" i="15" s="1"/>
  <c r="AA250" i="15"/>
  <c r="Z250" i="15" s="1"/>
  <c r="Y250" i="15" s="1"/>
  <c r="AA218" i="15"/>
  <c r="Z218" i="15" s="1"/>
  <c r="Y218" i="15" s="1"/>
  <c r="AA282" i="15"/>
  <c r="Z282" i="15" s="1"/>
  <c r="Y282" i="15" s="1"/>
  <c r="AA234" i="15"/>
  <c r="Z234" i="15" s="1"/>
  <c r="Y234" i="15" s="1"/>
  <c r="AA224" i="15"/>
  <c r="Z224" i="15" s="1"/>
  <c r="Y224" i="15" s="1"/>
  <c r="AA190" i="15"/>
  <c r="Z190" i="15" s="1"/>
  <c r="Y190" i="15" s="1"/>
  <c r="AA158" i="15"/>
  <c r="Z158" i="15" s="1"/>
  <c r="Y158" i="15" s="1"/>
  <c r="AA126" i="15"/>
  <c r="Z126" i="15" s="1"/>
  <c r="Y126" i="15" s="1"/>
  <c r="AA110" i="15"/>
  <c r="Z110" i="15" s="1"/>
  <c r="Y110" i="15" s="1"/>
  <c r="AA96" i="15"/>
  <c r="Z96" i="15" s="1"/>
  <c r="Y96" i="15" s="1"/>
  <c r="H192" i="15"/>
  <c r="J192" i="15" s="1"/>
  <c r="H49" i="15"/>
  <c r="J49" i="15" s="1"/>
  <c r="G158" i="15"/>
  <c r="BX158" i="6" s="1"/>
  <c r="G110" i="15"/>
  <c r="BX110" i="6" s="1"/>
  <c r="H96" i="15"/>
  <c r="I96" i="15" s="1"/>
  <c r="G174" i="15"/>
  <c r="BX174" i="6" s="1"/>
  <c r="H126" i="15"/>
  <c r="J126" i="15" s="1"/>
  <c r="H94" i="15"/>
  <c r="I94" i="15" s="1"/>
  <c r="H198" i="15"/>
  <c r="J198" i="15" s="1"/>
  <c r="AA198" i="15"/>
  <c r="Z198" i="15" s="1"/>
  <c r="Y198" i="15" s="1"/>
  <c r="AA168" i="15"/>
  <c r="Z168" i="15" s="1"/>
  <c r="Y168" i="15" s="1"/>
  <c r="AA128" i="15"/>
  <c r="Z128" i="15" s="1"/>
  <c r="Y128" i="15" s="1"/>
  <c r="AA118" i="15"/>
  <c r="Z118" i="15" s="1"/>
  <c r="Y118" i="15" s="1"/>
  <c r="G72" i="15"/>
  <c r="BX72" i="6" s="1"/>
  <c r="H33" i="15"/>
  <c r="J33" i="15" s="1"/>
  <c r="G182" i="15"/>
  <c r="BX182" i="6" s="1"/>
  <c r="G128" i="15"/>
  <c r="BX128" i="6" s="1"/>
  <c r="G166" i="15"/>
  <c r="BX166" i="6" s="1"/>
  <c r="G142" i="15"/>
  <c r="BX142" i="6" s="1"/>
  <c r="G118" i="15"/>
  <c r="BX118" i="6" s="1"/>
  <c r="G102" i="15"/>
  <c r="BX102" i="6" s="1"/>
  <c r="AA142" i="15"/>
  <c r="Z142" i="15" s="1"/>
  <c r="Y142" i="15" s="1"/>
  <c r="AA102" i="15"/>
  <c r="Z102" i="15" s="1"/>
  <c r="Y102" i="15" s="1"/>
  <c r="AA356" i="15"/>
  <c r="Z356" i="15" s="1"/>
  <c r="Y356" i="15" s="1"/>
  <c r="G61" i="15"/>
  <c r="BX61" i="6" s="1"/>
  <c r="G190" i="15"/>
  <c r="BX190" i="6" s="1"/>
  <c r="G78" i="15"/>
  <c r="BX78" i="6" s="1"/>
  <c r="AA33" i="15"/>
  <c r="Z33" i="15" s="1"/>
  <c r="Y33" i="15" s="1"/>
  <c r="H356" i="15"/>
  <c r="J356" i="15" s="1"/>
  <c r="G86" i="15"/>
  <c r="BX86" i="6" s="1"/>
  <c r="G70" i="15"/>
  <c r="BX70" i="6" s="1"/>
  <c r="AA72" i="15"/>
  <c r="Z72" i="15" s="1"/>
  <c r="Y72" i="15" s="1"/>
  <c r="AA174" i="15"/>
  <c r="Z174" i="15" s="1"/>
  <c r="Y174" i="15" s="1"/>
  <c r="AA94" i="15"/>
  <c r="Z94" i="15" s="1"/>
  <c r="Y94" i="15" s="1"/>
  <c r="AA61" i="15"/>
  <c r="Z61" i="15" s="1"/>
  <c r="Y61" i="15" s="1"/>
  <c r="H372" i="15"/>
  <c r="I372" i="15" s="1"/>
  <c r="H340" i="15"/>
  <c r="I340" i="15" s="1"/>
  <c r="AA78" i="15"/>
  <c r="Z78" i="15" s="1"/>
  <c r="Y78" i="15" s="1"/>
  <c r="AA192" i="15"/>
  <c r="Z192" i="15" s="1"/>
  <c r="Y192" i="15" s="1"/>
  <c r="AA160" i="15"/>
  <c r="Z160" i="15" s="1"/>
  <c r="Y160" i="15" s="1"/>
  <c r="AA86" i="15"/>
  <c r="Z86" i="15" s="1"/>
  <c r="Y86" i="15" s="1"/>
  <c r="AA182" i="15"/>
  <c r="Z182" i="15" s="1"/>
  <c r="Y182" i="15" s="1"/>
  <c r="AA166" i="15"/>
  <c r="Z166" i="15" s="1"/>
  <c r="Y166" i="15" s="1"/>
  <c r="AA70" i="15"/>
  <c r="Z70" i="15" s="1"/>
  <c r="Y70" i="15" s="1"/>
  <c r="AA340" i="15"/>
  <c r="Z340" i="15" s="1"/>
  <c r="Y340" i="15" s="1"/>
  <c r="AH379" i="15"/>
  <c r="AG379" i="15" s="1"/>
  <c r="AF379" i="15" s="1"/>
  <c r="AD379" i="15" s="1"/>
  <c r="AI12" i="16"/>
  <c r="D34" i="7"/>
  <c r="G368" i="15"/>
  <c r="BX368" i="6" s="1"/>
  <c r="H152" i="15"/>
  <c r="I152" i="15" s="1"/>
  <c r="AA304" i="15"/>
  <c r="Z304" i="15" s="1"/>
  <c r="Y304" i="15" s="1"/>
  <c r="G365" i="15"/>
  <c r="BX365" i="6" s="1"/>
  <c r="D33" i="7"/>
  <c r="V379" i="15"/>
  <c r="F379" i="15" s="1"/>
  <c r="AA379" i="15" s="1"/>
  <c r="Z379" i="15" s="1"/>
  <c r="Y379" i="15" s="1"/>
  <c r="D36" i="19"/>
  <c r="AA152" i="15"/>
  <c r="Z152" i="15" s="1"/>
  <c r="Y152" i="15" s="1"/>
  <c r="H304" i="15"/>
  <c r="I304" i="15" s="1"/>
  <c r="L37" i="19"/>
  <c r="G188" i="15"/>
  <c r="BX188" i="6" s="1"/>
  <c r="H176" i="15"/>
  <c r="J176" i="15" s="1"/>
  <c r="AA150" i="15"/>
  <c r="Z150" i="15" s="1"/>
  <c r="Y150" i="15" s="1"/>
  <c r="AA236" i="15"/>
  <c r="Z236" i="15" s="1"/>
  <c r="Y236" i="15" s="1"/>
  <c r="AA112" i="15"/>
  <c r="Z112" i="15" s="1"/>
  <c r="Y112" i="15" s="1"/>
  <c r="AD373" i="15"/>
  <c r="AA373" i="15" s="1"/>
  <c r="Z373" i="15" s="1"/>
  <c r="Y373" i="15" s="1"/>
  <c r="AA43" i="15"/>
  <c r="Z43" i="15" s="1"/>
  <c r="Y43" i="15" s="1"/>
  <c r="U10" i="16"/>
  <c r="H208" i="15"/>
  <c r="I208" i="15" s="1"/>
  <c r="H240" i="15"/>
  <c r="I240" i="15" s="1"/>
  <c r="H144" i="15"/>
  <c r="I144" i="15" s="1"/>
  <c r="U25" i="16"/>
  <c r="T25" i="16" s="1"/>
  <c r="S25" i="16" s="1"/>
  <c r="R25" i="16" s="1"/>
  <c r="AG378" i="15"/>
  <c r="AF378" i="15" s="1"/>
  <c r="AD378" i="15" s="1"/>
  <c r="AA378" i="15" s="1"/>
  <c r="Z378" i="15" s="1"/>
  <c r="Y378" i="15" s="1"/>
  <c r="AI383" i="15"/>
  <c r="AI382" i="15"/>
  <c r="H63" i="15"/>
  <c r="I63" i="15" s="1"/>
  <c r="H336" i="15"/>
  <c r="J336" i="15" s="1"/>
  <c r="AD374" i="15"/>
  <c r="AA254" i="15"/>
  <c r="Z254" i="15" s="1"/>
  <c r="Y254" i="15" s="1"/>
  <c r="AA240" i="15"/>
  <c r="Z240" i="15" s="1"/>
  <c r="Y240" i="15" s="1"/>
  <c r="AA208" i="15"/>
  <c r="Z208" i="15" s="1"/>
  <c r="Y208" i="15" s="1"/>
  <c r="AA336" i="15"/>
  <c r="Z336" i="15" s="1"/>
  <c r="Y336" i="15" s="1"/>
  <c r="AA303" i="15"/>
  <c r="Z303" i="15" s="1"/>
  <c r="Y303" i="15" s="1"/>
  <c r="AA347" i="15"/>
  <c r="Z347" i="15" s="1"/>
  <c r="Y347" i="15" s="1"/>
  <c r="AA59" i="15"/>
  <c r="Z59" i="15" s="1"/>
  <c r="Y59" i="15" s="1"/>
  <c r="H87" i="15"/>
  <c r="I87" i="15" s="1"/>
  <c r="H59" i="15"/>
  <c r="J59" i="15" s="1"/>
  <c r="H112" i="15"/>
  <c r="I112" i="15" s="1"/>
  <c r="G321" i="15"/>
  <c r="BX321" i="6" s="1"/>
  <c r="H273" i="15"/>
  <c r="I273" i="15" s="1"/>
  <c r="H236" i="15"/>
  <c r="I236" i="15" s="1"/>
  <c r="H76" i="15"/>
  <c r="I76" i="15" s="1"/>
  <c r="G59" i="15"/>
  <c r="BX59" i="6" s="1"/>
  <c r="G140" i="15"/>
  <c r="BX140" i="6" s="1"/>
  <c r="H27" i="15"/>
  <c r="I27" i="15" s="1"/>
  <c r="G300" i="15"/>
  <c r="BX300" i="6" s="1"/>
  <c r="H150" i="15"/>
  <c r="I150" i="15" s="1"/>
  <c r="G80" i="15"/>
  <c r="BX80" i="6" s="1"/>
  <c r="AH364" i="15"/>
  <c r="AI381" i="15"/>
  <c r="G268" i="15"/>
  <c r="BX268" i="6" s="1"/>
  <c r="G254" i="15"/>
  <c r="BX254" i="6" s="1"/>
  <c r="AA300" i="15"/>
  <c r="Z300" i="15" s="1"/>
  <c r="Y300" i="15" s="1"/>
  <c r="AA188" i="15"/>
  <c r="Z188" i="15" s="1"/>
  <c r="Y188" i="15" s="1"/>
  <c r="AA87" i="15"/>
  <c r="Z87" i="15" s="1"/>
  <c r="Y87" i="15" s="1"/>
  <c r="AA27" i="15"/>
  <c r="Z27" i="15" s="1"/>
  <c r="Y27" i="15" s="1"/>
  <c r="G100" i="15"/>
  <c r="BX100" i="6" s="1"/>
  <c r="AA374" i="15"/>
  <c r="Z374" i="15" s="1"/>
  <c r="Y374" i="15" s="1"/>
  <c r="AA342" i="15"/>
  <c r="Z342" i="15" s="1"/>
  <c r="Y342" i="15" s="1"/>
  <c r="AA294" i="15"/>
  <c r="Z294" i="15" s="1"/>
  <c r="Y294" i="15" s="1"/>
  <c r="AA134" i="15"/>
  <c r="Z134" i="15" s="1"/>
  <c r="Y134" i="15" s="1"/>
  <c r="AA176" i="15"/>
  <c r="Z176" i="15" s="1"/>
  <c r="Y176" i="15" s="1"/>
  <c r="AA140" i="15"/>
  <c r="Z140" i="15" s="1"/>
  <c r="Y140" i="15" s="1"/>
  <c r="AA76" i="15"/>
  <c r="Z76" i="15" s="1"/>
  <c r="Y76" i="15" s="1"/>
  <c r="H124" i="15"/>
  <c r="J124" i="15" s="1"/>
  <c r="G124" i="15"/>
  <c r="BX124" i="6" s="1"/>
  <c r="G220" i="15"/>
  <c r="BX220" i="6" s="1"/>
  <c r="H220" i="15"/>
  <c r="I220" i="15" s="1"/>
  <c r="G204" i="15"/>
  <c r="BX204" i="6" s="1"/>
  <c r="H204" i="15"/>
  <c r="J204" i="15" s="1"/>
  <c r="H214" i="15"/>
  <c r="I214" i="15" s="1"/>
  <c r="G214" i="15"/>
  <c r="BX214" i="6" s="1"/>
  <c r="U173" i="16"/>
  <c r="T173" i="16" s="1"/>
  <c r="S173" i="16" s="1"/>
  <c r="R173" i="16" s="1"/>
  <c r="AA268" i="15"/>
  <c r="Z268" i="15" s="1"/>
  <c r="Y268" i="15" s="1"/>
  <c r="AA214" i="15"/>
  <c r="Z214" i="15" s="1"/>
  <c r="Y214" i="15" s="1"/>
  <c r="AA144" i="15"/>
  <c r="Z144" i="15" s="1"/>
  <c r="Y144" i="15" s="1"/>
  <c r="AA80" i="15"/>
  <c r="Z80" i="15" s="1"/>
  <c r="Y80" i="15" s="1"/>
  <c r="AA220" i="15"/>
  <c r="Z220" i="15" s="1"/>
  <c r="Y220" i="15" s="1"/>
  <c r="AA156" i="15"/>
  <c r="Z156" i="15" s="1"/>
  <c r="Y156" i="15" s="1"/>
  <c r="H199" i="15"/>
  <c r="I199" i="15" s="1"/>
  <c r="G199" i="15"/>
  <c r="BX199" i="6" s="1"/>
  <c r="AA79" i="15"/>
  <c r="Z79" i="15" s="1"/>
  <c r="Y79" i="15" s="1"/>
  <c r="H79" i="15"/>
  <c r="I79" i="15" s="1"/>
  <c r="H156" i="15"/>
  <c r="J156" i="15" s="1"/>
  <c r="G156" i="15"/>
  <c r="BX156" i="6" s="1"/>
  <c r="G43" i="15"/>
  <c r="BX43" i="6" s="1"/>
  <c r="H43" i="15"/>
  <c r="J43" i="15" s="1"/>
  <c r="AA204" i="15"/>
  <c r="Z204" i="15" s="1"/>
  <c r="Y204" i="15" s="1"/>
  <c r="AA63" i="15"/>
  <c r="Z63" i="15" s="1"/>
  <c r="Y63" i="15" s="1"/>
  <c r="AA124" i="15"/>
  <c r="Z124" i="15" s="1"/>
  <c r="Y124" i="15" s="1"/>
  <c r="AA199" i="15"/>
  <c r="Z199" i="15" s="1"/>
  <c r="Y199" i="15" s="1"/>
  <c r="H193" i="15"/>
  <c r="I193" i="15" s="1"/>
  <c r="H73" i="15"/>
  <c r="J73" i="15" s="1"/>
  <c r="E9" i="17"/>
  <c r="E11" i="17" s="1"/>
  <c r="H316" i="15"/>
  <c r="J316" i="15" s="1"/>
  <c r="H374" i="15"/>
  <c r="I374" i="15" s="1"/>
  <c r="G350" i="15"/>
  <c r="BX350" i="6" s="1"/>
  <c r="G353" i="15"/>
  <c r="BX353" i="6" s="1"/>
  <c r="H225" i="15"/>
  <c r="I225" i="15" s="1"/>
  <c r="H378" i="15"/>
  <c r="J378" i="15" s="1"/>
  <c r="H246" i="15"/>
  <c r="J246" i="15" s="1"/>
  <c r="H337" i="15"/>
  <c r="I337" i="15" s="1"/>
  <c r="H121" i="15"/>
  <c r="I121" i="15" s="1"/>
  <c r="H270" i="15"/>
  <c r="I270" i="15" s="1"/>
  <c r="AA270" i="15"/>
  <c r="Z270" i="15" s="1"/>
  <c r="Y270" i="15" s="1"/>
  <c r="AA246" i="15"/>
  <c r="Z246" i="15" s="1"/>
  <c r="Y246" i="15" s="1"/>
  <c r="AA225" i="15"/>
  <c r="Z225" i="15" s="1"/>
  <c r="Y225" i="15" s="1"/>
  <c r="AA209" i="15"/>
  <c r="Z209" i="15" s="1"/>
  <c r="Y209" i="15" s="1"/>
  <c r="AA137" i="15"/>
  <c r="Z137" i="15" s="1"/>
  <c r="Y137" i="15" s="1"/>
  <c r="AA121" i="15"/>
  <c r="Z121" i="15" s="1"/>
  <c r="Y121" i="15" s="1"/>
  <c r="G373" i="15"/>
  <c r="BX373" i="6" s="1"/>
  <c r="G209" i="15"/>
  <c r="BX209" i="6" s="1"/>
  <c r="H185" i="15"/>
  <c r="I185" i="15" s="1"/>
  <c r="H169" i="15"/>
  <c r="J169" i="15" s="1"/>
  <c r="G153" i="15"/>
  <c r="BX153" i="6" s="1"/>
  <c r="H105" i="15"/>
  <c r="J105" i="15" s="1"/>
  <c r="H89" i="15"/>
  <c r="J89" i="15" s="1"/>
  <c r="H37" i="15"/>
  <c r="I37" i="15" s="1"/>
  <c r="G342" i="15"/>
  <c r="BX342" i="6" s="1"/>
  <c r="H318" i="15"/>
  <c r="I318" i="15" s="1"/>
  <c r="G310" i="15"/>
  <c r="BX310" i="6" s="1"/>
  <c r="G327" i="15"/>
  <c r="BX327" i="6" s="1"/>
  <c r="H286" i="15"/>
  <c r="I286" i="15" s="1"/>
  <c r="H361" i="15"/>
  <c r="I361" i="15" s="1"/>
  <c r="H345" i="15"/>
  <c r="J345" i="15" s="1"/>
  <c r="G329" i="15"/>
  <c r="BX329" i="6" s="1"/>
  <c r="H313" i="15"/>
  <c r="J313" i="15" s="1"/>
  <c r="H289" i="15"/>
  <c r="J289" i="15" s="1"/>
  <c r="G137" i="15"/>
  <c r="BX137" i="6" s="1"/>
  <c r="G134" i="15"/>
  <c r="BX134" i="6" s="1"/>
  <c r="H294" i="15"/>
  <c r="I294" i="15" s="1"/>
  <c r="G230" i="15"/>
  <c r="BX230" i="6" s="1"/>
  <c r="AA350" i="15"/>
  <c r="Z350" i="15" s="1"/>
  <c r="Y350" i="15" s="1"/>
  <c r="AA316" i="15"/>
  <c r="Z316" i="15" s="1"/>
  <c r="Y316" i="15" s="1"/>
  <c r="AA345" i="15"/>
  <c r="Z345" i="15" s="1"/>
  <c r="Y345" i="15" s="1"/>
  <c r="AA337" i="15"/>
  <c r="Z337" i="15" s="1"/>
  <c r="Y337" i="15" s="1"/>
  <c r="AA289" i="15"/>
  <c r="Z289" i="15" s="1"/>
  <c r="Y289" i="15" s="1"/>
  <c r="AA273" i="15"/>
  <c r="Z273" i="15" s="1"/>
  <c r="Y273" i="15" s="1"/>
  <c r="AA169" i="15"/>
  <c r="Z169" i="15" s="1"/>
  <c r="Y169" i="15" s="1"/>
  <c r="AA153" i="15"/>
  <c r="Z153" i="15" s="1"/>
  <c r="Y153" i="15" s="1"/>
  <c r="AA89" i="15"/>
  <c r="Z89" i="15" s="1"/>
  <c r="Y89" i="15" s="1"/>
  <c r="AA37" i="15"/>
  <c r="Z37" i="15" s="1"/>
  <c r="Y37" i="15" s="1"/>
  <c r="AJ11" i="16"/>
  <c r="H261" i="15"/>
  <c r="I261" i="15" s="1"/>
  <c r="H222" i="15"/>
  <c r="J222" i="15" s="1"/>
  <c r="G231" i="15"/>
  <c r="BX231" i="6" s="1"/>
  <c r="G91" i="15"/>
  <c r="BX91" i="6" s="1"/>
  <c r="AA286" i="15"/>
  <c r="Z286" i="15" s="1"/>
  <c r="Y286" i="15" s="1"/>
  <c r="AA100" i="15"/>
  <c r="Z100" i="15" s="1"/>
  <c r="Y100" i="15" s="1"/>
  <c r="AA361" i="15"/>
  <c r="Z361" i="15" s="1"/>
  <c r="Y361" i="15" s="1"/>
  <c r="AA329" i="15"/>
  <c r="Z329" i="15" s="1"/>
  <c r="Y329" i="15" s="1"/>
  <c r="AA321" i="15"/>
  <c r="Z321" i="15" s="1"/>
  <c r="Y321" i="15" s="1"/>
  <c r="AA193" i="15"/>
  <c r="Z193" i="15" s="1"/>
  <c r="Y193" i="15" s="1"/>
  <c r="AA185" i="15"/>
  <c r="Z185" i="15" s="1"/>
  <c r="Y185" i="15" s="1"/>
  <c r="H371" i="15"/>
  <c r="J371" i="15" s="1"/>
  <c r="G215" i="15"/>
  <c r="BX215" i="6" s="1"/>
  <c r="G355" i="15"/>
  <c r="BX355" i="6" s="1"/>
  <c r="AA310" i="15"/>
  <c r="Z310" i="15" s="1"/>
  <c r="Y310" i="15" s="1"/>
  <c r="AA230" i="15"/>
  <c r="Z230" i="15" s="1"/>
  <c r="Y230" i="15" s="1"/>
  <c r="AA313" i="15"/>
  <c r="Z313" i="15" s="1"/>
  <c r="Y313" i="15" s="1"/>
  <c r="AA105" i="15"/>
  <c r="Z105" i="15" s="1"/>
  <c r="Y105" i="15" s="1"/>
  <c r="AA73" i="15"/>
  <c r="Z73" i="15" s="1"/>
  <c r="Y73" i="15" s="1"/>
  <c r="AA353" i="15"/>
  <c r="Z353" i="15" s="1"/>
  <c r="Y353" i="15" s="1"/>
  <c r="V241" i="15"/>
  <c r="F241" i="15" s="1"/>
  <c r="G241" i="15" s="1"/>
  <c r="BX241" i="6" s="1"/>
  <c r="D42" i="7"/>
  <c r="H269" i="15"/>
  <c r="I269" i="15" s="1"/>
  <c r="AA129" i="15"/>
  <c r="Z129" i="15" s="1"/>
  <c r="Y129" i="15" s="1"/>
  <c r="AA123" i="15"/>
  <c r="Z123" i="15" s="1"/>
  <c r="Y123" i="15" s="1"/>
  <c r="H237" i="15"/>
  <c r="I237" i="15" s="1"/>
  <c r="H229" i="15"/>
  <c r="J229" i="15" s="1"/>
  <c r="G223" i="15"/>
  <c r="BX223" i="6" s="1"/>
  <c r="H191" i="15"/>
  <c r="I191" i="15" s="1"/>
  <c r="AA183" i="15"/>
  <c r="Z183" i="15" s="1"/>
  <c r="Y183" i="15" s="1"/>
  <c r="H45" i="15"/>
  <c r="I45" i="15" s="1"/>
  <c r="AA35" i="15"/>
  <c r="Z35" i="15" s="1"/>
  <c r="Y35" i="15" s="1"/>
  <c r="E381" i="17"/>
  <c r="G122" i="15"/>
  <c r="BX122" i="6" s="1"/>
  <c r="H377" i="15"/>
  <c r="J377" i="15" s="1"/>
  <c r="G367" i="15"/>
  <c r="BX367" i="6" s="1"/>
  <c r="H241" i="15"/>
  <c r="J241" i="15" s="1"/>
  <c r="G213" i="15"/>
  <c r="BX213" i="6" s="1"/>
  <c r="H207" i="15"/>
  <c r="I207" i="15" s="1"/>
  <c r="G113" i="15"/>
  <c r="BX113" i="6" s="1"/>
  <c r="H107" i="15"/>
  <c r="I107" i="15" s="1"/>
  <c r="H97" i="15"/>
  <c r="J97" i="15" s="1"/>
  <c r="H71" i="15"/>
  <c r="I71" i="15" s="1"/>
  <c r="E383" i="17"/>
  <c r="H74" i="15"/>
  <c r="J74" i="15" s="1"/>
  <c r="H351" i="15"/>
  <c r="I351" i="15" s="1"/>
  <c r="H279" i="15"/>
  <c r="J279" i="15" s="1"/>
  <c r="AA255" i="15"/>
  <c r="Z255" i="15" s="1"/>
  <c r="Y255" i="15" s="1"/>
  <c r="G305" i="15"/>
  <c r="BX305" i="6" s="1"/>
  <c r="G285" i="15"/>
  <c r="BX285" i="6" s="1"/>
  <c r="G178" i="15"/>
  <c r="BX178" i="6" s="1"/>
  <c r="G143" i="15"/>
  <c r="BX143" i="6" s="1"/>
  <c r="AA327" i="15"/>
  <c r="Z327" i="15" s="1"/>
  <c r="Y327" i="15" s="1"/>
  <c r="AA319" i="15"/>
  <c r="Z319" i="15" s="1"/>
  <c r="Y319" i="15" s="1"/>
  <c r="AA293" i="15"/>
  <c r="Z293" i="15" s="1"/>
  <c r="Y293" i="15" s="1"/>
  <c r="AA191" i="15"/>
  <c r="Z191" i="15" s="1"/>
  <c r="Y191" i="15" s="1"/>
  <c r="AA375" i="15"/>
  <c r="Z375" i="15" s="1"/>
  <c r="Y375" i="15" s="1"/>
  <c r="G369" i="15"/>
  <c r="BX369" i="6" s="1"/>
  <c r="AA241" i="15"/>
  <c r="Z241" i="15" s="1"/>
  <c r="Y241" i="15" s="1"/>
  <c r="G177" i="15"/>
  <c r="BX177" i="6" s="1"/>
  <c r="G167" i="15"/>
  <c r="BX167" i="6" s="1"/>
  <c r="AA161" i="15"/>
  <c r="Z161" i="15" s="1"/>
  <c r="Y161" i="15" s="1"/>
  <c r="G71" i="15"/>
  <c r="BX71" i="6" s="1"/>
  <c r="H39" i="15"/>
  <c r="J39" i="15" s="1"/>
  <c r="E382" i="17"/>
  <c r="AK8" i="17"/>
  <c r="H314" i="15"/>
  <c r="J314" i="15" s="1"/>
  <c r="G343" i="15"/>
  <c r="BX343" i="6" s="1"/>
  <c r="AA311" i="15"/>
  <c r="Z311" i="15" s="1"/>
  <c r="Y311" i="15" s="1"/>
  <c r="AA139" i="15"/>
  <c r="Z139" i="15" s="1"/>
  <c r="Y139" i="15" s="1"/>
  <c r="H357" i="15"/>
  <c r="I357" i="15" s="1"/>
  <c r="H349" i="15"/>
  <c r="J349" i="15" s="1"/>
  <c r="G317" i="15"/>
  <c r="BX317" i="6" s="1"/>
  <c r="AA277" i="15"/>
  <c r="Z277" i="15" s="1"/>
  <c r="Y277" i="15" s="1"/>
  <c r="G257" i="15"/>
  <c r="BX257" i="6" s="1"/>
  <c r="G276" i="15"/>
  <c r="BX276" i="6" s="1"/>
  <c r="G146" i="15"/>
  <c r="BX146" i="6" s="1"/>
  <c r="H90" i="15"/>
  <c r="I90" i="15" s="1"/>
  <c r="G262" i="15"/>
  <c r="BX262" i="6" s="1"/>
  <c r="AA45" i="15"/>
  <c r="Z45" i="15" s="1"/>
  <c r="Y45" i="15" s="1"/>
  <c r="AA69" i="15"/>
  <c r="Z69" i="15" s="1"/>
  <c r="Y69" i="15" s="1"/>
  <c r="AA77" i="15"/>
  <c r="Z77" i="15" s="1"/>
  <c r="Y77" i="15" s="1"/>
  <c r="AA201" i="15"/>
  <c r="Z201" i="15" s="1"/>
  <c r="Y201" i="15" s="1"/>
  <c r="AA269" i="15"/>
  <c r="Z269" i="15" s="1"/>
  <c r="Y269" i="15" s="1"/>
  <c r="AA221" i="15"/>
  <c r="Z221" i="15" s="1"/>
  <c r="Y221" i="15" s="1"/>
  <c r="AA370" i="15"/>
  <c r="Z370" i="15" s="1"/>
  <c r="Y370" i="15" s="1"/>
  <c r="AA326" i="15"/>
  <c r="Z326" i="15" s="1"/>
  <c r="Y326" i="15" s="1"/>
  <c r="AA314" i="15"/>
  <c r="Z314" i="15" s="1"/>
  <c r="Y314" i="15" s="1"/>
  <c r="AA296" i="15"/>
  <c r="Z296" i="15" s="1"/>
  <c r="Y296" i="15" s="1"/>
  <c r="AA276" i="15"/>
  <c r="Z276" i="15" s="1"/>
  <c r="Y276" i="15" s="1"/>
  <c r="AA248" i="15"/>
  <c r="Z248" i="15" s="1"/>
  <c r="Y248" i="15" s="1"/>
  <c r="AA222" i="15"/>
  <c r="Z222" i="15" s="1"/>
  <c r="Y222" i="15" s="1"/>
  <c r="AA194" i="15"/>
  <c r="Z194" i="15" s="1"/>
  <c r="Y194" i="15" s="1"/>
  <c r="AA180" i="15"/>
  <c r="Z180" i="15" s="1"/>
  <c r="Y180" i="15" s="1"/>
  <c r="AA122" i="15"/>
  <c r="Z122" i="15" s="1"/>
  <c r="Y122" i="15" s="1"/>
  <c r="AA377" i="15"/>
  <c r="Z377" i="15" s="1"/>
  <c r="Y377" i="15" s="1"/>
  <c r="AA369" i="15"/>
  <c r="Z369" i="15" s="1"/>
  <c r="Y369" i="15" s="1"/>
  <c r="AA325" i="15"/>
  <c r="Z325" i="15" s="1"/>
  <c r="Y325" i="15" s="1"/>
  <c r="AA305" i="15"/>
  <c r="Z305" i="15" s="1"/>
  <c r="Y305" i="15" s="1"/>
  <c r="AA167" i="15"/>
  <c r="Z167" i="15" s="1"/>
  <c r="Y167" i="15" s="1"/>
  <c r="AA113" i="15"/>
  <c r="Z113" i="15" s="1"/>
  <c r="Y113" i="15" s="1"/>
  <c r="H375" i="15"/>
  <c r="I375" i="15" s="1"/>
  <c r="G239" i="15"/>
  <c r="BX239" i="6" s="1"/>
  <c r="H221" i="15"/>
  <c r="J221" i="15" s="1"/>
  <c r="AA207" i="15"/>
  <c r="Z207" i="15" s="1"/>
  <c r="Y207" i="15" s="1"/>
  <c r="G201" i="15"/>
  <c r="BX201" i="6" s="1"/>
  <c r="G183" i="15"/>
  <c r="BX183" i="6" s="1"/>
  <c r="H161" i="15"/>
  <c r="J161" i="15" s="1"/>
  <c r="G155" i="15"/>
  <c r="BX155" i="6" s="1"/>
  <c r="H77" i="15"/>
  <c r="I77" i="15" s="1"/>
  <c r="G69" i="15"/>
  <c r="BX69" i="6" s="1"/>
  <c r="H57" i="15"/>
  <c r="I57" i="15" s="1"/>
  <c r="H35" i="15"/>
  <c r="I35" i="15" s="1"/>
  <c r="G370" i="15"/>
  <c r="BX370" i="6" s="1"/>
  <c r="H326" i="15"/>
  <c r="I326" i="15" s="1"/>
  <c r="G194" i="15"/>
  <c r="BX194" i="6" s="1"/>
  <c r="G359" i="15"/>
  <c r="BX359" i="6" s="1"/>
  <c r="G335" i="15"/>
  <c r="BX335" i="6" s="1"/>
  <c r="G319" i="15"/>
  <c r="BX319" i="6" s="1"/>
  <c r="H295" i="15"/>
  <c r="I295" i="15" s="1"/>
  <c r="H139" i="15"/>
  <c r="I139" i="15" s="1"/>
  <c r="G123" i="15"/>
  <c r="BX123" i="6" s="1"/>
  <c r="G341" i="15"/>
  <c r="BX341" i="6" s="1"/>
  <c r="G325" i="15"/>
  <c r="BX325" i="6" s="1"/>
  <c r="H293" i="15"/>
  <c r="J293" i="15" s="1"/>
  <c r="H277" i="15"/>
  <c r="J277" i="15" s="1"/>
  <c r="G145" i="15"/>
  <c r="BX145" i="6" s="1"/>
  <c r="G296" i="15"/>
  <c r="BX296" i="6" s="1"/>
  <c r="H248" i="15"/>
  <c r="J248" i="15" s="1"/>
  <c r="H162" i="15"/>
  <c r="I162" i="15" s="1"/>
  <c r="G138" i="15"/>
  <c r="BX138" i="6" s="1"/>
  <c r="G106" i="15"/>
  <c r="BX106" i="6" s="1"/>
  <c r="H278" i="15"/>
  <c r="J278" i="15" s="1"/>
  <c r="G238" i="15"/>
  <c r="BX238" i="6" s="1"/>
  <c r="F62" i="19"/>
  <c r="AA318" i="15"/>
  <c r="Z318" i="15" s="1"/>
  <c r="Y318" i="15" s="1"/>
  <c r="AA262" i="15"/>
  <c r="Z262" i="15" s="1"/>
  <c r="Y262" i="15" s="1"/>
  <c r="AA162" i="15"/>
  <c r="Z162" i="15" s="1"/>
  <c r="Y162" i="15" s="1"/>
  <c r="AA25" i="15"/>
  <c r="Z25" i="15" s="1"/>
  <c r="Y25" i="15" s="1"/>
  <c r="AA317" i="15"/>
  <c r="Z317" i="15" s="1"/>
  <c r="Y317" i="15" s="1"/>
  <c r="AA257" i="15"/>
  <c r="Z257" i="15" s="1"/>
  <c r="Y257" i="15" s="1"/>
  <c r="AA237" i="15"/>
  <c r="Z237" i="15" s="1"/>
  <c r="Y237" i="15" s="1"/>
  <c r="AA357" i="15"/>
  <c r="Z357" i="15" s="1"/>
  <c r="Y357" i="15" s="1"/>
  <c r="AA349" i="15"/>
  <c r="Z349" i="15" s="1"/>
  <c r="Y349" i="15" s="1"/>
  <c r="Q23" i="16"/>
  <c r="Q99" i="16"/>
  <c r="Q131" i="16"/>
  <c r="Q163" i="16"/>
  <c r="Q195" i="16"/>
  <c r="Q222" i="16"/>
  <c r="Q230" i="16"/>
  <c r="Q238" i="16"/>
  <c r="Q246" i="16"/>
  <c r="Q254" i="16"/>
  <c r="Q262" i="16"/>
  <c r="Q270" i="16"/>
  <c r="Q278" i="16"/>
  <c r="Q286" i="16"/>
  <c r="Q294" i="16"/>
  <c r="Q302" i="16"/>
  <c r="Q310" i="16"/>
  <c r="Q318" i="16"/>
  <c r="Q326" i="16"/>
  <c r="Q334" i="16"/>
  <c r="Q342" i="16"/>
  <c r="Q350" i="16"/>
  <c r="Q358" i="16"/>
  <c r="Q366" i="16"/>
  <c r="Q374" i="16"/>
  <c r="AA366" i="15"/>
  <c r="Z366" i="15" s="1"/>
  <c r="Y366" i="15" s="1"/>
  <c r="AA354" i="15"/>
  <c r="Z354" i="15" s="1"/>
  <c r="Y354" i="15" s="1"/>
  <c r="AA284" i="15"/>
  <c r="Z284" i="15" s="1"/>
  <c r="Y284" i="15" s="1"/>
  <c r="AA186" i="15"/>
  <c r="Z186" i="15" s="1"/>
  <c r="Y186" i="15" s="1"/>
  <c r="AA172" i="15"/>
  <c r="Z172" i="15" s="1"/>
  <c r="Y172" i="15" s="1"/>
  <c r="AA82" i="15"/>
  <c r="Z82" i="15" s="1"/>
  <c r="Y82" i="15" s="1"/>
  <c r="AA39" i="15"/>
  <c r="Z39" i="15" s="1"/>
  <c r="Y39" i="15" s="1"/>
  <c r="G203" i="15"/>
  <c r="BX203" i="6" s="1"/>
  <c r="AA187" i="15"/>
  <c r="Z187" i="15" s="1"/>
  <c r="Y187" i="15" s="1"/>
  <c r="H159" i="15"/>
  <c r="I159" i="15" s="1"/>
  <c r="H151" i="15"/>
  <c r="J151" i="15" s="1"/>
  <c r="H95" i="15"/>
  <c r="I95" i="15" s="1"/>
  <c r="AA85" i="15"/>
  <c r="Z85" i="15" s="1"/>
  <c r="Y85" i="15" s="1"/>
  <c r="G77" i="15"/>
  <c r="BX77" i="6" s="1"/>
  <c r="H69" i="15"/>
  <c r="I69" i="15" s="1"/>
  <c r="Q378" i="16"/>
  <c r="Q370" i="16"/>
  <c r="Q362" i="16"/>
  <c r="Q354" i="16"/>
  <c r="Q346" i="16"/>
  <c r="Q338" i="16"/>
  <c r="Q330" i="16"/>
  <c r="Q322" i="16"/>
  <c r="Q314" i="16"/>
  <c r="Q306" i="16"/>
  <c r="Q298" i="16"/>
  <c r="Q290" i="16"/>
  <c r="Q282" i="16"/>
  <c r="Q274" i="16"/>
  <c r="Q266" i="16"/>
  <c r="Q258" i="16"/>
  <c r="Q250" i="16"/>
  <c r="Q242" i="16"/>
  <c r="Q234" i="16"/>
  <c r="Q226" i="16"/>
  <c r="Q211" i="16"/>
  <c r="Q179" i="16"/>
  <c r="Q147" i="16"/>
  <c r="Q115" i="16"/>
  <c r="G354" i="15"/>
  <c r="BX354" i="6" s="1"/>
  <c r="G303" i="15"/>
  <c r="BX303" i="6" s="1"/>
  <c r="G287" i="15"/>
  <c r="BX287" i="6" s="1"/>
  <c r="G247" i="15"/>
  <c r="BX247" i="6" s="1"/>
  <c r="G172" i="15"/>
  <c r="BX172" i="6" s="1"/>
  <c r="H129" i="15"/>
  <c r="I129" i="15" s="1"/>
  <c r="G331" i="15"/>
  <c r="BX331" i="6" s="1"/>
  <c r="H143" i="15"/>
  <c r="I143" i="15" s="1"/>
  <c r="AA278" i="15"/>
  <c r="Z278" i="15" s="1"/>
  <c r="Y278" i="15" s="1"/>
  <c r="AA238" i="15"/>
  <c r="Z238" i="15" s="1"/>
  <c r="Y238" i="15" s="1"/>
  <c r="AA138" i="15"/>
  <c r="Z138" i="15" s="1"/>
  <c r="Y138" i="15" s="1"/>
  <c r="AA341" i="15"/>
  <c r="Z341" i="15" s="1"/>
  <c r="Y341" i="15" s="1"/>
  <c r="AA285" i="15"/>
  <c r="Z285" i="15" s="1"/>
  <c r="Y285" i="15" s="1"/>
  <c r="AA177" i="15"/>
  <c r="Z177" i="15" s="1"/>
  <c r="Y177" i="15" s="1"/>
  <c r="AA145" i="15"/>
  <c r="Z145" i="15" s="1"/>
  <c r="Y145" i="15" s="1"/>
  <c r="AA97" i="15"/>
  <c r="Z97" i="15" s="1"/>
  <c r="Y97" i="15" s="1"/>
  <c r="V302" i="15"/>
  <c r="F302" i="15" s="1"/>
  <c r="AA302" i="15" s="1"/>
  <c r="Z302" i="15" s="1"/>
  <c r="Y302" i="15" s="1"/>
  <c r="Q83" i="16"/>
  <c r="AA287" i="15"/>
  <c r="Z287" i="15" s="1"/>
  <c r="Y287" i="15" s="1"/>
  <c r="AA247" i="15"/>
  <c r="Z247" i="15" s="1"/>
  <c r="Y247" i="15" s="1"/>
  <c r="AA159" i="15"/>
  <c r="Z159" i="15" s="1"/>
  <c r="Y159" i="15" s="1"/>
  <c r="AA127" i="15"/>
  <c r="Z127" i="15" s="1"/>
  <c r="Y127" i="15" s="1"/>
  <c r="AA41" i="15"/>
  <c r="Z41" i="15" s="1"/>
  <c r="Y41" i="15" s="1"/>
  <c r="H88" i="15"/>
  <c r="J88" i="15" s="1"/>
  <c r="AA215" i="15"/>
  <c r="Z215" i="15" s="1"/>
  <c r="Y215" i="15" s="1"/>
  <c r="AA95" i="15"/>
  <c r="Z95" i="15" s="1"/>
  <c r="Y95" i="15" s="1"/>
  <c r="H85" i="15"/>
  <c r="I85" i="15" s="1"/>
  <c r="G41" i="15"/>
  <c r="BX41" i="6" s="1"/>
  <c r="G334" i="15"/>
  <c r="BX334" i="6" s="1"/>
  <c r="H206" i="15"/>
  <c r="I206" i="15" s="1"/>
  <c r="G82" i="15"/>
  <c r="BX82" i="6" s="1"/>
  <c r="G66" i="15"/>
  <c r="BX66" i="6" s="1"/>
  <c r="G245" i="15"/>
  <c r="BX245" i="6" s="1"/>
  <c r="G252" i="15"/>
  <c r="BX252" i="6" s="1"/>
  <c r="G170" i="15"/>
  <c r="BX170" i="6" s="1"/>
  <c r="H154" i="15"/>
  <c r="H130" i="15"/>
  <c r="J130" i="15" s="1"/>
  <c r="H114" i="15"/>
  <c r="I114" i="15" s="1"/>
  <c r="H347" i="15"/>
  <c r="I347" i="15" s="1"/>
  <c r="G127" i="15"/>
  <c r="BX127" i="6" s="1"/>
  <c r="AA57" i="15"/>
  <c r="Z57" i="15" s="1"/>
  <c r="Y57" i="15" s="1"/>
  <c r="H62" i="19"/>
  <c r="AA263" i="15"/>
  <c r="Z263" i="15" s="1"/>
  <c r="Y263" i="15" s="1"/>
  <c r="H263" i="15"/>
  <c r="J263" i="15" s="1"/>
  <c r="AA315" i="15"/>
  <c r="Z315" i="15" s="1"/>
  <c r="Y315" i="15" s="1"/>
  <c r="G315" i="15"/>
  <c r="BX315" i="6" s="1"/>
  <c r="AA92" i="15"/>
  <c r="Z92" i="15" s="1"/>
  <c r="Y92" i="15" s="1"/>
  <c r="G92" i="15"/>
  <c r="BX92" i="6" s="1"/>
  <c r="G309" i="15"/>
  <c r="BX309" i="6" s="1"/>
  <c r="AA309" i="15"/>
  <c r="Z309" i="15" s="1"/>
  <c r="Y309" i="15" s="1"/>
  <c r="AA135" i="15"/>
  <c r="Z135" i="15" s="1"/>
  <c r="Y135" i="15" s="1"/>
  <c r="G135" i="15"/>
  <c r="BX135" i="6" s="1"/>
  <c r="O15" i="7"/>
  <c r="Q43" i="16"/>
  <c r="Q75" i="16"/>
  <c r="Q87" i="16"/>
  <c r="Q95" i="16"/>
  <c r="Q103" i="16"/>
  <c r="Q111" i="16"/>
  <c r="Q119" i="16"/>
  <c r="Q127" i="16"/>
  <c r="Q135" i="16"/>
  <c r="Q143" i="16"/>
  <c r="Q151" i="16"/>
  <c r="Q159" i="16"/>
  <c r="Q167" i="16"/>
  <c r="Q175" i="16"/>
  <c r="Q183" i="16"/>
  <c r="Q191" i="16"/>
  <c r="Q199" i="16"/>
  <c r="Q207" i="16"/>
  <c r="Q215" i="16"/>
  <c r="AA334" i="15"/>
  <c r="Z334" i="15" s="1"/>
  <c r="Y334" i="15" s="1"/>
  <c r="AA252" i="15"/>
  <c r="Z252" i="15" s="1"/>
  <c r="Y252" i="15" s="1"/>
  <c r="AA154" i="15"/>
  <c r="Z154" i="15" s="1"/>
  <c r="Y154" i="15" s="1"/>
  <c r="AA114" i="15"/>
  <c r="Z114" i="15" s="1"/>
  <c r="Y114" i="15" s="1"/>
  <c r="AA88" i="15"/>
  <c r="Z88" i="15" s="1"/>
  <c r="Y88" i="15" s="1"/>
  <c r="AA66" i="15"/>
  <c r="Z66" i="15" s="1"/>
  <c r="Y66" i="15" s="1"/>
  <c r="AA371" i="15"/>
  <c r="Z371" i="15" s="1"/>
  <c r="Y371" i="15" s="1"/>
  <c r="AA355" i="15"/>
  <c r="Z355" i="15" s="1"/>
  <c r="Y355" i="15" s="1"/>
  <c r="AA339" i="15"/>
  <c r="Z339" i="15" s="1"/>
  <c r="Y339" i="15" s="1"/>
  <c r="AA331" i="15"/>
  <c r="Z331" i="15" s="1"/>
  <c r="Y331" i="15" s="1"/>
  <c r="AA323" i="15"/>
  <c r="Z323" i="15" s="1"/>
  <c r="Y323" i="15" s="1"/>
  <c r="AA245" i="15"/>
  <c r="Z245" i="15" s="1"/>
  <c r="Y245" i="15" s="1"/>
  <c r="AA203" i="15"/>
  <c r="Z203" i="15" s="1"/>
  <c r="Y203" i="15" s="1"/>
  <c r="AA151" i="15"/>
  <c r="Z151" i="15" s="1"/>
  <c r="Y151" i="15" s="1"/>
  <c r="AA91" i="15"/>
  <c r="Z91" i="15" s="1"/>
  <c r="Y91" i="15" s="1"/>
  <c r="AA231" i="15"/>
  <c r="Z231" i="15" s="1"/>
  <c r="Y231" i="15" s="1"/>
  <c r="H187" i="15"/>
  <c r="I187" i="15" s="1"/>
  <c r="Q380" i="16"/>
  <c r="Q376" i="16"/>
  <c r="Q372" i="16"/>
  <c r="Q368" i="16"/>
  <c r="Q364" i="16"/>
  <c r="Q360" i="16"/>
  <c r="Q356" i="16"/>
  <c r="Q352" i="16"/>
  <c r="Q348" i="16"/>
  <c r="Q344" i="16"/>
  <c r="Q340" i="16"/>
  <c r="Q336" i="16"/>
  <c r="Q332" i="16"/>
  <c r="Q328" i="16"/>
  <c r="Q324" i="16"/>
  <c r="Q320" i="16"/>
  <c r="Q316" i="16"/>
  <c r="Q312" i="16"/>
  <c r="Q308" i="16"/>
  <c r="Q304" i="16"/>
  <c r="Q300" i="16"/>
  <c r="Q296" i="16"/>
  <c r="Q292" i="16"/>
  <c r="Q288" i="16"/>
  <c r="Q284" i="16"/>
  <c r="Q280" i="16"/>
  <c r="Q276" i="16"/>
  <c r="Q272" i="16"/>
  <c r="Q268" i="16"/>
  <c r="Q264" i="16"/>
  <c r="Q260" i="16"/>
  <c r="Q256" i="16"/>
  <c r="Q252" i="16"/>
  <c r="Q248" i="16"/>
  <c r="Q244" i="16"/>
  <c r="Q240" i="16"/>
  <c r="Q236" i="16"/>
  <c r="Q232" i="16"/>
  <c r="Q228" i="16"/>
  <c r="Q224" i="16"/>
  <c r="Q219" i="16"/>
  <c r="Q203" i="16"/>
  <c r="Q187" i="16"/>
  <c r="Q171" i="16"/>
  <c r="Q155" i="16"/>
  <c r="Q139" i="16"/>
  <c r="Q123" i="16"/>
  <c r="Q107" i="16"/>
  <c r="Q91" i="16"/>
  <c r="Q59" i="16"/>
  <c r="H366" i="15"/>
  <c r="I366" i="15" s="1"/>
  <c r="G186" i="15"/>
  <c r="BX186" i="6" s="1"/>
  <c r="H303" i="15"/>
  <c r="J303" i="15" s="1"/>
  <c r="H135" i="15"/>
  <c r="J135" i="15" s="1"/>
  <c r="H92" i="15"/>
  <c r="I92" i="15" s="1"/>
  <c r="G34" i="15"/>
  <c r="BX34" i="6" s="1"/>
  <c r="G284" i="15"/>
  <c r="BX284" i="6" s="1"/>
  <c r="D40" i="7"/>
  <c r="AA170" i="15"/>
  <c r="Z170" i="15" s="1"/>
  <c r="Y170" i="15" s="1"/>
  <c r="G98" i="15"/>
  <c r="BX98" i="6" s="1"/>
  <c r="G347" i="15"/>
  <c r="BX347" i="6" s="1"/>
  <c r="H339" i="15"/>
  <c r="J339" i="15" s="1"/>
  <c r="G323" i="15"/>
  <c r="BX323" i="6" s="1"/>
  <c r="L62" i="19"/>
  <c r="AA206" i="15"/>
  <c r="Z206" i="15" s="1"/>
  <c r="Y206" i="15" s="1"/>
  <c r="AA130" i="15"/>
  <c r="Z130" i="15" s="1"/>
  <c r="Y130" i="15" s="1"/>
  <c r="AA98" i="15"/>
  <c r="Z98" i="15" s="1"/>
  <c r="Y98" i="15" s="1"/>
  <c r="AA34" i="15"/>
  <c r="Z34" i="15" s="1"/>
  <c r="Y34" i="15" s="1"/>
  <c r="AA351" i="15"/>
  <c r="Z351" i="15" s="1"/>
  <c r="Y351" i="15" s="1"/>
  <c r="AA367" i="15"/>
  <c r="Z367" i="15" s="1"/>
  <c r="Y367" i="15" s="1"/>
  <c r="AA261" i="15"/>
  <c r="Z261" i="15" s="1"/>
  <c r="Y261" i="15" s="1"/>
  <c r="AI199" i="16"/>
  <c r="AH199" i="16" s="1"/>
  <c r="AG199" i="16" s="1"/>
  <c r="AF199" i="16" s="1"/>
  <c r="AA178" i="15"/>
  <c r="Z178" i="15" s="1"/>
  <c r="Y178" i="15" s="1"/>
  <c r="AA146" i="15"/>
  <c r="Z146" i="15" s="1"/>
  <c r="Y146" i="15" s="1"/>
  <c r="AA106" i="15"/>
  <c r="Z106" i="15" s="1"/>
  <c r="Y106" i="15" s="1"/>
  <c r="AA90" i="15"/>
  <c r="Z90" i="15" s="1"/>
  <c r="Y90" i="15" s="1"/>
  <c r="AA74" i="15"/>
  <c r="Z74" i="15" s="1"/>
  <c r="Y74" i="15" s="1"/>
  <c r="AA343" i="15"/>
  <c r="Z343" i="15" s="1"/>
  <c r="Y343" i="15" s="1"/>
  <c r="AA335" i="15"/>
  <c r="Z335" i="15" s="1"/>
  <c r="Y335" i="15" s="1"/>
  <c r="AA295" i="15"/>
  <c r="Z295" i="15" s="1"/>
  <c r="Y295" i="15" s="1"/>
  <c r="AA229" i="15"/>
  <c r="Z229" i="15" s="1"/>
  <c r="Y229" i="15" s="1"/>
  <c r="AA223" i="15"/>
  <c r="Z223" i="15" s="1"/>
  <c r="Y223" i="15" s="1"/>
  <c r="AA155" i="15"/>
  <c r="Z155" i="15" s="1"/>
  <c r="Y155" i="15" s="1"/>
  <c r="AA107" i="15"/>
  <c r="Z107" i="15" s="1"/>
  <c r="Y107" i="15" s="1"/>
  <c r="U310" i="16"/>
  <c r="T310" i="16" s="1"/>
  <c r="S310" i="16" s="1"/>
  <c r="R310" i="16" s="1"/>
  <c r="U182" i="16"/>
  <c r="T182" i="16" s="1"/>
  <c r="S182" i="16" s="1"/>
  <c r="R182" i="16" s="1"/>
  <c r="U106" i="16"/>
  <c r="T106" i="16" s="1"/>
  <c r="S106" i="16" s="1"/>
  <c r="R106" i="16" s="1"/>
  <c r="U42" i="16"/>
  <c r="T42" i="16" s="1"/>
  <c r="S42" i="16" s="1"/>
  <c r="R42" i="16" s="1"/>
  <c r="AA239" i="15"/>
  <c r="Z239" i="15" s="1"/>
  <c r="Y239" i="15" s="1"/>
  <c r="Q379" i="16"/>
  <c r="P15" i="7" s="1"/>
  <c r="Q377" i="16"/>
  <c r="Q375" i="16"/>
  <c r="Q373" i="16"/>
  <c r="Q371" i="16"/>
  <c r="Q369" i="16"/>
  <c r="Q367" i="16"/>
  <c r="Q365" i="16"/>
  <c r="Q363" i="16"/>
  <c r="Q361" i="16"/>
  <c r="Q359" i="16"/>
  <c r="Q357" i="16"/>
  <c r="Q355" i="16"/>
  <c r="Q353" i="16"/>
  <c r="Q351" i="16"/>
  <c r="Q349" i="16"/>
  <c r="Q347" i="16"/>
  <c r="Q345" i="16"/>
  <c r="Q343" i="16"/>
  <c r="Q341" i="16"/>
  <c r="Q339" i="16"/>
  <c r="Q337" i="16"/>
  <c r="Q335" i="16"/>
  <c r="Q333" i="16"/>
  <c r="Q331" i="16"/>
  <c r="Q329" i="16"/>
  <c r="Q327" i="16"/>
  <c r="Q325" i="16"/>
  <c r="Q323" i="16"/>
  <c r="Q321" i="16"/>
  <c r="Q319" i="16"/>
  <c r="Q317" i="16"/>
  <c r="Q315" i="16"/>
  <c r="Q313" i="16"/>
  <c r="Q311" i="16"/>
  <c r="Q309" i="16"/>
  <c r="Q307" i="16"/>
  <c r="Q305" i="16"/>
  <c r="Q303" i="16"/>
  <c r="Q301" i="16"/>
  <c r="Q299" i="16"/>
  <c r="Q297" i="16"/>
  <c r="Q295" i="16"/>
  <c r="Q293" i="16"/>
  <c r="Q291" i="16"/>
  <c r="Q289" i="16"/>
  <c r="Q287" i="16"/>
  <c r="Q285" i="16"/>
  <c r="Q283" i="16"/>
  <c r="Q281" i="16"/>
  <c r="Q279" i="16"/>
  <c r="Q277" i="16"/>
  <c r="Q275" i="16"/>
  <c r="Q273" i="16"/>
  <c r="Q271" i="16"/>
  <c r="Q269" i="16"/>
  <c r="Q267" i="16"/>
  <c r="Q265" i="16"/>
  <c r="Q263" i="16"/>
  <c r="Q261" i="16"/>
  <c r="Q259" i="16"/>
  <c r="Q257" i="16"/>
  <c r="Q255" i="16"/>
  <c r="Q253" i="16"/>
  <c r="Q251" i="16"/>
  <c r="Q249" i="16"/>
  <c r="Q247" i="16"/>
  <c r="Q245" i="16"/>
  <c r="Q243" i="16"/>
  <c r="Q241" i="16"/>
  <c r="Q239" i="16"/>
  <c r="Q237" i="16"/>
  <c r="Q235" i="16"/>
  <c r="Q233" i="16"/>
  <c r="Q231" i="16"/>
  <c r="Q229" i="16"/>
  <c r="Q227" i="16"/>
  <c r="Q225" i="16"/>
  <c r="Q223" i="16"/>
  <c r="Q221" i="16"/>
  <c r="Q217" i="16"/>
  <c r="Q213" i="16"/>
  <c r="Q209" i="16"/>
  <c r="Q205" i="16"/>
  <c r="Q201" i="16"/>
  <c r="Q197" i="16"/>
  <c r="Q193" i="16"/>
  <c r="Q189" i="16"/>
  <c r="Q185" i="16"/>
  <c r="Q181" i="16"/>
  <c r="Q177" i="16"/>
  <c r="Q173" i="16"/>
  <c r="Q169" i="16"/>
  <c r="Q165" i="16"/>
  <c r="Q161" i="16"/>
  <c r="Q157" i="16"/>
  <c r="Q153" i="16"/>
  <c r="Q149" i="16"/>
  <c r="Q145" i="16"/>
  <c r="Q141" i="16"/>
  <c r="Q137" i="16"/>
  <c r="Q133" i="16"/>
  <c r="Q129" i="16"/>
  <c r="Q125" i="16"/>
  <c r="Q121" i="16"/>
  <c r="Q117" i="16"/>
  <c r="Q113" i="16"/>
  <c r="Q109" i="16"/>
  <c r="Q105" i="16"/>
  <c r="Q101" i="16"/>
  <c r="Q97" i="16"/>
  <c r="Q93" i="16"/>
  <c r="Q89" i="16"/>
  <c r="Q85" i="16"/>
  <c r="Q81" i="16"/>
  <c r="Q67" i="16"/>
  <c r="Q51" i="16"/>
  <c r="Q31" i="16"/>
  <c r="H359" i="15"/>
  <c r="J359" i="15" s="1"/>
  <c r="G311" i="15"/>
  <c r="BX311" i="6" s="1"/>
  <c r="AA279" i="15"/>
  <c r="Z279" i="15" s="1"/>
  <c r="Y279" i="15" s="1"/>
  <c r="H255" i="15"/>
  <c r="J255" i="15" s="1"/>
  <c r="G29" i="15"/>
  <c r="BX29" i="6" s="1"/>
  <c r="G180" i="15"/>
  <c r="BX180" i="6" s="1"/>
  <c r="H25" i="15"/>
  <c r="I25" i="15" s="1"/>
  <c r="V119" i="15"/>
  <c r="F119" i="15" s="1"/>
  <c r="D35" i="7"/>
  <c r="D43" i="7"/>
  <c r="V363" i="15"/>
  <c r="F363" i="15" s="1"/>
  <c r="AA363" i="15" s="1"/>
  <c r="Z363" i="15" s="1"/>
  <c r="Y363" i="15" s="1"/>
  <c r="AA210" i="15"/>
  <c r="Z210" i="15" s="1"/>
  <c r="Y210" i="15" s="1"/>
  <c r="G62" i="19"/>
  <c r="H210" i="15"/>
  <c r="J210" i="15" s="1"/>
  <c r="H29" i="15"/>
  <c r="J29" i="15" s="1"/>
  <c r="Q79" i="16"/>
  <c r="Q71" i="16"/>
  <c r="Q63" i="16"/>
  <c r="Q55" i="16"/>
  <c r="Q47" i="16"/>
  <c r="Q39" i="16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Q186" i="16"/>
  <c r="Q188" i="16"/>
  <c r="Q190" i="16"/>
  <c r="Q192" i="16"/>
  <c r="Q194" i="16"/>
  <c r="Q196" i="16"/>
  <c r="Q198" i="16"/>
  <c r="Q200" i="16"/>
  <c r="Q202" i="16"/>
  <c r="Q204" i="16"/>
  <c r="Q206" i="16"/>
  <c r="Q208" i="16"/>
  <c r="Q210" i="16"/>
  <c r="Q212" i="16"/>
  <c r="Q214" i="16"/>
  <c r="Q216" i="16"/>
  <c r="Q218" i="16"/>
  <c r="Q220" i="16"/>
  <c r="F136" i="15"/>
  <c r="G136" i="15" s="1"/>
  <c r="BX136" i="6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AK3" i="16"/>
  <c r="Q13" i="19" s="1"/>
  <c r="O381" i="20"/>
  <c r="O383" i="20"/>
  <c r="O382" i="20"/>
  <c r="D62" i="19"/>
  <c r="F108" i="15"/>
  <c r="AA108" i="15" s="1"/>
  <c r="Z108" i="15" s="1"/>
  <c r="Y108" i="15" s="1"/>
  <c r="D383" i="16"/>
  <c r="D9" i="16"/>
  <c r="D11" i="16" s="1"/>
  <c r="E37" i="19" s="1"/>
  <c r="D381" i="16"/>
  <c r="D382" i="16"/>
  <c r="AJ8" i="16"/>
  <c r="E380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A288" i="15"/>
  <c r="Z288" i="15" s="1"/>
  <c r="Y288" i="15" s="1"/>
  <c r="G288" i="15"/>
  <c r="BX288" i="6" s="1"/>
  <c r="H288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F15" i="15"/>
  <c r="J373" i="15"/>
  <c r="I373" i="15"/>
  <c r="I365" i="15"/>
  <c r="J365" i="15"/>
  <c r="I239" i="15"/>
  <c r="J239" i="15"/>
  <c r="J235" i="15"/>
  <c r="I235" i="15"/>
  <c r="J223" i="15"/>
  <c r="I223" i="15"/>
  <c r="I219" i="15"/>
  <c r="J219" i="15"/>
  <c r="J217" i="15"/>
  <c r="I217" i="15"/>
  <c r="J211" i="15"/>
  <c r="I211" i="15"/>
  <c r="J205" i="15"/>
  <c r="I205" i="15"/>
  <c r="J203" i="15"/>
  <c r="I203" i="15"/>
  <c r="J195" i="15"/>
  <c r="I195" i="15"/>
  <c r="I189" i="15"/>
  <c r="J189" i="15"/>
  <c r="I183" i="15"/>
  <c r="J183" i="15"/>
  <c r="J181" i="15"/>
  <c r="I181" i="15"/>
  <c r="I173" i="15"/>
  <c r="J173" i="15"/>
  <c r="I167" i="15"/>
  <c r="J167" i="15"/>
  <c r="J165" i="15"/>
  <c r="I165" i="15"/>
  <c r="J155" i="15"/>
  <c r="I155" i="15"/>
  <c r="I153" i="15"/>
  <c r="J153" i="15"/>
  <c r="I113" i="15"/>
  <c r="J11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J93" i="15"/>
  <c r="I93" i="15"/>
  <c r="I91" i="15"/>
  <c r="J91" i="15"/>
  <c r="J83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J31" i="15"/>
  <c r="I31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J11" i="17"/>
  <c r="AJ13" i="17" s="1"/>
  <c r="AB379" i="22"/>
  <c r="K379" i="22"/>
  <c r="AJ379" i="22"/>
  <c r="X379" i="22"/>
  <c r="L379" i="22"/>
  <c r="B41" i="19" s="1"/>
  <c r="A380" i="22"/>
  <c r="AK379" i="22"/>
  <c r="O379" i="22"/>
  <c r="C41" i="19" s="1"/>
  <c r="AC379" i="22"/>
  <c r="J376" i="15"/>
  <c r="I376" i="15"/>
  <c r="I368" i="15"/>
  <c r="J368" i="15"/>
  <c r="J364" i="15"/>
  <c r="I364" i="15"/>
  <c r="F358" i="15"/>
  <c r="I352" i="15"/>
  <c r="J352" i="15"/>
  <c r="I346" i="15"/>
  <c r="J346" i="15"/>
  <c r="F324" i="15"/>
  <c r="I322" i="15"/>
  <c r="J322" i="15"/>
  <c r="I312" i="15"/>
  <c r="J312" i="15"/>
  <c r="J202" i="15"/>
  <c r="I202" i="15"/>
  <c r="J182" i="15"/>
  <c r="I182" i="15"/>
  <c r="J86" i="15"/>
  <c r="I86" i="15"/>
  <c r="J78" i="15"/>
  <c r="I78" i="15"/>
  <c r="I70" i="15"/>
  <c r="J70" i="15"/>
  <c r="J19" i="15"/>
  <c r="I19" i="15"/>
  <c r="J335" i="15"/>
  <c r="I335" i="15"/>
  <c r="I287" i="15"/>
  <c r="J287" i="15"/>
  <c r="J271" i="15"/>
  <c r="I271" i="15"/>
  <c r="I247" i="15"/>
  <c r="J247" i="15"/>
  <c r="I131" i="15"/>
  <c r="J131" i="15"/>
  <c r="J123" i="15"/>
  <c r="I123" i="15"/>
  <c r="J290" i="15"/>
  <c r="I290" i="15"/>
  <c r="J282" i="15"/>
  <c r="I282" i="15"/>
  <c r="I274" i="15"/>
  <c r="J274" i="15"/>
  <c r="J234" i="15"/>
  <c r="I140" i="15"/>
  <c r="J140" i="15"/>
  <c r="J132" i="15"/>
  <c r="I132" i="15"/>
  <c r="J128" i="15"/>
  <c r="I128" i="15"/>
  <c r="I120" i="15"/>
  <c r="J120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J34" i="15"/>
  <c r="I34" i="15"/>
  <c r="AA333" i="15"/>
  <c r="Z333" i="15" s="1"/>
  <c r="Y333" i="15" s="1"/>
  <c r="G333" i="15"/>
  <c r="BX333" i="6" s="1"/>
  <c r="H333" i="15"/>
  <c r="J325" i="15"/>
  <c r="I325" i="15"/>
  <c r="I321" i="15"/>
  <c r="J321" i="15"/>
  <c r="I317" i="15"/>
  <c r="J317" i="15"/>
  <c r="J301" i="15"/>
  <c r="I301" i="15"/>
  <c r="I257" i="15"/>
  <c r="J257" i="15"/>
  <c r="I253" i="15"/>
  <c r="J253" i="15"/>
  <c r="I149" i="15"/>
  <c r="J149" i="15"/>
  <c r="J145" i="15"/>
  <c r="I145" i="15"/>
  <c r="J133" i="15"/>
  <c r="I133" i="15"/>
  <c r="I296" i="15"/>
  <c r="J296" i="15"/>
  <c r="I292" i="15"/>
  <c r="J292" i="15"/>
  <c r="J276" i="15"/>
  <c r="I276" i="15"/>
  <c r="I256" i="15"/>
  <c r="J256" i="15"/>
  <c r="I244" i="15"/>
  <c r="J244" i="15"/>
  <c r="J224" i="15"/>
  <c r="I224" i="15"/>
  <c r="I216" i="15"/>
  <c r="J216" i="15"/>
  <c r="I178" i="15"/>
  <c r="J178" i="15"/>
  <c r="I146" i="15"/>
  <c r="J146" i="15"/>
  <c r="I138" i="15"/>
  <c r="J138" i="15"/>
  <c r="I134" i="15"/>
  <c r="J134" i="15"/>
  <c r="J355" i="15"/>
  <c r="I355" i="15"/>
  <c r="J323" i="15"/>
  <c r="I323" i="15"/>
  <c r="I307" i="15"/>
  <c r="J307" i="15"/>
  <c r="J299" i="15"/>
  <c r="I299" i="15"/>
  <c r="I283" i="15"/>
  <c r="J283" i="15"/>
  <c r="I275" i="15"/>
  <c r="J275" i="15"/>
  <c r="I259" i="15"/>
  <c r="J259" i="15"/>
  <c r="I127" i="15"/>
  <c r="J127" i="15"/>
  <c r="J168" i="15"/>
  <c r="I168" i="15"/>
  <c r="I164" i="15"/>
  <c r="J164" i="15"/>
  <c r="I116" i="15"/>
  <c r="J116" i="15"/>
  <c r="AF17" i="15"/>
  <c r="I200" i="15"/>
  <c r="J200" i="15"/>
  <c r="I184" i="15"/>
  <c r="J184" i="15"/>
  <c r="I84" i="15"/>
  <c r="J84" i="15"/>
  <c r="J80" i="15"/>
  <c r="I80" i="15"/>
  <c r="J68" i="15"/>
  <c r="I68" i="15"/>
  <c r="S382" i="15"/>
  <c r="S383" i="15"/>
  <c r="S381" i="15"/>
  <c r="R15" i="15"/>
  <c r="J369" i="15"/>
  <c r="I369" i="15"/>
  <c r="I367" i="15"/>
  <c r="J367" i="15"/>
  <c r="I231" i="15"/>
  <c r="J231" i="15"/>
  <c r="F227" i="15"/>
  <c r="J215" i="15"/>
  <c r="I215" i="15"/>
  <c r="J213" i="15"/>
  <c r="I213" i="15"/>
  <c r="I209" i="15"/>
  <c r="J209" i="15"/>
  <c r="I201" i="15"/>
  <c r="J201" i="15"/>
  <c r="F197" i="15"/>
  <c r="J179" i="15"/>
  <c r="I179" i="15"/>
  <c r="I177" i="15"/>
  <c r="J177" i="15"/>
  <c r="J175" i="15"/>
  <c r="I175" i="15"/>
  <c r="F171" i="15"/>
  <c r="I163" i="15"/>
  <c r="J163" i="15"/>
  <c r="J157" i="15"/>
  <c r="I157" i="15"/>
  <c r="J117" i="15"/>
  <c r="I117" i="15"/>
  <c r="J115" i="15"/>
  <c r="I115" i="15"/>
  <c r="J103" i="15"/>
  <c r="I103" i="15"/>
  <c r="J81" i="15"/>
  <c r="I81" i="15"/>
  <c r="J55" i="15"/>
  <c r="I55" i="15"/>
  <c r="F51" i="15"/>
  <c r="I41" i="15"/>
  <c r="J41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I370" i="15"/>
  <c r="J370" i="15"/>
  <c r="AA362" i="15"/>
  <c r="Z362" i="15" s="1"/>
  <c r="Y362" i="15" s="1"/>
  <c r="H362" i="15"/>
  <c r="G362" i="15"/>
  <c r="BX362" i="6" s="1"/>
  <c r="I354" i="15"/>
  <c r="J354" i="15"/>
  <c r="J350" i="15"/>
  <c r="I350" i="15"/>
  <c r="I348" i="15"/>
  <c r="J348" i="15"/>
  <c r="I342" i="15"/>
  <c r="J342" i="15"/>
  <c r="J338" i="15"/>
  <c r="I338" i="15"/>
  <c r="J334" i="15"/>
  <c r="I334" i="15"/>
  <c r="I332" i="15"/>
  <c r="J332" i="15"/>
  <c r="J330" i="15"/>
  <c r="I330" i="15"/>
  <c r="J310" i="15"/>
  <c r="I310" i="15"/>
  <c r="I308" i="15"/>
  <c r="J308" i="15"/>
  <c r="J194" i="15"/>
  <c r="I194" i="15"/>
  <c r="J190" i="15"/>
  <c r="I190" i="15"/>
  <c r="I186" i="15"/>
  <c r="J186" i="15"/>
  <c r="J82" i="15"/>
  <c r="I82" i="15"/>
  <c r="I66" i="15"/>
  <c r="J66" i="15"/>
  <c r="G18" i="15"/>
  <c r="BX18" i="6" s="1"/>
  <c r="AA18" i="15"/>
  <c r="Z18" i="15" s="1"/>
  <c r="Y18" i="15" s="1"/>
  <c r="H18" i="15"/>
  <c r="H17" i="15"/>
  <c r="G17" i="15"/>
  <c r="BX17" i="6" s="1"/>
  <c r="I343" i="15"/>
  <c r="J343" i="15"/>
  <c r="J327" i="15"/>
  <c r="I327" i="15"/>
  <c r="J319" i="15"/>
  <c r="I319" i="15"/>
  <c r="I311" i="15"/>
  <c r="J311" i="15"/>
  <c r="J147" i="15"/>
  <c r="I147" i="15"/>
  <c r="J242" i="15"/>
  <c r="I242" i="15"/>
  <c r="I226" i="15"/>
  <c r="J226" i="15"/>
  <c r="J180" i="15"/>
  <c r="I180" i="15"/>
  <c r="J172" i="15"/>
  <c r="I172" i="15"/>
  <c r="J148" i="15"/>
  <c r="I148" i="15"/>
  <c r="J104" i="15"/>
  <c r="I104" i="15"/>
  <c r="I353" i="15"/>
  <c r="J353" i="15"/>
  <c r="I341" i="15"/>
  <c r="J341" i="15"/>
  <c r="J329" i="15"/>
  <c r="I329" i="15"/>
  <c r="J309" i="15"/>
  <c r="I309" i="15"/>
  <c r="J305" i="15"/>
  <c r="I305" i="15"/>
  <c r="J285" i="15"/>
  <c r="I285" i="15"/>
  <c r="J281" i="15"/>
  <c r="I281" i="15"/>
  <c r="I265" i="15"/>
  <c r="J265" i="15"/>
  <c r="J249" i="15"/>
  <c r="I249" i="15"/>
  <c r="J245" i="15"/>
  <c r="I245" i="15"/>
  <c r="J141" i="15"/>
  <c r="I141" i="15"/>
  <c r="I137" i="15"/>
  <c r="J137" i="15"/>
  <c r="J125" i="15"/>
  <c r="I125" i="15"/>
  <c r="J300" i="15"/>
  <c r="I300" i="15"/>
  <c r="J284" i="15"/>
  <c r="I284" i="15"/>
  <c r="I268" i="15"/>
  <c r="J268" i="15"/>
  <c r="F264" i="15"/>
  <c r="I260" i="15"/>
  <c r="J260" i="15"/>
  <c r="J252" i="15"/>
  <c r="I252" i="15"/>
  <c r="J232" i="15"/>
  <c r="I232" i="15"/>
  <c r="J228" i="15"/>
  <c r="I228" i="15"/>
  <c r="I212" i="15"/>
  <c r="J212" i="15"/>
  <c r="J174" i="15"/>
  <c r="I174" i="15"/>
  <c r="J170" i="15"/>
  <c r="I170" i="15"/>
  <c r="J166" i="15"/>
  <c r="I166" i="15"/>
  <c r="J158" i="15"/>
  <c r="I158" i="15"/>
  <c r="J142" i="15"/>
  <c r="I142" i="15"/>
  <c r="J122" i="15"/>
  <c r="I122" i="15"/>
  <c r="J118" i="15"/>
  <c r="I118" i="15"/>
  <c r="J110" i="15"/>
  <c r="I110" i="15"/>
  <c r="I106" i="15"/>
  <c r="J106" i="15"/>
  <c r="I102" i="15"/>
  <c r="J102" i="15"/>
  <c r="J98" i="15"/>
  <c r="I98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67" i="15"/>
  <c r="I267" i="15"/>
  <c r="I251" i="15"/>
  <c r="J251" i="15"/>
  <c r="J243" i="15"/>
  <c r="I243" i="15"/>
  <c r="I262" i="15"/>
  <c r="J262" i="15"/>
  <c r="I254" i="15"/>
  <c r="J254" i="15"/>
  <c r="I238" i="15"/>
  <c r="J238" i="15"/>
  <c r="I230" i="15"/>
  <c r="J230" i="15"/>
  <c r="J100" i="15"/>
  <c r="I100" i="15"/>
  <c r="AI359" i="16" l="1"/>
  <c r="AH359" i="16" s="1"/>
  <c r="AG359" i="16" s="1"/>
  <c r="AF359" i="16" s="1"/>
  <c r="J67" i="15"/>
  <c r="AI71" i="16"/>
  <c r="AH71" i="16" s="1"/>
  <c r="AG71" i="16" s="1"/>
  <c r="AF71" i="16" s="1"/>
  <c r="AI378" i="16"/>
  <c r="AH378" i="16" s="1"/>
  <c r="AG378" i="16" s="1"/>
  <c r="AF378" i="16" s="1"/>
  <c r="AI36" i="16"/>
  <c r="AH36" i="16" s="1"/>
  <c r="AG36" i="16" s="1"/>
  <c r="AF36" i="16" s="1"/>
  <c r="U74" i="16"/>
  <c r="T74" i="16" s="1"/>
  <c r="S74" i="16" s="1"/>
  <c r="R74" i="16" s="1"/>
  <c r="U138" i="16"/>
  <c r="T138" i="16" s="1"/>
  <c r="U246" i="16"/>
  <c r="T246" i="16" s="1"/>
  <c r="S246" i="16" s="1"/>
  <c r="R246" i="16" s="1"/>
  <c r="U374" i="16"/>
  <c r="T374" i="16" s="1"/>
  <c r="S374" i="16" s="1"/>
  <c r="R374" i="16" s="1"/>
  <c r="AI135" i="16"/>
  <c r="AH135" i="16" s="1"/>
  <c r="AG135" i="16" s="1"/>
  <c r="AF135" i="16" s="1"/>
  <c r="AI263" i="16"/>
  <c r="AH263" i="16" s="1"/>
  <c r="AG263" i="16" s="1"/>
  <c r="AF263" i="16" s="1"/>
  <c r="U83" i="16"/>
  <c r="T83" i="16" s="1"/>
  <c r="S83" i="16" s="1"/>
  <c r="R83" i="16" s="1"/>
  <c r="U26" i="16"/>
  <c r="T26" i="16" s="1"/>
  <c r="S26" i="16" s="1"/>
  <c r="R26" i="16" s="1"/>
  <c r="U58" i="16"/>
  <c r="T58" i="16" s="1"/>
  <c r="S58" i="16" s="1"/>
  <c r="R58" i="16" s="1"/>
  <c r="U90" i="16"/>
  <c r="T90" i="16" s="1"/>
  <c r="U122" i="16"/>
  <c r="T122" i="16" s="1"/>
  <c r="S122" i="16" s="1"/>
  <c r="R122" i="16" s="1"/>
  <c r="U154" i="16"/>
  <c r="T154" i="16" s="1"/>
  <c r="S154" i="16" s="1"/>
  <c r="R154" i="16" s="1"/>
  <c r="U214" i="16"/>
  <c r="T214" i="16" s="1"/>
  <c r="S214" i="16" s="1"/>
  <c r="R214" i="16" s="1"/>
  <c r="U278" i="16"/>
  <c r="T278" i="16" s="1"/>
  <c r="U342" i="16"/>
  <c r="T342" i="16" s="1"/>
  <c r="S342" i="16" s="1"/>
  <c r="R342" i="16" s="1"/>
  <c r="AI39" i="16"/>
  <c r="AH39" i="16" s="1"/>
  <c r="AI103" i="16"/>
  <c r="AH103" i="16" s="1"/>
  <c r="AG103" i="16" s="1"/>
  <c r="AF103" i="16" s="1"/>
  <c r="AI167" i="16"/>
  <c r="AH167" i="16" s="1"/>
  <c r="AI231" i="16"/>
  <c r="AH231" i="16" s="1"/>
  <c r="AG231" i="16" s="1"/>
  <c r="AF231" i="16" s="1"/>
  <c r="AI295" i="16"/>
  <c r="AH295" i="16" s="1"/>
  <c r="AI176" i="16"/>
  <c r="AH176" i="16" s="1"/>
  <c r="AG176" i="16" s="1"/>
  <c r="AF176" i="16" s="1"/>
  <c r="U147" i="16"/>
  <c r="T147" i="16" s="1"/>
  <c r="U16" i="16"/>
  <c r="T16" i="16" s="1"/>
  <c r="S16" i="16" s="1"/>
  <c r="R16" i="16" s="1"/>
  <c r="U34" i="16"/>
  <c r="T34" i="16" s="1"/>
  <c r="U50" i="16"/>
  <c r="T50" i="16" s="1"/>
  <c r="S50" i="16" s="1"/>
  <c r="R50" i="16" s="1"/>
  <c r="U66" i="16"/>
  <c r="T66" i="16" s="1"/>
  <c r="S66" i="16" s="1"/>
  <c r="R66" i="16" s="1"/>
  <c r="U82" i="16"/>
  <c r="T82" i="16" s="1"/>
  <c r="S82" i="16" s="1"/>
  <c r="R82" i="16" s="1"/>
  <c r="U98" i="16"/>
  <c r="T98" i="16" s="1"/>
  <c r="U114" i="16"/>
  <c r="T114" i="16" s="1"/>
  <c r="S114" i="16" s="1"/>
  <c r="R114" i="16" s="1"/>
  <c r="U130" i="16"/>
  <c r="T130" i="16" s="1"/>
  <c r="U146" i="16"/>
  <c r="T146" i="16" s="1"/>
  <c r="S146" i="16" s="1"/>
  <c r="R146" i="16" s="1"/>
  <c r="U166" i="16"/>
  <c r="T166" i="16" s="1"/>
  <c r="S166" i="16" s="1"/>
  <c r="R166" i="16" s="1"/>
  <c r="U198" i="16"/>
  <c r="T198" i="16" s="1"/>
  <c r="S198" i="16" s="1"/>
  <c r="R198" i="16" s="1"/>
  <c r="U230" i="16"/>
  <c r="T230" i="16" s="1"/>
  <c r="S230" i="16" s="1"/>
  <c r="R230" i="16" s="1"/>
  <c r="U262" i="16"/>
  <c r="T262" i="16" s="1"/>
  <c r="S262" i="16" s="1"/>
  <c r="R262" i="16" s="1"/>
  <c r="U294" i="16"/>
  <c r="T294" i="16" s="1"/>
  <c r="U326" i="16"/>
  <c r="T326" i="16" s="1"/>
  <c r="S326" i="16" s="1"/>
  <c r="R326" i="16" s="1"/>
  <c r="U358" i="16"/>
  <c r="T358" i="16" s="1"/>
  <c r="S358" i="16" s="1"/>
  <c r="R358" i="16" s="1"/>
  <c r="AI23" i="16"/>
  <c r="AH23" i="16" s="1"/>
  <c r="AG23" i="16" s="1"/>
  <c r="AF23" i="16" s="1"/>
  <c r="AI55" i="16"/>
  <c r="AH55" i="16" s="1"/>
  <c r="AG55" i="16" s="1"/>
  <c r="AF55" i="16" s="1"/>
  <c r="AI87" i="16"/>
  <c r="AH87" i="16" s="1"/>
  <c r="AG87" i="16" s="1"/>
  <c r="AF87" i="16" s="1"/>
  <c r="AI119" i="16"/>
  <c r="AH119" i="16" s="1"/>
  <c r="AG119" i="16" s="1"/>
  <c r="AF119" i="16" s="1"/>
  <c r="AI151" i="16"/>
  <c r="AH151" i="16" s="1"/>
  <c r="AG151" i="16" s="1"/>
  <c r="AF151" i="16" s="1"/>
  <c r="AI183" i="16"/>
  <c r="AH183" i="16" s="1"/>
  <c r="AG183" i="16" s="1"/>
  <c r="AF183" i="16" s="1"/>
  <c r="AI215" i="16"/>
  <c r="AH215" i="16" s="1"/>
  <c r="AG215" i="16" s="1"/>
  <c r="AF215" i="16" s="1"/>
  <c r="AI247" i="16"/>
  <c r="AH247" i="16" s="1"/>
  <c r="AI279" i="16"/>
  <c r="AH279" i="16" s="1"/>
  <c r="AG279" i="16" s="1"/>
  <c r="AF279" i="16" s="1"/>
  <c r="AI327" i="16"/>
  <c r="AH327" i="16" s="1"/>
  <c r="AG327" i="16" s="1"/>
  <c r="AF327" i="16" s="1"/>
  <c r="AI240" i="16"/>
  <c r="AH240" i="16" s="1"/>
  <c r="AG240" i="16" s="1"/>
  <c r="AF240" i="16" s="1"/>
  <c r="AI112" i="16"/>
  <c r="AH112" i="16" s="1"/>
  <c r="AG112" i="16" s="1"/>
  <c r="AF112" i="16" s="1"/>
  <c r="U275" i="16"/>
  <c r="T275" i="16" s="1"/>
  <c r="S275" i="16" s="1"/>
  <c r="R275" i="16" s="1"/>
  <c r="U19" i="16"/>
  <c r="T19" i="16" s="1"/>
  <c r="AI70" i="16"/>
  <c r="AH70" i="16" s="1"/>
  <c r="AG70" i="16" s="1"/>
  <c r="AF70" i="16" s="1"/>
  <c r="I160" i="15"/>
  <c r="I344" i="15"/>
  <c r="I258" i="15"/>
  <c r="J306" i="15"/>
  <c r="J328" i="15"/>
  <c r="I250" i="15"/>
  <c r="J320" i="15"/>
  <c r="J280" i="15"/>
  <c r="AD36" i="16"/>
  <c r="AD240" i="16"/>
  <c r="I192" i="15"/>
  <c r="J96" i="15"/>
  <c r="U22" i="16"/>
  <c r="T22" i="16" s="1"/>
  <c r="U30" i="16"/>
  <c r="T30" i="16" s="1"/>
  <c r="S30" i="16" s="1"/>
  <c r="R30" i="16" s="1"/>
  <c r="U38" i="16"/>
  <c r="T38" i="16" s="1"/>
  <c r="S38" i="16" s="1"/>
  <c r="R38" i="16" s="1"/>
  <c r="U46" i="16"/>
  <c r="T46" i="16" s="1"/>
  <c r="S46" i="16" s="1"/>
  <c r="R46" i="16" s="1"/>
  <c r="U54" i="16"/>
  <c r="T54" i="16" s="1"/>
  <c r="S54" i="16" s="1"/>
  <c r="R54" i="16" s="1"/>
  <c r="U62" i="16"/>
  <c r="T62" i="16" s="1"/>
  <c r="S62" i="16" s="1"/>
  <c r="R62" i="16" s="1"/>
  <c r="U70" i="16"/>
  <c r="T70" i="16" s="1"/>
  <c r="S70" i="16" s="1"/>
  <c r="R70" i="16" s="1"/>
  <c r="U78" i="16"/>
  <c r="T78" i="16" s="1"/>
  <c r="S78" i="16" s="1"/>
  <c r="R78" i="16" s="1"/>
  <c r="U86" i="16"/>
  <c r="T86" i="16" s="1"/>
  <c r="S86" i="16" s="1"/>
  <c r="R86" i="16" s="1"/>
  <c r="U94" i="16"/>
  <c r="T94" i="16" s="1"/>
  <c r="S94" i="16" s="1"/>
  <c r="R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74" i="16"/>
  <c r="T174" i="16" s="1"/>
  <c r="S174" i="16" s="1"/>
  <c r="R174" i="16" s="1"/>
  <c r="U190" i="16"/>
  <c r="T190" i="16" s="1"/>
  <c r="S190" i="16" s="1"/>
  <c r="R190" i="16" s="1"/>
  <c r="U206" i="16"/>
  <c r="T206" i="16" s="1"/>
  <c r="S206" i="16" s="1"/>
  <c r="R206" i="16" s="1"/>
  <c r="U222" i="16"/>
  <c r="T222" i="16" s="1"/>
  <c r="S222" i="16" s="1"/>
  <c r="R222" i="16" s="1"/>
  <c r="U238" i="16"/>
  <c r="T238" i="16" s="1"/>
  <c r="S238" i="16" s="1"/>
  <c r="R238" i="16" s="1"/>
  <c r="U254" i="16"/>
  <c r="T254" i="16" s="1"/>
  <c r="S254" i="16" s="1"/>
  <c r="R254" i="16" s="1"/>
  <c r="U270" i="16"/>
  <c r="T270" i="16" s="1"/>
  <c r="U286" i="16"/>
  <c r="T286" i="16" s="1"/>
  <c r="S286" i="16" s="1"/>
  <c r="R286" i="16" s="1"/>
  <c r="U302" i="16"/>
  <c r="T302" i="16" s="1"/>
  <c r="S302" i="16" s="1"/>
  <c r="R302" i="16" s="1"/>
  <c r="U318" i="16"/>
  <c r="T318" i="16" s="1"/>
  <c r="S318" i="16" s="1"/>
  <c r="R318" i="16" s="1"/>
  <c r="U334" i="16"/>
  <c r="T334" i="16" s="1"/>
  <c r="U350" i="16"/>
  <c r="T350" i="16" s="1"/>
  <c r="S350" i="16" s="1"/>
  <c r="R350" i="16" s="1"/>
  <c r="U366" i="16"/>
  <c r="T366" i="16" s="1"/>
  <c r="AI18" i="16"/>
  <c r="AH18" i="16" s="1"/>
  <c r="AG18" i="16" s="1"/>
  <c r="AF18" i="16" s="1"/>
  <c r="AI31" i="16"/>
  <c r="AH31" i="16" s="1"/>
  <c r="AG31" i="16" s="1"/>
  <c r="AF31" i="16" s="1"/>
  <c r="AI47" i="16"/>
  <c r="AH47" i="16" s="1"/>
  <c r="AG47" i="16" s="1"/>
  <c r="AF47" i="16" s="1"/>
  <c r="AI63" i="16"/>
  <c r="AH63" i="16" s="1"/>
  <c r="AI79" i="16"/>
  <c r="AH79" i="16" s="1"/>
  <c r="AG79" i="16" s="1"/>
  <c r="AF79" i="16" s="1"/>
  <c r="AI95" i="16"/>
  <c r="AH95" i="16" s="1"/>
  <c r="AI111" i="16"/>
  <c r="AH111" i="16" s="1"/>
  <c r="AG111" i="16" s="1"/>
  <c r="AF111" i="16" s="1"/>
  <c r="AI127" i="16"/>
  <c r="AH127" i="16" s="1"/>
  <c r="AI143" i="16"/>
  <c r="AH143" i="16" s="1"/>
  <c r="AG143" i="16" s="1"/>
  <c r="AF143" i="16" s="1"/>
  <c r="AI159" i="16"/>
  <c r="AH159" i="16" s="1"/>
  <c r="AI175" i="16"/>
  <c r="AH175" i="16" s="1"/>
  <c r="AG175" i="16" s="1"/>
  <c r="AF175" i="16" s="1"/>
  <c r="AI191" i="16"/>
  <c r="AH191" i="16" s="1"/>
  <c r="AG191" i="16" s="1"/>
  <c r="AF191" i="16" s="1"/>
  <c r="AI207" i="16"/>
  <c r="AH207" i="16" s="1"/>
  <c r="AG207" i="16" s="1"/>
  <c r="AF207" i="16" s="1"/>
  <c r="AI223" i="16"/>
  <c r="AH223" i="16" s="1"/>
  <c r="AI239" i="16"/>
  <c r="AH239" i="16" s="1"/>
  <c r="AG239" i="16" s="1"/>
  <c r="AF239" i="16" s="1"/>
  <c r="AI255" i="16"/>
  <c r="AH255" i="16" s="1"/>
  <c r="AI271" i="16"/>
  <c r="AH271" i="16" s="1"/>
  <c r="AG271" i="16" s="1"/>
  <c r="AF271" i="16" s="1"/>
  <c r="AI287" i="16"/>
  <c r="AH287" i="16" s="1"/>
  <c r="AG287" i="16" s="1"/>
  <c r="AF287" i="16" s="1"/>
  <c r="AI311" i="16"/>
  <c r="AH311" i="16" s="1"/>
  <c r="AG311" i="16" s="1"/>
  <c r="AF311" i="16" s="1"/>
  <c r="AI343" i="16"/>
  <c r="AH343" i="16" s="1"/>
  <c r="AI375" i="16"/>
  <c r="AH375" i="16" s="1"/>
  <c r="AG375" i="16" s="1"/>
  <c r="AF375" i="16" s="1"/>
  <c r="AI208" i="16"/>
  <c r="AH208" i="16" s="1"/>
  <c r="AG208" i="16" s="1"/>
  <c r="AF208" i="16" s="1"/>
  <c r="AI144" i="16"/>
  <c r="AH144" i="16" s="1"/>
  <c r="AG144" i="16" s="1"/>
  <c r="AF144" i="16" s="1"/>
  <c r="AI80" i="16"/>
  <c r="AH80" i="16" s="1"/>
  <c r="AG80" i="16" s="1"/>
  <c r="AF80" i="16" s="1"/>
  <c r="U339" i="16"/>
  <c r="T339" i="16" s="1"/>
  <c r="S339" i="16" s="1"/>
  <c r="R339" i="16" s="1"/>
  <c r="U211" i="16"/>
  <c r="T211" i="16" s="1"/>
  <c r="S211" i="16" s="1"/>
  <c r="R211" i="16" s="1"/>
  <c r="J94" i="15"/>
  <c r="J218" i="15"/>
  <c r="I360" i="15"/>
  <c r="I266" i="15"/>
  <c r="J47" i="15"/>
  <c r="I49" i="15"/>
  <c r="P275" i="16"/>
  <c r="V275" i="16" s="1"/>
  <c r="F275" i="16" s="1"/>
  <c r="AI354" i="16"/>
  <c r="AH354" i="16" s="1"/>
  <c r="U153" i="16"/>
  <c r="T153" i="16" s="1"/>
  <c r="S153" i="16" s="1"/>
  <c r="R153" i="16" s="1"/>
  <c r="U281" i="16"/>
  <c r="T281" i="16" s="1"/>
  <c r="S281" i="16" s="1"/>
  <c r="R281" i="16" s="1"/>
  <c r="U109" i="16"/>
  <c r="T109" i="16" s="1"/>
  <c r="S109" i="16" s="1"/>
  <c r="R109" i="16" s="1"/>
  <c r="U237" i="16"/>
  <c r="T237" i="16" s="1"/>
  <c r="U365" i="16"/>
  <c r="T365" i="16" s="1"/>
  <c r="S365" i="16" s="1"/>
  <c r="R365" i="16" s="1"/>
  <c r="U35" i="16"/>
  <c r="T35" i="16" s="1"/>
  <c r="U67" i="16"/>
  <c r="T67" i="16" s="1"/>
  <c r="S67" i="16" s="1"/>
  <c r="R67" i="16" s="1"/>
  <c r="U99" i="16"/>
  <c r="T99" i="16" s="1"/>
  <c r="U131" i="16"/>
  <c r="T131" i="16" s="1"/>
  <c r="S131" i="16" s="1"/>
  <c r="R131" i="16" s="1"/>
  <c r="U163" i="16"/>
  <c r="T163" i="16" s="1"/>
  <c r="S163" i="16" s="1"/>
  <c r="R163" i="16" s="1"/>
  <c r="U195" i="16"/>
  <c r="T195" i="16" s="1"/>
  <c r="S195" i="16" s="1"/>
  <c r="R195" i="16" s="1"/>
  <c r="U227" i="16"/>
  <c r="T227" i="16" s="1"/>
  <c r="S227" i="16" s="1"/>
  <c r="R227" i="16" s="1"/>
  <c r="U259" i="16"/>
  <c r="T259" i="16" s="1"/>
  <c r="S259" i="16" s="1"/>
  <c r="R259" i="16" s="1"/>
  <c r="U291" i="16"/>
  <c r="T291" i="16" s="1"/>
  <c r="U323" i="16"/>
  <c r="T323" i="16" s="1"/>
  <c r="S323" i="16" s="1"/>
  <c r="R323" i="16" s="1"/>
  <c r="U355" i="16"/>
  <c r="T355" i="16" s="1"/>
  <c r="S355" i="16" s="1"/>
  <c r="R355" i="16" s="1"/>
  <c r="U380" i="16"/>
  <c r="T380" i="16" s="1"/>
  <c r="S380" i="16" s="1"/>
  <c r="R380" i="16" s="1"/>
  <c r="P380" i="16" s="1"/>
  <c r="V380" i="16" s="1"/>
  <c r="F380" i="16" s="1"/>
  <c r="U376" i="16"/>
  <c r="T376" i="16" s="1"/>
  <c r="S376" i="16" s="1"/>
  <c r="R376" i="16" s="1"/>
  <c r="P376" i="16" s="1"/>
  <c r="V376" i="16" s="1"/>
  <c r="F376" i="16" s="1"/>
  <c r="H376" i="16" s="1"/>
  <c r="U372" i="16"/>
  <c r="T372" i="16" s="1"/>
  <c r="S372" i="16" s="1"/>
  <c r="R372" i="16" s="1"/>
  <c r="U368" i="16"/>
  <c r="T368" i="16" s="1"/>
  <c r="U364" i="16"/>
  <c r="T364" i="16" s="1"/>
  <c r="S364" i="16" s="1"/>
  <c r="R364" i="16" s="1"/>
  <c r="U360" i="16"/>
  <c r="T360" i="16" s="1"/>
  <c r="S360" i="16" s="1"/>
  <c r="R360" i="16" s="1"/>
  <c r="U356" i="16"/>
  <c r="T356" i="16" s="1"/>
  <c r="S356" i="16" s="1"/>
  <c r="R356" i="16" s="1"/>
  <c r="P356" i="16" s="1"/>
  <c r="V356" i="16" s="1"/>
  <c r="F356" i="16" s="1"/>
  <c r="G356" i="16" s="1"/>
  <c r="BY356" i="6" s="1"/>
  <c r="U352" i="16"/>
  <c r="T352" i="16" s="1"/>
  <c r="U348" i="16"/>
  <c r="T348" i="16" s="1"/>
  <c r="S348" i="16" s="1"/>
  <c r="R348" i="16" s="1"/>
  <c r="P348" i="16" s="1"/>
  <c r="V348" i="16" s="1"/>
  <c r="F348" i="16" s="1"/>
  <c r="G348" i="16" s="1"/>
  <c r="BY348" i="6" s="1"/>
  <c r="U344" i="16"/>
  <c r="T344" i="16" s="1"/>
  <c r="S344" i="16" s="1"/>
  <c r="R344" i="16" s="1"/>
  <c r="U340" i="16"/>
  <c r="T340" i="16" s="1"/>
  <c r="S340" i="16" s="1"/>
  <c r="R340" i="16" s="1"/>
  <c r="P340" i="16" s="1"/>
  <c r="V340" i="16" s="1"/>
  <c r="F340" i="16" s="1"/>
  <c r="G340" i="16" s="1"/>
  <c r="BY340" i="6" s="1"/>
  <c r="U336" i="16"/>
  <c r="T336" i="16" s="1"/>
  <c r="U332" i="16"/>
  <c r="T332" i="16" s="1"/>
  <c r="S332" i="16" s="1"/>
  <c r="R332" i="16" s="1"/>
  <c r="P332" i="16" s="1"/>
  <c r="V332" i="16" s="1"/>
  <c r="F332" i="16" s="1"/>
  <c r="G332" i="16" s="1"/>
  <c r="BY332" i="6" s="1"/>
  <c r="U328" i="16"/>
  <c r="T328" i="16" s="1"/>
  <c r="S328" i="16" s="1"/>
  <c r="R328" i="16" s="1"/>
  <c r="U324" i="16"/>
  <c r="T324" i="16" s="1"/>
  <c r="S324" i="16" s="1"/>
  <c r="R324" i="16" s="1"/>
  <c r="P324" i="16" s="1"/>
  <c r="V324" i="16" s="1"/>
  <c r="F324" i="16" s="1"/>
  <c r="G324" i="16" s="1"/>
  <c r="BY324" i="6" s="1"/>
  <c r="U320" i="16"/>
  <c r="T320" i="16" s="1"/>
  <c r="S320" i="16" s="1"/>
  <c r="R320" i="16" s="1"/>
  <c r="U316" i="16"/>
  <c r="T316" i="16" s="1"/>
  <c r="S316" i="16" s="1"/>
  <c r="R316" i="16" s="1"/>
  <c r="U312" i="16"/>
  <c r="T312" i="16" s="1"/>
  <c r="U308" i="16"/>
  <c r="T308" i="16" s="1"/>
  <c r="S308" i="16" s="1"/>
  <c r="R308" i="16" s="1"/>
  <c r="U304" i="16"/>
  <c r="T304" i="16" s="1"/>
  <c r="S304" i="16" s="1"/>
  <c r="R304" i="16" s="1"/>
  <c r="U300" i="16"/>
  <c r="T300" i="16" s="1"/>
  <c r="S300" i="16" s="1"/>
  <c r="R300" i="16" s="1"/>
  <c r="U296" i="16"/>
  <c r="T296" i="16" s="1"/>
  <c r="U292" i="16"/>
  <c r="T292" i="16" s="1"/>
  <c r="S292" i="16" s="1"/>
  <c r="R292" i="16" s="1"/>
  <c r="P292" i="16" s="1"/>
  <c r="V292" i="16" s="1"/>
  <c r="F292" i="16" s="1"/>
  <c r="H292" i="16" s="1"/>
  <c r="U288" i="16"/>
  <c r="T288" i="16" s="1"/>
  <c r="S288" i="16" s="1"/>
  <c r="R288" i="16" s="1"/>
  <c r="U284" i="16"/>
  <c r="T284" i="16" s="1"/>
  <c r="S284" i="16" s="1"/>
  <c r="R284" i="16" s="1"/>
  <c r="U280" i="16"/>
  <c r="T280" i="16" s="1"/>
  <c r="U276" i="16"/>
  <c r="T276" i="16" s="1"/>
  <c r="S276" i="16" s="1"/>
  <c r="R276" i="16" s="1"/>
  <c r="P276" i="16" s="1"/>
  <c r="V276" i="16" s="1"/>
  <c r="F276" i="16" s="1"/>
  <c r="G276" i="16" s="1"/>
  <c r="BY276" i="6" s="1"/>
  <c r="U272" i="16"/>
  <c r="T272" i="16" s="1"/>
  <c r="S272" i="16" s="1"/>
  <c r="R272" i="16" s="1"/>
  <c r="U268" i="16"/>
  <c r="T268" i="16" s="1"/>
  <c r="S268" i="16" s="1"/>
  <c r="R268" i="16" s="1"/>
  <c r="P268" i="16" s="1"/>
  <c r="V268" i="16" s="1"/>
  <c r="F268" i="16" s="1"/>
  <c r="G268" i="16" s="1"/>
  <c r="BY268" i="6" s="1"/>
  <c r="U264" i="16"/>
  <c r="T264" i="16" s="1"/>
  <c r="U260" i="16"/>
  <c r="T260" i="16" s="1"/>
  <c r="S260" i="16" s="1"/>
  <c r="R260" i="16" s="1"/>
  <c r="U256" i="16"/>
  <c r="T256" i="16" s="1"/>
  <c r="S256" i="16" s="1"/>
  <c r="R256" i="16" s="1"/>
  <c r="U252" i="16"/>
  <c r="T252" i="16" s="1"/>
  <c r="S252" i="16" s="1"/>
  <c r="R252" i="16" s="1"/>
  <c r="P252" i="16" s="1"/>
  <c r="V252" i="16" s="1"/>
  <c r="F252" i="16" s="1"/>
  <c r="G252" i="16" s="1"/>
  <c r="BY252" i="6" s="1"/>
  <c r="U248" i="16"/>
  <c r="T248" i="16" s="1"/>
  <c r="U244" i="16"/>
  <c r="T244" i="16" s="1"/>
  <c r="S244" i="16" s="1"/>
  <c r="R244" i="16" s="1"/>
  <c r="P244" i="16" s="1"/>
  <c r="V244" i="16" s="1"/>
  <c r="F244" i="16" s="1"/>
  <c r="G244" i="16" s="1"/>
  <c r="BY244" i="6" s="1"/>
  <c r="U240" i="16"/>
  <c r="T240" i="16" s="1"/>
  <c r="S240" i="16" s="1"/>
  <c r="R240" i="16" s="1"/>
  <c r="U236" i="16"/>
  <c r="T236" i="16" s="1"/>
  <c r="S236" i="16" s="1"/>
  <c r="R236" i="16" s="1"/>
  <c r="P236" i="16" s="1"/>
  <c r="V236" i="16" s="1"/>
  <c r="F236" i="16" s="1"/>
  <c r="G236" i="16" s="1"/>
  <c r="BY236" i="6" s="1"/>
  <c r="U232" i="16"/>
  <c r="T232" i="16" s="1"/>
  <c r="U228" i="16"/>
  <c r="T228" i="16" s="1"/>
  <c r="S228" i="16" s="1"/>
  <c r="R228" i="16" s="1"/>
  <c r="U224" i="16"/>
  <c r="T224" i="16" s="1"/>
  <c r="S224" i="16" s="1"/>
  <c r="R224" i="16" s="1"/>
  <c r="U220" i="16"/>
  <c r="T220" i="16" s="1"/>
  <c r="S220" i="16" s="1"/>
  <c r="R220" i="16" s="1"/>
  <c r="U216" i="16"/>
  <c r="T216" i="16" s="1"/>
  <c r="U212" i="16"/>
  <c r="T212" i="16" s="1"/>
  <c r="S212" i="16" s="1"/>
  <c r="R212" i="16" s="1"/>
  <c r="U208" i="16"/>
  <c r="T208" i="16" s="1"/>
  <c r="S208" i="16" s="1"/>
  <c r="R208" i="16" s="1"/>
  <c r="U204" i="16"/>
  <c r="T204" i="16" s="1"/>
  <c r="S204" i="16" s="1"/>
  <c r="R204" i="16" s="1"/>
  <c r="U200" i="16"/>
  <c r="T200" i="16" s="1"/>
  <c r="S200" i="16" s="1"/>
  <c r="R200" i="16" s="1"/>
  <c r="U196" i="16"/>
  <c r="T196" i="16" s="1"/>
  <c r="S196" i="16" s="1"/>
  <c r="R196" i="16" s="1"/>
  <c r="U192" i="16"/>
  <c r="T192" i="16" s="1"/>
  <c r="S192" i="16" s="1"/>
  <c r="R192" i="16" s="1"/>
  <c r="U188" i="16"/>
  <c r="T188" i="16" s="1"/>
  <c r="S188" i="16" s="1"/>
  <c r="R188" i="16" s="1"/>
  <c r="U184" i="16"/>
  <c r="T184" i="16" s="1"/>
  <c r="S184" i="16" s="1"/>
  <c r="R184" i="16" s="1"/>
  <c r="U180" i="16"/>
  <c r="T180" i="16" s="1"/>
  <c r="S180" i="16" s="1"/>
  <c r="R180" i="16" s="1"/>
  <c r="U176" i="16"/>
  <c r="T176" i="16" s="1"/>
  <c r="U172" i="16"/>
  <c r="T172" i="16" s="1"/>
  <c r="S172" i="16" s="1"/>
  <c r="R172" i="16" s="1"/>
  <c r="U168" i="16"/>
  <c r="T168" i="16" s="1"/>
  <c r="U164" i="16"/>
  <c r="T164" i="16" s="1"/>
  <c r="S164" i="16" s="1"/>
  <c r="R164" i="16" s="1"/>
  <c r="U160" i="16"/>
  <c r="T160" i="16" s="1"/>
  <c r="S160" i="16" s="1"/>
  <c r="R160" i="16" s="1"/>
  <c r="AI290" i="16"/>
  <c r="AH290" i="16" s="1"/>
  <c r="AG290" i="16" s="1"/>
  <c r="AF290" i="16" s="1"/>
  <c r="AI268" i="16"/>
  <c r="AH268" i="16" s="1"/>
  <c r="AG268" i="16" s="1"/>
  <c r="AF268" i="16" s="1"/>
  <c r="AI134" i="16"/>
  <c r="AH134" i="16" s="1"/>
  <c r="AG134" i="16" s="1"/>
  <c r="AF134" i="16" s="1"/>
  <c r="AI214" i="16"/>
  <c r="AH214" i="16" s="1"/>
  <c r="AI20" i="16"/>
  <c r="AH20" i="16" s="1"/>
  <c r="AG20" i="16" s="1"/>
  <c r="AF20" i="16" s="1"/>
  <c r="AI52" i="16"/>
  <c r="AH52" i="16" s="1"/>
  <c r="AI72" i="16"/>
  <c r="AH72" i="16" s="1"/>
  <c r="AG72" i="16" s="1"/>
  <c r="AF72" i="16" s="1"/>
  <c r="AI88" i="16"/>
  <c r="AH88" i="16" s="1"/>
  <c r="AG88" i="16" s="1"/>
  <c r="AF88" i="16" s="1"/>
  <c r="AI104" i="16"/>
  <c r="AH104" i="16" s="1"/>
  <c r="AG104" i="16" s="1"/>
  <c r="AF104" i="16" s="1"/>
  <c r="AI120" i="16"/>
  <c r="AH120" i="16" s="1"/>
  <c r="AG120" i="16" s="1"/>
  <c r="AF120" i="16" s="1"/>
  <c r="AI136" i="16"/>
  <c r="AH136" i="16" s="1"/>
  <c r="AG136" i="16" s="1"/>
  <c r="AF136" i="16" s="1"/>
  <c r="AI152" i="16"/>
  <c r="AH152" i="16" s="1"/>
  <c r="AG152" i="16" s="1"/>
  <c r="AF152" i="16" s="1"/>
  <c r="AI168" i="16"/>
  <c r="AH168" i="16" s="1"/>
  <c r="AG168" i="16" s="1"/>
  <c r="AF168" i="16" s="1"/>
  <c r="AI184" i="16"/>
  <c r="AH184" i="16" s="1"/>
  <c r="AG184" i="16" s="1"/>
  <c r="AF184" i="16" s="1"/>
  <c r="AI200" i="16"/>
  <c r="AH200" i="16" s="1"/>
  <c r="AG200" i="16" s="1"/>
  <c r="AF200" i="16" s="1"/>
  <c r="AI216" i="16"/>
  <c r="AH216" i="16" s="1"/>
  <c r="AI232" i="16"/>
  <c r="AH232" i="16" s="1"/>
  <c r="AG232" i="16" s="1"/>
  <c r="AF232" i="16" s="1"/>
  <c r="AI248" i="16"/>
  <c r="AH248" i="16" s="1"/>
  <c r="AI379" i="16"/>
  <c r="AI371" i="16"/>
  <c r="AH371" i="16" s="1"/>
  <c r="AG371" i="16" s="1"/>
  <c r="AF371" i="16" s="1"/>
  <c r="AI363" i="16"/>
  <c r="AH363" i="16" s="1"/>
  <c r="AG363" i="16" s="1"/>
  <c r="AF363" i="16" s="1"/>
  <c r="AI355" i="16"/>
  <c r="AH355" i="16" s="1"/>
  <c r="AG355" i="16" s="1"/>
  <c r="AF355" i="16" s="1"/>
  <c r="AI347" i="16"/>
  <c r="AH347" i="16" s="1"/>
  <c r="AG347" i="16" s="1"/>
  <c r="AF347" i="16" s="1"/>
  <c r="AI339" i="16"/>
  <c r="AH339" i="16" s="1"/>
  <c r="AG339" i="16" s="1"/>
  <c r="AF339" i="16" s="1"/>
  <c r="AI331" i="16"/>
  <c r="AH331" i="16" s="1"/>
  <c r="AG331" i="16" s="1"/>
  <c r="AF331" i="16" s="1"/>
  <c r="AI323" i="16"/>
  <c r="AH323" i="16" s="1"/>
  <c r="AI315" i="16"/>
  <c r="AH315" i="16" s="1"/>
  <c r="AG315" i="16" s="1"/>
  <c r="AF315" i="16" s="1"/>
  <c r="AI307" i="16"/>
  <c r="AH307" i="16" s="1"/>
  <c r="AI299" i="16"/>
  <c r="AH299" i="16" s="1"/>
  <c r="AG299" i="16" s="1"/>
  <c r="AF299" i="16" s="1"/>
  <c r="AI293" i="16"/>
  <c r="AH293" i="16" s="1"/>
  <c r="AG293" i="16" s="1"/>
  <c r="AF293" i="16" s="1"/>
  <c r="AI289" i="16"/>
  <c r="AH289" i="16" s="1"/>
  <c r="AG289" i="16" s="1"/>
  <c r="AF289" i="16" s="1"/>
  <c r="AI285" i="16"/>
  <c r="AH285" i="16" s="1"/>
  <c r="AI281" i="16"/>
  <c r="AH281" i="16" s="1"/>
  <c r="AG281" i="16" s="1"/>
  <c r="AF281" i="16" s="1"/>
  <c r="AI277" i="16"/>
  <c r="AH277" i="16" s="1"/>
  <c r="AG277" i="16" s="1"/>
  <c r="AF277" i="16" s="1"/>
  <c r="AI273" i="16"/>
  <c r="AH273" i="16" s="1"/>
  <c r="AG273" i="16" s="1"/>
  <c r="AF273" i="16" s="1"/>
  <c r="AI269" i="16"/>
  <c r="AH269" i="16" s="1"/>
  <c r="AG269" i="16" s="1"/>
  <c r="AF269" i="16" s="1"/>
  <c r="AI265" i="16"/>
  <c r="AH265" i="16" s="1"/>
  <c r="AG265" i="16" s="1"/>
  <c r="AF265" i="16" s="1"/>
  <c r="AI261" i="16"/>
  <c r="AH261" i="16" s="1"/>
  <c r="AI257" i="16"/>
  <c r="AH257" i="16" s="1"/>
  <c r="AG257" i="16" s="1"/>
  <c r="AF257" i="16" s="1"/>
  <c r="AI253" i="16"/>
  <c r="AH253" i="16" s="1"/>
  <c r="AG253" i="16" s="1"/>
  <c r="AF253" i="16" s="1"/>
  <c r="AI249" i="16"/>
  <c r="AH249" i="16" s="1"/>
  <c r="AG249" i="16" s="1"/>
  <c r="AF249" i="16" s="1"/>
  <c r="AI245" i="16"/>
  <c r="AH245" i="16" s="1"/>
  <c r="AG245" i="16" s="1"/>
  <c r="AF245" i="16" s="1"/>
  <c r="AI241" i="16"/>
  <c r="AH241" i="16" s="1"/>
  <c r="AG241" i="16" s="1"/>
  <c r="AF241" i="16" s="1"/>
  <c r="AI237" i="16"/>
  <c r="AH237" i="16" s="1"/>
  <c r="AG237" i="16" s="1"/>
  <c r="AF237" i="16" s="1"/>
  <c r="AI233" i="16"/>
  <c r="AH233" i="16" s="1"/>
  <c r="AG233" i="16" s="1"/>
  <c r="AF233" i="16" s="1"/>
  <c r="AI229" i="16"/>
  <c r="AH229" i="16" s="1"/>
  <c r="AG229" i="16" s="1"/>
  <c r="AF229" i="16" s="1"/>
  <c r="AI225" i="16"/>
  <c r="AH225" i="16" s="1"/>
  <c r="AG225" i="16" s="1"/>
  <c r="AF225" i="16" s="1"/>
  <c r="AI221" i="16"/>
  <c r="AH221" i="16" s="1"/>
  <c r="AG221" i="16" s="1"/>
  <c r="AF221" i="16" s="1"/>
  <c r="AI217" i="16"/>
  <c r="AH217" i="16" s="1"/>
  <c r="AG217" i="16" s="1"/>
  <c r="AF217" i="16" s="1"/>
  <c r="AI213" i="16"/>
  <c r="AH213" i="16" s="1"/>
  <c r="AI209" i="16"/>
  <c r="AH209" i="16" s="1"/>
  <c r="AG209" i="16" s="1"/>
  <c r="AF209" i="16" s="1"/>
  <c r="AI205" i="16"/>
  <c r="AH205" i="16" s="1"/>
  <c r="AG205" i="16" s="1"/>
  <c r="AF205" i="16" s="1"/>
  <c r="AI201" i="16"/>
  <c r="AH201" i="16" s="1"/>
  <c r="AG201" i="16" s="1"/>
  <c r="AF201" i="16" s="1"/>
  <c r="AI197" i="16"/>
  <c r="AH197" i="16" s="1"/>
  <c r="AG197" i="16" s="1"/>
  <c r="AF197" i="16" s="1"/>
  <c r="AI193" i="16"/>
  <c r="AH193" i="16" s="1"/>
  <c r="AG193" i="16" s="1"/>
  <c r="AF193" i="16" s="1"/>
  <c r="AI189" i="16"/>
  <c r="AH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I169" i="16"/>
  <c r="AH169" i="16" s="1"/>
  <c r="AG169" i="16" s="1"/>
  <c r="AF169" i="16" s="1"/>
  <c r="AI165" i="16"/>
  <c r="AH165" i="16" s="1"/>
  <c r="AG165" i="16" s="1"/>
  <c r="AF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5" i="16"/>
  <c r="AH85" i="16" s="1"/>
  <c r="AG85" i="16" s="1"/>
  <c r="AF85" i="16" s="1"/>
  <c r="AI81" i="16"/>
  <c r="AH81" i="16" s="1"/>
  <c r="AG81" i="16" s="1"/>
  <c r="AF81" i="16" s="1"/>
  <c r="AI77" i="16"/>
  <c r="AH77" i="16" s="1"/>
  <c r="AG77" i="16" s="1"/>
  <c r="AF77" i="16" s="1"/>
  <c r="AI73" i="16"/>
  <c r="AH73" i="16" s="1"/>
  <c r="AG73" i="16" s="1"/>
  <c r="AF73" i="16" s="1"/>
  <c r="AI69" i="16"/>
  <c r="AH69" i="16" s="1"/>
  <c r="AG69" i="16" s="1"/>
  <c r="AF69" i="16" s="1"/>
  <c r="AI65" i="16"/>
  <c r="AH65" i="16" s="1"/>
  <c r="AG65" i="16" s="1"/>
  <c r="AF65" i="16" s="1"/>
  <c r="AI61" i="16"/>
  <c r="AH61" i="16" s="1"/>
  <c r="AG61" i="16" s="1"/>
  <c r="AF61" i="16" s="1"/>
  <c r="AI57" i="16"/>
  <c r="AH57" i="16" s="1"/>
  <c r="AG57" i="16" s="1"/>
  <c r="AF57" i="16" s="1"/>
  <c r="AI53" i="16"/>
  <c r="AH53" i="16" s="1"/>
  <c r="AG53" i="16" s="1"/>
  <c r="AF53" i="16" s="1"/>
  <c r="AI49" i="16"/>
  <c r="AH49" i="16" s="1"/>
  <c r="AG49" i="16" s="1"/>
  <c r="AF49" i="16" s="1"/>
  <c r="AI45" i="16"/>
  <c r="AH45" i="16" s="1"/>
  <c r="AI41" i="16"/>
  <c r="AH41" i="16" s="1"/>
  <c r="AG41" i="16" s="1"/>
  <c r="AF41" i="16" s="1"/>
  <c r="AI37" i="16"/>
  <c r="AH37" i="16" s="1"/>
  <c r="AG37" i="16" s="1"/>
  <c r="AF37" i="16" s="1"/>
  <c r="AI33" i="16"/>
  <c r="AH33" i="16" s="1"/>
  <c r="AG33" i="16" s="1"/>
  <c r="AF33" i="16" s="1"/>
  <c r="AI29" i="16"/>
  <c r="AH29" i="16" s="1"/>
  <c r="AI25" i="16"/>
  <c r="AH25" i="16" s="1"/>
  <c r="AG25" i="16" s="1"/>
  <c r="AF25" i="16" s="1"/>
  <c r="AI21" i="16"/>
  <c r="AH21" i="16" s="1"/>
  <c r="AG21" i="16" s="1"/>
  <c r="AF21" i="16" s="1"/>
  <c r="AI16" i="16"/>
  <c r="AH16" i="16" s="1"/>
  <c r="AG16" i="16" s="1"/>
  <c r="AF16" i="16" s="1"/>
  <c r="I198" i="15"/>
  <c r="AD378" i="16"/>
  <c r="U17" i="16"/>
  <c r="T17" i="16" s="1"/>
  <c r="S17" i="16" s="1"/>
  <c r="R17" i="16" s="1"/>
  <c r="U20" i="16"/>
  <c r="T20" i="16" s="1"/>
  <c r="U24" i="16"/>
  <c r="T24" i="16" s="1"/>
  <c r="S24" i="16" s="1"/>
  <c r="R24" i="16" s="1"/>
  <c r="U28" i="16"/>
  <c r="T28" i="16" s="1"/>
  <c r="S28" i="16" s="1"/>
  <c r="R28" i="16" s="1"/>
  <c r="U32" i="16"/>
  <c r="T32" i="16" s="1"/>
  <c r="S32" i="16" s="1"/>
  <c r="R32" i="16" s="1"/>
  <c r="U36" i="16"/>
  <c r="T36" i="16" s="1"/>
  <c r="S36" i="16" s="1"/>
  <c r="R36" i="16" s="1"/>
  <c r="U40" i="16"/>
  <c r="T40" i="16" s="1"/>
  <c r="S40" i="16" s="1"/>
  <c r="R40" i="16" s="1"/>
  <c r="U44" i="16"/>
  <c r="T44" i="16" s="1"/>
  <c r="U48" i="16"/>
  <c r="T48" i="16" s="1"/>
  <c r="S48" i="16" s="1"/>
  <c r="R48" i="16" s="1"/>
  <c r="U52" i="16"/>
  <c r="T52" i="16" s="1"/>
  <c r="S52" i="16" s="1"/>
  <c r="R52" i="16" s="1"/>
  <c r="U56" i="16"/>
  <c r="T56" i="16" s="1"/>
  <c r="S56" i="16" s="1"/>
  <c r="R56" i="16" s="1"/>
  <c r="U60" i="16"/>
  <c r="T60" i="16" s="1"/>
  <c r="U64" i="16"/>
  <c r="T64" i="16" s="1"/>
  <c r="S64" i="16" s="1"/>
  <c r="R64" i="16" s="1"/>
  <c r="U68" i="16"/>
  <c r="T68" i="16" s="1"/>
  <c r="S68" i="16" s="1"/>
  <c r="R68" i="16" s="1"/>
  <c r="U72" i="16"/>
  <c r="T72" i="16" s="1"/>
  <c r="S72" i="16" s="1"/>
  <c r="R72" i="16" s="1"/>
  <c r="U76" i="16"/>
  <c r="T76" i="16" s="1"/>
  <c r="U80" i="16"/>
  <c r="T80" i="16" s="1"/>
  <c r="S80" i="16" s="1"/>
  <c r="R80" i="16" s="1"/>
  <c r="U84" i="16"/>
  <c r="T84" i="16" s="1"/>
  <c r="U88" i="16"/>
  <c r="T88" i="16" s="1"/>
  <c r="S88" i="16" s="1"/>
  <c r="R88" i="16" s="1"/>
  <c r="U92" i="16"/>
  <c r="T92" i="16" s="1"/>
  <c r="S92" i="16" s="1"/>
  <c r="R92" i="16" s="1"/>
  <c r="U96" i="16"/>
  <c r="T96" i="16" s="1"/>
  <c r="S96" i="16" s="1"/>
  <c r="R96" i="16" s="1"/>
  <c r="U100" i="16"/>
  <c r="T100" i="16" s="1"/>
  <c r="S100" i="16" s="1"/>
  <c r="R100" i="16" s="1"/>
  <c r="U104" i="16"/>
  <c r="T104" i="16" s="1"/>
  <c r="S104" i="16" s="1"/>
  <c r="R104" i="16" s="1"/>
  <c r="U108" i="16"/>
  <c r="T108" i="16" s="1"/>
  <c r="U112" i="16"/>
  <c r="T112" i="16" s="1"/>
  <c r="S112" i="16" s="1"/>
  <c r="R112" i="16" s="1"/>
  <c r="U116" i="16"/>
  <c r="T116" i="16" s="1"/>
  <c r="U120" i="16"/>
  <c r="T120" i="16" s="1"/>
  <c r="S120" i="16" s="1"/>
  <c r="R120" i="16" s="1"/>
  <c r="U124" i="16"/>
  <c r="T124" i="16" s="1"/>
  <c r="S124" i="16" s="1"/>
  <c r="R124" i="16" s="1"/>
  <c r="U128" i="16"/>
  <c r="T128" i="16" s="1"/>
  <c r="S128" i="16" s="1"/>
  <c r="R128" i="16" s="1"/>
  <c r="U132" i="16"/>
  <c r="T132" i="16" s="1"/>
  <c r="U136" i="16"/>
  <c r="T136" i="16" s="1"/>
  <c r="S136" i="16" s="1"/>
  <c r="R136" i="16" s="1"/>
  <c r="U140" i="16"/>
  <c r="T140" i="16" s="1"/>
  <c r="U144" i="16"/>
  <c r="T144" i="16" s="1"/>
  <c r="S144" i="16" s="1"/>
  <c r="R144" i="16" s="1"/>
  <c r="U148" i="16"/>
  <c r="T148" i="16" s="1"/>
  <c r="S148" i="16" s="1"/>
  <c r="R148" i="16" s="1"/>
  <c r="U152" i="16"/>
  <c r="T152" i="16" s="1"/>
  <c r="S152" i="16" s="1"/>
  <c r="R152" i="16" s="1"/>
  <c r="U156" i="16"/>
  <c r="T156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U186" i="16"/>
  <c r="T186" i="16" s="1"/>
  <c r="U194" i="16"/>
  <c r="T194" i="16" s="1"/>
  <c r="S194" i="16" s="1"/>
  <c r="R194" i="16" s="1"/>
  <c r="U202" i="16"/>
  <c r="T202" i="16" s="1"/>
  <c r="S202" i="16" s="1"/>
  <c r="R202" i="16" s="1"/>
  <c r="U210" i="16"/>
  <c r="T210" i="16" s="1"/>
  <c r="S210" i="16" s="1"/>
  <c r="R210" i="16" s="1"/>
  <c r="U218" i="16"/>
  <c r="T218" i="16" s="1"/>
  <c r="S218" i="16" s="1"/>
  <c r="R218" i="16" s="1"/>
  <c r="U226" i="16"/>
  <c r="T226" i="16" s="1"/>
  <c r="S226" i="16" s="1"/>
  <c r="R226" i="16" s="1"/>
  <c r="U234" i="16"/>
  <c r="T234" i="16" s="1"/>
  <c r="S234" i="16" s="1"/>
  <c r="R234" i="16" s="1"/>
  <c r="U242" i="16"/>
  <c r="T242" i="16" s="1"/>
  <c r="S242" i="16" s="1"/>
  <c r="R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U274" i="16"/>
  <c r="T274" i="16" s="1"/>
  <c r="S274" i="16" s="1"/>
  <c r="R274" i="16" s="1"/>
  <c r="P274" i="16" s="1"/>
  <c r="V274" i="16" s="1"/>
  <c r="F274" i="16" s="1"/>
  <c r="U282" i="16"/>
  <c r="T282" i="16" s="1"/>
  <c r="S282" i="16" s="1"/>
  <c r="R282" i="16" s="1"/>
  <c r="U290" i="16"/>
  <c r="T290" i="16" s="1"/>
  <c r="S290" i="16" s="1"/>
  <c r="R290" i="16" s="1"/>
  <c r="U298" i="16"/>
  <c r="T298" i="16" s="1"/>
  <c r="S298" i="16" s="1"/>
  <c r="R298" i="16" s="1"/>
  <c r="U306" i="16"/>
  <c r="T306" i="16" s="1"/>
  <c r="S306" i="16" s="1"/>
  <c r="R306" i="16" s="1"/>
  <c r="U314" i="16"/>
  <c r="T314" i="16" s="1"/>
  <c r="S314" i="16" s="1"/>
  <c r="R314" i="16" s="1"/>
  <c r="U322" i="16"/>
  <c r="T322" i="16" s="1"/>
  <c r="S322" i="16" s="1"/>
  <c r="R322" i="16" s="1"/>
  <c r="U330" i="16"/>
  <c r="T330" i="16" s="1"/>
  <c r="S330" i="16" s="1"/>
  <c r="R330" i="16" s="1"/>
  <c r="U338" i="16"/>
  <c r="T338" i="16" s="1"/>
  <c r="S338" i="16" s="1"/>
  <c r="R338" i="16" s="1"/>
  <c r="U346" i="16"/>
  <c r="T346" i="16" s="1"/>
  <c r="S346" i="16" s="1"/>
  <c r="R346" i="16" s="1"/>
  <c r="U354" i="16"/>
  <c r="T354" i="16" s="1"/>
  <c r="S354" i="16" s="1"/>
  <c r="R354" i="16" s="1"/>
  <c r="U362" i="16"/>
  <c r="T362" i="16" s="1"/>
  <c r="U370" i="16"/>
  <c r="T370" i="16" s="1"/>
  <c r="S370" i="16" s="1"/>
  <c r="R370" i="16" s="1"/>
  <c r="U378" i="16"/>
  <c r="T378" i="16" s="1"/>
  <c r="AI19" i="16"/>
  <c r="AH19" i="16" s="1"/>
  <c r="AG19" i="16" s="1"/>
  <c r="AF19" i="16" s="1"/>
  <c r="AI27" i="16"/>
  <c r="AH27" i="16" s="1"/>
  <c r="AI35" i="16"/>
  <c r="AH35" i="16" s="1"/>
  <c r="AG35" i="16" s="1"/>
  <c r="AF35" i="16" s="1"/>
  <c r="AI43" i="16"/>
  <c r="AH43" i="16" s="1"/>
  <c r="AI51" i="16"/>
  <c r="AH51" i="16" s="1"/>
  <c r="AG51" i="16" s="1"/>
  <c r="AF51" i="16" s="1"/>
  <c r="AI59" i="16"/>
  <c r="AH59" i="16" s="1"/>
  <c r="AG59" i="16" s="1"/>
  <c r="AF59" i="16" s="1"/>
  <c r="AI67" i="16"/>
  <c r="AH67" i="16" s="1"/>
  <c r="AG67" i="16" s="1"/>
  <c r="AF67" i="16" s="1"/>
  <c r="AI75" i="16"/>
  <c r="AH75" i="16" s="1"/>
  <c r="AG75" i="16" s="1"/>
  <c r="AF75" i="16" s="1"/>
  <c r="AI83" i="16"/>
  <c r="AH83" i="16" s="1"/>
  <c r="AG83" i="16" s="1"/>
  <c r="AF83" i="16" s="1"/>
  <c r="AI91" i="16"/>
  <c r="AH91" i="16" s="1"/>
  <c r="AI99" i="16"/>
  <c r="AH99" i="16" s="1"/>
  <c r="AG99" i="16" s="1"/>
  <c r="AF99" i="16" s="1"/>
  <c r="AI107" i="16"/>
  <c r="AH107" i="16" s="1"/>
  <c r="AG107" i="16" s="1"/>
  <c r="AF107" i="16" s="1"/>
  <c r="AI115" i="16"/>
  <c r="AH115" i="16" s="1"/>
  <c r="AG115" i="16" s="1"/>
  <c r="AF115" i="16" s="1"/>
  <c r="AI123" i="16"/>
  <c r="AH123" i="16" s="1"/>
  <c r="AG123" i="16" s="1"/>
  <c r="AF123" i="16" s="1"/>
  <c r="AI131" i="16"/>
  <c r="AH131" i="16" s="1"/>
  <c r="AG131" i="16" s="1"/>
  <c r="AF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G211" i="16" s="1"/>
  <c r="AF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G259" i="16" s="1"/>
  <c r="AF259" i="16" s="1"/>
  <c r="AI267" i="16"/>
  <c r="AH267" i="16" s="1"/>
  <c r="AI275" i="16"/>
  <c r="AH275" i="16" s="1"/>
  <c r="AG275" i="16" s="1"/>
  <c r="AF275" i="16" s="1"/>
  <c r="AI283" i="16"/>
  <c r="AH283" i="16" s="1"/>
  <c r="AI291" i="16"/>
  <c r="AH291" i="16" s="1"/>
  <c r="AI303" i="16"/>
  <c r="AH303" i="16" s="1"/>
  <c r="AG303" i="16" s="1"/>
  <c r="AF303" i="16" s="1"/>
  <c r="AI319" i="16"/>
  <c r="AH319" i="16" s="1"/>
  <c r="AG319" i="16" s="1"/>
  <c r="AF319" i="16" s="1"/>
  <c r="AI335" i="16"/>
  <c r="AH335" i="16" s="1"/>
  <c r="AG335" i="16" s="1"/>
  <c r="AF335" i="16" s="1"/>
  <c r="AI351" i="16"/>
  <c r="AH351" i="16" s="1"/>
  <c r="AG351" i="16" s="1"/>
  <c r="AF351" i="16" s="1"/>
  <c r="AI367" i="16"/>
  <c r="AH367" i="16" s="1"/>
  <c r="AG367" i="16" s="1"/>
  <c r="AF367" i="16" s="1"/>
  <c r="AI256" i="16"/>
  <c r="AH256" i="16" s="1"/>
  <c r="AG256" i="16" s="1"/>
  <c r="AF256" i="16" s="1"/>
  <c r="AI224" i="16"/>
  <c r="AH224" i="16" s="1"/>
  <c r="AG224" i="16" s="1"/>
  <c r="AF224" i="16" s="1"/>
  <c r="AI192" i="16"/>
  <c r="AH192" i="16" s="1"/>
  <c r="AG192" i="16" s="1"/>
  <c r="AF192" i="16" s="1"/>
  <c r="AI160" i="16"/>
  <c r="AH160" i="16" s="1"/>
  <c r="AG160" i="16" s="1"/>
  <c r="AF160" i="16" s="1"/>
  <c r="AI128" i="16"/>
  <c r="AH128" i="16" s="1"/>
  <c r="AG128" i="16" s="1"/>
  <c r="AF128" i="16" s="1"/>
  <c r="AI96" i="16"/>
  <c r="AH96" i="16" s="1"/>
  <c r="AG96" i="16" s="1"/>
  <c r="AF96" i="16" s="1"/>
  <c r="AI64" i="16"/>
  <c r="AH64" i="16" s="1"/>
  <c r="AG64" i="16" s="1"/>
  <c r="AF64" i="16" s="1"/>
  <c r="U371" i="16"/>
  <c r="T371" i="16" s="1"/>
  <c r="U307" i="16"/>
  <c r="T307" i="16" s="1"/>
  <c r="S307" i="16" s="1"/>
  <c r="R307" i="16" s="1"/>
  <c r="U243" i="16"/>
  <c r="T243" i="16" s="1"/>
  <c r="S243" i="16" s="1"/>
  <c r="R243" i="16" s="1"/>
  <c r="U179" i="16"/>
  <c r="T179" i="16" s="1"/>
  <c r="S179" i="16" s="1"/>
  <c r="R179" i="16" s="1"/>
  <c r="U115" i="16"/>
  <c r="T115" i="16" s="1"/>
  <c r="S115" i="16" s="1"/>
  <c r="R115" i="16" s="1"/>
  <c r="U51" i="16"/>
  <c r="T51" i="16" s="1"/>
  <c r="S51" i="16" s="1"/>
  <c r="R51" i="16" s="1"/>
  <c r="AI182" i="16"/>
  <c r="AH182" i="16" s="1"/>
  <c r="AG182" i="16" s="1"/>
  <c r="AF182" i="16" s="1"/>
  <c r="U301" i="16"/>
  <c r="T301" i="16" s="1"/>
  <c r="S301" i="16" s="1"/>
  <c r="R301" i="16" s="1"/>
  <c r="U45" i="16"/>
  <c r="T45" i="16" s="1"/>
  <c r="U177" i="16"/>
  <c r="T177" i="16" s="1"/>
  <c r="S177" i="16" s="1"/>
  <c r="R177" i="16" s="1"/>
  <c r="AI162" i="16"/>
  <c r="AH162" i="16" s="1"/>
  <c r="AG162" i="16" s="1"/>
  <c r="AF162" i="16" s="1"/>
  <c r="P358" i="16"/>
  <c r="V358" i="16" s="1"/>
  <c r="F358" i="16" s="1"/>
  <c r="G358" i="16" s="1"/>
  <c r="BY358" i="6" s="1"/>
  <c r="P51" i="16"/>
  <c r="V51" i="16" s="1"/>
  <c r="F51" i="16" s="1"/>
  <c r="G51" i="16" s="1"/>
  <c r="BY51" i="6" s="1"/>
  <c r="P230" i="16"/>
  <c r="V230" i="16" s="1"/>
  <c r="F230" i="16" s="1"/>
  <c r="H230" i="16" s="1"/>
  <c r="P282" i="16"/>
  <c r="V282" i="16" s="1"/>
  <c r="F282" i="16" s="1"/>
  <c r="G282" i="16" s="1"/>
  <c r="BY282" i="6" s="1"/>
  <c r="I126" i="15"/>
  <c r="I356" i="15"/>
  <c r="J372" i="15"/>
  <c r="I33" i="15"/>
  <c r="J340" i="15"/>
  <c r="P281" i="16"/>
  <c r="V281" i="16" s="1"/>
  <c r="F281" i="16" s="1"/>
  <c r="G281" i="16" s="1"/>
  <c r="BY281" i="6" s="1"/>
  <c r="AD269" i="16"/>
  <c r="P192" i="16"/>
  <c r="V192" i="16" s="1"/>
  <c r="F192" i="16" s="1"/>
  <c r="G192" i="16" s="1"/>
  <c r="BY192" i="6" s="1"/>
  <c r="P148" i="16"/>
  <c r="V148" i="16" s="1"/>
  <c r="F148" i="16" s="1"/>
  <c r="G148" i="16" s="1"/>
  <c r="BY148" i="6" s="1"/>
  <c r="P100" i="16"/>
  <c r="V100" i="16" s="1"/>
  <c r="F100" i="16" s="1"/>
  <c r="G100" i="16" s="1"/>
  <c r="BY100" i="6" s="1"/>
  <c r="P80" i="16"/>
  <c r="V80" i="16" s="1"/>
  <c r="F80" i="16" s="1"/>
  <c r="H80" i="16" s="1"/>
  <c r="J80" i="16" s="1"/>
  <c r="AD152" i="16"/>
  <c r="G379" i="15"/>
  <c r="BX379" i="6" s="1"/>
  <c r="P218" i="16"/>
  <c r="V218" i="16" s="1"/>
  <c r="F218" i="16" s="1"/>
  <c r="G218" i="16" s="1"/>
  <c r="BY218" i="6" s="1"/>
  <c r="P150" i="16"/>
  <c r="V150" i="16" s="1"/>
  <c r="F150" i="16" s="1"/>
  <c r="G150" i="16" s="1"/>
  <c r="BY150" i="6" s="1"/>
  <c r="P102" i="16"/>
  <c r="V102" i="16" s="1"/>
  <c r="F102" i="16" s="1"/>
  <c r="G102" i="16" s="1"/>
  <c r="BY102" i="6" s="1"/>
  <c r="AI34" i="16"/>
  <c r="AH34" i="16" s="1"/>
  <c r="AG34" i="16" s="1"/>
  <c r="AF34" i="16" s="1"/>
  <c r="AI297" i="16"/>
  <c r="AH297" i="16" s="1"/>
  <c r="AG297" i="16" s="1"/>
  <c r="AF297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7" i="16"/>
  <c r="AH377" i="16" s="1"/>
  <c r="AG377" i="16" s="1"/>
  <c r="AF377" i="16" s="1"/>
  <c r="AI252" i="16"/>
  <c r="AH252" i="16" s="1"/>
  <c r="AG252" i="16" s="1"/>
  <c r="AF252" i="16" s="1"/>
  <c r="AI244" i="16"/>
  <c r="AH244" i="16" s="1"/>
  <c r="AG244" i="16" s="1"/>
  <c r="AF244" i="16" s="1"/>
  <c r="AI236" i="16"/>
  <c r="AH236" i="16" s="1"/>
  <c r="AG236" i="16" s="1"/>
  <c r="AF236" i="16" s="1"/>
  <c r="AI228" i="16"/>
  <c r="AH228" i="16" s="1"/>
  <c r="AG228" i="16" s="1"/>
  <c r="AF228" i="16" s="1"/>
  <c r="AI220" i="16"/>
  <c r="AH220" i="16" s="1"/>
  <c r="AG220" i="16" s="1"/>
  <c r="AF220" i="16" s="1"/>
  <c r="AI212" i="16"/>
  <c r="AH212" i="16" s="1"/>
  <c r="AG212" i="16" s="1"/>
  <c r="AF212" i="16" s="1"/>
  <c r="AI204" i="16"/>
  <c r="AH204" i="16" s="1"/>
  <c r="AG204" i="16" s="1"/>
  <c r="AF204" i="16" s="1"/>
  <c r="AI196" i="16"/>
  <c r="AH196" i="16" s="1"/>
  <c r="AG196" i="16" s="1"/>
  <c r="AF196" i="16" s="1"/>
  <c r="AI188" i="16"/>
  <c r="AH188" i="16" s="1"/>
  <c r="AG188" i="16" s="1"/>
  <c r="AF188" i="16" s="1"/>
  <c r="AI180" i="16"/>
  <c r="AH180" i="16" s="1"/>
  <c r="AG180" i="16" s="1"/>
  <c r="AF180" i="16" s="1"/>
  <c r="AI172" i="16"/>
  <c r="AH172" i="16" s="1"/>
  <c r="AG172" i="16" s="1"/>
  <c r="AF172" i="16" s="1"/>
  <c r="AI164" i="16"/>
  <c r="AH164" i="16" s="1"/>
  <c r="AG164" i="16" s="1"/>
  <c r="AF164" i="16" s="1"/>
  <c r="AI156" i="16"/>
  <c r="AH156" i="16" s="1"/>
  <c r="AG156" i="16" s="1"/>
  <c r="AF156" i="16" s="1"/>
  <c r="AI148" i="16"/>
  <c r="AH148" i="16" s="1"/>
  <c r="AG148" i="16" s="1"/>
  <c r="AF148" i="16" s="1"/>
  <c r="AI140" i="16"/>
  <c r="AH140" i="16" s="1"/>
  <c r="AG140" i="16" s="1"/>
  <c r="AF140" i="16" s="1"/>
  <c r="AI132" i="16"/>
  <c r="AH132" i="16" s="1"/>
  <c r="AG132" i="16" s="1"/>
  <c r="AF132" i="16" s="1"/>
  <c r="AI124" i="16"/>
  <c r="AH124" i="16" s="1"/>
  <c r="AG124" i="16" s="1"/>
  <c r="AF124" i="16" s="1"/>
  <c r="AI116" i="16"/>
  <c r="AH116" i="16" s="1"/>
  <c r="AG116" i="16" s="1"/>
  <c r="AF116" i="16" s="1"/>
  <c r="AI108" i="16"/>
  <c r="AH108" i="16" s="1"/>
  <c r="AG108" i="16" s="1"/>
  <c r="AF108" i="16" s="1"/>
  <c r="AI100" i="16"/>
  <c r="AH100" i="16" s="1"/>
  <c r="AG100" i="16" s="1"/>
  <c r="AF100" i="16" s="1"/>
  <c r="AI92" i="16"/>
  <c r="AH92" i="16" s="1"/>
  <c r="AG92" i="16" s="1"/>
  <c r="AF92" i="16" s="1"/>
  <c r="AI84" i="16"/>
  <c r="AH84" i="16" s="1"/>
  <c r="AG84" i="16" s="1"/>
  <c r="AF84" i="16" s="1"/>
  <c r="AI76" i="16"/>
  <c r="AH76" i="16" s="1"/>
  <c r="AG76" i="16" s="1"/>
  <c r="AF76" i="16" s="1"/>
  <c r="AI68" i="16"/>
  <c r="AH68" i="16" s="1"/>
  <c r="AG68" i="16" s="1"/>
  <c r="AF68" i="16" s="1"/>
  <c r="AI60" i="16"/>
  <c r="AH60" i="16" s="1"/>
  <c r="AG60" i="16" s="1"/>
  <c r="AF60" i="16" s="1"/>
  <c r="AI44" i="16"/>
  <c r="AH44" i="16" s="1"/>
  <c r="AG44" i="16" s="1"/>
  <c r="AF44" i="16" s="1"/>
  <c r="AI28" i="16"/>
  <c r="AH28" i="16" s="1"/>
  <c r="AG28" i="16" s="1"/>
  <c r="AF28" i="16" s="1"/>
  <c r="U379" i="16"/>
  <c r="T379" i="16" s="1"/>
  <c r="U363" i="16"/>
  <c r="T363" i="16" s="1"/>
  <c r="S363" i="16" s="1"/>
  <c r="R363" i="16" s="1"/>
  <c r="U347" i="16"/>
  <c r="T347" i="16" s="1"/>
  <c r="S347" i="16" s="1"/>
  <c r="R347" i="16" s="1"/>
  <c r="U331" i="16"/>
  <c r="T331" i="16" s="1"/>
  <c r="S331" i="16" s="1"/>
  <c r="R331" i="16" s="1"/>
  <c r="U315" i="16"/>
  <c r="T315" i="16" s="1"/>
  <c r="S315" i="16" s="1"/>
  <c r="R315" i="16" s="1"/>
  <c r="P315" i="16" s="1"/>
  <c r="V315" i="16" s="1"/>
  <c r="F315" i="16" s="1"/>
  <c r="G315" i="16" s="1"/>
  <c r="BY315" i="6" s="1"/>
  <c r="U299" i="16"/>
  <c r="T299" i="16" s="1"/>
  <c r="S299" i="16" s="1"/>
  <c r="R299" i="16" s="1"/>
  <c r="U283" i="16"/>
  <c r="T283" i="16" s="1"/>
  <c r="S283" i="16" s="1"/>
  <c r="R283" i="16" s="1"/>
  <c r="U267" i="16"/>
  <c r="T267" i="16" s="1"/>
  <c r="S267" i="16" s="1"/>
  <c r="R267" i="16" s="1"/>
  <c r="U251" i="16"/>
  <c r="T251" i="16" s="1"/>
  <c r="S251" i="16" s="1"/>
  <c r="R251" i="16" s="1"/>
  <c r="U235" i="16"/>
  <c r="T235" i="16" s="1"/>
  <c r="S235" i="16" s="1"/>
  <c r="R235" i="16" s="1"/>
  <c r="U219" i="16"/>
  <c r="T219" i="16" s="1"/>
  <c r="S219" i="16" s="1"/>
  <c r="R219" i="16" s="1"/>
  <c r="U203" i="16"/>
  <c r="T203" i="16" s="1"/>
  <c r="S203" i="16" s="1"/>
  <c r="R203" i="16" s="1"/>
  <c r="U187" i="16"/>
  <c r="T187" i="16" s="1"/>
  <c r="S187" i="16" s="1"/>
  <c r="R187" i="16" s="1"/>
  <c r="U171" i="16"/>
  <c r="T171" i="16" s="1"/>
  <c r="S171" i="16" s="1"/>
  <c r="R171" i="16" s="1"/>
  <c r="U155" i="16"/>
  <c r="T155" i="16" s="1"/>
  <c r="S155" i="16" s="1"/>
  <c r="R155" i="16" s="1"/>
  <c r="U139" i="16"/>
  <c r="T139" i="16" s="1"/>
  <c r="S139" i="16" s="1"/>
  <c r="R139" i="16" s="1"/>
  <c r="U123" i="16"/>
  <c r="T123" i="16" s="1"/>
  <c r="S123" i="16" s="1"/>
  <c r="R123" i="16" s="1"/>
  <c r="U107" i="16"/>
  <c r="T107" i="16" s="1"/>
  <c r="S107" i="16" s="1"/>
  <c r="R107" i="16" s="1"/>
  <c r="U91" i="16"/>
  <c r="T91" i="16" s="1"/>
  <c r="S91" i="16" s="1"/>
  <c r="R91" i="16" s="1"/>
  <c r="P91" i="16" s="1"/>
  <c r="V91" i="16" s="1"/>
  <c r="F91" i="16" s="1"/>
  <c r="H91" i="16" s="1"/>
  <c r="U75" i="16"/>
  <c r="T75" i="16" s="1"/>
  <c r="S75" i="16" s="1"/>
  <c r="R75" i="16" s="1"/>
  <c r="U59" i="16"/>
  <c r="T59" i="16" s="1"/>
  <c r="S59" i="16" s="1"/>
  <c r="R59" i="16" s="1"/>
  <c r="U43" i="16"/>
  <c r="T43" i="16" s="1"/>
  <c r="S43" i="16" s="1"/>
  <c r="R43" i="16" s="1"/>
  <c r="U27" i="16"/>
  <c r="T27" i="16" s="1"/>
  <c r="S27" i="16" s="1"/>
  <c r="R27" i="16" s="1"/>
  <c r="Q16" i="7"/>
  <c r="AI198" i="16"/>
  <c r="AH198" i="16" s="1"/>
  <c r="AG198" i="16" s="1"/>
  <c r="AF198" i="16" s="1"/>
  <c r="AI166" i="16"/>
  <c r="AH166" i="16" s="1"/>
  <c r="AG166" i="16" s="1"/>
  <c r="AF166" i="16" s="1"/>
  <c r="AI102" i="16"/>
  <c r="AH102" i="16" s="1"/>
  <c r="AG102" i="16" s="1"/>
  <c r="AF102" i="16" s="1"/>
  <c r="AI38" i="16"/>
  <c r="AH38" i="16" s="1"/>
  <c r="AG38" i="16" s="1"/>
  <c r="AF38" i="16" s="1"/>
  <c r="U333" i="16"/>
  <c r="T333" i="16" s="1"/>
  <c r="S333" i="16" s="1"/>
  <c r="R333" i="16" s="1"/>
  <c r="U269" i="16"/>
  <c r="T269" i="16" s="1"/>
  <c r="S269" i="16" s="1"/>
  <c r="R269" i="16" s="1"/>
  <c r="U205" i="16"/>
  <c r="T205" i="16" s="1"/>
  <c r="S205" i="16" s="1"/>
  <c r="R205" i="16" s="1"/>
  <c r="U141" i="16"/>
  <c r="T141" i="16" s="1"/>
  <c r="S141" i="16" s="1"/>
  <c r="R141" i="16" s="1"/>
  <c r="U77" i="16"/>
  <c r="T77" i="16" s="1"/>
  <c r="S77" i="16" s="1"/>
  <c r="R77" i="16" s="1"/>
  <c r="AI74" i="16"/>
  <c r="AH74" i="16" s="1"/>
  <c r="AG74" i="16" s="1"/>
  <c r="AF74" i="16" s="1"/>
  <c r="AI332" i="16"/>
  <c r="AH332" i="16" s="1"/>
  <c r="AG332" i="16" s="1"/>
  <c r="AF332" i="16" s="1"/>
  <c r="AI322" i="16"/>
  <c r="AH322" i="16" s="1"/>
  <c r="AG322" i="16" s="1"/>
  <c r="AF322" i="16" s="1"/>
  <c r="AI258" i="16"/>
  <c r="AH258" i="16" s="1"/>
  <c r="AG258" i="16" s="1"/>
  <c r="AF258" i="16" s="1"/>
  <c r="AD76" i="16"/>
  <c r="U57" i="16"/>
  <c r="T57" i="16" s="1"/>
  <c r="U89" i="16"/>
  <c r="T89" i="16" s="1"/>
  <c r="S89" i="16" s="1"/>
  <c r="R89" i="16" s="1"/>
  <c r="U217" i="16"/>
  <c r="T217" i="16" s="1"/>
  <c r="S217" i="16" s="1"/>
  <c r="R217" i="16" s="1"/>
  <c r="P217" i="16" s="1"/>
  <c r="V217" i="16" s="1"/>
  <c r="F217" i="16" s="1"/>
  <c r="U345" i="16"/>
  <c r="T345" i="16" s="1"/>
  <c r="S345" i="16" s="1"/>
  <c r="R345" i="16" s="1"/>
  <c r="U305" i="16"/>
  <c r="T305" i="16" s="1"/>
  <c r="S305" i="16" s="1"/>
  <c r="R305" i="16" s="1"/>
  <c r="U49" i="16"/>
  <c r="T49" i="16" s="1"/>
  <c r="S49" i="16" s="1"/>
  <c r="R49" i="16" s="1"/>
  <c r="U29" i="16"/>
  <c r="T29" i="16" s="1"/>
  <c r="U61" i="16"/>
  <c r="T61" i="16" s="1"/>
  <c r="S61" i="16" s="1"/>
  <c r="R61" i="16" s="1"/>
  <c r="U93" i="16"/>
  <c r="T93" i="16" s="1"/>
  <c r="S93" i="16" s="1"/>
  <c r="R93" i="16" s="1"/>
  <c r="U125" i="16"/>
  <c r="T125" i="16" s="1"/>
  <c r="S125" i="16" s="1"/>
  <c r="R125" i="16" s="1"/>
  <c r="U157" i="16"/>
  <c r="T157" i="16" s="1"/>
  <c r="S157" i="16" s="1"/>
  <c r="R157" i="16" s="1"/>
  <c r="U189" i="16"/>
  <c r="T189" i="16" s="1"/>
  <c r="S189" i="16" s="1"/>
  <c r="R189" i="16" s="1"/>
  <c r="U221" i="16"/>
  <c r="T221" i="16" s="1"/>
  <c r="S221" i="16" s="1"/>
  <c r="R221" i="16" s="1"/>
  <c r="U253" i="16"/>
  <c r="T253" i="16" s="1"/>
  <c r="S253" i="16" s="1"/>
  <c r="R253" i="16" s="1"/>
  <c r="U285" i="16"/>
  <c r="T285" i="16" s="1"/>
  <c r="S285" i="16" s="1"/>
  <c r="R285" i="16" s="1"/>
  <c r="U317" i="16"/>
  <c r="T317" i="16" s="1"/>
  <c r="S317" i="16" s="1"/>
  <c r="R317" i="16" s="1"/>
  <c r="U349" i="16"/>
  <c r="T349" i="16" s="1"/>
  <c r="S349" i="16" s="1"/>
  <c r="R349" i="16" s="1"/>
  <c r="U15" i="16"/>
  <c r="T15" i="16" s="1"/>
  <c r="S15" i="16" s="1"/>
  <c r="U23" i="16"/>
  <c r="T23" i="16" s="1"/>
  <c r="U31" i="16"/>
  <c r="T31" i="16" s="1"/>
  <c r="S31" i="16" s="1"/>
  <c r="R31" i="16" s="1"/>
  <c r="U39" i="16"/>
  <c r="T39" i="16" s="1"/>
  <c r="S39" i="16" s="1"/>
  <c r="R39" i="16" s="1"/>
  <c r="U47" i="16"/>
  <c r="T47" i="16" s="1"/>
  <c r="S47" i="16" s="1"/>
  <c r="R47" i="16" s="1"/>
  <c r="U55" i="16"/>
  <c r="T55" i="16" s="1"/>
  <c r="S55" i="16" s="1"/>
  <c r="R55" i="16" s="1"/>
  <c r="U63" i="16"/>
  <c r="T63" i="16" s="1"/>
  <c r="S63" i="16" s="1"/>
  <c r="R63" i="16" s="1"/>
  <c r="U71" i="16"/>
  <c r="T71" i="16" s="1"/>
  <c r="S71" i="16" s="1"/>
  <c r="R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U119" i="16"/>
  <c r="T119" i="16" s="1"/>
  <c r="S119" i="16" s="1"/>
  <c r="R119" i="16" s="1"/>
  <c r="U127" i="16"/>
  <c r="T127" i="16" s="1"/>
  <c r="S127" i="16" s="1"/>
  <c r="R127" i="16" s="1"/>
  <c r="U135" i="16"/>
  <c r="T135" i="16" s="1"/>
  <c r="S135" i="16" s="1"/>
  <c r="R135" i="16" s="1"/>
  <c r="U143" i="16"/>
  <c r="T143" i="16" s="1"/>
  <c r="S143" i="16" s="1"/>
  <c r="R143" i="16" s="1"/>
  <c r="U151" i="16"/>
  <c r="T151" i="16" s="1"/>
  <c r="S151" i="16" s="1"/>
  <c r="R151" i="16" s="1"/>
  <c r="U159" i="16"/>
  <c r="T159" i="16" s="1"/>
  <c r="S159" i="16" s="1"/>
  <c r="R159" i="16" s="1"/>
  <c r="U167" i="16"/>
  <c r="T167" i="16" s="1"/>
  <c r="U175" i="16"/>
  <c r="T175" i="16" s="1"/>
  <c r="S175" i="16" s="1"/>
  <c r="R175" i="16" s="1"/>
  <c r="U183" i="16"/>
  <c r="T183" i="16" s="1"/>
  <c r="S183" i="16" s="1"/>
  <c r="R183" i="16" s="1"/>
  <c r="U191" i="16"/>
  <c r="T191" i="16" s="1"/>
  <c r="S191" i="16" s="1"/>
  <c r="R191" i="16" s="1"/>
  <c r="U199" i="16"/>
  <c r="T199" i="16" s="1"/>
  <c r="S199" i="16" s="1"/>
  <c r="R199" i="16" s="1"/>
  <c r="U207" i="16"/>
  <c r="T207" i="16" s="1"/>
  <c r="S207" i="16" s="1"/>
  <c r="R207" i="16" s="1"/>
  <c r="U215" i="16"/>
  <c r="T215" i="16" s="1"/>
  <c r="S215" i="16" s="1"/>
  <c r="R215" i="16" s="1"/>
  <c r="U223" i="16"/>
  <c r="T223" i="16" s="1"/>
  <c r="S223" i="16" s="1"/>
  <c r="R223" i="16" s="1"/>
  <c r="U231" i="16"/>
  <c r="T231" i="16" s="1"/>
  <c r="S231" i="16" s="1"/>
  <c r="R231" i="16" s="1"/>
  <c r="U239" i="16"/>
  <c r="T239" i="16" s="1"/>
  <c r="S239" i="16" s="1"/>
  <c r="R239" i="16" s="1"/>
  <c r="U247" i="16"/>
  <c r="T247" i="16" s="1"/>
  <c r="S247" i="16" s="1"/>
  <c r="R247" i="16" s="1"/>
  <c r="U255" i="16"/>
  <c r="T255" i="16" s="1"/>
  <c r="S255" i="16" s="1"/>
  <c r="R255" i="16" s="1"/>
  <c r="U263" i="16"/>
  <c r="T263" i="16" s="1"/>
  <c r="U271" i="16"/>
  <c r="T271" i="16" s="1"/>
  <c r="S271" i="16" s="1"/>
  <c r="R271" i="16" s="1"/>
  <c r="U279" i="16"/>
  <c r="T279" i="16" s="1"/>
  <c r="S279" i="16" s="1"/>
  <c r="R279" i="16" s="1"/>
  <c r="U287" i="16"/>
  <c r="T287" i="16" s="1"/>
  <c r="S287" i="16" s="1"/>
  <c r="R287" i="16" s="1"/>
  <c r="U295" i="16"/>
  <c r="T295" i="16" s="1"/>
  <c r="S295" i="16" s="1"/>
  <c r="R295" i="16" s="1"/>
  <c r="U303" i="16"/>
  <c r="T303" i="16" s="1"/>
  <c r="S303" i="16" s="1"/>
  <c r="R303" i="16" s="1"/>
  <c r="U311" i="16"/>
  <c r="T311" i="16" s="1"/>
  <c r="S311" i="16" s="1"/>
  <c r="R311" i="16" s="1"/>
  <c r="U319" i="16"/>
  <c r="T319" i="16" s="1"/>
  <c r="S319" i="16" s="1"/>
  <c r="R319" i="16" s="1"/>
  <c r="U327" i="16"/>
  <c r="T327" i="16" s="1"/>
  <c r="U335" i="16"/>
  <c r="T335" i="16" s="1"/>
  <c r="S335" i="16" s="1"/>
  <c r="R335" i="16" s="1"/>
  <c r="U343" i="16"/>
  <c r="T343" i="16" s="1"/>
  <c r="S343" i="16" s="1"/>
  <c r="R343" i="16" s="1"/>
  <c r="U351" i="16"/>
  <c r="T351" i="16" s="1"/>
  <c r="S351" i="16" s="1"/>
  <c r="R351" i="16" s="1"/>
  <c r="U359" i="16"/>
  <c r="T359" i="16" s="1"/>
  <c r="S359" i="16" s="1"/>
  <c r="R359" i="16" s="1"/>
  <c r="U367" i="16"/>
  <c r="T367" i="16" s="1"/>
  <c r="S367" i="16" s="1"/>
  <c r="R367" i="16" s="1"/>
  <c r="U375" i="16"/>
  <c r="T375" i="16" s="1"/>
  <c r="S375" i="16" s="1"/>
  <c r="R375" i="16" s="1"/>
  <c r="AI98" i="16"/>
  <c r="AH98" i="16" s="1"/>
  <c r="AG98" i="16" s="1"/>
  <c r="AF98" i="16" s="1"/>
  <c r="AI226" i="16"/>
  <c r="AH226" i="16" s="1"/>
  <c r="AG226" i="16" s="1"/>
  <c r="AF226" i="16" s="1"/>
  <c r="AI274" i="16"/>
  <c r="AH274" i="16" s="1"/>
  <c r="AG274" i="16" s="1"/>
  <c r="AF274" i="16" s="1"/>
  <c r="AI306" i="16"/>
  <c r="AH306" i="16" s="1"/>
  <c r="AG306" i="16" s="1"/>
  <c r="AF306" i="16" s="1"/>
  <c r="AI338" i="16"/>
  <c r="AH338" i="16" s="1"/>
  <c r="AG338" i="16" s="1"/>
  <c r="AF338" i="16" s="1"/>
  <c r="AI362" i="16"/>
  <c r="AH362" i="16" s="1"/>
  <c r="AG362" i="16" s="1"/>
  <c r="AF362" i="16" s="1"/>
  <c r="AI300" i="16"/>
  <c r="AH300" i="16" s="1"/>
  <c r="AG300" i="16" s="1"/>
  <c r="AF300" i="16" s="1"/>
  <c r="AI202" i="16"/>
  <c r="AH202" i="16" s="1"/>
  <c r="AG202" i="16" s="1"/>
  <c r="AF202" i="16" s="1"/>
  <c r="AI22" i="16"/>
  <c r="AH22" i="16" s="1"/>
  <c r="AG22" i="16" s="1"/>
  <c r="AF22" i="16" s="1"/>
  <c r="AI54" i="16"/>
  <c r="AH54" i="16" s="1"/>
  <c r="AG54" i="16" s="1"/>
  <c r="AF54" i="16" s="1"/>
  <c r="AI86" i="16"/>
  <c r="AH86" i="16" s="1"/>
  <c r="AG86" i="16" s="1"/>
  <c r="AF86" i="16" s="1"/>
  <c r="AI118" i="16"/>
  <c r="AH118" i="16" s="1"/>
  <c r="AG118" i="16" s="1"/>
  <c r="AF118" i="16" s="1"/>
  <c r="AI150" i="16"/>
  <c r="AH150" i="16" s="1"/>
  <c r="AG150" i="16" s="1"/>
  <c r="AF150" i="16" s="1"/>
  <c r="AI174" i="16"/>
  <c r="AH174" i="16" s="1"/>
  <c r="AI190" i="16"/>
  <c r="AH190" i="16" s="1"/>
  <c r="AG190" i="16" s="1"/>
  <c r="AF190" i="16" s="1"/>
  <c r="AI206" i="16"/>
  <c r="AH206" i="16" s="1"/>
  <c r="AG206" i="16" s="1"/>
  <c r="AF206" i="16" s="1"/>
  <c r="AI222" i="16"/>
  <c r="AH222" i="16" s="1"/>
  <c r="AG222" i="16" s="1"/>
  <c r="AF222" i="16" s="1"/>
  <c r="AI15" i="16"/>
  <c r="AH15" i="16" s="1"/>
  <c r="AG15" i="16" s="1"/>
  <c r="AI24" i="16"/>
  <c r="AH24" i="16" s="1"/>
  <c r="AG24" i="16" s="1"/>
  <c r="AF24" i="16" s="1"/>
  <c r="AI32" i="16"/>
  <c r="AH32" i="16" s="1"/>
  <c r="AG32" i="16" s="1"/>
  <c r="AF32" i="16" s="1"/>
  <c r="AI40" i="16"/>
  <c r="AH40" i="16" s="1"/>
  <c r="AG40" i="16" s="1"/>
  <c r="AF40" i="16" s="1"/>
  <c r="AI48" i="16"/>
  <c r="AH48" i="16" s="1"/>
  <c r="AG48" i="16" s="1"/>
  <c r="AF48" i="16" s="1"/>
  <c r="AI56" i="16"/>
  <c r="AH56" i="16" s="1"/>
  <c r="AG56" i="16" s="1"/>
  <c r="AF56" i="16" s="1"/>
  <c r="P211" i="16"/>
  <c r="V211" i="16" s="1"/>
  <c r="F211" i="16" s="1"/>
  <c r="G211" i="16" s="1"/>
  <c r="BY211" i="6" s="1"/>
  <c r="U113" i="16"/>
  <c r="T113" i="16" s="1"/>
  <c r="S113" i="16" s="1"/>
  <c r="R113" i="16" s="1"/>
  <c r="U241" i="16"/>
  <c r="T241" i="16" s="1"/>
  <c r="S241" i="16" s="1"/>
  <c r="R241" i="16" s="1"/>
  <c r="U369" i="16"/>
  <c r="T369" i="16" s="1"/>
  <c r="S369" i="16" s="1"/>
  <c r="R369" i="16" s="1"/>
  <c r="AI138" i="16"/>
  <c r="AH138" i="16" s="1"/>
  <c r="AG138" i="16" s="1"/>
  <c r="AF138" i="16" s="1"/>
  <c r="AI246" i="16"/>
  <c r="AH246" i="16" s="1"/>
  <c r="AG246" i="16" s="1"/>
  <c r="AF246" i="16" s="1"/>
  <c r="AI284" i="16"/>
  <c r="AH284" i="16" s="1"/>
  <c r="AG284" i="16" s="1"/>
  <c r="AF284" i="16" s="1"/>
  <c r="AI316" i="16"/>
  <c r="AH316" i="16" s="1"/>
  <c r="AG316" i="16" s="1"/>
  <c r="AF316" i="16" s="1"/>
  <c r="AI348" i="16"/>
  <c r="AH348" i="16" s="1"/>
  <c r="AG348" i="16" s="1"/>
  <c r="AF348" i="16" s="1"/>
  <c r="AI370" i="16"/>
  <c r="AH370" i="16" s="1"/>
  <c r="AG370" i="16" s="1"/>
  <c r="AF370" i="16" s="1"/>
  <c r="AI346" i="16"/>
  <c r="AH346" i="16" s="1"/>
  <c r="AG346" i="16" s="1"/>
  <c r="AF346" i="16" s="1"/>
  <c r="AI330" i="16"/>
  <c r="AH330" i="16" s="1"/>
  <c r="AG330" i="16" s="1"/>
  <c r="AF330" i="16" s="1"/>
  <c r="AI314" i="16"/>
  <c r="AH314" i="16" s="1"/>
  <c r="AG314" i="16" s="1"/>
  <c r="AF314" i="16" s="1"/>
  <c r="AI298" i="16"/>
  <c r="AH298" i="16" s="1"/>
  <c r="AG298" i="16" s="1"/>
  <c r="AF298" i="16" s="1"/>
  <c r="AI282" i="16"/>
  <c r="AH282" i="16" s="1"/>
  <c r="AG282" i="16" s="1"/>
  <c r="AF282" i="16" s="1"/>
  <c r="AI266" i="16"/>
  <c r="AH266" i="16" s="1"/>
  <c r="AG266" i="16" s="1"/>
  <c r="AF266" i="16" s="1"/>
  <c r="AI242" i="16"/>
  <c r="AH242" i="16" s="1"/>
  <c r="AG242" i="16" s="1"/>
  <c r="AF242" i="16" s="1"/>
  <c r="AI194" i="16"/>
  <c r="AH194" i="16" s="1"/>
  <c r="AG194" i="16" s="1"/>
  <c r="AF194" i="16" s="1"/>
  <c r="AI130" i="16"/>
  <c r="AH130" i="16" s="1"/>
  <c r="AG130" i="16" s="1"/>
  <c r="AF130" i="16" s="1"/>
  <c r="AI66" i="16"/>
  <c r="AH66" i="16" s="1"/>
  <c r="AG66" i="16" s="1"/>
  <c r="AF66" i="16" s="1"/>
  <c r="U377" i="16"/>
  <c r="T377" i="16" s="1"/>
  <c r="S377" i="16" s="1"/>
  <c r="R377" i="16" s="1"/>
  <c r="U313" i="16"/>
  <c r="T313" i="16" s="1"/>
  <c r="S313" i="16" s="1"/>
  <c r="R313" i="16" s="1"/>
  <c r="U249" i="16"/>
  <c r="T249" i="16" s="1"/>
  <c r="S249" i="16" s="1"/>
  <c r="R249" i="16" s="1"/>
  <c r="U185" i="16"/>
  <c r="T185" i="16" s="1"/>
  <c r="S185" i="16" s="1"/>
  <c r="R185" i="16" s="1"/>
  <c r="U121" i="16"/>
  <c r="T121" i="16" s="1"/>
  <c r="U41" i="16"/>
  <c r="T41" i="16" s="1"/>
  <c r="S41" i="16" s="1"/>
  <c r="R41" i="16" s="1"/>
  <c r="U73" i="16"/>
  <c r="T73" i="16" s="1"/>
  <c r="S73" i="16" s="1"/>
  <c r="R73" i="16" s="1"/>
  <c r="U105" i="16"/>
  <c r="T105" i="16" s="1"/>
  <c r="S105" i="16" s="1"/>
  <c r="R105" i="16" s="1"/>
  <c r="U137" i="16"/>
  <c r="T137" i="16" s="1"/>
  <c r="S137" i="16" s="1"/>
  <c r="R137" i="16" s="1"/>
  <c r="U169" i="16"/>
  <c r="T169" i="16" s="1"/>
  <c r="S169" i="16" s="1"/>
  <c r="R169" i="16" s="1"/>
  <c r="U201" i="16"/>
  <c r="T201" i="16" s="1"/>
  <c r="S201" i="16" s="1"/>
  <c r="R201" i="16" s="1"/>
  <c r="U233" i="16"/>
  <c r="T233" i="16" s="1"/>
  <c r="S233" i="16" s="1"/>
  <c r="R233" i="16" s="1"/>
  <c r="U265" i="16"/>
  <c r="T265" i="16" s="1"/>
  <c r="S265" i="16" s="1"/>
  <c r="R265" i="16" s="1"/>
  <c r="U297" i="16"/>
  <c r="T297" i="16" s="1"/>
  <c r="S297" i="16" s="1"/>
  <c r="R297" i="16" s="1"/>
  <c r="U329" i="16"/>
  <c r="T329" i="16" s="1"/>
  <c r="S329" i="16" s="1"/>
  <c r="R329" i="16" s="1"/>
  <c r="U361" i="16"/>
  <c r="T361" i="16" s="1"/>
  <c r="S361" i="16" s="1"/>
  <c r="R361" i="16" s="1"/>
  <c r="AI17" i="16"/>
  <c r="AH17" i="16" s="1"/>
  <c r="AG17" i="16" s="1"/>
  <c r="AF17" i="16" s="1"/>
  <c r="AI50" i="16"/>
  <c r="AH50" i="16" s="1"/>
  <c r="AG50" i="16" s="1"/>
  <c r="AF50" i="16" s="1"/>
  <c r="AI82" i="16"/>
  <c r="AH82" i="16" s="1"/>
  <c r="AG82" i="16" s="1"/>
  <c r="AF82" i="16" s="1"/>
  <c r="AI114" i="16"/>
  <c r="AH114" i="16" s="1"/>
  <c r="AG114" i="16" s="1"/>
  <c r="AF114" i="16" s="1"/>
  <c r="AI146" i="16"/>
  <c r="AH146" i="16" s="1"/>
  <c r="AG146" i="16" s="1"/>
  <c r="AF146" i="16" s="1"/>
  <c r="AI178" i="16"/>
  <c r="AH178" i="16" s="1"/>
  <c r="AG178" i="16" s="1"/>
  <c r="AF178" i="16" s="1"/>
  <c r="AI210" i="16"/>
  <c r="AH210" i="16" s="1"/>
  <c r="AG210" i="16" s="1"/>
  <c r="AF210" i="16" s="1"/>
  <c r="AI234" i="16"/>
  <c r="AH234" i="16" s="1"/>
  <c r="AG234" i="16" s="1"/>
  <c r="AF234" i="16" s="1"/>
  <c r="AI250" i="16"/>
  <c r="AH250" i="16" s="1"/>
  <c r="AG250" i="16" s="1"/>
  <c r="AF250" i="16" s="1"/>
  <c r="AI262" i="16"/>
  <c r="AH262" i="16" s="1"/>
  <c r="AG262" i="16" s="1"/>
  <c r="AF262" i="16" s="1"/>
  <c r="AI270" i="16"/>
  <c r="AH270" i="16" s="1"/>
  <c r="AG270" i="16" s="1"/>
  <c r="AF270" i="16" s="1"/>
  <c r="AI278" i="16"/>
  <c r="AH278" i="16" s="1"/>
  <c r="AG278" i="16" s="1"/>
  <c r="AF278" i="16" s="1"/>
  <c r="AI286" i="16"/>
  <c r="AH286" i="16" s="1"/>
  <c r="AG286" i="16" s="1"/>
  <c r="AF286" i="16" s="1"/>
  <c r="AI294" i="16"/>
  <c r="AH294" i="16" s="1"/>
  <c r="AG294" i="16" s="1"/>
  <c r="AF294" i="16" s="1"/>
  <c r="AI302" i="16"/>
  <c r="AH302" i="16" s="1"/>
  <c r="AG302" i="16" s="1"/>
  <c r="AF302" i="16" s="1"/>
  <c r="AI310" i="16"/>
  <c r="AH310" i="16" s="1"/>
  <c r="AG310" i="16" s="1"/>
  <c r="AF310" i="16" s="1"/>
  <c r="AI318" i="16"/>
  <c r="AH318" i="16" s="1"/>
  <c r="AG318" i="16" s="1"/>
  <c r="AF318" i="16" s="1"/>
  <c r="AI326" i="16"/>
  <c r="AH326" i="16" s="1"/>
  <c r="AG326" i="16" s="1"/>
  <c r="AF326" i="16" s="1"/>
  <c r="AI334" i="16"/>
  <c r="AH334" i="16" s="1"/>
  <c r="AG334" i="16" s="1"/>
  <c r="AF334" i="16" s="1"/>
  <c r="AI342" i="16"/>
  <c r="AH342" i="16" s="1"/>
  <c r="AG342" i="16" s="1"/>
  <c r="AF342" i="16" s="1"/>
  <c r="AI350" i="16"/>
  <c r="AH350" i="16" s="1"/>
  <c r="AG350" i="16" s="1"/>
  <c r="AF350" i="16" s="1"/>
  <c r="AI358" i="16"/>
  <c r="AH358" i="16" s="1"/>
  <c r="AG358" i="16" s="1"/>
  <c r="AF358" i="16" s="1"/>
  <c r="AI374" i="16"/>
  <c r="AH374" i="16" s="1"/>
  <c r="AG374" i="16" s="1"/>
  <c r="AF374" i="16" s="1"/>
  <c r="AI366" i="16"/>
  <c r="AH366" i="16" s="1"/>
  <c r="AG366" i="16" s="1"/>
  <c r="AF366" i="16" s="1"/>
  <c r="AI356" i="16"/>
  <c r="AH356" i="16" s="1"/>
  <c r="AG356" i="16" s="1"/>
  <c r="AF356" i="16" s="1"/>
  <c r="AI340" i="16"/>
  <c r="AH340" i="16" s="1"/>
  <c r="AG340" i="16" s="1"/>
  <c r="AF340" i="16" s="1"/>
  <c r="AI324" i="16"/>
  <c r="AH324" i="16" s="1"/>
  <c r="AG324" i="16" s="1"/>
  <c r="AF324" i="16" s="1"/>
  <c r="AI308" i="16"/>
  <c r="AH308" i="16" s="1"/>
  <c r="AG308" i="16" s="1"/>
  <c r="AF308" i="16" s="1"/>
  <c r="AI292" i="16"/>
  <c r="AH292" i="16" s="1"/>
  <c r="AG292" i="16" s="1"/>
  <c r="AF292" i="16" s="1"/>
  <c r="AI276" i="16"/>
  <c r="AH276" i="16" s="1"/>
  <c r="AG276" i="16" s="1"/>
  <c r="AF276" i="16" s="1"/>
  <c r="AI260" i="16"/>
  <c r="AH260" i="16" s="1"/>
  <c r="AG260" i="16" s="1"/>
  <c r="AF260" i="16" s="1"/>
  <c r="AI230" i="16"/>
  <c r="AH230" i="16" s="1"/>
  <c r="AG230" i="16" s="1"/>
  <c r="AF230" i="16" s="1"/>
  <c r="AI170" i="16"/>
  <c r="AH170" i="16" s="1"/>
  <c r="AG170" i="16" s="1"/>
  <c r="AF170" i="16" s="1"/>
  <c r="AI106" i="16"/>
  <c r="AH106" i="16" s="1"/>
  <c r="AG106" i="16" s="1"/>
  <c r="AF106" i="16" s="1"/>
  <c r="AI42" i="16"/>
  <c r="AH42" i="16" s="1"/>
  <c r="AG42" i="16" s="1"/>
  <c r="AF42" i="16" s="1"/>
  <c r="U337" i="16"/>
  <c r="T337" i="16" s="1"/>
  <c r="S337" i="16" s="1"/>
  <c r="R337" i="16" s="1"/>
  <c r="U273" i="16"/>
  <c r="T273" i="16" s="1"/>
  <c r="S273" i="16" s="1"/>
  <c r="R273" i="16" s="1"/>
  <c r="U209" i="16"/>
  <c r="T209" i="16" s="1"/>
  <c r="S209" i="16" s="1"/>
  <c r="R209" i="16" s="1"/>
  <c r="U145" i="16"/>
  <c r="T145" i="16" s="1"/>
  <c r="S145" i="16" s="1"/>
  <c r="R145" i="16" s="1"/>
  <c r="U81" i="16"/>
  <c r="T81" i="16" s="1"/>
  <c r="S81" i="16" s="1"/>
  <c r="R81" i="16" s="1"/>
  <c r="P81" i="16" s="1"/>
  <c r="V81" i="16" s="1"/>
  <c r="F81" i="16" s="1"/>
  <c r="G81" i="16" s="1"/>
  <c r="BY81" i="6" s="1"/>
  <c r="U18" i="16"/>
  <c r="T18" i="16" s="1"/>
  <c r="S18" i="16" s="1"/>
  <c r="R18" i="16" s="1"/>
  <c r="U21" i="16"/>
  <c r="T21" i="16" s="1"/>
  <c r="S21" i="16" s="1"/>
  <c r="R21" i="16" s="1"/>
  <c r="U37" i="16"/>
  <c r="T37" i="16" s="1"/>
  <c r="S37" i="16" s="1"/>
  <c r="R37" i="16" s="1"/>
  <c r="U53" i="16"/>
  <c r="T53" i="16" s="1"/>
  <c r="S53" i="16" s="1"/>
  <c r="R53" i="16" s="1"/>
  <c r="U69" i="16"/>
  <c r="T69" i="16" s="1"/>
  <c r="S69" i="16" s="1"/>
  <c r="R69" i="16" s="1"/>
  <c r="U85" i="16"/>
  <c r="T85" i="16" s="1"/>
  <c r="S85" i="16" s="1"/>
  <c r="R85" i="16" s="1"/>
  <c r="U101" i="16"/>
  <c r="T101" i="16" s="1"/>
  <c r="S101" i="16" s="1"/>
  <c r="R101" i="16" s="1"/>
  <c r="U117" i="16"/>
  <c r="T117" i="16" s="1"/>
  <c r="S117" i="16" s="1"/>
  <c r="R117" i="16" s="1"/>
  <c r="U133" i="16"/>
  <c r="T133" i="16" s="1"/>
  <c r="S133" i="16" s="1"/>
  <c r="R133" i="16" s="1"/>
  <c r="U149" i="16"/>
  <c r="T149" i="16" s="1"/>
  <c r="S149" i="16" s="1"/>
  <c r="R149" i="16" s="1"/>
  <c r="U165" i="16"/>
  <c r="T165" i="16" s="1"/>
  <c r="S165" i="16" s="1"/>
  <c r="R165" i="16" s="1"/>
  <c r="U181" i="16"/>
  <c r="T181" i="16" s="1"/>
  <c r="S181" i="16" s="1"/>
  <c r="R181" i="16" s="1"/>
  <c r="U197" i="16"/>
  <c r="T197" i="16" s="1"/>
  <c r="S197" i="16" s="1"/>
  <c r="R197" i="16" s="1"/>
  <c r="U213" i="16"/>
  <c r="T213" i="16" s="1"/>
  <c r="S213" i="16" s="1"/>
  <c r="R213" i="16" s="1"/>
  <c r="U229" i="16"/>
  <c r="T229" i="16" s="1"/>
  <c r="S229" i="16" s="1"/>
  <c r="R229" i="16" s="1"/>
  <c r="U245" i="16"/>
  <c r="T245" i="16" s="1"/>
  <c r="S245" i="16" s="1"/>
  <c r="R245" i="16" s="1"/>
  <c r="U261" i="16"/>
  <c r="T261" i="16" s="1"/>
  <c r="S261" i="16" s="1"/>
  <c r="R261" i="16" s="1"/>
  <c r="U277" i="16"/>
  <c r="T277" i="16" s="1"/>
  <c r="S277" i="16" s="1"/>
  <c r="R277" i="16" s="1"/>
  <c r="U293" i="16"/>
  <c r="T293" i="16" s="1"/>
  <c r="S293" i="16" s="1"/>
  <c r="R293" i="16" s="1"/>
  <c r="U309" i="16"/>
  <c r="T309" i="16" s="1"/>
  <c r="S309" i="16" s="1"/>
  <c r="R309" i="16" s="1"/>
  <c r="U325" i="16"/>
  <c r="T325" i="16" s="1"/>
  <c r="S325" i="16" s="1"/>
  <c r="R325" i="16" s="1"/>
  <c r="U341" i="16"/>
  <c r="T341" i="16" s="1"/>
  <c r="S341" i="16" s="1"/>
  <c r="R341" i="16" s="1"/>
  <c r="U357" i="16"/>
  <c r="T357" i="16" s="1"/>
  <c r="S357" i="16" s="1"/>
  <c r="R357" i="16" s="1"/>
  <c r="U373" i="16"/>
  <c r="T373" i="16" s="1"/>
  <c r="S373" i="16" s="1"/>
  <c r="R373" i="16" s="1"/>
  <c r="AI30" i="16"/>
  <c r="AH30" i="16" s="1"/>
  <c r="AG30" i="16" s="1"/>
  <c r="AF30" i="16" s="1"/>
  <c r="AI46" i="16"/>
  <c r="AH46" i="16" s="1"/>
  <c r="AG46" i="16" s="1"/>
  <c r="AF46" i="16" s="1"/>
  <c r="AI62" i="16"/>
  <c r="AH62" i="16" s="1"/>
  <c r="AG62" i="16" s="1"/>
  <c r="AF62" i="16" s="1"/>
  <c r="AI78" i="16"/>
  <c r="AH78" i="16" s="1"/>
  <c r="AG78" i="16" s="1"/>
  <c r="AF78" i="16" s="1"/>
  <c r="AI94" i="16"/>
  <c r="AH94" i="16" s="1"/>
  <c r="AG94" i="16" s="1"/>
  <c r="AF94" i="16" s="1"/>
  <c r="AI110" i="16"/>
  <c r="AH110" i="16" s="1"/>
  <c r="AG110" i="16" s="1"/>
  <c r="AF110" i="16" s="1"/>
  <c r="AI126" i="16"/>
  <c r="AH126" i="16" s="1"/>
  <c r="AG126" i="16" s="1"/>
  <c r="AF126" i="16" s="1"/>
  <c r="AI142" i="16"/>
  <c r="AH142" i="16" s="1"/>
  <c r="AG142" i="16" s="1"/>
  <c r="AF142" i="16" s="1"/>
  <c r="AI158" i="16"/>
  <c r="AH158" i="16" s="1"/>
  <c r="AG158" i="16" s="1"/>
  <c r="AF158" i="16" s="1"/>
  <c r="J144" i="15"/>
  <c r="J152" i="15"/>
  <c r="J27" i="15"/>
  <c r="J208" i="15"/>
  <c r="I176" i="15"/>
  <c r="J304" i="15"/>
  <c r="L40" i="19"/>
  <c r="C14" i="19"/>
  <c r="F38" i="19"/>
  <c r="AI26" i="16"/>
  <c r="AH26" i="16" s="1"/>
  <c r="AG26" i="16" s="1"/>
  <c r="AF26" i="16" s="1"/>
  <c r="AI90" i="16"/>
  <c r="AH90" i="16" s="1"/>
  <c r="AG90" i="16" s="1"/>
  <c r="AF90" i="16" s="1"/>
  <c r="AI154" i="16"/>
  <c r="AH154" i="16" s="1"/>
  <c r="AG154" i="16" s="1"/>
  <c r="AF154" i="16" s="1"/>
  <c r="AI218" i="16"/>
  <c r="AH218" i="16" s="1"/>
  <c r="AG218" i="16" s="1"/>
  <c r="AF218" i="16" s="1"/>
  <c r="AI254" i="16"/>
  <c r="AH254" i="16" s="1"/>
  <c r="AG254" i="16" s="1"/>
  <c r="AF254" i="16" s="1"/>
  <c r="AI272" i="16"/>
  <c r="AH272" i="16" s="1"/>
  <c r="AG272" i="16" s="1"/>
  <c r="AF272" i="16" s="1"/>
  <c r="AI288" i="16"/>
  <c r="AH288" i="16" s="1"/>
  <c r="AG288" i="16" s="1"/>
  <c r="AF288" i="16" s="1"/>
  <c r="AI304" i="16"/>
  <c r="AH304" i="16" s="1"/>
  <c r="AG304" i="16" s="1"/>
  <c r="AF304" i="16" s="1"/>
  <c r="AI320" i="16"/>
  <c r="AH320" i="16" s="1"/>
  <c r="AG320" i="16" s="1"/>
  <c r="AF320" i="16" s="1"/>
  <c r="AI336" i="16"/>
  <c r="AH336" i="16" s="1"/>
  <c r="AG336" i="16" s="1"/>
  <c r="AF336" i="16" s="1"/>
  <c r="AI352" i="16"/>
  <c r="AH352" i="16" s="1"/>
  <c r="AG352" i="16" s="1"/>
  <c r="AF352" i="16" s="1"/>
  <c r="AI364" i="16"/>
  <c r="AH364" i="16" s="1"/>
  <c r="AG364" i="16" s="1"/>
  <c r="AF364" i="16" s="1"/>
  <c r="AI372" i="16"/>
  <c r="AH372" i="16" s="1"/>
  <c r="AI380" i="16"/>
  <c r="AH380" i="16" s="1"/>
  <c r="AG380" i="16" s="1"/>
  <c r="AF380" i="16" s="1"/>
  <c r="U129" i="16"/>
  <c r="T129" i="16" s="1"/>
  <c r="S129" i="16" s="1"/>
  <c r="R129" i="16" s="1"/>
  <c r="U257" i="16"/>
  <c r="T257" i="16" s="1"/>
  <c r="S257" i="16" s="1"/>
  <c r="R257" i="16" s="1"/>
  <c r="AI58" i="16"/>
  <c r="AH58" i="16" s="1"/>
  <c r="AG58" i="16" s="1"/>
  <c r="AF58" i="16" s="1"/>
  <c r="AI122" i="16"/>
  <c r="AH122" i="16" s="1"/>
  <c r="AG122" i="16" s="1"/>
  <c r="AF122" i="16" s="1"/>
  <c r="AI186" i="16"/>
  <c r="AH186" i="16" s="1"/>
  <c r="AG186" i="16" s="1"/>
  <c r="AF186" i="16" s="1"/>
  <c r="AI238" i="16"/>
  <c r="AH238" i="16" s="1"/>
  <c r="AG238" i="16" s="1"/>
  <c r="AF238" i="16" s="1"/>
  <c r="AI264" i="16"/>
  <c r="AH264" i="16" s="1"/>
  <c r="AG264" i="16" s="1"/>
  <c r="AF264" i="16" s="1"/>
  <c r="AI280" i="16"/>
  <c r="AH280" i="16" s="1"/>
  <c r="AG280" i="16" s="1"/>
  <c r="AF280" i="16" s="1"/>
  <c r="AI312" i="16"/>
  <c r="AH312" i="16" s="1"/>
  <c r="AG312" i="16" s="1"/>
  <c r="AF312" i="16" s="1"/>
  <c r="AI344" i="16"/>
  <c r="AH344" i="16" s="1"/>
  <c r="AG344" i="16" s="1"/>
  <c r="AF344" i="16" s="1"/>
  <c r="AI360" i="16"/>
  <c r="AH360" i="16" s="1"/>
  <c r="AG360" i="16" s="1"/>
  <c r="AF360" i="16" s="1"/>
  <c r="AI376" i="16"/>
  <c r="AH376" i="16" s="1"/>
  <c r="AG376" i="16" s="1"/>
  <c r="AF376" i="16" s="1"/>
  <c r="U65" i="16"/>
  <c r="T65" i="16" s="1"/>
  <c r="S65" i="16" s="1"/>
  <c r="R65" i="16" s="1"/>
  <c r="U193" i="16"/>
  <c r="T193" i="16" s="1"/>
  <c r="S193" i="16" s="1"/>
  <c r="R193" i="16" s="1"/>
  <c r="U321" i="16"/>
  <c r="T321" i="16" s="1"/>
  <c r="S321" i="16" s="1"/>
  <c r="R321" i="16" s="1"/>
  <c r="AI296" i="16"/>
  <c r="AH296" i="16" s="1"/>
  <c r="AG296" i="16" s="1"/>
  <c r="AF296" i="16" s="1"/>
  <c r="AI328" i="16"/>
  <c r="AH328" i="16" s="1"/>
  <c r="AG328" i="16" s="1"/>
  <c r="AF328" i="16" s="1"/>
  <c r="AI368" i="16"/>
  <c r="AH368" i="16" s="1"/>
  <c r="AG368" i="16" s="1"/>
  <c r="AF368" i="16" s="1"/>
  <c r="U161" i="16"/>
  <c r="T161" i="16" s="1"/>
  <c r="S161" i="16" s="1"/>
  <c r="R161" i="16" s="1"/>
  <c r="U289" i="16"/>
  <c r="T289" i="16" s="1"/>
  <c r="S289" i="16" s="1"/>
  <c r="R289" i="16" s="1"/>
  <c r="AD288" i="16"/>
  <c r="U97" i="16"/>
  <c r="T97" i="16" s="1"/>
  <c r="S97" i="16" s="1"/>
  <c r="R97" i="16" s="1"/>
  <c r="U225" i="16"/>
  <c r="T225" i="16" s="1"/>
  <c r="S225" i="16" s="1"/>
  <c r="R225" i="16" s="1"/>
  <c r="U353" i="16"/>
  <c r="T353" i="16" s="1"/>
  <c r="S353" i="16" s="1"/>
  <c r="R353" i="16" s="1"/>
  <c r="U33" i="16"/>
  <c r="T33" i="16" s="1"/>
  <c r="S33" i="16" s="1"/>
  <c r="R33" i="16" s="1"/>
  <c r="P52" i="16"/>
  <c r="V52" i="16" s="1"/>
  <c r="F52" i="16" s="1"/>
  <c r="P231" i="16"/>
  <c r="V231" i="16" s="1"/>
  <c r="F231" i="16" s="1"/>
  <c r="G231" i="16" s="1"/>
  <c r="BY231" i="6" s="1"/>
  <c r="AD253" i="16"/>
  <c r="P182" i="16"/>
  <c r="V182" i="16" s="1"/>
  <c r="F182" i="16" s="1"/>
  <c r="H182" i="16" s="1"/>
  <c r="J112" i="15"/>
  <c r="J87" i="15"/>
  <c r="J240" i="15"/>
  <c r="J63" i="15"/>
  <c r="J273" i="15"/>
  <c r="J236" i="15"/>
  <c r="I336" i="15"/>
  <c r="J199" i="15"/>
  <c r="J76" i="15"/>
  <c r="J220" i="15"/>
  <c r="I204" i="15"/>
  <c r="AD184" i="16"/>
  <c r="J150" i="15"/>
  <c r="I59" i="15"/>
  <c r="AD59" i="16"/>
  <c r="AD71" i="16"/>
  <c r="AD119" i="16"/>
  <c r="AD191" i="16"/>
  <c r="AD195" i="16"/>
  <c r="AD199" i="16"/>
  <c r="AD231" i="16"/>
  <c r="AD299" i="16"/>
  <c r="AD351" i="16"/>
  <c r="AD359" i="16"/>
  <c r="AD371" i="16"/>
  <c r="I156" i="15"/>
  <c r="J193" i="15"/>
  <c r="Q12" i="17"/>
  <c r="U15" i="7" s="1"/>
  <c r="AH383" i="15"/>
  <c r="AH381" i="15"/>
  <c r="AG364" i="15"/>
  <c r="AH382" i="15"/>
  <c r="I124" i="15"/>
  <c r="J214" i="15"/>
  <c r="I43" i="15"/>
  <c r="J79" i="15"/>
  <c r="J225" i="15"/>
  <c r="AD38" i="16"/>
  <c r="P127" i="16"/>
  <c r="V127" i="16" s="1"/>
  <c r="F127" i="16" s="1"/>
  <c r="P227" i="16"/>
  <c r="V227" i="16" s="1"/>
  <c r="F227" i="16" s="1"/>
  <c r="G227" i="16" s="1"/>
  <c r="BY227" i="6" s="1"/>
  <c r="P331" i="16"/>
  <c r="V331" i="16" s="1"/>
  <c r="F331" i="16" s="1"/>
  <c r="G331" i="16" s="1"/>
  <c r="BY331" i="6" s="1"/>
  <c r="P163" i="16"/>
  <c r="V163" i="16" s="1"/>
  <c r="F163" i="16" s="1"/>
  <c r="G163" i="16" s="1"/>
  <c r="BY163" i="6" s="1"/>
  <c r="AD37" i="16"/>
  <c r="AD208" i="16"/>
  <c r="J337" i="15"/>
  <c r="I378" i="15"/>
  <c r="J270" i="15"/>
  <c r="J374" i="15"/>
  <c r="J347" i="15"/>
  <c r="I169" i="15"/>
  <c r="I289" i="15"/>
  <c r="J361" i="15"/>
  <c r="J37" i="15"/>
  <c r="J318" i="15"/>
  <c r="I105" i="15"/>
  <c r="J294" i="15"/>
  <c r="J286" i="15"/>
  <c r="I73" i="15"/>
  <c r="I313" i="15"/>
  <c r="I345" i="15"/>
  <c r="I316" i="15"/>
  <c r="J121" i="15"/>
  <c r="I246" i="15"/>
  <c r="I89" i="15"/>
  <c r="J185" i="15"/>
  <c r="I222" i="15"/>
  <c r="AD339" i="16"/>
  <c r="P304" i="16"/>
  <c r="V304" i="16" s="1"/>
  <c r="F304" i="16" s="1"/>
  <c r="G304" i="16" s="1"/>
  <c r="BY304" i="6" s="1"/>
  <c r="P310" i="16"/>
  <c r="V310" i="16" s="1"/>
  <c r="F310" i="16" s="1"/>
  <c r="J261" i="15"/>
  <c r="I377" i="15"/>
  <c r="J269" i="15"/>
  <c r="I74" i="15"/>
  <c r="K62" i="19"/>
  <c r="I371" i="15"/>
  <c r="J237" i="15"/>
  <c r="J351" i="15"/>
  <c r="I39" i="15"/>
  <c r="I97" i="15"/>
  <c r="I151" i="15"/>
  <c r="M62" i="19"/>
  <c r="I62" i="19"/>
  <c r="J85" i="15"/>
  <c r="J191" i="15"/>
  <c r="I279" i="15"/>
  <c r="J207" i="15"/>
  <c r="I314" i="15"/>
  <c r="J45" i="15"/>
  <c r="J71" i="15"/>
  <c r="J107" i="15"/>
  <c r="J187" i="15"/>
  <c r="I241" i="15"/>
  <c r="I248" i="15"/>
  <c r="J357" i="15"/>
  <c r="J139" i="15"/>
  <c r="J95" i="15"/>
  <c r="J159" i="15"/>
  <c r="I229" i="15"/>
  <c r="I293" i="15"/>
  <c r="J326" i="15"/>
  <c r="I278" i="15"/>
  <c r="I130" i="15"/>
  <c r="I135" i="15"/>
  <c r="J35" i="15"/>
  <c r="J129" i="15"/>
  <c r="I349" i="15"/>
  <c r="J114" i="15"/>
  <c r="J143" i="15"/>
  <c r="J90" i="15"/>
  <c r="I303" i="15"/>
  <c r="J25" i="15"/>
  <c r="I263" i="15"/>
  <c r="I277" i="15"/>
  <c r="I359" i="15"/>
  <c r="J206" i="15"/>
  <c r="J92" i="15"/>
  <c r="J69" i="15"/>
  <c r="J77" i="15"/>
  <c r="P224" i="16"/>
  <c r="V224" i="16" s="1"/>
  <c r="F224" i="16" s="1"/>
  <c r="G224" i="16" s="1"/>
  <c r="BY224" i="6" s="1"/>
  <c r="P374" i="16"/>
  <c r="V374" i="16" s="1"/>
  <c r="F374" i="16" s="1"/>
  <c r="AD125" i="16"/>
  <c r="P25" i="16"/>
  <c r="V25" i="16" s="1"/>
  <c r="F25" i="16" s="1"/>
  <c r="H25" i="16" s="1"/>
  <c r="J154" i="15"/>
  <c r="I154" i="15"/>
  <c r="I161" i="15"/>
  <c r="I221" i="15"/>
  <c r="J375" i="15"/>
  <c r="I88" i="15"/>
  <c r="J162" i="15"/>
  <c r="I29" i="15"/>
  <c r="J295" i="15"/>
  <c r="J366" i="15"/>
  <c r="J57" i="15"/>
  <c r="P151" i="16"/>
  <c r="V151" i="16" s="1"/>
  <c r="F151" i="16" s="1"/>
  <c r="G151" i="16" s="1"/>
  <c r="BY151" i="6" s="1"/>
  <c r="P200" i="16"/>
  <c r="V200" i="16" s="1"/>
  <c r="F200" i="16" s="1"/>
  <c r="H200" i="16" s="1"/>
  <c r="AD55" i="16"/>
  <c r="AD183" i="16"/>
  <c r="AD327" i="16"/>
  <c r="P119" i="16"/>
  <c r="V119" i="16" s="1"/>
  <c r="F119" i="16" s="1"/>
  <c r="P243" i="16"/>
  <c r="V243" i="16" s="1"/>
  <c r="F243" i="16" s="1"/>
  <c r="G243" i="16" s="1"/>
  <c r="BY243" i="6" s="1"/>
  <c r="P287" i="16"/>
  <c r="V287" i="16" s="1"/>
  <c r="F287" i="16" s="1"/>
  <c r="H287" i="16" s="1"/>
  <c r="P355" i="16"/>
  <c r="V355" i="16" s="1"/>
  <c r="F355" i="16" s="1"/>
  <c r="G355" i="16" s="1"/>
  <c r="BY355" i="6" s="1"/>
  <c r="P363" i="16"/>
  <c r="V363" i="16" s="1"/>
  <c r="F363" i="16" s="1"/>
  <c r="P238" i="16"/>
  <c r="V238" i="16" s="1"/>
  <c r="F238" i="16" s="1"/>
  <c r="P302" i="16"/>
  <c r="V302" i="16" s="1"/>
  <c r="F302" i="16" s="1"/>
  <c r="G302" i="16" s="1"/>
  <c r="BY302" i="6" s="1"/>
  <c r="P354" i="16"/>
  <c r="V354" i="16" s="1"/>
  <c r="F354" i="16" s="1"/>
  <c r="P370" i="16"/>
  <c r="V370" i="16" s="1"/>
  <c r="F370" i="16" s="1"/>
  <c r="G370" i="16" s="1"/>
  <c r="BY370" i="6" s="1"/>
  <c r="G302" i="15"/>
  <c r="BX302" i="6" s="1"/>
  <c r="H302" i="15"/>
  <c r="G108" i="15"/>
  <c r="BX108" i="6" s="1"/>
  <c r="I339" i="15"/>
  <c r="P172" i="16"/>
  <c r="V172" i="16" s="1"/>
  <c r="P328" i="16"/>
  <c r="V328" i="16" s="1"/>
  <c r="F328" i="16" s="1"/>
  <c r="G328" i="16" s="1"/>
  <c r="BY328" i="6" s="1"/>
  <c r="AD133" i="16"/>
  <c r="AD277" i="16"/>
  <c r="P173" i="16"/>
  <c r="V173" i="16" s="1"/>
  <c r="F173" i="16" s="1"/>
  <c r="P240" i="16"/>
  <c r="V240" i="16" s="1"/>
  <c r="F240" i="16" s="1"/>
  <c r="G240" i="16" s="1"/>
  <c r="BY240" i="6" s="1"/>
  <c r="P256" i="16"/>
  <c r="V256" i="16" s="1"/>
  <c r="F256" i="16" s="1"/>
  <c r="G256" i="16" s="1"/>
  <c r="BY256" i="6" s="1"/>
  <c r="P272" i="16"/>
  <c r="P288" i="16"/>
  <c r="V288" i="16" s="1"/>
  <c r="F288" i="16" s="1"/>
  <c r="G288" i="16" s="1"/>
  <c r="BY288" i="6" s="1"/>
  <c r="P320" i="16"/>
  <c r="P344" i="16"/>
  <c r="V344" i="16" s="1"/>
  <c r="F344" i="16" s="1"/>
  <c r="G344" i="16" s="1"/>
  <c r="BY344" i="6" s="1"/>
  <c r="P360" i="16"/>
  <c r="V360" i="16" s="1"/>
  <c r="F360" i="16" s="1"/>
  <c r="G360" i="16" s="1"/>
  <c r="BY360" i="6" s="1"/>
  <c r="P118" i="16"/>
  <c r="V118" i="16" s="1"/>
  <c r="F118" i="16" s="1"/>
  <c r="AD103" i="16"/>
  <c r="AD111" i="16"/>
  <c r="AD131" i="16"/>
  <c r="AD147" i="16"/>
  <c r="AD207" i="16"/>
  <c r="AD263" i="16"/>
  <c r="AD287" i="16"/>
  <c r="AD355" i="16"/>
  <c r="I255" i="15"/>
  <c r="I210" i="15"/>
  <c r="AA119" i="15"/>
  <c r="Z119" i="15" s="1"/>
  <c r="Y119" i="15" s="1"/>
  <c r="G119" i="15"/>
  <c r="BX119" i="6" s="1"/>
  <c r="H119" i="15"/>
  <c r="H108" i="15"/>
  <c r="I108" i="15" s="1"/>
  <c r="AA136" i="15"/>
  <c r="Z136" i="15" s="1"/>
  <c r="Y136" i="15" s="1"/>
  <c r="P26" i="16"/>
  <c r="V26" i="16" s="1"/>
  <c r="F26" i="16" s="1"/>
  <c r="P66" i="16"/>
  <c r="V66" i="16" s="1"/>
  <c r="F66" i="16" s="1"/>
  <c r="G66" i="16" s="1"/>
  <c r="BY66" i="6" s="1"/>
  <c r="P92" i="16"/>
  <c r="V92" i="16" s="1"/>
  <c r="F92" i="16" s="1"/>
  <c r="P184" i="16"/>
  <c r="V184" i="16" s="1"/>
  <c r="F184" i="16" s="1"/>
  <c r="P208" i="16"/>
  <c r="V208" i="16" s="1"/>
  <c r="F208" i="16" s="1"/>
  <c r="G208" i="16" s="1"/>
  <c r="BY208" i="6" s="1"/>
  <c r="AD31" i="16"/>
  <c r="AD303" i="16"/>
  <c r="P206" i="16"/>
  <c r="V206" i="16" s="1"/>
  <c r="F206" i="16" s="1"/>
  <c r="G206" i="16" s="1"/>
  <c r="BY206" i="6" s="1"/>
  <c r="P194" i="16"/>
  <c r="V194" i="16" s="1"/>
  <c r="F194" i="16" s="1"/>
  <c r="G194" i="16" s="1"/>
  <c r="BY194" i="6" s="1"/>
  <c r="P166" i="16"/>
  <c r="V166" i="16" s="1"/>
  <c r="F166" i="16" s="1"/>
  <c r="P154" i="16"/>
  <c r="V154" i="16" s="1"/>
  <c r="F154" i="16" s="1"/>
  <c r="G154" i="16" s="1"/>
  <c r="BY154" i="6" s="1"/>
  <c r="P86" i="16"/>
  <c r="V86" i="16" s="1"/>
  <c r="F86" i="16" s="1"/>
  <c r="H86" i="16" s="1"/>
  <c r="P106" i="16"/>
  <c r="V106" i="16" s="1"/>
  <c r="F106" i="16" s="1"/>
  <c r="H106" i="16" s="1"/>
  <c r="P134" i="16"/>
  <c r="V134" i="16" s="1"/>
  <c r="F134" i="16" s="1"/>
  <c r="G134" i="16" s="1"/>
  <c r="BY134" i="6" s="1"/>
  <c r="P174" i="16"/>
  <c r="V174" i="16" s="1"/>
  <c r="F174" i="16" s="1"/>
  <c r="G174" i="16" s="1"/>
  <c r="BY174" i="6" s="1"/>
  <c r="H363" i="15"/>
  <c r="G363" i="15"/>
  <c r="BX363" i="6" s="1"/>
  <c r="E62" i="19"/>
  <c r="H136" i="15"/>
  <c r="I136" i="15" s="1"/>
  <c r="P38" i="16"/>
  <c r="V38" i="16" s="1"/>
  <c r="F38" i="16" s="1"/>
  <c r="P54" i="16"/>
  <c r="V54" i="16" s="1"/>
  <c r="F54" i="16" s="1"/>
  <c r="G54" i="16" s="1"/>
  <c r="BY54" i="6" s="1"/>
  <c r="AD61" i="16"/>
  <c r="AD93" i="16"/>
  <c r="AD205" i="16"/>
  <c r="AD237" i="16"/>
  <c r="P36" i="16"/>
  <c r="V36" i="16" s="1"/>
  <c r="F36" i="16" s="1"/>
  <c r="G36" i="16" s="1"/>
  <c r="BY36" i="6" s="1"/>
  <c r="P42" i="16"/>
  <c r="V42" i="16" s="1"/>
  <c r="F42" i="16" s="1"/>
  <c r="P70" i="16"/>
  <c r="V70" i="16" s="1"/>
  <c r="F70" i="16" s="1"/>
  <c r="G70" i="16" s="1"/>
  <c r="BY70" i="6" s="1"/>
  <c r="AD53" i="16"/>
  <c r="AD109" i="16"/>
  <c r="AD165" i="16"/>
  <c r="AD21" i="16"/>
  <c r="AD69" i="16"/>
  <c r="AD77" i="16"/>
  <c r="AD221" i="16"/>
  <c r="AD229" i="16"/>
  <c r="AD88" i="16"/>
  <c r="AD120" i="16"/>
  <c r="F379" i="1"/>
  <c r="V382" i="1"/>
  <c r="V383" i="1"/>
  <c r="V381" i="1"/>
  <c r="M61" i="19"/>
  <c r="AD206" i="16"/>
  <c r="AD274" i="16"/>
  <c r="AD358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D17" i="15"/>
  <c r="AA17" i="15" s="1"/>
  <c r="Z17" i="15" s="1"/>
  <c r="Y17" i="15" s="1"/>
  <c r="K380" i="22"/>
  <c r="L380" i="22"/>
  <c r="AJ380" i="22"/>
  <c r="AB380" i="22"/>
  <c r="X380" i="22"/>
  <c r="AK380" i="22"/>
  <c r="O380" i="22"/>
  <c r="AC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D15" i="15"/>
  <c r="J288" i="15"/>
  <c r="I288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AD68" i="16" l="1"/>
  <c r="AD224" i="16"/>
  <c r="AD102" i="16"/>
  <c r="AD54" i="16"/>
  <c r="AA54" i="16" s="1"/>
  <c r="Z54" i="16" s="1"/>
  <c r="Y54" i="16" s="1"/>
  <c r="P170" i="16"/>
  <c r="V170" i="16" s="1"/>
  <c r="F170" i="16" s="1"/>
  <c r="G170" i="16" s="1"/>
  <c r="BY170" i="6" s="1"/>
  <c r="P202" i="16"/>
  <c r="V202" i="16" s="1"/>
  <c r="F202" i="16" s="1"/>
  <c r="G202" i="16" s="1"/>
  <c r="BY202" i="6" s="1"/>
  <c r="P67" i="16"/>
  <c r="V67" i="16" s="1"/>
  <c r="F67" i="16" s="1"/>
  <c r="G67" i="16" s="1"/>
  <c r="BY67" i="6" s="1"/>
  <c r="P74" i="16"/>
  <c r="V74" i="16" s="1"/>
  <c r="F74" i="16" s="1"/>
  <c r="H74" i="16" s="1"/>
  <c r="AD203" i="16"/>
  <c r="AD135" i="16"/>
  <c r="AD123" i="16"/>
  <c r="AD107" i="16"/>
  <c r="AD75" i="16"/>
  <c r="P153" i="16"/>
  <c r="V153" i="16" s="1"/>
  <c r="F153" i="16" s="1"/>
  <c r="G153" i="16" s="1"/>
  <c r="BY153" i="6" s="1"/>
  <c r="P83" i="16"/>
  <c r="V83" i="16" s="1"/>
  <c r="F83" i="16" s="1"/>
  <c r="G83" i="16" s="1"/>
  <c r="BY83" i="6" s="1"/>
  <c r="P316" i="16"/>
  <c r="V316" i="16" s="1"/>
  <c r="F316" i="16" s="1"/>
  <c r="G316" i="16" s="1"/>
  <c r="BY316" i="6" s="1"/>
  <c r="P94" i="16"/>
  <c r="V94" i="16" s="1"/>
  <c r="F94" i="16" s="1"/>
  <c r="G94" i="16" s="1"/>
  <c r="BY94" i="6" s="1"/>
  <c r="P326" i="16"/>
  <c r="V326" i="16" s="1"/>
  <c r="F326" i="16" s="1"/>
  <c r="G326" i="16" s="1"/>
  <c r="BY326" i="6" s="1"/>
  <c r="AD175" i="16"/>
  <c r="P115" i="16"/>
  <c r="V115" i="16" s="1"/>
  <c r="F115" i="16" s="1"/>
  <c r="G115" i="16" s="1"/>
  <c r="BY115" i="6" s="1"/>
  <c r="AD182" i="16"/>
  <c r="P215" i="16"/>
  <c r="V215" i="16" s="1"/>
  <c r="F215" i="16" s="1"/>
  <c r="G215" i="16" s="1"/>
  <c r="BY215" i="6" s="1"/>
  <c r="AD315" i="16"/>
  <c r="AD279" i="16"/>
  <c r="AD215" i="16"/>
  <c r="AD171" i="16"/>
  <c r="P247" i="16"/>
  <c r="V247" i="16" s="1"/>
  <c r="F247" i="16" s="1"/>
  <c r="H247" i="16" s="1"/>
  <c r="P68" i="16"/>
  <c r="V68" i="16" s="1"/>
  <c r="F68" i="16" s="1"/>
  <c r="H68" i="16" s="1"/>
  <c r="J68" i="16" s="1"/>
  <c r="P28" i="16"/>
  <c r="V28" i="16" s="1"/>
  <c r="F28" i="16" s="1"/>
  <c r="P124" i="16"/>
  <c r="V124" i="16" s="1"/>
  <c r="F124" i="16" s="1"/>
  <c r="G124" i="16" s="1"/>
  <c r="BY124" i="6" s="1"/>
  <c r="AD129" i="16"/>
  <c r="P246" i="16"/>
  <c r="V246" i="16" s="1"/>
  <c r="F246" i="16" s="1"/>
  <c r="G246" i="16" s="1"/>
  <c r="BY246" i="6" s="1"/>
  <c r="AD290" i="16"/>
  <c r="AD318" i="16"/>
  <c r="P295" i="16"/>
  <c r="V295" i="16" s="1"/>
  <c r="F295" i="16" s="1"/>
  <c r="H295" i="16" s="1"/>
  <c r="P298" i="16"/>
  <c r="V298" i="16" s="1"/>
  <c r="F298" i="16" s="1"/>
  <c r="G298" i="16" s="1"/>
  <c r="BY298" i="6" s="1"/>
  <c r="AD260" i="16"/>
  <c r="AD367" i="16"/>
  <c r="AD306" i="16"/>
  <c r="AD244" i="16"/>
  <c r="AA244" i="16" s="1"/>
  <c r="Z244" i="16" s="1"/>
  <c r="Y244" i="16" s="1"/>
  <c r="AD96" i="16"/>
  <c r="AD242" i="16"/>
  <c r="AD258" i="16"/>
  <c r="AD335" i="16"/>
  <c r="AD235" i="16"/>
  <c r="AD139" i="16"/>
  <c r="AD251" i="16"/>
  <c r="AD219" i="16"/>
  <c r="AD155" i="16"/>
  <c r="AD161" i="16"/>
  <c r="AD197" i="16"/>
  <c r="AD141" i="16"/>
  <c r="AD117" i="16"/>
  <c r="AG29" i="16"/>
  <c r="AF29" i="16" s="1"/>
  <c r="AD29" i="16" s="1"/>
  <c r="AG45" i="16"/>
  <c r="AF45" i="16" s="1"/>
  <c r="AD45" i="16" s="1"/>
  <c r="AG101" i="16"/>
  <c r="AF101" i="16" s="1"/>
  <c r="AD101" i="16" s="1"/>
  <c r="AG149" i="16"/>
  <c r="AF149" i="16" s="1"/>
  <c r="AD149" i="16" s="1"/>
  <c r="AG173" i="16"/>
  <c r="AF173" i="16" s="1"/>
  <c r="AD173" i="16" s="1"/>
  <c r="AA173" i="16" s="1"/>
  <c r="Z173" i="16" s="1"/>
  <c r="Y173" i="16" s="1"/>
  <c r="AG189" i="16"/>
  <c r="AF189" i="16" s="1"/>
  <c r="AD189" i="16" s="1"/>
  <c r="AG213" i="16"/>
  <c r="AF213" i="16" s="1"/>
  <c r="AD213" i="16" s="1"/>
  <c r="AG261" i="16"/>
  <c r="AF261" i="16" s="1"/>
  <c r="AD261" i="16" s="1"/>
  <c r="AG285" i="16"/>
  <c r="AF285" i="16" s="1"/>
  <c r="AD285" i="16" s="1"/>
  <c r="AG307" i="16"/>
  <c r="AF307" i="16" s="1"/>
  <c r="AD307" i="16" s="1"/>
  <c r="AG323" i="16"/>
  <c r="AF323" i="16" s="1"/>
  <c r="AD323" i="16" s="1"/>
  <c r="AG248" i="16"/>
  <c r="AF248" i="16" s="1"/>
  <c r="AD248" i="16" s="1"/>
  <c r="AG216" i="16"/>
  <c r="AF216" i="16" s="1"/>
  <c r="AD216" i="16" s="1"/>
  <c r="AG52" i="16"/>
  <c r="AF52" i="16" s="1"/>
  <c r="AD52" i="16" s="1"/>
  <c r="AA52" i="16" s="1"/>
  <c r="Z52" i="16" s="1"/>
  <c r="Y52" i="16" s="1"/>
  <c r="AG214" i="16"/>
  <c r="AF214" i="16" s="1"/>
  <c r="AD214" i="16" s="1"/>
  <c r="S168" i="16"/>
  <c r="R168" i="16" s="1"/>
  <c r="P168" i="16" s="1"/>
  <c r="V168" i="16" s="1"/>
  <c r="F168" i="16" s="1"/>
  <c r="S176" i="16"/>
  <c r="R176" i="16" s="1"/>
  <c r="P176" i="16" s="1"/>
  <c r="V176" i="16" s="1"/>
  <c r="F176" i="16" s="1"/>
  <c r="S216" i="16"/>
  <c r="R216" i="16" s="1"/>
  <c r="P216" i="16" s="1"/>
  <c r="V216" i="16" s="1"/>
  <c r="F216" i="16" s="1"/>
  <c r="S232" i="16"/>
  <c r="R232" i="16" s="1"/>
  <c r="P232" i="16" s="1"/>
  <c r="V232" i="16" s="1"/>
  <c r="F232" i="16" s="1"/>
  <c r="S248" i="16"/>
  <c r="R248" i="16" s="1"/>
  <c r="P248" i="16" s="1"/>
  <c r="V248" i="16" s="1"/>
  <c r="F248" i="16" s="1"/>
  <c r="S264" i="16"/>
  <c r="R264" i="16" s="1"/>
  <c r="P264" i="16" s="1"/>
  <c r="V264" i="16" s="1"/>
  <c r="F264" i="16" s="1"/>
  <c r="G264" i="16" s="1"/>
  <c r="BY264" i="6" s="1"/>
  <c r="S280" i="16"/>
  <c r="R280" i="16" s="1"/>
  <c r="P280" i="16" s="1"/>
  <c r="V280" i="16" s="1"/>
  <c r="F280" i="16" s="1"/>
  <c r="S296" i="16"/>
  <c r="R296" i="16" s="1"/>
  <c r="P296" i="16" s="1"/>
  <c r="V296" i="16" s="1"/>
  <c r="F296" i="16" s="1"/>
  <c r="S312" i="16"/>
  <c r="R312" i="16" s="1"/>
  <c r="P312" i="16" s="1"/>
  <c r="V312" i="16" s="1"/>
  <c r="F312" i="16" s="1"/>
  <c r="S336" i="16"/>
  <c r="R336" i="16" s="1"/>
  <c r="P336" i="16" s="1"/>
  <c r="V336" i="16" s="1"/>
  <c r="F336" i="16" s="1"/>
  <c r="S352" i="16"/>
  <c r="R352" i="16" s="1"/>
  <c r="P352" i="16" s="1"/>
  <c r="V352" i="16" s="1"/>
  <c r="F352" i="16" s="1"/>
  <c r="S368" i="16"/>
  <c r="R368" i="16" s="1"/>
  <c r="P368" i="16" s="1"/>
  <c r="V368" i="16" s="1"/>
  <c r="F368" i="16" s="1"/>
  <c r="S291" i="16"/>
  <c r="R291" i="16" s="1"/>
  <c r="P291" i="16" s="1"/>
  <c r="V291" i="16" s="1"/>
  <c r="F291" i="16" s="1"/>
  <c r="S99" i="16"/>
  <c r="R99" i="16" s="1"/>
  <c r="P99" i="16" s="1"/>
  <c r="V99" i="16" s="1"/>
  <c r="F99" i="16" s="1"/>
  <c r="S35" i="16"/>
  <c r="R35" i="16" s="1"/>
  <c r="P35" i="16" s="1"/>
  <c r="V35" i="16" s="1"/>
  <c r="F35" i="16" s="1"/>
  <c r="S237" i="16"/>
  <c r="R237" i="16" s="1"/>
  <c r="P237" i="16" s="1"/>
  <c r="V237" i="16" s="1"/>
  <c r="F237" i="16" s="1"/>
  <c r="AG354" i="16"/>
  <c r="AF354" i="16" s="1"/>
  <c r="AD354" i="16" s="1"/>
  <c r="AA354" i="16" s="1"/>
  <c r="Z354" i="16" s="1"/>
  <c r="Y354" i="16" s="1"/>
  <c r="AG343" i="16"/>
  <c r="AF343" i="16" s="1"/>
  <c r="AD343" i="16" s="1"/>
  <c r="AG255" i="16"/>
  <c r="AF255" i="16" s="1"/>
  <c r="AD255" i="16" s="1"/>
  <c r="AG223" i="16"/>
  <c r="AF223" i="16" s="1"/>
  <c r="AD223" i="16" s="1"/>
  <c r="AG159" i="16"/>
  <c r="AF159" i="16" s="1"/>
  <c r="AD159" i="16" s="1"/>
  <c r="AG127" i="16"/>
  <c r="AF127" i="16" s="1"/>
  <c r="AD127" i="16" s="1"/>
  <c r="AA127" i="16" s="1"/>
  <c r="Z127" i="16" s="1"/>
  <c r="Y127" i="16" s="1"/>
  <c r="AG95" i="16"/>
  <c r="AF95" i="16" s="1"/>
  <c r="AD95" i="16" s="1"/>
  <c r="AG63" i="16"/>
  <c r="AF63" i="16" s="1"/>
  <c r="AD63" i="16" s="1"/>
  <c r="S366" i="16"/>
  <c r="R366" i="16" s="1"/>
  <c r="P366" i="16" s="1"/>
  <c r="V366" i="16" s="1"/>
  <c r="F366" i="16" s="1"/>
  <c r="S334" i="16"/>
  <c r="R334" i="16" s="1"/>
  <c r="P334" i="16" s="1"/>
  <c r="V334" i="16" s="1"/>
  <c r="F334" i="16" s="1"/>
  <c r="S270" i="16"/>
  <c r="R270" i="16" s="1"/>
  <c r="P270" i="16" s="1"/>
  <c r="V270" i="16" s="1"/>
  <c r="F270" i="16" s="1"/>
  <c r="S22" i="16"/>
  <c r="R22" i="16" s="1"/>
  <c r="P22" i="16" s="1"/>
  <c r="V22" i="16" s="1"/>
  <c r="F22" i="16" s="1"/>
  <c r="S19" i="16"/>
  <c r="R19" i="16" s="1"/>
  <c r="P19" i="16" s="1"/>
  <c r="V19" i="16" s="1"/>
  <c r="F19" i="16" s="1"/>
  <c r="AG247" i="16"/>
  <c r="AF247" i="16" s="1"/>
  <c r="AD247" i="16" s="1"/>
  <c r="AA247" i="16" s="1"/>
  <c r="Z247" i="16" s="1"/>
  <c r="Y247" i="16" s="1"/>
  <c r="S294" i="16"/>
  <c r="R294" i="16" s="1"/>
  <c r="P294" i="16" s="1"/>
  <c r="V294" i="16" s="1"/>
  <c r="F294" i="16" s="1"/>
  <c r="S130" i="16"/>
  <c r="R130" i="16" s="1"/>
  <c r="P130" i="16" s="1"/>
  <c r="V130" i="16" s="1"/>
  <c r="F130" i="16" s="1"/>
  <c r="S98" i="16"/>
  <c r="R98" i="16" s="1"/>
  <c r="P98" i="16" s="1"/>
  <c r="V98" i="16" s="1"/>
  <c r="F98" i="16" s="1"/>
  <c r="S34" i="16"/>
  <c r="R34" i="16" s="1"/>
  <c r="P34" i="16" s="1"/>
  <c r="V34" i="16" s="1"/>
  <c r="F34" i="16" s="1"/>
  <c r="S147" i="16"/>
  <c r="R147" i="16" s="1"/>
  <c r="P147" i="16" s="1"/>
  <c r="V147" i="16" s="1"/>
  <c r="F147" i="16" s="1"/>
  <c r="AG295" i="16"/>
  <c r="AF295" i="16" s="1"/>
  <c r="AD295" i="16" s="1"/>
  <c r="AA295" i="16" s="1"/>
  <c r="Z295" i="16" s="1"/>
  <c r="Y295" i="16" s="1"/>
  <c r="AG167" i="16"/>
  <c r="AF167" i="16" s="1"/>
  <c r="AD167" i="16" s="1"/>
  <c r="AG39" i="16"/>
  <c r="AF39" i="16" s="1"/>
  <c r="AD39" i="16" s="1"/>
  <c r="S278" i="16"/>
  <c r="R278" i="16" s="1"/>
  <c r="P278" i="16" s="1"/>
  <c r="V278" i="16" s="1"/>
  <c r="F278" i="16" s="1"/>
  <c r="S90" i="16"/>
  <c r="R90" i="16" s="1"/>
  <c r="P90" i="16" s="1"/>
  <c r="V90" i="16" s="1"/>
  <c r="F90" i="16" s="1"/>
  <c r="S138" i="16"/>
  <c r="R138" i="16" s="1"/>
  <c r="P138" i="16" s="1"/>
  <c r="V138" i="16" s="1"/>
  <c r="F138" i="16" s="1"/>
  <c r="AG372" i="16"/>
  <c r="AF372" i="16" s="1"/>
  <c r="AD372" i="16" s="1"/>
  <c r="S121" i="16"/>
  <c r="R121" i="16" s="1"/>
  <c r="P121" i="16" s="1"/>
  <c r="V121" i="16" s="1"/>
  <c r="F121" i="16" s="1"/>
  <c r="AG174" i="16"/>
  <c r="AF174" i="16" s="1"/>
  <c r="AD174" i="16" s="1"/>
  <c r="AA174" i="16" s="1"/>
  <c r="Z174" i="16" s="1"/>
  <c r="Y174" i="16" s="1"/>
  <c r="S327" i="16"/>
  <c r="R327" i="16" s="1"/>
  <c r="P327" i="16" s="1"/>
  <c r="V327" i="16" s="1"/>
  <c r="F327" i="16" s="1"/>
  <c r="S263" i="16"/>
  <c r="R263" i="16" s="1"/>
  <c r="P263" i="16" s="1"/>
  <c r="V263" i="16" s="1"/>
  <c r="F263" i="16" s="1"/>
  <c r="S167" i="16"/>
  <c r="R167" i="16" s="1"/>
  <c r="P167" i="16" s="1"/>
  <c r="V167" i="16" s="1"/>
  <c r="F167" i="16" s="1"/>
  <c r="S29" i="16"/>
  <c r="R29" i="16" s="1"/>
  <c r="P29" i="16" s="1"/>
  <c r="S57" i="16"/>
  <c r="R57" i="16" s="1"/>
  <c r="P57" i="16" s="1"/>
  <c r="V57" i="16" s="1"/>
  <c r="F57" i="16" s="1"/>
  <c r="AD268" i="16"/>
  <c r="AA268" i="16" s="1"/>
  <c r="Z268" i="16" s="1"/>
  <c r="Y268" i="16" s="1"/>
  <c r="P160" i="16"/>
  <c r="V160" i="16" s="1"/>
  <c r="F160" i="16" s="1"/>
  <c r="AD293" i="16"/>
  <c r="AD245" i="16"/>
  <c r="AD181" i="16"/>
  <c r="AD157" i="16"/>
  <c r="AD85" i="16"/>
  <c r="S45" i="16"/>
  <c r="R45" i="16" s="1"/>
  <c r="P45" i="16" s="1"/>
  <c r="V45" i="16" s="1"/>
  <c r="F45" i="16" s="1"/>
  <c r="S371" i="16"/>
  <c r="R371" i="16" s="1"/>
  <c r="P371" i="16" s="1"/>
  <c r="V371" i="16" s="1"/>
  <c r="F371" i="16" s="1"/>
  <c r="AG283" i="16"/>
  <c r="AF283" i="16" s="1"/>
  <c r="AD283" i="16" s="1"/>
  <c r="AG267" i="16"/>
  <c r="AF267" i="16" s="1"/>
  <c r="AD267" i="16" s="1"/>
  <c r="AG187" i="16"/>
  <c r="AF187" i="16" s="1"/>
  <c r="AD187" i="16" s="1"/>
  <c r="AG91" i="16"/>
  <c r="AF91" i="16" s="1"/>
  <c r="AD91" i="16" s="1"/>
  <c r="AA91" i="16" s="1"/>
  <c r="Z91" i="16" s="1"/>
  <c r="Y91" i="16" s="1"/>
  <c r="AG43" i="16"/>
  <c r="AF43" i="16" s="1"/>
  <c r="AD43" i="16" s="1"/>
  <c r="AG27" i="16"/>
  <c r="AF27" i="16" s="1"/>
  <c r="AD27" i="16" s="1"/>
  <c r="S378" i="16"/>
  <c r="R378" i="16" s="1"/>
  <c r="P378" i="16" s="1"/>
  <c r="V378" i="16" s="1"/>
  <c r="F378" i="16" s="1"/>
  <c r="S362" i="16"/>
  <c r="R362" i="16" s="1"/>
  <c r="P362" i="16" s="1"/>
  <c r="V362" i="16" s="1"/>
  <c r="F362" i="16" s="1"/>
  <c r="S186" i="16"/>
  <c r="R186" i="16" s="1"/>
  <c r="P186" i="16" s="1"/>
  <c r="V186" i="16" s="1"/>
  <c r="F186" i="16" s="1"/>
  <c r="S156" i="16"/>
  <c r="R156" i="16" s="1"/>
  <c r="P156" i="16" s="1"/>
  <c r="V156" i="16" s="1"/>
  <c r="F156" i="16" s="1"/>
  <c r="S140" i="16"/>
  <c r="R140" i="16" s="1"/>
  <c r="P140" i="16" s="1"/>
  <c r="V140" i="16" s="1"/>
  <c r="F140" i="16" s="1"/>
  <c r="S132" i="16"/>
  <c r="R132" i="16" s="1"/>
  <c r="P132" i="16" s="1"/>
  <c r="V132" i="16" s="1"/>
  <c r="F132" i="16" s="1"/>
  <c r="S116" i="16"/>
  <c r="R116" i="16" s="1"/>
  <c r="P116" i="16" s="1"/>
  <c r="V116" i="16" s="1"/>
  <c r="F116" i="16" s="1"/>
  <c r="S108" i="16"/>
  <c r="R108" i="16" s="1"/>
  <c r="P108" i="16" s="1"/>
  <c r="V108" i="16" s="1"/>
  <c r="F108" i="16" s="1"/>
  <c r="S84" i="16"/>
  <c r="R84" i="16" s="1"/>
  <c r="P84" i="16" s="1"/>
  <c r="V84" i="16" s="1"/>
  <c r="F84" i="16" s="1"/>
  <c r="S76" i="16"/>
  <c r="R76" i="16" s="1"/>
  <c r="P76" i="16" s="1"/>
  <c r="V76" i="16" s="1"/>
  <c r="F76" i="16" s="1"/>
  <c r="S60" i="16"/>
  <c r="R60" i="16" s="1"/>
  <c r="P60" i="16" s="1"/>
  <c r="S44" i="16"/>
  <c r="R44" i="16" s="1"/>
  <c r="P44" i="16" s="1"/>
  <c r="V44" i="16" s="1"/>
  <c r="F44" i="16" s="1"/>
  <c r="S20" i="16"/>
  <c r="R20" i="16" s="1"/>
  <c r="P20" i="16" s="1"/>
  <c r="V20" i="16" s="1"/>
  <c r="F20" i="16" s="1"/>
  <c r="AD60" i="16"/>
  <c r="AD333" i="16"/>
  <c r="AD156" i="16"/>
  <c r="AD114" i="16"/>
  <c r="AD20" i="16"/>
  <c r="AD225" i="16"/>
  <c r="AD153" i="16"/>
  <c r="AD16" i="16"/>
  <c r="AD56" i="16"/>
  <c r="P62" i="16"/>
  <c r="V62" i="16" s="1"/>
  <c r="F62" i="16" s="1"/>
  <c r="G62" i="16" s="1"/>
  <c r="BY62" i="6" s="1"/>
  <c r="AD301" i="16"/>
  <c r="AD34" i="16"/>
  <c r="P162" i="16"/>
  <c r="V162" i="16" s="1"/>
  <c r="F162" i="16" s="1"/>
  <c r="G162" i="16" s="1"/>
  <c r="BY162" i="6" s="1"/>
  <c r="P313" i="16"/>
  <c r="V313" i="16" s="1"/>
  <c r="F313" i="16" s="1"/>
  <c r="H313" i="16" s="1"/>
  <c r="J313" i="16" s="1"/>
  <c r="P78" i="16"/>
  <c r="V78" i="16" s="1"/>
  <c r="F78" i="16" s="1"/>
  <c r="H78" i="16" s="1"/>
  <c r="P233" i="16"/>
  <c r="V233" i="16" s="1"/>
  <c r="F233" i="16" s="1"/>
  <c r="H233" i="16" s="1"/>
  <c r="P139" i="16"/>
  <c r="V139" i="16" s="1"/>
  <c r="F139" i="16" s="1"/>
  <c r="G139" i="16" s="1"/>
  <c r="BY139" i="6" s="1"/>
  <c r="AD309" i="16"/>
  <c r="P338" i="16"/>
  <c r="V338" i="16" s="1"/>
  <c r="F338" i="16" s="1"/>
  <c r="G338" i="16" s="1"/>
  <c r="BY338" i="6" s="1"/>
  <c r="P306" i="16"/>
  <c r="V306" i="16" s="1"/>
  <c r="F306" i="16" s="1"/>
  <c r="H306" i="16" s="1"/>
  <c r="J306" i="16" s="1"/>
  <c r="P290" i="16"/>
  <c r="V290" i="16" s="1"/>
  <c r="F290" i="16" s="1"/>
  <c r="G290" i="16" s="1"/>
  <c r="BY290" i="6" s="1"/>
  <c r="AD151" i="16"/>
  <c r="AD83" i="16"/>
  <c r="AA83" i="16" s="1"/>
  <c r="Z83" i="16" s="1"/>
  <c r="Y83" i="16" s="1"/>
  <c r="P318" i="16"/>
  <c r="V318" i="16" s="1"/>
  <c r="F318" i="16" s="1"/>
  <c r="H318" i="16" s="1"/>
  <c r="I318" i="16" s="1"/>
  <c r="P228" i="16"/>
  <c r="V228" i="16" s="1"/>
  <c r="AD349" i="16"/>
  <c r="AD23" i="16"/>
  <c r="P179" i="16"/>
  <c r="V179" i="16" s="1"/>
  <c r="F179" i="16" s="1"/>
  <c r="G179" i="16" s="1"/>
  <c r="BY179" i="6" s="1"/>
  <c r="AD134" i="16"/>
  <c r="AA134" i="16" s="1"/>
  <c r="Z134" i="16" s="1"/>
  <c r="Y134" i="16" s="1"/>
  <c r="P105" i="16"/>
  <c r="V105" i="16" s="1"/>
  <c r="F105" i="16" s="1"/>
  <c r="G105" i="16" s="1"/>
  <c r="BY105" i="6" s="1"/>
  <c r="AD243" i="16"/>
  <c r="AA243" i="16" s="1"/>
  <c r="Z243" i="16" s="1"/>
  <c r="Y243" i="16" s="1"/>
  <c r="AD311" i="16"/>
  <c r="AD136" i="16"/>
  <c r="P97" i="16"/>
  <c r="V97" i="16" s="1"/>
  <c r="F97" i="16" s="1"/>
  <c r="H97" i="16" s="1"/>
  <c r="P330" i="16"/>
  <c r="V330" i="16" s="1"/>
  <c r="F330" i="16" s="1"/>
  <c r="G330" i="16" s="1"/>
  <c r="BY330" i="6" s="1"/>
  <c r="H348" i="16"/>
  <c r="J348" i="16" s="1"/>
  <c r="AD144" i="16"/>
  <c r="AD380" i="16"/>
  <c r="AD200" i="16"/>
  <c r="AA200" i="16" s="1"/>
  <c r="Z200" i="16" s="1"/>
  <c r="Y200" i="16" s="1"/>
  <c r="AD41" i="16"/>
  <c r="AD18" i="16"/>
  <c r="P16" i="16"/>
  <c r="V16" i="16" s="1"/>
  <c r="F16" i="16" s="1"/>
  <c r="AD176" i="16"/>
  <c r="P50" i="16"/>
  <c r="V50" i="16" s="1"/>
  <c r="F50" i="16" s="1"/>
  <c r="G50" i="16" s="1"/>
  <c r="BY50" i="6" s="1"/>
  <c r="P58" i="16"/>
  <c r="V58" i="16" s="1"/>
  <c r="F58" i="16" s="1"/>
  <c r="G58" i="16" s="1"/>
  <c r="BY58" i="6" s="1"/>
  <c r="P30" i="16"/>
  <c r="V30" i="16" s="1"/>
  <c r="F30" i="16" s="1"/>
  <c r="H30" i="16" s="1"/>
  <c r="I30" i="16" s="1"/>
  <c r="AD217" i="16"/>
  <c r="AA217" i="16" s="1"/>
  <c r="Z217" i="16" s="1"/>
  <c r="Y217" i="16" s="1"/>
  <c r="P40" i="16"/>
  <c r="V40" i="16" s="1"/>
  <c r="F40" i="16" s="1"/>
  <c r="G40" i="16" s="1"/>
  <c r="BY40" i="6" s="1"/>
  <c r="AD46" i="16"/>
  <c r="P214" i="16"/>
  <c r="V214" i="16" s="1"/>
  <c r="F214" i="16" s="1"/>
  <c r="P146" i="16"/>
  <c r="V146" i="16" s="1"/>
  <c r="F146" i="16" s="1"/>
  <c r="G146" i="16" s="1"/>
  <c r="BY146" i="6" s="1"/>
  <c r="P126" i="16"/>
  <c r="V126" i="16" s="1"/>
  <c r="F126" i="16" s="1"/>
  <c r="G126" i="16" s="1"/>
  <c r="BY126" i="6" s="1"/>
  <c r="P82" i="16"/>
  <c r="V82" i="16" s="1"/>
  <c r="F82" i="16" s="1"/>
  <c r="G82" i="16" s="1"/>
  <c r="BY82" i="6" s="1"/>
  <c r="P110" i="16"/>
  <c r="V110" i="16" s="1"/>
  <c r="F110" i="16" s="1"/>
  <c r="G110" i="16" s="1"/>
  <c r="BY110" i="6" s="1"/>
  <c r="P158" i="16"/>
  <c r="V158" i="16" s="1"/>
  <c r="F158" i="16" s="1"/>
  <c r="H158" i="16" s="1"/>
  <c r="I158" i="16" s="1"/>
  <c r="P190" i="16"/>
  <c r="V190" i="16" s="1"/>
  <c r="F190" i="16" s="1"/>
  <c r="P337" i="16"/>
  <c r="V337" i="16" s="1"/>
  <c r="F337" i="16" s="1"/>
  <c r="G337" i="16" s="1"/>
  <c r="BY337" i="6" s="1"/>
  <c r="P269" i="16"/>
  <c r="V269" i="16" s="1"/>
  <c r="F269" i="16" s="1"/>
  <c r="G269" i="16" s="1"/>
  <c r="BY269" i="6" s="1"/>
  <c r="P21" i="16"/>
  <c r="V21" i="16" s="1"/>
  <c r="F21" i="16" s="1"/>
  <c r="G21" i="16" s="1"/>
  <c r="BY21" i="6" s="1"/>
  <c r="AD79" i="16"/>
  <c r="P212" i="16"/>
  <c r="V212" i="16" s="1"/>
  <c r="F212" i="16" s="1"/>
  <c r="G212" i="16" s="1"/>
  <c r="BY212" i="6" s="1"/>
  <c r="P46" i="16"/>
  <c r="V46" i="16" s="1"/>
  <c r="F46" i="16" s="1"/>
  <c r="AD338" i="16"/>
  <c r="AA338" i="16" s="1"/>
  <c r="Z338" i="16" s="1"/>
  <c r="Y338" i="16" s="1"/>
  <c r="AD275" i="16"/>
  <c r="AA275" i="16" s="1"/>
  <c r="Z275" i="16" s="1"/>
  <c r="Y275" i="16" s="1"/>
  <c r="AD87" i="16"/>
  <c r="AD35" i="16"/>
  <c r="P198" i="16"/>
  <c r="V198" i="16" s="1"/>
  <c r="F198" i="16" s="1"/>
  <c r="H198" i="16" s="1"/>
  <c r="J198" i="16" s="1"/>
  <c r="P75" i="16"/>
  <c r="V75" i="16" s="1"/>
  <c r="F75" i="16" s="1"/>
  <c r="H75" i="16" s="1"/>
  <c r="P350" i="16"/>
  <c r="V350" i="16" s="1"/>
  <c r="F350" i="16" s="1"/>
  <c r="H350" i="16" s="1"/>
  <c r="I350" i="16" s="1"/>
  <c r="P286" i="16"/>
  <c r="V286" i="16" s="1"/>
  <c r="F286" i="16" s="1"/>
  <c r="P254" i="16"/>
  <c r="V254" i="16" s="1"/>
  <c r="F254" i="16" s="1"/>
  <c r="G254" i="16" s="1"/>
  <c r="BY254" i="6" s="1"/>
  <c r="P222" i="16"/>
  <c r="V222" i="16" s="1"/>
  <c r="F222" i="16" s="1"/>
  <c r="G222" i="16" s="1"/>
  <c r="BY222" i="6" s="1"/>
  <c r="AD363" i="16"/>
  <c r="AA363" i="16" s="1"/>
  <c r="Z363" i="16" s="1"/>
  <c r="Y363" i="16" s="1"/>
  <c r="P372" i="16"/>
  <c r="V372" i="16" s="1"/>
  <c r="F372" i="16" s="1"/>
  <c r="G372" i="16" s="1"/>
  <c r="BY372" i="6" s="1"/>
  <c r="P300" i="16"/>
  <c r="V300" i="16" s="1"/>
  <c r="F300" i="16" s="1"/>
  <c r="G300" i="16" s="1"/>
  <c r="BY300" i="6" s="1"/>
  <c r="P342" i="16"/>
  <c r="V342" i="16" s="1"/>
  <c r="F342" i="16" s="1"/>
  <c r="G342" i="16" s="1"/>
  <c r="BY342" i="6" s="1"/>
  <c r="P141" i="16"/>
  <c r="V141" i="16" s="1"/>
  <c r="F141" i="16" s="1"/>
  <c r="H141" i="16" s="1"/>
  <c r="J141" i="16" s="1"/>
  <c r="AD143" i="16"/>
  <c r="P339" i="16"/>
  <c r="V339" i="16" s="1"/>
  <c r="F339" i="16" s="1"/>
  <c r="G339" i="16" s="1"/>
  <c r="BY339" i="6" s="1"/>
  <c r="AD166" i="16"/>
  <c r="AA166" i="16" s="1"/>
  <c r="Z166" i="16" s="1"/>
  <c r="Y166" i="16" s="1"/>
  <c r="AD70" i="16"/>
  <c r="AA70" i="16" s="1"/>
  <c r="Z70" i="16" s="1"/>
  <c r="Y70" i="16" s="1"/>
  <c r="P114" i="16"/>
  <c r="V114" i="16" s="1"/>
  <c r="F114" i="16" s="1"/>
  <c r="AA114" i="16" s="1"/>
  <c r="Z114" i="16" s="1"/>
  <c r="Y114" i="16" s="1"/>
  <c r="AD375" i="16"/>
  <c r="AD271" i="16"/>
  <c r="AD239" i="16"/>
  <c r="AD67" i="16"/>
  <c r="AD47" i="16"/>
  <c r="P48" i="16"/>
  <c r="V48" i="16" s="1"/>
  <c r="F48" i="16" s="1"/>
  <c r="G48" i="16" s="1"/>
  <c r="BY48" i="6" s="1"/>
  <c r="P32" i="16"/>
  <c r="V32" i="16" s="1"/>
  <c r="F32" i="16" s="1"/>
  <c r="G32" i="16" s="1"/>
  <c r="BY32" i="6" s="1"/>
  <c r="P24" i="16"/>
  <c r="V24" i="16" s="1"/>
  <c r="F24" i="16" s="1"/>
  <c r="G24" i="16" s="1"/>
  <c r="BY24" i="6" s="1"/>
  <c r="P131" i="16"/>
  <c r="V131" i="16" s="1"/>
  <c r="F131" i="16" s="1"/>
  <c r="G131" i="16" s="1"/>
  <c r="BY131" i="6" s="1"/>
  <c r="P122" i="16"/>
  <c r="V122" i="16" s="1"/>
  <c r="F122" i="16" s="1"/>
  <c r="P142" i="16"/>
  <c r="V142" i="16" s="1"/>
  <c r="F142" i="16" s="1"/>
  <c r="G142" i="16" s="1"/>
  <c r="BY142" i="6" s="1"/>
  <c r="AD104" i="16"/>
  <c r="P144" i="16"/>
  <c r="V144" i="16" s="1"/>
  <c r="F144" i="16" s="1"/>
  <c r="G144" i="16" s="1"/>
  <c r="BY144" i="6" s="1"/>
  <c r="P164" i="16"/>
  <c r="V164" i="16" s="1"/>
  <c r="F164" i="16" s="1"/>
  <c r="P180" i="16"/>
  <c r="D49" i="7" s="1"/>
  <c r="P196" i="16"/>
  <c r="V196" i="16" s="1"/>
  <c r="F196" i="16" s="1"/>
  <c r="AD273" i="16"/>
  <c r="AD265" i="16"/>
  <c r="AD257" i="16"/>
  <c r="AD241" i="16"/>
  <c r="AD209" i="16"/>
  <c r="AD177" i="16"/>
  <c r="AD89" i="16"/>
  <c r="AD81" i="16"/>
  <c r="AA81" i="16" s="1"/>
  <c r="Z81" i="16" s="1"/>
  <c r="Y81" i="16" s="1"/>
  <c r="P365" i="16"/>
  <c r="V365" i="16" s="1"/>
  <c r="F365" i="16" s="1"/>
  <c r="G365" i="16" s="1"/>
  <c r="BY365" i="6" s="1"/>
  <c r="P109" i="16"/>
  <c r="V109" i="16" s="1"/>
  <c r="F109" i="16" s="1"/>
  <c r="AA109" i="16" s="1"/>
  <c r="Z109" i="16" s="1"/>
  <c r="Y109" i="16" s="1"/>
  <c r="P262" i="16"/>
  <c r="V262" i="16" s="1"/>
  <c r="F262" i="16" s="1"/>
  <c r="G262" i="16" s="1"/>
  <c r="BY262" i="6" s="1"/>
  <c r="AD230" i="16"/>
  <c r="AA230" i="16" s="1"/>
  <c r="Z230" i="16" s="1"/>
  <c r="Y230" i="16" s="1"/>
  <c r="P346" i="16"/>
  <c r="V346" i="16" s="1"/>
  <c r="F346" i="16" s="1"/>
  <c r="G346" i="16" s="1"/>
  <c r="BY346" i="6" s="1"/>
  <c r="P314" i="16"/>
  <c r="V314" i="16" s="1"/>
  <c r="F314" i="16" s="1"/>
  <c r="G314" i="16" s="1"/>
  <c r="BY314" i="6" s="1"/>
  <c r="P266" i="16"/>
  <c r="V266" i="16" s="1"/>
  <c r="F266" i="16" s="1"/>
  <c r="H266" i="16" s="1"/>
  <c r="P250" i="16"/>
  <c r="V250" i="16" s="1"/>
  <c r="F250" i="16" s="1"/>
  <c r="G250" i="16" s="1"/>
  <c r="BY250" i="6" s="1"/>
  <c r="P234" i="16"/>
  <c r="V234" i="16" s="1"/>
  <c r="F234" i="16" s="1"/>
  <c r="G234" i="16" s="1"/>
  <c r="BY234" i="6" s="1"/>
  <c r="AD112" i="16"/>
  <c r="H160" i="16"/>
  <c r="J160" i="16" s="1"/>
  <c r="G376" i="16"/>
  <c r="BY376" i="6" s="1"/>
  <c r="H252" i="16"/>
  <c r="I252" i="16" s="1"/>
  <c r="G292" i="16"/>
  <c r="BY292" i="6" s="1"/>
  <c r="H276" i="16"/>
  <c r="I276" i="16" s="1"/>
  <c r="H340" i="16"/>
  <c r="I340" i="16" s="1"/>
  <c r="H268" i="16"/>
  <c r="I268" i="16" s="1"/>
  <c r="AD80" i="16"/>
  <c r="AA80" i="16" s="1"/>
  <c r="Z80" i="16" s="1"/>
  <c r="Y80" i="16" s="1"/>
  <c r="G230" i="16"/>
  <c r="BY230" i="6" s="1"/>
  <c r="AA358" i="16"/>
  <c r="Z358" i="16" s="1"/>
  <c r="Y358" i="16" s="1"/>
  <c r="H330" i="16"/>
  <c r="I330" i="16" s="1"/>
  <c r="H282" i="16"/>
  <c r="I282" i="16" s="1"/>
  <c r="AD162" i="16"/>
  <c r="AA162" i="16" s="1"/>
  <c r="Z162" i="16" s="1"/>
  <c r="Y162" i="16" s="1"/>
  <c r="P377" i="16"/>
  <c r="V377" i="16" s="1"/>
  <c r="F377" i="16" s="1"/>
  <c r="G377" i="16" s="1"/>
  <c r="BY377" i="6" s="1"/>
  <c r="P203" i="16"/>
  <c r="V203" i="16" s="1"/>
  <c r="F203" i="16" s="1"/>
  <c r="G203" i="16" s="1"/>
  <c r="BY203" i="6" s="1"/>
  <c r="AD160" i="16"/>
  <c r="AA160" i="16" s="1"/>
  <c r="Z160" i="16" s="1"/>
  <c r="Y160" i="16" s="1"/>
  <c r="AG291" i="16"/>
  <c r="AF291" i="16" s="1"/>
  <c r="AD291" i="16" s="1"/>
  <c r="AH379" i="16"/>
  <c r="AH381" i="16" s="1"/>
  <c r="AI12" i="17"/>
  <c r="AD256" i="16"/>
  <c r="AA256" i="16" s="1"/>
  <c r="Z256" i="16" s="1"/>
  <c r="Y256" i="16" s="1"/>
  <c r="AD232" i="16"/>
  <c r="AD168" i="16"/>
  <c r="AD345" i="16"/>
  <c r="AD286" i="16"/>
  <c r="AD44" i="16"/>
  <c r="AD105" i="16"/>
  <c r="AD33" i="16"/>
  <c r="AD192" i="16"/>
  <c r="AA192" i="16" s="1"/>
  <c r="Z192" i="16" s="1"/>
  <c r="Y192" i="16" s="1"/>
  <c r="AD132" i="16"/>
  <c r="AD73" i="16"/>
  <c r="AD49" i="16"/>
  <c r="AD233" i="16"/>
  <c r="AD65" i="16"/>
  <c r="P56" i="16"/>
  <c r="V56" i="16" s="1"/>
  <c r="F56" i="16" s="1"/>
  <c r="H56" i="16" s="1"/>
  <c r="J56" i="16" s="1"/>
  <c r="AD370" i="16"/>
  <c r="AA370" i="16" s="1"/>
  <c r="Z370" i="16" s="1"/>
  <c r="Y370" i="16" s="1"/>
  <c r="AD158" i="16"/>
  <c r="AD163" i="16"/>
  <c r="AA163" i="16" s="1"/>
  <c r="Z163" i="16" s="1"/>
  <c r="Y163" i="16" s="1"/>
  <c r="P152" i="16"/>
  <c r="V152" i="16" s="1"/>
  <c r="F152" i="16" s="1"/>
  <c r="G152" i="16" s="1"/>
  <c r="BY152" i="6" s="1"/>
  <c r="P112" i="16"/>
  <c r="V112" i="16" s="1"/>
  <c r="F112" i="16" s="1"/>
  <c r="G112" i="16" s="1"/>
  <c r="BY112" i="6" s="1"/>
  <c r="P88" i="16"/>
  <c r="V88" i="16" s="1"/>
  <c r="F88" i="16" s="1"/>
  <c r="AA88" i="16" s="1"/>
  <c r="Z88" i="16" s="1"/>
  <c r="Y88" i="16" s="1"/>
  <c r="AD259" i="16"/>
  <c r="AD99" i="16"/>
  <c r="P178" i="16"/>
  <c r="V178" i="16" s="1"/>
  <c r="F178" i="16" s="1"/>
  <c r="H178" i="16" s="1"/>
  <c r="I178" i="16" s="1"/>
  <c r="AD185" i="16"/>
  <c r="P188" i="16"/>
  <c r="V188" i="16" s="1"/>
  <c r="F188" i="16" s="1"/>
  <c r="H188" i="16" s="1"/>
  <c r="J188" i="16" s="1"/>
  <c r="P258" i="16"/>
  <c r="V258" i="16" s="1"/>
  <c r="F258" i="16" s="1"/>
  <c r="G258" i="16" s="1"/>
  <c r="BY258" i="6" s="1"/>
  <c r="P242" i="16"/>
  <c r="V242" i="16" s="1"/>
  <c r="F242" i="16" s="1"/>
  <c r="G242" i="16" s="1"/>
  <c r="BY242" i="6" s="1"/>
  <c r="P226" i="16"/>
  <c r="V226" i="16" s="1"/>
  <c r="F226" i="16" s="1"/>
  <c r="H226" i="16" s="1"/>
  <c r="P307" i="16"/>
  <c r="V307" i="16" s="1"/>
  <c r="F307" i="16" s="1"/>
  <c r="G307" i="16" s="1"/>
  <c r="BY307" i="6" s="1"/>
  <c r="H356" i="16"/>
  <c r="I356" i="16" s="1"/>
  <c r="H244" i="16"/>
  <c r="J244" i="16" s="1"/>
  <c r="AD331" i="16"/>
  <c r="AA331" i="16" s="1"/>
  <c r="Z331" i="16" s="1"/>
  <c r="Y331" i="16" s="1"/>
  <c r="AD227" i="16"/>
  <c r="AD211" i="16"/>
  <c r="AA211" i="16" s="1"/>
  <c r="Z211" i="16" s="1"/>
  <c r="Y211" i="16" s="1"/>
  <c r="AD51" i="16"/>
  <c r="AA51" i="16" s="1"/>
  <c r="Z51" i="16" s="1"/>
  <c r="Y51" i="16" s="1"/>
  <c r="P364" i="16"/>
  <c r="V364" i="16" s="1"/>
  <c r="F364" i="16" s="1"/>
  <c r="H364" i="16" s="1"/>
  <c r="J364" i="16" s="1"/>
  <c r="P284" i="16"/>
  <c r="V284" i="16" s="1"/>
  <c r="F284" i="16" s="1"/>
  <c r="H284" i="16" s="1"/>
  <c r="I284" i="16" s="1"/>
  <c r="P322" i="16"/>
  <c r="V322" i="16" s="1"/>
  <c r="F322" i="16" s="1"/>
  <c r="H322" i="16" s="1"/>
  <c r="P308" i="16"/>
  <c r="V308" i="16" s="1"/>
  <c r="F308" i="16" s="1"/>
  <c r="G308" i="16" s="1"/>
  <c r="BY308" i="6" s="1"/>
  <c r="P260" i="16"/>
  <c r="V260" i="16" s="1"/>
  <c r="F260" i="16" s="1"/>
  <c r="H260" i="16" s="1"/>
  <c r="J260" i="16" s="1"/>
  <c r="P210" i="16"/>
  <c r="D50" i="7" s="1"/>
  <c r="P17" i="16"/>
  <c r="V17" i="16" s="1"/>
  <c r="F17" i="16" s="1"/>
  <c r="G17" i="16" s="1"/>
  <c r="BY17" i="6" s="1"/>
  <c r="H236" i="16"/>
  <c r="I236" i="16" s="1"/>
  <c r="H332" i="16"/>
  <c r="J332" i="16" s="1"/>
  <c r="AD115" i="16"/>
  <c r="AA115" i="16" s="1"/>
  <c r="Z115" i="16" s="1"/>
  <c r="Y115" i="16" s="1"/>
  <c r="AD19" i="16"/>
  <c r="AD249" i="16"/>
  <c r="P323" i="16"/>
  <c r="V323" i="16" s="1"/>
  <c r="F323" i="16" s="1"/>
  <c r="G323" i="16" s="1"/>
  <c r="BY323" i="6" s="1"/>
  <c r="P259" i="16"/>
  <c r="V259" i="16" s="1"/>
  <c r="F259" i="16" s="1"/>
  <c r="H259" i="16" s="1"/>
  <c r="J259" i="16" s="1"/>
  <c r="AD86" i="16"/>
  <c r="AA86" i="16" s="1"/>
  <c r="Z86" i="16" s="1"/>
  <c r="Y86" i="16" s="1"/>
  <c r="P201" i="16"/>
  <c r="V201" i="16" s="1"/>
  <c r="F201" i="16" s="1"/>
  <c r="G201" i="16" s="1"/>
  <c r="BY201" i="6" s="1"/>
  <c r="AD347" i="16"/>
  <c r="AD319" i="16"/>
  <c r="AD179" i="16"/>
  <c r="AA179" i="16" s="1"/>
  <c r="Z179" i="16" s="1"/>
  <c r="Y179" i="16" s="1"/>
  <c r="AD374" i="16"/>
  <c r="AA374" i="16" s="1"/>
  <c r="Z374" i="16" s="1"/>
  <c r="Y374" i="16" s="1"/>
  <c r="AD190" i="16"/>
  <c r="AD82" i="16"/>
  <c r="P72" i="16"/>
  <c r="V72" i="16" s="1"/>
  <c r="F72" i="16" s="1"/>
  <c r="G72" i="16" s="1"/>
  <c r="BY72" i="6" s="1"/>
  <c r="P64" i="16"/>
  <c r="V64" i="16" s="1"/>
  <c r="F64" i="16" s="1"/>
  <c r="G64" i="16" s="1"/>
  <c r="BY64" i="6" s="1"/>
  <c r="P195" i="16"/>
  <c r="V195" i="16" s="1"/>
  <c r="F195" i="16" s="1"/>
  <c r="G195" i="16" s="1"/>
  <c r="BY195" i="6" s="1"/>
  <c r="AD128" i="16"/>
  <c r="AD72" i="16"/>
  <c r="P96" i="16"/>
  <c r="V96" i="16" s="1"/>
  <c r="F96" i="16" s="1"/>
  <c r="AA96" i="16" s="1"/>
  <c r="Z96" i="16" s="1"/>
  <c r="Y96" i="16" s="1"/>
  <c r="P104" i="16"/>
  <c r="V104" i="16" s="1"/>
  <c r="F104" i="16" s="1"/>
  <c r="P120" i="16"/>
  <c r="V120" i="16" s="1"/>
  <c r="F120" i="16" s="1"/>
  <c r="G120" i="16" s="1"/>
  <c r="BY120" i="6" s="1"/>
  <c r="P128" i="16"/>
  <c r="V128" i="16" s="1"/>
  <c r="F128" i="16" s="1"/>
  <c r="G128" i="16" s="1"/>
  <c r="BY128" i="6" s="1"/>
  <c r="P136" i="16"/>
  <c r="V136" i="16" s="1"/>
  <c r="F136" i="16" s="1"/>
  <c r="P204" i="16"/>
  <c r="V204" i="16" s="1"/>
  <c r="F204" i="16" s="1"/>
  <c r="G204" i="16" s="1"/>
  <c r="BY204" i="6" s="1"/>
  <c r="P220" i="16"/>
  <c r="V220" i="16" s="1"/>
  <c r="F220" i="16" s="1"/>
  <c r="G220" i="16" s="1"/>
  <c r="BY220" i="6" s="1"/>
  <c r="AD289" i="16"/>
  <c r="AD281" i="16"/>
  <c r="AA281" i="16" s="1"/>
  <c r="Z281" i="16" s="1"/>
  <c r="Y281" i="16" s="1"/>
  <c r="AD201" i="16"/>
  <c r="AD193" i="16"/>
  <c r="AD169" i="16"/>
  <c r="AD145" i="16"/>
  <c r="AD137" i="16"/>
  <c r="AD121" i="16"/>
  <c r="AD113" i="16"/>
  <c r="AD97" i="16"/>
  <c r="AA97" i="16" s="1"/>
  <c r="Z97" i="16" s="1"/>
  <c r="Y97" i="16" s="1"/>
  <c r="AD57" i="16"/>
  <c r="AD25" i="16"/>
  <c r="AA25" i="16" s="1"/>
  <c r="Z25" i="16" s="1"/>
  <c r="Y25" i="16" s="1"/>
  <c r="P177" i="16"/>
  <c r="V177" i="16" s="1"/>
  <c r="F177" i="16" s="1"/>
  <c r="P301" i="16"/>
  <c r="V301" i="16" s="1"/>
  <c r="F301" i="16" s="1"/>
  <c r="AD64" i="16"/>
  <c r="AD373" i="16"/>
  <c r="AD341" i="16"/>
  <c r="AD140" i="16"/>
  <c r="AD24" i="16"/>
  <c r="AD298" i="16"/>
  <c r="AA298" i="16" s="1"/>
  <c r="Z298" i="16" s="1"/>
  <c r="Y298" i="16" s="1"/>
  <c r="AD220" i="16"/>
  <c r="AD188" i="16"/>
  <c r="AD74" i="16"/>
  <c r="AD17" i="16"/>
  <c r="AD322" i="16"/>
  <c r="AD222" i="16"/>
  <c r="AD26" i="16"/>
  <c r="AA26" i="16" s="1"/>
  <c r="Z26" i="16" s="1"/>
  <c r="Y26" i="16" s="1"/>
  <c r="P369" i="16"/>
  <c r="V369" i="16" s="1"/>
  <c r="F369" i="16" s="1"/>
  <c r="H369" i="16" s="1"/>
  <c r="J369" i="16" s="1"/>
  <c r="P325" i="16"/>
  <c r="V325" i="16" s="1"/>
  <c r="F325" i="16" s="1"/>
  <c r="P293" i="16"/>
  <c r="V293" i="16" s="1"/>
  <c r="F293" i="16" s="1"/>
  <c r="AA293" i="16" s="1"/>
  <c r="Z293" i="16" s="1"/>
  <c r="Y293" i="16" s="1"/>
  <c r="P79" i="16"/>
  <c r="V79" i="16" s="1"/>
  <c r="F79" i="16" s="1"/>
  <c r="P37" i="16"/>
  <c r="V37" i="16" s="1"/>
  <c r="F37" i="16" s="1"/>
  <c r="AA37" i="16" s="1"/>
  <c r="Z37" i="16" s="1"/>
  <c r="Y37" i="16" s="1"/>
  <c r="U382" i="16"/>
  <c r="AD126" i="16"/>
  <c r="P143" i="16"/>
  <c r="V143" i="16" s="1"/>
  <c r="F143" i="16" s="1"/>
  <c r="H143" i="16" s="1"/>
  <c r="I143" i="16" s="1"/>
  <c r="P111" i="16"/>
  <c r="V111" i="16" s="1"/>
  <c r="F111" i="16" s="1"/>
  <c r="G111" i="16" s="1"/>
  <c r="BY111" i="6" s="1"/>
  <c r="P299" i="16"/>
  <c r="V299" i="16" s="1"/>
  <c r="F299" i="16" s="1"/>
  <c r="AA299" i="16" s="1"/>
  <c r="Z299" i="16" s="1"/>
  <c r="Y299" i="16" s="1"/>
  <c r="H246" i="16"/>
  <c r="I246" i="16" s="1"/>
  <c r="AD324" i="16"/>
  <c r="AA324" i="16" s="1"/>
  <c r="Z324" i="16" s="1"/>
  <c r="Y324" i="16" s="1"/>
  <c r="P43" i="16"/>
  <c r="V43" i="16" s="1"/>
  <c r="F43" i="16" s="1"/>
  <c r="P267" i="16"/>
  <c r="V267" i="16" s="1"/>
  <c r="F267" i="16" s="1"/>
  <c r="G267" i="16" s="1"/>
  <c r="BY267" i="6" s="1"/>
  <c r="P235" i="16"/>
  <c r="V235" i="16" s="1"/>
  <c r="F235" i="16" s="1"/>
  <c r="H235" i="16" s="1"/>
  <c r="I235" i="16" s="1"/>
  <c r="P69" i="16"/>
  <c r="V69" i="16" s="1"/>
  <c r="F69" i="16" s="1"/>
  <c r="G69" i="16" s="1"/>
  <c r="BY69" i="6" s="1"/>
  <c r="P367" i="16"/>
  <c r="V367" i="16" s="1"/>
  <c r="F367" i="16" s="1"/>
  <c r="P239" i="16"/>
  <c r="V239" i="16" s="1"/>
  <c r="F239" i="16" s="1"/>
  <c r="G239" i="16" s="1"/>
  <c r="BY239" i="6" s="1"/>
  <c r="P137" i="16"/>
  <c r="V137" i="16" s="1"/>
  <c r="F137" i="16" s="1"/>
  <c r="P47" i="16"/>
  <c r="V47" i="16" s="1"/>
  <c r="F47" i="16" s="1"/>
  <c r="G47" i="16" s="1"/>
  <c r="BY47" i="6" s="1"/>
  <c r="AD334" i="16"/>
  <c r="AD210" i="16"/>
  <c r="AD42" i="16"/>
  <c r="AA42" i="16" s="1"/>
  <c r="Z42" i="16" s="1"/>
  <c r="Y42" i="16" s="1"/>
  <c r="AD204" i="16"/>
  <c r="AD314" i="16"/>
  <c r="T382" i="16"/>
  <c r="S379" i="16"/>
  <c r="R379" i="16" s="1"/>
  <c r="P379" i="16" s="1"/>
  <c r="D37" i="19" s="1"/>
  <c r="AD328" i="16"/>
  <c r="AA328" i="16" s="1"/>
  <c r="Z328" i="16" s="1"/>
  <c r="Y328" i="16" s="1"/>
  <c r="AD302" i="16"/>
  <c r="AA302" i="16" s="1"/>
  <c r="Z302" i="16" s="1"/>
  <c r="Y302" i="16" s="1"/>
  <c r="AD270" i="16"/>
  <c r="AD250" i="16"/>
  <c r="AD196" i="16"/>
  <c r="AD116" i="16"/>
  <c r="AD84" i="16"/>
  <c r="AD346" i="16"/>
  <c r="AD254" i="16"/>
  <c r="AD212" i="16"/>
  <c r="AD146" i="16"/>
  <c r="AD94" i="16"/>
  <c r="AA94" i="16" s="1"/>
  <c r="Z94" i="16" s="1"/>
  <c r="Y94" i="16" s="1"/>
  <c r="AD48" i="16"/>
  <c r="AD30" i="16"/>
  <c r="AD164" i="16"/>
  <c r="AD305" i="16"/>
  <c r="AD154" i="16"/>
  <c r="AA154" i="16" s="1"/>
  <c r="Z154" i="16" s="1"/>
  <c r="Y154" i="16" s="1"/>
  <c r="P321" i="16"/>
  <c r="V321" i="16" s="1"/>
  <c r="F321" i="16" s="1"/>
  <c r="G321" i="16" s="1"/>
  <c r="BY321" i="6" s="1"/>
  <c r="P305" i="16"/>
  <c r="V305" i="16" s="1"/>
  <c r="F305" i="16" s="1"/>
  <c r="AD186" i="16"/>
  <c r="P197" i="16"/>
  <c r="V197" i="16" s="1"/>
  <c r="F197" i="16" s="1"/>
  <c r="P71" i="16"/>
  <c r="V71" i="16" s="1"/>
  <c r="F71" i="16" s="1"/>
  <c r="P27" i="16"/>
  <c r="V27" i="16" s="1"/>
  <c r="F27" i="16" s="1"/>
  <c r="H27" i="16" s="1"/>
  <c r="J27" i="16" s="1"/>
  <c r="P199" i="16"/>
  <c r="V199" i="16" s="1"/>
  <c r="F199" i="16" s="1"/>
  <c r="AA199" i="16" s="1"/>
  <c r="Z199" i="16" s="1"/>
  <c r="Y199" i="16" s="1"/>
  <c r="P123" i="16"/>
  <c r="V123" i="16" s="1"/>
  <c r="F123" i="16" s="1"/>
  <c r="G123" i="16" s="1"/>
  <c r="BY123" i="6" s="1"/>
  <c r="P103" i="16"/>
  <c r="V103" i="16" s="1"/>
  <c r="F103" i="16" s="1"/>
  <c r="AA103" i="16" s="1"/>
  <c r="Z103" i="16" s="1"/>
  <c r="Y103" i="16" s="1"/>
  <c r="P73" i="16"/>
  <c r="V73" i="16" s="1"/>
  <c r="F73" i="16" s="1"/>
  <c r="P161" i="16"/>
  <c r="V161" i="16" s="1"/>
  <c r="F161" i="16" s="1"/>
  <c r="AA161" i="16" s="1"/>
  <c r="Z161" i="16" s="1"/>
  <c r="Y161" i="16" s="1"/>
  <c r="P135" i="16"/>
  <c r="V135" i="16" s="1"/>
  <c r="F135" i="16" s="1"/>
  <c r="G135" i="16" s="1"/>
  <c r="BY135" i="6" s="1"/>
  <c r="AI382" i="16"/>
  <c r="AD360" i="16"/>
  <c r="AA360" i="16" s="1"/>
  <c r="Z360" i="16" s="1"/>
  <c r="Y360" i="16" s="1"/>
  <c r="P187" i="16"/>
  <c r="V187" i="16" s="1"/>
  <c r="F187" i="16" s="1"/>
  <c r="G187" i="16" s="1"/>
  <c r="BY187" i="6" s="1"/>
  <c r="P251" i="16"/>
  <c r="V251" i="16" s="1"/>
  <c r="F251" i="16" s="1"/>
  <c r="G251" i="16" s="1"/>
  <c r="BY251" i="6" s="1"/>
  <c r="P101" i="16"/>
  <c r="V101" i="16" s="1"/>
  <c r="F101" i="16" s="1"/>
  <c r="G101" i="16" s="1"/>
  <c r="BY101" i="6" s="1"/>
  <c r="P33" i="16"/>
  <c r="V33" i="16" s="1"/>
  <c r="F33" i="16" s="1"/>
  <c r="H33" i="16" s="1"/>
  <c r="J33" i="16" s="1"/>
  <c r="AD198" i="16"/>
  <c r="AD118" i="16"/>
  <c r="AA118" i="16" s="1"/>
  <c r="Z118" i="16" s="1"/>
  <c r="Y118" i="16" s="1"/>
  <c r="P93" i="16"/>
  <c r="V93" i="16" s="1"/>
  <c r="F93" i="16" s="1"/>
  <c r="AA93" i="16" s="1"/>
  <c r="Z93" i="16" s="1"/>
  <c r="Y93" i="16" s="1"/>
  <c r="P183" i="16"/>
  <c r="V183" i="16" s="1"/>
  <c r="F183" i="16" s="1"/>
  <c r="G183" i="16" s="1"/>
  <c r="BY183" i="6" s="1"/>
  <c r="P375" i="16"/>
  <c r="V375" i="16" s="1"/>
  <c r="F375" i="16" s="1"/>
  <c r="G375" i="16" s="1"/>
  <c r="BY375" i="6" s="1"/>
  <c r="P343" i="16"/>
  <c r="V343" i="16" s="1"/>
  <c r="F343" i="16" s="1"/>
  <c r="P311" i="16"/>
  <c r="V311" i="16" s="1"/>
  <c r="F311" i="16" s="1"/>
  <c r="G311" i="16" s="1"/>
  <c r="BY311" i="6" s="1"/>
  <c r="P279" i="16"/>
  <c r="V279" i="16" s="1"/>
  <c r="F279" i="16" s="1"/>
  <c r="P145" i="16"/>
  <c r="V145" i="16" s="1"/>
  <c r="F145" i="16" s="1"/>
  <c r="G145" i="16" s="1"/>
  <c r="BY145" i="6" s="1"/>
  <c r="P18" i="16"/>
  <c r="V18" i="16" s="1"/>
  <c r="F18" i="16" s="1"/>
  <c r="G18" i="16" s="1"/>
  <c r="BY18" i="6" s="1"/>
  <c r="AD350" i="16"/>
  <c r="AD170" i="16"/>
  <c r="AA170" i="16" s="1"/>
  <c r="Z170" i="16" s="1"/>
  <c r="Y170" i="16" s="1"/>
  <c r="AD62" i="16"/>
  <c r="AA62" i="16" s="1"/>
  <c r="Z62" i="16" s="1"/>
  <c r="Y62" i="16" s="1"/>
  <c r="P87" i="16"/>
  <c r="V87" i="16" s="1"/>
  <c r="F87" i="16" s="1"/>
  <c r="P359" i="16"/>
  <c r="V359" i="16" s="1"/>
  <c r="F359" i="16" s="1"/>
  <c r="G359" i="16" s="1"/>
  <c r="BY359" i="6" s="1"/>
  <c r="P347" i="16"/>
  <c r="V347" i="16" s="1"/>
  <c r="F347" i="16" s="1"/>
  <c r="G347" i="16" s="1"/>
  <c r="BY347" i="6" s="1"/>
  <c r="P241" i="16"/>
  <c r="D51" i="7" s="1"/>
  <c r="AD138" i="16"/>
  <c r="G91" i="16"/>
  <c r="BY91" i="6" s="1"/>
  <c r="G160" i="16"/>
  <c r="BY160" i="6" s="1"/>
  <c r="H281" i="16"/>
  <c r="J281" i="16" s="1"/>
  <c r="H192" i="16"/>
  <c r="I192" i="16" s="1"/>
  <c r="H148" i="16"/>
  <c r="J148" i="16" s="1"/>
  <c r="AA102" i="16"/>
  <c r="Z102" i="16" s="1"/>
  <c r="Y102" i="16" s="1"/>
  <c r="H315" i="16"/>
  <c r="I315" i="16" s="1"/>
  <c r="H218" i="16"/>
  <c r="J218" i="16" s="1"/>
  <c r="G80" i="16"/>
  <c r="BY80" i="6" s="1"/>
  <c r="H100" i="16"/>
  <c r="J100" i="16" s="1"/>
  <c r="H150" i="16"/>
  <c r="I150" i="16" s="1"/>
  <c r="T383" i="16"/>
  <c r="AD294" i="16"/>
  <c r="P107" i="16"/>
  <c r="V107" i="16" s="1"/>
  <c r="F107" i="16" s="1"/>
  <c r="AD124" i="16"/>
  <c r="P209" i="16"/>
  <c r="V209" i="16" s="1"/>
  <c r="F209" i="16" s="1"/>
  <c r="AD326" i="16"/>
  <c r="AD262" i="16"/>
  <c r="AD106" i="16"/>
  <c r="AA106" i="16" s="1"/>
  <c r="Z106" i="16" s="1"/>
  <c r="Y106" i="16" s="1"/>
  <c r="AD78" i="16"/>
  <c r="AD340" i="16"/>
  <c r="AA340" i="16" s="1"/>
  <c r="Z340" i="16" s="1"/>
  <c r="Y340" i="16" s="1"/>
  <c r="P185" i="16"/>
  <c r="V185" i="16" s="1"/>
  <c r="F185" i="16" s="1"/>
  <c r="H185" i="16" s="1"/>
  <c r="I185" i="16" s="1"/>
  <c r="P171" i="16"/>
  <c r="V171" i="16" s="1"/>
  <c r="F171" i="16" s="1"/>
  <c r="G171" i="16" s="1"/>
  <c r="BY171" i="6" s="1"/>
  <c r="AD236" i="16"/>
  <c r="AA236" i="16" s="1"/>
  <c r="Z236" i="16" s="1"/>
  <c r="Y236" i="16" s="1"/>
  <c r="AD172" i="16"/>
  <c r="AD92" i="16"/>
  <c r="AA92" i="16" s="1"/>
  <c r="Z92" i="16" s="1"/>
  <c r="Y92" i="16" s="1"/>
  <c r="AD352" i="16"/>
  <c r="P249" i="16"/>
  <c r="V249" i="16" s="1"/>
  <c r="F249" i="16" s="1"/>
  <c r="G249" i="16" s="1"/>
  <c r="BY249" i="6" s="1"/>
  <c r="AD130" i="16"/>
  <c r="P221" i="16"/>
  <c r="V221" i="16" s="1"/>
  <c r="F221" i="16" s="1"/>
  <c r="G221" i="16" s="1"/>
  <c r="BY221" i="6" s="1"/>
  <c r="AD110" i="16"/>
  <c r="AD304" i="16"/>
  <c r="AA304" i="16" s="1"/>
  <c r="Z304" i="16" s="1"/>
  <c r="Y304" i="16" s="1"/>
  <c r="AD366" i="16"/>
  <c r="AD50" i="16"/>
  <c r="AI383" i="16"/>
  <c r="P341" i="16"/>
  <c r="V341" i="16" s="1"/>
  <c r="F341" i="16" s="1"/>
  <c r="P333" i="16"/>
  <c r="V333" i="16" s="1"/>
  <c r="F333" i="16" s="1"/>
  <c r="H333" i="16" s="1"/>
  <c r="P309" i="16"/>
  <c r="V309" i="16" s="1"/>
  <c r="F309" i="16" s="1"/>
  <c r="G309" i="16" s="1"/>
  <c r="BY309" i="6" s="1"/>
  <c r="P297" i="16"/>
  <c r="V297" i="16" s="1"/>
  <c r="F297" i="16" s="1"/>
  <c r="H297" i="16" s="1"/>
  <c r="I297" i="16" s="1"/>
  <c r="P289" i="16"/>
  <c r="V289" i="16" s="1"/>
  <c r="F289" i="16" s="1"/>
  <c r="G289" i="16" s="1"/>
  <c r="BY289" i="6" s="1"/>
  <c r="P257" i="16"/>
  <c r="V257" i="16" s="1"/>
  <c r="F257" i="16" s="1"/>
  <c r="G257" i="16" s="1"/>
  <c r="BY257" i="6" s="1"/>
  <c r="P31" i="16"/>
  <c r="V31" i="16" s="1"/>
  <c r="F31" i="16" s="1"/>
  <c r="G31" i="16" s="1"/>
  <c r="BY31" i="6" s="1"/>
  <c r="U381" i="16"/>
  <c r="AD369" i="16"/>
  <c r="AD342" i="16"/>
  <c r="AD246" i="16"/>
  <c r="AA246" i="16" s="1"/>
  <c r="Z246" i="16" s="1"/>
  <c r="Y246" i="16" s="1"/>
  <c r="AD142" i="16"/>
  <c r="AD90" i="16"/>
  <c r="H102" i="16"/>
  <c r="J102" i="16" s="1"/>
  <c r="P149" i="16"/>
  <c r="D48" i="7" s="1"/>
  <c r="AD329" i="16"/>
  <c r="P271" i="16"/>
  <c r="V271" i="16" s="1"/>
  <c r="F271" i="16" s="1"/>
  <c r="G271" i="16" s="1"/>
  <c r="BY271" i="6" s="1"/>
  <c r="P219" i="16"/>
  <c r="V219" i="16" s="1"/>
  <c r="F219" i="16" s="1"/>
  <c r="H219" i="16" s="1"/>
  <c r="J219" i="16" s="1"/>
  <c r="P89" i="16"/>
  <c r="V89" i="16" s="1"/>
  <c r="F89" i="16" s="1"/>
  <c r="G89" i="16" s="1"/>
  <c r="BY89" i="6" s="1"/>
  <c r="P207" i="16"/>
  <c r="V207" i="16" s="1"/>
  <c r="F207" i="16" s="1"/>
  <c r="G207" i="16" s="1"/>
  <c r="BY207" i="6" s="1"/>
  <c r="U383" i="16"/>
  <c r="AD368" i="16"/>
  <c r="P155" i="16"/>
  <c r="V155" i="16" s="1"/>
  <c r="F155" i="16" s="1"/>
  <c r="P283" i="16"/>
  <c r="V283" i="16" s="1"/>
  <c r="F283" i="16" s="1"/>
  <c r="G283" i="16" s="1"/>
  <c r="BY283" i="6" s="1"/>
  <c r="P213" i="16"/>
  <c r="V213" i="16" s="1"/>
  <c r="F213" i="16" s="1"/>
  <c r="P53" i="16"/>
  <c r="V53" i="16" s="1"/>
  <c r="F53" i="16" s="1"/>
  <c r="AA53" i="16" s="1"/>
  <c r="Z53" i="16" s="1"/>
  <c r="Y53" i="16" s="1"/>
  <c r="AD150" i="16"/>
  <c r="AA150" i="16" s="1"/>
  <c r="Z150" i="16" s="1"/>
  <c r="Y150" i="16" s="1"/>
  <c r="AD22" i="16"/>
  <c r="P59" i="16"/>
  <c r="V59" i="16" s="1"/>
  <c r="F59" i="16" s="1"/>
  <c r="G59" i="16" s="1"/>
  <c r="BY59" i="6" s="1"/>
  <c r="P351" i="16"/>
  <c r="V351" i="16" s="1"/>
  <c r="F351" i="16" s="1"/>
  <c r="AA351" i="16" s="1"/>
  <c r="Z351" i="16" s="1"/>
  <c r="Y351" i="16" s="1"/>
  <c r="P335" i="16"/>
  <c r="V335" i="16" s="1"/>
  <c r="F335" i="16" s="1"/>
  <c r="G335" i="16" s="1"/>
  <c r="BY335" i="6" s="1"/>
  <c r="P319" i="16"/>
  <c r="V319" i="16" s="1"/>
  <c r="F319" i="16" s="1"/>
  <c r="G319" i="16" s="1"/>
  <c r="BY319" i="6" s="1"/>
  <c r="P303" i="16"/>
  <c r="V303" i="16" s="1"/>
  <c r="F303" i="16" s="1"/>
  <c r="P255" i="16"/>
  <c r="V255" i="16" s="1"/>
  <c r="F255" i="16" s="1"/>
  <c r="G255" i="16" s="1"/>
  <c r="BY255" i="6" s="1"/>
  <c r="P223" i="16"/>
  <c r="V223" i="16" s="1"/>
  <c r="F223" i="16" s="1"/>
  <c r="G223" i="16" s="1"/>
  <c r="BY223" i="6" s="1"/>
  <c r="P63" i="16"/>
  <c r="V63" i="16" s="1"/>
  <c r="F63" i="16" s="1"/>
  <c r="G63" i="16" s="1"/>
  <c r="BY63" i="6" s="1"/>
  <c r="P41" i="16"/>
  <c r="V41" i="16" s="1"/>
  <c r="F41" i="16" s="1"/>
  <c r="G41" i="16" s="1"/>
  <c r="BY41" i="6" s="1"/>
  <c r="AA315" i="16"/>
  <c r="Z315" i="16" s="1"/>
  <c r="Y315" i="16" s="1"/>
  <c r="AD310" i="16"/>
  <c r="AA310" i="16" s="1"/>
  <c r="Z310" i="16" s="1"/>
  <c r="Y310" i="16" s="1"/>
  <c r="AD278" i="16"/>
  <c r="AD234" i="16"/>
  <c r="AD178" i="16"/>
  <c r="P169" i="16"/>
  <c r="V169" i="16" s="1"/>
  <c r="F169" i="16" s="1"/>
  <c r="G169" i="16" s="1"/>
  <c r="BY169" i="6" s="1"/>
  <c r="AD376" i="16"/>
  <c r="AA376" i="16" s="1"/>
  <c r="Z376" i="16" s="1"/>
  <c r="Y376" i="16" s="1"/>
  <c r="P285" i="16"/>
  <c r="V285" i="16" s="1"/>
  <c r="F285" i="16" s="1"/>
  <c r="P205" i="16"/>
  <c r="V205" i="16" s="1"/>
  <c r="F205" i="16" s="1"/>
  <c r="AA205" i="16" s="1"/>
  <c r="Z205" i="16" s="1"/>
  <c r="Y205" i="16" s="1"/>
  <c r="AD228" i="16"/>
  <c r="AD180" i="16"/>
  <c r="AD148" i="16"/>
  <c r="AA148" i="16" s="1"/>
  <c r="Z148" i="16" s="1"/>
  <c r="Y148" i="16" s="1"/>
  <c r="AD100" i="16"/>
  <c r="AA100" i="16" s="1"/>
  <c r="Z100" i="16" s="1"/>
  <c r="Y100" i="16" s="1"/>
  <c r="AD330" i="16"/>
  <c r="S23" i="16"/>
  <c r="R23" i="16" s="1"/>
  <c r="P23" i="16" s="1"/>
  <c r="V23" i="16" s="1"/>
  <c r="F23" i="16" s="1"/>
  <c r="G23" i="16" s="1"/>
  <c r="BY23" i="6" s="1"/>
  <c r="P159" i="16"/>
  <c r="V159" i="16" s="1"/>
  <c r="F159" i="16" s="1"/>
  <c r="P191" i="16"/>
  <c r="V191" i="16" s="1"/>
  <c r="F191" i="16" s="1"/>
  <c r="P349" i="16"/>
  <c r="V349" i="16" s="1"/>
  <c r="F349" i="16" s="1"/>
  <c r="G349" i="16" s="1"/>
  <c r="BY349" i="6" s="1"/>
  <c r="P317" i="16"/>
  <c r="V317" i="16" s="1"/>
  <c r="F317" i="16" s="1"/>
  <c r="P253" i="16"/>
  <c r="V253" i="16" s="1"/>
  <c r="F253" i="16" s="1"/>
  <c r="AA253" i="16" s="1"/>
  <c r="Z253" i="16" s="1"/>
  <c r="Y253" i="16" s="1"/>
  <c r="P157" i="16"/>
  <c r="V157" i="16" s="1"/>
  <c r="F157" i="16" s="1"/>
  <c r="AD40" i="16"/>
  <c r="P49" i="16"/>
  <c r="V49" i="16" s="1"/>
  <c r="F49" i="16" s="1"/>
  <c r="AD365" i="16"/>
  <c r="AD357" i="16"/>
  <c r="AD337" i="16"/>
  <c r="AD321" i="16"/>
  <c r="AD313" i="16"/>
  <c r="AD362" i="16"/>
  <c r="AD202" i="16"/>
  <c r="AA202" i="16" s="1"/>
  <c r="Z202" i="16" s="1"/>
  <c r="Y202" i="16" s="1"/>
  <c r="P125" i="16"/>
  <c r="V125" i="16" s="1"/>
  <c r="F125" i="16" s="1"/>
  <c r="P61" i="16"/>
  <c r="V61" i="16" s="1"/>
  <c r="F61" i="16" s="1"/>
  <c r="AD332" i="16"/>
  <c r="AA332" i="16" s="1"/>
  <c r="Z332" i="16" s="1"/>
  <c r="Y332" i="16" s="1"/>
  <c r="AD252" i="16"/>
  <c r="AA252" i="16" s="1"/>
  <c r="Z252" i="16" s="1"/>
  <c r="Y252" i="16" s="1"/>
  <c r="AD32" i="16"/>
  <c r="AI381" i="16"/>
  <c r="AD344" i="16"/>
  <c r="AA344" i="16" s="1"/>
  <c r="Z344" i="16" s="1"/>
  <c r="Y344" i="16" s="1"/>
  <c r="AD336" i="16"/>
  <c r="AD272" i="16"/>
  <c r="P95" i="16"/>
  <c r="V95" i="16" s="1"/>
  <c r="F95" i="16" s="1"/>
  <c r="P175" i="16"/>
  <c r="V175" i="16" s="1"/>
  <c r="F175" i="16" s="1"/>
  <c r="P345" i="16"/>
  <c r="V345" i="16" s="1"/>
  <c r="F345" i="16" s="1"/>
  <c r="G345" i="16" s="1"/>
  <c r="BY345" i="6" s="1"/>
  <c r="P189" i="16"/>
  <c r="V189" i="16" s="1"/>
  <c r="F189" i="16" s="1"/>
  <c r="P55" i="16"/>
  <c r="V55" i="16" s="1"/>
  <c r="F55" i="16" s="1"/>
  <c r="AA55" i="16" s="1"/>
  <c r="Z55" i="16" s="1"/>
  <c r="Y55" i="16" s="1"/>
  <c r="P16" i="7"/>
  <c r="V11" i="7" s="1"/>
  <c r="U11" i="17" s="1"/>
  <c r="U12" i="17"/>
  <c r="U16" i="7" s="1"/>
  <c r="AD377" i="16"/>
  <c r="AD361" i="16"/>
  <c r="AD353" i="16"/>
  <c r="AD325" i="16"/>
  <c r="AD317" i="16"/>
  <c r="AD297" i="16"/>
  <c r="AD226" i="16"/>
  <c r="AD98" i="16"/>
  <c r="P39" i="16"/>
  <c r="V39" i="16" s="1"/>
  <c r="F39" i="16" s="1"/>
  <c r="G39" i="16" s="1"/>
  <c r="BY39" i="6" s="1"/>
  <c r="P77" i="16"/>
  <c r="V77" i="16" s="1"/>
  <c r="F77" i="16" s="1"/>
  <c r="AA77" i="16" s="1"/>
  <c r="Z77" i="16" s="1"/>
  <c r="Y77" i="16" s="1"/>
  <c r="AD300" i="16"/>
  <c r="AD108" i="16"/>
  <c r="AD28" i="16"/>
  <c r="AA28" i="16" s="1"/>
  <c r="Z28" i="16" s="1"/>
  <c r="Y28" i="16" s="1"/>
  <c r="H81" i="16"/>
  <c r="I81" i="16" s="1"/>
  <c r="H211" i="16"/>
  <c r="I211" i="16" s="1"/>
  <c r="P361" i="16"/>
  <c r="V361" i="16" s="1"/>
  <c r="F361" i="16" s="1"/>
  <c r="P329" i="16"/>
  <c r="V329" i="16" s="1"/>
  <c r="F329" i="16" s="1"/>
  <c r="P273" i="16"/>
  <c r="V273" i="16" s="1"/>
  <c r="F273" i="16" s="1"/>
  <c r="P261" i="16"/>
  <c r="V261" i="16" s="1"/>
  <c r="F261" i="16" s="1"/>
  <c r="P245" i="16"/>
  <c r="V245" i="16" s="1"/>
  <c r="F245" i="16" s="1"/>
  <c r="P229" i="16"/>
  <c r="V229" i="16" s="1"/>
  <c r="F229" i="16" s="1"/>
  <c r="G229" i="16" s="1"/>
  <c r="BY229" i="6" s="1"/>
  <c r="P165" i="16"/>
  <c r="V165" i="16" s="1"/>
  <c r="F165" i="16" s="1"/>
  <c r="P117" i="16"/>
  <c r="V117" i="16" s="1"/>
  <c r="F117" i="16" s="1"/>
  <c r="P113" i="16"/>
  <c r="V113" i="16" s="1"/>
  <c r="F113" i="16" s="1"/>
  <c r="AD348" i="16"/>
  <c r="AA348" i="16" s="1"/>
  <c r="Z348" i="16" s="1"/>
  <c r="Y348" i="16" s="1"/>
  <c r="AD308" i="16"/>
  <c r="AD284" i="16"/>
  <c r="AD282" i="16"/>
  <c r="AA282" i="16" s="1"/>
  <c r="Z282" i="16" s="1"/>
  <c r="Y282" i="16" s="1"/>
  <c r="AD194" i="16"/>
  <c r="AA194" i="16" s="1"/>
  <c r="Z194" i="16" s="1"/>
  <c r="Y194" i="16" s="1"/>
  <c r="AA165" i="16"/>
  <c r="Z165" i="16" s="1"/>
  <c r="Y165" i="16" s="1"/>
  <c r="H229" i="16"/>
  <c r="I229" i="16" s="1"/>
  <c r="P373" i="16"/>
  <c r="V373" i="16" s="1"/>
  <c r="F373" i="16" s="1"/>
  <c r="P357" i="16"/>
  <c r="V357" i="16" s="1"/>
  <c r="F357" i="16" s="1"/>
  <c r="P277" i="16"/>
  <c r="V277" i="16" s="1"/>
  <c r="F277" i="16" s="1"/>
  <c r="G277" i="16" s="1"/>
  <c r="BY277" i="6" s="1"/>
  <c r="P265" i="16"/>
  <c r="V265" i="16" s="1"/>
  <c r="F265" i="16" s="1"/>
  <c r="P181" i="16"/>
  <c r="V181" i="16" s="1"/>
  <c r="F181" i="16" s="1"/>
  <c r="P133" i="16"/>
  <c r="V133" i="16" s="1"/>
  <c r="F133" i="16" s="1"/>
  <c r="P85" i="16"/>
  <c r="V85" i="16" s="1"/>
  <c r="F85" i="16" s="1"/>
  <c r="AD356" i="16"/>
  <c r="AA356" i="16" s="1"/>
  <c r="Z356" i="16" s="1"/>
  <c r="Y356" i="16" s="1"/>
  <c r="AD316" i="16"/>
  <c r="AA316" i="16" s="1"/>
  <c r="Z316" i="16" s="1"/>
  <c r="Y316" i="16" s="1"/>
  <c r="AD292" i="16"/>
  <c r="AA292" i="16" s="1"/>
  <c r="Z292" i="16" s="1"/>
  <c r="Y292" i="16" s="1"/>
  <c r="AD276" i="16"/>
  <c r="AA276" i="16" s="1"/>
  <c r="Z276" i="16" s="1"/>
  <c r="Y276" i="16" s="1"/>
  <c r="AD266" i="16"/>
  <c r="AD66" i="16"/>
  <c r="AA66" i="16" s="1"/>
  <c r="Z66" i="16" s="1"/>
  <c r="Y66" i="16" s="1"/>
  <c r="AA227" i="16"/>
  <c r="Z227" i="16" s="1"/>
  <c r="Y227" i="16" s="1"/>
  <c r="G68" i="16"/>
  <c r="BY68" i="6" s="1"/>
  <c r="H231" i="16"/>
  <c r="J231" i="16" s="1"/>
  <c r="G247" i="16"/>
  <c r="BY247" i="6" s="1"/>
  <c r="C13" i="19"/>
  <c r="F37" i="19"/>
  <c r="P225" i="16"/>
  <c r="V225" i="16" s="1"/>
  <c r="F225" i="16" s="1"/>
  <c r="AA225" i="16" s="1"/>
  <c r="Z225" i="16" s="1"/>
  <c r="Y225" i="16" s="1"/>
  <c r="P129" i="16"/>
  <c r="V129" i="16" s="1"/>
  <c r="F129" i="16" s="1"/>
  <c r="AD238" i="16"/>
  <c r="AA238" i="16" s="1"/>
  <c r="Z238" i="16" s="1"/>
  <c r="Y238" i="16" s="1"/>
  <c r="AD122" i="16"/>
  <c r="AD364" i="16"/>
  <c r="AD312" i="16"/>
  <c r="AD280" i="16"/>
  <c r="P353" i="16"/>
  <c r="V353" i="16" s="1"/>
  <c r="F353" i="16" s="1"/>
  <c r="P193" i="16"/>
  <c r="V193" i="16" s="1"/>
  <c r="F193" i="16" s="1"/>
  <c r="P65" i="16"/>
  <c r="V65" i="16" s="1"/>
  <c r="F65" i="16" s="1"/>
  <c r="AD218" i="16"/>
  <c r="AA218" i="16" s="1"/>
  <c r="Z218" i="16" s="1"/>
  <c r="Y218" i="16" s="1"/>
  <c r="AD58" i="16"/>
  <c r="AD320" i="16"/>
  <c r="AD296" i="16"/>
  <c r="AD264" i="16"/>
  <c r="G182" i="16"/>
  <c r="BY182" i="6" s="1"/>
  <c r="AA231" i="16"/>
  <c r="Z231" i="16" s="1"/>
  <c r="Y231" i="16" s="1"/>
  <c r="H163" i="16"/>
  <c r="I163" i="16" s="1"/>
  <c r="G295" i="16"/>
  <c r="BY295" i="6" s="1"/>
  <c r="AA182" i="16"/>
  <c r="Z182" i="16" s="1"/>
  <c r="Y182" i="16" s="1"/>
  <c r="AA215" i="16"/>
  <c r="Z215" i="16" s="1"/>
  <c r="Y215" i="16" s="1"/>
  <c r="Q10" i="17"/>
  <c r="H331" i="16"/>
  <c r="I331" i="16" s="1"/>
  <c r="H127" i="16"/>
  <c r="I127" i="16" s="1"/>
  <c r="AF364" i="15"/>
  <c r="AG383" i="15"/>
  <c r="AG382" i="15"/>
  <c r="AG381" i="15"/>
  <c r="G127" i="16"/>
  <c r="BY127" i="6" s="1"/>
  <c r="T381" i="16"/>
  <c r="AA38" i="16"/>
  <c r="Z38" i="16" s="1"/>
  <c r="Y38" i="16" s="1"/>
  <c r="D55" i="7"/>
  <c r="H304" i="16"/>
  <c r="I304" i="16" s="1"/>
  <c r="H326" i="16"/>
  <c r="I326" i="16" s="1"/>
  <c r="H151" i="16"/>
  <c r="J151" i="16" s="1"/>
  <c r="H288" i="16"/>
  <c r="I288" i="16" s="1"/>
  <c r="H162" i="16"/>
  <c r="J162" i="16" s="1"/>
  <c r="H83" i="16"/>
  <c r="J83" i="16" s="1"/>
  <c r="AA224" i="16"/>
  <c r="Z224" i="16" s="1"/>
  <c r="Y224" i="16" s="1"/>
  <c r="D53" i="7"/>
  <c r="AA208" i="16"/>
  <c r="Z208" i="16" s="1"/>
  <c r="Y208" i="16" s="1"/>
  <c r="H94" i="16"/>
  <c r="J94" i="16" s="1"/>
  <c r="H355" i="16"/>
  <c r="I355" i="16" s="1"/>
  <c r="H153" i="16"/>
  <c r="I153" i="16" s="1"/>
  <c r="D47" i="7"/>
  <c r="H354" i="16"/>
  <c r="J354" i="16" s="1"/>
  <c r="H238" i="16"/>
  <c r="J238" i="16" s="1"/>
  <c r="AA153" i="16"/>
  <c r="Z153" i="16" s="1"/>
  <c r="Y153" i="16" s="1"/>
  <c r="G354" i="16"/>
  <c r="BY354" i="6" s="1"/>
  <c r="G238" i="16"/>
  <c r="BY238" i="6" s="1"/>
  <c r="G86" i="16"/>
  <c r="BY86" i="6" s="1"/>
  <c r="H360" i="16"/>
  <c r="I360" i="16" s="1"/>
  <c r="H224" i="16"/>
  <c r="I224" i="16" s="1"/>
  <c r="G287" i="16"/>
  <c r="BY287" i="6" s="1"/>
  <c r="H243" i="16"/>
  <c r="J243" i="16" s="1"/>
  <c r="H174" i="16"/>
  <c r="J174" i="16" s="1"/>
  <c r="G106" i="16"/>
  <c r="BY106" i="6" s="1"/>
  <c r="J136" i="15"/>
  <c r="H66" i="16"/>
  <c r="J66" i="16" s="1"/>
  <c r="G200" i="16"/>
  <c r="BY200" i="6" s="1"/>
  <c r="AA206" i="16"/>
  <c r="Z206" i="16" s="1"/>
  <c r="Y206" i="16" s="1"/>
  <c r="H206" i="16"/>
  <c r="I206" i="16" s="1"/>
  <c r="H316" i="16"/>
  <c r="I316" i="16" s="1"/>
  <c r="G25" i="16"/>
  <c r="BY25" i="6" s="1"/>
  <c r="AA287" i="16"/>
  <c r="Z287" i="16" s="1"/>
  <c r="Y287" i="16" s="1"/>
  <c r="H194" i="16"/>
  <c r="H170" i="16"/>
  <c r="J170" i="16" s="1"/>
  <c r="H154" i="16"/>
  <c r="J154" i="16" s="1"/>
  <c r="AA151" i="16"/>
  <c r="Z151" i="16" s="1"/>
  <c r="Y151" i="16" s="1"/>
  <c r="AA355" i="16"/>
  <c r="Z355" i="16" s="1"/>
  <c r="Y355" i="16" s="1"/>
  <c r="H370" i="16"/>
  <c r="J302" i="15"/>
  <c r="I302" i="15"/>
  <c r="H302" i="16" s="1"/>
  <c r="I302" i="16" s="1"/>
  <c r="Q52" i="17"/>
  <c r="J108" i="15"/>
  <c r="H328" i="16"/>
  <c r="J328" i="16" s="1"/>
  <c r="H202" i="16"/>
  <c r="J202" i="16" s="1"/>
  <c r="AA240" i="16"/>
  <c r="Z240" i="16" s="1"/>
  <c r="Y240" i="16" s="1"/>
  <c r="H240" i="16"/>
  <c r="Q337" i="17"/>
  <c r="H92" i="16"/>
  <c r="J92" i="16" s="1"/>
  <c r="AA67" i="16"/>
  <c r="Z67" i="16" s="1"/>
  <c r="Y67" i="16" s="1"/>
  <c r="V320" i="16"/>
  <c r="F320" i="16" s="1"/>
  <c r="D52" i="7"/>
  <c r="V272" i="16"/>
  <c r="F272" i="16" s="1"/>
  <c r="H344" i="16"/>
  <c r="H256" i="16"/>
  <c r="AA288" i="16"/>
  <c r="Z288" i="16" s="1"/>
  <c r="Y288" i="16" s="1"/>
  <c r="Q44" i="17"/>
  <c r="Q177" i="17"/>
  <c r="H36" i="16"/>
  <c r="I36" i="16" s="1"/>
  <c r="H54" i="16"/>
  <c r="I54" i="16" s="1"/>
  <c r="H42" i="16"/>
  <c r="J42" i="16" s="1"/>
  <c r="G166" i="16"/>
  <c r="BY166" i="6" s="1"/>
  <c r="G92" i="16"/>
  <c r="BY92" i="6" s="1"/>
  <c r="AA36" i="16"/>
  <c r="Z36" i="16" s="1"/>
  <c r="Y36" i="16" s="1"/>
  <c r="H26" i="16"/>
  <c r="I26" i="16" s="1"/>
  <c r="G26" i="16"/>
  <c r="BY26" i="6" s="1"/>
  <c r="H67" i="16"/>
  <c r="J67" i="16" s="1"/>
  <c r="I80" i="16"/>
  <c r="H208" i="16"/>
  <c r="J208" i="16" s="1"/>
  <c r="H134" i="16"/>
  <c r="J134" i="16" s="1"/>
  <c r="J119" i="15"/>
  <c r="I119" i="15"/>
  <c r="H119" i="16" s="1"/>
  <c r="H166" i="16"/>
  <c r="I166" i="16" s="1"/>
  <c r="G42" i="16"/>
  <c r="BY42" i="6" s="1"/>
  <c r="J363" i="15"/>
  <c r="I363" i="15"/>
  <c r="H363" i="16" s="1"/>
  <c r="H70" i="16"/>
  <c r="I70" i="16" s="1"/>
  <c r="G38" i="16"/>
  <c r="BY38" i="6" s="1"/>
  <c r="H38" i="16"/>
  <c r="I38" i="16" s="1"/>
  <c r="O381" i="23"/>
  <c r="O382" i="23"/>
  <c r="O383" i="23"/>
  <c r="L42" i="19" s="1"/>
  <c r="AC383" i="22"/>
  <c r="AC381" i="22"/>
  <c r="AC382" i="22"/>
  <c r="F172" i="16"/>
  <c r="G172" i="16" s="1"/>
  <c r="BY172" i="6" s="1"/>
  <c r="G380" i="16"/>
  <c r="BY380" i="6" s="1"/>
  <c r="H380" i="16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AC382" i="23"/>
  <c r="AC381" i="23"/>
  <c r="AC383" i="23"/>
  <c r="Q20" i="17"/>
  <c r="O382" i="22"/>
  <c r="O383" i="22"/>
  <c r="O381" i="22"/>
  <c r="AA380" i="16"/>
  <c r="Z380" i="16" s="1"/>
  <c r="Y380" i="16" s="1"/>
  <c r="G374" i="16"/>
  <c r="BY374" i="6" s="1"/>
  <c r="H374" i="16"/>
  <c r="G233" i="16"/>
  <c r="BY233" i="6" s="1"/>
  <c r="G74" i="16"/>
  <c r="BY74" i="6" s="1"/>
  <c r="G173" i="16"/>
  <c r="BY173" i="6" s="1"/>
  <c r="H173" i="16"/>
  <c r="G52" i="16"/>
  <c r="BY52" i="6" s="1"/>
  <c r="H52" i="16"/>
  <c r="G78" i="16"/>
  <c r="BY78" i="6" s="1"/>
  <c r="H139" i="16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G217" i="16"/>
  <c r="BY217" i="6" s="1"/>
  <c r="H217" i="16"/>
  <c r="I358" i="15"/>
  <c r="H358" i="16" s="1"/>
  <c r="J358" i="15"/>
  <c r="J318" i="16"/>
  <c r="G274" i="16"/>
  <c r="BY274" i="6" s="1"/>
  <c r="H274" i="16"/>
  <c r="AA274" i="16"/>
  <c r="Z274" i="16" s="1"/>
  <c r="Y274" i="16" s="1"/>
  <c r="G184" i="16"/>
  <c r="BY184" i="6" s="1"/>
  <c r="AA184" i="16"/>
  <c r="Z184" i="16" s="1"/>
  <c r="Y184" i="16" s="1"/>
  <c r="H184" i="16"/>
  <c r="H28" i="16"/>
  <c r="G28" i="16"/>
  <c r="BY28" i="6" s="1"/>
  <c r="AF15" i="16"/>
  <c r="G363" i="16"/>
  <c r="BY363" i="6" s="1"/>
  <c r="G119" i="16"/>
  <c r="BY119" i="6" s="1"/>
  <c r="AA119" i="16"/>
  <c r="Z119" i="16" s="1"/>
  <c r="Y119" i="16" s="1"/>
  <c r="I91" i="16"/>
  <c r="J91" i="16"/>
  <c r="AE370" i="17"/>
  <c r="AE354" i="17"/>
  <c r="AE338" i="17"/>
  <c r="AE322" i="17"/>
  <c r="AE306" i="17"/>
  <c r="AE290" i="17"/>
  <c r="AE274" i="17"/>
  <c r="AE258" i="17"/>
  <c r="AE242" i="17"/>
  <c r="AE228" i="17"/>
  <c r="AE220" i="17"/>
  <c r="AE212" i="17"/>
  <c r="AE204" i="17"/>
  <c r="AE196" i="17"/>
  <c r="AE188" i="17"/>
  <c r="AE180" i="17"/>
  <c r="AE172" i="17"/>
  <c r="AE164" i="17"/>
  <c r="AE156" i="17"/>
  <c r="AE148" i="17"/>
  <c r="AE140" i="17"/>
  <c r="AE132" i="17"/>
  <c r="AE124" i="17"/>
  <c r="AE116" i="17"/>
  <c r="AE108" i="17"/>
  <c r="AE100" i="17"/>
  <c r="AE92" i="17"/>
  <c r="AE84" i="17"/>
  <c r="AE76" i="17"/>
  <c r="AE68" i="17"/>
  <c r="AE60" i="17"/>
  <c r="AE52" i="17"/>
  <c r="AE44" i="17"/>
  <c r="AE36" i="17"/>
  <c r="AE28" i="17"/>
  <c r="AE20" i="17"/>
  <c r="L382" i="22"/>
  <c r="L381" i="22"/>
  <c r="L383" i="22"/>
  <c r="I376" i="16"/>
  <c r="J376" i="16"/>
  <c r="G310" i="16"/>
  <c r="BY310" i="6" s="1"/>
  <c r="H310" i="16"/>
  <c r="I182" i="16"/>
  <c r="J182" i="16"/>
  <c r="I197" i="15"/>
  <c r="J197" i="15"/>
  <c r="G275" i="16"/>
  <c r="BY275" i="6" s="1"/>
  <c r="H275" i="16"/>
  <c r="I25" i="16"/>
  <c r="J25" i="16"/>
  <c r="I292" i="16"/>
  <c r="J292" i="16"/>
  <c r="J287" i="16"/>
  <c r="I287" i="16"/>
  <c r="J247" i="16"/>
  <c r="I247" i="16"/>
  <c r="H118" i="16"/>
  <c r="G118" i="16"/>
  <c r="BY118" i="6" s="1"/>
  <c r="I86" i="16"/>
  <c r="J86" i="16"/>
  <c r="I324" i="15"/>
  <c r="H324" i="16" s="1"/>
  <c r="J324" i="15"/>
  <c r="I227" i="15"/>
  <c r="H227" i="16" s="1"/>
  <c r="J227" i="15"/>
  <c r="I51" i="15"/>
  <c r="H51" i="16" s="1"/>
  <c r="J51" i="15"/>
  <c r="J295" i="16"/>
  <c r="I295" i="16"/>
  <c r="R15" i="16"/>
  <c r="P383" i="15"/>
  <c r="P381" i="15"/>
  <c r="V15" i="15"/>
  <c r="F15" i="15" s="1"/>
  <c r="P382" i="15"/>
  <c r="J106" i="16"/>
  <c r="I106" i="16"/>
  <c r="X378" i="25"/>
  <c r="L378" i="25"/>
  <c r="AB378" i="25"/>
  <c r="AJ378" i="25"/>
  <c r="K378" i="25"/>
  <c r="A379" i="25"/>
  <c r="AK378" i="25"/>
  <c r="O378" i="25"/>
  <c r="AC378" i="25"/>
  <c r="AE377" i="17"/>
  <c r="AE369" i="17"/>
  <c r="AE361" i="17"/>
  <c r="AE353" i="17"/>
  <c r="AE345" i="17"/>
  <c r="AE337" i="17"/>
  <c r="AE329" i="17"/>
  <c r="AE321" i="17"/>
  <c r="AE313" i="17"/>
  <c r="AE305" i="17"/>
  <c r="AE297" i="17"/>
  <c r="AE289" i="17"/>
  <c r="AE281" i="17"/>
  <c r="AE273" i="17"/>
  <c r="AE265" i="17"/>
  <c r="AE257" i="17"/>
  <c r="AE249" i="17"/>
  <c r="AE241" i="17"/>
  <c r="AE233" i="17"/>
  <c r="AE225" i="17"/>
  <c r="AE217" i="17"/>
  <c r="AE209" i="17"/>
  <c r="AE201" i="17"/>
  <c r="AE193" i="17"/>
  <c r="AE185" i="17"/>
  <c r="AE177" i="17"/>
  <c r="AE169" i="17"/>
  <c r="AE161" i="17"/>
  <c r="AE153" i="17"/>
  <c r="AE145" i="17"/>
  <c r="AE137" i="17"/>
  <c r="AE129" i="17"/>
  <c r="AE121" i="17"/>
  <c r="AE113" i="17"/>
  <c r="AE105" i="17"/>
  <c r="AE97" i="17"/>
  <c r="AE89" i="17"/>
  <c r="AE81" i="17"/>
  <c r="AE73" i="17"/>
  <c r="AE65" i="17"/>
  <c r="AE57" i="17"/>
  <c r="AE49" i="17"/>
  <c r="AE41" i="17"/>
  <c r="AE33" i="17"/>
  <c r="AE29" i="17"/>
  <c r="AE25" i="17"/>
  <c r="AE21" i="17"/>
  <c r="AE15" i="17"/>
  <c r="J230" i="16"/>
  <c r="I230" i="16"/>
  <c r="I68" i="16"/>
  <c r="I264" i="15"/>
  <c r="J264" i="15"/>
  <c r="I306" i="16"/>
  <c r="I200" i="16"/>
  <c r="J200" i="16"/>
  <c r="F228" i="16" l="1"/>
  <c r="AA139" i="16"/>
  <c r="Z139" i="16" s="1"/>
  <c r="Y139" i="16" s="1"/>
  <c r="V210" i="16"/>
  <c r="F210" i="16" s="1"/>
  <c r="H115" i="16"/>
  <c r="I115" i="16" s="1"/>
  <c r="AA68" i="16"/>
  <c r="Z68" i="16" s="1"/>
  <c r="Y68" i="16" s="1"/>
  <c r="V379" i="16"/>
  <c r="F379" i="16" s="1"/>
  <c r="H215" i="16"/>
  <c r="I215" i="16" s="1"/>
  <c r="AA326" i="16"/>
  <c r="Z326" i="16" s="1"/>
  <c r="Y326" i="16" s="1"/>
  <c r="AA124" i="16"/>
  <c r="Z124" i="16" s="1"/>
  <c r="Y124" i="16" s="1"/>
  <c r="H124" i="16"/>
  <c r="J124" i="16" s="1"/>
  <c r="AA74" i="16"/>
  <c r="Z74" i="16" s="1"/>
  <c r="Y74" i="16" s="1"/>
  <c r="H298" i="16"/>
  <c r="J298" i="16" s="1"/>
  <c r="Q310" i="17"/>
  <c r="Q258" i="17"/>
  <c r="Q98" i="17"/>
  <c r="Q81" i="17"/>
  <c r="Q145" i="17"/>
  <c r="Q209" i="17"/>
  <c r="Q34" i="17"/>
  <c r="Q49" i="17"/>
  <c r="Q24" i="17"/>
  <c r="Q19" i="17"/>
  <c r="AE374" i="17"/>
  <c r="AE366" i="17"/>
  <c r="AE358" i="17"/>
  <c r="AE350" i="17"/>
  <c r="AE342" i="17"/>
  <c r="AE334" i="17"/>
  <c r="AE326" i="17"/>
  <c r="AE318" i="17"/>
  <c r="AE310" i="17"/>
  <c r="AE302" i="17"/>
  <c r="AE294" i="17"/>
  <c r="AE286" i="17"/>
  <c r="AE278" i="17"/>
  <c r="AE270" i="17"/>
  <c r="AE262" i="17"/>
  <c r="AE254" i="17"/>
  <c r="AE246" i="17"/>
  <c r="AE238" i="17"/>
  <c r="AE230" i="17"/>
  <c r="AE226" i="17"/>
  <c r="AE222" i="17"/>
  <c r="AE218" i="17"/>
  <c r="AE214" i="17"/>
  <c r="AE210" i="17"/>
  <c r="AE206" i="17"/>
  <c r="AE202" i="17"/>
  <c r="AE198" i="17"/>
  <c r="AE194" i="17"/>
  <c r="AE190" i="17"/>
  <c r="AE186" i="17"/>
  <c r="AE182" i="17"/>
  <c r="AE178" i="17"/>
  <c r="AE174" i="17"/>
  <c r="AE170" i="17"/>
  <c r="AE166" i="17"/>
  <c r="AE162" i="17"/>
  <c r="AE158" i="17"/>
  <c r="AE154" i="17"/>
  <c r="AE150" i="17"/>
  <c r="AE146" i="17"/>
  <c r="AE142" i="17"/>
  <c r="AE138" i="17"/>
  <c r="AE134" i="17"/>
  <c r="AE130" i="17"/>
  <c r="AE126" i="17"/>
  <c r="AE122" i="17"/>
  <c r="AE118" i="17"/>
  <c r="AE114" i="17"/>
  <c r="AE110" i="17"/>
  <c r="AE106" i="17"/>
  <c r="AE102" i="17"/>
  <c r="AE98" i="17"/>
  <c r="AE94" i="17"/>
  <c r="AE90" i="17"/>
  <c r="AE86" i="17"/>
  <c r="AE82" i="17"/>
  <c r="AE78" i="17"/>
  <c r="AE74" i="17"/>
  <c r="AE70" i="17"/>
  <c r="AE66" i="17"/>
  <c r="AE62" i="17"/>
  <c r="AE58" i="17"/>
  <c r="AE54" i="17"/>
  <c r="AE50" i="17"/>
  <c r="AE46" i="17"/>
  <c r="AE42" i="17"/>
  <c r="AE38" i="17"/>
  <c r="AE34" i="17"/>
  <c r="AE30" i="17"/>
  <c r="AE26" i="17"/>
  <c r="AE22" i="17"/>
  <c r="AE19" i="17"/>
  <c r="AE379" i="17"/>
  <c r="AE12" i="18" s="1"/>
  <c r="AE375" i="17"/>
  <c r="AE371" i="17"/>
  <c r="AE367" i="17"/>
  <c r="AE363" i="17"/>
  <c r="AE359" i="17"/>
  <c r="AE355" i="17"/>
  <c r="AE351" i="17"/>
  <c r="AE347" i="17"/>
  <c r="AE343" i="17"/>
  <c r="AE339" i="17"/>
  <c r="AE335" i="17"/>
  <c r="AE331" i="17"/>
  <c r="AE327" i="17"/>
  <c r="AE323" i="17"/>
  <c r="AE319" i="17"/>
  <c r="AE315" i="17"/>
  <c r="AE311" i="17"/>
  <c r="AE307" i="17"/>
  <c r="AE303" i="17"/>
  <c r="AE299" i="17"/>
  <c r="AE295" i="17"/>
  <c r="AE291" i="17"/>
  <c r="AE287" i="17"/>
  <c r="AE283" i="17"/>
  <c r="AE279" i="17"/>
  <c r="AE275" i="17"/>
  <c r="AE271" i="17"/>
  <c r="AE267" i="17"/>
  <c r="AE263" i="17"/>
  <c r="AE259" i="17"/>
  <c r="AE255" i="17"/>
  <c r="AE251" i="17"/>
  <c r="AE247" i="17"/>
  <c r="AE243" i="17"/>
  <c r="AE239" i="17"/>
  <c r="AE235" i="17"/>
  <c r="AE231" i="17"/>
  <c r="AE227" i="17"/>
  <c r="AE223" i="17"/>
  <c r="AE219" i="17"/>
  <c r="AE215" i="17"/>
  <c r="AE211" i="17"/>
  <c r="AE207" i="17"/>
  <c r="AE203" i="17"/>
  <c r="AE199" i="17"/>
  <c r="AE195" i="17"/>
  <c r="AE191" i="17"/>
  <c r="AE187" i="17"/>
  <c r="AE183" i="17"/>
  <c r="AE179" i="17"/>
  <c r="AE175" i="17"/>
  <c r="AE171" i="17"/>
  <c r="AE167" i="17"/>
  <c r="AE163" i="17"/>
  <c r="AE159" i="17"/>
  <c r="AE155" i="17"/>
  <c r="AE151" i="17"/>
  <c r="AE147" i="17"/>
  <c r="AE143" i="17"/>
  <c r="AE139" i="17"/>
  <c r="AE135" i="17"/>
  <c r="AE131" i="17"/>
  <c r="AE127" i="17"/>
  <c r="AE123" i="17"/>
  <c r="AE119" i="17"/>
  <c r="AE115" i="17"/>
  <c r="AE111" i="17"/>
  <c r="AE107" i="17"/>
  <c r="AE103" i="17"/>
  <c r="AE99" i="17"/>
  <c r="AE95" i="17"/>
  <c r="AE91" i="17"/>
  <c r="AE87" i="17"/>
  <c r="AE83" i="17"/>
  <c r="AE79" i="17"/>
  <c r="AE75" i="17"/>
  <c r="AE71" i="17"/>
  <c r="AE67" i="17"/>
  <c r="AE63" i="17"/>
  <c r="AE59" i="17"/>
  <c r="AE55" i="17"/>
  <c r="AE51" i="17"/>
  <c r="AE47" i="17"/>
  <c r="AE43" i="17"/>
  <c r="AE39" i="17"/>
  <c r="AE35" i="17"/>
  <c r="AE18" i="17"/>
  <c r="AE16" i="17"/>
  <c r="AE23" i="17"/>
  <c r="AE27" i="17"/>
  <c r="AE31" i="17"/>
  <c r="AE37" i="17"/>
  <c r="AE45" i="17"/>
  <c r="AE53" i="17"/>
  <c r="AE61" i="17"/>
  <c r="AE69" i="17"/>
  <c r="AE77" i="17"/>
  <c r="AE85" i="17"/>
  <c r="AE93" i="17"/>
  <c r="AE101" i="17"/>
  <c r="AE109" i="17"/>
  <c r="AE117" i="17"/>
  <c r="AE125" i="17"/>
  <c r="AE133" i="17"/>
  <c r="AE141" i="17"/>
  <c r="AE149" i="17"/>
  <c r="AE157" i="17"/>
  <c r="AE165" i="17"/>
  <c r="AE173" i="17"/>
  <c r="AE181" i="17"/>
  <c r="AE189" i="17"/>
  <c r="AE197" i="17"/>
  <c r="AE205" i="17"/>
  <c r="AE213" i="17"/>
  <c r="AE221" i="17"/>
  <c r="AE229" i="17"/>
  <c r="AE237" i="17"/>
  <c r="AE245" i="17"/>
  <c r="AE253" i="17"/>
  <c r="AE261" i="17"/>
  <c r="AE269" i="17"/>
  <c r="AE277" i="17"/>
  <c r="AE285" i="17"/>
  <c r="AE293" i="17"/>
  <c r="AE301" i="17"/>
  <c r="AE309" i="17"/>
  <c r="AE317" i="17"/>
  <c r="AE325" i="17"/>
  <c r="AE333" i="17"/>
  <c r="AE341" i="17"/>
  <c r="AE349" i="17"/>
  <c r="AE357" i="17"/>
  <c r="AE365" i="17"/>
  <c r="AE373" i="17"/>
  <c r="AE17" i="17"/>
  <c r="AE24" i="17"/>
  <c r="AE32" i="17"/>
  <c r="AE40" i="17"/>
  <c r="AE48" i="17"/>
  <c r="AE56" i="17"/>
  <c r="AE64" i="17"/>
  <c r="AE72" i="17"/>
  <c r="AE80" i="17"/>
  <c r="AE88" i="17"/>
  <c r="AE96" i="17"/>
  <c r="AE104" i="17"/>
  <c r="AE112" i="17"/>
  <c r="AE120" i="17"/>
  <c r="AE128" i="17"/>
  <c r="AE136" i="17"/>
  <c r="AE144" i="17"/>
  <c r="AE152" i="17"/>
  <c r="AE160" i="17"/>
  <c r="AE168" i="17"/>
  <c r="AE176" i="17"/>
  <c r="AE184" i="17"/>
  <c r="AE192" i="17"/>
  <c r="AE200" i="17"/>
  <c r="AE208" i="17"/>
  <c r="AE216" i="17"/>
  <c r="AE224" i="17"/>
  <c r="AE234" i="17"/>
  <c r="AE250" i="17"/>
  <c r="AE266" i="17"/>
  <c r="AE282" i="17"/>
  <c r="AE298" i="17"/>
  <c r="AE314" i="17"/>
  <c r="AE330" i="17"/>
  <c r="AE346" i="17"/>
  <c r="AE362" i="17"/>
  <c r="AE378" i="17"/>
  <c r="Q28" i="17"/>
  <c r="Q113" i="17"/>
  <c r="Q162" i="17"/>
  <c r="AH383" i="16"/>
  <c r="H377" i="16"/>
  <c r="I377" i="16" s="1"/>
  <c r="G138" i="16"/>
  <c r="BY138" i="6" s="1"/>
  <c r="H138" i="16"/>
  <c r="I138" i="16" s="1"/>
  <c r="H278" i="16"/>
  <c r="J278" i="16" s="1"/>
  <c r="G278" i="16"/>
  <c r="BY278" i="6" s="1"/>
  <c r="H90" i="16"/>
  <c r="G90" i="16"/>
  <c r="BY90" i="6" s="1"/>
  <c r="Q33" i="17"/>
  <c r="Q193" i="17"/>
  <c r="Q161" i="17"/>
  <c r="Q129" i="17"/>
  <c r="Q97" i="17"/>
  <c r="Q65" i="17"/>
  <c r="Q66" i="17"/>
  <c r="Q130" i="17"/>
  <c r="Q194" i="17"/>
  <c r="Q80" i="17"/>
  <c r="AA90" i="16"/>
  <c r="Z90" i="16" s="1"/>
  <c r="Y90" i="16" s="1"/>
  <c r="AA278" i="16"/>
  <c r="Z278" i="16" s="1"/>
  <c r="Y278" i="16" s="1"/>
  <c r="AA138" i="16"/>
  <c r="Z138" i="16" s="1"/>
  <c r="Y138" i="16" s="1"/>
  <c r="V29" i="16"/>
  <c r="F29" i="16" s="1"/>
  <c r="AA29" i="16" s="1"/>
  <c r="Z29" i="16" s="1"/>
  <c r="Y29" i="16" s="1"/>
  <c r="D44" i="7"/>
  <c r="G263" i="16"/>
  <c r="BY263" i="6" s="1"/>
  <c r="AA263" i="16"/>
  <c r="Z263" i="16" s="1"/>
  <c r="Y263" i="16" s="1"/>
  <c r="H263" i="16"/>
  <c r="I263" i="16" s="1"/>
  <c r="G19" i="16"/>
  <c r="BY19" i="6" s="1"/>
  <c r="H19" i="16"/>
  <c r="I19" i="16" s="1"/>
  <c r="G270" i="16"/>
  <c r="BY270" i="6" s="1"/>
  <c r="H270" i="16"/>
  <c r="I270" i="16" s="1"/>
  <c r="H366" i="16"/>
  <c r="G366" i="16"/>
  <c r="BY366" i="6" s="1"/>
  <c r="G35" i="16"/>
  <c r="BY35" i="6" s="1"/>
  <c r="H35" i="16"/>
  <c r="I35" i="16" s="1"/>
  <c r="G291" i="16"/>
  <c r="BY291" i="6" s="1"/>
  <c r="H291" i="16"/>
  <c r="J291" i="16" s="1"/>
  <c r="G352" i="16"/>
  <c r="BY352" i="6" s="1"/>
  <c r="H352" i="16"/>
  <c r="J352" i="16" s="1"/>
  <c r="G312" i="16"/>
  <c r="BY312" i="6" s="1"/>
  <c r="H312" i="16"/>
  <c r="J312" i="16" s="1"/>
  <c r="G280" i="16"/>
  <c r="BY280" i="6" s="1"/>
  <c r="H280" i="16"/>
  <c r="I280" i="16" s="1"/>
  <c r="G248" i="16"/>
  <c r="BY248" i="6" s="1"/>
  <c r="H248" i="16"/>
  <c r="J248" i="16" s="1"/>
  <c r="G216" i="16"/>
  <c r="BY216" i="6" s="1"/>
  <c r="H216" i="16"/>
  <c r="I216" i="16" s="1"/>
  <c r="G168" i="16"/>
  <c r="BY168" i="6" s="1"/>
  <c r="H168" i="16"/>
  <c r="J168" i="16" s="1"/>
  <c r="G57" i="16"/>
  <c r="BY57" i="6" s="1"/>
  <c r="H57" i="16"/>
  <c r="J57" i="16" s="1"/>
  <c r="H167" i="16"/>
  <c r="J167" i="16" s="1"/>
  <c r="G167" i="16"/>
  <c r="BY167" i="6" s="1"/>
  <c r="G327" i="16"/>
  <c r="BY327" i="6" s="1"/>
  <c r="H327" i="16"/>
  <c r="I327" i="16" s="1"/>
  <c r="AA327" i="16"/>
  <c r="Z327" i="16" s="1"/>
  <c r="Y327" i="16" s="1"/>
  <c r="G22" i="16"/>
  <c r="BY22" i="6" s="1"/>
  <c r="H22" i="16"/>
  <c r="I22" i="16" s="1"/>
  <c r="G334" i="16"/>
  <c r="BY334" i="6" s="1"/>
  <c r="H334" i="16"/>
  <c r="I334" i="16" s="1"/>
  <c r="H237" i="16"/>
  <c r="G237" i="16"/>
  <c r="BY237" i="6" s="1"/>
  <c r="AA237" i="16"/>
  <c r="Z237" i="16" s="1"/>
  <c r="Y237" i="16" s="1"/>
  <c r="G99" i="16"/>
  <c r="BY99" i="6" s="1"/>
  <c r="H99" i="16"/>
  <c r="J99" i="16" s="1"/>
  <c r="G368" i="16"/>
  <c r="BY368" i="6" s="1"/>
  <c r="H368" i="16"/>
  <c r="J368" i="16" s="1"/>
  <c r="G336" i="16"/>
  <c r="BY336" i="6" s="1"/>
  <c r="H336" i="16"/>
  <c r="J336" i="16" s="1"/>
  <c r="G296" i="16"/>
  <c r="BY296" i="6" s="1"/>
  <c r="H296" i="16"/>
  <c r="J296" i="16" s="1"/>
  <c r="G232" i="16"/>
  <c r="BY232" i="6" s="1"/>
  <c r="H232" i="16"/>
  <c r="J232" i="16" s="1"/>
  <c r="H176" i="16"/>
  <c r="J176" i="16" s="1"/>
  <c r="G176" i="16"/>
  <c r="BY176" i="6" s="1"/>
  <c r="H264" i="16"/>
  <c r="J264" i="16" s="1"/>
  <c r="AA264" i="16"/>
  <c r="Z264" i="16" s="1"/>
  <c r="Y264" i="16" s="1"/>
  <c r="AA280" i="16"/>
  <c r="Z280" i="16" s="1"/>
  <c r="Y280" i="16" s="1"/>
  <c r="AA22" i="16"/>
  <c r="Z22" i="16" s="1"/>
  <c r="Y22" i="16" s="1"/>
  <c r="AA368" i="16"/>
  <c r="Z368" i="16" s="1"/>
  <c r="Y368" i="16" s="1"/>
  <c r="AA366" i="16"/>
  <c r="Z366" i="16" s="1"/>
  <c r="Y366" i="16" s="1"/>
  <c r="AA352" i="16"/>
  <c r="Z352" i="16" s="1"/>
  <c r="Y352" i="16" s="1"/>
  <c r="AA232" i="16"/>
  <c r="Z232" i="16" s="1"/>
  <c r="Y232" i="16" s="1"/>
  <c r="AA291" i="16"/>
  <c r="Z291" i="16" s="1"/>
  <c r="Y291" i="16" s="1"/>
  <c r="AA176" i="16"/>
  <c r="Z176" i="16" s="1"/>
  <c r="Y176" i="16" s="1"/>
  <c r="AA296" i="16"/>
  <c r="Z296" i="16" s="1"/>
  <c r="Y296" i="16" s="1"/>
  <c r="AA312" i="16"/>
  <c r="Z312" i="16" s="1"/>
  <c r="Y312" i="16" s="1"/>
  <c r="AA336" i="16"/>
  <c r="Z336" i="16" s="1"/>
  <c r="Y336" i="16" s="1"/>
  <c r="AA270" i="16"/>
  <c r="Z270" i="16" s="1"/>
  <c r="Y270" i="16" s="1"/>
  <c r="AA334" i="16"/>
  <c r="Z334" i="16" s="1"/>
  <c r="Y334" i="16" s="1"/>
  <c r="AA57" i="16"/>
  <c r="Z57" i="16" s="1"/>
  <c r="Y57" i="16" s="1"/>
  <c r="AA19" i="16"/>
  <c r="Z19" i="16" s="1"/>
  <c r="Y19" i="16" s="1"/>
  <c r="AA99" i="16"/>
  <c r="Z99" i="16" s="1"/>
  <c r="Y99" i="16" s="1"/>
  <c r="AA168" i="16"/>
  <c r="Z168" i="16" s="1"/>
  <c r="Y168" i="16" s="1"/>
  <c r="AA35" i="16"/>
  <c r="Z35" i="16" s="1"/>
  <c r="Y35" i="16" s="1"/>
  <c r="H290" i="16"/>
  <c r="I290" i="16" s="1"/>
  <c r="AA290" i="16"/>
  <c r="Z290" i="16" s="1"/>
  <c r="Y290" i="16" s="1"/>
  <c r="H338" i="16"/>
  <c r="J338" i="16" s="1"/>
  <c r="AA78" i="16"/>
  <c r="Z78" i="16" s="1"/>
  <c r="Y78" i="16" s="1"/>
  <c r="G121" i="16"/>
  <c r="BY121" i="6" s="1"/>
  <c r="H121" i="16"/>
  <c r="I121" i="16" s="1"/>
  <c r="H34" i="16"/>
  <c r="G34" i="16"/>
  <c r="BY34" i="6" s="1"/>
  <c r="G130" i="16"/>
  <c r="BY130" i="6" s="1"/>
  <c r="H130" i="16"/>
  <c r="I130" i="16" s="1"/>
  <c r="H147" i="16"/>
  <c r="G147" i="16"/>
  <c r="BY147" i="6" s="1"/>
  <c r="AA147" i="16"/>
  <c r="Z147" i="16" s="1"/>
  <c r="Y147" i="16" s="1"/>
  <c r="G98" i="16"/>
  <c r="BY98" i="6" s="1"/>
  <c r="H98" i="16"/>
  <c r="I98" i="16" s="1"/>
  <c r="G294" i="16"/>
  <c r="BY294" i="6" s="1"/>
  <c r="H294" i="16"/>
  <c r="I294" i="16" s="1"/>
  <c r="Q226" i="17"/>
  <c r="Q271" i="17"/>
  <c r="Q332" i="17"/>
  <c r="Q362" i="17"/>
  <c r="AA130" i="16"/>
  <c r="Z130" i="16" s="1"/>
  <c r="Y130" i="16" s="1"/>
  <c r="AA294" i="16"/>
  <c r="Z294" i="16" s="1"/>
  <c r="Y294" i="16" s="1"/>
  <c r="AA167" i="16"/>
  <c r="Z167" i="16" s="1"/>
  <c r="Y167" i="16" s="1"/>
  <c r="AA248" i="16"/>
  <c r="Z248" i="16" s="1"/>
  <c r="Y248" i="16" s="1"/>
  <c r="AA98" i="16"/>
  <c r="Z98" i="16" s="1"/>
  <c r="Y98" i="16" s="1"/>
  <c r="AA121" i="16"/>
  <c r="Z121" i="16" s="1"/>
  <c r="Y121" i="16" s="1"/>
  <c r="AA216" i="16"/>
  <c r="Z216" i="16" s="1"/>
  <c r="Y216" i="16" s="1"/>
  <c r="AA197" i="16"/>
  <c r="Z197" i="16" s="1"/>
  <c r="Y197" i="16" s="1"/>
  <c r="AA159" i="16"/>
  <c r="Z159" i="16" s="1"/>
  <c r="Y159" i="16" s="1"/>
  <c r="AA213" i="16"/>
  <c r="Z213" i="16" s="1"/>
  <c r="Y213" i="16" s="1"/>
  <c r="G20" i="16"/>
  <c r="BY20" i="6" s="1"/>
  <c r="H20" i="16"/>
  <c r="J20" i="16" s="1"/>
  <c r="AA20" i="16"/>
  <c r="Z20" i="16" s="1"/>
  <c r="Y20" i="16" s="1"/>
  <c r="V60" i="16"/>
  <c r="F60" i="16" s="1"/>
  <c r="D45" i="7"/>
  <c r="G84" i="16"/>
  <c r="BY84" i="6" s="1"/>
  <c r="H84" i="16"/>
  <c r="I84" i="16" s="1"/>
  <c r="G116" i="16"/>
  <c r="BY116" i="6" s="1"/>
  <c r="AA116" i="16"/>
  <c r="Z116" i="16" s="1"/>
  <c r="Y116" i="16" s="1"/>
  <c r="H116" i="16"/>
  <c r="I116" i="16" s="1"/>
  <c r="G140" i="16"/>
  <c r="BY140" i="6" s="1"/>
  <c r="H140" i="16"/>
  <c r="I140" i="16" s="1"/>
  <c r="AA140" i="16"/>
  <c r="Z140" i="16" s="1"/>
  <c r="Y140" i="16" s="1"/>
  <c r="G186" i="16"/>
  <c r="BY186" i="6" s="1"/>
  <c r="H186" i="16"/>
  <c r="J186" i="16" s="1"/>
  <c r="G378" i="16"/>
  <c r="BY378" i="6" s="1"/>
  <c r="AA378" i="16"/>
  <c r="Z378" i="16" s="1"/>
  <c r="Y378" i="16" s="1"/>
  <c r="H378" i="16"/>
  <c r="I378" i="16" s="1"/>
  <c r="G45" i="16"/>
  <c r="BY45" i="6" s="1"/>
  <c r="AA45" i="16"/>
  <c r="Z45" i="16" s="1"/>
  <c r="Y45" i="16" s="1"/>
  <c r="H45" i="16"/>
  <c r="J45" i="16" s="1"/>
  <c r="G44" i="16"/>
  <c r="BY44" i="6" s="1"/>
  <c r="H44" i="16"/>
  <c r="J44" i="16" s="1"/>
  <c r="AA44" i="16"/>
  <c r="Z44" i="16" s="1"/>
  <c r="Y44" i="16" s="1"/>
  <c r="G76" i="16"/>
  <c r="BY76" i="6" s="1"/>
  <c r="H76" i="16"/>
  <c r="I76" i="16" s="1"/>
  <c r="AA76" i="16"/>
  <c r="Z76" i="16" s="1"/>
  <c r="Y76" i="16" s="1"/>
  <c r="G108" i="16"/>
  <c r="BY108" i="6" s="1"/>
  <c r="H108" i="16"/>
  <c r="I108" i="16" s="1"/>
  <c r="H132" i="16"/>
  <c r="G132" i="16"/>
  <c r="BY132" i="6" s="1"/>
  <c r="G156" i="16"/>
  <c r="BY156" i="6" s="1"/>
  <c r="AA156" i="16"/>
  <c r="Z156" i="16" s="1"/>
  <c r="Y156" i="16" s="1"/>
  <c r="H156" i="16"/>
  <c r="J156" i="16" s="1"/>
  <c r="G362" i="16"/>
  <c r="BY362" i="6" s="1"/>
  <c r="H362" i="16"/>
  <c r="J362" i="16" s="1"/>
  <c r="G371" i="16"/>
  <c r="BY371" i="6" s="1"/>
  <c r="H371" i="16"/>
  <c r="J371" i="16" s="1"/>
  <c r="AA371" i="16"/>
  <c r="Z371" i="16" s="1"/>
  <c r="Y371" i="16" s="1"/>
  <c r="Q17" i="17"/>
  <c r="Q41" i="17"/>
  <c r="Q50" i="17"/>
  <c r="Q201" i="17"/>
  <c r="Q185" i="17"/>
  <c r="Q169" i="17"/>
  <c r="Q153" i="17"/>
  <c r="Q137" i="17"/>
  <c r="Q121" i="17"/>
  <c r="Q105" i="17"/>
  <c r="Q89" i="17"/>
  <c r="Q73" i="17"/>
  <c r="Q57" i="17"/>
  <c r="Q48" i="17"/>
  <c r="Q82" i="17"/>
  <c r="Q114" i="17"/>
  <c r="Q146" i="17"/>
  <c r="Q178" i="17"/>
  <c r="Q210" i="17"/>
  <c r="Q242" i="17"/>
  <c r="Q274" i="17"/>
  <c r="Q200" i="17"/>
  <c r="Q305" i="17"/>
  <c r="Q369" i="17"/>
  <c r="Q261" i="17"/>
  <c r="Q322" i="17"/>
  <c r="AA362" i="16"/>
  <c r="Z362" i="16" s="1"/>
  <c r="Y362" i="16" s="1"/>
  <c r="AA186" i="16"/>
  <c r="Z186" i="16" s="1"/>
  <c r="Y186" i="16" s="1"/>
  <c r="AA132" i="16"/>
  <c r="Z132" i="16" s="1"/>
  <c r="Y132" i="16" s="1"/>
  <c r="AA34" i="16"/>
  <c r="Z34" i="16" s="1"/>
  <c r="Y34" i="16" s="1"/>
  <c r="AA108" i="16"/>
  <c r="Z108" i="16" s="1"/>
  <c r="Y108" i="16" s="1"/>
  <c r="AA84" i="16"/>
  <c r="Z84" i="16" s="1"/>
  <c r="Y84" i="16" s="1"/>
  <c r="H48" i="16"/>
  <c r="J48" i="16" s="1"/>
  <c r="G97" i="16"/>
  <c r="BY97" i="6" s="1"/>
  <c r="H40" i="16"/>
  <c r="I40" i="16" s="1"/>
  <c r="H110" i="16"/>
  <c r="I110" i="16" s="1"/>
  <c r="AA306" i="16"/>
  <c r="Z306" i="16" s="1"/>
  <c r="Y306" i="16" s="1"/>
  <c r="H179" i="16"/>
  <c r="J179" i="16" s="1"/>
  <c r="AA313" i="16"/>
  <c r="Z313" i="16" s="1"/>
  <c r="Y313" i="16" s="1"/>
  <c r="Q32" i="17"/>
  <c r="Q25" i="17"/>
  <c r="Q37" i="17"/>
  <c r="Q45" i="17"/>
  <c r="Q15" i="17"/>
  <c r="Q42" i="17"/>
  <c r="Q213" i="17"/>
  <c r="Q205" i="17"/>
  <c r="Q197" i="17"/>
  <c r="Q189" i="17"/>
  <c r="Q181" i="17"/>
  <c r="Q173" i="17"/>
  <c r="Q165" i="17"/>
  <c r="Q157" i="17"/>
  <c r="Q149" i="17"/>
  <c r="Q141" i="17"/>
  <c r="Q133" i="17"/>
  <c r="Q125" i="17"/>
  <c r="Q117" i="17"/>
  <c r="Q109" i="17"/>
  <c r="Q101" i="17"/>
  <c r="Q93" i="17"/>
  <c r="Q85" i="17"/>
  <c r="Q77" i="17"/>
  <c r="Q69" i="17"/>
  <c r="Q61" i="17"/>
  <c r="Q53" i="17"/>
  <c r="Q23" i="17"/>
  <c r="Q58" i="17"/>
  <c r="Q74" i="17"/>
  <c r="Q90" i="17"/>
  <c r="Q106" i="17"/>
  <c r="Q122" i="17"/>
  <c r="Q138" i="17"/>
  <c r="Q154" i="17"/>
  <c r="Q170" i="17"/>
  <c r="Q186" i="17"/>
  <c r="Q202" i="17"/>
  <c r="Q218" i="17"/>
  <c r="Q234" i="17"/>
  <c r="Q250" i="17"/>
  <c r="Q266" i="17"/>
  <c r="Q40" i="17"/>
  <c r="Q136" i="17"/>
  <c r="Q239" i="17"/>
  <c r="Q289" i="17"/>
  <c r="Q321" i="17"/>
  <c r="Q353" i="17"/>
  <c r="Q180" i="17"/>
  <c r="Q300" i="17"/>
  <c r="Q364" i="17"/>
  <c r="H62" i="16"/>
  <c r="J62" i="16" s="1"/>
  <c r="G318" i="16"/>
  <c r="BY318" i="6" s="1"/>
  <c r="G313" i="16"/>
  <c r="BY313" i="6" s="1"/>
  <c r="G306" i="16"/>
  <c r="BY306" i="6" s="1"/>
  <c r="AA318" i="16"/>
  <c r="Z318" i="16" s="1"/>
  <c r="Y318" i="16" s="1"/>
  <c r="I348" i="16"/>
  <c r="H105" i="16"/>
  <c r="J105" i="16" s="1"/>
  <c r="AA50" i="16"/>
  <c r="Z50" i="16" s="1"/>
  <c r="Y50" i="16" s="1"/>
  <c r="AH382" i="16"/>
  <c r="AA233" i="16"/>
  <c r="Z233" i="16" s="1"/>
  <c r="Y233" i="16" s="1"/>
  <c r="AA105" i="16"/>
  <c r="Z105" i="16" s="1"/>
  <c r="Y105" i="16" s="1"/>
  <c r="H342" i="16"/>
  <c r="I342" i="16" s="1"/>
  <c r="AA372" i="16"/>
  <c r="Z372" i="16" s="1"/>
  <c r="Y372" i="16" s="1"/>
  <c r="G30" i="16"/>
  <c r="BY30" i="6" s="1"/>
  <c r="AA40" i="16"/>
  <c r="Z40" i="16" s="1"/>
  <c r="Y40" i="16" s="1"/>
  <c r="J276" i="16"/>
  <c r="J350" i="16"/>
  <c r="AA212" i="16"/>
  <c r="Z212" i="16" s="1"/>
  <c r="Y212" i="16" s="1"/>
  <c r="H21" i="16"/>
  <c r="J21" i="16" s="1"/>
  <c r="H152" i="16"/>
  <c r="J152" i="16" s="1"/>
  <c r="G141" i="16"/>
  <c r="BY141" i="6" s="1"/>
  <c r="H339" i="16"/>
  <c r="J339" i="16" s="1"/>
  <c r="H101" i="16"/>
  <c r="I101" i="16" s="1"/>
  <c r="H32" i="16"/>
  <c r="J32" i="16" s="1"/>
  <c r="AA58" i="16"/>
  <c r="Z58" i="16" s="1"/>
  <c r="Y58" i="16" s="1"/>
  <c r="V241" i="16"/>
  <c r="F241" i="16" s="1"/>
  <c r="AA241" i="16" s="1"/>
  <c r="Z241" i="16" s="1"/>
  <c r="Y241" i="16" s="1"/>
  <c r="AA32" i="16"/>
  <c r="Z32" i="16" s="1"/>
  <c r="Y32" i="16" s="1"/>
  <c r="AA234" i="16"/>
  <c r="Z234" i="16" s="1"/>
  <c r="Y234" i="16" s="1"/>
  <c r="AA131" i="16"/>
  <c r="Z131" i="16" s="1"/>
  <c r="Y131" i="16" s="1"/>
  <c r="AA142" i="16"/>
  <c r="Z142" i="16" s="1"/>
  <c r="Y142" i="16" s="1"/>
  <c r="G185" i="16"/>
  <c r="BY185" i="6" s="1"/>
  <c r="AA339" i="16"/>
  <c r="Z339" i="16" s="1"/>
  <c r="Y339" i="16" s="1"/>
  <c r="V180" i="16"/>
  <c r="F180" i="16" s="1"/>
  <c r="H180" i="16" s="1"/>
  <c r="I180" i="16" s="1"/>
  <c r="AA87" i="16"/>
  <c r="Z87" i="16" s="1"/>
  <c r="Y87" i="16" s="1"/>
  <c r="AA73" i="16"/>
  <c r="Z73" i="16" s="1"/>
  <c r="Y73" i="16" s="1"/>
  <c r="H346" i="16"/>
  <c r="J346" i="16" s="1"/>
  <c r="AA346" i="16"/>
  <c r="Z346" i="16" s="1"/>
  <c r="Y346" i="16" s="1"/>
  <c r="AA249" i="16"/>
  <c r="Z249" i="16" s="1"/>
  <c r="Y249" i="16" s="1"/>
  <c r="S383" i="16"/>
  <c r="H212" i="16"/>
  <c r="I212" i="16" s="1"/>
  <c r="I141" i="16"/>
  <c r="H308" i="16"/>
  <c r="J308" i="16" s="1"/>
  <c r="AA21" i="16"/>
  <c r="Z21" i="16" s="1"/>
  <c r="Y21" i="16" s="1"/>
  <c r="AA82" i="16"/>
  <c r="Z82" i="16" s="1"/>
  <c r="Y82" i="16" s="1"/>
  <c r="G350" i="16"/>
  <c r="BY350" i="6" s="1"/>
  <c r="J377" i="16"/>
  <c r="G198" i="16"/>
  <c r="BY198" i="6" s="1"/>
  <c r="H337" i="16"/>
  <c r="I337" i="16" s="1"/>
  <c r="I160" i="16"/>
  <c r="H254" i="16"/>
  <c r="J254" i="16" s="1"/>
  <c r="H300" i="16"/>
  <c r="J300" i="16" s="1"/>
  <c r="AA330" i="16"/>
  <c r="Z330" i="16" s="1"/>
  <c r="Y330" i="16" s="1"/>
  <c r="AA209" i="16"/>
  <c r="Z209" i="16" s="1"/>
  <c r="Y209" i="16" s="1"/>
  <c r="AA144" i="16"/>
  <c r="Z144" i="16" s="1"/>
  <c r="Y144" i="16" s="1"/>
  <c r="H144" i="16"/>
  <c r="J144" i="16" s="1"/>
  <c r="H131" i="16"/>
  <c r="J131" i="16" s="1"/>
  <c r="AA158" i="16"/>
  <c r="Z158" i="16" s="1"/>
  <c r="Y158" i="16" s="1"/>
  <c r="J252" i="16"/>
  <c r="H58" i="16"/>
  <c r="J58" i="16" s="1"/>
  <c r="H146" i="16"/>
  <c r="I146" i="16" s="1"/>
  <c r="G158" i="16"/>
  <c r="BY158" i="6" s="1"/>
  <c r="H82" i="16"/>
  <c r="I82" i="16" s="1"/>
  <c r="AA141" i="16"/>
  <c r="Z141" i="16" s="1"/>
  <c r="Y141" i="16" s="1"/>
  <c r="AA300" i="16"/>
  <c r="Z300" i="16" s="1"/>
  <c r="Y300" i="16" s="1"/>
  <c r="AA337" i="16"/>
  <c r="Z337" i="16" s="1"/>
  <c r="Y337" i="16" s="1"/>
  <c r="AA365" i="16"/>
  <c r="Z365" i="16" s="1"/>
  <c r="Y365" i="16" s="1"/>
  <c r="AA262" i="16"/>
  <c r="Z262" i="16" s="1"/>
  <c r="Y262" i="16" s="1"/>
  <c r="H365" i="16"/>
  <c r="I365" i="16" s="1"/>
  <c r="H195" i="16"/>
  <c r="I195" i="16" s="1"/>
  <c r="H142" i="16"/>
  <c r="J142" i="16" s="1"/>
  <c r="H220" i="16"/>
  <c r="I220" i="16" s="1"/>
  <c r="AA350" i="16"/>
  <c r="Z350" i="16" s="1"/>
  <c r="Y350" i="16" s="1"/>
  <c r="AA198" i="16"/>
  <c r="Z198" i="16" s="1"/>
  <c r="Y198" i="16" s="1"/>
  <c r="AA146" i="16"/>
  <c r="Z146" i="16" s="1"/>
  <c r="Y146" i="16" s="1"/>
  <c r="AA254" i="16"/>
  <c r="Z254" i="16" s="1"/>
  <c r="Y254" i="16" s="1"/>
  <c r="H234" i="16"/>
  <c r="I234" i="16" s="1"/>
  <c r="H262" i="16"/>
  <c r="I262" i="16" s="1"/>
  <c r="G109" i="16"/>
  <c r="BY109" i="6" s="1"/>
  <c r="H109" i="16"/>
  <c r="J109" i="16" s="1"/>
  <c r="G196" i="16"/>
  <c r="BY196" i="6" s="1"/>
  <c r="H196" i="16"/>
  <c r="J196" i="16" s="1"/>
  <c r="G164" i="16"/>
  <c r="BY164" i="6" s="1"/>
  <c r="H164" i="16"/>
  <c r="I164" i="16" s="1"/>
  <c r="G122" i="16"/>
  <c r="BY122" i="6" s="1"/>
  <c r="H122" i="16"/>
  <c r="J122" i="16" s="1"/>
  <c r="G114" i="16"/>
  <c r="BY114" i="6" s="1"/>
  <c r="H114" i="16"/>
  <c r="J114" i="16" s="1"/>
  <c r="G286" i="16"/>
  <c r="BY286" i="6" s="1"/>
  <c r="AA286" i="16"/>
  <c r="Z286" i="16" s="1"/>
  <c r="Y286" i="16" s="1"/>
  <c r="G190" i="16"/>
  <c r="BY190" i="6" s="1"/>
  <c r="H190" i="16"/>
  <c r="I190" i="16" s="1"/>
  <c r="G214" i="16"/>
  <c r="BY214" i="6" s="1"/>
  <c r="AA214" i="16"/>
  <c r="Z214" i="16" s="1"/>
  <c r="Y214" i="16" s="1"/>
  <c r="G16" i="16"/>
  <c r="BY16" i="6" s="1"/>
  <c r="AA16" i="16"/>
  <c r="Z16" i="16" s="1"/>
  <c r="Y16" i="16" s="1"/>
  <c r="H16" i="16"/>
  <c r="I16" i="16" s="1"/>
  <c r="H222" i="16"/>
  <c r="I222" i="16" s="1"/>
  <c r="H372" i="16"/>
  <c r="I372" i="16" s="1"/>
  <c r="H50" i="16"/>
  <c r="I50" i="16" s="1"/>
  <c r="H126" i="16"/>
  <c r="I126" i="16" s="1"/>
  <c r="H214" i="16"/>
  <c r="I214" i="16" s="1"/>
  <c r="AA269" i="16"/>
  <c r="Z269" i="16" s="1"/>
  <c r="Y269" i="16" s="1"/>
  <c r="H269" i="16"/>
  <c r="I269" i="16" s="1"/>
  <c r="H286" i="16"/>
  <c r="J286" i="16" s="1"/>
  <c r="Q314" i="17"/>
  <c r="Q374" i="17"/>
  <c r="Q217" i="17"/>
  <c r="Q348" i="17"/>
  <c r="Q316" i="17"/>
  <c r="Q284" i="17"/>
  <c r="Q229" i="17"/>
  <c r="Q116" i="17"/>
  <c r="Q377" i="17"/>
  <c r="Q361" i="17"/>
  <c r="Q345" i="17"/>
  <c r="Q329" i="17"/>
  <c r="Q313" i="17"/>
  <c r="Q297" i="17"/>
  <c r="Q281" i="17"/>
  <c r="Q255" i="17"/>
  <c r="Q223" i="17"/>
  <c r="Q168" i="17"/>
  <c r="Q104" i="17"/>
  <c r="Q64" i="17"/>
  <c r="Q270" i="17"/>
  <c r="Q262" i="17"/>
  <c r="Q254" i="17"/>
  <c r="Q246" i="17"/>
  <c r="Q238" i="17"/>
  <c r="Q230" i="17"/>
  <c r="Q222" i="17"/>
  <c r="Q214" i="17"/>
  <c r="Q206" i="17"/>
  <c r="Q198" i="17"/>
  <c r="Q190" i="17"/>
  <c r="Q182" i="17"/>
  <c r="Q174" i="17"/>
  <c r="Q166" i="17"/>
  <c r="Q158" i="17"/>
  <c r="Q150" i="17"/>
  <c r="Q142" i="17"/>
  <c r="Q134" i="17"/>
  <c r="Q126" i="17"/>
  <c r="Q118" i="17"/>
  <c r="Q110" i="17"/>
  <c r="Q102" i="17"/>
  <c r="Q94" i="17"/>
  <c r="Q86" i="17"/>
  <c r="Q78" i="17"/>
  <c r="Q70" i="17"/>
  <c r="Q62" i="17"/>
  <c r="Q54" i="17"/>
  <c r="W15" i="7"/>
  <c r="Q36" i="17"/>
  <c r="Q51" i="17"/>
  <c r="Q55" i="17"/>
  <c r="Q59" i="17"/>
  <c r="Q63" i="17"/>
  <c r="Q67" i="17"/>
  <c r="Q71" i="17"/>
  <c r="Q75" i="17"/>
  <c r="Q79" i="17"/>
  <c r="Q83" i="17"/>
  <c r="Q87" i="17"/>
  <c r="Q91" i="17"/>
  <c r="Q95" i="17"/>
  <c r="Q99" i="17"/>
  <c r="Q103" i="17"/>
  <c r="Q107" i="17"/>
  <c r="Q111" i="17"/>
  <c r="Q115" i="17"/>
  <c r="Q119" i="17"/>
  <c r="Q123" i="17"/>
  <c r="Q127" i="17"/>
  <c r="Q131" i="17"/>
  <c r="Q135" i="17"/>
  <c r="Q139" i="17"/>
  <c r="Q143" i="17"/>
  <c r="Q147" i="17"/>
  <c r="Q151" i="17"/>
  <c r="Q155" i="17"/>
  <c r="Q159" i="17"/>
  <c r="Q163" i="17"/>
  <c r="Q167" i="17"/>
  <c r="Q171" i="17"/>
  <c r="Q175" i="17"/>
  <c r="Q179" i="17"/>
  <c r="Q183" i="17"/>
  <c r="Q187" i="17"/>
  <c r="Q191" i="17"/>
  <c r="Q195" i="17"/>
  <c r="Q199" i="17"/>
  <c r="Q203" i="17"/>
  <c r="Q207" i="17"/>
  <c r="Q211" i="17"/>
  <c r="Q46" i="17"/>
  <c r="Q38" i="17"/>
  <c r="Q27" i="17"/>
  <c r="Q47" i="17"/>
  <c r="Q43" i="17"/>
  <c r="Q39" i="17"/>
  <c r="Q35" i="17"/>
  <c r="Q29" i="17"/>
  <c r="Q21" i="17"/>
  <c r="Q30" i="17"/>
  <c r="Q26" i="17"/>
  <c r="Q22" i="17"/>
  <c r="Q16" i="17"/>
  <c r="Q18" i="17"/>
  <c r="AE376" i="17"/>
  <c r="AE372" i="17"/>
  <c r="AE368" i="17"/>
  <c r="AE364" i="17"/>
  <c r="AE360" i="17"/>
  <c r="AE356" i="17"/>
  <c r="AE352" i="17"/>
  <c r="AE348" i="17"/>
  <c r="AE344" i="17"/>
  <c r="AE340" i="17"/>
  <c r="AE336" i="17"/>
  <c r="AE332" i="17"/>
  <c r="AE328" i="17"/>
  <c r="AE324" i="17"/>
  <c r="AE320" i="17"/>
  <c r="AE316" i="17"/>
  <c r="AE312" i="17"/>
  <c r="AE308" i="17"/>
  <c r="AE304" i="17"/>
  <c r="AE300" i="17"/>
  <c r="AE296" i="17"/>
  <c r="AE292" i="17"/>
  <c r="AE288" i="17"/>
  <c r="AE284" i="17"/>
  <c r="AE280" i="17"/>
  <c r="AE276" i="17"/>
  <c r="AE272" i="17"/>
  <c r="AE268" i="17"/>
  <c r="AE264" i="17"/>
  <c r="AE260" i="17"/>
  <c r="AE256" i="17"/>
  <c r="AE252" i="17"/>
  <c r="AE248" i="17"/>
  <c r="AE244" i="17"/>
  <c r="AE240" i="17"/>
  <c r="AE236" i="17"/>
  <c r="AE232" i="17"/>
  <c r="H24" i="16"/>
  <c r="J24" i="16" s="1"/>
  <c r="AA122" i="16"/>
  <c r="Z122" i="16" s="1"/>
  <c r="Y122" i="16" s="1"/>
  <c r="H250" i="16"/>
  <c r="J250" i="16" s="1"/>
  <c r="AA164" i="16"/>
  <c r="Z164" i="16" s="1"/>
  <c r="Y164" i="16" s="1"/>
  <c r="AA48" i="16"/>
  <c r="Z48" i="16" s="1"/>
  <c r="Y48" i="16" s="1"/>
  <c r="AA196" i="16"/>
  <c r="Z196" i="16" s="1"/>
  <c r="Y196" i="16" s="1"/>
  <c r="AA314" i="16"/>
  <c r="Z314" i="16" s="1"/>
  <c r="Y314" i="16" s="1"/>
  <c r="AA24" i="16"/>
  <c r="Z24" i="16" s="1"/>
  <c r="Y24" i="16" s="1"/>
  <c r="AA104" i="16"/>
  <c r="Z104" i="16" s="1"/>
  <c r="Y104" i="16" s="1"/>
  <c r="H314" i="16"/>
  <c r="I314" i="16" s="1"/>
  <c r="J226" i="16"/>
  <c r="I226" i="16"/>
  <c r="AA342" i="16"/>
  <c r="Z342" i="16" s="1"/>
  <c r="Y342" i="16" s="1"/>
  <c r="AA110" i="16"/>
  <c r="Z110" i="16" s="1"/>
  <c r="Y110" i="16" s="1"/>
  <c r="AA30" i="16"/>
  <c r="Z30" i="16" s="1"/>
  <c r="Y30" i="16" s="1"/>
  <c r="AA250" i="16"/>
  <c r="Z250" i="16" s="1"/>
  <c r="Y250" i="16" s="1"/>
  <c r="AA126" i="16"/>
  <c r="Z126" i="16" s="1"/>
  <c r="Y126" i="16" s="1"/>
  <c r="AA222" i="16"/>
  <c r="Z222" i="16" s="1"/>
  <c r="Y222" i="16" s="1"/>
  <c r="AA190" i="16"/>
  <c r="Z190" i="16" s="1"/>
  <c r="Y190" i="16" s="1"/>
  <c r="H258" i="16"/>
  <c r="I258" i="16" s="1"/>
  <c r="G93" i="16"/>
  <c r="BY93" i="6" s="1"/>
  <c r="AA210" i="16"/>
  <c r="Z210" i="16" s="1"/>
  <c r="Y210" i="16" s="1"/>
  <c r="AA47" i="16"/>
  <c r="Z47" i="16" s="1"/>
  <c r="Y47" i="16" s="1"/>
  <c r="AA239" i="16"/>
  <c r="Z239" i="16" s="1"/>
  <c r="Y239" i="16" s="1"/>
  <c r="J284" i="16"/>
  <c r="I188" i="16"/>
  <c r="I27" i="16"/>
  <c r="H197" i="16"/>
  <c r="I197" i="16" s="1"/>
  <c r="G199" i="16"/>
  <c r="BY199" i="6" s="1"/>
  <c r="I369" i="16"/>
  <c r="I298" i="16"/>
  <c r="G103" i="16"/>
  <c r="BY103" i="6" s="1"/>
  <c r="H307" i="16"/>
  <c r="J307" i="16" s="1"/>
  <c r="AA307" i="16"/>
  <c r="Z307" i="16" s="1"/>
  <c r="Y307" i="16" s="1"/>
  <c r="H242" i="16"/>
  <c r="I242" i="16" s="1"/>
  <c r="G284" i="16"/>
  <c r="BY284" i="6" s="1"/>
  <c r="H37" i="16"/>
  <c r="J37" i="16" s="1"/>
  <c r="J340" i="16"/>
  <c r="AA267" i="16"/>
  <c r="Z267" i="16" s="1"/>
  <c r="Y267" i="16" s="1"/>
  <c r="AA284" i="16"/>
  <c r="Z284" i="16" s="1"/>
  <c r="Y284" i="16" s="1"/>
  <c r="AA49" i="16"/>
  <c r="Z49" i="16" s="1"/>
  <c r="Y49" i="16" s="1"/>
  <c r="J246" i="16"/>
  <c r="H73" i="16"/>
  <c r="J73" i="16" s="1"/>
  <c r="G322" i="16"/>
  <c r="BY322" i="6" s="1"/>
  <c r="I168" i="16"/>
  <c r="AA152" i="16"/>
  <c r="Z152" i="16" s="1"/>
  <c r="Y152" i="16" s="1"/>
  <c r="AA17" i="16"/>
  <c r="Z17" i="16" s="1"/>
  <c r="Y17" i="16" s="1"/>
  <c r="AA260" i="16"/>
  <c r="Z260" i="16" s="1"/>
  <c r="Y260" i="16" s="1"/>
  <c r="J282" i="16"/>
  <c r="AA226" i="16"/>
  <c r="Z226" i="16" s="1"/>
  <c r="Y226" i="16" s="1"/>
  <c r="H203" i="16"/>
  <c r="I203" i="16" s="1"/>
  <c r="AA204" i="16"/>
  <c r="Z204" i="16" s="1"/>
  <c r="Y204" i="16" s="1"/>
  <c r="AA128" i="16"/>
  <c r="Z128" i="16" s="1"/>
  <c r="Y128" i="16" s="1"/>
  <c r="I364" i="16"/>
  <c r="G88" i="16"/>
  <c r="BY88" i="6" s="1"/>
  <c r="I260" i="16"/>
  <c r="G299" i="16"/>
  <c r="BY299" i="6" s="1"/>
  <c r="G56" i="16"/>
  <c r="BY56" i="6" s="1"/>
  <c r="AA56" i="16"/>
  <c r="Z56" i="16" s="1"/>
  <c r="Y56" i="16" s="1"/>
  <c r="H17" i="16"/>
  <c r="J17" i="16" s="1"/>
  <c r="D46" i="7"/>
  <c r="AA323" i="16"/>
  <c r="Z323" i="16" s="1"/>
  <c r="Y323" i="16" s="1"/>
  <c r="AA201" i="16"/>
  <c r="Z201" i="16" s="1"/>
  <c r="Y201" i="16" s="1"/>
  <c r="AA364" i="16"/>
  <c r="Z364" i="16" s="1"/>
  <c r="Y364" i="16" s="1"/>
  <c r="H64" i="16"/>
  <c r="I64" i="16" s="1"/>
  <c r="AA203" i="16"/>
  <c r="Z203" i="16" s="1"/>
  <c r="Y203" i="16" s="1"/>
  <c r="H128" i="16"/>
  <c r="J128" i="16" s="1"/>
  <c r="AA322" i="16"/>
  <c r="Z322" i="16" s="1"/>
  <c r="Y322" i="16" s="1"/>
  <c r="H88" i="16"/>
  <c r="J88" i="16" s="1"/>
  <c r="H299" i="16"/>
  <c r="J299" i="16" s="1"/>
  <c r="J330" i="16"/>
  <c r="AA135" i="16"/>
  <c r="Z135" i="16" s="1"/>
  <c r="Y135" i="16" s="1"/>
  <c r="AA258" i="16"/>
  <c r="Z258" i="16" s="1"/>
  <c r="Y258" i="16" s="1"/>
  <c r="J356" i="16"/>
  <c r="G364" i="16"/>
  <c r="BY364" i="6" s="1"/>
  <c r="G260" i="16"/>
  <c r="BY260" i="6" s="1"/>
  <c r="I332" i="16"/>
  <c r="J268" i="16"/>
  <c r="G226" i="16"/>
  <c r="BY226" i="6" s="1"/>
  <c r="H323" i="16"/>
  <c r="J323" i="16" s="1"/>
  <c r="H201" i="16"/>
  <c r="J201" i="16" s="1"/>
  <c r="AA347" i="16"/>
  <c r="Z347" i="16" s="1"/>
  <c r="Y347" i="16" s="1"/>
  <c r="AA183" i="16"/>
  <c r="Z183" i="16" s="1"/>
  <c r="Y183" i="16" s="1"/>
  <c r="AA64" i="16"/>
  <c r="Z64" i="16" s="1"/>
  <c r="Y64" i="16" s="1"/>
  <c r="H204" i="16"/>
  <c r="I204" i="16" s="1"/>
  <c r="Q92" i="17"/>
  <c r="Q278" i="17"/>
  <c r="Q342" i="17"/>
  <c r="Q241" i="17"/>
  <c r="AA178" i="16"/>
  <c r="Z178" i="16" s="1"/>
  <c r="Y178" i="16" s="1"/>
  <c r="I198" i="16"/>
  <c r="I259" i="16"/>
  <c r="AA111" i="16"/>
  <c r="Z111" i="16" s="1"/>
  <c r="Y111" i="16" s="1"/>
  <c r="G197" i="16"/>
  <c r="BY197" i="6" s="1"/>
  <c r="J294" i="16"/>
  <c r="H93" i="16"/>
  <c r="I93" i="16" s="1"/>
  <c r="AA242" i="16"/>
  <c r="Z242" i="16" s="1"/>
  <c r="Y242" i="16" s="1"/>
  <c r="G161" i="16"/>
  <c r="BY161" i="6" s="1"/>
  <c r="G27" i="16"/>
  <c r="BY27" i="6" s="1"/>
  <c r="AA112" i="16"/>
  <c r="Z112" i="16" s="1"/>
  <c r="Y112" i="16" s="1"/>
  <c r="AA188" i="16"/>
  <c r="Z188" i="16" s="1"/>
  <c r="Y188" i="16" s="1"/>
  <c r="G37" i="16"/>
  <c r="BY37" i="6" s="1"/>
  <c r="AA69" i="16"/>
  <c r="Z69" i="16" s="1"/>
  <c r="Y69" i="16" s="1"/>
  <c r="AA375" i="16"/>
  <c r="Z375" i="16" s="1"/>
  <c r="Y375" i="16" s="1"/>
  <c r="AA145" i="16"/>
  <c r="Z145" i="16" s="1"/>
  <c r="Y145" i="16" s="1"/>
  <c r="H145" i="16"/>
  <c r="I145" i="16" s="1"/>
  <c r="H47" i="16"/>
  <c r="I47" i="16" s="1"/>
  <c r="H359" i="16"/>
  <c r="I359" i="16" s="1"/>
  <c r="AA72" i="16"/>
  <c r="Z72" i="16" s="1"/>
  <c r="Y72" i="16" s="1"/>
  <c r="AA369" i="16"/>
  <c r="Z369" i="16" s="1"/>
  <c r="Y369" i="16" s="1"/>
  <c r="AA120" i="16"/>
  <c r="Z120" i="16" s="1"/>
  <c r="Y120" i="16" s="1"/>
  <c r="G136" i="16"/>
  <c r="BY136" i="6" s="1"/>
  <c r="AA136" i="16"/>
  <c r="Z136" i="16" s="1"/>
  <c r="Y136" i="16" s="1"/>
  <c r="H136" i="16"/>
  <c r="I136" i="16" s="1"/>
  <c r="H111" i="16"/>
  <c r="J111" i="16" s="1"/>
  <c r="H199" i="16"/>
  <c r="I199" i="16" s="1"/>
  <c r="H103" i="16"/>
  <c r="J103" i="16" s="1"/>
  <c r="I346" i="16"/>
  <c r="G178" i="16"/>
  <c r="BY178" i="6" s="1"/>
  <c r="AA27" i="16"/>
  <c r="Z27" i="16" s="1"/>
  <c r="Y27" i="16" s="1"/>
  <c r="G293" i="16"/>
  <c r="BY293" i="6" s="1"/>
  <c r="H112" i="16"/>
  <c r="I112" i="16" s="1"/>
  <c r="G369" i="16"/>
  <c r="BY369" i="6" s="1"/>
  <c r="H161" i="16"/>
  <c r="I161" i="16" s="1"/>
  <c r="G188" i="16"/>
  <c r="BY188" i="6" s="1"/>
  <c r="I244" i="16"/>
  <c r="J236" i="16"/>
  <c r="H293" i="16"/>
  <c r="J293" i="16" s="1"/>
  <c r="H187" i="16"/>
  <c r="J187" i="16" s="1"/>
  <c r="H267" i="16"/>
  <c r="I267" i="16" s="1"/>
  <c r="H69" i="16"/>
  <c r="I69" i="16" s="1"/>
  <c r="AA259" i="16"/>
  <c r="Z259" i="16" s="1"/>
  <c r="Y259" i="16" s="1"/>
  <c r="G259" i="16"/>
  <c r="BY259" i="6" s="1"/>
  <c r="H375" i="16"/>
  <c r="I375" i="16" s="1"/>
  <c r="AA101" i="16"/>
  <c r="Z101" i="16" s="1"/>
  <c r="Y101" i="16" s="1"/>
  <c r="AA187" i="16"/>
  <c r="Z187" i="16" s="1"/>
  <c r="Y187" i="16" s="1"/>
  <c r="AA311" i="16"/>
  <c r="Z311" i="16" s="1"/>
  <c r="Y311" i="16" s="1"/>
  <c r="H311" i="16"/>
  <c r="I311" i="16" s="1"/>
  <c r="H239" i="16"/>
  <c r="I239" i="16" s="1"/>
  <c r="H72" i="16"/>
  <c r="I72" i="16" s="1"/>
  <c r="AA308" i="16"/>
  <c r="Z308" i="16" s="1"/>
  <c r="Y308" i="16" s="1"/>
  <c r="AA377" i="16"/>
  <c r="Z377" i="16" s="1"/>
  <c r="Y377" i="16" s="1"/>
  <c r="AA359" i="16"/>
  <c r="Z359" i="16" s="1"/>
  <c r="Y359" i="16" s="1"/>
  <c r="AA195" i="16"/>
  <c r="Z195" i="16" s="1"/>
  <c r="Y195" i="16" s="1"/>
  <c r="H120" i="16"/>
  <c r="J120" i="16" s="1"/>
  <c r="AA220" i="16"/>
  <c r="Z220" i="16" s="1"/>
  <c r="Y220" i="16" s="1"/>
  <c r="G177" i="16"/>
  <c r="BY177" i="6" s="1"/>
  <c r="H177" i="16"/>
  <c r="G104" i="16"/>
  <c r="BY104" i="6" s="1"/>
  <c r="H104" i="16"/>
  <c r="AG379" i="16"/>
  <c r="G301" i="16"/>
  <c r="BY301" i="6" s="1"/>
  <c r="H301" i="16"/>
  <c r="G96" i="16"/>
  <c r="BY96" i="6" s="1"/>
  <c r="H96" i="16"/>
  <c r="AA301" i="16"/>
  <c r="Z301" i="16" s="1"/>
  <c r="Y301" i="16" s="1"/>
  <c r="AA177" i="16"/>
  <c r="Z177" i="16" s="1"/>
  <c r="Y177" i="16" s="1"/>
  <c r="G279" i="16"/>
  <c r="BY279" i="6" s="1"/>
  <c r="AA279" i="16"/>
  <c r="Z279" i="16" s="1"/>
  <c r="Y279" i="16" s="1"/>
  <c r="H343" i="16"/>
  <c r="I343" i="16" s="1"/>
  <c r="AA343" i="16"/>
  <c r="Z343" i="16" s="1"/>
  <c r="Y343" i="16" s="1"/>
  <c r="G343" i="16"/>
  <c r="BY343" i="6" s="1"/>
  <c r="H71" i="16"/>
  <c r="AA71" i="16"/>
  <c r="Z71" i="16" s="1"/>
  <c r="Y71" i="16" s="1"/>
  <c r="H305" i="16"/>
  <c r="AA305" i="16"/>
  <c r="Z305" i="16" s="1"/>
  <c r="Y305" i="16" s="1"/>
  <c r="H137" i="16"/>
  <c r="G137" i="16"/>
  <c r="BY137" i="6" s="1"/>
  <c r="G367" i="16"/>
  <c r="BY367" i="6" s="1"/>
  <c r="AA367" i="16"/>
  <c r="Z367" i="16" s="1"/>
  <c r="Y367" i="16" s="1"/>
  <c r="H367" i="16"/>
  <c r="J367" i="16" s="1"/>
  <c r="G235" i="16"/>
  <c r="BY235" i="6" s="1"/>
  <c r="AA235" i="16"/>
  <c r="Z235" i="16" s="1"/>
  <c r="Y235" i="16" s="1"/>
  <c r="G43" i="16"/>
  <c r="BY43" i="6" s="1"/>
  <c r="AA43" i="16"/>
  <c r="Z43" i="16" s="1"/>
  <c r="Y43" i="16" s="1"/>
  <c r="H43" i="16"/>
  <c r="J43" i="16" s="1"/>
  <c r="G143" i="16"/>
  <c r="BY143" i="6" s="1"/>
  <c r="AA143" i="16"/>
  <c r="Z143" i="16" s="1"/>
  <c r="Y143" i="16" s="1"/>
  <c r="H79" i="16"/>
  <c r="G79" i="16"/>
  <c r="BY79" i="6" s="1"/>
  <c r="G325" i="16"/>
  <c r="BY325" i="6" s="1"/>
  <c r="H325" i="16"/>
  <c r="J325" i="16" s="1"/>
  <c r="G87" i="16"/>
  <c r="BY87" i="6" s="1"/>
  <c r="G73" i="16"/>
  <c r="BY73" i="6" s="1"/>
  <c r="AA79" i="16"/>
  <c r="Z79" i="16" s="1"/>
  <c r="Y79" i="16" s="1"/>
  <c r="I186" i="16"/>
  <c r="G71" i="16"/>
  <c r="BY71" i="6" s="1"/>
  <c r="AA137" i="16"/>
  <c r="Z137" i="16" s="1"/>
  <c r="Y137" i="16" s="1"/>
  <c r="Q172" i="17"/>
  <c r="Q354" i="17"/>
  <c r="Q290" i="17"/>
  <c r="Q140" i="17"/>
  <c r="Q358" i="17"/>
  <c r="Q326" i="17"/>
  <c r="Q294" i="17"/>
  <c r="Q249" i="17"/>
  <c r="Q156" i="17"/>
  <c r="Q372" i="17"/>
  <c r="Q356" i="17"/>
  <c r="Q340" i="17"/>
  <c r="Q324" i="17"/>
  <c r="Q308" i="17"/>
  <c r="Q292" i="17"/>
  <c r="Q276" i="17"/>
  <c r="Q245" i="17"/>
  <c r="Q212" i="17"/>
  <c r="Q148" i="17"/>
  <c r="Q84" i="17"/>
  <c r="Q373" i="17"/>
  <c r="Q365" i="17"/>
  <c r="Q357" i="17"/>
  <c r="Q349" i="17"/>
  <c r="Q341" i="17"/>
  <c r="Q333" i="17"/>
  <c r="Q325" i="17"/>
  <c r="Q317" i="17"/>
  <c r="Q309" i="17"/>
  <c r="Q301" i="17"/>
  <c r="Q293" i="17"/>
  <c r="Q285" i="17"/>
  <c r="Q277" i="17"/>
  <c r="Q263" i="17"/>
  <c r="Q247" i="17"/>
  <c r="Q231" i="17"/>
  <c r="Q215" i="17"/>
  <c r="Q184" i="17"/>
  <c r="Q152" i="17"/>
  <c r="Q120" i="17"/>
  <c r="Q88" i="17"/>
  <c r="Q72" i="17"/>
  <c r="Q56" i="17"/>
  <c r="Q272" i="17"/>
  <c r="Q268" i="17"/>
  <c r="Q264" i="17"/>
  <c r="Q260" i="17"/>
  <c r="Q256" i="17"/>
  <c r="Q252" i="17"/>
  <c r="Q248" i="17"/>
  <c r="Q244" i="17"/>
  <c r="Q240" i="17"/>
  <c r="Q236" i="17"/>
  <c r="Q232" i="17"/>
  <c r="Q228" i="17"/>
  <c r="Q224" i="17"/>
  <c r="Q220" i="17"/>
  <c r="Q216" i="17"/>
  <c r="AA325" i="16"/>
  <c r="Z325" i="16" s="1"/>
  <c r="Y325" i="16" s="1"/>
  <c r="G303" i="16"/>
  <c r="BY303" i="6" s="1"/>
  <c r="H303" i="16"/>
  <c r="I303" i="16" s="1"/>
  <c r="G155" i="16"/>
  <c r="BY155" i="6" s="1"/>
  <c r="AA155" i="16"/>
  <c r="Z155" i="16" s="1"/>
  <c r="Y155" i="16" s="1"/>
  <c r="AA341" i="16"/>
  <c r="Z341" i="16" s="1"/>
  <c r="Y341" i="16" s="1"/>
  <c r="Q225" i="17"/>
  <c r="Q378" i="17"/>
  <c r="H87" i="16"/>
  <c r="J87" i="16" s="1"/>
  <c r="I148" i="16"/>
  <c r="AA123" i="16"/>
  <c r="Z123" i="16" s="1"/>
  <c r="Y123" i="16" s="1"/>
  <c r="H135" i="16"/>
  <c r="J135" i="16" s="1"/>
  <c r="G305" i="16"/>
  <c r="BY305" i="6" s="1"/>
  <c r="H123" i="16"/>
  <c r="J123" i="16" s="1"/>
  <c r="AA251" i="16"/>
  <c r="Z251" i="16" s="1"/>
  <c r="Y251" i="16" s="1"/>
  <c r="H251" i="16"/>
  <c r="I251" i="16" s="1"/>
  <c r="AA33" i="16"/>
  <c r="Z33" i="16" s="1"/>
  <c r="Y33" i="16" s="1"/>
  <c r="H183" i="16"/>
  <c r="J183" i="16" s="1"/>
  <c r="G33" i="16"/>
  <c r="BY33" i="6" s="1"/>
  <c r="H18" i="16"/>
  <c r="I18" i="16" s="1"/>
  <c r="AA18" i="16"/>
  <c r="Z18" i="16" s="1"/>
  <c r="Y18" i="16" s="1"/>
  <c r="H347" i="16"/>
  <c r="J347" i="16" s="1"/>
  <c r="H279" i="16"/>
  <c r="I279" i="16" s="1"/>
  <c r="Q298" i="17"/>
  <c r="Q346" i="17"/>
  <c r="Q282" i="17"/>
  <c r="Q108" i="17"/>
  <c r="Q370" i="17"/>
  <c r="Q338" i="17"/>
  <c r="Q306" i="17"/>
  <c r="Q273" i="17"/>
  <c r="Q204" i="17"/>
  <c r="Q76" i="17"/>
  <c r="Q366" i="17"/>
  <c r="Q350" i="17"/>
  <c r="Q334" i="17"/>
  <c r="Q318" i="17"/>
  <c r="Q302" i="17"/>
  <c r="Q286" i="17"/>
  <c r="Q265" i="17"/>
  <c r="Q233" i="17"/>
  <c r="Q188" i="17"/>
  <c r="Q124" i="17"/>
  <c r="Q60" i="17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80" i="17"/>
  <c r="Q269" i="17"/>
  <c r="Q253" i="17"/>
  <c r="Q237" i="17"/>
  <c r="Q221" i="17"/>
  <c r="Q196" i="17"/>
  <c r="Q164" i="17"/>
  <c r="Q132" i="17"/>
  <c r="Q100" i="17"/>
  <c r="Q68" i="17"/>
  <c r="Q379" i="17"/>
  <c r="Q375" i="17"/>
  <c r="Q371" i="17"/>
  <c r="Q367" i="17"/>
  <c r="Q363" i="17"/>
  <c r="Q359" i="17"/>
  <c r="Q355" i="17"/>
  <c r="Q351" i="17"/>
  <c r="Q347" i="17"/>
  <c r="Q343" i="17"/>
  <c r="Q339" i="17"/>
  <c r="Q335" i="17"/>
  <c r="Q331" i="17"/>
  <c r="Q327" i="17"/>
  <c r="Q323" i="17"/>
  <c r="Q319" i="17"/>
  <c r="Q315" i="17"/>
  <c r="Q311" i="17"/>
  <c r="Q307" i="17"/>
  <c r="Q303" i="17"/>
  <c r="Q299" i="17"/>
  <c r="Q295" i="17"/>
  <c r="Q291" i="17"/>
  <c r="Q287" i="17"/>
  <c r="Q283" i="17"/>
  <c r="Q279" i="17"/>
  <c r="Q275" i="17"/>
  <c r="Q267" i="17"/>
  <c r="Q259" i="17"/>
  <c r="Q251" i="17"/>
  <c r="Q243" i="17"/>
  <c r="Q235" i="17"/>
  <c r="Q227" i="17"/>
  <c r="Q219" i="17"/>
  <c r="Q208" i="17"/>
  <c r="Q192" i="17"/>
  <c r="Q176" i="17"/>
  <c r="Q160" i="17"/>
  <c r="Q144" i="17"/>
  <c r="Q128" i="17"/>
  <c r="Q112" i="17"/>
  <c r="Q96" i="17"/>
  <c r="G333" i="16"/>
  <c r="BY333" i="6" s="1"/>
  <c r="H289" i="16"/>
  <c r="J289" i="16" s="1"/>
  <c r="I33" i="16"/>
  <c r="H31" i="16"/>
  <c r="J31" i="16" s="1"/>
  <c r="I131" i="16"/>
  <c r="J185" i="16"/>
  <c r="H341" i="16"/>
  <c r="J341" i="16" s="1"/>
  <c r="I142" i="16"/>
  <c r="AA309" i="16"/>
  <c r="Z309" i="16" s="1"/>
  <c r="Y309" i="16" s="1"/>
  <c r="I281" i="16"/>
  <c r="J192" i="16"/>
  <c r="H171" i="16"/>
  <c r="J171" i="16" s="1"/>
  <c r="V149" i="16"/>
  <c r="F149" i="16" s="1"/>
  <c r="AA149" i="16" s="1"/>
  <c r="Z149" i="16" s="1"/>
  <c r="Y149" i="16" s="1"/>
  <c r="AA63" i="16"/>
  <c r="Z63" i="16" s="1"/>
  <c r="Y63" i="16" s="1"/>
  <c r="AA169" i="16"/>
  <c r="Z169" i="16" s="1"/>
  <c r="Y169" i="16" s="1"/>
  <c r="AA185" i="16"/>
  <c r="Z185" i="16" s="1"/>
  <c r="Y185" i="16" s="1"/>
  <c r="AA255" i="16"/>
  <c r="Z255" i="16" s="1"/>
  <c r="Y255" i="16" s="1"/>
  <c r="H255" i="16"/>
  <c r="J255" i="16" s="1"/>
  <c r="AA319" i="16"/>
  <c r="Z319" i="16" s="1"/>
  <c r="Y319" i="16" s="1"/>
  <c r="H63" i="16"/>
  <c r="J63" i="16" s="1"/>
  <c r="I218" i="16"/>
  <c r="I219" i="16"/>
  <c r="G53" i="16"/>
  <c r="BY53" i="6" s="1"/>
  <c r="AA289" i="16"/>
  <c r="Z289" i="16" s="1"/>
  <c r="Y289" i="16" s="1"/>
  <c r="AA31" i="16"/>
  <c r="Z31" i="16" s="1"/>
  <c r="Y31" i="16" s="1"/>
  <c r="I100" i="16"/>
  <c r="AA219" i="16"/>
  <c r="Z219" i="16" s="1"/>
  <c r="Y219" i="16" s="1"/>
  <c r="AA207" i="16"/>
  <c r="Z207" i="16" s="1"/>
  <c r="Y207" i="16" s="1"/>
  <c r="G219" i="16"/>
  <c r="BY219" i="6" s="1"/>
  <c r="AA283" i="16"/>
  <c r="Z283" i="16" s="1"/>
  <c r="Y283" i="16" s="1"/>
  <c r="G209" i="16"/>
  <c r="BY209" i="6" s="1"/>
  <c r="H349" i="16"/>
  <c r="H53" i="16"/>
  <c r="J53" i="16" s="1"/>
  <c r="G341" i="16"/>
  <c r="BY341" i="6" s="1"/>
  <c r="H309" i="16"/>
  <c r="J309" i="16" s="1"/>
  <c r="J229" i="16"/>
  <c r="J211" i="16"/>
  <c r="H207" i="16"/>
  <c r="I207" i="16" s="1"/>
  <c r="H283" i="16"/>
  <c r="I283" i="16" s="1"/>
  <c r="G351" i="16"/>
  <c r="BY351" i="6" s="1"/>
  <c r="H319" i="16"/>
  <c r="J319" i="16" s="1"/>
  <c r="H351" i="16"/>
  <c r="I351" i="16" s="1"/>
  <c r="H209" i="16"/>
  <c r="J209" i="16" s="1"/>
  <c r="H249" i="16"/>
  <c r="J249" i="16" s="1"/>
  <c r="J315" i="16"/>
  <c r="D54" i="7"/>
  <c r="I102" i="16"/>
  <c r="H89" i="16"/>
  <c r="I89" i="16" s="1"/>
  <c r="AA271" i="16"/>
  <c r="Z271" i="16" s="1"/>
  <c r="Y271" i="16" s="1"/>
  <c r="AA89" i="16"/>
  <c r="Z89" i="16" s="1"/>
  <c r="Y89" i="16" s="1"/>
  <c r="J150" i="16"/>
  <c r="G297" i="16"/>
  <c r="BY297" i="6" s="1"/>
  <c r="AA333" i="16"/>
  <c r="Z333" i="16" s="1"/>
  <c r="Y333" i="16" s="1"/>
  <c r="J216" i="16"/>
  <c r="I156" i="16"/>
  <c r="H213" i="16"/>
  <c r="J213" i="16" s="1"/>
  <c r="AA41" i="16"/>
  <c r="Z41" i="16" s="1"/>
  <c r="Y41" i="16" s="1"/>
  <c r="AA335" i="16"/>
  <c r="Z335" i="16" s="1"/>
  <c r="Y335" i="16" s="1"/>
  <c r="H41" i="16"/>
  <c r="I41" i="16" s="1"/>
  <c r="H59" i="16"/>
  <c r="J59" i="16" s="1"/>
  <c r="AA223" i="16"/>
  <c r="Z223" i="16" s="1"/>
  <c r="Y223" i="16" s="1"/>
  <c r="G107" i="16"/>
  <c r="BY107" i="6" s="1"/>
  <c r="H107" i="16"/>
  <c r="AA107" i="16"/>
  <c r="Z107" i="16" s="1"/>
  <c r="Y107" i="16" s="1"/>
  <c r="S381" i="16"/>
  <c r="S382" i="16"/>
  <c r="K63" i="19"/>
  <c r="AA321" i="16"/>
  <c r="Z321" i="16" s="1"/>
  <c r="Y321" i="16" s="1"/>
  <c r="AA257" i="16"/>
  <c r="Z257" i="16" s="1"/>
  <c r="Y257" i="16" s="1"/>
  <c r="H257" i="16"/>
  <c r="J257" i="16" s="1"/>
  <c r="J215" i="16"/>
  <c r="H271" i="16"/>
  <c r="I271" i="16" s="1"/>
  <c r="H155" i="16"/>
  <c r="J155" i="16" s="1"/>
  <c r="AA59" i="16"/>
  <c r="Z59" i="16" s="1"/>
  <c r="Y59" i="16" s="1"/>
  <c r="AA303" i="16"/>
  <c r="Z303" i="16" s="1"/>
  <c r="Y303" i="16" s="1"/>
  <c r="G213" i="16"/>
  <c r="BY213" i="6" s="1"/>
  <c r="H223" i="16"/>
  <c r="I223" i="16" s="1"/>
  <c r="H335" i="16"/>
  <c r="J335" i="16" s="1"/>
  <c r="AA297" i="16"/>
  <c r="Z297" i="16" s="1"/>
  <c r="Y297" i="16" s="1"/>
  <c r="J163" i="16"/>
  <c r="AA171" i="16"/>
  <c r="Z171" i="16" s="1"/>
  <c r="Y171" i="16" s="1"/>
  <c r="H221" i="16"/>
  <c r="AA221" i="16"/>
  <c r="Z221" i="16" s="1"/>
  <c r="Y221" i="16" s="1"/>
  <c r="U10" i="17"/>
  <c r="AA285" i="16"/>
  <c r="Z285" i="16" s="1"/>
  <c r="Y285" i="16" s="1"/>
  <c r="G285" i="16"/>
  <c r="BY285" i="6" s="1"/>
  <c r="H285" i="16"/>
  <c r="H205" i="16"/>
  <c r="G205" i="16"/>
  <c r="BY205" i="6" s="1"/>
  <c r="H169" i="16"/>
  <c r="G189" i="16"/>
  <c r="BY189" i="6" s="1"/>
  <c r="H189" i="16"/>
  <c r="AA189" i="16"/>
  <c r="Z189" i="16" s="1"/>
  <c r="Y189" i="16" s="1"/>
  <c r="G175" i="16"/>
  <c r="BY175" i="6" s="1"/>
  <c r="H175" i="16"/>
  <c r="H125" i="16"/>
  <c r="G125" i="16"/>
  <c r="BY125" i="6" s="1"/>
  <c r="G49" i="16"/>
  <c r="BY49" i="6" s="1"/>
  <c r="H49" i="16"/>
  <c r="G157" i="16"/>
  <c r="BY157" i="6" s="1"/>
  <c r="H157" i="16"/>
  <c r="AA157" i="16"/>
  <c r="Z157" i="16" s="1"/>
  <c r="Y157" i="16" s="1"/>
  <c r="G317" i="16"/>
  <c r="BY317" i="6" s="1"/>
  <c r="AA317" i="16"/>
  <c r="Z317" i="16" s="1"/>
  <c r="Y317" i="16" s="1"/>
  <c r="H317" i="16"/>
  <c r="H191" i="16"/>
  <c r="G191" i="16"/>
  <c r="BY191" i="6" s="1"/>
  <c r="AA39" i="16"/>
  <c r="Z39" i="16" s="1"/>
  <c r="Y39" i="16" s="1"/>
  <c r="H345" i="16"/>
  <c r="H39" i="16"/>
  <c r="G77" i="16"/>
  <c r="BY77" i="6" s="1"/>
  <c r="H77" i="16"/>
  <c r="H55" i="16"/>
  <c r="G55" i="16"/>
  <c r="BY55" i="6" s="1"/>
  <c r="G95" i="16"/>
  <c r="BY95" i="6" s="1"/>
  <c r="H95" i="16"/>
  <c r="AA95" i="16"/>
  <c r="Z95" i="16" s="1"/>
  <c r="Y95" i="16" s="1"/>
  <c r="AA175" i="16"/>
  <c r="Z175" i="16" s="1"/>
  <c r="Y175" i="16" s="1"/>
  <c r="AA125" i="16"/>
  <c r="Z125" i="16" s="1"/>
  <c r="Y125" i="16" s="1"/>
  <c r="AA345" i="16"/>
  <c r="Z345" i="16" s="1"/>
  <c r="Y345" i="16" s="1"/>
  <c r="H61" i="16"/>
  <c r="G61" i="16"/>
  <c r="BY61" i="6" s="1"/>
  <c r="G253" i="16"/>
  <c r="BY253" i="6" s="1"/>
  <c r="H253" i="16"/>
  <c r="G159" i="16"/>
  <c r="BY159" i="6" s="1"/>
  <c r="H159" i="16"/>
  <c r="AA191" i="16"/>
  <c r="Z191" i="16" s="1"/>
  <c r="Y191" i="16" s="1"/>
  <c r="AA23" i="16"/>
  <c r="Z23" i="16" s="1"/>
  <c r="Y23" i="16" s="1"/>
  <c r="AA349" i="16"/>
  <c r="Z349" i="16" s="1"/>
  <c r="Y349" i="16" s="1"/>
  <c r="AA61" i="16"/>
  <c r="Z61" i="16" s="1"/>
  <c r="Y61" i="16" s="1"/>
  <c r="H23" i="16"/>
  <c r="J76" i="16"/>
  <c r="H241" i="16"/>
  <c r="J241" i="16" s="1"/>
  <c r="J81" i="16"/>
  <c r="I44" i="16"/>
  <c r="G379" i="16"/>
  <c r="BY379" i="6" s="1"/>
  <c r="D63" i="19"/>
  <c r="I231" i="16"/>
  <c r="I63" i="19"/>
  <c r="I20" i="16"/>
  <c r="G133" i="16"/>
  <c r="BY133" i="6" s="1"/>
  <c r="H133" i="16"/>
  <c r="G265" i="16"/>
  <c r="BY265" i="6" s="1"/>
  <c r="AA265" i="16"/>
  <c r="Z265" i="16" s="1"/>
  <c r="Y265" i="16" s="1"/>
  <c r="H265" i="16"/>
  <c r="G357" i="16"/>
  <c r="BY357" i="6" s="1"/>
  <c r="H357" i="16"/>
  <c r="AA357" i="16"/>
  <c r="Z357" i="16" s="1"/>
  <c r="Y357" i="16" s="1"/>
  <c r="AA133" i="16"/>
  <c r="Z133" i="16" s="1"/>
  <c r="Y133" i="16" s="1"/>
  <c r="G117" i="16"/>
  <c r="BY117" i="6" s="1"/>
  <c r="AA117" i="16"/>
  <c r="Z117" i="16" s="1"/>
  <c r="Y117" i="16" s="1"/>
  <c r="H117" i="16"/>
  <c r="G261" i="16"/>
  <c r="BY261" i="6" s="1"/>
  <c r="AA261" i="16"/>
  <c r="Z261" i="16" s="1"/>
  <c r="Y261" i="16" s="1"/>
  <c r="H261" i="16"/>
  <c r="G329" i="16"/>
  <c r="BY329" i="6" s="1"/>
  <c r="H329" i="16"/>
  <c r="H277" i="16"/>
  <c r="AA329" i="16"/>
  <c r="Z329" i="16" s="1"/>
  <c r="Y329" i="16" s="1"/>
  <c r="AA229" i="16"/>
  <c r="Z229" i="16" s="1"/>
  <c r="Y229" i="16" s="1"/>
  <c r="G85" i="16"/>
  <c r="BY85" i="6" s="1"/>
  <c r="H85" i="16"/>
  <c r="AA85" i="16"/>
  <c r="Z85" i="16" s="1"/>
  <c r="Y85" i="16" s="1"/>
  <c r="G181" i="16"/>
  <c r="BY181" i="6" s="1"/>
  <c r="AA181" i="16"/>
  <c r="Z181" i="16" s="1"/>
  <c r="Y181" i="16" s="1"/>
  <c r="H181" i="16"/>
  <c r="G373" i="16"/>
  <c r="BY373" i="6" s="1"/>
  <c r="H373" i="16"/>
  <c r="G113" i="16"/>
  <c r="BY113" i="6" s="1"/>
  <c r="H113" i="16"/>
  <c r="AA113" i="16"/>
  <c r="Z113" i="16" s="1"/>
  <c r="Y113" i="16" s="1"/>
  <c r="G165" i="16"/>
  <c r="BY165" i="6" s="1"/>
  <c r="H165" i="16"/>
  <c r="G245" i="16"/>
  <c r="BY245" i="6" s="1"/>
  <c r="H245" i="16"/>
  <c r="AA245" i="16"/>
  <c r="Z245" i="16" s="1"/>
  <c r="Y245" i="16" s="1"/>
  <c r="G273" i="16"/>
  <c r="BY273" i="6" s="1"/>
  <c r="AA273" i="16"/>
  <c r="Z273" i="16" s="1"/>
  <c r="Y273" i="16" s="1"/>
  <c r="H273" i="16"/>
  <c r="G361" i="16"/>
  <c r="BY361" i="6" s="1"/>
  <c r="AA361" i="16"/>
  <c r="Z361" i="16" s="1"/>
  <c r="Y361" i="16" s="1"/>
  <c r="H361" i="16"/>
  <c r="AA277" i="16"/>
  <c r="Z277" i="16" s="1"/>
  <c r="Y277" i="16" s="1"/>
  <c r="AA373" i="16"/>
  <c r="Z373" i="16" s="1"/>
  <c r="Y373" i="16" s="1"/>
  <c r="E63" i="19"/>
  <c r="L41" i="19"/>
  <c r="G65" i="16"/>
  <c r="BY65" i="6" s="1"/>
  <c r="H65" i="16"/>
  <c r="G353" i="16"/>
  <c r="BY353" i="6" s="1"/>
  <c r="H353" i="16"/>
  <c r="AA353" i="16"/>
  <c r="Z353" i="16" s="1"/>
  <c r="Y353" i="16" s="1"/>
  <c r="AA65" i="16"/>
  <c r="Z65" i="16" s="1"/>
  <c r="Y65" i="16" s="1"/>
  <c r="G225" i="16"/>
  <c r="BY225" i="6" s="1"/>
  <c r="H225" i="16"/>
  <c r="G193" i="16"/>
  <c r="BY193" i="6" s="1"/>
  <c r="H193" i="16"/>
  <c r="AA193" i="16"/>
  <c r="Z193" i="16" s="1"/>
  <c r="Y193" i="16" s="1"/>
  <c r="G129" i="16"/>
  <c r="BY129" i="6" s="1"/>
  <c r="H129" i="16"/>
  <c r="AA129" i="16"/>
  <c r="Z129" i="16" s="1"/>
  <c r="Y129" i="16" s="1"/>
  <c r="J263" i="16"/>
  <c r="I45" i="16"/>
  <c r="J235" i="16"/>
  <c r="Q31" i="17"/>
  <c r="Q257" i="17"/>
  <c r="Q330" i="17"/>
  <c r="J127" i="16"/>
  <c r="I134" i="16"/>
  <c r="J331" i="16"/>
  <c r="J84" i="16"/>
  <c r="J326" i="16"/>
  <c r="J304" i="16"/>
  <c r="AD364" i="15"/>
  <c r="AF381" i="15"/>
  <c r="AF382" i="15"/>
  <c r="AF383" i="15"/>
  <c r="J36" i="16"/>
  <c r="I202" i="16"/>
  <c r="I99" i="16"/>
  <c r="I162" i="16"/>
  <c r="I151" i="16"/>
  <c r="J224" i="16"/>
  <c r="J355" i="16"/>
  <c r="I354" i="16"/>
  <c r="I243" i="16"/>
  <c r="I83" i="16"/>
  <c r="J153" i="16"/>
  <c r="J288" i="16"/>
  <c r="J98" i="16"/>
  <c r="I238" i="16"/>
  <c r="I94" i="16"/>
  <c r="I66" i="16"/>
  <c r="J337" i="16"/>
  <c r="G210" i="16"/>
  <c r="BY210" i="6" s="1"/>
  <c r="L63" i="19"/>
  <c r="H210" i="16"/>
  <c r="I210" i="16" s="1"/>
  <c r="I152" i="16"/>
  <c r="H63" i="19"/>
  <c r="I368" i="16"/>
  <c r="I313" i="16"/>
  <c r="I92" i="16"/>
  <c r="J22" i="16"/>
  <c r="J108" i="16"/>
  <c r="I328" i="16"/>
  <c r="I67" i="16"/>
  <c r="J138" i="16"/>
  <c r="I154" i="16"/>
  <c r="J316" i="16"/>
  <c r="I174" i="16"/>
  <c r="J360" i="16"/>
  <c r="J121" i="16"/>
  <c r="J143" i="16"/>
  <c r="J158" i="16"/>
  <c r="I254" i="16"/>
  <c r="J270" i="16"/>
  <c r="J26" i="16"/>
  <c r="I42" i="16"/>
  <c r="J206" i="16"/>
  <c r="I170" i="16"/>
  <c r="J178" i="16"/>
  <c r="J54" i="16"/>
  <c r="J297" i="16"/>
  <c r="J194" i="16"/>
  <c r="I194" i="16"/>
  <c r="J290" i="16"/>
  <c r="J70" i="16"/>
  <c r="J302" i="16"/>
  <c r="I370" i="16"/>
  <c r="J370" i="16"/>
  <c r="AA172" i="16"/>
  <c r="Z172" i="16" s="1"/>
  <c r="Y172" i="16" s="1"/>
  <c r="J240" i="16"/>
  <c r="I240" i="16"/>
  <c r="I256" i="16"/>
  <c r="J256" i="16"/>
  <c r="AA272" i="16"/>
  <c r="Z272" i="16" s="1"/>
  <c r="Y272" i="16" s="1"/>
  <c r="G272" i="16"/>
  <c r="BY272" i="6" s="1"/>
  <c r="H320" i="16"/>
  <c r="AA320" i="16"/>
  <c r="Z320" i="16" s="1"/>
  <c r="Y320" i="16" s="1"/>
  <c r="G320" i="16"/>
  <c r="BY320" i="6" s="1"/>
  <c r="I352" i="16"/>
  <c r="I312" i="16"/>
  <c r="I208" i="16"/>
  <c r="J63" i="19"/>
  <c r="I232" i="16"/>
  <c r="J344" i="16"/>
  <c r="I344" i="16"/>
  <c r="I336" i="16"/>
  <c r="I248" i="16"/>
  <c r="H272" i="16"/>
  <c r="AK9" i="15"/>
  <c r="AK11" i="15" s="1"/>
  <c r="AM9" i="15"/>
  <c r="AA266" i="16"/>
  <c r="Z266" i="16" s="1"/>
  <c r="Y266" i="16" s="1"/>
  <c r="G75" i="16"/>
  <c r="BY75" i="6" s="1"/>
  <c r="G266" i="16"/>
  <c r="BY266" i="6" s="1"/>
  <c r="AA75" i="16"/>
  <c r="Z75" i="16" s="1"/>
  <c r="Y75" i="16" s="1"/>
  <c r="H172" i="16"/>
  <c r="I172" i="16" s="1"/>
  <c r="J30" i="16"/>
  <c r="H321" i="16"/>
  <c r="J321" i="16" s="1"/>
  <c r="J38" i="16"/>
  <c r="I56" i="16"/>
  <c r="J166" i="16"/>
  <c r="O382" i="24"/>
  <c r="O381" i="24"/>
  <c r="O383" i="24"/>
  <c r="G383" i="1"/>
  <c r="G12" i="1" s="1"/>
  <c r="G381" i="1"/>
  <c r="G382" i="1"/>
  <c r="I380" i="16"/>
  <c r="H380" i="17" s="1"/>
  <c r="J380" i="16"/>
  <c r="AC383" i="24"/>
  <c r="AC382" i="24"/>
  <c r="AC381" i="24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J35" i="19" s="1"/>
  <c r="F11" i="1"/>
  <c r="R382" i="16"/>
  <c r="R381" i="16"/>
  <c r="R383" i="16"/>
  <c r="P15" i="16"/>
  <c r="I324" i="16"/>
  <c r="J324" i="16"/>
  <c r="I57" i="16"/>
  <c r="J75" i="16"/>
  <c r="I75" i="16"/>
  <c r="I184" i="16"/>
  <c r="J184" i="16"/>
  <c r="I358" i="16"/>
  <c r="J358" i="16"/>
  <c r="I217" i="16"/>
  <c r="J217" i="16"/>
  <c r="I333" i="16"/>
  <c r="J333" i="16"/>
  <c r="I52" i="16"/>
  <c r="J52" i="16"/>
  <c r="I74" i="16"/>
  <c r="J74" i="16"/>
  <c r="I233" i="16"/>
  <c r="J233" i="16"/>
  <c r="I374" i="16"/>
  <c r="J374" i="16"/>
  <c r="I264" i="16"/>
  <c r="G46" i="16"/>
  <c r="BY46" i="6" s="1"/>
  <c r="AA46" i="16"/>
  <c r="Z46" i="16" s="1"/>
  <c r="Y46" i="16" s="1"/>
  <c r="H46" i="16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M7" i="15" s="1"/>
  <c r="F382" i="15"/>
  <c r="AK10" i="15"/>
  <c r="AK12" i="15" s="1"/>
  <c r="F381" i="15"/>
  <c r="H15" i="15"/>
  <c r="G15" i="15"/>
  <c r="BX15" i="6" s="1"/>
  <c r="F383" i="15"/>
  <c r="AM10" i="15"/>
  <c r="F9" i="15"/>
  <c r="B62" i="19"/>
  <c r="V380" i="15"/>
  <c r="V381" i="15" s="1"/>
  <c r="J51" i="16"/>
  <c r="I51" i="16"/>
  <c r="J227" i="16"/>
  <c r="I227" i="16"/>
  <c r="Q10" i="18"/>
  <c r="J118" i="16"/>
  <c r="I118" i="16"/>
  <c r="J266" i="16"/>
  <c r="I266" i="16"/>
  <c r="J212" i="16"/>
  <c r="I275" i="16"/>
  <c r="J275" i="16"/>
  <c r="I310" i="16"/>
  <c r="J310" i="16"/>
  <c r="I119" i="16"/>
  <c r="J119" i="16"/>
  <c r="J363" i="16"/>
  <c r="I363" i="16"/>
  <c r="AD15" i="16"/>
  <c r="J28" i="16"/>
  <c r="I28" i="16"/>
  <c r="J274" i="16"/>
  <c r="I274" i="16"/>
  <c r="L381" i="24"/>
  <c r="L382" i="24"/>
  <c r="L383" i="24"/>
  <c r="I139" i="16"/>
  <c r="J139" i="16"/>
  <c r="J78" i="16"/>
  <c r="I78" i="16"/>
  <c r="J173" i="16"/>
  <c r="I173" i="16"/>
  <c r="I296" i="16"/>
  <c r="I97" i="16"/>
  <c r="J97" i="16"/>
  <c r="J322" i="16"/>
  <c r="I322" i="16"/>
  <c r="I48" i="16" l="1"/>
  <c r="I338" i="16"/>
  <c r="I167" i="16"/>
  <c r="J140" i="16"/>
  <c r="I278" i="16"/>
  <c r="J334" i="16"/>
  <c r="J115" i="16"/>
  <c r="M63" i="19"/>
  <c r="I176" i="16"/>
  <c r="J116" i="16"/>
  <c r="I124" i="16"/>
  <c r="J378" i="16"/>
  <c r="I62" i="16"/>
  <c r="J40" i="16"/>
  <c r="J280" i="16"/>
  <c r="J19" i="16"/>
  <c r="I291" i="16"/>
  <c r="J327" i="16"/>
  <c r="I114" i="16"/>
  <c r="J47" i="16"/>
  <c r="J130" i="16"/>
  <c r="J35" i="16"/>
  <c r="I90" i="16"/>
  <c r="J90" i="16"/>
  <c r="I366" i="16"/>
  <c r="J366" i="16"/>
  <c r="I237" i="16"/>
  <c r="J237" i="16"/>
  <c r="H29" i="16"/>
  <c r="G29" i="16"/>
  <c r="BY29" i="6" s="1"/>
  <c r="J147" i="16"/>
  <c r="I147" i="16"/>
  <c r="I34" i="16"/>
  <c r="J34" i="16"/>
  <c r="J132" i="16"/>
  <c r="I132" i="16"/>
  <c r="H60" i="16"/>
  <c r="AA60" i="16"/>
  <c r="Z60" i="16" s="1"/>
  <c r="Y60" i="16" s="1"/>
  <c r="G60" i="16"/>
  <c r="BY60" i="6" s="1"/>
  <c r="I362" i="16"/>
  <c r="I371" i="16"/>
  <c r="I105" i="16"/>
  <c r="C63" i="19"/>
  <c r="J110" i="16"/>
  <c r="I179" i="16"/>
  <c r="I308" i="16"/>
  <c r="J82" i="16"/>
  <c r="AE381" i="17"/>
  <c r="J342" i="16"/>
  <c r="J126" i="16"/>
  <c r="I21" i="16"/>
  <c r="J50" i="16"/>
  <c r="J372" i="16"/>
  <c r="J146" i="16"/>
  <c r="I286" i="16"/>
  <c r="I183" i="16"/>
  <c r="I339" i="16"/>
  <c r="I32" i="16"/>
  <c r="G241" i="16"/>
  <c r="BY241" i="6" s="1"/>
  <c r="J365" i="16"/>
  <c r="J101" i="16"/>
  <c r="G63" i="19"/>
  <c r="AA180" i="16"/>
  <c r="Z180" i="16" s="1"/>
  <c r="Y180" i="16" s="1"/>
  <c r="G180" i="16"/>
  <c r="BY180" i="6" s="1"/>
  <c r="J222" i="16"/>
  <c r="J269" i="16"/>
  <c r="I300" i="16"/>
  <c r="I144" i="16"/>
  <c r="J262" i="16"/>
  <c r="I250" i="16"/>
  <c r="J16" i="16"/>
  <c r="I307" i="16"/>
  <c r="AE382" i="17"/>
  <c r="J234" i="16"/>
  <c r="I88" i="16"/>
  <c r="I58" i="16"/>
  <c r="J214" i="16"/>
  <c r="J258" i="16"/>
  <c r="J64" i="16"/>
  <c r="J195" i="16"/>
  <c r="I109" i="16"/>
  <c r="J220" i="16"/>
  <c r="I73" i="16"/>
  <c r="I111" i="16"/>
  <c r="AE383" i="17"/>
  <c r="J93" i="16"/>
  <c r="J197" i="16"/>
  <c r="J190" i="16"/>
  <c r="I24" i="16"/>
  <c r="I196" i="16"/>
  <c r="I122" i="16"/>
  <c r="J164" i="16"/>
  <c r="I128" i="16"/>
  <c r="J314" i="16"/>
  <c r="I299" i="16"/>
  <c r="I37" i="16"/>
  <c r="J242" i="16"/>
  <c r="J18" i="16"/>
  <c r="I103" i="16"/>
  <c r="I187" i="16"/>
  <c r="I323" i="16"/>
  <c r="J239" i="16"/>
  <c r="J203" i="16"/>
  <c r="I120" i="16"/>
  <c r="J199" i="16"/>
  <c r="J311" i="16"/>
  <c r="I63" i="16"/>
  <c r="J145" i="16"/>
  <c r="J136" i="16"/>
  <c r="I17" i="16"/>
  <c r="J112" i="16"/>
  <c r="J359" i="16"/>
  <c r="J267" i="16"/>
  <c r="I201" i="16"/>
  <c r="J72" i="16"/>
  <c r="J204" i="16"/>
  <c r="I289" i="16"/>
  <c r="I31" i="16"/>
  <c r="J69" i="16"/>
  <c r="I367" i="16"/>
  <c r="J303" i="16"/>
  <c r="J161" i="16"/>
  <c r="I123" i="16"/>
  <c r="I293" i="16"/>
  <c r="I43" i="16"/>
  <c r="I255" i="16"/>
  <c r="J375" i="16"/>
  <c r="J343" i="16"/>
  <c r="AI303" i="17"/>
  <c r="AH303" i="17" s="1"/>
  <c r="AG303" i="17" s="1"/>
  <c r="AF303" i="17" s="1"/>
  <c r="Q12" i="18"/>
  <c r="AA15" i="7" s="1"/>
  <c r="I87" i="16"/>
  <c r="J180" i="16"/>
  <c r="V15" i="7"/>
  <c r="G149" i="16"/>
  <c r="BY149" i="6" s="1"/>
  <c r="H149" i="16"/>
  <c r="J149" i="16" s="1"/>
  <c r="I135" i="16"/>
  <c r="I325" i="16"/>
  <c r="J251" i="16"/>
  <c r="I347" i="16"/>
  <c r="Q383" i="17"/>
  <c r="I96" i="16"/>
  <c r="J96" i="16"/>
  <c r="I301" i="16"/>
  <c r="J301" i="16"/>
  <c r="AF379" i="16"/>
  <c r="AG381" i="16"/>
  <c r="AG383" i="16"/>
  <c r="AG382" i="16"/>
  <c r="J104" i="16"/>
  <c r="I104" i="16"/>
  <c r="I177" i="16"/>
  <c r="J177" i="16"/>
  <c r="I79" i="16"/>
  <c r="J79" i="16"/>
  <c r="J137" i="16"/>
  <c r="I137" i="16"/>
  <c r="I305" i="16"/>
  <c r="J305" i="16"/>
  <c r="I71" i="16"/>
  <c r="J71" i="16"/>
  <c r="J279" i="16"/>
  <c r="Q16" i="18"/>
  <c r="I171" i="16"/>
  <c r="Q381" i="17"/>
  <c r="I341" i="16"/>
  <c r="F63" i="19"/>
  <c r="I53" i="16"/>
  <c r="J351" i="16"/>
  <c r="I59" i="16"/>
  <c r="I249" i="16"/>
  <c r="I349" i="16"/>
  <c r="J349" i="16"/>
  <c r="I209" i="16"/>
  <c r="I257" i="16"/>
  <c r="I309" i="16"/>
  <c r="J89" i="16"/>
  <c r="J283" i="16"/>
  <c r="J207" i="16"/>
  <c r="I155" i="16"/>
  <c r="J223" i="16"/>
  <c r="I319" i="16"/>
  <c r="J41" i="16"/>
  <c r="I213" i="16"/>
  <c r="J107" i="16"/>
  <c r="I107" i="16"/>
  <c r="J271" i="16"/>
  <c r="AI239" i="17"/>
  <c r="AH239" i="17" s="1"/>
  <c r="AG239" i="17" s="1"/>
  <c r="AF239" i="17" s="1"/>
  <c r="I335" i="16"/>
  <c r="I221" i="16"/>
  <c r="J221" i="16"/>
  <c r="AD239" i="17"/>
  <c r="I285" i="16"/>
  <c r="J285" i="16"/>
  <c r="I169" i="16"/>
  <c r="J169" i="16"/>
  <c r="I205" i="16"/>
  <c r="J205" i="16"/>
  <c r="AI47" i="17"/>
  <c r="AH47" i="17" s="1"/>
  <c r="AI371" i="17"/>
  <c r="AH371" i="17" s="1"/>
  <c r="AI19" i="17"/>
  <c r="AH19" i="17" s="1"/>
  <c r="AI379" i="17"/>
  <c r="AI323" i="17"/>
  <c r="AH323" i="17" s="1"/>
  <c r="AI207" i="17"/>
  <c r="AH207" i="17" s="1"/>
  <c r="AI79" i="17"/>
  <c r="AH79" i="17" s="1"/>
  <c r="AI363" i="17"/>
  <c r="AH363" i="17" s="1"/>
  <c r="AI331" i="17"/>
  <c r="AH331" i="17" s="1"/>
  <c r="AI287" i="17"/>
  <c r="AH287" i="17" s="1"/>
  <c r="AI223" i="17"/>
  <c r="AH223" i="17" s="1"/>
  <c r="AI159" i="17"/>
  <c r="AH159" i="17" s="1"/>
  <c r="AI95" i="17"/>
  <c r="AH95" i="17" s="1"/>
  <c r="AI31" i="17"/>
  <c r="AH31" i="17" s="1"/>
  <c r="AI367" i="17"/>
  <c r="AH367" i="17" s="1"/>
  <c r="AI351" i="17"/>
  <c r="AH351" i="17" s="1"/>
  <c r="AI335" i="17"/>
  <c r="AH335" i="17" s="1"/>
  <c r="AI319" i="17"/>
  <c r="AH319" i="17" s="1"/>
  <c r="AI295" i="17"/>
  <c r="AH295" i="17" s="1"/>
  <c r="AI263" i="17"/>
  <c r="AH263" i="17" s="1"/>
  <c r="AI231" i="17"/>
  <c r="AH231" i="17" s="1"/>
  <c r="AI199" i="17"/>
  <c r="AH199" i="17" s="1"/>
  <c r="AI167" i="17"/>
  <c r="AH167" i="17" s="1"/>
  <c r="AI135" i="17"/>
  <c r="AH135" i="17" s="1"/>
  <c r="AI103" i="17"/>
  <c r="AH103" i="17" s="1"/>
  <c r="AI71" i="17"/>
  <c r="AH71" i="17" s="1"/>
  <c r="AI39" i="17"/>
  <c r="AH39" i="17" s="1"/>
  <c r="AI373" i="17"/>
  <c r="AH373" i="17" s="1"/>
  <c r="AI365" i="17"/>
  <c r="AH365" i="17" s="1"/>
  <c r="AI357" i="17"/>
  <c r="AH357" i="17" s="1"/>
  <c r="AI349" i="17"/>
  <c r="AH349" i="17" s="1"/>
  <c r="AI341" i="17"/>
  <c r="AH341" i="17" s="1"/>
  <c r="AI333" i="17"/>
  <c r="AH333" i="17" s="1"/>
  <c r="AI325" i="17"/>
  <c r="AH325" i="17" s="1"/>
  <c r="AI317" i="17"/>
  <c r="AH317" i="17" s="1"/>
  <c r="AI307" i="17"/>
  <c r="AH307" i="17" s="1"/>
  <c r="AI291" i="17"/>
  <c r="AH291" i="17" s="1"/>
  <c r="AI275" i="17"/>
  <c r="AH275" i="17" s="1"/>
  <c r="AI259" i="17"/>
  <c r="AH259" i="17" s="1"/>
  <c r="AI243" i="17"/>
  <c r="AH243" i="17" s="1"/>
  <c r="AI227" i="17"/>
  <c r="AH227" i="17" s="1"/>
  <c r="AI211" i="17"/>
  <c r="AH211" i="17" s="1"/>
  <c r="AI195" i="17"/>
  <c r="AH195" i="17" s="1"/>
  <c r="AI179" i="17"/>
  <c r="AH179" i="17" s="1"/>
  <c r="AI163" i="17"/>
  <c r="AH163" i="17" s="1"/>
  <c r="AI147" i="17"/>
  <c r="AH147" i="17" s="1"/>
  <c r="AI131" i="17"/>
  <c r="AH131" i="17" s="1"/>
  <c r="AI115" i="17"/>
  <c r="AH115" i="17" s="1"/>
  <c r="AI99" i="17"/>
  <c r="AH99" i="17" s="1"/>
  <c r="AI83" i="17"/>
  <c r="AH83" i="17" s="1"/>
  <c r="AI67" i="17"/>
  <c r="AH67" i="17" s="1"/>
  <c r="AI51" i="17"/>
  <c r="AH51" i="17" s="1"/>
  <c r="AI35" i="17"/>
  <c r="AH35" i="17" s="1"/>
  <c r="AI15" i="17"/>
  <c r="AI376" i="17"/>
  <c r="AH376" i="17" s="1"/>
  <c r="AI372" i="17"/>
  <c r="AH372" i="17" s="1"/>
  <c r="AI368" i="17"/>
  <c r="AH368" i="17" s="1"/>
  <c r="AI364" i="17"/>
  <c r="AH364" i="17" s="1"/>
  <c r="AI360" i="17"/>
  <c r="AH360" i="17" s="1"/>
  <c r="AI356" i="17"/>
  <c r="AH356" i="17" s="1"/>
  <c r="AI352" i="17"/>
  <c r="AH352" i="17" s="1"/>
  <c r="AI348" i="17"/>
  <c r="AH348" i="17" s="1"/>
  <c r="AI344" i="17"/>
  <c r="AH344" i="17" s="1"/>
  <c r="AI340" i="17"/>
  <c r="AH340" i="17" s="1"/>
  <c r="AI336" i="17"/>
  <c r="AH336" i="17" s="1"/>
  <c r="AI332" i="17"/>
  <c r="AH332" i="17" s="1"/>
  <c r="AI328" i="17"/>
  <c r="AH328" i="17" s="1"/>
  <c r="AI324" i="17"/>
  <c r="AH324" i="17" s="1"/>
  <c r="AI320" i="17"/>
  <c r="AH320" i="17" s="1"/>
  <c r="AI316" i="17"/>
  <c r="AH316" i="17" s="1"/>
  <c r="AI312" i="17"/>
  <c r="AH312" i="17" s="1"/>
  <c r="AI305" i="17"/>
  <c r="AH305" i="17" s="1"/>
  <c r="AI297" i="17"/>
  <c r="AH297" i="17" s="1"/>
  <c r="AI289" i="17"/>
  <c r="AH289" i="17" s="1"/>
  <c r="AI281" i="17"/>
  <c r="AH281" i="17" s="1"/>
  <c r="AI273" i="17"/>
  <c r="AH273" i="17" s="1"/>
  <c r="AI265" i="17"/>
  <c r="AH265" i="17" s="1"/>
  <c r="AI257" i="17"/>
  <c r="AH257" i="17" s="1"/>
  <c r="AI249" i="17"/>
  <c r="AH249" i="17" s="1"/>
  <c r="AI241" i="17"/>
  <c r="AH241" i="17" s="1"/>
  <c r="AI339" i="17"/>
  <c r="AH339" i="17" s="1"/>
  <c r="AI111" i="17"/>
  <c r="AH111" i="17" s="1"/>
  <c r="AI175" i="17"/>
  <c r="AH175" i="17" s="1"/>
  <c r="AI355" i="17"/>
  <c r="AH355" i="17" s="1"/>
  <c r="AI271" i="17"/>
  <c r="AH271" i="17" s="1"/>
  <c r="AI143" i="17"/>
  <c r="AH143" i="17" s="1"/>
  <c r="AI18" i="17"/>
  <c r="AH18" i="17" s="1"/>
  <c r="AI347" i="17"/>
  <c r="AH347" i="17" s="1"/>
  <c r="AI315" i="17"/>
  <c r="AH315" i="17" s="1"/>
  <c r="AI255" i="17"/>
  <c r="AH255" i="17" s="1"/>
  <c r="AI191" i="17"/>
  <c r="AH191" i="17" s="1"/>
  <c r="AI127" i="17"/>
  <c r="AH127" i="17" s="1"/>
  <c r="AI63" i="17"/>
  <c r="AH63" i="17" s="1"/>
  <c r="AI375" i="17"/>
  <c r="AH375" i="17" s="1"/>
  <c r="AI359" i="17"/>
  <c r="AH359" i="17" s="1"/>
  <c r="AI343" i="17"/>
  <c r="AH343" i="17" s="1"/>
  <c r="AI327" i="17"/>
  <c r="AH327" i="17" s="1"/>
  <c r="AI311" i="17"/>
  <c r="AH311" i="17" s="1"/>
  <c r="AI279" i="17"/>
  <c r="AH279" i="17" s="1"/>
  <c r="AI247" i="17"/>
  <c r="AH247" i="17" s="1"/>
  <c r="AI215" i="17"/>
  <c r="AH215" i="17" s="1"/>
  <c r="AI183" i="17"/>
  <c r="AH183" i="17" s="1"/>
  <c r="AI151" i="17"/>
  <c r="AH151" i="17" s="1"/>
  <c r="AI119" i="17"/>
  <c r="AH119" i="17" s="1"/>
  <c r="AI87" i="17"/>
  <c r="AH87" i="17" s="1"/>
  <c r="AI55" i="17"/>
  <c r="AH55" i="17" s="1"/>
  <c r="AI23" i="17"/>
  <c r="AH23" i="17" s="1"/>
  <c r="AI377" i="17"/>
  <c r="AH377" i="17" s="1"/>
  <c r="AI369" i="17"/>
  <c r="AH369" i="17" s="1"/>
  <c r="AI361" i="17"/>
  <c r="AH361" i="17" s="1"/>
  <c r="AI353" i="17"/>
  <c r="AH353" i="17" s="1"/>
  <c r="AI345" i="17"/>
  <c r="AH345" i="17" s="1"/>
  <c r="AI337" i="17"/>
  <c r="AH337" i="17" s="1"/>
  <c r="AI329" i="17"/>
  <c r="AH329" i="17" s="1"/>
  <c r="AI321" i="17"/>
  <c r="AH321" i="17" s="1"/>
  <c r="AI313" i="17"/>
  <c r="AH313" i="17" s="1"/>
  <c r="AI299" i="17"/>
  <c r="AH299" i="17" s="1"/>
  <c r="AI283" i="17"/>
  <c r="AH283" i="17" s="1"/>
  <c r="AI267" i="17"/>
  <c r="AH267" i="17" s="1"/>
  <c r="AI251" i="17"/>
  <c r="AH251" i="17" s="1"/>
  <c r="AI235" i="17"/>
  <c r="AH235" i="17" s="1"/>
  <c r="AI219" i="17"/>
  <c r="AH219" i="17" s="1"/>
  <c r="AI203" i="17"/>
  <c r="AH203" i="17" s="1"/>
  <c r="AI187" i="17"/>
  <c r="AH187" i="17" s="1"/>
  <c r="AI171" i="17"/>
  <c r="AH171" i="17" s="1"/>
  <c r="AI155" i="17"/>
  <c r="AH155" i="17" s="1"/>
  <c r="AI139" i="17"/>
  <c r="AH139" i="17" s="1"/>
  <c r="AI123" i="17"/>
  <c r="AH123" i="17" s="1"/>
  <c r="AI107" i="17"/>
  <c r="AH107" i="17" s="1"/>
  <c r="AI91" i="17"/>
  <c r="AH91" i="17" s="1"/>
  <c r="AI75" i="17"/>
  <c r="AH75" i="17" s="1"/>
  <c r="AI59" i="17"/>
  <c r="AH59" i="17" s="1"/>
  <c r="AI43" i="17"/>
  <c r="AH43" i="17" s="1"/>
  <c r="AI27" i="17"/>
  <c r="AH27" i="17" s="1"/>
  <c r="AI378" i="17"/>
  <c r="AH378" i="17" s="1"/>
  <c r="AI374" i="17"/>
  <c r="AH374" i="17" s="1"/>
  <c r="AI370" i="17"/>
  <c r="AH370" i="17" s="1"/>
  <c r="AI366" i="17"/>
  <c r="AH366" i="17" s="1"/>
  <c r="AI362" i="17"/>
  <c r="AH362" i="17" s="1"/>
  <c r="AI358" i="17"/>
  <c r="AH358" i="17" s="1"/>
  <c r="AI354" i="17"/>
  <c r="AH354" i="17" s="1"/>
  <c r="AI350" i="17"/>
  <c r="AH350" i="17" s="1"/>
  <c r="AI346" i="17"/>
  <c r="AH346" i="17" s="1"/>
  <c r="AI342" i="17"/>
  <c r="AH342" i="17" s="1"/>
  <c r="AI338" i="17"/>
  <c r="AH338" i="17" s="1"/>
  <c r="AI334" i="17"/>
  <c r="AH334" i="17" s="1"/>
  <c r="AI330" i="17"/>
  <c r="AH330" i="17" s="1"/>
  <c r="AI326" i="17"/>
  <c r="AH326" i="17" s="1"/>
  <c r="AI322" i="17"/>
  <c r="AH322" i="17" s="1"/>
  <c r="AI318" i="17"/>
  <c r="AH318" i="17" s="1"/>
  <c r="AI314" i="17"/>
  <c r="AH314" i="17" s="1"/>
  <c r="AI309" i="17"/>
  <c r="AH309" i="17" s="1"/>
  <c r="AI301" i="17"/>
  <c r="AH301" i="17" s="1"/>
  <c r="AI293" i="17"/>
  <c r="AH293" i="17" s="1"/>
  <c r="AI285" i="17"/>
  <c r="AH285" i="17" s="1"/>
  <c r="AI277" i="17"/>
  <c r="AH277" i="17" s="1"/>
  <c r="AI269" i="17"/>
  <c r="AH269" i="17" s="1"/>
  <c r="AI261" i="17"/>
  <c r="AH261" i="17" s="1"/>
  <c r="AI253" i="17"/>
  <c r="AH253" i="17" s="1"/>
  <c r="AI245" i="17"/>
  <c r="AH245" i="17" s="1"/>
  <c r="AI233" i="17"/>
  <c r="AH233" i="17" s="1"/>
  <c r="AI225" i="17"/>
  <c r="AH225" i="17" s="1"/>
  <c r="AI217" i="17"/>
  <c r="AH217" i="17" s="1"/>
  <c r="AI209" i="17"/>
  <c r="AH209" i="17" s="1"/>
  <c r="AI201" i="17"/>
  <c r="AH201" i="17" s="1"/>
  <c r="AI193" i="17"/>
  <c r="AH193" i="17" s="1"/>
  <c r="AI185" i="17"/>
  <c r="AH185" i="17" s="1"/>
  <c r="AI177" i="17"/>
  <c r="AH177" i="17" s="1"/>
  <c r="AI169" i="17"/>
  <c r="AH169" i="17" s="1"/>
  <c r="AI161" i="17"/>
  <c r="AH161" i="17" s="1"/>
  <c r="AI153" i="17"/>
  <c r="AH153" i="17" s="1"/>
  <c r="AI145" i="17"/>
  <c r="AH145" i="17" s="1"/>
  <c r="AI137" i="17"/>
  <c r="AH137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W16" i="7"/>
  <c r="AI16" i="17"/>
  <c r="AH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130" i="17"/>
  <c r="AH130" i="17" s="1"/>
  <c r="AI134" i="17"/>
  <c r="AH134" i="17" s="1"/>
  <c r="AI138" i="17"/>
  <c r="AH138" i="17" s="1"/>
  <c r="AI142" i="17"/>
  <c r="AH142" i="17" s="1"/>
  <c r="AI146" i="17"/>
  <c r="AH146" i="17" s="1"/>
  <c r="AI150" i="17"/>
  <c r="AH150" i="17" s="1"/>
  <c r="AI154" i="17"/>
  <c r="AH154" i="17" s="1"/>
  <c r="AI158" i="17"/>
  <c r="AH158" i="17" s="1"/>
  <c r="AI162" i="17"/>
  <c r="AH162" i="17" s="1"/>
  <c r="AI166" i="17"/>
  <c r="AH166" i="17" s="1"/>
  <c r="AI170" i="17"/>
  <c r="AH170" i="17" s="1"/>
  <c r="AI174" i="17"/>
  <c r="AH174" i="17" s="1"/>
  <c r="AI178" i="17"/>
  <c r="AH178" i="17" s="1"/>
  <c r="AI182" i="17"/>
  <c r="AH182" i="17" s="1"/>
  <c r="AI186" i="17"/>
  <c r="AH186" i="17" s="1"/>
  <c r="AI190" i="17"/>
  <c r="AH190" i="17" s="1"/>
  <c r="AI194" i="17"/>
  <c r="AH194" i="17" s="1"/>
  <c r="AI198" i="17"/>
  <c r="AH198" i="17" s="1"/>
  <c r="AI202" i="17"/>
  <c r="AH202" i="17" s="1"/>
  <c r="AI206" i="17"/>
  <c r="AH206" i="17" s="1"/>
  <c r="AI210" i="17"/>
  <c r="AH210" i="17" s="1"/>
  <c r="AI214" i="17"/>
  <c r="AH214" i="17" s="1"/>
  <c r="AI218" i="17"/>
  <c r="AH218" i="17" s="1"/>
  <c r="AI222" i="17"/>
  <c r="AH222" i="17" s="1"/>
  <c r="AI226" i="17"/>
  <c r="AH226" i="17" s="1"/>
  <c r="AI230" i="17"/>
  <c r="AH230" i="17" s="1"/>
  <c r="AI234" i="17"/>
  <c r="AH234" i="17" s="1"/>
  <c r="AI238" i="17"/>
  <c r="AH238" i="17" s="1"/>
  <c r="AI242" i="17"/>
  <c r="AH242" i="17" s="1"/>
  <c r="AI237" i="17"/>
  <c r="AH237" i="17" s="1"/>
  <c r="AI229" i="17"/>
  <c r="AH229" i="17" s="1"/>
  <c r="AI221" i="17"/>
  <c r="AH221" i="17" s="1"/>
  <c r="AI213" i="17"/>
  <c r="AH213" i="17" s="1"/>
  <c r="AI205" i="17"/>
  <c r="AH205" i="17" s="1"/>
  <c r="AI197" i="17"/>
  <c r="AH197" i="17" s="1"/>
  <c r="AI189" i="17"/>
  <c r="AH189" i="17" s="1"/>
  <c r="AI181" i="17"/>
  <c r="AH181" i="17" s="1"/>
  <c r="AI173" i="17"/>
  <c r="AH173" i="17" s="1"/>
  <c r="AI165" i="17"/>
  <c r="AH165" i="17" s="1"/>
  <c r="AI157" i="17"/>
  <c r="AH157" i="17" s="1"/>
  <c r="AI149" i="17"/>
  <c r="AH149" i="17" s="1"/>
  <c r="AI141" i="17"/>
  <c r="AH141" i="17" s="1"/>
  <c r="AI133" i="17"/>
  <c r="AH133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132" i="17"/>
  <c r="AH132" i="17" s="1"/>
  <c r="AI136" i="17"/>
  <c r="AH136" i="17" s="1"/>
  <c r="AI140" i="17"/>
  <c r="AH140" i="17" s="1"/>
  <c r="AI144" i="17"/>
  <c r="AH144" i="17" s="1"/>
  <c r="AI148" i="17"/>
  <c r="AH148" i="17" s="1"/>
  <c r="AI152" i="17"/>
  <c r="AH152" i="17" s="1"/>
  <c r="AI156" i="17"/>
  <c r="AH156" i="17" s="1"/>
  <c r="AI160" i="17"/>
  <c r="AH160" i="17" s="1"/>
  <c r="AI164" i="17"/>
  <c r="AH164" i="17" s="1"/>
  <c r="AI168" i="17"/>
  <c r="AH168" i="17" s="1"/>
  <c r="AI172" i="17"/>
  <c r="AH172" i="17" s="1"/>
  <c r="AI176" i="17"/>
  <c r="AH176" i="17" s="1"/>
  <c r="AI180" i="17"/>
  <c r="AH180" i="17" s="1"/>
  <c r="AI184" i="17"/>
  <c r="AH184" i="17" s="1"/>
  <c r="AI188" i="17"/>
  <c r="AH188" i="17" s="1"/>
  <c r="AI192" i="17"/>
  <c r="AH192" i="17" s="1"/>
  <c r="AI196" i="17"/>
  <c r="AH196" i="17" s="1"/>
  <c r="AI200" i="17"/>
  <c r="AH200" i="17" s="1"/>
  <c r="AI204" i="17"/>
  <c r="AH204" i="17" s="1"/>
  <c r="AI208" i="17"/>
  <c r="AH208" i="17" s="1"/>
  <c r="AI212" i="17"/>
  <c r="AH212" i="17" s="1"/>
  <c r="AI216" i="17"/>
  <c r="AH216" i="17" s="1"/>
  <c r="AI220" i="17"/>
  <c r="AH220" i="17" s="1"/>
  <c r="AI224" i="17"/>
  <c r="AH224" i="17" s="1"/>
  <c r="AI228" i="17"/>
  <c r="AH228" i="17" s="1"/>
  <c r="AI232" i="17"/>
  <c r="AH232" i="17" s="1"/>
  <c r="AI236" i="17"/>
  <c r="AH236" i="17" s="1"/>
  <c r="AI240" i="17"/>
  <c r="AH240" i="17" s="1"/>
  <c r="AI244" i="17"/>
  <c r="AH244" i="17" s="1"/>
  <c r="AI248" i="17"/>
  <c r="AH248" i="17" s="1"/>
  <c r="AI252" i="17"/>
  <c r="AH252" i="17" s="1"/>
  <c r="AI256" i="17"/>
  <c r="AH256" i="17" s="1"/>
  <c r="AI260" i="17"/>
  <c r="AH260" i="17" s="1"/>
  <c r="AI264" i="17"/>
  <c r="AH264" i="17" s="1"/>
  <c r="AI268" i="17"/>
  <c r="AH268" i="17" s="1"/>
  <c r="AI272" i="17"/>
  <c r="AH272" i="17" s="1"/>
  <c r="AI276" i="17"/>
  <c r="AH276" i="17" s="1"/>
  <c r="AI280" i="17"/>
  <c r="AH280" i="17" s="1"/>
  <c r="AI284" i="17"/>
  <c r="AH284" i="17" s="1"/>
  <c r="AI288" i="17"/>
  <c r="AH288" i="17" s="1"/>
  <c r="AI292" i="17"/>
  <c r="AH292" i="17" s="1"/>
  <c r="AI296" i="17"/>
  <c r="AH296" i="17" s="1"/>
  <c r="AI300" i="17"/>
  <c r="AH300" i="17" s="1"/>
  <c r="AI304" i="17"/>
  <c r="AH304" i="17" s="1"/>
  <c r="AI308" i="17"/>
  <c r="AH308" i="17" s="1"/>
  <c r="U379" i="17"/>
  <c r="U375" i="17"/>
  <c r="T375" i="17" s="1"/>
  <c r="S375" i="17" s="1"/>
  <c r="R375" i="17" s="1"/>
  <c r="P375" i="17" s="1"/>
  <c r="V375" i="17" s="1"/>
  <c r="F375" i="17" s="1"/>
  <c r="U371" i="17"/>
  <c r="T371" i="17" s="1"/>
  <c r="S371" i="17" s="1"/>
  <c r="R371" i="17" s="1"/>
  <c r="P371" i="17" s="1"/>
  <c r="V371" i="17" s="1"/>
  <c r="F371" i="17" s="1"/>
  <c r="U367" i="17"/>
  <c r="T367" i="17" s="1"/>
  <c r="U363" i="17"/>
  <c r="T363" i="17" s="1"/>
  <c r="U359" i="17"/>
  <c r="T359" i="17" s="1"/>
  <c r="S359" i="17" s="1"/>
  <c r="R359" i="17" s="1"/>
  <c r="P359" i="17" s="1"/>
  <c r="V359" i="17" s="1"/>
  <c r="F359" i="17" s="1"/>
  <c r="U355" i="17"/>
  <c r="T355" i="17" s="1"/>
  <c r="S355" i="17" s="1"/>
  <c r="R355" i="17" s="1"/>
  <c r="P355" i="17" s="1"/>
  <c r="V355" i="17" s="1"/>
  <c r="F355" i="17" s="1"/>
  <c r="U351" i="17"/>
  <c r="T351" i="17" s="1"/>
  <c r="U347" i="17"/>
  <c r="T347" i="17" s="1"/>
  <c r="U343" i="17"/>
  <c r="T343" i="17" s="1"/>
  <c r="S343" i="17" s="1"/>
  <c r="R343" i="17" s="1"/>
  <c r="P343" i="17" s="1"/>
  <c r="V343" i="17" s="1"/>
  <c r="F343" i="17" s="1"/>
  <c r="U339" i="17"/>
  <c r="T339" i="17" s="1"/>
  <c r="S339" i="17" s="1"/>
  <c r="R339" i="17" s="1"/>
  <c r="P339" i="17" s="1"/>
  <c r="V339" i="17" s="1"/>
  <c r="F339" i="17" s="1"/>
  <c r="U335" i="17"/>
  <c r="T335" i="17" s="1"/>
  <c r="S335" i="17" s="1"/>
  <c r="R335" i="17" s="1"/>
  <c r="P335" i="17" s="1"/>
  <c r="V335" i="17" s="1"/>
  <c r="F335" i="17" s="1"/>
  <c r="G335" i="17" s="1"/>
  <c r="BZ335" i="6" s="1"/>
  <c r="U331" i="17"/>
  <c r="T331" i="17" s="1"/>
  <c r="S331" i="17" s="1"/>
  <c r="R331" i="17" s="1"/>
  <c r="P331" i="17" s="1"/>
  <c r="V331" i="17" s="1"/>
  <c r="F331" i="17" s="1"/>
  <c r="U327" i="17"/>
  <c r="T327" i="17" s="1"/>
  <c r="S327" i="17" s="1"/>
  <c r="R327" i="17" s="1"/>
  <c r="P327" i="17" s="1"/>
  <c r="V327" i="17" s="1"/>
  <c r="F327" i="17" s="1"/>
  <c r="U323" i="17"/>
  <c r="T323" i="17" s="1"/>
  <c r="U319" i="17"/>
  <c r="T319" i="17" s="1"/>
  <c r="S319" i="17" s="1"/>
  <c r="R319" i="17" s="1"/>
  <c r="P319" i="17" s="1"/>
  <c r="V319" i="17" s="1"/>
  <c r="F319" i="17" s="1"/>
  <c r="U315" i="17"/>
  <c r="T315" i="17" s="1"/>
  <c r="S315" i="17" s="1"/>
  <c r="R315" i="17" s="1"/>
  <c r="P315" i="17" s="1"/>
  <c r="V315" i="17" s="1"/>
  <c r="F315" i="17" s="1"/>
  <c r="U311" i="17"/>
  <c r="T311" i="17" s="1"/>
  <c r="S311" i="17" s="1"/>
  <c r="R311" i="17" s="1"/>
  <c r="P311" i="17" s="1"/>
  <c r="V311" i="17" s="1"/>
  <c r="F311" i="17" s="1"/>
  <c r="U307" i="17"/>
  <c r="T307" i="17" s="1"/>
  <c r="U303" i="17"/>
  <c r="T303" i="17" s="1"/>
  <c r="U299" i="17"/>
  <c r="T299" i="17" s="1"/>
  <c r="S299" i="17" s="1"/>
  <c r="R299" i="17" s="1"/>
  <c r="P299" i="17" s="1"/>
  <c r="V299" i="17" s="1"/>
  <c r="F299" i="17" s="1"/>
  <c r="H299" i="17" s="1"/>
  <c r="U295" i="17"/>
  <c r="T295" i="17" s="1"/>
  <c r="U291" i="17"/>
  <c r="T291" i="17" s="1"/>
  <c r="U287" i="17"/>
  <c r="T287" i="17" s="1"/>
  <c r="S287" i="17" s="1"/>
  <c r="R287" i="17" s="1"/>
  <c r="P287" i="17" s="1"/>
  <c r="V287" i="17" s="1"/>
  <c r="F287" i="17" s="1"/>
  <c r="U283" i="17"/>
  <c r="T283" i="17" s="1"/>
  <c r="S283" i="17" s="1"/>
  <c r="R283" i="17" s="1"/>
  <c r="P283" i="17" s="1"/>
  <c r="V283" i="17" s="1"/>
  <c r="F283" i="17" s="1"/>
  <c r="U279" i="17"/>
  <c r="T279" i="17" s="1"/>
  <c r="S279" i="17" s="1"/>
  <c r="R279" i="17" s="1"/>
  <c r="P279" i="17" s="1"/>
  <c r="V279" i="17" s="1"/>
  <c r="F279" i="17" s="1"/>
  <c r="U275" i="17"/>
  <c r="T275" i="17" s="1"/>
  <c r="U271" i="17"/>
  <c r="T271" i="17" s="1"/>
  <c r="S271" i="17" s="1"/>
  <c r="R271" i="17" s="1"/>
  <c r="P271" i="17" s="1"/>
  <c r="V271" i="17" s="1"/>
  <c r="F271" i="17" s="1"/>
  <c r="U267" i="17"/>
  <c r="T267" i="17" s="1"/>
  <c r="U263" i="17"/>
  <c r="T263" i="17" s="1"/>
  <c r="S263" i="17" s="1"/>
  <c r="R263" i="17" s="1"/>
  <c r="P263" i="17" s="1"/>
  <c r="V263" i="17" s="1"/>
  <c r="F263" i="17" s="1"/>
  <c r="U259" i="17"/>
  <c r="T259" i="17" s="1"/>
  <c r="S259" i="17" s="1"/>
  <c r="R259" i="17" s="1"/>
  <c r="P259" i="17" s="1"/>
  <c r="V259" i="17" s="1"/>
  <c r="F259" i="17" s="1"/>
  <c r="U255" i="17"/>
  <c r="T255" i="17" s="1"/>
  <c r="S255" i="17" s="1"/>
  <c r="R255" i="17" s="1"/>
  <c r="P255" i="17" s="1"/>
  <c r="V255" i="17" s="1"/>
  <c r="U251" i="17"/>
  <c r="T251" i="17" s="1"/>
  <c r="U247" i="17"/>
  <c r="T247" i="17" s="1"/>
  <c r="S247" i="17" s="1"/>
  <c r="R247" i="17" s="1"/>
  <c r="P247" i="17" s="1"/>
  <c r="V247" i="17" s="1"/>
  <c r="U243" i="17"/>
  <c r="T243" i="17" s="1"/>
  <c r="U239" i="17"/>
  <c r="T239" i="17" s="1"/>
  <c r="U235" i="17"/>
  <c r="T235" i="17" s="1"/>
  <c r="U231" i="17"/>
  <c r="T231" i="17" s="1"/>
  <c r="U227" i="17"/>
  <c r="T227" i="17" s="1"/>
  <c r="U223" i="17"/>
  <c r="T223" i="17" s="1"/>
  <c r="U219" i="17"/>
  <c r="T219" i="17" s="1"/>
  <c r="S219" i="17" s="1"/>
  <c r="R219" i="17" s="1"/>
  <c r="P219" i="17" s="1"/>
  <c r="V219" i="17" s="1"/>
  <c r="F219" i="17" s="1"/>
  <c r="H219" i="17" s="1"/>
  <c r="I219" i="17" s="1"/>
  <c r="U215" i="17"/>
  <c r="T215" i="17" s="1"/>
  <c r="S215" i="17" s="1"/>
  <c r="R215" i="17" s="1"/>
  <c r="P215" i="17" s="1"/>
  <c r="V215" i="17" s="1"/>
  <c r="F215" i="17" s="1"/>
  <c r="G215" i="17" s="1"/>
  <c r="BZ215" i="6" s="1"/>
  <c r="U211" i="17"/>
  <c r="T211" i="17" s="1"/>
  <c r="S211" i="17" s="1"/>
  <c r="R211" i="17" s="1"/>
  <c r="P211" i="17" s="1"/>
  <c r="V211" i="17" s="1"/>
  <c r="F211" i="17" s="1"/>
  <c r="U207" i="17"/>
  <c r="T207" i="17" s="1"/>
  <c r="U203" i="17"/>
  <c r="T203" i="17" s="1"/>
  <c r="S203" i="17" s="1"/>
  <c r="R203" i="17" s="1"/>
  <c r="P203" i="17" s="1"/>
  <c r="V203" i="17" s="1"/>
  <c r="F203" i="17" s="1"/>
  <c r="G203" i="17" s="1"/>
  <c r="BZ203" i="6" s="1"/>
  <c r="U199" i="17"/>
  <c r="T199" i="17" s="1"/>
  <c r="S199" i="17" s="1"/>
  <c r="R199" i="17" s="1"/>
  <c r="P199" i="17" s="1"/>
  <c r="V199" i="17" s="1"/>
  <c r="F199" i="17" s="1"/>
  <c r="U195" i="17"/>
  <c r="T195" i="17" s="1"/>
  <c r="S195" i="17" s="1"/>
  <c r="R195" i="17" s="1"/>
  <c r="P195" i="17" s="1"/>
  <c r="V195" i="17" s="1"/>
  <c r="U191" i="17"/>
  <c r="T191" i="17" s="1"/>
  <c r="S191" i="17" s="1"/>
  <c r="R191" i="17" s="1"/>
  <c r="P191" i="17" s="1"/>
  <c r="V191" i="17" s="1"/>
  <c r="F191" i="17" s="1"/>
  <c r="G191" i="17" s="1"/>
  <c r="BZ191" i="6" s="1"/>
  <c r="U187" i="17"/>
  <c r="T187" i="17" s="1"/>
  <c r="S187" i="17" s="1"/>
  <c r="R187" i="17" s="1"/>
  <c r="P187" i="17" s="1"/>
  <c r="V187" i="17" s="1"/>
  <c r="F187" i="17" s="1"/>
  <c r="U183" i="17"/>
  <c r="T183" i="17" s="1"/>
  <c r="U179" i="17"/>
  <c r="T179" i="17" s="1"/>
  <c r="U175" i="17"/>
  <c r="T175" i="17" s="1"/>
  <c r="S175" i="17" s="1"/>
  <c r="R175" i="17" s="1"/>
  <c r="P175" i="17" s="1"/>
  <c r="V175" i="17" s="1"/>
  <c r="F175" i="17" s="1"/>
  <c r="U171" i="17"/>
  <c r="T171" i="17" s="1"/>
  <c r="U167" i="17"/>
  <c r="T167" i="17" s="1"/>
  <c r="S167" i="17" s="1"/>
  <c r="R167" i="17" s="1"/>
  <c r="P167" i="17" s="1"/>
  <c r="V167" i="17" s="1"/>
  <c r="F167" i="17" s="1"/>
  <c r="U163" i="17"/>
  <c r="T163" i="17" s="1"/>
  <c r="U159" i="17"/>
  <c r="T159" i="17" s="1"/>
  <c r="U155" i="17"/>
  <c r="T155" i="17" s="1"/>
  <c r="U151" i="17"/>
  <c r="T151" i="17" s="1"/>
  <c r="S151" i="17" s="1"/>
  <c r="R151" i="17" s="1"/>
  <c r="P151" i="17" s="1"/>
  <c r="V151" i="17" s="1"/>
  <c r="F151" i="17" s="1"/>
  <c r="U147" i="17"/>
  <c r="T147" i="17" s="1"/>
  <c r="U143" i="17"/>
  <c r="T143" i="17" s="1"/>
  <c r="U139" i="17"/>
  <c r="T139" i="17" s="1"/>
  <c r="S139" i="17" s="1"/>
  <c r="R139" i="17" s="1"/>
  <c r="P139" i="17" s="1"/>
  <c r="V139" i="17" s="1"/>
  <c r="U135" i="17"/>
  <c r="T135" i="17" s="1"/>
  <c r="U131" i="17"/>
  <c r="T131" i="17" s="1"/>
  <c r="U127" i="17"/>
  <c r="T127" i="17" s="1"/>
  <c r="S127" i="17" s="1"/>
  <c r="R127" i="17" s="1"/>
  <c r="P127" i="17" s="1"/>
  <c r="V127" i="17" s="1"/>
  <c r="F127" i="17" s="1"/>
  <c r="U123" i="17"/>
  <c r="T123" i="17" s="1"/>
  <c r="S123" i="17" s="1"/>
  <c r="R123" i="17" s="1"/>
  <c r="P123" i="17" s="1"/>
  <c r="V123" i="17" s="1"/>
  <c r="F123" i="17" s="1"/>
  <c r="U119" i="17"/>
  <c r="T119" i="17" s="1"/>
  <c r="U115" i="17"/>
  <c r="T115" i="17" s="1"/>
  <c r="U111" i="17"/>
  <c r="T111" i="17" s="1"/>
  <c r="U107" i="17"/>
  <c r="T107" i="17" s="1"/>
  <c r="S107" i="17" s="1"/>
  <c r="R107" i="17" s="1"/>
  <c r="P107" i="17" s="1"/>
  <c r="V107" i="17" s="1"/>
  <c r="F107" i="17" s="1"/>
  <c r="U103" i="17"/>
  <c r="T103" i="17" s="1"/>
  <c r="S103" i="17" s="1"/>
  <c r="R103" i="17" s="1"/>
  <c r="P103" i="17" s="1"/>
  <c r="V103" i="17" s="1"/>
  <c r="F103" i="17" s="1"/>
  <c r="U99" i="17"/>
  <c r="T99" i="17" s="1"/>
  <c r="S99" i="17" s="1"/>
  <c r="R99" i="17" s="1"/>
  <c r="P99" i="17" s="1"/>
  <c r="V99" i="17" s="1"/>
  <c r="F99" i="17" s="1"/>
  <c r="U95" i="17"/>
  <c r="T95" i="17" s="1"/>
  <c r="U91" i="17"/>
  <c r="T91" i="17" s="1"/>
  <c r="U87" i="17"/>
  <c r="T87" i="17" s="1"/>
  <c r="U83" i="17"/>
  <c r="T83" i="17" s="1"/>
  <c r="S83" i="17" s="1"/>
  <c r="R83" i="17" s="1"/>
  <c r="P83" i="17" s="1"/>
  <c r="V83" i="17" s="1"/>
  <c r="F83" i="17" s="1"/>
  <c r="U79" i="17"/>
  <c r="T79" i="17" s="1"/>
  <c r="U75" i="17"/>
  <c r="T75" i="17" s="1"/>
  <c r="U71" i="17"/>
  <c r="T71" i="17" s="1"/>
  <c r="U67" i="17"/>
  <c r="T67" i="17" s="1"/>
  <c r="S67" i="17" s="1"/>
  <c r="R67" i="17" s="1"/>
  <c r="P67" i="17" s="1"/>
  <c r="V67" i="17" s="1"/>
  <c r="F67" i="17" s="1"/>
  <c r="U63" i="17"/>
  <c r="T63" i="17" s="1"/>
  <c r="S63" i="17" s="1"/>
  <c r="R63" i="17" s="1"/>
  <c r="P63" i="17" s="1"/>
  <c r="V63" i="17" s="1"/>
  <c r="F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V47" i="17" s="1"/>
  <c r="U43" i="17"/>
  <c r="T43" i="17" s="1"/>
  <c r="U39" i="17"/>
  <c r="T39" i="17" s="1"/>
  <c r="S39" i="17" s="1"/>
  <c r="R39" i="17" s="1"/>
  <c r="P39" i="17" s="1"/>
  <c r="V39" i="17" s="1"/>
  <c r="F39" i="17" s="1"/>
  <c r="U35" i="17"/>
  <c r="T35" i="17" s="1"/>
  <c r="S35" i="17" s="1"/>
  <c r="R35" i="17" s="1"/>
  <c r="P35" i="17" s="1"/>
  <c r="V35" i="17" s="1"/>
  <c r="F35" i="17" s="1"/>
  <c r="U31" i="17"/>
  <c r="T31" i="17" s="1"/>
  <c r="U27" i="17"/>
  <c r="T27" i="17" s="1"/>
  <c r="U23" i="17"/>
  <c r="T23" i="17" s="1"/>
  <c r="S23" i="17" s="1"/>
  <c r="R23" i="17" s="1"/>
  <c r="P23" i="17" s="1"/>
  <c r="V23" i="17" s="1"/>
  <c r="F23" i="17" s="1"/>
  <c r="U15" i="17"/>
  <c r="U19" i="17"/>
  <c r="T19" i="17" s="1"/>
  <c r="S19" i="17" s="1"/>
  <c r="R19" i="17" s="1"/>
  <c r="P19" i="17" s="1"/>
  <c r="V19" i="17" s="1"/>
  <c r="F19" i="17" s="1"/>
  <c r="U376" i="17"/>
  <c r="T376" i="17" s="1"/>
  <c r="U372" i="17"/>
  <c r="T372" i="17" s="1"/>
  <c r="S372" i="17" s="1"/>
  <c r="R372" i="17" s="1"/>
  <c r="P372" i="17" s="1"/>
  <c r="U368" i="17"/>
  <c r="T368" i="17" s="1"/>
  <c r="S368" i="17" s="1"/>
  <c r="R368" i="17" s="1"/>
  <c r="P368" i="17" s="1"/>
  <c r="V368" i="17" s="1"/>
  <c r="F368" i="17" s="1"/>
  <c r="H368" i="17" s="1"/>
  <c r="U364" i="17"/>
  <c r="T364" i="17" s="1"/>
  <c r="S364" i="17" s="1"/>
  <c r="R364" i="17" s="1"/>
  <c r="P364" i="17" s="1"/>
  <c r="U360" i="17"/>
  <c r="T360" i="17" s="1"/>
  <c r="U356" i="17"/>
  <c r="T356" i="17" s="1"/>
  <c r="S356" i="17" s="1"/>
  <c r="R356" i="17" s="1"/>
  <c r="P356" i="17" s="1"/>
  <c r="V356" i="17" s="1"/>
  <c r="F356" i="17" s="1"/>
  <c r="U352" i="17"/>
  <c r="T352" i="17" s="1"/>
  <c r="S352" i="17" s="1"/>
  <c r="R352" i="17" s="1"/>
  <c r="P352" i="17" s="1"/>
  <c r="V352" i="17" s="1"/>
  <c r="U348" i="17"/>
  <c r="T348" i="17" s="1"/>
  <c r="S348" i="17" s="1"/>
  <c r="R348" i="17" s="1"/>
  <c r="P348" i="17" s="1"/>
  <c r="V348" i="17" s="1"/>
  <c r="F348" i="17" s="1"/>
  <c r="U344" i="17"/>
  <c r="T344" i="17" s="1"/>
  <c r="S344" i="17" s="1"/>
  <c r="R344" i="17" s="1"/>
  <c r="P344" i="17" s="1"/>
  <c r="V344" i="17" s="1"/>
  <c r="F344" i="17" s="1"/>
  <c r="G344" i="17" s="1"/>
  <c r="BZ344" i="6" s="1"/>
  <c r="U340" i="17"/>
  <c r="T340" i="17" s="1"/>
  <c r="S340" i="17" s="1"/>
  <c r="R340" i="17" s="1"/>
  <c r="P340" i="17" s="1"/>
  <c r="V340" i="17" s="1"/>
  <c r="F340" i="17" s="1"/>
  <c r="U336" i="17"/>
  <c r="T336" i="17" s="1"/>
  <c r="AI246" i="17"/>
  <c r="AH246" i="17" s="1"/>
  <c r="AI250" i="17"/>
  <c r="AH250" i="17" s="1"/>
  <c r="AI254" i="17"/>
  <c r="AH254" i="17" s="1"/>
  <c r="AI258" i="17"/>
  <c r="AH258" i="17" s="1"/>
  <c r="AI262" i="17"/>
  <c r="AH262" i="17" s="1"/>
  <c r="AI266" i="17"/>
  <c r="AH266" i="17" s="1"/>
  <c r="AI270" i="17"/>
  <c r="AH270" i="17" s="1"/>
  <c r="AI274" i="17"/>
  <c r="AH274" i="17" s="1"/>
  <c r="AI278" i="17"/>
  <c r="AH278" i="17" s="1"/>
  <c r="AI282" i="17"/>
  <c r="AH282" i="17" s="1"/>
  <c r="AI286" i="17"/>
  <c r="AH286" i="17" s="1"/>
  <c r="AI290" i="17"/>
  <c r="AH290" i="17" s="1"/>
  <c r="AI294" i="17"/>
  <c r="AH294" i="17" s="1"/>
  <c r="AI298" i="17"/>
  <c r="AH298" i="17" s="1"/>
  <c r="AI302" i="17"/>
  <c r="AH302" i="17" s="1"/>
  <c r="AI306" i="17"/>
  <c r="AH306" i="17" s="1"/>
  <c r="AI310" i="17"/>
  <c r="AH310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F373" i="17" s="1"/>
  <c r="G373" i="17" s="1"/>
  <c r="BZ373" i="6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F361" i="17" s="1"/>
  <c r="G361" i="17" s="1"/>
  <c r="BZ361" i="6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V341" i="17" s="1"/>
  <c r="F341" i="17" s="1"/>
  <c r="U337" i="17"/>
  <c r="T337" i="17" s="1"/>
  <c r="S337" i="17" s="1"/>
  <c r="R337" i="17" s="1"/>
  <c r="P337" i="17" s="1"/>
  <c r="V337" i="17" s="1"/>
  <c r="F337" i="17" s="1"/>
  <c r="H337" i="17" s="1"/>
  <c r="J337" i="17" s="1"/>
  <c r="U333" i="17"/>
  <c r="T333" i="17" s="1"/>
  <c r="U329" i="17"/>
  <c r="T329" i="17" s="1"/>
  <c r="S329" i="17" s="1"/>
  <c r="R329" i="17" s="1"/>
  <c r="P329" i="17" s="1"/>
  <c r="V329" i="17" s="1"/>
  <c r="F329" i="17" s="1"/>
  <c r="G329" i="17" s="1"/>
  <c r="BZ329" i="6" s="1"/>
  <c r="U325" i="17"/>
  <c r="T325" i="17" s="1"/>
  <c r="S325" i="17" s="1"/>
  <c r="R325" i="17" s="1"/>
  <c r="P325" i="17" s="1"/>
  <c r="V325" i="17" s="1"/>
  <c r="F325" i="17" s="1"/>
  <c r="U321" i="17"/>
  <c r="T321" i="17" s="1"/>
  <c r="U317" i="17"/>
  <c r="T317" i="17" s="1"/>
  <c r="S317" i="17" s="1"/>
  <c r="R317" i="17" s="1"/>
  <c r="P317" i="17" s="1"/>
  <c r="V317" i="17" s="1"/>
  <c r="F317" i="17" s="1"/>
  <c r="U313" i="17"/>
  <c r="T313" i="17" s="1"/>
  <c r="S313" i="17" s="1"/>
  <c r="R313" i="17" s="1"/>
  <c r="P313" i="17" s="1"/>
  <c r="V313" i="17" s="1"/>
  <c r="F313" i="17" s="1"/>
  <c r="U309" i="17"/>
  <c r="T309" i="17" s="1"/>
  <c r="S309" i="17" s="1"/>
  <c r="R309" i="17" s="1"/>
  <c r="P309" i="17" s="1"/>
  <c r="V309" i="17" s="1"/>
  <c r="F309" i="17" s="1"/>
  <c r="U305" i="17"/>
  <c r="T305" i="17" s="1"/>
  <c r="U301" i="17"/>
  <c r="T301" i="17" s="1"/>
  <c r="S301" i="17" s="1"/>
  <c r="R301" i="17" s="1"/>
  <c r="P301" i="17" s="1"/>
  <c r="V301" i="17" s="1"/>
  <c r="F301" i="17" s="1"/>
  <c r="G301" i="17" s="1"/>
  <c r="BZ301" i="6" s="1"/>
  <c r="U297" i="17"/>
  <c r="T297" i="17" s="1"/>
  <c r="S297" i="17" s="1"/>
  <c r="R297" i="17" s="1"/>
  <c r="P297" i="17" s="1"/>
  <c r="V297" i="17" s="1"/>
  <c r="F297" i="17" s="1"/>
  <c r="H297" i="17" s="1"/>
  <c r="I297" i="17" s="1"/>
  <c r="U293" i="17"/>
  <c r="T293" i="17" s="1"/>
  <c r="S293" i="17" s="1"/>
  <c r="R293" i="17" s="1"/>
  <c r="P293" i="17" s="1"/>
  <c r="V293" i="17" s="1"/>
  <c r="F293" i="17" s="1"/>
  <c r="U289" i="17"/>
  <c r="T289" i="17" s="1"/>
  <c r="U285" i="17"/>
  <c r="T285" i="17" s="1"/>
  <c r="S285" i="17" s="1"/>
  <c r="R285" i="17" s="1"/>
  <c r="P285" i="17" s="1"/>
  <c r="V285" i="17" s="1"/>
  <c r="F285" i="17" s="1"/>
  <c r="G285" i="17" s="1"/>
  <c r="BZ285" i="6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S273" i="17" s="1"/>
  <c r="R273" i="17" s="1"/>
  <c r="P273" i="17" s="1"/>
  <c r="V273" i="17" s="1"/>
  <c r="F273" i="17" s="1"/>
  <c r="G273" i="17" s="1"/>
  <c r="BZ273" i="6" s="1"/>
  <c r="U269" i="17"/>
  <c r="T269" i="17" s="1"/>
  <c r="U265" i="17"/>
  <c r="T265" i="17" s="1"/>
  <c r="S265" i="17" s="1"/>
  <c r="R265" i="17" s="1"/>
  <c r="P265" i="17" s="1"/>
  <c r="U261" i="17"/>
  <c r="T261" i="17" s="1"/>
  <c r="U257" i="17"/>
  <c r="T257" i="17" s="1"/>
  <c r="S257" i="17" s="1"/>
  <c r="R257" i="17" s="1"/>
  <c r="U253" i="17"/>
  <c r="T253" i="17" s="1"/>
  <c r="S253" i="17" s="1"/>
  <c r="R253" i="17" s="1"/>
  <c r="P253" i="17" s="1"/>
  <c r="V253" i="17" s="1"/>
  <c r="F253" i="17" s="1"/>
  <c r="U249" i="17"/>
  <c r="T249" i="17" s="1"/>
  <c r="S249" i="17" s="1"/>
  <c r="R249" i="17" s="1"/>
  <c r="P249" i="17" s="1"/>
  <c r="V249" i="17" s="1"/>
  <c r="F249" i="17" s="1"/>
  <c r="U245" i="17"/>
  <c r="T245" i="17" s="1"/>
  <c r="U241" i="17"/>
  <c r="T241" i="17" s="1"/>
  <c r="S241" i="17" s="1"/>
  <c r="R241" i="17" s="1"/>
  <c r="P241" i="17" s="1"/>
  <c r="V241" i="17" s="1"/>
  <c r="F241" i="17" s="1"/>
  <c r="U237" i="17"/>
  <c r="T237" i="17" s="1"/>
  <c r="S237" i="17" s="1"/>
  <c r="R237" i="17" s="1"/>
  <c r="P237" i="17" s="1"/>
  <c r="V237" i="17" s="1"/>
  <c r="F237" i="17" s="1"/>
  <c r="U233" i="17"/>
  <c r="T233" i="17" s="1"/>
  <c r="S233" i="17" s="1"/>
  <c r="R233" i="17" s="1"/>
  <c r="P233" i="17" s="1"/>
  <c r="V233" i="17" s="1"/>
  <c r="F233" i="17" s="1"/>
  <c r="G233" i="17" s="1"/>
  <c r="BZ233" i="6" s="1"/>
  <c r="U229" i="17"/>
  <c r="T229" i="17" s="1"/>
  <c r="S229" i="17" s="1"/>
  <c r="R229" i="17" s="1"/>
  <c r="P229" i="17" s="1"/>
  <c r="V229" i="17" s="1"/>
  <c r="F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F217" i="17" s="1"/>
  <c r="H217" i="17" s="1"/>
  <c r="U213" i="17"/>
  <c r="T213" i="17" s="1"/>
  <c r="U209" i="17"/>
  <c r="T209" i="17" s="1"/>
  <c r="S209" i="17" s="1"/>
  <c r="R209" i="17" s="1"/>
  <c r="P209" i="17" s="1"/>
  <c r="V209" i="17" s="1"/>
  <c r="F209" i="17" s="1"/>
  <c r="G209" i="17" s="1"/>
  <c r="BZ209" i="6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V193" i="17" s="1"/>
  <c r="F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F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V161" i="17" s="1"/>
  <c r="F161" i="17" s="1"/>
  <c r="U157" i="17"/>
  <c r="T157" i="17" s="1"/>
  <c r="S157" i="17" s="1"/>
  <c r="R157" i="17" s="1"/>
  <c r="P157" i="17" s="1"/>
  <c r="V157" i="17" s="1"/>
  <c r="F157" i="17" s="1"/>
  <c r="G157" i="17" s="1"/>
  <c r="BZ157" i="6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V141" i="17" s="1"/>
  <c r="F141" i="17" s="1"/>
  <c r="U137" i="17"/>
  <c r="T137" i="17" s="1"/>
  <c r="U133" i="17"/>
  <c r="T133" i="17" s="1"/>
  <c r="U129" i="17"/>
  <c r="T129" i="17" s="1"/>
  <c r="S129" i="17" s="1"/>
  <c r="R129" i="17" s="1"/>
  <c r="P129" i="17" s="1"/>
  <c r="V129" i="17" s="1"/>
  <c r="F129" i="17" s="1"/>
  <c r="U125" i="17"/>
  <c r="T125" i="17" s="1"/>
  <c r="U121" i="17"/>
  <c r="T121" i="17" s="1"/>
  <c r="U117" i="17"/>
  <c r="T117" i="17" s="1"/>
  <c r="S117" i="17" s="1"/>
  <c r="R117" i="17" s="1"/>
  <c r="P117" i="17" s="1"/>
  <c r="V117" i="17" s="1"/>
  <c r="F117" i="17" s="1"/>
  <c r="U113" i="17"/>
  <c r="T113" i="17" s="1"/>
  <c r="S113" i="17" s="1"/>
  <c r="R113" i="17" s="1"/>
  <c r="P113" i="17" s="1"/>
  <c r="V113" i="17" s="1"/>
  <c r="F113" i="17" s="1"/>
  <c r="U109" i="17"/>
  <c r="T109" i="17" s="1"/>
  <c r="U105" i="17"/>
  <c r="T105" i="17" s="1"/>
  <c r="S105" i="17" s="1"/>
  <c r="R105" i="17" s="1"/>
  <c r="P105" i="17" s="1"/>
  <c r="V105" i="17" s="1"/>
  <c r="F105" i="17" s="1"/>
  <c r="U101" i="17"/>
  <c r="T101" i="17" s="1"/>
  <c r="U97" i="17"/>
  <c r="T97" i="17" s="1"/>
  <c r="U93" i="17"/>
  <c r="T93" i="17" s="1"/>
  <c r="S93" i="17" s="1"/>
  <c r="R93" i="17" s="1"/>
  <c r="P93" i="17" s="1"/>
  <c r="V93" i="17" s="1"/>
  <c r="F93" i="17" s="1"/>
  <c r="H93" i="17" s="1"/>
  <c r="U89" i="17"/>
  <c r="T89" i="17" s="1"/>
  <c r="S89" i="17" s="1"/>
  <c r="R89" i="17" s="1"/>
  <c r="P89" i="17" s="1"/>
  <c r="V89" i="17" s="1"/>
  <c r="F89" i="17" s="1"/>
  <c r="U85" i="17"/>
  <c r="T85" i="17" s="1"/>
  <c r="S85" i="17" s="1"/>
  <c r="R85" i="17" s="1"/>
  <c r="P85" i="17" s="1"/>
  <c r="V85" i="17" s="1"/>
  <c r="F85" i="17" s="1"/>
  <c r="U81" i="17"/>
  <c r="T81" i="17" s="1"/>
  <c r="U77" i="17"/>
  <c r="T77" i="17" s="1"/>
  <c r="U73" i="17"/>
  <c r="T73" i="17" s="1"/>
  <c r="S73" i="17" s="1"/>
  <c r="R73" i="17" s="1"/>
  <c r="P73" i="17" s="1"/>
  <c r="V73" i="17" s="1"/>
  <c r="F73" i="17" s="1"/>
  <c r="U69" i="17"/>
  <c r="T69" i="17" s="1"/>
  <c r="S69" i="17" s="1"/>
  <c r="R69" i="17" s="1"/>
  <c r="P69" i="17" s="1"/>
  <c r="V69" i="17" s="1"/>
  <c r="F69" i="17" s="1"/>
  <c r="U65" i="17"/>
  <c r="T65" i="17" s="1"/>
  <c r="S65" i="17" s="1"/>
  <c r="R65" i="17" s="1"/>
  <c r="P65" i="17" s="1"/>
  <c r="V65" i="17" s="1"/>
  <c r="F65" i="17" s="1"/>
  <c r="U61" i="17"/>
  <c r="T61" i="17" s="1"/>
  <c r="S61" i="17" s="1"/>
  <c r="R61" i="17" s="1"/>
  <c r="P61" i="17" s="1"/>
  <c r="V61" i="17" s="1"/>
  <c r="F61" i="17" s="1"/>
  <c r="U57" i="17"/>
  <c r="T57" i="17" s="1"/>
  <c r="U53" i="17"/>
  <c r="T53" i="17" s="1"/>
  <c r="U49" i="17"/>
  <c r="T49" i="17" s="1"/>
  <c r="S49" i="17" s="1"/>
  <c r="R49" i="17" s="1"/>
  <c r="P49" i="17" s="1"/>
  <c r="V49" i="17" s="1"/>
  <c r="F49" i="17" s="1"/>
  <c r="U45" i="17"/>
  <c r="T45" i="17" s="1"/>
  <c r="S45" i="17" s="1"/>
  <c r="R45" i="17" s="1"/>
  <c r="P45" i="17" s="1"/>
  <c r="V45" i="17" s="1"/>
  <c r="F45" i="17" s="1"/>
  <c r="U41" i="17"/>
  <c r="T41" i="17" s="1"/>
  <c r="U37" i="17"/>
  <c r="T37" i="17" s="1"/>
  <c r="U33" i="17"/>
  <c r="T33" i="17" s="1"/>
  <c r="S33" i="17" s="1"/>
  <c r="R33" i="17" s="1"/>
  <c r="P33" i="17" s="1"/>
  <c r="V33" i="17" s="1"/>
  <c r="F33" i="17" s="1"/>
  <c r="U29" i="17"/>
  <c r="T29" i="17" s="1"/>
  <c r="S29" i="17" s="1"/>
  <c r="R29" i="17" s="1"/>
  <c r="P29" i="17" s="1"/>
  <c r="U25" i="17"/>
  <c r="T25" i="17" s="1"/>
  <c r="S25" i="17" s="1"/>
  <c r="R25" i="17" s="1"/>
  <c r="P25" i="17" s="1"/>
  <c r="V25" i="17" s="1"/>
  <c r="F25" i="17" s="1"/>
  <c r="U21" i="17"/>
  <c r="T21" i="17" s="1"/>
  <c r="S21" i="17" s="1"/>
  <c r="R21" i="17" s="1"/>
  <c r="P21" i="17" s="1"/>
  <c r="V21" i="17" s="1"/>
  <c r="F21" i="17" s="1"/>
  <c r="U16" i="17"/>
  <c r="T16" i="17" s="1"/>
  <c r="U378" i="17"/>
  <c r="T378" i="17" s="1"/>
  <c r="S378" i="17" s="1"/>
  <c r="R378" i="17" s="1"/>
  <c r="P378" i="17" s="1"/>
  <c r="V378" i="17" s="1"/>
  <c r="F378" i="17" s="1"/>
  <c r="H378" i="17" s="1"/>
  <c r="U374" i="17"/>
  <c r="T374" i="17" s="1"/>
  <c r="S374" i="17" s="1"/>
  <c r="R374" i="17" s="1"/>
  <c r="P374" i="17" s="1"/>
  <c r="V374" i="17" s="1"/>
  <c r="F374" i="17" s="1"/>
  <c r="U370" i="17"/>
  <c r="T370" i="17" s="1"/>
  <c r="S370" i="17" s="1"/>
  <c r="R370" i="17" s="1"/>
  <c r="P370" i="17" s="1"/>
  <c r="V370" i="17" s="1"/>
  <c r="F370" i="17" s="1"/>
  <c r="U366" i="17"/>
  <c r="T366" i="17" s="1"/>
  <c r="U362" i="17"/>
  <c r="T362" i="17" s="1"/>
  <c r="S362" i="17" s="1"/>
  <c r="R362" i="17" s="1"/>
  <c r="P362" i="17" s="1"/>
  <c r="V362" i="17" s="1"/>
  <c r="F362" i="17" s="1"/>
  <c r="H362" i="17" s="1"/>
  <c r="I362" i="17" s="1"/>
  <c r="U358" i="17"/>
  <c r="T358" i="17" s="1"/>
  <c r="S358" i="17" s="1"/>
  <c r="R358" i="17" s="1"/>
  <c r="P358" i="17" s="1"/>
  <c r="V358" i="17" s="1"/>
  <c r="F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V342" i="17" s="1"/>
  <c r="F342" i="17" s="1"/>
  <c r="U338" i="17"/>
  <c r="T338" i="17" s="1"/>
  <c r="S338" i="17" s="1"/>
  <c r="R338" i="17" s="1"/>
  <c r="P338" i="17" s="1"/>
  <c r="V338" i="17" s="1"/>
  <c r="F338" i="17" s="1"/>
  <c r="U334" i="17"/>
  <c r="T334" i="17" s="1"/>
  <c r="U330" i="17"/>
  <c r="T330" i="17" s="1"/>
  <c r="S330" i="17" s="1"/>
  <c r="R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V314" i="17" s="1"/>
  <c r="F314" i="17" s="1"/>
  <c r="U310" i="17"/>
  <c r="T310" i="17" s="1"/>
  <c r="S310" i="17" s="1"/>
  <c r="R310" i="17" s="1"/>
  <c r="P310" i="17" s="1"/>
  <c r="V310" i="17" s="1"/>
  <c r="F310" i="17" s="1"/>
  <c r="U306" i="17"/>
  <c r="T306" i="17" s="1"/>
  <c r="S306" i="17" s="1"/>
  <c r="R306" i="17" s="1"/>
  <c r="P306" i="17" s="1"/>
  <c r="V306" i="17" s="1"/>
  <c r="F306" i="17" s="1"/>
  <c r="H306" i="17" s="1"/>
  <c r="I306" i="17" s="1"/>
  <c r="U302" i="17"/>
  <c r="T302" i="17" s="1"/>
  <c r="S302" i="17" s="1"/>
  <c r="R302" i="17" s="1"/>
  <c r="P302" i="17" s="1"/>
  <c r="D65" i="7" s="1"/>
  <c r="U298" i="17"/>
  <c r="T298" i="17" s="1"/>
  <c r="S298" i="17" s="1"/>
  <c r="R298" i="17" s="1"/>
  <c r="P298" i="17" s="1"/>
  <c r="V298" i="17" s="1"/>
  <c r="F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V290" i="17" s="1"/>
  <c r="F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V278" i="17" s="1"/>
  <c r="F278" i="17" s="1"/>
  <c r="U274" i="17"/>
  <c r="T274" i="17" s="1"/>
  <c r="S274" i="17" s="1"/>
  <c r="R274" i="17" s="1"/>
  <c r="P274" i="17" s="1"/>
  <c r="V274" i="17" s="1"/>
  <c r="F274" i="17" s="1"/>
  <c r="U270" i="17"/>
  <c r="T270" i="17" s="1"/>
  <c r="S270" i="17" s="1"/>
  <c r="R270" i="17" s="1"/>
  <c r="P270" i="17" s="1"/>
  <c r="V270" i="17" s="1"/>
  <c r="F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F258" i="17" s="1"/>
  <c r="U254" i="17"/>
  <c r="T254" i="17" s="1"/>
  <c r="S254" i="17" s="1"/>
  <c r="R254" i="17" s="1"/>
  <c r="P254" i="17" s="1"/>
  <c r="V254" i="17" s="1"/>
  <c r="F254" i="17" s="1"/>
  <c r="U250" i="17"/>
  <c r="T250" i="17" s="1"/>
  <c r="S250" i="17" s="1"/>
  <c r="R250" i="17" s="1"/>
  <c r="P250" i="17" s="1"/>
  <c r="V250" i="17" s="1"/>
  <c r="F250" i="17" s="1"/>
  <c r="U246" i="17"/>
  <c r="T246" i="17" s="1"/>
  <c r="U332" i="17"/>
  <c r="T332" i="17" s="1"/>
  <c r="S332" i="17" s="1"/>
  <c r="R332" i="17" s="1"/>
  <c r="P332" i="17" s="1"/>
  <c r="V332" i="17" s="1"/>
  <c r="F332" i="17" s="1"/>
  <c r="G332" i="17" s="1"/>
  <c r="BZ332" i="6" s="1"/>
  <c r="U324" i="17"/>
  <c r="T324" i="17" s="1"/>
  <c r="S324" i="17" s="1"/>
  <c r="R324" i="17" s="1"/>
  <c r="P324" i="17" s="1"/>
  <c r="V324" i="17" s="1"/>
  <c r="F324" i="17" s="1"/>
  <c r="U316" i="17"/>
  <c r="T316" i="17" s="1"/>
  <c r="S316" i="17" s="1"/>
  <c r="R316" i="17" s="1"/>
  <c r="P316" i="17" s="1"/>
  <c r="V316" i="17" s="1"/>
  <c r="F316" i="17" s="1"/>
  <c r="U308" i="17"/>
  <c r="T308" i="17" s="1"/>
  <c r="S308" i="17" s="1"/>
  <c r="R308" i="17" s="1"/>
  <c r="P308" i="17" s="1"/>
  <c r="V308" i="17" s="1"/>
  <c r="F308" i="17" s="1"/>
  <c r="U300" i="17"/>
  <c r="T300" i="17" s="1"/>
  <c r="S300" i="17" s="1"/>
  <c r="R300" i="17" s="1"/>
  <c r="P300" i="17" s="1"/>
  <c r="V300" i="17" s="1"/>
  <c r="F300" i="17" s="1"/>
  <c r="G300" i="17" s="1"/>
  <c r="BZ300" i="6" s="1"/>
  <c r="U292" i="17"/>
  <c r="T292" i="17" s="1"/>
  <c r="S292" i="17" s="1"/>
  <c r="R292" i="17" s="1"/>
  <c r="P292" i="17" s="1"/>
  <c r="U284" i="17"/>
  <c r="T284" i="17" s="1"/>
  <c r="S284" i="17" s="1"/>
  <c r="R284" i="17" s="1"/>
  <c r="P284" i="17" s="1"/>
  <c r="V284" i="17" s="1"/>
  <c r="F284" i="17" s="1"/>
  <c r="H284" i="17" s="1"/>
  <c r="U276" i="17"/>
  <c r="T276" i="17" s="1"/>
  <c r="S276" i="17" s="1"/>
  <c r="R276" i="17" s="1"/>
  <c r="P276" i="17" s="1"/>
  <c r="U268" i="17"/>
  <c r="T268" i="17" s="1"/>
  <c r="U260" i="17"/>
  <c r="T260" i="17" s="1"/>
  <c r="U252" i="17"/>
  <c r="T252" i="17" s="1"/>
  <c r="S252" i="17" s="1"/>
  <c r="R252" i="17" s="1"/>
  <c r="P252" i="17" s="1"/>
  <c r="V252" i="17" s="1"/>
  <c r="F252" i="17" s="1"/>
  <c r="U244" i="17"/>
  <c r="T244" i="17" s="1"/>
  <c r="S244" i="17" s="1"/>
  <c r="R244" i="17" s="1"/>
  <c r="P244" i="17" s="1"/>
  <c r="V244" i="17" s="1"/>
  <c r="F244" i="17" s="1"/>
  <c r="U240" i="17"/>
  <c r="T240" i="17" s="1"/>
  <c r="S240" i="17" s="1"/>
  <c r="R240" i="17" s="1"/>
  <c r="P240" i="17" s="1"/>
  <c r="V240" i="17" s="1"/>
  <c r="F240" i="17" s="1"/>
  <c r="G240" i="17" s="1"/>
  <c r="BZ240" i="6" s="1"/>
  <c r="U236" i="17"/>
  <c r="T236" i="17" s="1"/>
  <c r="U232" i="17"/>
  <c r="T232" i="17" s="1"/>
  <c r="S232" i="17" s="1"/>
  <c r="R232" i="17" s="1"/>
  <c r="P232" i="17" s="1"/>
  <c r="V232" i="17" s="1"/>
  <c r="F232" i="17" s="1"/>
  <c r="G232" i="17" s="1"/>
  <c r="BZ232" i="6" s="1"/>
  <c r="U228" i="17"/>
  <c r="T228" i="17" s="1"/>
  <c r="U224" i="17"/>
  <c r="T224" i="17" s="1"/>
  <c r="S224" i="17" s="1"/>
  <c r="R224" i="17" s="1"/>
  <c r="P224" i="17" s="1"/>
  <c r="V224" i="17" s="1"/>
  <c r="F224" i="17" s="1"/>
  <c r="H224" i="17" s="1"/>
  <c r="J224" i="17" s="1"/>
  <c r="U220" i="17"/>
  <c r="T220" i="17" s="1"/>
  <c r="U216" i="17"/>
  <c r="T216" i="17" s="1"/>
  <c r="U212" i="17"/>
  <c r="T212" i="17" s="1"/>
  <c r="S212" i="17" s="1"/>
  <c r="R212" i="17" s="1"/>
  <c r="P212" i="17" s="1"/>
  <c r="V212" i="17" s="1"/>
  <c r="F212" i="17" s="1"/>
  <c r="U208" i="17"/>
  <c r="T208" i="17" s="1"/>
  <c r="U204" i="17"/>
  <c r="T204" i="17" s="1"/>
  <c r="U200" i="17"/>
  <c r="T200" i="17" s="1"/>
  <c r="U196" i="17"/>
  <c r="T196" i="17" s="1"/>
  <c r="U192" i="17"/>
  <c r="T192" i="17" s="1"/>
  <c r="S192" i="17" s="1"/>
  <c r="R192" i="17" s="1"/>
  <c r="P192" i="17" s="1"/>
  <c r="V192" i="17" s="1"/>
  <c r="F192" i="17" s="1"/>
  <c r="U188" i="17"/>
  <c r="T188" i="17" s="1"/>
  <c r="S188" i="17" s="1"/>
  <c r="R188" i="17" s="1"/>
  <c r="P188" i="17" s="1"/>
  <c r="V188" i="17" s="1"/>
  <c r="F188" i="17" s="1"/>
  <c r="U184" i="17"/>
  <c r="T184" i="17" s="1"/>
  <c r="S184" i="17" s="1"/>
  <c r="R184" i="17" s="1"/>
  <c r="P184" i="17" s="1"/>
  <c r="V184" i="17" s="1"/>
  <c r="F184" i="17" s="1"/>
  <c r="H184" i="17" s="1"/>
  <c r="U180" i="17"/>
  <c r="T180" i="17" s="1"/>
  <c r="S180" i="17" s="1"/>
  <c r="R180" i="17" s="1"/>
  <c r="P180" i="17" s="1"/>
  <c r="V180" i="17" s="1"/>
  <c r="F180" i="17" s="1"/>
  <c r="U176" i="17"/>
  <c r="T176" i="17" s="1"/>
  <c r="U172" i="17"/>
  <c r="T172" i="17" s="1"/>
  <c r="S172" i="17" s="1"/>
  <c r="R172" i="17" s="1"/>
  <c r="P172" i="17" s="1"/>
  <c r="V172" i="17" s="1"/>
  <c r="F172" i="17" s="1"/>
  <c r="U168" i="17"/>
  <c r="T168" i="17" s="1"/>
  <c r="S168" i="17" s="1"/>
  <c r="R168" i="17" s="1"/>
  <c r="P168" i="17" s="1"/>
  <c r="V168" i="17" s="1"/>
  <c r="F168" i="17" s="1"/>
  <c r="U164" i="17"/>
  <c r="T164" i="17" s="1"/>
  <c r="S164" i="17" s="1"/>
  <c r="R164" i="17" s="1"/>
  <c r="P164" i="17" s="1"/>
  <c r="V164" i="17" s="1"/>
  <c r="F164" i="17" s="1"/>
  <c r="H164" i="17" s="1"/>
  <c r="U160" i="17"/>
  <c r="T160" i="17" s="1"/>
  <c r="S160" i="17" s="1"/>
  <c r="R160" i="17" s="1"/>
  <c r="P160" i="17" s="1"/>
  <c r="V160" i="17" s="1"/>
  <c r="F160" i="17" s="1"/>
  <c r="U156" i="17"/>
  <c r="T156" i="17" s="1"/>
  <c r="U152" i="17"/>
  <c r="T152" i="17" s="1"/>
  <c r="U148" i="17"/>
  <c r="T148" i="17" s="1"/>
  <c r="S148" i="17" s="1"/>
  <c r="R148" i="17" s="1"/>
  <c r="P148" i="17" s="1"/>
  <c r="V148" i="17" s="1"/>
  <c r="F148" i="17" s="1"/>
  <c r="U144" i="17"/>
  <c r="T144" i="17" s="1"/>
  <c r="S144" i="17" s="1"/>
  <c r="R144" i="17" s="1"/>
  <c r="P144" i="17" s="1"/>
  <c r="V144" i="17" s="1"/>
  <c r="F144" i="17" s="1"/>
  <c r="U140" i="17"/>
  <c r="T140" i="17" s="1"/>
  <c r="S140" i="17" s="1"/>
  <c r="R140" i="17" s="1"/>
  <c r="P140" i="17" s="1"/>
  <c r="V140" i="17" s="1"/>
  <c r="F140" i="17" s="1"/>
  <c r="G140" i="17" s="1"/>
  <c r="BZ140" i="6" s="1"/>
  <c r="U136" i="17"/>
  <c r="T136" i="17" s="1"/>
  <c r="U132" i="17"/>
  <c r="T132" i="17" s="1"/>
  <c r="S132" i="17" s="1"/>
  <c r="R132" i="17" s="1"/>
  <c r="P132" i="17" s="1"/>
  <c r="V132" i="17" s="1"/>
  <c r="F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F120" i="17" s="1"/>
  <c r="U116" i="17"/>
  <c r="T116" i="17" s="1"/>
  <c r="S116" i="17" s="1"/>
  <c r="R116" i="17" s="1"/>
  <c r="P116" i="17" s="1"/>
  <c r="U112" i="17"/>
  <c r="T112" i="17" s="1"/>
  <c r="S112" i="17" s="1"/>
  <c r="R112" i="17" s="1"/>
  <c r="P112" i="17" s="1"/>
  <c r="V112" i="17" s="1"/>
  <c r="F112" i="17" s="1"/>
  <c r="U108" i="17"/>
  <c r="T108" i="17" s="1"/>
  <c r="S108" i="17" s="1"/>
  <c r="R108" i="17" s="1"/>
  <c r="P108" i="17" s="1"/>
  <c r="V108" i="17" s="1"/>
  <c r="F108" i="17" s="1"/>
  <c r="H108" i="17" s="1"/>
  <c r="U104" i="17"/>
  <c r="T104" i="17" s="1"/>
  <c r="S104" i="17" s="1"/>
  <c r="R104" i="17" s="1"/>
  <c r="P104" i="17" s="1"/>
  <c r="V104" i="17" s="1"/>
  <c r="F104" i="17" s="1"/>
  <c r="U100" i="17"/>
  <c r="T100" i="17" s="1"/>
  <c r="S100" i="17" s="1"/>
  <c r="R100" i="17" s="1"/>
  <c r="P100" i="17" s="1"/>
  <c r="V100" i="17" s="1"/>
  <c r="F100" i="17" s="1"/>
  <c r="U96" i="17"/>
  <c r="T96" i="17" s="1"/>
  <c r="S96" i="17" s="1"/>
  <c r="R96" i="17" s="1"/>
  <c r="P96" i="17" s="1"/>
  <c r="V96" i="17" s="1"/>
  <c r="F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F84" i="17" s="1"/>
  <c r="U80" i="17"/>
  <c r="T80" i="17" s="1"/>
  <c r="S80" i="17" s="1"/>
  <c r="R80" i="17" s="1"/>
  <c r="P80" i="17" s="1"/>
  <c r="V80" i="17" s="1"/>
  <c r="F80" i="17" s="1"/>
  <c r="U76" i="17"/>
  <c r="T76" i="17" s="1"/>
  <c r="S76" i="17" s="1"/>
  <c r="R76" i="17" s="1"/>
  <c r="P76" i="17" s="1"/>
  <c r="V76" i="17" s="1"/>
  <c r="F76" i="17" s="1"/>
  <c r="U72" i="17"/>
  <c r="T72" i="17" s="1"/>
  <c r="U68" i="17"/>
  <c r="T68" i="17" s="1"/>
  <c r="U64" i="17"/>
  <c r="T64" i="17" s="1"/>
  <c r="U60" i="17"/>
  <c r="T60" i="17" s="1"/>
  <c r="S60" i="17" s="1"/>
  <c r="R60" i="17" s="1"/>
  <c r="P60" i="17" s="1"/>
  <c r="V60" i="17" s="1"/>
  <c r="F60" i="17" s="1"/>
  <c r="U56" i="17"/>
  <c r="T56" i="17" s="1"/>
  <c r="U52" i="17"/>
  <c r="T52" i="17" s="1"/>
  <c r="S52" i="17" s="1"/>
  <c r="R52" i="17" s="1"/>
  <c r="P52" i="17" s="1"/>
  <c r="V52" i="17" s="1"/>
  <c r="F52" i="17" s="1"/>
  <c r="H52" i="17" s="1"/>
  <c r="U48" i="17"/>
  <c r="T48" i="17" s="1"/>
  <c r="U44" i="17"/>
  <c r="T44" i="17" s="1"/>
  <c r="U40" i="17"/>
  <c r="T40" i="17" s="1"/>
  <c r="S40" i="17" s="1"/>
  <c r="R40" i="17" s="1"/>
  <c r="P40" i="17" s="1"/>
  <c r="V40" i="17" s="1"/>
  <c r="F40" i="17" s="1"/>
  <c r="U36" i="17"/>
  <c r="T36" i="17" s="1"/>
  <c r="U32" i="17"/>
  <c r="T32" i="17" s="1"/>
  <c r="U28" i="17"/>
  <c r="T28" i="17" s="1"/>
  <c r="S28" i="17" s="1"/>
  <c r="R28" i="17" s="1"/>
  <c r="P28" i="17" s="1"/>
  <c r="V28" i="17" s="1"/>
  <c r="F28" i="17" s="1"/>
  <c r="H28" i="17" s="1"/>
  <c r="U24" i="17"/>
  <c r="T24" i="17" s="1"/>
  <c r="S24" i="17" s="1"/>
  <c r="R24" i="17" s="1"/>
  <c r="P24" i="17" s="1"/>
  <c r="V24" i="17" s="1"/>
  <c r="F24" i="17" s="1"/>
  <c r="U20" i="17"/>
  <c r="T20" i="17" s="1"/>
  <c r="S20" i="17" s="1"/>
  <c r="R20" i="17" s="1"/>
  <c r="P20" i="17" s="1"/>
  <c r="V20" i="17" s="1"/>
  <c r="F20" i="17" s="1"/>
  <c r="U18" i="17"/>
  <c r="T18" i="17" s="1"/>
  <c r="S18" i="17" s="1"/>
  <c r="R18" i="17" s="1"/>
  <c r="P18" i="17" s="1"/>
  <c r="V18" i="17" s="1"/>
  <c r="F18" i="17" s="1"/>
  <c r="U328" i="17"/>
  <c r="T328" i="17" s="1"/>
  <c r="S328" i="17" s="1"/>
  <c r="R328" i="17" s="1"/>
  <c r="P328" i="17" s="1"/>
  <c r="V328" i="17" s="1"/>
  <c r="F328" i="17" s="1"/>
  <c r="G328" i="17" s="1"/>
  <c r="BZ328" i="6" s="1"/>
  <c r="U320" i="17"/>
  <c r="T320" i="17" s="1"/>
  <c r="S320" i="17" s="1"/>
  <c r="R320" i="17" s="1"/>
  <c r="P320" i="17" s="1"/>
  <c r="V320" i="17" s="1"/>
  <c r="F320" i="17" s="1"/>
  <c r="G320" i="17" s="1"/>
  <c r="BZ320" i="6" s="1"/>
  <c r="U312" i="17"/>
  <c r="T312" i="17" s="1"/>
  <c r="U304" i="17"/>
  <c r="T304" i="17" s="1"/>
  <c r="S304" i="17" s="1"/>
  <c r="R304" i="17" s="1"/>
  <c r="P304" i="17" s="1"/>
  <c r="V304" i="17" s="1"/>
  <c r="F304" i="17" s="1"/>
  <c r="U296" i="17"/>
  <c r="T296" i="17" s="1"/>
  <c r="U288" i="17"/>
  <c r="T288" i="17" s="1"/>
  <c r="S288" i="17" s="1"/>
  <c r="R288" i="17" s="1"/>
  <c r="P288" i="17" s="1"/>
  <c r="V288" i="17" s="1"/>
  <c r="F288" i="17" s="1"/>
  <c r="U280" i="17"/>
  <c r="T280" i="17" s="1"/>
  <c r="U272" i="17"/>
  <c r="T272" i="17" s="1"/>
  <c r="U264" i="17"/>
  <c r="T264" i="17" s="1"/>
  <c r="S264" i="17" s="1"/>
  <c r="R264" i="17" s="1"/>
  <c r="P264" i="17" s="1"/>
  <c r="V264" i="17" s="1"/>
  <c r="F264" i="17" s="1"/>
  <c r="U256" i="17"/>
  <c r="T256" i="17" s="1"/>
  <c r="U248" i="17"/>
  <c r="T248" i="17" s="1"/>
  <c r="U242" i="17"/>
  <c r="T242" i="17" s="1"/>
  <c r="S242" i="17" s="1"/>
  <c r="R242" i="17" s="1"/>
  <c r="P242" i="17" s="1"/>
  <c r="V242" i="17" s="1"/>
  <c r="F242" i="17" s="1"/>
  <c r="U238" i="17"/>
  <c r="T238" i="17" s="1"/>
  <c r="S238" i="17" s="1"/>
  <c r="R238" i="17" s="1"/>
  <c r="P238" i="17" s="1"/>
  <c r="V238" i="17" s="1"/>
  <c r="F238" i="17" s="1"/>
  <c r="U234" i="17"/>
  <c r="T234" i="17" s="1"/>
  <c r="U230" i="17"/>
  <c r="T230" i="17" s="1"/>
  <c r="S230" i="17" s="1"/>
  <c r="R230" i="17" s="1"/>
  <c r="P230" i="17" s="1"/>
  <c r="V230" i="17" s="1"/>
  <c r="F230" i="17" s="1"/>
  <c r="U226" i="17"/>
  <c r="T226" i="17" s="1"/>
  <c r="S226" i="17" s="1"/>
  <c r="R226" i="17" s="1"/>
  <c r="P226" i="17" s="1"/>
  <c r="V226" i="17" s="1"/>
  <c r="F226" i="17" s="1"/>
  <c r="U222" i="17"/>
  <c r="T222" i="17" s="1"/>
  <c r="S222" i="17" s="1"/>
  <c r="R222" i="17" s="1"/>
  <c r="P222" i="17" s="1"/>
  <c r="V222" i="17" s="1"/>
  <c r="F222" i="17" s="1"/>
  <c r="U218" i="17"/>
  <c r="T218" i="17" s="1"/>
  <c r="U214" i="17"/>
  <c r="T214" i="17" s="1"/>
  <c r="S214" i="17" s="1"/>
  <c r="R214" i="17" s="1"/>
  <c r="P214" i="17" s="1"/>
  <c r="V214" i="17" s="1"/>
  <c r="F214" i="17" s="1"/>
  <c r="H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V194" i="17" s="1"/>
  <c r="U190" i="17"/>
  <c r="T190" i="17" s="1"/>
  <c r="U186" i="17"/>
  <c r="T186" i="17" s="1"/>
  <c r="S186" i="17" s="1"/>
  <c r="R186" i="17" s="1"/>
  <c r="P186" i="17" s="1"/>
  <c r="V186" i="17" s="1"/>
  <c r="F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V170" i="17" s="1"/>
  <c r="F170" i="17" s="1"/>
  <c r="U166" i="17"/>
  <c r="T166" i="17" s="1"/>
  <c r="U162" i="17"/>
  <c r="T162" i="17" s="1"/>
  <c r="S162" i="17" s="1"/>
  <c r="R162" i="17" s="1"/>
  <c r="P162" i="17" s="1"/>
  <c r="V162" i="17" s="1"/>
  <c r="F162" i="17" s="1"/>
  <c r="U158" i="17"/>
  <c r="T158" i="17" s="1"/>
  <c r="U154" i="17"/>
  <c r="T154" i="17" s="1"/>
  <c r="S154" i="17" s="1"/>
  <c r="R154" i="17" s="1"/>
  <c r="P154" i="17" s="1"/>
  <c r="V154" i="17" s="1"/>
  <c r="F154" i="17" s="1"/>
  <c r="H154" i="17" s="1"/>
  <c r="I154" i="17" s="1"/>
  <c r="U150" i="17"/>
  <c r="T150" i="17" s="1"/>
  <c r="S150" i="17" s="1"/>
  <c r="R150" i="17" s="1"/>
  <c r="P150" i="17" s="1"/>
  <c r="V150" i="17" s="1"/>
  <c r="F150" i="17" s="1"/>
  <c r="H150" i="17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V122" i="17" s="1"/>
  <c r="F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V106" i="17" s="1"/>
  <c r="F106" i="17" s="1"/>
  <c r="U102" i="17"/>
  <c r="T102" i="17" s="1"/>
  <c r="U98" i="17"/>
  <c r="T98" i="17" s="1"/>
  <c r="S98" i="17" s="1"/>
  <c r="R98" i="17" s="1"/>
  <c r="P98" i="17" s="1"/>
  <c r="V98" i="17" s="1"/>
  <c r="F98" i="17" s="1"/>
  <c r="U94" i="17"/>
  <c r="T94" i="17" s="1"/>
  <c r="U90" i="17"/>
  <c r="T90" i="17" s="1"/>
  <c r="S90" i="17" s="1"/>
  <c r="R90" i="17" s="1"/>
  <c r="P90" i="17" s="1"/>
  <c r="V90" i="17" s="1"/>
  <c r="F90" i="17" s="1"/>
  <c r="U86" i="17"/>
  <c r="T86" i="17" s="1"/>
  <c r="S86" i="17" s="1"/>
  <c r="R86" i="17" s="1"/>
  <c r="P86" i="17" s="1"/>
  <c r="V86" i="17" s="1"/>
  <c r="F86" i="17" s="1"/>
  <c r="U82" i="17"/>
  <c r="T82" i="17" s="1"/>
  <c r="U78" i="17"/>
  <c r="T78" i="17" s="1"/>
  <c r="S78" i="17" s="1"/>
  <c r="R78" i="17" s="1"/>
  <c r="P78" i="17" s="1"/>
  <c r="V78" i="17" s="1"/>
  <c r="F78" i="17" s="1"/>
  <c r="U74" i="17"/>
  <c r="T74" i="17" s="1"/>
  <c r="S74" i="17" s="1"/>
  <c r="R74" i="17" s="1"/>
  <c r="P74" i="17" s="1"/>
  <c r="V74" i="17" s="1"/>
  <c r="F74" i="17" s="1"/>
  <c r="U70" i="17"/>
  <c r="T70" i="17" s="1"/>
  <c r="S70" i="17" s="1"/>
  <c r="R70" i="17" s="1"/>
  <c r="P70" i="17" s="1"/>
  <c r="V70" i="17" s="1"/>
  <c r="F70" i="17" s="1"/>
  <c r="U66" i="17"/>
  <c r="T66" i="17" s="1"/>
  <c r="S66" i="17" s="1"/>
  <c r="R66" i="17" s="1"/>
  <c r="P66" i="17" s="1"/>
  <c r="V66" i="17" s="1"/>
  <c r="F66" i="17" s="1"/>
  <c r="U62" i="17"/>
  <c r="T62" i="17" s="1"/>
  <c r="S62" i="17" s="1"/>
  <c r="R62" i="17" s="1"/>
  <c r="P62" i="17" s="1"/>
  <c r="V62" i="17" s="1"/>
  <c r="F62" i="17" s="1"/>
  <c r="U58" i="17"/>
  <c r="T58" i="17" s="1"/>
  <c r="S58" i="17" s="1"/>
  <c r="R58" i="17" s="1"/>
  <c r="P58" i="17" s="1"/>
  <c r="V58" i="17" s="1"/>
  <c r="F58" i="17" s="1"/>
  <c r="U54" i="17"/>
  <c r="T54" i="17" s="1"/>
  <c r="U50" i="17"/>
  <c r="T50" i="17" s="1"/>
  <c r="S50" i="17" s="1"/>
  <c r="R50" i="17" s="1"/>
  <c r="P50" i="17" s="1"/>
  <c r="V50" i="17" s="1"/>
  <c r="F50" i="17" s="1"/>
  <c r="U46" i="17"/>
  <c r="T46" i="17" s="1"/>
  <c r="U42" i="17"/>
  <c r="T42" i="17" s="1"/>
  <c r="U38" i="17"/>
  <c r="T38" i="17" s="1"/>
  <c r="U34" i="17"/>
  <c r="T34" i="17" s="1"/>
  <c r="S34" i="17" s="1"/>
  <c r="R34" i="17" s="1"/>
  <c r="P34" i="17" s="1"/>
  <c r="V34" i="17" s="1"/>
  <c r="F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V17" i="17" s="1"/>
  <c r="F17" i="17" s="1"/>
  <c r="I159" i="16"/>
  <c r="J159" i="16"/>
  <c r="I253" i="16"/>
  <c r="J253" i="16"/>
  <c r="I95" i="16"/>
  <c r="J95" i="16"/>
  <c r="I77" i="16"/>
  <c r="J77" i="16"/>
  <c r="AD303" i="17"/>
  <c r="I39" i="16"/>
  <c r="J39" i="16"/>
  <c r="I191" i="16"/>
  <c r="H191" i="17" s="1"/>
  <c r="J191" i="16"/>
  <c r="J125" i="16"/>
  <c r="I125" i="16"/>
  <c r="I189" i="16"/>
  <c r="J189" i="16"/>
  <c r="J23" i="16"/>
  <c r="I23" i="16"/>
  <c r="J61" i="16"/>
  <c r="I61" i="16"/>
  <c r="J55" i="16"/>
  <c r="I55" i="16"/>
  <c r="J345" i="16"/>
  <c r="I345" i="16"/>
  <c r="I317" i="16"/>
  <c r="J317" i="16"/>
  <c r="J157" i="16"/>
  <c r="I157" i="16"/>
  <c r="I49" i="16"/>
  <c r="J49" i="16"/>
  <c r="J175" i="16"/>
  <c r="I175" i="16"/>
  <c r="I241" i="16"/>
  <c r="J361" i="16"/>
  <c r="I361" i="16"/>
  <c r="J113" i="16"/>
  <c r="I113" i="16"/>
  <c r="J373" i="16"/>
  <c r="I373" i="16"/>
  <c r="I181" i="16"/>
  <c r="J181" i="16"/>
  <c r="J85" i="16"/>
  <c r="I85" i="16"/>
  <c r="I277" i="16"/>
  <c r="J277" i="16"/>
  <c r="J117" i="16"/>
  <c r="I117" i="16"/>
  <c r="I133" i="16"/>
  <c r="J133" i="16"/>
  <c r="J273" i="16"/>
  <c r="I273" i="16"/>
  <c r="I245" i="16"/>
  <c r="J245" i="16"/>
  <c r="J165" i="16"/>
  <c r="I165" i="16"/>
  <c r="I329" i="16"/>
  <c r="H329" i="17" s="1"/>
  <c r="J329" i="16"/>
  <c r="I261" i="16"/>
  <c r="J261" i="16"/>
  <c r="I357" i="16"/>
  <c r="J357" i="16"/>
  <c r="J265" i="16"/>
  <c r="I265" i="16"/>
  <c r="L43" i="19"/>
  <c r="D11" i="19"/>
  <c r="E11" i="19" s="1"/>
  <c r="G35" i="19"/>
  <c r="I193" i="16"/>
  <c r="J193" i="16"/>
  <c r="J225" i="16"/>
  <c r="I225" i="16"/>
  <c r="J353" i="16"/>
  <c r="I353" i="16"/>
  <c r="J65" i="16"/>
  <c r="I65" i="16"/>
  <c r="J129" i="16"/>
  <c r="I129" i="16"/>
  <c r="Q382" i="17"/>
  <c r="AA364" i="15"/>
  <c r="Z364" i="15" s="1"/>
  <c r="Y364" i="15" s="1"/>
  <c r="AD382" i="15"/>
  <c r="AD381" i="15"/>
  <c r="AD383" i="15"/>
  <c r="Q271" i="18"/>
  <c r="Q142" i="18"/>
  <c r="Q335" i="18"/>
  <c r="Q206" i="18"/>
  <c r="Q78" i="18"/>
  <c r="Q367" i="18"/>
  <c r="Q303" i="18"/>
  <c r="Q239" i="18"/>
  <c r="Q174" i="18"/>
  <c r="Q110" i="18"/>
  <c r="Q46" i="18"/>
  <c r="Q351" i="18"/>
  <c r="Q319" i="18"/>
  <c r="Q287" i="18"/>
  <c r="Q255" i="18"/>
  <c r="Q222" i="18"/>
  <c r="Q190" i="18"/>
  <c r="Q158" i="18"/>
  <c r="Q126" i="18"/>
  <c r="Q94" i="18"/>
  <c r="Q62" i="18"/>
  <c r="Q30" i="18"/>
  <c r="J210" i="16"/>
  <c r="AK13" i="15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379" i="18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J172" i="16"/>
  <c r="J272" i="16"/>
  <c r="I272" i="16"/>
  <c r="I320" i="16"/>
  <c r="J320" i="16"/>
  <c r="AE18" i="18"/>
  <c r="I321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U10" i="18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J380" i="17"/>
  <c r="I380" i="17"/>
  <c r="H380" i="18" s="1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N62" i="19"/>
  <c r="G381" i="15"/>
  <c r="G382" i="15"/>
  <c r="G383" i="15"/>
  <c r="G12" i="15" s="1"/>
  <c r="I228" i="16"/>
  <c r="J228" i="16"/>
  <c r="L382" i="25"/>
  <c r="L383" i="25"/>
  <c r="L381" i="25"/>
  <c r="AE27" i="18"/>
  <c r="AE25" i="18"/>
  <c r="AE23" i="18"/>
  <c r="AE21" i="18"/>
  <c r="AE15" i="18"/>
  <c r="AE16" i="18"/>
  <c r="Q237" i="18"/>
  <c r="AC15" i="7"/>
  <c r="F11" i="15"/>
  <c r="G12" i="19"/>
  <c r="AB9" i="15"/>
  <c r="J15" i="15"/>
  <c r="I15" i="15"/>
  <c r="Z15" i="15"/>
  <c r="J46" i="16"/>
  <c r="I46" i="16"/>
  <c r="V15" i="16"/>
  <c r="P381" i="16"/>
  <c r="P382" i="16"/>
  <c r="P383" i="16"/>
  <c r="F15" i="16"/>
  <c r="AE28" i="18"/>
  <c r="AE26" i="18"/>
  <c r="AE24" i="18"/>
  <c r="AE22" i="18"/>
  <c r="AE20" i="18"/>
  <c r="AE19" i="18"/>
  <c r="AE17" i="18"/>
  <c r="Q15" i="18" l="1"/>
  <c r="Q28" i="18"/>
  <c r="J29" i="16"/>
  <c r="I29" i="16"/>
  <c r="J60" i="16"/>
  <c r="I60" i="16"/>
  <c r="H60" i="17" s="1"/>
  <c r="H308" i="17"/>
  <c r="J308" i="17" s="1"/>
  <c r="Q18" i="18"/>
  <c r="Q23" i="18"/>
  <c r="Q20" i="18"/>
  <c r="Q26" i="18"/>
  <c r="Q17" i="18"/>
  <c r="Q21" i="18"/>
  <c r="Q25" i="18"/>
  <c r="Q19" i="18"/>
  <c r="Q24" i="18"/>
  <c r="AE11" i="18"/>
  <c r="AE96" i="18" s="1"/>
  <c r="Q22" i="18"/>
  <c r="AE32" i="18"/>
  <c r="I149" i="16"/>
  <c r="AE92" i="18"/>
  <c r="AB15" i="7"/>
  <c r="AD379" i="16"/>
  <c r="AF382" i="16"/>
  <c r="AF383" i="16"/>
  <c r="AF381" i="16"/>
  <c r="J36" i="19"/>
  <c r="AE283" i="18"/>
  <c r="AE155" i="18"/>
  <c r="AE378" i="18"/>
  <c r="AE294" i="18"/>
  <c r="AE230" i="18"/>
  <c r="AE166" i="18"/>
  <c r="AE102" i="18"/>
  <c r="AE86" i="18"/>
  <c r="AE204" i="18"/>
  <c r="AE332" i="18"/>
  <c r="H215" i="17"/>
  <c r="I215" i="17" s="1"/>
  <c r="G154" i="17"/>
  <c r="BZ154" i="6" s="1"/>
  <c r="AE113" i="18"/>
  <c r="AE241" i="18"/>
  <c r="AE369" i="18"/>
  <c r="G219" i="17"/>
  <c r="BZ219" i="6" s="1"/>
  <c r="Q12" i="20"/>
  <c r="Q10" i="20" s="1"/>
  <c r="Q127" i="20" s="1"/>
  <c r="D63" i="7"/>
  <c r="D61" i="7"/>
  <c r="G308" i="17"/>
  <c r="BZ308" i="6" s="1"/>
  <c r="I337" i="17"/>
  <c r="J219" i="17"/>
  <c r="H373" i="17"/>
  <c r="I373" i="17" s="1"/>
  <c r="H240" i="17"/>
  <c r="I240" i="17" s="1"/>
  <c r="G284" i="17"/>
  <c r="BZ284" i="6" s="1"/>
  <c r="H332" i="17"/>
  <c r="J332" i="17" s="1"/>
  <c r="J306" i="17"/>
  <c r="H232" i="17"/>
  <c r="I232" i="17" s="1"/>
  <c r="H285" i="17"/>
  <c r="J285" i="17" s="1"/>
  <c r="G306" i="17"/>
  <c r="BZ306" i="6" s="1"/>
  <c r="G362" i="17"/>
  <c r="BZ362" i="6" s="1"/>
  <c r="I224" i="17"/>
  <c r="H157" i="17"/>
  <c r="J157" i="17" s="1"/>
  <c r="H301" i="17"/>
  <c r="I301" i="17" s="1"/>
  <c r="F255" i="17"/>
  <c r="H255" i="17" s="1"/>
  <c r="H335" i="17"/>
  <c r="J335" i="17" s="1"/>
  <c r="G217" i="17"/>
  <c r="BZ217" i="6" s="1"/>
  <c r="J297" i="17"/>
  <c r="G164" i="17"/>
  <c r="BZ164" i="6" s="1"/>
  <c r="H209" i="17"/>
  <c r="J209" i="17" s="1"/>
  <c r="F195" i="17"/>
  <c r="G195" i="17" s="1"/>
  <c r="BZ195" i="6" s="1"/>
  <c r="H203" i="17"/>
  <c r="J203" i="17" s="1"/>
  <c r="F142" i="17"/>
  <c r="F281" i="17"/>
  <c r="G281" i="17" s="1"/>
  <c r="BZ281" i="6" s="1"/>
  <c r="G297" i="17"/>
  <c r="BZ297" i="6" s="1"/>
  <c r="H344" i="17"/>
  <c r="J344" i="17" s="1"/>
  <c r="H233" i="17"/>
  <c r="J233" i="17" s="1"/>
  <c r="G368" i="17"/>
  <c r="BZ368" i="6" s="1"/>
  <c r="H140" i="17"/>
  <c r="J140" i="17" s="1"/>
  <c r="G150" i="17"/>
  <c r="BZ150" i="6" s="1"/>
  <c r="G214" i="17"/>
  <c r="BZ214" i="6" s="1"/>
  <c r="F286" i="17"/>
  <c r="H286" i="17" s="1"/>
  <c r="F294" i="17"/>
  <c r="G294" i="17" s="1"/>
  <c r="BZ294" i="6" s="1"/>
  <c r="V302" i="17"/>
  <c r="F302" i="17" s="1"/>
  <c r="G302" i="17" s="1"/>
  <c r="BZ302" i="6" s="1"/>
  <c r="F225" i="17"/>
  <c r="G225" i="17" s="1"/>
  <c r="BZ225" i="6" s="1"/>
  <c r="G337" i="17"/>
  <c r="BZ337" i="6" s="1"/>
  <c r="F353" i="17"/>
  <c r="H353" i="17" s="1"/>
  <c r="F369" i="17"/>
  <c r="G369" i="17" s="1"/>
  <c r="BZ369" i="6" s="1"/>
  <c r="F377" i="17"/>
  <c r="H377" i="17" s="1"/>
  <c r="D57" i="7"/>
  <c r="G108" i="17"/>
  <c r="BZ108" i="6" s="1"/>
  <c r="H328" i="17"/>
  <c r="I328" i="17" s="1"/>
  <c r="G224" i="17"/>
  <c r="BZ224" i="6" s="1"/>
  <c r="F124" i="17"/>
  <c r="G124" i="17" s="1"/>
  <c r="BZ124" i="6" s="1"/>
  <c r="F134" i="17"/>
  <c r="G134" i="17" s="1"/>
  <c r="BZ134" i="6" s="1"/>
  <c r="H273" i="17"/>
  <c r="J273" i="17" s="1"/>
  <c r="H361" i="17"/>
  <c r="J361" i="17" s="1"/>
  <c r="H320" i="17"/>
  <c r="I320" i="17" s="1"/>
  <c r="S22" i="17"/>
  <c r="R22" i="17" s="1"/>
  <c r="P22" i="17" s="1"/>
  <c r="V22" i="17" s="1"/>
  <c r="F22" i="17" s="1"/>
  <c r="S30" i="17"/>
  <c r="R30" i="17" s="1"/>
  <c r="P30" i="17" s="1"/>
  <c r="V30" i="17" s="1"/>
  <c r="F30" i="17" s="1"/>
  <c r="S38" i="17"/>
  <c r="R38" i="17" s="1"/>
  <c r="P38" i="17" s="1"/>
  <c r="V38" i="17" s="1"/>
  <c r="F38" i="17" s="1"/>
  <c r="S46" i="17"/>
  <c r="R46" i="17" s="1"/>
  <c r="P46" i="17" s="1"/>
  <c r="V46" i="17" s="1"/>
  <c r="F46" i="17" s="1"/>
  <c r="S54" i="17"/>
  <c r="R54" i="17" s="1"/>
  <c r="P54" i="17" s="1"/>
  <c r="V54" i="17" s="1"/>
  <c r="F54" i="17" s="1"/>
  <c r="S94" i="17"/>
  <c r="R94" i="17" s="1"/>
  <c r="P94" i="17" s="1"/>
  <c r="V94" i="17" s="1"/>
  <c r="F94" i="17" s="1"/>
  <c r="S102" i="17"/>
  <c r="R102" i="17" s="1"/>
  <c r="P102" i="17" s="1"/>
  <c r="V102" i="17" s="1"/>
  <c r="F102" i="17" s="1"/>
  <c r="S110" i="17"/>
  <c r="R110" i="17" s="1"/>
  <c r="P110" i="17" s="1"/>
  <c r="S118" i="17"/>
  <c r="R118" i="17" s="1"/>
  <c r="P118" i="17" s="1"/>
  <c r="V118" i="17" s="1"/>
  <c r="F118" i="17" s="1"/>
  <c r="S126" i="17"/>
  <c r="R126" i="17" s="1"/>
  <c r="P126" i="17" s="1"/>
  <c r="S158" i="17"/>
  <c r="R158" i="17" s="1"/>
  <c r="P158" i="17" s="1"/>
  <c r="V158" i="17" s="1"/>
  <c r="F158" i="17" s="1"/>
  <c r="S166" i="17"/>
  <c r="R166" i="17" s="1"/>
  <c r="P166" i="17" s="1"/>
  <c r="V166" i="17" s="1"/>
  <c r="F166" i="17" s="1"/>
  <c r="S174" i="17"/>
  <c r="R174" i="17" s="1"/>
  <c r="P174" i="17" s="1"/>
  <c r="V174" i="17" s="1"/>
  <c r="F174" i="17" s="1"/>
  <c r="S182" i="17"/>
  <c r="R182" i="17" s="1"/>
  <c r="P182" i="17" s="1"/>
  <c r="V182" i="17" s="1"/>
  <c r="F182" i="17" s="1"/>
  <c r="S190" i="17"/>
  <c r="R190" i="17" s="1"/>
  <c r="P190" i="17" s="1"/>
  <c r="V190" i="17" s="1"/>
  <c r="F190" i="17" s="1"/>
  <c r="S198" i="17"/>
  <c r="R198" i="17" s="1"/>
  <c r="P198" i="17" s="1"/>
  <c r="V198" i="17" s="1"/>
  <c r="F198" i="17" s="1"/>
  <c r="S206" i="17"/>
  <c r="R206" i="17" s="1"/>
  <c r="P206" i="17" s="1"/>
  <c r="V206" i="17" s="1"/>
  <c r="F206" i="17" s="1"/>
  <c r="S248" i="17"/>
  <c r="R248" i="17" s="1"/>
  <c r="P248" i="17" s="1"/>
  <c r="V248" i="17" s="1"/>
  <c r="F248" i="17" s="1"/>
  <c r="S280" i="17"/>
  <c r="R280" i="17" s="1"/>
  <c r="P280" i="17" s="1"/>
  <c r="V280" i="17" s="1"/>
  <c r="F280" i="17" s="1"/>
  <c r="S296" i="17"/>
  <c r="R296" i="17" s="1"/>
  <c r="P296" i="17" s="1"/>
  <c r="V296" i="17" s="1"/>
  <c r="F296" i="17" s="1"/>
  <c r="S312" i="17"/>
  <c r="R312" i="17" s="1"/>
  <c r="P312" i="17" s="1"/>
  <c r="V312" i="17" s="1"/>
  <c r="F312" i="17" s="1"/>
  <c r="S36" i="17"/>
  <c r="R36" i="17" s="1"/>
  <c r="P36" i="17" s="1"/>
  <c r="V36" i="17" s="1"/>
  <c r="F36" i="17" s="1"/>
  <c r="S44" i="17"/>
  <c r="R44" i="17" s="1"/>
  <c r="P44" i="17" s="1"/>
  <c r="V44" i="17" s="1"/>
  <c r="F44" i="17" s="1"/>
  <c r="S68" i="17"/>
  <c r="R68" i="17" s="1"/>
  <c r="P68" i="17" s="1"/>
  <c r="S92" i="17"/>
  <c r="R92" i="17" s="1"/>
  <c r="P92" i="17" s="1"/>
  <c r="V92" i="17" s="1"/>
  <c r="F92" i="17" s="1"/>
  <c r="V116" i="17"/>
  <c r="F116" i="17" s="1"/>
  <c r="S156" i="17"/>
  <c r="R156" i="17" s="1"/>
  <c r="P156" i="17" s="1"/>
  <c r="V156" i="17" s="1"/>
  <c r="F156" i="17" s="1"/>
  <c r="S196" i="17"/>
  <c r="R196" i="17" s="1"/>
  <c r="P196" i="17" s="1"/>
  <c r="V196" i="17" s="1"/>
  <c r="F196" i="17" s="1"/>
  <c r="S204" i="17"/>
  <c r="R204" i="17" s="1"/>
  <c r="P204" i="17" s="1"/>
  <c r="V204" i="17" s="1"/>
  <c r="F204" i="17" s="1"/>
  <c r="S220" i="17"/>
  <c r="R220" i="17" s="1"/>
  <c r="P220" i="17" s="1"/>
  <c r="V220" i="17" s="1"/>
  <c r="F220" i="17" s="1"/>
  <c r="S228" i="17"/>
  <c r="R228" i="17" s="1"/>
  <c r="P228" i="17" s="1"/>
  <c r="V228" i="17" s="1"/>
  <c r="F228" i="17" s="1"/>
  <c r="S236" i="17"/>
  <c r="R236" i="17" s="1"/>
  <c r="P236" i="17" s="1"/>
  <c r="V236" i="17" s="1"/>
  <c r="F236" i="17" s="1"/>
  <c r="S260" i="17"/>
  <c r="R260" i="17" s="1"/>
  <c r="P260" i="17" s="1"/>
  <c r="V260" i="17" s="1"/>
  <c r="F260" i="17" s="1"/>
  <c r="V276" i="17"/>
  <c r="F276" i="17" s="1"/>
  <c r="V292" i="17"/>
  <c r="F292" i="17" s="1"/>
  <c r="S246" i="17"/>
  <c r="R246" i="17" s="1"/>
  <c r="P246" i="17" s="1"/>
  <c r="V246" i="17" s="1"/>
  <c r="F246" i="17" s="1"/>
  <c r="S262" i="17"/>
  <c r="R262" i="17" s="1"/>
  <c r="P262" i="17" s="1"/>
  <c r="V262" i="17" s="1"/>
  <c r="F262" i="17" s="1"/>
  <c r="S318" i="17"/>
  <c r="R318" i="17" s="1"/>
  <c r="P318" i="17" s="1"/>
  <c r="V318" i="17" s="1"/>
  <c r="F318" i="17" s="1"/>
  <c r="S326" i="17"/>
  <c r="R326" i="17" s="1"/>
  <c r="P326" i="17" s="1"/>
  <c r="V326" i="17" s="1"/>
  <c r="F326" i="17" s="1"/>
  <c r="S334" i="17"/>
  <c r="R334" i="17" s="1"/>
  <c r="P334" i="17" s="1"/>
  <c r="S350" i="17"/>
  <c r="R350" i="17" s="1"/>
  <c r="P350" i="17" s="1"/>
  <c r="S366" i="17"/>
  <c r="R366" i="17" s="1"/>
  <c r="P366" i="17" s="1"/>
  <c r="V366" i="17" s="1"/>
  <c r="F366" i="17" s="1"/>
  <c r="S16" i="17"/>
  <c r="R16" i="17" s="1"/>
  <c r="P16" i="17" s="1"/>
  <c r="V16" i="17" s="1"/>
  <c r="F16" i="17" s="1"/>
  <c r="S41" i="17"/>
  <c r="R41" i="17" s="1"/>
  <c r="P41" i="17" s="1"/>
  <c r="S57" i="17"/>
  <c r="R57" i="17" s="1"/>
  <c r="P57" i="17" s="1"/>
  <c r="V57" i="17" s="1"/>
  <c r="F57" i="17" s="1"/>
  <c r="S81" i="17"/>
  <c r="R81" i="17" s="1"/>
  <c r="P81" i="17" s="1"/>
  <c r="V81" i="17" s="1"/>
  <c r="F81" i="17" s="1"/>
  <c r="S97" i="17"/>
  <c r="R97" i="17" s="1"/>
  <c r="P97" i="17" s="1"/>
  <c r="V97" i="17" s="1"/>
  <c r="F97" i="17" s="1"/>
  <c r="S121" i="17"/>
  <c r="R121" i="17" s="1"/>
  <c r="P121" i="17" s="1"/>
  <c r="S137" i="17"/>
  <c r="R137" i="17" s="1"/>
  <c r="P137" i="17" s="1"/>
  <c r="S145" i="17"/>
  <c r="R145" i="17" s="1"/>
  <c r="P145" i="17" s="1"/>
  <c r="V145" i="17" s="1"/>
  <c r="F145" i="17" s="1"/>
  <c r="S153" i="17"/>
  <c r="R153" i="17" s="1"/>
  <c r="P153" i="17" s="1"/>
  <c r="S169" i="17"/>
  <c r="R169" i="17" s="1"/>
  <c r="P169" i="17" s="1"/>
  <c r="V169" i="17" s="1"/>
  <c r="F169" i="17" s="1"/>
  <c r="S177" i="17"/>
  <c r="R177" i="17" s="1"/>
  <c r="P177" i="17" s="1"/>
  <c r="V177" i="17" s="1"/>
  <c r="F177" i="17" s="1"/>
  <c r="S185" i="17"/>
  <c r="R185" i="17" s="1"/>
  <c r="P185" i="17" s="1"/>
  <c r="S201" i="17"/>
  <c r="R201" i="17" s="1"/>
  <c r="P201" i="17" s="1"/>
  <c r="V201" i="17" s="1"/>
  <c r="F201" i="17" s="1"/>
  <c r="V265" i="17"/>
  <c r="F265" i="17" s="1"/>
  <c r="S289" i="17"/>
  <c r="R289" i="17" s="1"/>
  <c r="P289" i="17" s="1"/>
  <c r="V289" i="17" s="1"/>
  <c r="F289" i="17" s="1"/>
  <c r="S305" i="17"/>
  <c r="R305" i="17" s="1"/>
  <c r="P305" i="17" s="1"/>
  <c r="V305" i="17" s="1"/>
  <c r="F305" i="17" s="1"/>
  <c r="S321" i="17"/>
  <c r="R321" i="17" s="1"/>
  <c r="P321" i="17" s="1"/>
  <c r="V321" i="17" s="1"/>
  <c r="F321" i="17" s="1"/>
  <c r="S345" i="17"/>
  <c r="R345" i="17" s="1"/>
  <c r="P345" i="17" s="1"/>
  <c r="V345" i="17" s="1"/>
  <c r="F345" i="17" s="1"/>
  <c r="AG306" i="17"/>
  <c r="AF306" i="17" s="1"/>
  <c r="AD306" i="17" s="1"/>
  <c r="AA306" i="17" s="1"/>
  <c r="Z306" i="17" s="1"/>
  <c r="Y306" i="17" s="1"/>
  <c r="AG298" i="17"/>
  <c r="AF298" i="17" s="1"/>
  <c r="AD298" i="17" s="1"/>
  <c r="AA298" i="17" s="1"/>
  <c r="Z298" i="17" s="1"/>
  <c r="Y298" i="17" s="1"/>
  <c r="AG290" i="17"/>
  <c r="AF290" i="17" s="1"/>
  <c r="AD290" i="17" s="1"/>
  <c r="AA290" i="17" s="1"/>
  <c r="Z290" i="17" s="1"/>
  <c r="Y290" i="17" s="1"/>
  <c r="AG282" i="17"/>
  <c r="AF282" i="17" s="1"/>
  <c r="AD282" i="17" s="1"/>
  <c r="AG274" i="17"/>
  <c r="AF274" i="17" s="1"/>
  <c r="AD274" i="17" s="1"/>
  <c r="AA274" i="17" s="1"/>
  <c r="Z274" i="17" s="1"/>
  <c r="Y274" i="17" s="1"/>
  <c r="AG266" i="17"/>
  <c r="AF266" i="17" s="1"/>
  <c r="AD266" i="17" s="1"/>
  <c r="AG258" i="17"/>
  <c r="AF258" i="17" s="1"/>
  <c r="AD258" i="17" s="1"/>
  <c r="AA258" i="17" s="1"/>
  <c r="Z258" i="17" s="1"/>
  <c r="Y258" i="17" s="1"/>
  <c r="AG250" i="17"/>
  <c r="AF250" i="17" s="1"/>
  <c r="AD250" i="17" s="1"/>
  <c r="AA250" i="17" s="1"/>
  <c r="Z250" i="17" s="1"/>
  <c r="Y250" i="17" s="1"/>
  <c r="S336" i="17"/>
  <c r="R336" i="17" s="1"/>
  <c r="P336" i="17" s="1"/>
  <c r="S360" i="17"/>
  <c r="R360" i="17" s="1"/>
  <c r="P360" i="17" s="1"/>
  <c r="S376" i="17"/>
  <c r="R376" i="17" s="1"/>
  <c r="P376" i="17" s="1"/>
  <c r="V376" i="17" s="1"/>
  <c r="F376" i="17" s="1"/>
  <c r="T15" i="17"/>
  <c r="U382" i="17"/>
  <c r="U381" i="17"/>
  <c r="U383" i="17"/>
  <c r="S27" i="17"/>
  <c r="R27" i="17" s="1"/>
  <c r="P27" i="17" s="1"/>
  <c r="V27" i="17" s="1"/>
  <c r="F27" i="17" s="1"/>
  <c r="S43" i="17"/>
  <c r="R43" i="17" s="1"/>
  <c r="P43" i="17" s="1"/>
  <c r="V43" i="17" s="1"/>
  <c r="F43" i="17" s="1"/>
  <c r="S51" i="17"/>
  <c r="R51" i="17" s="1"/>
  <c r="P51" i="17" s="1"/>
  <c r="S59" i="17"/>
  <c r="R59" i="17" s="1"/>
  <c r="P59" i="17" s="1"/>
  <c r="V59" i="17" s="1"/>
  <c r="F59" i="17" s="1"/>
  <c r="S75" i="17"/>
  <c r="R75" i="17" s="1"/>
  <c r="P75" i="17" s="1"/>
  <c r="V75" i="17" s="1"/>
  <c r="F75" i="17" s="1"/>
  <c r="S91" i="17"/>
  <c r="R91" i="17" s="1"/>
  <c r="P91" i="17" s="1"/>
  <c r="V91" i="17" s="1"/>
  <c r="F91" i="17" s="1"/>
  <c r="S115" i="17"/>
  <c r="R115" i="17" s="1"/>
  <c r="P115" i="17" s="1"/>
  <c r="V115" i="17" s="1"/>
  <c r="F115" i="17" s="1"/>
  <c r="S131" i="17"/>
  <c r="R131" i="17" s="1"/>
  <c r="P131" i="17" s="1"/>
  <c r="V131" i="17" s="1"/>
  <c r="F131" i="17" s="1"/>
  <c r="S147" i="17"/>
  <c r="R147" i="17" s="1"/>
  <c r="P147" i="17" s="1"/>
  <c r="V147" i="17" s="1"/>
  <c r="F147" i="17" s="1"/>
  <c r="S155" i="17"/>
  <c r="R155" i="17" s="1"/>
  <c r="P155" i="17" s="1"/>
  <c r="V155" i="17" s="1"/>
  <c r="F155" i="17" s="1"/>
  <c r="S163" i="17"/>
  <c r="R163" i="17" s="1"/>
  <c r="P163" i="17" s="1"/>
  <c r="V163" i="17" s="1"/>
  <c r="F163" i="17" s="1"/>
  <c r="S171" i="17"/>
  <c r="R171" i="17" s="1"/>
  <c r="P171" i="17" s="1"/>
  <c r="V171" i="17" s="1"/>
  <c r="F171" i="17" s="1"/>
  <c r="S179" i="17"/>
  <c r="R179" i="17" s="1"/>
  <c r="P179" i="17" s="1"/>
  <c r="V179" i="17" s="1"/>
  <c r="F179" i="17" s="1"/>
  <c r="S227" i="17"/>
  <c r="R227" i="17" s="1"/>
  <c r="P227" i="17" s="1"/>
  <c r="V227" i="17" s="1"/>
  <c r="F227" i="17" s="1"/>
  <c r="S235" i="17"/>
  <c r="R235" i="17" s="1"/>
  <c r="P235" i="17" s="1"/>
  <c r="V235" i="17" s="1"/>
  <c r="F235" i="17" s="1"/>
  <c r="S243" i="17"/>
  <c r="R243" i="17" s="1"/>
  <c r="P243" i="17" s="1"/>
  <c r="V243" i="17" s="1"/>
  <c r="F243" i="17" s="1"/>
  <c r="S251" i="17"/>
  <c r="R251" i="17" s="1"/>
  <c r="P251" i="17" s="1"/>
  <c r="V251" i="17" s="1"/>
  <c r="F251" i="17" s="1"/>
  <c r="S267" i="17"/>
  <c r="R267" i="17" s="1"/>
  <c r="P267" i="17" s="1"/>
  <c r="S275" i="17"/>
  <c r="R275" i="17" s="1"/>
  <c r="P275" i="17" s="1"/>
  <c r="S291" i="17"/>
  <c r="R291" i="17" s="1"/>
  <c r="P291" i="17" s="1"/>
  <c r="S307" i="17"/>
  <c r="R307" i="17" s="1"/>
  <c r="P307" i="17" s="1"/>
  <c r="V307" i="17" s="1"/>
  <c r="F307" i="17" s="1"/>
  <c r="S323" i="17"/>
  <c r="R323" i="17" s="1"/>
  <c r="P323" i="17" s="1"/>
  <c r="V323" i="17" s="1"/>
  <c r="F323" i="17" s="1"/>
  <c r="S347" i="17"/>
  <c r="R347" i="17" s="1"/>
  <c r="P347" i="17" s="1"/>
  <c r="V347" i="17" s="1"/>
  <c r="F347" i="17" s="1"/>
  <c r="S363" i="17"/>
  <c r="R363" i="17" s="1"/>
  <c r="P363" i="17" s="1"/>
  <c r="U12" i="18"/>
  <c r="U25" i="18" s="1"/>
  <c r="T25" i="18" s="1"/>
  <c r="S25" i="18" s="1"/>
  <c r="R25" i="18" s="1"/>
  <c r="T379" i="17"/>
  <c r="S379" i="17" s="1"/>
  <c r="R379" i="17" s="1"/>
  <c r="P379" i="17" s="1"/>
  <c r="D38" i="19" s="1"/>
  <c r="V16" i="7"/>
  <c r="AB11" i="7" s="1"/>
  <c r="U11" i="18" s="1"/>
  <c r="U33" i="18" s="1"/>
  <c r="T33" i="18" s="1"/>
  <c r="S33" i="18" s="1"/>
  <c r="R33" i="18" s="1"/>
  <c r="P33" i="18" s="1"/>
  <c r="V33" i="18" s="1"/>
  <c r="AG304" i="17"/>
  <c r="AF304" i="17" s="1"/>
  <c r="AD304" i="17" s="1"/>
  <c r="AA304" i="17" s="1"/>
  <c r="Z304" i="17" s="1"/>
  <c r="Y304" i="17" s="1"/>
  <c r="AG296" i="17"/>
  <c r="AF296" i="17" s="1"/>
  <c r="AD296" i="17" s="1"/>
  <c r="AG288" i="17"/>
  <c r="AF288" i="17" s="1"/>
  <c r="AD288" i="17" s="1"/>
  <c r="AA288" i="17" s="1"/>
  <c r="Z288" i="17" s="1"/>
  <c r="Y288" i="17" s="1"/>
  <c r="AG280" i="17"/>
  <c r="AF280" i="17" s="1"/>
  <c r="AD280" i="17" s="1"/>
  <c r="AG272" i="17"/>
  <c r="AF272" i="17" s="1"/>
  <c r="AD272" i="17" s="1"/>
  <c r="AG264" i="17"/>
  <c r="AF264" i="17" s="1"/>
  <c r="AD264" i="17" s="1"/>
  <c r="AA264" i="17" s="1"/>
  <c r="Z264" i="17" s="1"/>
  <c r="Y264" i="17" s="1"/>
  <c r="AG256" i="17"/>
  <c r="AF256" i="17" s="1"/>
  <c r="AD256" i="17" s="1"/>
  <c r="AG248" i="17"/>
  <c r="AF248" i="17" s="1"/>
  <c r="AD248" i="17" s="1"/>
  <c r="AG240" i="17"/>
  <c r="AF240" i="17" s="1"/>
  <c r="AD240" i="17" s="1"/>
  <c r="AA240" i="17" s="1"/>
  <c r="Z240" i="17" s="1"/>
  <c r="Y240" i="17" s="1"/>
  <c r="AG232" i="17"/>
  <c r="AF232" i="17" s="1"/>
  <c r="AD232" i="17" s="1"/>
  <c r="AA232" i="17" s="1"/>
  <c r="Z232" i="17" s="1"/>
  <c r="Y232" i="17" s="1"/>
  <c r="AG224" i="17"/>
  <c r="AF224" i="17" s="1"/>
  <c r="AD224" i="17" s="1"/>
  <c r="AA224" i="17" s="1"/>
  <c r="Z224" i="17" s="1"/>
  <c r="Y224" i="17" s="1"/>
  <c r="AG216" i="17"/>
  <c r="AF216" i="17" s="1"/>
  <c r="AD216" i="17" s="1"/>
  <c r="AG208" i="17"/>
  <c r="AF208" i="17" s="1"/>
  <c r="AD208" i="17" s="1"/>
  <c r="AG200" i="17"/>
  <c r="AF200" i="17" s="1"/>
  <c r="AD200" i="17" s="1"/>
  <c r="AG192" i="17"/>
  <c r="AF192" i="17" s="1"/>
  <c r="AD192" i="17" s="1"/>
  <c r="AA192" i="17" s="1"/>
  <c r="Z192" i="17" s="1"/>
  <c r="Y192" i="17" s="1"/>
  <c r="AG184" i="17"/>
  <c r="AF184" i="17" s="1"/>
  <c r="AD184" i="17" s="1"/>
  <c r="AA184" i="17" s="1"/>
  <c r="Z184" i="17" s="1"/>
  <c r="Y184" i="17" s="1"/>
  <c r="AG176" i="17"/>
  <c r="AF176" i="17" s="1"/>
  <c r="AD176" i="17" s="1"/>
  <c r="AG168" i="17"/>
  <c r="AF168" i="17" s="1"/>
  <c r="AD168" i="17" s="1"/>
  <c r="AA168" i="17" s="1"/>
  <c r="Z168" i="17" s="1"/>
  <c r="Y168" i="17" s="1"/>
  <c r="AG160" i="17"/>
  <c r="AF160" i="17" s="1"/>
  <c r="AD160" i="17" s="1"/>
  <c r="AA160" i="17" s="1"/>
  <c r="Z160" i="17" s="1"/>
  <c r="Y160" i="17" s="1"/>
  <c r="AG152" i="17"/>
  <c r="AF152" i="17" s="1"/>
  <c r="AD152" i="17" s="1"/>
  <c r="AG144" i="17"/>
  <c r="AF144" i="17" s="1"/>
  <c r="AD144" i="17" s="1"/>
  <c r="AA144" i="17" s="1"/>
  <c r="Z144" i="17" s="1"/>
  <c r="Y144" i="17" s="1"/>
  <c r="AG136" i="17"/>
  <c r="AF136" i="17" s="1"/>
  <c r="AD136" i="17" s="1"/>
  <c r="AG128" i="17"/>
  <c r="AF128" i="17" s="1"/>
  <c r="AD128" i="17" s="1"/>
  <c r="AG120" i="17"/>
  <c r="AF120" i="17" s="1"/>
  <c r="AD120" i="17" s="1"/>
  <c r="AG112" i="17"/>
  <c r="AF112" i="17" s="1"/>
  <c r="AD112" i="17" s="1"/>
  <c r="AA112" i="17" s="1"/>
  <c r="Z112" i="17" s="1"/>
  <c r="Y112" i="17" s="1"/>
  <c r="AG104" i="17"/>
  <c r="AF104" i="17" s="1"/>
  <c r="AD104" i="17" s="1"/>
  <c r="AA104" i="17" s="1"/>
  <c r="Z104" i="17" s="1"/>
  <c r="Y104" i="17" s="1"/>
  <c r="AG96" i="17"/>
  <c r="AF96" i="17" s="1"/>
  <c r="AD96" i="17" s="1"/>
  <c r="AA96" i="17" s="1"/>
  <c r="Z96" i="17" s="1"/>
  <c r="Y96" i="17" s="1"/>
  <c r="AG88" i="17"/>
  <c r="AF88" i="17" s="1"/>
  <c r="AD88" i="17" s="1"/>
  <c r="AG80" i="17"/>
  <c r="AF80" i="17" s="1"/>
  <c r="AD80" i="17" s="1"/>
  <c r="AA80" i="17" s="1"/>
  <c r="Z80" i="17" s="1"/>
  <c r="Y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A40" i="17" s="1"/>
  <c r="Z40" i="17" s="1"/>
  <c r="Y40" i="17" s="1"/>
  <c r="AG32" i="17"/>
  <c r="AF32" i="17" s="1"/>
  <c r="AD32" i="17" s="1"/>
  <c r="AG24" i="17"/>
  <c r="AF24" i="17" s="1"/>
  <c r="AD24" i="17" s="1"/>
  <c r="AA24" i="17" s="1"/>
  <c r="Z24" i="17" s="1"/>
  <c r="Y24" i="17" s="1"/>
  <c r="AG17" i="17"/>
  <c r="AF17" i="17" s="1"/>
  <c r="AD17" i="17" s="1"/>
  <c r="AA17" i="17" s="1"/>
  <c r="Z17" i="17" s="1"/>
  <c r="Y17" i="17" s="1"/>
  <c r="AG29" i="17"/>
  <c r="AF29" i="17" s="1"/>
  <c r="AD29" i="17" s="1"/>
  <c r="AG45" i="17"/>
  <c r="AF45" i="17" s="1"/>
  <c r="AD45" i="17" s="1"/>
  <c r="AA45" i="17" s="1"/>
  <c r="Z45" i="17" s="1"/>
  <c r="Y45" i="17" s="1"/>
  <c r="AG61" i="17"/>
  <c r="AF61" i="17" s="1"/>
  <c r="AD61" i="17" s="1"/>
  <c r="AA61" i="17" s="1"/>
  <c r="Z61" i="17" s="1"/>
  <c r="Y61" i="17" s="1"/>
  <c r="AG77" i="17"/>
  <c r="AF77" i="17" s="1"/>
  <c r="AD77" i="17" s="1"/>
  <c r="AG93" i="17"/>
  <c r="AF93" i="17" s="1"/>
  <c r="AD93" i="17" s="1"/>
  <c r="AA93" i="17" s="1"/>
  <c r="Z93" i="17" s="1"/>
  <c r="Y93" i="17" s="1"/>
  <c r="AG109" i="17"/>
  <c r="AF109" i="17" s="1"/>
  <c r="AD109" i="17" s="1"/>
  <c r="AG125" i="17"/>
  <c r="AF125" i="17" s="1"/>
  <c r="AD125" i="17" s="1"/>
  <c r="AG141" i="17"/>
  <c r="AF141" i="17" s="1"/>
  <c r="AD141" i="17" s="1"/>
  <c r="AA141" i="17" s="1"/>
  <c r="Z141" i="17" s="1"/>
  <c r="Y141" i="17" s="1"/>
  <c r="AG157" i="17"/>
  <c r="AF157" i="17" s="1"/>
  <c r="AD157" i="17" s="1"/>
  <c r="AA157" i="17" s="1"/>
  <c r="Z157" i="17" s="1"/>
  <c r="Y157" i="17" s="1"/>
  <c r="AG173" i="17"/>
  <c r="AF173" i="17" s="1"/>
  <c r="AD173" i="17" s="1"/>
  <c r="AG189" i="17"/>
  <c r="AF189" i="17" s="1"/>
  <c r="AD189" i="17" s="1"/>
  <c r="AG205" i="17"/>
  <c r="AF205" i="17" s="1"/>
  <c r="AD205" i="17" s="1"/>
  <c r="AG221" i="17"/>
  <c r="AF221" i="17" s="1"/>
  <c r="AD221" i="17" s="1"/>
  <c r="AG237" i="17"/>
  <c r="AF237" i="17" s="1"/>
  <c r="AD237" i="17" s="1"/>
  <c r="AA237" i="17" s="1"/>
  <c r="Z237" i="17" s="1"/>
  <c r="Y237" i="17" s="1"/>
  <c r="AG238" i="17"/>
  <c r="AF238" i="17" s="1"/>
  <c r="AD238" i="17" s="1"/>
  <c r="AA238" i="17" s="1"/>
  <c r="Z238" i="17" s="1"/>
  <c r="Y238" i="17" s="1"/>
  <c r="AG230" i="17"/>
  <c r="AF230" i="17" s="1"/>
  <c r="AD230" i="17" s="1"/>
  <c r="AA230" i="17" s="1"/>
  <c r="Z230" i="17" s="1"/>
  <c r="Y230" i="17" s="1"/>
  <c r="AG222" i="17"/>
  <c r="AF222" i="17" s="1"/>
  <c r="AD222" i="17" s="1"/>
  <c r="AA222" i="17" s="1"/>
  <c r="Z222" i="17" s="1"/>
  <c r="Y222" i="17" s="1"/>
  <c r="AG214" i="17"/>
  <c r="AF214" i="17" s="1"/>
  <c r="AD214" i="17" s="1"/>
  <c r="AA214" i="17" s="1"/>
  <c r="Z214" i="17" s="1"/>
  <c r="Y214" i="17" s="1"/>
  <c r="AG206" i="17"/>
  <c r="AF206" i="17" s="1"/>
  <c r="AD206" i="17" s="1"/>
  <c r="AG198" i="17"/>
  <c r="AF198" i="17" s="1"/>
  <c r="AD198" i="17" s="1"/>
  <c r="AG190" i="17"/>
  <c r="AF190" i="17" s="1"/>
  <c r="AD190" i="17" s="1"/>
  <c r="AG182" i="17"/>
  <c r="AF182" i="17" s="1"/>
  <c r="AD182" i="17" s="1"/>
  <c r="AG174" i="17"/>
  <c r="AF174" i="17" s="1"/>
  <c r="AD174" i="17" s="1"/>
  <c r="AG166" i="17"/>
  <c r="AF166" i="17" s="1"/>
  <c r="AD166" i="17" s="1"/>
  <c r="AG158" i="17"/>
  <c r="AF158" i="17" s="1"/>
  <c r="AD158" i="17" s="1"/>
  <c r="AG150" i="17"/>
  <c r="AF150" i="17" s="1"/>
  <c r="AD150" i="17" s="1"/>
  <c r="AA150" i="17" s="1"/>
  <c r="Z150" i="17" s="1"/>
  <c r="Y150" i="17" s="1"/>
  <c r="AG142" i="17"/>
  <c r="AF142" i="17" s="1"/>
  <c r="AD142" i="17" s="1"/>
  <c r="AG134" i="17"/>
  <c r="AF134" i="17" s="1"/>
  <c r="AD134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A86" i="17" s="1"/>
  <c r="Z86" i="17" s="1"/>
  <c r="Y86" i="17" s="1"/>
  <c r="AG78" i="17"/>
  <c r="AF78" i="17" s="1"/>
  <c r="AD78" i="17" s="1"/>
  <c r="AA78" i="17" s="1"/>
  <c r="Z78" i="17" s="1"/>
  <c r="Y78" i="17" s="1"/>
  <c r="AG70" i="17"/>
  <c r="AF70" i="17" s="1"/>
  <c r="AD70" i="17" s="1"/>
  <c r="AA70" i="17" s="1"/>
  <c r="Z70" i="17" s="1"/>
  <c r="Y70" i="17" s="1"/>
  <c r="AG62" i="17"/>
  <c r="AF62" i="17" s="1"/>
  <c r="AD62" i="17" s="1"/>
  <c r="AA62" i="17" s="1"/>
  <c r="Z62" i="17" s="1"/>
  <c r="Y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33" i="17"/>
  <c r="AF33" i="17" s="1"/>
  <c r="AD33" i="17" s="1"/>
  <c r="AA33" i="17" s="1"/>
  <c r="Z33" i="17" s="1"/>
  <c r="Y33" i="17" s="1"/>
  <c r="AG49" i="17"/>
  <c r="AF49" i="17" s="1"/>
  <c r="AD49" i="17" s="1"/>
  <c r="AA49" i="17" s="1"/>
  <c r="Z49" i="17" s="1"/>
  <c r="Y49" i="17" s="1"/>
  <c r="AG65" i="17"/>
  <c r="AF65" i="17" s="1"/>
  <c r="AD65" i="17" s="1"/>
  <c r="AA65" i="17" s="1"/>
  <c r="Z65" i="17" s="1"/>
  <c r="Y65" i="17" s="1"/>
  <c r="AG81" i="17"/>
  <c r="AF81" i="17" s="1"/>
  <c r="AD81" i="17" s="1"/>
  <c r="AG97" i="17"/>
  <c r="AF97" i="17" s="1"/>
  <c r="AD97" i="17" s="1"/>
  <c r="AG113" i="17"/>
  <c r="AF113" i="17" s="1"/>
  <c r="AD113" i="17" s="1"/>
  <c r="AA113" i="17" s="1"/>
  <c r="Z113" i="17" s="1"/>
  <c r="Y113" i="17" s="1"/>
  <c r="AG129" i="17"/>
  <c r="AF129" i="17" s="1"/>
  <c r="AD129" i="17" s="1"/>
  <c r="AA129" i="17" s="1"/>
  <c r="Z129" i="17" s="1"/>
  <c r="Y129" i="17" s="1"/>
  <c r="AG145" i="17"/>
  <c r="AF145" i="17" s="1"/>
  <c r="AD145" i="17" s="1"/>
  <c r="AG161" i="17"/>
  <c r="AF161" i="17" s="1"/>
  <c r="AD161" i="17" s="1"/>
  <c r="AA161" i="17" s="1"/>
  <c r="Z161" i="17" s="1"/>
  <c r="Y161" i="17" s="1"/>
  <c r="AG177" i="17"/>
  <c r="AF177" i="17" s="1"/>
  <c r="AD177" i="17" s="1"/>
  <c r="AG193" i="17"/>
  <c r="AF193" i="17" s="1"/>
  <c r="AD193" i="17" s="1"/>
  <c r="AA193" i="17" s="1"/>
  <c r="Z193" i="17" s="1"/>
  <c r="Y193" i="17" s="1"/>
  <c r="AG209" i="17"/>
  <c r="AF209" i="17" s="1"/>
  <c r="AD209" i="17" s="1"/>
  <c r="AA209" i="17" s="1"/>
  <c r="Z209" i="17" s="1"/>
  <c r="Y209" i="17" s="1"/>
  <c r="AG225" i="17"/>
  <c r="AF225" i="17" s="1"/>
  <c r="AD225" i="17" s="1"/>
  <c r="AG245" i="17"/>
  <c r="AF245" i="17" s="1"/>
  <c r="AD245" i="17" s="1"/>
  <c r="AG261" i="17"/>
  <c r="AF261" i="17" s="1"/>
  <c r="AD261" i="17" s="1"/>
  <c r="AG277" i="17"/>
  <c r="AF277" i="17" s="1"/>
  <c r="AD277" i="17" s="1"/>
  <c r="AG293" i="17"/>
  <c r="AF293" i="17" s="1"/>
  <c r="AD293" i="17" s="1"/>
  <c r="AA293" i="17" s="1"/>
  <c r="Z293" i="17" s="1"/>
  <c r="Y293" i="17" s="1"/>
  <c r="AG309" i="17"/>
  <c r="AF309" i="17" s="1"/>
  <c r="AD309" i="17" s="1"/>
  <c r="AA309" i="17" s="1"/>
  <c r="Z309" i="17" s="1"/>
  <c r="Y309" i="17" s="1"/>
  <c r="AG318" i="17"/>
  <c r="AF318" i="17" s="1"/>
  <c r="AD318" i="17" s="1"/>
  <c r="AG326" i="17"/>
  <c r="AF326" i="17" s="1"/>
  <c r="AD326" i="17" s="1"/>
  <c r="AG334" i="17"/>
  <c r="AF334" i="17" s="1"/>
  <c r="AD334" i="17" s="1"/>
  <c r="AG342" i="17"/>
  <c r="AF342" i="17" s="1"/>
  <c r="AD342" i="17" s="1"/>
  <c r="AA342" i="17" s="1"/>
  <c r="Z342" i="17" s="1"/>
  <c r="Y342" i="17" s="1"/>
  <c r="AG350" i="17"/>
  <c r="AF350" i="17" s="1"/>
  <c r="AD350" i="17" s="1"/>
  <c r="AG358" i="17"/>
  <c r="AF358" i="17" s="1"/>
  <c r="AD358" i="17" s="1"/>
  <c r="AA358" i="17" s="1"/>
  <c r="Z358" i="17" s="1"/>
  <c r="Y358" i="17" s="1"/>
  <c r="AG366" i="17"/>
  <c r="AF366" i="17" s="1"/>
  <c r="AD366" i="17" s="1"/>
  <c r="AG374" i="17"/>
  <c r="AF374" i="17" s="1"/>
  <c r="AD374" i="17" s="1"/>
  <c r="AA374" i="17" s="1"/>
  <c r="Z374" i="17" s="1"/>
  <c r="Y374" i="17" s="1"/>
  <c r="AG27" i="17"/>
  <c r="AF27" i="17" s="1"/>
  <c r="AD27" i="17" s="1"/>
  <c r="AG59" i="17"/>
  <c r="AF59" i="17" s="1"/>
  <c r="AD59" i="17" s="1"/>
  <c r="AG91" i="17"/>
  <c r="AF91" i="17" s="1"/>
  <c r="AD91" i="17" s="1"/>
  <c r="AG123" i="17"/>
  <c r="AF123" i="17" s="1"/>
  <c r="AD123" i="17" s="1"/>
  <c r="AA123" i="17" s="1"/>
  <c r="Z123" i="17" s="1"/>
  <c r="Y123" i="17" s="1"/>
  <c r="AG155" i="17"/>
  <c r="AF155" i="17" s="1"/>
  <c r="AD155" i="17" s="1"/>
  <c r="AG187" i="17"/>
  <c r="AF187" i="17" s="1"/>
  <c r="AD187" i="17" s="1"/>
  <c r="AA187" i="17" s="1"/>
  <c r="Z187" i="17" s="1"/>
  <c r="Y187" i="17" s="1"/>
  <c r="AG219" i="17"/>
  <c r="AF219" i="17" s="1"/>
  <c r="AD219" i="17" s="1"/>
  <c r="AA219" i="17" s="1"/>
  <c r="Z219" i="17" s="1"/>
  <c r="Y219" i="17" s="1"/>
  <c r="AG251" i="17"/>
  <c r="AF251" i="17" s="1"/>
  <c r="AD251" i="17" s="1"/>
  <c r="AG283" i="17"/>
  <c r="AF283" i="17" s="1"/>
  <c r="AD283" i="17" s="1"/>
  <c r="AA283" i="17" s="1"/>
  <c r="Z283" i="17" s="1"/>
  <c r="Y283" i="17" s="1"/>
  <c r="AG313" i="17"/>
  <c r="AF313" i="17" s="1"/>
  <c r="AD313" i="17" s="1"/>
  <c r="AA313" i="17" s="1"/>
  <c r="Z313" i="17" s="1"/>
  <c r="Y313" i="17" s="1"/>
  <c r="AG329" i="17"/>
  <c r="AF329" i="17" s="1"/>
  <c r="AD329" i="17" s="1"/>
  <c r="AA329" i="17" s="1"/>
  <c r="Z329" i="17" s="1"/>
  <c r="Y329" i="17" s="1"/>
  <c r="AG345" i="17"/>
  <c r="AF345" i="17" s="1"/>
  <c r="AD345" i="17" s="1"/>
  <c r="AG361" i="17"/>
  <c r="AF361" i="17" s="1"/>
  <c r="AD361" i="17" s="1"/>
  <c r="AA361" i="17" s="1"/>
  <c r="Z361" i="17" s="1"/>
  <c r="Y361" i="17" s="1"/>
  <c r="AG377" i="17"/>
  <c r="AF377" i="17" s="1"/>
  <c r="AD377" i="17" s="1"/>
  <c r="AG55" i="17"/>
  <c r="AF55" i="17" s="1"/>
  <c r="AD55" i="17" s="1"/>
  <c r="AG119" i="17"/>
  <c r="AF119" i="17" s="1"/>
  <c r="AD119" i="17" s="1"/>
  <c r="AG183" i="17"/>
  <c r="AF183" i="17" s="1"/>
  <c r="AD183" i="17" s="1"/>
  <c r="AG247" i="17"/>
  <c r="AF247" i="17" s="1"/>
  <c r="AD247" i="17" s="1"/>
  <c r="AG311" i="17"/>
  <c r="AF311" i="17" s="1"/>
  <c r="AD311" i="17" s="1"/>
  <c r="AA311" i="17" s="1"/>
  <c r="Z311" i="17" s="1"/>
  <c r="Y311" i="17" s="1"/>
  <c r="AG343" i="17"/>
  <c r="AF343" i="17" s="1"/>
  <c r="AD343" i="17" s="1"/>
  <c r="AA343" i="17" s="1"/>
  <c r="Z343" i="17" s="1"/>
  <c r="Y343" i="17" s="1"/>
  <c r="AG375" i="17"/>
  <c r="AF375" i="17" s="1"/>
  <c r="AD375" i="17" s="1"/>
  <c r="AA375" i="17" s="1"/>
  <c r="Z375" i="17" s="1"/>
  <c r="Y375" i="17" s="1"/>
  <c r="AG127" i="17"/>
  <c r="AF127" i="17" s="1"/>
  <c r="AD127" i="17" s="1"/>
  <c r="AA127" i="17" s="1"/>
  <c r="Z127" i="17" s="1"/>
  <c r="Y127" i="17" s="1"/>
  <c r="AG255" i="17"/>
  <c r="AF255" i="17" s="1"/>
  <c r="AD255" i="17" s="1"/>
  <c r="AG347" i="17"/>
  <c r="AF347" i="17" s="1"/>
  <c r="AD347" i="17" s="1"/>
  <c r="AG143" i="17"/>
  <c r="AF143" i="17" s="1"/>
  <c r="AD143" i="17" s="1"/>
  <c r="AG355" i="17"/>
  <c r="AF355" i="17" s="1"/>
  <c r="AD355" i="17" s="1"/>
  <c r="AA355" i="17" s="1"/>
  <c r="Z355" i="17" s="1"/>
  <c r="Y355" i="17" s="1"/>
  <c r="AG111" i="17"/>
  <c r="AF111" i="17" s="1"/>
  <c r="AD111" i="17" s="1"/>
  <c r="AG241" i="17"/>
  <c r="AF241" i="17" s="1"/>
  <c r="AD241" i="17" s="1"/>
  <c r="AA241" i="17" s="1"/>
  <c r="Z241" i="17" s="1"/>
  <c r="Y241" i="17" s="1"/>
  <c r="AG257" i="17"/>
  <c r="AF257" i="17" s="1"/>
  <c r="AD257" i="17" s="1"/>
  <c r="AG273" i="17"/>
  <c r="AF273" i="17" s="1"/>
  <c r="AD273" i="17" s="1"/>
  <c r="AA273" i="17" s="1"/>
  <c r="Z273" i="17" s="1"/>
  <c r="Y273" i="17" s="1"/>
  <c r="AG289" i="17"/>
  <c r="AF289" i="17" s="1"/>
  <c r="AD289" i="17" s="1"/>
  <c r="AG305" i="17"/>
  <c r="AF305" i="17" s="1"/>
  <c r="AD305" i="17" s="1"/>
  <c r="AG316" i="17"/>
  <c r="AF316" i="17" s="1"/>
  <c r="AD316" i="17" s="1"/>
  <c r="AA316" i="17" s="1"/>
  <c r="Z316" i="17" s="1"/>
  <c r="Y316" i="17" s="1"/>
  <c r="AG324" i="17"/>
  <c r="AF324" i="17" s="1"/>
  <c r="AD324" i="17" s="1"/>
  <c r="AA324" i="17" s="1"/>
  <c r="Z324" i="17" s="1"/>
  <c r="Y324" i="17" s="1"/>
  <c r="AG332" i="17"/>
  <c r="AF332" i="17" s="1"/>
  <c r="AD332" i="17" s="1"/>
  <c r="AA332" i="17" s="1"/>
  <c r="Z332" i="17" s="1"/>
  <c r="Y332" i="17" s="1"/>
  <c r="AG340" i="17"/>
  <c r="AF340" i="17" s="1"/>
  <c r="AD340" i="17" s="1"/>
  <c r="AA340" i="17" s="1"/>
  <c r="Z340" i="17" s="1"/>
  <c r="Y340" i="17" s="1"/>
  <c r="AG348" i="17"/>
  <c r="AF348" i="17" s="1"/>
  <c r="AD348" i="17" s="1"/>
  <c r="AA348" i="17" s="1"/>
  <c r="Z348" i="17" s="1"/>
  <c r="Y348" i="17" s="1"/>
  <c r="AG356" i="17"/>
  <c r="AF356" i="17" s="1"/>
  <c r="AD356" i="17" s="1"/>
  <c r="AA356" i="17" s="1"/>
  <c r="Z356" i="17" s="1"/>
  <c r="Y356" i="17" s="1"/>
  <c r="AG364" i="17"/>
  <c r="AF364" i="17" s="1"/>
  <c r="AD364" i="17" s="1"/>
  <c r="AG372" i="17"/>
  <c r="AF372" i="17" s="1"/>
  <c r="AD372" i="17" s="1"/>
  <c r="AH15" i="17"/>
  <c r="AI382" i="17"/>
  <c r="AI381" i="17"/>
  <c r="AI383" i="17"/>
  <c r="AG51" i="17"/>
  <c r="AF51" i="17" s="1"/>
  <c r="AD51" i="17" s="1"/>
  <c r="AG83" i="17"/>
  <c r="AF83" i="17" s="1"/>
  <c r="AD83" i="17" s="1"/>
  <c r="AA83" i="17" s="1"/>
  <c r="Z83" i="17" s="1"/>
  <c r="Y83" i="17" s="1"/>
  <c r="AG115" i="17"/>
  <c r="AF115" i="17" s="1"/>
  <c r="AD115" i="17" s="1"/>
  <c r="AG147" i="17"/>
  <c r="AF147" i="17" s="1"/>
  <c r="AD147" i="17" s="1"/>
  <c r="AG179" i="17"/>
  <c r="AF179" i="17" s="1"/>
  <c r="AD179" i="17" s="1"/>
  <c r="AG211" i="17"/>
  <c r="AF211" i="17" s="1"/>
  <c r="AD211" i="17" s="1"/>
  <c r="AA211" i="17" s="1"/>
  <c r="Z211" i="17" s="1"/>
  <c r="Y211" i="17" s="1"/>
  <c r="AG243" i="17"/>
  <c r="AF243" i="17" s="1"/>
  <c r="AD243" i="17" s="1"/>
  <c r="AG275" i="17"/>
  <c r="AF275" i="17" s="1"/>
  <c r="AD275" i="17" s="1"/>
  <c r="AG307" i="17"/>
  <c r="AF307" i="17" s="1"/>
  <c r="AD307" i="17" s="1"/>
  <c r="AG325" i="17"/>
  <c r="AF325" i="17" s="1"/>
  <c r="AD325" i="17" s="1"/>
  <c r="AA325" i="17" s="1"/>
  <c r="Z325" i="17" s="1"/>
  <c r="Y325" i="17" s="1"/>
  <c r="AG341" i="17"/>
  <c r="AF341" i="17" s="1"/>
  <c r="AD341" i="17" s="1"/>
  <c r="AA341" i="17" s="1"/>
  <c r="Z341" i="17" s="1"/>
  <c r="Y341" i="17" s="1"/>
  <c r="AG357" i="17"/>
  <c r="AF357" i="17" s="1"/>
  <c r="AD357" i="17" s="1"/>
  <c r="AG373" i="17"/>
  <c r="AF373" i="17" s="1"/>
  <c r="AD373" i="17" s="1"/>
  <c r="AA373" i="17" s="1"/>
  <c r="Z373" i="17" s="1"/>
  <c r="Y373" i="17" s="1"/>
  <c r="AG71" i="17"/>
  <c r="AF71" i="17" s="1"/>
  <c r="AD71" i="17" s="1"/>
  <c r="AG135" i="17"/>
  <c r="AF135" i="17" s="1"/>
  <c r="AD135" i="17" s="1"/>
  <c r="AG199" i="17"/>
  <c r="AF199" i="17" s="1"/>
  <c r="AD199" i="17" s="1"/>
  <c r="AA199" i="17" s="1"/>
  <c r="Z199" i="17" s="1"/>
  <c r="Y199" i="17" s="1"/>
  <c r="AG263" i="17"/>
  <c r="AF263" i="17" s="1"/>
  <c r="AD263" i="17" s="1"/>
  <c r="AA263" i="17" s="1"/>
  <c r="Z263" i="17" s="1"/>
  <c r="Y263" i="17" s="1"/>
  <c r="AG319" i="17"/>
  <c r="AF319" i="17" s="1"/>
  <c r="AD319" i="17" s="1"/>
  <c r="AA319" i="17" s="1"/>
  <c r="Z319" i="17" s="1"/>
  <c r="Y319" i="17" s="1"/>
  <c r="AG351" i="17"/>
  <c r="AF351" i="17" s="1"/>
  <c r="AD351" i="17" s="1"/>
  <c r="AG31" i="17"/>
  <c r="AF31" i="17" s="1"/>
  <c r="AD31" i="17" s="1"/>
  <c r="AG159" i="17"/>
  <c r="AF159" i="17" s="1"/>
  <c r="AD159" i="17" s="1"/>
  <c r="AG287" i="17"/>
  <c r="AF287" i="17" s="1"/>
  <c r="AD287" i="17" s="1"/>
  <c r="AA287" i="17" s="1"/>
  <c r="Z287" i="17" s="1"/>
  <c r="Y287" i="17" s="1"/>
  <c r="AG363" i="17"/>
  <c r="AF363" i="17" s="1"/>
  <c r="AD363" i="17" s="1"/>
  <c r="AG207" i="17"/>
  <c r="AF207" i="17" s="1"/>
  <c r="AD207" i="17" s="1"/>
  <c r="AH379" i="17"/>
  <c r="AI12" i="18"/>
  <c r="AI16" i="18" s="1"/>
  <c r="AH16" i="18" s="1"/>
  <c r="AG371" i="17"/>
  <c r="AF371" i="17" s="1"/>
  <c r="AD371" i="17" s="1"/>
  <c r="AA371" i="17" s="1"/>
  <c r="Z371" i="17" s="1"/>
  <c r="Y371" i="17" s="1"/>
  <c r="H300" i="17"/>
  <c r="P257" i="17"/>
  <c r="V257" i="17" s="1"/>
  <c r="F257" i="17" s="1"/>
  <c r="S26" i="17"/>
  <c r="R26" i="17" s="1"/>
  <c r="P26" i="17" s="1"/>
  <c r="V26" i="17" s="1"/>
  <c r="F26" i="17" s="1"/>
  <c r="S42" i="17"/>
  <c r="R42" i="17" s="1"/>
  <c r="P42" i="17" s="1"/>
  <c r="V42" i="17" s="1"/>
  <c r="F42" i="17" s="1"/>
  <c r="S82" i="17"/>
  <c r="R82" i="17" s="1"/>
  <c r="P82" i="17" s="1"/>
  <c r="S114" i="17"/>
  <c r="R114" i="17" s="1"/>
  <c r="P114" i="17" s="1"/>
  <c r="V114" i="17" s="1"/>
  <c r="F114" i="17" s="1"/>
  <c r="S130" i="17"/>
  <c r="R130" i="17" s="1"/>
  <c r="P130" i="17" s="1"/>
  <c r="V130" i="17" s="1"/>
  <c r="F130" i="17" s="1"/>
  <c r="S138" i="17"/>
  <c r="R138" i="17" s="1"/>
  <c r="P138" i="17" s="1"/>
  <c r="V138" i="17" s="1"/>
  <c r="F138" i="17" s="1"/>
  <c r="S146" i="17"/>
  <c r="R146" i="17" s="1"/>
  <c r="P146" i="17" s="1"/>
  <c r="V146" i="17" s="1"/>
  <c r="F146" i="17" s="1"/>
  <c r="S178" i="17"/>
  <c r="R178" i="17" s="1"/>
  <c r="P178" i="17" s="1"/>
  <c r="V178" i="17" s="1"/>
  <c r="F178" i="17" s="1"/>
  <c r="S202" i="17"/>
  <c r="R202" i="17" s="1"/>
  <c r="P202" i="17" s="1"/>
  <c r="V202" i="17" s="1"/>
  <c r="F202" i="17" s="1"/>
  <c r="S210" i="17"/>
  <c r="R210" i="17" s="1"/>
  <c r="P210" i="17" s="1"/>
  <c r="S218" i="17"/>
  <c r="R218" i="17" s="1"/>
  <c r="P218" i="17" s="1"/>
  <c r="V218" i="17" s="1"/>
  <c r="F218" i="17" s="1"/>
  <c r="S234" i="17"/>
  <c r="R234" i="17" s="1"/>
  <c r="P234" i="17" s="1"/>
  <c r="V234" i="17" s="1"/>
  <c r="F234" i="17" s="1"/>
  <c r="S256" i="17"/>
  <c r="R256" i="17" s="1"/>
  <c r="P256" i="17" s="1"/>
  <c r="V256" i="17" s="1"/>
  <c r="F256" i="17" s="1"/>
  <c r="S272" i="17"/>
  <c r="R272" i="17" s="1"/>
  <c r="P272" i="17" s="1"/>
  <c r="S32" i="17"/>
  <c r="R32" i="17" s="1"/>
  <c r="P32" i="17" s="1"/>
  <c r="V32" i="17" s="1"/>
  <c r="F32" i="17" s="1"/>
  <c r="S48" i="17"/>
  <c r="R48" i="17" s="1"/>
  <c r="P48" i="17" s="1"/>
  <c r="V48" i="17" s="1"/>
  <c r="F48" i="17" s="1"/>
  <c r="S56" i="17"/>
  <c r="R56" i="17" s="1"/>
  <c r="P56" i="17" s="1"/>
  <c r="S64" i="17"/>
  <c r="R64" i="17" s="1"/>
  <c r="P64" i="17" s="1"/>
  <c r="V64" i="17" s="1"/>
  <c r="F64" i="17" s="1"/>
  <c r="S72" i="17"/>
  <c r="R72" i="17" s="1"/>
  <c r="P72" i="17" s="1"/>
  <c r="V72" i="17" s="1"/>
  <c r="F72" i="17" s="1"/>
  <c r="S88" i="17"/>
  <c r="R88" i="17" s="1"/>
  <c r="P88" i="17" s="1"/>
  <c r="S128" i="17"/>
  <c r="R128" i="17" s="1"/>
  <c r="P128" i="17" s="1"/>
  <c r="V128" i="17" s="1"/>
  <c r="F128" i="17" s="1"/>
  <c r="S136" i="17"/>
  <c r="R136" i="17" s="1"/>
  <c r="P136" i="17" s="1"/>
  <c r="V136" i="17" s="1"/>
  <c r="F136" i="17" s="1"/>
  <c r="S152" i="17"/>
  <c r="R152" i="17" s="1"/>
  <c r="P152" i="17" s="1"/>
  <c r="S176" i="17"/>
  <c r="R176" i="17" s="1"/>
  <c r="P176" i="17" s="1"/>
  <c r="S200" i="17"/>
  <c r="R200" i="17" s="1"/>
  <c r="P200" i="17" s="1"/>
  <c r="V200" i="17" s="1"/>
  <c r="F200" i="17" s="1"/>
  <c r="S208" i="17"/>
  <c r="R208" i="17" s="1"/>
  <c r="P208" i="17" s="1"/>
  <c r="V208" i="17" s="1"/>
  <c r="F208" i="17" s="1"/>
  <c r="S216" i="17"/>
  <c r="R216" i="17" s="1"/>
  <c r="P216" i="17" s="1"/>
  <c r="V216" i="17" s="1"/>
  <c r="F216" i="17" s="1"/>
  <c r="S268" i="17"/>
  <c r="R268" i="17" s="1"/>
  <c r="P268" i="17" s="1"/>
  <c r="V268" i="17" s="1"/>
  <c r="F268" i="17" s="1"/>
  <c r="H316" i="17"/>
  <c r="G316" i="17"/>
  <c r="BZ316" i="6" s="1"/>
  <c r="S266" i="17"/>
  <c r="R266" i="17" s="1"/>
  <c r="P266" i="17" s="1"/>
  <c r="V266" i="17" s="1"/>
  <c r="F266" i="17" s="1"/>
  <c r="S282" i="17"/>
  <c r="R282" i="17" s="1"/>
  <c r="P282" i="17" s="1"/>
  <c r="V282" i="17" s="1"/>
  <c r="F282" i="17" s="1"/>
  <c r="S322" i="17"/>
  <c r="R322" i="17" s="1"/>
  <c r="P322" i="17" s="1"/>
  <c r="V322" i="17" s="1"/>
  <c r="F322" i="17" s="1"/>
  <c r="S346" i="17"/>
  <c r="R346" i="17" s="1"/>
  <c r="P346" i="17" s="1"/>
  <c r="V346" i="17" s="1"/>
  <c r="F346" i="17" s="1"/>
  <c r="S354" i="17"/>
  <c r="R354" i="17" s="1"/>
  <c r="P354" i="17" s="1"/>
  <c r="V354" i="17" s="1"/>
  <c r="F354" i="17" s="1"/>
  <c r="V29" i="17"/>
  <c r="F29" i="17" s="1"/>
  <c r="D56" i="7"/>
  <c r="S37" i="17"/>
  <c r="R37" i="17" s="1"/>
  <c r="P37" i="17" s="1"/>
  <c r="V37" i="17" s="1"/>
  <c r="F37" i="17" s="1"/>
  <c r="S53" i="17"/>
  <c r="R53" i="17" s="1"/>
  <c r="P53" i="17" s="1"/>
  <c r="S77" i="17"/>
  <c r="R77" i="17" s="1"/>
  <c r="P77" i="17" s="1"/>
  <c r="V77" i="17" s="1"/>
  <c r="F77" i="17" s="1"/>
  <c r="S101" i="17"/>
  <c r="R101" i="17" s="1"/>
  <c r="P101" i="17" s="1"/>
  <c r="V101" i="17" s="1"/>
  <c r="F101" i="17" s="1"/>
  <c r="S109" i="17"/>
  <c r="R109" i="17" s="1"/>
  <c r="P109" i="17" s="1"/>
  <c r="S125" i="17"/>
  <c r="R125" i="17" s="1"/>
  <c r="P125" i="17" s="1"/>
  <c r="V125" i="17" s="1"/>
  <c r="F125" i="17" s="1"/>
  <c r="S133" i="17"/>
  <c r="R133" i="17" s="1"/>
  <c r="P133" i="17" s="1"/>
  <c r="V133" i="17" s="1"/>
  <c r="F133" i="17" s="1"/>
  <c r="S149" i="17"/>
  <c r="R149" i="17" s="1"/>
  <c r="P149" i="17" s="1"/>
  <c r="S165" i="17"/>
  <c r="R165" i="17" s="1"/>
  <c r="P165" i="17" s="1"/>
  <c r="V165" i="17" s="1"/>
  <c r="F165" i="17" s="1"/>
  <c r="S173" i="17"/>
  <c r="R173" i="17" s="1"/>
  <c r="P173" i="17" s="1"/>
  <c r="V173" i="17" s="1"/>
  <c r="F173" i="17" s="1"/>
  <c r="S189" i="17"/>
  <c r="R189" i="17" s="1"/>
  <c r="P189" i="17" s="1"/>
  <c r="V189" i="17" s="1"/>
  <c r="F189" i="17" s="1"/>
  <c r="S197" i="17"/>
  <c r="R197" i="17" s="1"/>
  <c r="P197" i="17" s="1"/>
  <c r="V197" i="17" s="1"/>
  <c r="F197" i="17" s="1"/>
  <c r="S205" i="17"/>
  <c r="R205" i="17" s="1"/>
  <c r="P205" i="17" s="1"/>
  <c r="S213" i="17"/>
  <c r="R213" i="17" s="1"/>
  <c r="P213" i="17" s="1"/>
  <c r="V213" i="17" s="1"/>
  <c r="F213" i="17" s="1"/>
  <c r="S221" i="17"/>
  <c r="R221" i="17" s="1"/>
  <c r="P221" i="17" s="1"/>
  <c r="V221" i="17" s="1"/>
  <c r="F221" i="17" s="1"/>
  <c r="S245" i="17"/>
  <c r="R245" i="17" s="1"/>
  <c r="P245" i="17" s="1"/>
  <c r="V245" i="17" s="1"/>
  <c r="F245" i="17" s="1"/>
  <c r="S261" i="17"/>
  <c r="R261" i="17" s="1"/>
  <c r="P261" i="17" s="1"/>
  <c r="S269" i="17"/>
  <c r="R269" i="17" s="1"/>
  <c r="P269" i="17" s="1"/>
  <c r="V269" i="17" s="1"/>
  <c r="F269" i="17" s="1"/>
  <c r="S277" i="17"/>
  <c r="R277" i="17" s="1"/>
  <c r="P277" i="17" s="1"/>
  <c r="V277" i="17" s="1"/>
  <c r="F277" i="17" s="1"/>
  <c r="S333" i="17"/>
  <c r="R333" i="17" s="1"/>
  <c r="P333" i="17" s="1"/>
  <c r="S349" i="17"/>
  <c r="R349" i="17" s="1"/>
  <c r="P349" i="17" s="1"/>
  <c r="V349" i="17" s="1"/>
  <c r="F349" i="17" s="1"/>
  <c r="S357" i="17"/>
  <c r="R357" i="17" s="1"/>
  <c r="P357" i="17" s="1"/>
  <c r="S365" i="17"/>
  <c r="R365" i="17" s="1"/>
  <c r="P365" i="17" s="1"/>
  <c r="V365" i="17" s="1"/>
  <c r="F365" i="17" s="1"/>
  <c r="AG310" i="17"/>
  <c r="AF310" i="17" s="1"/>
  <c r="AD310" i="17" s="1"/>
  <c r="AA310" i="17" s="1"/>
  <c r="Z310" i="17" s="1"/>
  <c r="Y310" i="17" s="1"/>
  <c r="AG302" i="17"/>
  <c r="AF302" i="17" s="1"/>
  <c r="AD302" i="17" s="1"/>
  <c r="AG294" i="17"/>
  <c r="AF294" i="17" s="1"/>
  <c r="AD294" i="17" s="1"/>
  <c r="AG286" i="17"/>
  <c r="AF286" i="17" s="1"/>
  <c r="AD286" i="17" s="1"/>
  <c r="AG278" i="17"/>
  <c r="AF278" i="17" s="1"/>
  <c r="AD278" i="17" s="1"/>
  <c r="AA278" i="17" s="1"/>
  <c r="Z278" i="17" s="1"/>
  <c r="Y278" i="17" s="1"/>
  <c r="AG270" i="17"/>
  <c r="AF270" i="17" s="1"/>
  <c r="AD270" i="17" s="1"/>
  <c r="AA270" i="17" s="1"/>
  <c r="Z270" i="17" s="1"/>
  <c r="Y270" i="17" s="1"/>
  <c r="AG262" i="17"/>
  <c r="AF262" i="17" s="1"/>
  <c r="AD262" i="17" s="1"/>
  <c r="AG254" i="17"/>
  <c r="AF254" i="17" s="1"/>
  <c r="AD254" i="17" s="1"/>
  <c r="AA254" i="17" s="1"/>
  <c r="Z254" i="17" s="1"/>
  <c r="Y254" i="17" s="1"/>
  <c r="AG246" i="17"/>
  <c r="AF246" i="17" s="1"/>
  <c r="AD246" i="17" s="1"/>
  <c r="H356" i="17"/>
  <c r="G356" i="17"/>
  <c r="BZ356" i="6" s="1"/>
  <c r="V364" i="17"/>
  <c r="F364" i="17" s="1"/>
  <c r="V372" i="17"/>
  <c r="F372" i="17" s="1"/>
  <c r="S31" i="17"/>
  <c r="R31" i="17" s="1"/>
  <c r="P31" i="17" s="1"/>
  <c r="V31" i="17" s="1"/>
  <c r="F31" i="17" s="1"/>
  <c r="S55" i="17"/>
  <c r="R55" i="17" s="1"/>
  <c r="P55" i="17" s="1"/>
  <c r="V55" i="17" s="1"/>
  <c r="F55" i="17" s="1"/>
  <c r="S71" i="17"/>
  <c r="R71" i="17" s="1"/>
  <c r="P71" i="17" s="1"/>
  <c r="S79" i="17"/>
  <c r="R79" i="17" s="1"/>
  <c r="P79" i="17" s="1"/>
  <c r="S87" i="17"/>
  <c r="R87" i="17" s="1"/>
  <c r="P87" i="17" s="1"/>
  <c r="V87" i="17" s="1"/>
  <c r="F87" i="17" s="1"/>
  <c r="S95" i="17"/>
  <c r="R95" i="17" s="1"/>
  <c r="P95" i="17" s="1"/>
  <c r="S111" i="17"/>
  <c r="R111" i="17" s="1"/>
  <c r="P111" i="17" s="1"/>
  <c r="V111" i="17" s="1"/>
  <c r="F111" i="17" s="1"/>
  <c r="S119" i="17"/>
  <c r="R119" i="17" s="1"/>
  <c r="P119" i="17" s="1"/>
  <c r="S135" i="17"/>
  <c r="R135" i="17" s="1"/>
  <c r="P135" i="17" s="1"/>
  <c r="S143" i="17"/>
  <c r="R143" i="17" s="1"/>
  <c r="P143" i="17" s="1"/>
  <c r="V143" i="17" s="1"/>
  <c r="F143" i="17" s="1"/>
  <c r="S159" i="17"/>
  <c r="R159" i="17" s="1"/>
  <c r="P159" i="17" s="1"/>
  <c r="V159" i="17" s="1"/>
  <c r="F159" i="17" s="1"/>
  <c r="S183" i="17"/>
  <c r="R183" i="17" s="1"/>
  <c r="P183" i="17" s="1"/>
  <c r="S207" i="17"/>
  <c r="R207" i="17" s="1"/>
  <c r="P207" i="17" s="1"/>
  <c r="V207" i="17" s="1"/>
  <c r="F207" i="17" s="1"/>
  <c r="S223" i="17"/>
  <c r="R223" i="17" s="1"/>
  <c r="P223" i="17" s="1"/>
  <c r="V223" i="17" s="1"/>
  <c r="F223" i="17" s="1"/>
  <c r="S231" i="17"/>
  <c r="R231" i="17" s="1"/>
  <c r="P231" i="17" s="1"/>
  <c r="S239" i="17"/>
  <c r="R239" i="17" s="1"/>
  <c r="P239" i="17" s="1"/>
  <c r="V239" i="17" s="1"/>
  <c r="F239" i="17" s="1"/>
  <c r="S295" i="17"/>
  <c r="R295" i="17" s="1"/>
  <c r="P295" i="17" s="1"/>
  <c r="V295" i="17" s="1"/>
  <c r="F295" i="17" s="1"/>
  <c r="S303" i="17"/>
  <c r="R303" i="17" s="1"/>
  <c r="P303" i="17" s="1"/>
  <c r="V303" i="17" s="1"/>
  <c r="F303" i="17" s="1"/>
  <c r="S351" i="17"/>
  <c r="R351" i="17" s="1"/>
  <c r="P351" i="17" s="1"/>
  <c r="V351" i="17" s="1"/>
  <c r="F351" i="17" s="1"/>
  <c r="S367" i="17"/>
  <c r="R367" i="17" s="1"/>
  <c r="P367" i="17" s="1"/>
  <c r="V367" i="17" s="1"/>
  <c r="F367" i="17" s="1"/>
  <c r="AG308" i="17"/>
  <c r="AF308" i="17" s="1"/>
  <c r="AD308" i="17" s="1"/>
  <c r="AA308" i="17" s="1"/>
  <c r="Z308" i="17" s="1"/>
  <c r="Y308" i="17" s="1"/>
  <c r="AG300" i="17"/>
  <c r="AF300" i="17" s="1"/>
  <c r="AD300" i="17" s="1"/>
  <c r="AA300" i="17" s="1"/>
  <c r="Z300" i="17" s="1"/>
  <c r="Y300" i="17" s="1"/>
  <c r="AG292" i="17"/>
  <c r="AF292" i="17" s="1"/>
  <c r="AD292" i="17" s="1"/>
  <c r="AG284" i="17"/>
  <c r="AF284" i="17" s="1"/>
  <c r="AD284" i="17" s="1"/>
  <c r="AA284" i="17" s="1"/>
  <c r="Z284" i="17" s="1"/>
  <c r="Y284" i="17" s="1"/>
  <c r="AG276" i="17"/>
  <c r="AF276" i="17" s="1"/>
  <c r="AD276" i="17" s="1"/>
  <c r="AG268" i="17"/>
  <c r="AF268" i="17" s="1"/>
  <c r="AD268" i="17" s="1"/>
  <c r="AG260" i="17"/>
  <c r="AF260" i="17" s="1"/>
  <c r="AD260" i="17" s="1"/>
  <c r="AG252" i="17"/>
  <c r="AF252" i="17" s="1"/>
  <c r="AD252" i="17" s="1"/>
  <c r="AA252" i="17" s="1"/>
  <c r="Z252" i="17" s="1"/>
  <c r="Y252" i="17" s="1"/>
  <c r="AG244" i="17"/>
  <c r="AF244" i="17" s="1"/>
  <c r="AD244" i="17" s="1"/>
  <c r="AA244" i="17" s="1"/>
  <c r="Z244" i="17" s="1"/>
  <c r="Y244" i="17" s="1"/>
  <c r="AG236" i="17"/>
  <c r="AF236" i="17" s="1"/>
  <c r="AD236" i="17" s="1"/>
  <c r="AG228" i="17"/>
  <c r="AF228" i="17" s="1"/>
  <c r="AD228" i="17" s="1"/>
  <c r="AG220" i="17"/>
  <c r="AF220" i="17" s="1"/>
  <c r="AD220" i="17" s="1"/>
  <c r="AG212" i="17"/>
  <c r="AF212" i="17" s="1"/>
  <c r="AD212" i="17" s="1"/>
  <c r="AA212" i="17" s="1"/>
  <c r="Z212" i="17" s="1"/>
  <c r="Y212" i="17" s="1"/>
  <c r="AG204" i="17"/>
  <c r="AF204" i="17" s="1"/>
  <c r="AD204" i="17" s="1"/>
  <c r="AG196" i="17"/>
  <c r="AF196" i="17" s="1"/>
  <c r="AD196" i="17" s="1"/>
  <c r="AG188" i="17"/>
  <c r="AF188" i="17" s="1"/>
  <c r="AD188" i="17" s="1"/>
  <c r="AA188" i="17" s="1"/>
  <c r="Z188" i="17" s="1"/>
  <c r="Y188" i="17" s="1"/>
  <c r="AG180" i="17"/>
  <c r="AF180" i="17" s="1"/>
  <c r="AD180" i="17" s="1"/>
  <c r="AA180" i="17" s="1"/>
  <c r="Z180" i="17" s="1"/>
  <c r="Y180" i="17" s="1"/>
  <c r="AG172" i="17"/>
  <c r="AF172" i="17" s="1"/>
  <c r="AD172" i="17" s="1"/>
  <c r="AA172" i="17" s="1"/>
  <c r="Z172" i="17" s="1"/>
  <c r="Y172" i="17" s="1"/>
  <c r="AG164" i="17"/>
  <c r="AF164" i="17" s="1"/>
  <c r="AD164" i="17" s="1"/>
  <c r="AA164" i="17" s="1"/>
  <c r="Z164" i="17" s="1"/>
  <c r="Y164" i="17" s="1"/>
  <c r="AG156" i="17"/>
  <c r="AF156" i="17" s="1"/>
  <c r="AD156" i="17" s="1"/>
  <c r="AG148" i="17"/>
  <c r="AF148" i="17" s="1"/>
  <c r="AD148" i="17" s="1"/>
  <c r="AA148" i="17" s="1"/>
  <c r="Z148" i="17" s="1"/>
  <c r="Y148" i="17" s="1"/>
  <c r="AG140" i="17"/>
  <c r="AF140" i="17" s="1"/>
  <c r="AD140" i="17" s="1"/>
  <c r="AA140" i="17" s="1"/>
  <c r="Z140" i="17" s="1"/>
  <c r="Y140" i="17" s="1"/>
  <c r="AG132" i="17"/>
  <c r="AF132" i="17" s="1"/>
  <c r="AD132" i="17" s="1"/>
  <c r="AA132" i="17" s="1"/>
  <c r="Z132" i="17" s="1"/>
  <c r="Y132" i="17" s="1"/>
  <c r="AG124" i="17"/>
  <c r="AF124" i="17" s="1"/>
  <c r="AD124" i="17" s="1"/>
  <c r="AG116" i="17"/>
  <c r="AF116" i="17" s="1"/>
  <c r="AD116" i="17" s="1"/>
  <c r="AG108" i="17"/>
  <c r="AF108" i="17" s="1"/>
  <c r="AD108" i="17" s="1"/>
  <c r="AA108" i="17" s="1"/>
  <c r="Z108" i="17" s="1"/>
  <c r="Y108" i="17" s="1"/>
  <c r="AG100" i="17"/>
  <c r="AF100" i="17" s="1"/>
  <c r="AD100" i="17" s="1"/>
  <c r="AA100" i="17" s="1"/>
  <c r="Z100" i="17" s="1"/>
  <c r="Y100" i="17" s="1"/>
  <c r="AG92" i="17"/>
  <c r="AF92" i="17" s="1"/>
  <c r="AD92" i="17" s="1"/>
  <c r="AG84" i="17"/>
  <c r="AF84" i="17" s="1"/>
  <c r="AD84" i="17" s="1"/>
  <c r="AA84" i="17" s="1"/>
  <c r="Z84" i="17" s="1"/>
  <c r="Y84" i="17" s="1"/>
  <c r="AG76" i="17"/>
  <c r="AF76" i="17" s="1"/>
  <c r="AD76" i="17" s="1"/>
  <c r="AA76" i="17" s="1"/>
  <c r="Z76" i="17" s="1"/>
  <c r="Y76" i="17" s="1"/>
  <c r="AG68" i="17"/>
  <c r="AF68" i="17" s="1"/>
  <c r="AD68" i="17" s="1"/>
  <c r="AG60" i="17"/>
  <c r="AF60" i="17" s="1"/>
  <c r="AD60" i="17" s="1"/>
  <c r="AA60" i="17" s="1"/>
  <c r="Z60" i="17" s="1"/>
  <c r="Y60" i="17" s="1"/>
  <c r="AG52" i="17"/>
  <c r="AF52" i="17" s="1"/>
  <c r="AD52" i="17" s="1"/>
  <c r="AA52" i="17" s="1"/>
  <c r="Z52" i="17" s="1"/>
  <c r="Y52" i="17" s="1"/>
  <c r="AG44" i="17"/>
  <c r="AF44" i="17" s="1"/>
  <c r="AD44" i="17" s="1"/>
  <c r="AG36" i="17"/>
  <c r="AF36" i="17" s="1"/>
  <c r="AD36" i="17" s="1"/>
  <c r="AG28" i="17"/>
  <c r="AF28" i="17" s="1"/>
  <c r="AD28" i="17" s="1"/>
  <c r="AA28" i="17" s="1"/>
  <c r="Z28" i="17" s="1"/>
  <c r="Y28" i="17" s="1"/>
  <c r="AG20" i="17"/>
  <c r="AF20" i="17" s="1"/>
  <c r="AD20" i="17" s="1"/>
  <c r="AA20" i="17" s="1"/>
  <c r="Z20" i="17" s="1"/>
  <c r="Y20" i="17" s="1"/>
  <c r="AG21" i="17"/>
  <c r="AF21" i="17" s="1"/>
  <c r="AD21" i="17" s="1"/>
  <c r="AA21" i="17" s="1"/>
  <c r="Z21" i="17" s="1"/>
  <c r="Y21" i="17" s="1"/>
  <c r="AG37" i="17"/>
  <c r="AF37" i="17" s="1"/>
  <c r="AD37" i="17" s="1"/>
  <c r="AG53" i="17"/>
  <c r="AF53" i="17" s="1"/>
  <c r="AD53" i="17" s="1"/>
  <c r="AG69" i="17"/>
  <c r="AF69" i="17" s="1"/>
  <c r="AD69" i="17" s="1"/>
  <c r="AA69" i="17" s="1"/>
  <c r="Z69" i="17" s="1"/>
  <c r="Y69" i="17" s="1"/>
  <c r="AG85" i="17"/>
  <c r="AF85" i="17" s="1"/>
  <c r="AD85" i="17" s="1"/>
  <c r="AA85" i="17" s="1"/>
  <c r="Z85" i="17" s="1"/>
  <c r="Y85" i="17" s="1"/>
  <c r="AG101" i="17"/>
  <c r="AF101" i="17" s="1"/>
  <c r="AD101" i="17" s="1"/>
  <c r="AG117" i="17"/>
  <c r="AF117" i="17" s="1"/>
  <c r="AD117" i="17" s="1"/>
  <c r="AA117" i="17" s="1"/>
  <c r="Z117" i="17" s="1"/>
  <c r="Y117" i="17" s="1"/>
  <c r="AG133" i="17"/>
  <c r="AF133" i="17" s="1"/>
  <c r="AD133" i="17" s="1"/>
  <c r="AG149" i="17"/>
  <c r="AF149" i="17" s="1"/>
  <c r="AD149" i="17" s="1"/>
  <c r="AG165" i="17"/>
  <c r="AF165" i="17" s="1"/>
  <c r="AD165" i="17" s="1"/>
  <c r="AG181" i="17"/>
  <c r="AF181" i="17" s="1"/>
  <c r="AD181" i="17" s="1"/>
  <c r="AA181" i="17" s="1"/>
  <c r="Z181" i="17" s="1"/>
  <c r="Y181" i="17" s="1"/>
  <c r="AG197" i="17"/>
  <c r="AF197" i="17" s="1"/>
  <c r="AD197" i="17" s="1"/>
  <c r="AG213" i="17"/>
  <c r="AF213" i="17" s="1"/>
  <c r="AD213" i="17" s="1"/>
  <c r="AG229" i="17"/>
  <c r="AF229" i="17" s="1"/>
  <c r="AD229" i="17" s="1"/>
  <c r="AA229" i="17" s="1"/>
  <c r="Z229" i="17" s="1"/>
  <c r="Y229" i="17" s="1"/>
  <c r="AG242" i="17"/>
  <c r="AF242" i="17" s="1"/>
  <c r="AD242" i="17" s="1"/>
  <c r="AA242" i="17" s="1"/>
  <c r="Z242" i="17" s="1"/>
  <c r="Y242" i="17" s="1"/>
  <c r="AG234" i="17"/>
  <c r="AF234" i="17" s="1"/>
  <c r="AD234" i="17" s="1"/>
  <c r="AG226" i="17"/>
  <c r="AF226" i="17" s="1"/>
  <c r="AD226" i="17" s="1"/>
  <c r="AA226" i="17" s="1"/>
  <c r="Z226" i="17" s="1"/>
  <c r="Y226" i="17" s="1"/>
  <c r="AG218" i="17"/>
  <c r="AF218" i="17" s="1"/>
  <c r="AD218" i="17" s="1"/>
  <c r="AG210" i="17"/>
  <c r="AF210" i="17" s="1"/>
  <c r="AD210" i="17" s="1"/>
  <c r="AG202" i="17"/>
  <c r="AF202" i="17" s="1"/>
  <c r="AD202" i="17" s="1"/>
  <c r="AG194" i="17"/>
  <c r="AF194" i="17" s="1"/>
  <c r="AD194" i="17" s="1"/>
  <c r="AG186" i="17"/>
  <c r="AF186" i="17" s="1"/>
  <c r="AD186" i="17" s="1"/>
  <c r="AA186" i="17" s="1"/>
  <c r="Z186" i="17" s="1"/>
  <c r="Y186" i="17" s="1"/>
  <c r="AG178" i="17"/>
  <c r="AF178" i="17" s="1"/>
  <c r="AD178" i="17" s="1"/>
  <c r="AG170" i="17"/>
  <c r="AF170" i="17" s="1"/>
  <c r="AD170" i="17" s="1"/>
  <c r="AA170" i="17" s="1"/>
  <c r="Z170" i="17" s="1"/>
  <c r="Y170" i="17" s="1"/>
  <c r="AG162" i="17"/>
  <c r="AF162" i="17" s="1"/>
  <c r="AD162" i="17" s="1"/>
  <c r="AA162" i="17" s="1"/>
  <c r="Z162" i="17" s="1"/>
  <c r="Y162" i="17" s="1"/>
  <c r="AG154" i="17"/>
  <c r="AF154" i="17" s="1"/>
  <c r="AD154" i="17" s="1"/>
  <c r="AA154" i="17" s="1"/>
  <c r="Z154" i="17" s="1"/>
  <c r="Y154" i="17" s="1"/>
  <c r="AG146" i="17"/>
  <c r="AF146" i="17" s="1"/>
  <c r="AD146" i="17" s="1"/>
  <c r="AG138" i="17"/>
  <c r="AF138" i="17" s="1"/>
  <c r="AD138" i="17" s="1"/>
  <c r="AG130" i="17"/>
  <c r="AF130" i="17" s="1"/>
  <c r="AD130" i="17" s="1"/>
  <c r="AG122" i="17"/>
  <c r="AF122" i="17" s="1"/>
  <c r="AD122" i="17" s="1"/>
  <c r="AA122" i="17" s="1"/>
  <c r="Z122" i="17" s="1"/>
  <c r="Y122" i="17" s="1"/>
  <c r="AG114" i="17"/>
  <c r="AF114" i="17" s="1"/>
  <c r="AD114" i="17" s="1"/>
  <c r="AG106" i="17"/>
  <c r="AF106" i="17" s="1"/>
  <c r="AD106" i="17" s="1"/>
  <c r="AA106" i="17" s="1"/>
  <c r="Z106" i="17" s="1"/>
  <c r="Y106" i="17" s="1"/>
  <c r="AG98" i="17"/>
  <c r="AF98" i="17" s="1"/>
  <c r="AD98" i="17" s="1"/>
  <c r="AA98" i="17" s="1"/>
  <c r="Z98" i="17" s="1"/>
  <c r="Y98" i="17" s="1"/>
  <c r="AG90" i="17"/>
  <c r="AF90" i="17" s="1"/>
  <c r="AD90" i="17" s="1"/>
  <c r="AA90" i="17" s="1"/>
  <c r="Z90" i="17" s="1"/>
  <c r="Y90" i="17" s="1"/>
  <c r="AG82" i="17"/>
  <c r="AF82" i="17" s="1"/>
  <c r="AD82" i="17" s="1"/>
  <c r="AG74" i="17"/>
  <c r="AF74" i="17" s="1"/>
  <c r="AD74" i="17" s="1"/>
  <c r="AA74" i="17" s="1"/>
  <c r="Z74" i="17" s="1"/>
  <c r="Y74" i="17" s="1"/>
  <c r="AG66" i="17"/>
  <c r="AF66" i="17" s="1"/>
  <c r="AD66" i="17" s="1"/>
  <c r="AA66" i="17" s="1"/>
  <c r="Z66" i="17" s="1"/>
  <c r="Y66" i="17" s="1"/>
  <c r="AG58" i="17"/>
  <c r="AF58" i="17" s="1"/>
  <c r="AD58" i="17" s="1"/>
  <c r="AA58" i="17" s="1"/>
  <c r="Z58" i="17" s="1"/>
  <c r="Y58" i="17" s="1"/>
  <c r="AG50" i="17"/>
  <c r="AF50" i="17" s="1"/>
  <c r="AD50" i="17" s="1"/>
  <c r="AA50" i="17" s="1"/>
  <c r="Z50" i="17" s="1"/>
  <c r="Y50" i="17" s="1"/>
  <c r="AG42" i="17"/>
  <c r="AF42" i="17" s="1"/>
  <c r="AD42" i="17" s="1"/>
  <c r="AG34" i="17"/>
  <c r="AF34" i="17" s="1"/>
  <c r="AD34" i="17" s="1"/>
  <c r="AA34" i="17" s="1"/>
  <c r="Z34" i="17" s="1"/>
  <c r="Y34" i="17" s="1"/>
  <c r="AG26" i="17"/>
  <c r="AF26" i="17" s="1"/>
  <c r="AD26" i="17" s="1"/>
  <c r="AG16" i="17"/>
  <c r="AF16" i="17" s="1"/>
  <c r="AD16" i="17" s="1"/>
  <c r="AG25" i="17"/>
  <c r="AF25" i="17" s="1"/>
  <c r="AD25" i="17" s="1"/>
  <c r="AA25" i="17" s="1"/>
  <c r="Z25" i="17" s="1"/>
  <c r="Y25" i="17" s="1"/>
  <c r="AG41" i="17"/>
  <c r="AF41" i="17" s="1"/>
  <c r="AD41" i="17" s="1"/>
  <c r="AG57" i="17"/>
  <c r="AF57" i="17" s="1"/>
  <c r="AD57" i="17" s="1"/>
  <c r="AG73" i="17"/>
  <c r="AF73" i="17" s="1"/>
  <c r="AD73" i="17" s="1"/>
  <c r="AA73" i="17" s="1"/>
  <c r="Z73" i="17" s="1"/>
  <c r="Y73" i="17" s="1"/>
  <c r="AG89" i="17"/>
  <c r="AF89" i="17" s="1"/>
  <c r="AD89" i="17" s="1"/>
  <c r="AA89" i="17" s="1"/>
  <c r="Z89" i="17" s="1"/>
  <c r="Y89" i="17" s="1"/>
  <c r="AG105" i="17"/>
  <c r="AF105" i="17" s="1"/>
  <c r="AD105" i="17" s="1"/>
  <c r="AA105" i="17" s="1"/>
  <c r="Z105" i="17" s="1"/>
  <c r="Y105" i="17" s="1"/>
  <c r="AG121" i="17"/>
  <c r="AF121" i="17" s="1"/>
  <c r="AD121" i="17" s="1"/>
  <c r="AG137" i="17"/>
  <c r="AF137" i="17" s="1"/>
  <c r="AD137" i="17" s="1"/>
  <c r="AG153" i="17"/>
  <c r="AF153" i="17" s="1"/>
  <c r="AD153" i="17" s="1"/>
  <c r="AG169" i="17"/>
  <c r="AF169" i="17" s="1"/>
  <c r="AD169" i="17" s="1"/>
  <c r="AG185" i="17"/>
  <c r="AF185" i="17" s="1"/>
  <c r="AD185" i="17" s="1"/>
  <c r="AG201" i="17"/>
  <c r="AF201" i="17" s="1"/>
  <c r="AD201" i="17" s="1"/>
  <c r="AG217" i="17"/>
  <c r="AF217" i="17" s="1"/>
  <c r="AD217" i="17" s="1"/>
  <c r="AA217" i="17" s="1"/>
  <c r="Z217" i="17" s="1"/>
  <c r="Y217" i="17" s="1"/>
  <c r="AG233" i="17"/>
  <c r="AF233" i="17" s="1"/>
  <c r="AD233" i="17" s="1"/>
  <c r="AA233" i="17" s="1"/>
  <c r="Z233" i="17" s="1"/>
  <c r="Y233" i="17" s="1"/>
  <c r="AG253" i="17"/>
  <c r="AF253" i="17" s="1"/>
  <c r="AD253" i="17" s="1"/>
  <c r="AA253" i="17" s="1"/>
  <c r="Z253" i="17" s="1"/>
  <c r="Y253" i="17" s="1"/>
  <c r="AG269" i="17"/>
  <c r="AF269" i="17" s="1"/>
  <c r="AD269" i="17" s="1"/>
  <c r="AG285" i="17"/>
  <c r="AF285" i="17" s="1"/>
  <c r="AD285" i="17" s="1"/>
  <c r="AA285" i="17" s="1"/>
  <c r="Z285" i="17" s="1"/>
  <c r="Y285" i="17" s="1"/>
  <c r="AG301" i="17"/>
  <c r="AF301" i="17" s="1"/>
  <c r="AD301" i="17" s="1"/>
  <c r="AA301" i="17" s="1"/>
  <c r="Z301" i="17" s="1"/>
  <c r="Y301" i="17" s="1"/>
  <c r="AG314" i="17"/>
  <c r="AF314" i="17" s="1"/>
  <c r="AD314" i="17" s="1"/>
  <c r="AA314" i="17" s="1"/>
  <c r="Z314" i="17" s="1"/>
  <c r="Y314" i="17" s="1"/>
  <c r="AG322" i="17"/>
  <c r="AF322" i="17" s="1"/>
  <c r="AD322" i="17" s="1"/>
  <c r="AG330" i="17"/>
  <c r="AF330" i="17" s="1"/>
  <c r="AD330" i="17" s="1"/>
  <c r="AG338" i="17"/>
  <c r="AF338" i="17" s="1"/>
  <c r="AD338" i="17" s="1"/>
  <c r="AA338" i="17" s="1"/>
  <c r="Z338" i="17" s="1"/>
  <c r="Y338" i="17" s="1"/>
  <c r="AG346" i="17"/>
  <c r="AF346" i="17" s="1"/>
  <c r="AD346" i="17" s="1"/>
  <c r="AG354" i="17"/>
  <c r="AF354" i="17" s="1"/>
  <c r="AD354" i="17" s="1"/>
  <c r="AG362" i="17"/>
  <c r="AF362" i="17" s="1"/>
  <c r="AD362" i="17" s="1"/>
  <c r="AA362" i="17" s="1"/>
  <c r="Z362" i="17" s="1"/>
  <c r="Y362" i="17" s="1"/>
  <c r="AG370" i="17"/>
  <c r="AF370" i="17" s="1"/>
  <c r="AD370" i="17" s="1"/>
  <c r="AA370" i="17" s="1"/>
  <c r="Z370" i="17" s="1"/>
  <c r="Y370" i="17" s="1"/>
  <c r="AG378" i="17"/>
  <c r="AF378" i="17" s="1"/>
  <c r="AD378" i="17" s="1"/>
  <c r="AA378" i="17" s="1"/>
  <c r="Z378" i="17" s="1"/>
  <c r="Y378" i="17" s="1"/>
  <c r="AG43" i="17"/>
  <c r="AF43" i="17" s="1"/>
  <c r="AD43" i="17" s="1"/>
  <c r="AG75" i="17"/>
  <c r="AF75" i="17" s="1"/>
  <c r="AD75" i="17" s="1"/>
  <c r="AG107" i="17"/>
  <c r="AF107" i="17" s="1"/>
  <c r="AD107" i="17" s="1"/>
  <c r="AA107" i="17" s="1"/>
  <c r="Z107" i="17" s="1"/>
  <c r="Y107" i="17" s="1"/>
  <c r="AG139" i="17"/>
  <c r="AF139" i="17" s="1"/>
  <c r="AD139" i="17" s="1"/>
  <c r="AG171" i="17"/>
  <c r="AF171" i="17" s="1"/>
  <c r="AD171" i="17" s="1"/>
  <c r="AG203" i="17"/>
  <c r="AF203" i="17" s="1"/>
  <c r="AD203" i="17" s="1"/>
  <c r="AA203" i="17" s="1"/>
  <c r="Z203" i="17" s="1"/>
  <c r="Y203" i="17" s="1"/>
  <c r="AG235" i="17"/>
  <c r="AF235" i="17" s="1"/>
  <c r="AD235" i="17" s="1"/>
  <c r="AG267" i="17"/>
  <c r="AF267" i="17" s="1"/>
  <c r="AD267" i="17" s="1"/>
  <c r="AG299" i="17"/>
  <c r="AF299" i="17" s="1"/>
  <c r="AD299" i="17" s="1"/>
  <c r="AA299" i="17" s="1"/>
  <c r="Z299" i="17" s="1"/>
  <c r="Y299" i="17" s="1"/>
  <c r="AG321" i="17"/>
  <c r="AF321" i="17" s="1"/>
  <c r="AD321" i="17" s="1"/>
  <c r="AG337" i="17"/>
  <c r="AF337" i="17" s="1"/>
  <c r="AD337" i="17" s="1"/>
  <c r="AA337" i="17" s="1"/>
  <c r="Z337" i="17" s="1"/>
  <c r="Y337" i="17" s="1"/>
  <c r="AG353" i="17"/>
  <c r="AF353" i="17" s="1"/>
  <c r="AD353" i="17" s="1"/>
  <c r="AG369" i="17"/>
  <c r="AF369" i="17" s="1"/>
  <c r="AD369" i="17" s="1"/>
  <c r="AG23" i="17"/>
  <c r="AF23" i="17" s="1"/>
  <c r="AD23" i="17" s="1"/>
  <c r="AA23" i="17" s="1"/>
  <c r="Z23" i="17" s="1"/>
  <c r="Y23" i="17" s="1"/>
  <c r="AG87" i="17"/>
  <c r="AF87" i="17" s="1"/>
  <c r="AD87" i="17" s="1"/>
  <c r="AG151" i="17"/>
  <c r="AF151" i="17" s="1"/>
  <c r="AD151" i="17" s="1"/>
  <c r="AA151" i="17" s="1"/>
  <c r="Z151" i="17" s="1"/>
  <c r="Y151" i="17" s="1"/>
  <c r="AG215" i="17"/>
  <c r="AF215" i="17" s="1"/>
  <c r="AD215" i="17" s="1"/>
  <c r="AA215" i="17" s="1"/>
  <c r="Z215" i="17" s="1"/>
  <c r="Y215" i="17" s="1"/>
  <c r="AG279" i="17"/>
  <c r="AF279" i="17" s="1"/>
  <c r="AD279" i="17" s="1"/>
  <c r="AA279" i="17" s="1"/>
  <c r="Z279" i="17" s="1"/>
  <c r="Y279" i="17" s="1"/>
  <c r="AG327" i="17"/>
  <c r="AF327" i="17" s="1"/>
  <c r="AD327" i="17" s="1"/>
  <c r="AA327" i="17" s="1"/>
  <c r="Z327" i="17" s="1"/>
  <c r="Y327" i="17" s="1"/>
  <c r="AG359" i="17"/>
  <c r="AF359" i="17" s="1"/>
  <c r="AD359" i="17" s="1"/>
  <c r="AA359" i="17" s="1"/>
  <c r="Z359" i="17" s="1"/>
  <c r="Y359" i="17" s="1"/>
  <c r="AG63" i="17"/>
  <c r="AF63" i="17" s="1"/>
  <c r="AD63" i="17" s="1"/>
  <c r="AA63" i="17" s="1"/>
  <c r="Z63" i="17" s="1"/>
  <c r="Y63" i="17" s="1"/>
  <c r="AG191" i="17"/>
  <c r="AF191" i="17" s="1"/>
  <c r="AD191" i="17" s="1"/>
  <c r="AA191" i="17" s="1"/>
  <c r="Z191" i="17" s="1"/>
  <c r="Y191" i="17" s="1"/>
  <c r="AG315" i="17"/>
  <c r="AF315" i="17" s="1"/>
  <c r="AD315" i="17" s="1"/>
  <c r="AA315" i="17" s="1"/>
  <c r="Z315" i="17" s="1"/>
  <c r="Y315" i="17" s="1"/>
  <c r="AG18" i="17"/>
  <c r="AF18" i="17" s="1"/>
  <c r="AD18" i="17" s="1"/>
  <c r="AA18" i="17" s="1"/>
  <c r="Z18" i="17" s="1"/>
  <c r="Y18" i="17" s="1"/>
  <c r="AG271" i="17"/>
  <c r="AF271" i="17" s="1"/>
  <c r="AD271" i="17" s="1"/>
  <c r="AA271" i="17" s="1"/>
  <c r="Z271" i="17" s="1"/>
  <c r="Y271" i="17" s="1"/>
  <c r="AG175" i="17"/>
  <c r="AF175" i="17" s="1"/>
  <c r="AD175" i="17" s="1"/>
  <c r="AA175" i="17" s="1"/>
  <c r="Z175" i="17" s="1"/>
  <c r="Y175" i="17" s="1"/>
  <c r="AG339" i="17"/>
  <c r="AF339" i="17" s="1"/>
  <c r="AD339" i="17" s="1"/>
  <c r="AA339" i="17" s="1"/>
  <c r="Z339" i="17" s="1"/>
  <c r="Y339" i="17" s="1"/>
  <c r="AG249" i="17"/>
  <c r="AF249" i="17" s="1"/>
  <c r="AD249" i="17" s="1"/>
  <c r="AA249" i="17" s="1"/>
  <c r="Z249" i="17" s="1"/>
  <c r="Y249" i="17" s="1"/>
  <c r="AG265" i="17"/>
  <c r="AF265" i="17" s="1"/>
  <c r="AD265" i="17" s="1"/>
  <c r="AG281" i="17"/>
  <c r="AF281" i="17" s="1"/>
  <c r="AD281" i="17" s="1"/>
  <c r="AG297" i="17"/>
  <c r="AF297" i="17" s="1"/>
  <c r="AD297" i="17" s="1"/>
  <c r="AA297" i="17" s="1"/>
  <c r="Z297" i="17" s="1"/>
  <c r="Y297" i="17" s="1"/>
  <c r="AG312" i="17"/>
  <c r="AF312" i="17" s="1"/>
  <c r="AD312" i="17" s="1"/>
  <c r="AG320" i="17"/>
  <c r="AF320" i="17" s="1"/>
  <c r="AD320" i="17" s="1"/>
  <c r="AA320" i="17" s="1"/>
  <c r="Z320" i="17" s="1"/>
  <c r="Y320" i="17" s="1"/>
  <c r="AG328" i="17"/>
  <c r="AF328" i="17" s="1"/>
  <c r="AD328" i="17" s="1"/>
  <c r="AA328" i="17" s="1"/>
  <c r="Z328" i="17" s="1"/>
  <c r="Y328" i="17" s="1"/>
  <c r="AG336" i="17"/>
  <c r="AF336" i="17" s="1"/>
  <c r="AD336" i="17" s="1"/>
  <c r="AG344" i="17"/>
  <c r="AF344" i="17" s="1"/>
  <c r="AD344" i="17" s="1"/>
  <c r="AA344" i="17" s="1"/>
  <c r="Z344" i="17" s="1"/>
  <c r="Y344" i="17" s="1"/>
  <c r="AG352" i="17"/>
  <c r="AF352" i="17" s="1"/>
  <c r="AD352" i="17" s="1"/>
  <c r="AG360" i="17"/>
  <c r="AF360" i="17" s="1"/>
  <c r="AD360" i="17" s="1"/>
  <c r="AG368" i="17"/>
  <c r="AF368" i="17" s="1"/>
  <c r="AD368" i="17" s="1"/>
  <c r="AA368" i="17" s="1"/>
  <c r="Z368" i="17" s="1"/>
  <c r="Y368" i="17" s="1"/>
  <c r="AG376" i="17"/>
  <c r="AF376" i="17" s="1"/>
  <c r="AD376" i="17" s="1"/>
  <c r="AG35" i="17"/>
  <c r="AF35" i="17" s="1"/>
  <c r="AD35" i="17" s="1"/>
  <c r="AA35" i="17" s="1"/>
  <c r="Z35" i="17" s="1"/>
  <c r="Y35" i="17" s="1"/>
  <c r="AG67" i="17"/>
  <c r="AF67" i="17" s="1"/>
  <c r="AD67" i="17" s="1"/>
  <c r="AA67" i="17" s="1"/>
  <c r="Z67" i="17" s="1"/>
  <c r="Y67" i="17" s="1"/>
  <c r="AG99" i="17"/>
  <c r="AF99" i="17" s="1"/>
  <c r="AD99" i="17" s="1"/>
  <c r="AA99" i="17" s="1"/>
  <c r="Z99" i="17" s="1"/>
  <c r="Y99" i="17" s="1"/>
  <c r="AG131" i="17"/>
  <c r="AF131" i="17" s="1"/>
  <c r="AD131" i="17" s="1"/>
  <c r="AG163" i="17"/>
  <c r="AF163" i="17" s="1"/>
  <c r="AD163" i="17" s="1"/>
  <c r="AG195" i="17"/>
  <c r="AF195" i="17" s="1"/>
  <c r="AD195" i="17" s="1"/>
  <c r="AG227" i="17"/>
  <c r="AF227" i="17" s="1"/>
  <c r="AD227" i="17" s="1"/>
  <c r="AG259" i="17"/>
  <c r="AF259" i="17" s="1"/>
  <c r="AD259" i="17" s="1"/>
  <c r="AA259" i="17" s="1"/>
  <c r="Z259" i="17" s="1"/>
  <c r="Y259" i="17" s="1"/>
  <c r="AG291" i="17"/>
  <c r="AF291" i="17" s="1"/>
  <c r="AD291" i="17" s="1"/>
  <c r="AG317" i="17"/>
  <c r="AF317" i="17" s="1"/>
  <c r="AD317" i="17" s="1"/>
  <c r="AA317" i="17" s="1"/>
  <c r="Z317" i="17" s="1"/>
  <c r="Y317" i="17" s="1"/>
  <c r="AG333" i="17"/>
  <c r="AF333" i="17" s="1"/>
  <c r="AD333" i="17" s="1"/>
  <c r="AG349" i="17"/>
  <c r="AF349" i="17" s="1"/>
  <c r="AD349" i="17" s="1"/>
  <c r="AG365" i="17"/>
  <c r="AF365" i="17" s="1"/>
  <c r="AD365" i="17" s="1"/>
  <c r="AG39" i="17"/>
  <c r="AF39" i="17" s="1"/>
  <c r="AD39" i="17" s="1"/>
  <c r="AA39" i="17" s="1"/>
  <c r="Z39" i="17" s="1"/>
  <c r="Y39" i="17" s="1"/>
  <c r="AG103" i="17"/>
  <c r="AF103" i="17" s="1"/>
  <c r="AD103" i="17" s="1"/>
  <c r="AA103" i="17" s="1"/>
  <c r="Z103" i="17" s="1"/>
  <c r="Y103" i="17" s="1"/>
  <c r="AG167" i="17"/>
  <c r="AF167" i="17" s="1"/>
  <c r="AD167" i="17" s="1"/>
  <c r="AA167" i="17" s="1"/>
  <c r="Z167" i="17" s="1"/>
  <c r="Y167" i="17" s="1"/>
  <c r="AG231" i="17"/>
  <c r="AF231" i="17" s="1"/>
  <c r="AD231" i="17" s="1"/>
  <c r="AG295" i="17"/>
  <c r="AF295" i="17" s="1"/>
  <c r="AD295" i="17" s="1"/>
  <c r="AG335" i="17"/>
  <c r="AF335" i="17" s="1"/>
  <c r="AD335" i="17" s="1"/>
  <c r="AA335" i="17" s="1"/>
  <c r="Z335" i="17" s="1"/>
  <c r="Y335" i="17" s="1"/>
  <c r="AG367" i="17"/>
  <c r="AF367" i="17" s="1"/>
  <c r="AD367" i="17" s="1"/>
  <c r="AG95" i="17"/>
  <c r="AF95" i="17" s="1"/>
  <c r="AD95" i="17" s="1"/>
  <c r="AG223" i="17"/>
  <c r="AF223" i="17" s="1"/>
  <c r="AD223" i="17" s="1"/>
  <c r="AG331" i="17"/>
  <c r="AF331" i="17" s="1"/>
  <c r="AD331" i="17" s="1"/>
  <c r="AA331" i="17" s="1"/>
  <c r="Z331" i="17" s="1"/>
  <c r="Y331" i="17" s="1"/>
  <c r="AG79" i="17"/>
  <c r="AF79" i="17" s="1"/>
  <c r="AD79" i="17" s="1"/>
  <c r="AG323" i="17"/>
  <c r="AF323" i="17" s="1"/>
  <c r="AD323" i="17" s="1"/>
  <c r="AG19" i="17"/>
  <c r="AF19" i="17" s="1"/>
  <c r="AD19" i="17" s="1"/>
  <c r="AA19" i="17" s="1"/>
  <c r="Z19" i="17" s="1"/>
  <c r="Y19" i="17" s="1"/>
  <c r="AG47" i="17"/>
  <c r="AF47" i="17" s="1"/>
  <c r="AD47" i="17" s="1"/>
  <c r="P330" i="17"/>
  <c r="V330" i="17" s="1"/>
  <c r="F330" i="17" s="1"/>
  <c r="J191" i="17"/>
  <c r="I191" i="17"/>
  <c r="U77" i="18"/>
  <c r="T77" i="18" s="1"/>
  <c r="S77" i="18" s="1"/>
  <c r="R77" i="18" s="1"/>
  <c r="U141" i="18"/>
  <c r="T141" i="18" s="1"/>
  <c r="S141" i="18" s="1"/>
  <c r="R141" i="18" s="1"/>
  <c r="U194" i="18"/>
  <c r="T194" i="18" s="1"/>
  <c r="S194" i="18" s="1"/>
  <c r="R194" i="18" s="1"/>
  <c r="P194" i="18" s="1"/>
  <c r="V194" i="18" s="1"/>
  <c r="U226" i="18"/>
  <c r="T226" i="18" s="1"/>
  <c r="S226" i="18" s="1"/>
  <c r="R226" i="18" s="1"/>
  <c r="U258" i="18"/>
  <c r="T258" i="18" s="1"/>
  <c r="S258" i="18" s="1"/>
  <c r="R258" i="18" s="1"/>
  <c r="P258" i="18" s="1"/>
  <c r="V258" i="18" s="1"/>
  <c r="L44" i="19"/>
  <c r="D12" i="19"/>
  <c r="G36" i="19"/>
  <c r="AA381" i="15"/>
  <c r="AA383" i="15"/>
  <c r="AA382" i="15"/>
  <c r="AM8" i="15"/>
  <c r="AA9" i="15"/>
  <c r="AL10" i="15"/>
  <c r="E12" i="19"/>
  <c r="U30" i="18"/>
  <c r="T30" i="18" s="1"/>
  <c r="S30" i="18" s="1"/>
  <c r="R30" i="18" s="1"/>
  <c r="P30" i="18" s="1"/>
  <c r="V30" i="18" s="1"/>
  <c r="U62" i="18"/>
  <c r="T62" i="18" s="1"/>
  <c r="S62" i="18" s="1"/>
  <c r="R62" i="18" s="1"/>
  <c r="P62" i="18" s="1"/>
  <c r="V62" i="18" s="1"/>
  <c r="U94" i="18"/>
  <c r="T94" i="18" s="1"/>
  <c r="S94" i="18" s="1"/>
  <c r="R94" i="18" s="1"/>
  <c r="U126" i="18"/>
  <c r="T126" i="18" s="1"/>
  <c r="S126" i="18" s="1"/>
  <c r="R126" i="18" s="1"/>
  <c r="P126" i="18" s="1"/>
  <c r="V126" i="18" s="1"/>
  <c r="U158" i="18"/>
  <c r="T158" i="18" s="1"/>
  <c r="S158" i="18" s="1"/>
  <c r="R158" i="18" s="1"/>
  <c r="J362" i="17"/>
  <c r="J154" i="17"/>
  <c r="D186" i="18"/>
  <c r="E186" i="18" s="1"/>
  <c r="AC16" i="7"/>
  <c r="AI21" i="18"/>
  <c r="AH21" i="18" s="1"/>
  <c r="AG21" i="18" s="1"/>
  <c r="AF21" i="18" s="1"/>
  <c r="F139" i="17"/>
  <c r="G139" i="17" s="1"/>
  <c r="BZ139" i="6" s="1"/>
  <c r="F47" i="17"/>
  <c r="G47" i="17" s="1"/>
  <c r="BZ47" i="6" s="1"/>
  <c r="I380" i="18"/>
  <c r="J380" i="18"/>
  <c r="I379" i="16"/>
  <c r="J379" i="16"/>
  <c r="F11" i="19"/>
  <c r="Y382" i="1"/>
  <c r="AM6" i="1"/>
  <c r="AM12" i="1" s="1"/>
  <c r="Y381" i="1"/>
  <c r="X9" i="1"/>
  <c r="Y383" i="1"/>
  <c r="AL6" i="1"/>
  <c r="AL12" i="1" s="1"/>
  <c r="J184" i="17"/>
  <c r="I184" i="17"/>
  <c r="G192" i="17"/>
  <c r="BZ192" i="6" s="1"/>
  <c r="H192" i="17"/>
  <c r="G264" i="17"/>
  <c r="BZ264" i="6" s="1"/>
  <c r="H264" i="17"/>
  <c r="G187" i="17"/>
  <c r="BZ187" i="6" s="1"/>
  <c r="H187" i="17"/>
  <c r="G199" i="17"/>
  <c r="BZ199" i="6" s="1"/>
  <c r="H199" i="17"/>
  <c r="G90" i="17"/>
  <c r="BZ90" i="6" s="1"/>
  <c r="H90" i="17"/>
  <c r="G106" i="17"/>
  <c r="BZ106" i="6" s="1"/>
  <c r="H106" i="17"/>
  <c r="H222" i="17"/>
  <c r="G222" i="17"/>
  <c r="BZ222" i="6" s="1"/>
  <c r="G230" i="17"/>
  <c r="BZ230" i="6" s="1"/>
  <c r="H230" i="17"/>
  <c r="H270" i="17"/>
  <c r="G270" i="17"/>
  <c r="BZ270" i="6" s="1"/>
  <c r="H278" i="17"/>
  <c r="G278" i="17"/>
  <c r="BZ278" i="6" s="1"/>
  <c r="H290" i="17"/>
  <c r="G290" i="17"/>
  <c r="BZ290" i="6" s="1"/>
  <c r="G298" i="17"/>
  <c r="BZ298" i="6" s="1"/>
  <c r="H298" i="17"/>
  <c r="G21" i="17"/>
  <c r="BZ21" i="6" s="1"/>
  <c r="H21" i="17"/>
  <c r="G161" i="17"/>
  <c r="BZ161" i="6" s="1"/>
  <c r="H161" i="17"/>
  <c r="G241" i="17"/>
  <c r="BZ241" i="6" s="1"/>
  <c r="H241" i="17"/>
  <c r="G293" i="17"/>
  <c r="BZ293" i="6" s="1"/>
  <c r="H293" i="17"/>
  <c r="H341" i="17"/>
  <c r="G341" i="17"/>
  <c r="BZ341" i="6" s="1"/>
  <c r="G84" i="17"/>
  <c r="BZ84" i="6" s="1"/>
  <c r="H84" i="17"/>
  <c r="G283" i="17"/>
  <c r="BZ283" i="6" s="1"/>
  <c r="H283" i="17"/>
  <c r="G327" i="17"/>
  <c r="BZ327" i="6" s="1"/>
  <c r="H327" i="17"/>
  <c r="H49" i="17"/>
  <c r="G49" i="17"/>
  <c r="BZ49" i="6" s="1"/>
  <c r="G73" i="17"/>
  <c r="BZ73" i="6" s="1"/>
  <c r="H73" i="17"/>
  <c r="G105" i="17"/>
  <c r="BZ105" i="6" s="1"/>
  <c r="H105" i="17"/>
  <c r="AA120" i="17"/>
  <c r="Z120" i="17" s="1"/>
  <c r="Y120" i="17" s="1"/>
  <c r="G120" i="17"/>
  <c r="BZ120" i="6" s="1"/>
  <c r="H120" i="17"/>
  <c r="G132" i="17"/>
  <c r="BZ132" i="6" s="1"/>
  <c r="H132" i="17"/>
  <c r="G160" i="17"/>
  <c r="BZ160" i="6" s="1"/>
  <c r="H160" i="17"/>
  <c r="H188" i="17"/>
  <c r="G188" i="17"/>
  <c r="BZ188" i="6" s="1"/>
  <c r="H175" i="17"/>
  <c r="G175" i="17"/>
  <c r="BZ175" i="6" s="1"/>
  <c r="G17" i="17"/>
  <c r="BZ17" i="6" s="1"/>
  <c r="H17" i="17"/>
  <c r="G50" i="17"/>
  <c r="BZ50" i="6" s="1"/>
  <c r="H50" i="17"/>
  <c r="H86" i="17"/>
  <c r="G86" i="17"/>
  <c r="BZ86" i="6" s="1"/>
  <c r="G98" i="17"/>
  <c r="BZ98" i="6" s="1"/>
  <c r="H98" i="17"/>
  <c r="G226" i="17"/>
  <c r="BZ226" i="6" s="1"/>
  <c r="H226" i="17"/>
  <c r="G274" i="17"/>
  <c r="BZ274" i="6" s="1"/>
  <c r="H274" i="17"/>
  <c r="G358" i="17"/>
  <c r="BZ358" i="6" s="1"/>
  <c r="H358" i="17"/>
  <c r="G25" i="17"/>
  <c r="BZ25" i="6" s="1"/>
  <c r="H25" i="17"/>
  <c r="H249" i="17"/>
  <c r="G249" i="17"/>
  <c r="BZ249" i="6" s="1"/>
  <c r="G76" i="17"/>
  <c r="BZ76" i="6" s="1"/>
  <c r="H76" i="17"/>
  <c r="G348" i="17"/>
  <c r="BZ348" i="6" s="1"/>
  <c r="H348" i="17"/>
  <c r="G19" i="17"/>
  <c r="BZ19" i="6" s="1"/>
  <c r="H19" i="17"/>
  <c r="G259" i="17"/>
  <c r="BZ259" i="6" s="1"/>
  <c r="H259" i="17"/>
  <c r="G315" i="17"/>
  <c r="BZ315" i="6" s="1"/>
  <c r="H315" i="17"/>
  <c r="G33" i="17"/>
  <c r="BZ33" i="6" s="1"/>
  <c r="H33" i="17"/>
  <c r="G65" i="17"/>
  <c r="BZ65" i="6" s="1"/>
  <c r="H65" i="17"/>
  <c r="H89" i="17"/>
  <c r="G89" i="17"/>
  <c r="BZ89" i="6" s="1"/>
  <c r="G113" i="17"/>
  <c r="BZ113" i="6" s="1"/>
  <c r="H113" i="17"/>
  <c r="J164" i="17"/>
  <c r="I164" i="17"/>
  <c r="G244" i="17"/>
  <c r="BZ244" i="6" s="1"/>
  <c r="H244" i="17"/>
  <c r="G167" i="17"/>
  <c r="BZ167" i="6" s="1"/>
  <c r="H167" i="17"/>
  <c r="I378" i="17"/>
  <c r="J378" i="17"/>
  <c r="G378" i="17"/>
  <c r="BZ378" i="6" s="1"/>
  <c r="Z382" i="15"/>
  <c r="Y15" i="15"/>
  <c r="AM5" i="15" s="1"/>
  <c r="AM11" i="15" s="1"/>
  <c r="AK3" i="15" s="1"/>
  <c r="Q12" i="19" s="1"/>
  <c r="Z381" i="15"/>
  <c r="Z9" i="15"/>
  <c r="AL8" i="15"/>
  <c r="Z383" i="15"/>
  <c r="I381" i="15"/>
  <c r="I382" i="15"/>
  <c r="I383" i="15"/>
  <c r="G181" i="17"/>
  <c r="BZ181" i="6" s="1"/>
  <c r="H181" i="17"/>
  <c r="G309" i="17"/>
  <c r="BZ309" i="6" s="1"/>
  <c r="H309" i="17"/>
  <c r="D282" i="18"/>
  <c r="E282" i="18" s="1"/>
  <c r="D246" i="18"/>
  <c r="E246" i="18" s="1"/>
  <c r="D198" i="18"/>
  <c r="E198" i="18" s="1"/>
  <c r="I299" i="17"/>
  <c r="J299" i="17"/>
  <c r="I52" i="17"/>
  <c r="J52" i="17"/>
  <c r="I93" i="17"/>
  <c r="J93" i="17"/>
  <c r="K7" i="7"/>
  <c r="B7" i="6"/>
  <c r="Q383" i="18"/>
  <c r="I28" i="17"/>
  <c r="J28" i="17"/>
  <c r="G18" i="17"/>
  <c r="BZ18" i="6" s="1"/>
  <c r="H18" i="17"/>
  <c r="G24" i="17"/>
  <c r="BZ24" i="6" s="1"/>
  <c r="H24" i="17"/>
  <c r="G52" i="17"/>
  <c r="BZ52" i="6" s="1"/>
  <c r="G60" i="17"/>
  <c r="BZ60" i="6" s="1"/>
  <c r="H288" i="17"/>
  <c r="G288" i="17"/>
  <c r="BZ288" i="6" s="1"/>
  <c r="H304" i="17"/>
  <c r="G304" i="17"/>
  <c r="BZ304" i="6" s="1"/>
  <c r="G324" i="17"/>
  <c r="BZ324" i="6" s="1"/>
  <c r="H324" i="17"/>
  <c r="G123" i="17"/>
  <c r="BZ123" i="6" s="1"/>
  <c r="H123" i="17"/>
  <c r="G271" i="17"/>
  <c r="BZ271" i="6" s="1"/>
  <c r="H271" i="17"/>
  <c r="G287" i="17"/>
  <c r="BZ287" i="6" s="1"/>
  <c r="H287" i="17"/>
  <c r="G299" i="17"/>
  <c r="BZ299" i="6" s="1"/>
  <c r="G319" i="17"/>
  <c r="BZ319" i="6" s="1"/>
  <c r="H319" i="17"/>
  <c r="H331" i="17"/>
  <c r="G331" i="17"/>
  <c r="BZ331" i="6" s="1"/>
  <c r="G339" i="17"/>
  <c r="BZ339" i="6" s="1"/>
  <c r="H339" i="17"/>
  <c r="G355" i="17"/>
  <c r="BZ355" i="6" s="1"/>
  <c r="H355" i="17"/>
  <c r="G45" i="17"/>
  <c r="BZ45" i="6" s="1"/>
  <c r="H45" i="17"/>
  <c r="G61" i="17"/>
  <c r="BZ61" i="6" s="1"/>
  <c r="H61" i="17"/>
  <c r="G69" i="17"/>
  <c r="BZ69" i="6" s="1"/>
  <c r="H69" i="17"/>
  <c r="G85" i="17"/>
  <c r="BZ85" i="6" s="1"/>
  <c r="H85" i="17"/>
  <c r="G93" i="17"/>
  <c r="BZ93" i="6" s="1"/>
  <c r="G117" i="17"/>
  <c r="BZ117" i="6" s="1"/>
  <c r="H117" i="17"/>
  <c r="G129" i="17"/>
  <c r="BZ129" i="6" s="1"/>
  <c r="H129" i="17"/>
  <c r="G141" i="17"/>
  <c r="BZ141" i="6" s="1"/>
  <c r="H141" i="17"/>
  <c r="G20" i="17"/>
  <c r="BZ20" i="6" s="1"/>
  <c r="H20" i="17"/>
  <c r="G28" i="17"/>
  <c r="BZ28" i="6" s="1"/>
  <c r="G40" i="17"/>
  <c r="BZ40" i="6" s="1"/>
  <c r="H40" i="17"/>
  <c r="G80" i="17"/>
  <c r="BZ80" i="6" s="1"/>
  <c r="H80" i="17"/>
  <c r="I368" i="17"/>
  <c r="J368" i="17"/>
  <c r="H127" i="17"/>
  <c r="G127" i="17"/>
  <c r="BZ127" i="6" s="1"/>
  <c r="H343" i="17"/>
  <c r="G343" i="17"/>
  <c r="BZ343" i="6" s="1"/>
  <c r="G359" i="17"/>
  <c r="BZ359" i="6" s="1"/>
  <c r="H359" i="17"/>
  <c r="G96" i="17"/>
  <c r="BZ96" i="6" s="1"/>
  <c r="H96" i="17"/>
  <c r="G100" i="17"/>
  <c r="BZ100" i="6" s="1"/>
  <c r="H100" i="17"/>
  <c r="G104" i="17"/>
  <c r="BZ104" i="6" s="1"/>
  <c r="H104" i="17"/>
  <c r="G112" i="17"/>
  <c r="BZ112" i="6" s="1"/>
  <c r="H112" i="17"/>
  <c r="H144" i="17"/>
  <c r="G144" i="17"/>
  <c r="BZ144" i="6" s="1"/>
  <c r="G148" i="17"/>
  <c r="BZ148" i="6" s="1"/>
  <c r="H148" i="17"/>
  <c r="G168" i="17"/>
  <c r="BZ168" i="6" s="1"/>
  <c r="H168" i="17"/>
  <c r="G172" i="17"/>
  <c r="BZ172" i="6" s="1"/>
  <c r="G180" i="17"/>
  <c r="BZ180" i="6" s="1"/>
  <c r="H180" i="17"/>
  <c r="G184" i="17"/>
  <c r="BZ184" i="6" s="1"/>
  <c r="G212" i="17"/>
  <c r="BZ212" i="6" s="1"/>
  <c r="H212" i="17"/>
  <c r="H252" i="17"/>
  <c r="G252" i="17"/>
  <c r="BZ252" i="6" s="1"/>
  <c r="J284" i="17"/>
  <c r="I284" i="17"/>
  <c r="AA15" i="16"/>
  <c r="AL9" i="16" s="1"/>
  <c r="F381" i="16"/>
  <c r="AK10" i="16"/>
  <c r="AK12" i="16" s="1"/>
  <c r="AK13" i="16" s="1"/>
  <c r="F383" i="16"/>
  <c r="G15" i="16"/>
  <c r="BY15" i="6" s="1"/>
  <c r="AM10" i="16"/>
  <c r="F382" i="16"/>
  <c r="F9" i="16"/>
  <c r="H15" i="16"/>
  <c r="B63" i="19"/>
  <c r="V382" i="16"/>
  <c r="V383" i="16"/>
  <c r="V381" i="16"/>
  <c r="G23" i="17"/>
  <c r="BZ23" i="6" s="1"/>
  <c r="H23" i="17"/>
  <c r="G35" i="17"/>
  <c r="BZ35" i="6" s="1"/>
  <c r="H35" i="17"/>
  <c r="G39" i="17"/>
  <c r="BZ39" i="6" s="1"/>
  <c r="H39" i="17"/>
  <c r="G63" i="17"/>
  <c r="BZ63" i="6" s="1"/>
  <c r="H63" i="17"/>
  <c r="G67" i="17"/>
  <c r="BZ67" i="6" s="1"/>
  <c r="H67" i="17"/>
  <c r="G83" i="17"/>
  <c r="BZ83" i="6" s="1"/>
  <c r="H83" i="17"/>
  <c r="G99" i="17"/>
  <c r="BZ99" i="6" s="1"/>
  <c r="H99" i="17"/>
  <c r="G103" i="17"/>
  <c r="BZ103" i="6" s="1"/>
  <c r="G107" i="17"/>
  <c r="BZ107" i="6" s="1"/>
  <c r="H107" i="17"/>
  <c r="H151" i="17"/>
  <c r="G151" i="17"/>
  <c r="BZ151" i="6" s="1"/>
  <c r="H211" i="17"/>
  <c r="G211" i="17"/>
  <c r="BZ211" i="6" s="1"/>
  <c r="G371" i="17"/>
  <c r="BZ371" i="6" s="1"/>
  <c r="H371" i="17"/>
  <c r="G375" i="17"/>
  <c r="BZ375" i="6" s="1"/>
  <c r="H375" i="17"/>
  <c r="J217" i="17"/>
  <c r="I217" i="17"/>
  <c r="G34" i="17"/>
  <c r="BZ34" i="6" s="1"/>
  <c r="H34" i="17"/>
  <c r="G58" i="17"/>
  <c r="BZ58" i="6" s="1"/>
  <c r="H58" i="17"/>
  <c r="G62" i="17"/>
  <c r="BZ62" i="6" s="1"/>
  <c r="H62" i="17"/>
  <c r="G66" i="17"/>
  <c r="BZ66" i="6" s="1"/>
  <c r="H66" i="17"/>
  <c r="G70" i="17"/>
  <c r="BZ70" i="6" s="1"/>
  <c r="H70" i="17"/>
  <c r="H74" i="17"/>
  <c r="G74" i="17"/>
  <c r="BZ74" i="6" s="1"/>
  <c r="H78" i="17"/>
  <c r="G78" i="17"/>
  <c r="BZ78" i="6" s="1"/>
  <c r="G122" i="17"/>
  <c r="BZ122" i="6" s="1"/>
  <c r="H122" i="17"/>
  <c r="J150" i="17"/>
  <c r="I150" i="17"/>
  <c r="G162" i="17"/>
  <c r="BZ162" i="6" s="1"/>
  <c r="H162" i="17"/>
  <c r="J214" i="17"/>
  <c r="I214" i="17"/>
  <c r="G238" i="17"/>
  <c r="BZ238" i="6" s="1"/>
  <c r="H238" i="17"/>
  <c r="G242" i="17"/>
  <c r="BZ242" i="6" s="1"/>
  <c r="H242" i="17"/>
  <c r="G250" i="17"/>
  <c r="BZ250" i="6" s="1"/>
  <c r="H250" i="17"/>
  <c r="G254" i="17"/>
  <c r="BZ254" i="6" s="1"/>
  <c r="H254" i="17"/>
  <c r="G258" i="17"/>
  <c r="BZ258" i="6" s="1"/>
  <c r="H258" i="17"/>
  <c r="G310" i="17"/>
  <c r="BZ310" i="6" s="1"/>
  <c r="H310" i="17"/>
  <c r="G314" i="17"/>
  <c r="BZ314" i="6" s="1"/>
  <c r="H314" i="17"/>
  <c r="G338" i="17"/>
  <c r="BZ338" i="6" s="1"/>
  <c r="H338" i="17"/>
  <c r="G342" i="17"/>
  <c r="BZ342" i="6" s="1"/>
  <c r="H342" i="17"/>
  <c r="G370" i="17"/>
  <c r="BZ370" i="6" s="1"/>
  <c r="H370" i="17"/>
  <c r="H374" i="17"/>
  <c r="G374" i="17"/>
  <c r="BZ374" i="6" s="1"/>
  <c r="J381" i="15"/>
  <c r="J382" i="15"/>
  <c r="J383" i="15"/>
  <c r="G193" i="17"/>
  <c r="BZ193" i="6" s="1"/>
  <c r="H193" i="17"/>
  <c r="G229" i="17"/>
  <c r="BZ229" i="6" s="1"/>
  <c r="H229" i="17"/>
  <c r="G237" i="17"/>
  <c r="BZ237" i="6" s="1"/>
  <c r="H237" i="17"/>
  <c r="G253" i="17"/>
  <c r="BZ253" i="6" s="1"/>
  <c r="H253" i="17"/>
  <c r="G313" i="17"/>
  <c r="BZ313" i="6" s="1"/>
  <c r="H313" i="17"/>
  <c r="G317" i="17"/>
  <c r="BZ317" i="6" s="1"/>
  <c r="H317" i="17"/>
  <c r="G325" i="17"/>
  <c r="BZ325" i="6" s="1"/>
  <c r="H325" i="17"/>
  <c r="I329" i="17"/>
  <c r="J329" i="17"/>
  <c r="D251" i="18"/>
  <c r="E251" i="18" s="1"/>
  <c r="H172" i="17"/>
  <c r="H103" i="17"/>
  <c r="I108" i="17"/>
  <c r="J108" i="17"/>
  <c r="F352" i="17"/>
  <c r="G263" i="17"/>
  <c r="BZ263" i="6" s="1"/>
  <c r="H263" i="17"/>
  <c r="G279" i="17"/>
  <c r="BZ279" i="6" s="1"/>
  <c r="H279" i="17"/>
  <c r="G311" i="17"/>
  <c r="BZ311" i="6" s="1"/>
  <c r="H311" i="17"/>
  <c r="F194" i="17"/>
  <c r="G340" i="17"/>
  <c r="BZ340" i="6" s="1"/>
  <c r="H340" i="17"/>
  <c r="F247" i="17"/>
  <c r="G170" i="17"/>
  <c r="BZ170" i="6" s="1"/>
  <c r="H170" i="17"/>
  <c r="H186" i="17"/>
  <c r="G186" i="17"/>
  <c r="BZ186" i="6" s="1"/>
  <c r="Q381" i="18" l="1"/>
  <c r="AE305" i="18"/>
  <c r="AE177" i="18"/>
  <c r="AE49" i="18"/>
  <c r="AE268" i="18"/>
  <c r="AE140" i="18"/>
  <c r="AE54" i="18"/>
  <c r="AE134" i="18"/>
  <c r="AE198" i="18"/>
  <c r="AE262" i="18"/>
  <c r="AE326" i="18"/>
  <c r="AE91" i="18"/>
  <c r="AE219" i="18"/>
  <c r="AE347" i="18"/>
  <c r="AI24" i="18"/>
  <c r="AH24" i="18" s="1"/>
  <c r="AG24" i="18" s="1"/>
  <c r="AF24" i="18" s="1"/>
  <c r="AE337" i="18"/>
  <c r="AE273" i="18"/>
  <c r="AE209" i="18"/>
  <c r="AE145" i="18"/>
  <c r="AE81" i="18"/>
  <c r="AE364" i="18"/>
  <c r="AE300" i="18"/>
  <c r="AE236" i="18"/>
  <c r="AE172" i="18"/>
  <c r="AE108" i="18"/>
  <c r="AE70" i="18"/>
  <c r="AE38" i="18"/>
  <c r="AE118" i="18"/>
  <c r="AE150" i="18"/>
  <c r="AE182" i="18"/>
  <c r="AE214" i="18"/>
  <c r="AE246" i="18"/>
  <c r="AE278" i="18"/>
  <c r="AE310" i="18"/>
  <c r="AE346" i="18"/>
  <c r="AE59" i="18"/>
  <c r="AE123" i="18"/>
  <c r="AE187" i="18"/>
  <c r="AE251" i="18"/>
  <c r="AE315" i="18"/>
  <c r="AE379" i="18"/>
  <c r="AE12" i="20" s="1"/>
  <c r="I308" i="17"/>
  <c r="AE237" i="18"/>
  <c r="AE344" i="18"/>
  <c r="AE149" i="18"/>
  <c r="J60" i="17"/>
  <c r="I60" i="17"/>
  <c r="Q382" i="18"/>
  <c r="AE109" i="18"/>
  <c r="AE216" i="18"/>
  <c r="AE224" i="18"/>
  <c r="AG15" i="7"/>
  <c r="AI19" i="18"/>
  <c r="AH19" i="18" s="1"/>
  <c r="AG19" i="18" s="1"/>
  <c r="AF19" i="18" s="1"/>
  <c r="AE353" i="18"/>
  <c r="AE321" i="18"/>
  <c r="AE289" i="18"/>
  <c r="AE257" i="18"/>
  <c r="AE225" i="18"/>
  <c r="AE193" i="18"/>
  <c r="AE161" i="18"/>
  <c r="AE129" i="18"/>
  <c r="AE97" i="18"/>
  <c r="AE65" i="18"/>
  <c r="AE33" i="18"/>
  <c r="AE348" i="18"/>
  <c r="AE316" i="18"/>
  <c r="AE284" i="18"/>
  <c r="AE252" i="18"/>
  <c r="AE220" i="18"/>
  <c r="AE188" i="18"/>
  <c r="AE156" i="18"/>
  <c r="AE124" i="18"/>
  <c r="AE94" i="18"/>
  <c r="AE78" i="18"/>
  <c r="AE62" i="18"/>
  <c r="AE46" i="18"/>
  <c r="AE30" i="18"/>
  <c r="AE110" i="18"/>
  <c r="AE126" i="18"/>
  <c r="AE142" i="18"/>
  <c r="AE158" i="18"/>
  <c r="AE174" i="18"/>
  <c r="AE190" i="18"/>
  <c r="AE206" i="18"/>
  <c r="AE222" i="18"/>
  <c r="AE238" i="18"/>
  <c r="AE254" i="18"/>
  <c r="AE270" i="18"/>
  <c r="AE286" i="18"/>
  <c r="AE302" i="18"/>
  <c r="AE318" i="18"/>
  <c r="AE334" i="18"/>
  <c r="AE362" i="18"/>
  <c r="AE43" i="18"/>
  <c r="AE75" i="18"/>
  <c r="AE107" i="18"/>
  <c r="AE139" i="18"/>
  <c r="AE171" i="18"/>
  <c r="AE203" i="18"/>
  <c r="AE235" i="18"/>
  <c r="AE267" i="18"/>
  <c r="AE299" i="18"/>
  <c r="AE331" i="18"/>
  <c r="AE363" i="18"/>
  <c r="AE301" i="18"/>
  <c r="AE173" i="18"/>
  <c r="AE45" i="18"/>
  <c r="AE280" i="18"/>
  <c r="AE152" i="18"/>
  <c r="AE60" i="18"/>
  <c r="AE277" i="18"/>
  <c r="AE352" i="18"/>
  <c r="AE365" i="18"/>
  <c r="AE325" i="18"/>
  <c r="AE261" i="18"/>
  <c r="AE197" i="18"/>
  <c r="AE133" i="18"/>
  <c r="AE69" i="18"/>
  <c r="AE336" i="18"/>
  <c r="AE272" i="18"/>
  <c r="AE208" i="18"/>
  <c r="AE144" i="18"/>
  <c r="AE88" i="18"/>
  <c r="AE56" i="18"/>
  <c r="AE357" i="18"/>
  <c r="AE293" i="18"/>
  <c r="AE229" i="18"/>
  <c r="AE165" i="18"/>
  <c r="AE101" i="18"/>
  <c r="AE37" i="18"/>
  <c r="AE368" i="18"/>
  <c r="AE304" i="18"/>
  <c r="AE240" i="18"/>
  <c r="AE176" i="18"/>
  <c r="AE112" i="18"/>
  <c r="AE72" i="18"/>
  <c r="AE40" i="18"/>
  <c r="AE48" i="18"/>
  <c r="AE80" i="18"/>
  <c r="AE128" i="18"/>
  <c r="AE192" i="18"/>
  <c r="AE256" i="18"/>
  <c r="AE320" i="18"/>
  <c r="AE53" i="18"/>
  <c r="AE117" i="18"/>
  <c r="AE181" i="18"/>
  <c r="AE245" i="18"/>
  <c r="AE309" i="18"/>
  <c r="AE373" i="18"/>
  <c r="AE36" i="18"/>
  <c r="AE52" i="18"/>
  <c r="AE68" i="18"/>
  <c r="AE84" i="18"/>
  <c r="AE104" i="18"/>
  <c r="AE136" i="18"/>
  <c r="AE168" i="18"/>
  <c r="AE200" i="18"/>
  <c r="AE232" i="18"/>
  <c r="AE264" i="18"/>
  <c r="AE296" i="18"/>
  <c r="AE328" i="18"/>
  <c r="AE360" i="18"/>
  <c r="AE29" i="18"/>
  <c r="AE61" i="18"/>
  <c r="AE93" i="18"/>
  <c r="AE125" i="18"/>
  <c r="AE157" i="18"/>
  <c r="AE189" i="18"/>
  <c r="AE221" i="18"/>
  <c r="AE253" i="18"/>
  <c r="AE285" i="18"/>
  <c r="AE317" i="18"/>
  <c r="AE349" i="18"/>
  <c r="AE375" i="18"/>
  <c r="AE367" i="18"/>
  <c r="AE359" i="18"/>
  <c r="AE351" i="18"/>
  <c r="AE343" i="18"/>
  <c r="AE335" i="18"/>
  <c r="AE327" i="18"/>
  <c r="AE319" i="18"/>
  <c r="AE311" i="18"/>
  <c r="AE303" i="18"/>
  <c r="AE295" i="18"/>
  <c r="AE287" i="18"/>
  <c r="AE279" i="18"/>
  <c r="AE271" i="18"/>
  <c r="AE263" i="18"/>
  <c r="AE255" i="18"/>
  <c r="AE247" i="18"/>
  <c r="AE239" i="18"/>
  <c r="AE231" i="18"/>
  <c r="AE223" i="18"/>
  <c r="AE215" i="18"/>
  <c r="AE207" i="18"/>
  <c r="AE199" i="18"/>
  <c r="AE191" i="18"/>
  <c r="AE183" i="18"/>
  <c r="AE175" i="18"/>
  <c r="AE167" i="18"/>
  <c r="AE159" i="18"/>
  <c r="AE151" i="18"/>
  <c r="AE143" i="18"/>
  <c r="AE135" i="18"/>
  <c r="AE127" i="18"/>
  <c r="AE119" i="18"/>
  <c r="AE111" i="18"/>
  <c r="AE103" i="18"/>
  <c r="AE95" i="18"/>
  <c r="AE87" i="18"/>
  <c r="AE79" i="18"/>
  <c r="AE71" i="18"/>
  <c r="AE63" i="18"/>
  <c r="AE55" i="18"/>
  <c r="AE47" i="18"/>
  <c r="AE39" i="18"/>
  <c r="AE31" i="18"/>
  <c r="AE374" i="18"/>
  <c r="AE366" i="18"/>
  <c r="AE358" i="18"/>
  <c r="AE350" i="18"/>
  <c r="AE342" i="18"/>
  <c r="U174" i="18"/>
  <c r="T174" i="18" s="1"/>
  <c r="S174" i="18" s="1"/>
  <c r="R174" i="18" s="1"/>
  <c r="P174" i="18" s="1"/>
  <c r="V174" i="18" s="1"/>
  <c r="U142" i="18"/>
  <c r="T142" i="18" s="1"/>
  <c r="S142" i="18" s="1"/>
  <c r="R142" i="18" s="1"/>
  <c r="P142" i="18" s="1"/>
  <c r="V142" i="18" s="1"/>
  <c r="U110" i="18"/>
  <c r="T110" i="18" s="1"/>
  <c r="S110" i="18" s="1"/>
  <c r="R110" i="18" s="1"/>
  <c r="P110" i="18" s="1"/>
  <c r="V110" i="18" s="1"/>
  <c r="U78" i="18"/>
  <c r="T78" i="18" s="1"/>
  <c r="S78" i="18" s="1"/>
  <c r="R78" i="18" s="1"/>
  <c r="P78" i="18" s="1"/>
  <c r="V78" i="18" s="1"/>
  <c r="U46" i="18"/>
  <c r="T46" i="18" s="1"/>
  <c r="S46" i="18" s="1"/>
  <c r="R46" i="18" s="1"/>
  <c r="P46" i="18" s="1"/>
  <c r="V46" i="18" s="1"/>
  <c r="U15" i="18"/>
  <c r="T15" i="18" s="1"/>
  <c r="S15" i="18" s="1"/>
  <c r="U242" i="18"/>
  <c r="T242" i="18" s="1"/>
  <c r="S242" i="18" s="1"/>
  <c r="R242" i="18" s="1"/>
  <c r="P242" i="18" s="1"/>
  <c r="V242" i="18" s="1"/>
  <c r="U210" i="18"/>
  <c r="T210" i="18" s="1"/>
  <c r="S210" i="18" s="1"/>
  <c r="R210" i="18" s="1"/>
  <c r="U173" i="18"/>
  <c r="T173" i="18" s="1"/>
  <c r="S173" i="18" s="1"/>
  <c r="R173" i="18" s="1"/>
  <c r="P173" i="18" s="1"/>
  <c r="V173" i="18" s="1"/>
  <c r="U109" i="18"/>
  <c r="T109" i="18" s="1"/>
  <c r="S109" i="18" s="1"/>
  <c r="R109" i="18" s="1"/>
  <c r="P109" i="18" s="1"/>
  <c r="V109" i="18" s="1"/>
  <c r="U45" i="18"/>
  <c r="T45" i="18" s="1"/>
  <c r="S45" i="18" s="1"/>
  <c r="R45" i="18" s="1"/>
  <c r="P45" i="18" s="1"/>
  <c r="V45" i="18" s="1"/>
  <c r="AE377" i="18"/>
  <c r="AE361" i="18"/>
  <c r="AE345" i="18"/>
  <c r="AE329" i="18"/>
  <c r="AE313" i="18"/>
  <c r="AE297" i="18"/>
  <c r="AE281" i="18"/>
  <c r="AE265" i="18"/>
  <c r="AE249" i="18"/>
  <c r="AE233" i="18"/>
  <c r="AE217" i="18"/>
  <c r="AE201" i="18"/>
  <c r="AE185" i="18"/>
  <c r="AE169" i="18"/>
  <c r="AE153" i="18"/>
  <c r="AE137" i="18"/>
  <c r="AE121" i="18"/>
  <c r="AE105" i="18"/>
  <c r="AE89" i="18"/>
  <c r="AE73" i="18"/>
  <c r="AE57" i="18"/>
  <c r="AE41" i="18"/>
  <c r="AE372" i="18"/>
  <c r="AE356" i="18"/>
  <c r="AE340" i="18"/>
  <c r="AE324" i="18"/>
  <c r="AE308" i="18"/>
  <c r="AE292" i="18"/>
  <c r="AE276" i="18"/>
  <c r="AE260" i="18"/>
  <c r="AE244" i="18"/>
  <c r="AE228" i="18"/>
  <c r="AE212" i="18"/>
  <c r="AE196" i="18"/>
  <c r="AE180" i="18"/>
  <c r="AE164" i="18"/>
  <c r="AE148" i="18"/>
  <c r="AE132" i="18"/>
  <c r="AE116" i="18"/>
  <c r="AE100" i="18"/>
  <c r="AE90" i="18"/>
  <c r="AE82" i="18"/>
  <c r="AE74" i="18"/>
  <c r="AE66" i="18"/>
  <c r="AE58" i="18"/>
  <c r="AE50" i="18"/>
  <c r="AE42" i="18"/>
  <c r="AE34" i="18"/>
  <c r="AE98" i="18"/>
  <c r="AE106" i="18"/>
  <c r="AE114" i="18"/>
  <c r="AE122" i="18"/>
  <c r="AE130" i="18"/>
  <c r="AE138" i="18"/>
  <c r="AE146" i="18"/>
  <c r="AE154" i="18"/>
  <c r="AE162" i="18"/>
  <c r="AE170" i="18"/>
  <c r="AE178" i="18"/>
  <c r="AE186" i="18"/>
  <c r="AE194" i="18"/>
  <c r="AE202" i="18"/>
  <c r="AE210" i="18"/>
  <c r="AE218" i="18"/>
  <c r="AE226" i="18"/>
  <c r="AE234" i="18"/>
  <c r="AE242" i="18"/>
  <c r="AE250" i="18"/>
  <c r="AE258" i="18"/>
  <c r="AE266" i="18"/>
  <c r="AE274" i="18"/>
  <c r="AE282" i="18"/>
  <c r="AE290" i="18"/>
  <c r="AE298" i="18"/>
  <c r="AE306" i="18"/>
  <c r="AE314" i="18"/>
  <c r="AE322" i="18"/>
  <c r="AE330" i="18"/>
  <c r="AE338" i="18"/>
  <c r="AE354" i="18"/>
  <c r="AE370" i="18"/>
  <c r="AE35" i="18"/>
  <c r="AE51" i="18"/>
  <c r="AE67" i="18"/>
  <c r="AE83" i="18"/>
  <c r="AE99" i="18"/>
  <c r="AE115" i="18"/>
  <c r="AE131" i="18"/>
  <c r="AE147" i="18"/>
  <c r="AE163" i="18"/>
  <c r="AE179" i="18"/>
  <c r="AE195" i="18"/>
  <c r="AE211" i="18"/>
  <c r="AE227" i="18"/>
  <c r="AE243" i="18"/>
  <c r="AE259" i="18"/>
  <c r="AE275" i="18"/>
  <c r="AE291" i="18"/>
  <c r="AE307" i="18"/>
  <c r="AE323" i="18"/>
  <c r="AE339" i="18"/>
  <c r="AE355" i="18"/>
  <c r="AE371" i="18"/>
  <c r="AE333" i="18"/>
  <c r="AE269" i="18"/>
  <c r="AE205" i="18"/>
  <c r="AE141" i="18"/>
  <c r="AE77" i="18"/>
  <c r="AE376" i="18"/>
  <c r="AE312" i="18"/>
  <c r="AE248" i="18"/>
  <c r="AE184" i="18"/>
  <c r="AE120" i="18"/>
  <c r="AE76" i="18"/>
  <c r="AE44" i="18"/>
  <c r="AE341" i="18"/>
  <c r="AE213" i="18"/>
  <c r="AE85" i="18"/>
  <c r="AE288" i="18"/>
  <c r="AE160" i="18"/>
  <c r="AE64" i="18"/>
  <c r="AI28" i="18"/>
  <c r="AH28" i="18" s="1"/>
  <c r="AG28" i="18" s="1"/>
  <c r="AF28" i="18" s="1"/>
  <c r="AI20" i="18"/>
  <c r="AH20" i="18" s="1"/>
  <c r="AG20" i="18" s="1"/>
  <c r="AF20" i="18" s="1"/>
  <c r="AI25" i="18"/>
  <c r="AH25" i="18" s="1"/>
  <c r="AG25" i="18" s="1"/>
  <c r="AF25" i="18" s="1"/>
  <c r="U182" i="18"/>
  <c r="T182" i="18" s="1"/>
  <c r="S182" i="18" s="1"/>
  <c r="R182" i="18" s="1"/>
  <c r="P182" i="18" s="1"/>
  <c r="V182" i="18" s="1"/>
  <c r="U166" i="18"/>
  <c r="T166" i="18" s="1"/>
  <c r="S166" i="18" s="1"/>
  <c r="R166" i="18" s="1"/>
  <c r="P166" i="18" s="1"/>
  <c r="V166" i="18" s="1"/>
  <c r="U150" i="18"/>
  <c r="T150" i="18" s="1"/>
  <c r="S150" i="18" s="1"/>
  <c r="R150" i="18" s="1"/>
  <c r="U134" i="18"/>
  <c r="T134" i="18" s="1"/>
  <c r="S134" i="18" s="1"/>
  <c r="R134" i="18" s="1"/>
  <c r="P134" i="18" s="1"/>
  <c r="V134" i="18" s="1"/>
  <c r="U118" i="18"/>
  <c r="T118" i="18" s="1"/>
  <c r="S118" i="18" s="1"/>
  <c r="R118" i="18" s="1"/>
  <c r="P118" i="18" s="1"/>
  <c r="V118" i="18" s="1"/>
  <c r="U102" i="18"/>
  <c r="T102" i="18" s="1"/>
  <c r="S102" i="18" s="1"/>
  <c r="R102" i="18" s="1"/>
  <c r="P102" i="18" s="1"/>
  <c r="V102" i="18" s="1"/>
  <c r="U86" i="18"/>
  <c r="T86" i="18" s="1"/>
  <c r="S86" i="18" s="1"/>
  <c r="R86" i="18" s="1"/>
  <c r="P86" i="18" s="1"/>
  <c r="V86" i="18" s="1"/>
  <c r="U70" i="18"/>
  <c r="T70" i="18" s="1"/>
  <c r="S70" i="18" s="1"/>
  <c r="R70" i="18" s="1"/>
  <c r="P70" i="18" s="1"/>
  <c r="V70" i="18" s="1"/>
  <c r="U54" i="18"/>
  <c r="T54" i="18" s="1"/>
  <c r="S54" i="18" s="1"/>
  <c r="R54" i="18" s="1"/>
  <c r="P54" i="18" s="1"/>
  <c r="V54" i="18" s="1"/>
  <c r="U38" i="18"/>
  <c r="T38" i="18" s="1"/>
  <c r="S38" i="18" s="1"/>
  <c r="R38" i="18" s="1"/>
  <c r="P38" i="18" s="1"/>
  <c r="V38" i="18" s="1"/>
  <c r="U22" i="18"/>
  <c r="T22" i="18" s="1"/>
  <c r="S22" i="18" s="1"/>
  <c r="R22" i="18" s="1"/>
  <c r="P22" i="18" s="1"/>
  <c r="V22" i="18" s="1"/>
  <c r="U266" i="18"/>
  <c r="T266" i="18" s="1"/>
  <c r="S266" i="18" s="1"/>
  <c r="R266" i="18" s="1"/>
  <c r="P266" i="18" s="1"/>
  <c r="V266" i="18" s="1"/>
  <c r="U250" i="18"/>
  <c r="T250" i="18" s="1"/>
  <c r="S250" i="18" s="1"/>
  <c r="R250" i="18" s="1"/>
  <c r="P250" i="18" s="1"/>
  <c r="V250" i="18" s="1"/>
  <c r="U234" i="18"/>
  <c r="T234" i="18" s="1"/>
  <c r="S234" i="18" s="1"/>
  <c r="R234" i="18" s="1"/>
  <c r="P234" i="18" s="1"/>
  <c r="V234" i="18" s="1"/>
  <c r="U218" i="18"/>
  <c r="T218" i="18" s="1"/>
  <c r="S218" i="18" s="1"/>
  <c r="R218" i="18" s="1"/>
  <c r="P218" i="18" s="1"/>
  <c r="V218" i="18" s="1"/>
  <c r="U202" i="18"/>
  <c r="T202" i="18" s="1"/>
  <c r="S202" i="18" s="1"/>
  <c r="R202" i="18" s="1"/>
  <c r="P202" i="18" s="1"/>
  <c r="V202" i="18" s="1"/>
  <c r="U186" i="18"/>
  <c r="T186" i="18" s="1"/>
  <c r="S186" i="18" s="1"/>
  <c r="R186" i="18" s="1"/>
  <c r="P186" i="18" s="1"/>
  <c r="V186" i="18" s="1"/>
  <c r="U157" i="18"/>
  <c r="T157" i="18" s="1"/>
  <c r="S157" i="18" s="1"/>
  <c r="R157" i="18" s="1"/>
  <c r="P157" i="18" s="1"/>
  <c r="V157" i="18" s="1"/>
  <c r="U125" i="18"/>
  <c r="T125" i="18" s="1"/>
  <c r="S125" i="18" s="1"/>
  <c r="R125" i="18" s="1"/>
  <c r="U93" i="18"/>
  <c r="T93" i="18" s="1"/>
  <c r="S93" i="18" s="1"/>
  <c r="R93" i="18" s="1"/>
  <c r="P93" i="18" s="1"/>
  <c r="V93" i="18" s="1"/>
  <c r="U61" i="18"/>
  <c r="T61" i="18" s="1"/>
  <c r="S61" i="18" s="1"/>
  <c r="R61" i="18" s="1"/>
  <c r="U29" i="18"/>
  <c r="T29" i="18" s="1"/>
  <c r="S29" i="18" s="1"/>
  <c r="R29" i="18" s="1"/>
  <c r="P29" i="18" s="1"/>
  <c r="V29" i="18" s="1"/>
  <c r="U178" i="18"/>
  <c r="T178" i="18" s="1"/>
  <c r="S178" i="18" s="1"/>
  <c r="R178" i="18" s="1"/>
  <c r="U170" i="18"/>
  <c r="T170" i="18" s="1"/>
  <c r="S170" i="18" s="1"/>
  <c r="R170" i="18" s="1"/>
  <c r="P170" i="18" s="1"/>
  <c r="V170" i="18" s="1"/>
  <c r="U162" i="18"/>
  <c r="T162" i="18" s="1"/>
  <c r="S162" i="18" s="1"/>
  <c r="R162" i="18" s="1"/>
  <c r="P162" i="18" s="1"/>
  <c r="V162" i="18" s="1"/>
  <c r="U154" i="18"/>
  <c r="T154" i="18" s="1"/>
  <c r="S154" i="18" s="1"/>
  <c r="R154" i="18" s="1"/>
  <c r="P154" i="18" s="1"/>
  <c r="V154" i="18" s="1"/>
  <c r="U146" i="18"/>
  <c r="T146" i="18" s="1"/>
  <c r="S146" i="18" s="1"/>
  <c r="R146" i="18" s="1"/>
  <c r="P146" i="18" s="1"/>
  <c r="V146" i="18" s="1"/>
  <c r="U138" i="18"/>
  <c r="T138" i="18" s="1"/>
  <c r="S138" i="18" s="1"/>
  <c r="R138" i="18" s="1"/>
  <c r="P138" i="18" s="1"/>
  <c r="V138" i="18" s="1"/>
  <c r="U130" i="18"/>
  <c r="T130" i="18" s="1"/>
  <c r="S130" i="18" s="1"/>
  <c r="R130" i="18" s="1"/>
  <c r="P130" i="18" s="1"/>
  <c r="V130" i="18" s="1"/>
  <c r="U122" i="18"/>
  <c r="T122" i="18" s="1"/>
  <c r="S122" i="18" s="1"/>
  <c r="R122" i="18" s="1"/>
  <c r="P122" i="18" s="1"/>
  <c r="V122" i="18" s="1"/>
  <c r="U114" i="18"/>
  <c r="T114" i="18" s="1"/>
  <c r="S114" i="18" s="1"/>
  <c r="R114" i="18" s="1"/>
  <c r="U106" i="18"/>
  <c r="T106" i="18" s="1"/>
  <c r="S106" i="18" s="1"/>
  <c r="R106" i="18" s="1"/>
  <c r="P106" i="18" s="1"/>
  <c r="V106" i="18" s="1"/>
  <c r="U98" i="18"/>
  <c r="T98" i="18" s="1"/>
  <c r="S98" i="18" s="1"/>
  <c r="R98" i="18" s="1"/>
  <c r="U90" i="18"/>
  <c r="T90" i="18" s="1"/>
  <c r="S90" i="18" s="1"/>
  <c r="R90" i="18" s="1"/>
  <c r="P90" i="18" s="1"/>
  <c r="V90" i="18" s="1"/>
  <c r="U82" i="18"/>
  <c r="T82" i="18" s="1"/>
  <c r="S82" i="18" s="1"/>
  <c r="R82" i="18" s="1"/>
  <c r="P82" i="18" s="1"/>
  <c r="V82" i="18" s="1"/>
  <c r="U74" i="18"/>
  <c r="T74" i="18" s="1"/>
  <c r="S74" i="18" s="1"/>
  <c r="R74" i="18" s="1"/>
  <c r="P74" i="18" s="1"/>
  <c r="V74" i="18" s="1"/>
  <c r="U66" i="18"/>
  <c r="T66" i="18" s="1"/>
  <c r="S66" i="18" s="1"/>
  <c r="R66" i="18" s="1"/>
  <c r="P66" i="18" s="1"/>
  <c r="V66" i="18" s="1"/>
  <c r="U58" i="18"/>
  <c r="T58" i="18" s="1"/>
  <c r="S58" i="18" s="1"/>
  <c r="R58" i="18" s="1"/>
  <c r="P58" i="18" s="1"/>
  <c r="V58" i="18" s="1"/>
  <c r="U50" i="18"/>
  <c r="T50" i="18" s="1"/>
  <c r="S50" i="18" s="1"/>
  <c r="R50" i="18" s="1"/>
  <c r="U42" i="18"/>
  <c r="T42" i="18" s="1"/>
  <c r="S42" i="18" s="1"/>
  <c r="R42" i="18" s="1"/>
  <c r="P42" i="18" s="1"/>
  <c r="V42" i="18" s="1"/>
  <c r="U34" i="18"/>
  <c r="T34" i="18" s="1"/>
  <c r="S34" i="18" s="1"/>
  <c r="R34" i="18" s="1"/>
  <c r="U26" i="18"/>
  <c r="T26" i="18" s="1"/>
  <c r="S26" i="18" s="1"/>
  <c r="R26" i="18" s="1"/>
  <c r="P26" i="18" s="1"/>
  <c r="V26" i="18" s="1"/>
  <c r="U17" i="18"/>
  <c r="T17" i="18" s="1"/>
  <c r="S17" i="18" s="1"/>
  <c r="R17" i="18" s="1"/>
  <c r="P17" i="18" s="1"/>
  <c r="V17" i="18" s="1"/>
  <c r="U270" i="18"/>
  <c r="T270" i="18" s="1"/>
  <c r="S270" i="18" s="1"/>
  <c r="R270" i="18" s="1"/>
  <c r="P270" i="18" s="1"/>
  <c r="V270" i="18" s="1"/>
  <c r="U262" i="18"/>
  <c r="T262" i="18" s="1"/>
  <c r="S262" i="18" s="1"/>
  <c r="R262" i="18" s="1"/>
  <c r="P262" i="18" s="1"/>
  <c r="V262" i="18" s="1"/>
  <c r="U254" i="18"/>
  <c r="T254" i="18" s="1"/>
  <c r="S254" i="18" s="1"/>
  <c r="R254" i="18" s="1"/>
  <c r="P254" i="18" s="1"/>
  <c r="V254" i="18" s="1"/>
  <c r="U246" i="18"/>
  <c r="T246" i="18" s="1"/>
  <c r="S246" i="18" s="1"/>
  <c r="R246" i="18" s="1"/>
  <c r="P246" i="18" s="1"/>
  <c r="V246" i="18" s="1"/>
  <c r="U238" i="18"/>
  <c r="T238" i="18" s="1"/>
  <c r="S238" i="18" s="1"/>
  <c r="R238" i="18" s="1"/>
  <c r="P238" i="18" s="1"/>
  <c r="V238" i="18" s="1"/>
  <c r="U230" i="18"/>
  <c r="T230" i="18" s="1"/>
  <c r="S230" i="18" s="1"/>
  <c r="R230" i="18" s="1"/>
  <c r="P230" i="18" s="1"/>
  <c r="V230" i="18" s="1"/>
  <c r="U222" i="18"/>
  <c r="T222" i="18" s="1"/>
  <c r="S222" i="18" s="1"/>
  <c r="R222" i="18" s="1"/>
  <c r="P222" i="18" s="1"/>
  <c r="V222" i="18" s="1"/>
  <c r="U214" i="18"/>
  <c r="T214" i="18" s="1"/>
  <c r="S214" i="18" s="1"/>
  <c r="R214" i="18" s="1"/>
  <c r="U206" i="18"/>
  <c r="T206" i="18" s="1"/>
  <c r="S206" i="18" s="1"/>
  <c r="R206" i="18" s="1"/>
  <c r="U198" i="18"/>
  <c r="T198" i="18" s="1"/>
  <c r="S198" i="18" s="1"/>
  <c r="R198" i="18" s="1"/>
  <c r="P198" i="18" s="1"/>
  <c r="V198" i="18" s="1"/>
  <c r="U190" i="18"/>
  <c r="T190" i="18" s="1"/>
  <c r="S190" i="18" s="1"/>
  <c r="R190" i="18" s="1"/>
  <c r="P190" i="18" s="1"/>
  <c r="V190" i="18" s="1"/>
  <c r="U181" i="18"/>
  <c r="T181" i="18" s="1"/>
  <c r="S181" i="18" s="1"/>
  <c r="R181" i="18" s="1"/>
  <c r="P181" i="18" s="1"/>
  <c r="V181" i="18" s="1"/>
  <c r="U165" i="18"/>
  <c r="T165" i="18" s="1"/>
  <c r="S165" i="18" s="1"/>
  <c r="R165" i="18" s="1"/>
  <c r="P165" i="18" s="1"/>
  <c r="V165" i="18" s="1"/>
  <c r="U149" i="18"/>
  <c r="T149" i="18" s="1"/>
  <c r="S149" i="18" s="1"/>
  <c r="R149" i="18" s="1"/>
  <c r="U133" i="18"/>
  <c r="T133" i="18" s="1"/>
  <c r="S133" i="18" s="1"/>
  <c r="R133" i="18" s="1"/>
  <c r="P133" i="18" s="1"/>
  <c r="V133" i="18" s="1"/>
  <c r="U117" i="18"/>
  <c r="T117" i="18" s="1"/>
  <c r="U101" i="18"/>
  <c r="T101" i="18" s="1"/>
  <c r="S101" i="18" s="1"/>
  <c r="R101" i="18" s="1"/>
  <c r="U85" i="18"/>
  <c r="T85" i="18" s="1"/>
  <c r="S85" i="18" s="1"/>
  <c r="R85" i="18" s="1"/>
  <c r="U69" i="18"/>
  <c r="T69" i="18" s="1"/>
  <c r="S69" i="18" s="1"/>
  <c r="R69" i="18" s="1"/>
  <c r="U53" i="18"/>
  <c r="T53" i="18" s="1"/>
  <c r="S53" i="18" s="1"/>
  <c r="R53" i="18" s="1"/>
  <c r="P53" i="18" s="1"/>
  <c r="V53" i="18" s="1"/>
  <c r="U37" i="18"/>
  <c r="T37" i="18" s="1"/>
  <c r="S37" i="18" s="1"/>
  <c r="R37" i="18" s="1"/>
  <c r="P37" i="18" s="1"/>
  <c r="V37" i="18" s="1"/>
  <c r="U21" i="18"/>
  <c r="T21" i="18" s="1"/>
  <c r="S21" i="18" s="1"/>
  <c r="R21" i="18" s="1"/>
  <c r="J215" i="17"/>
  <c r="G255" i="17"/>
  <c r="BZ255" i="6" s="1"/>
  <c r="AA195" i="17"/>
  <c r="Z195" i="17" s="1"/>
  <c r="Y195" i="17" s="1"/>
  <c r="AA255" i="17"/>
  <c r="Z255" i="17" s="1"/>
  <c r="Y255" i="17" s="1"/>
  <c r="F12" i="19"/>
  <c r="AA379" i="16"/>
  <c r="Z379" i="16" s="1"/>
  <c r="Y379" i="16" s="1"/>
  <c r="AD383" i="16"/>
  <c r="AD381" i="16"/>
  <c r="AD382" i="16"/>
  <c r="J232" i="17"/>
  <c r="P101" i="18"/>
  <c r="V101" i="18" s="1"/>
  <c r="U180" i="18"/>
  <c r="T180" i="18" s="1"/>
  <c r="S180" i="18" s="1"/>
  <c r="R180" i="18" s="1"/>
  <c r="P180" i="18" s="1"/>
  <c r="V180" i="18" s="1"/>
  <c r="U176" i="18"/>
  <c r="T176" i="18" s="1"/>
  <c r="S176" i="18" s="1"/>
  <c r="R176" i="18" s="1"/>
  <c r="P176" i="18" s="1"/>
  <c r="V176" i="18" s="1"/>
  <c r="U172" i="18"/>
  <c r="T172" i="18" s="1"/>
  <c r="S172" i="18" s="1"/>
  <c r="R172" i="18" s="1"/>
  <c r="P172" i="18" s="1"/>
  <c r="V172" i="18" s="1"/>
  <c r="U168" i="18"/>
  <c r="T168" i="18" s="1"/>
  <c r="S168" i="18" s="1"/>
  <c r="R168" i="18" s="1"/>
  <c r="P168" i="18" s="1"/>
  <c r="V168" i="18" s="1"/>
  <c r="U164" i="18"/>
  <c r="T164" i="18" s="1"/>
  <c r="S164" i="18" s="1"/>
  <c r="R164" i="18" s="1"/>
  <c r="P164" i="18" s="1"/>
  <c r="V164" i="18" s="1"/>
  <c r="U160" i="18"/>
  <c r="T160" i="18" s="1"/>
  <c r="S160" i="18" s="1"/>
  <c r="R160" i="18" s="1"/>
  <c r="P160" i="18" s="1"/>
  <c r="V160" i="18" s="1"/>
  <c r="U156" i="18"/>
  <c r="T156" i="18" s="1"/>
  <c r="S156" i="18" s="1"/>
  <c r="R156" i="18" s="1"/>
  <c r="P156" i="18" s="1"/>
  <c r="V156" i="18" s="1"/>
  <c r="U152" i="18"/>
  <c r="T152" i="18" s="1"/>
  <c r="S152" i="18" s="1"/>
  <c r="R152" i="18" s="1"/>
  <c r="P152" i="18" s="1"/>
  <c r="V152" i="18" s="1"/>
  <c r="U148" i="18"/>
  <c r="T148" i="18" s="1"/>
  <c r="S148" i="18" s="1"/>
  <c r="R148" i="18" s="1"/>
  <c r="P148" i="18" s="1"/>
  <c r="V148" i="18" s="1"/>
  <c r="U144" i="18"/>
  <c r="T144" i="18" s="1"/>
  <c r="S144" i="18" s="1"/>
  <c r="R144" i="18" s="1"/>
  <c r="P144" i="18" s="1"/>
  <c r="V144" i="18" s="1"/>
  <c r="U140" i="18"/>
  <c r="T140" i="18" s="1"/>
  <c r="S140" i="18" s="1"/>
  <c r="R140" i="18" s="1"/>
  <c r="P140" i="18" s="1"/>
  <c r="V140" i="18" s="1"/>
  <c r="U136" i="18"/>
  <c r="T136" i="18" s="1"/>
  <c r="S136" i="18" s="1"/>
  <c r="R136" i="18" s="1"/>
  <c r="P136" i="18" s="1"/>
  <c r="V136" i="18" s="1"/>
  <c r="U132" i="18"/>
  <c r="T132" i="18" s="1"/>
  <c r="S132" i="18" s="1"/>
  <c r="R132" i="18" s="1"/>
  <c r="P132" i="18" s="1"/>
  <c r="V132" i="18" s="1"/>
  <c r="U128" i="18"/>
  <c r="T128" i="18" s="1"/>
  <c r="S128" i="18" s="1"/>
  <c r="R128" i="18" s="1"/>
  <c r="P128" i="18" s="1"/>
  <c r="V128" i="18" s="1"/>
  <c r="U124" i="18"/>
  <c r="T124" i="18" s="1"/>
  <c r="S124" i="18" s="1"/>
  <c r="R124" i="18" s="1"/>
  <c r="P124" i="18" s="1"/>
  <c r="V124" i="18" s="1"/>
  <c r="U120" i="18"/>
  <c r="T120" i="18" s="1"/>
  <c r="S120" i="18" s="1"/>
  <c r="R120" i="18" s="1"/>
  <c r="P120" i="18" s="1"/>
  <c r="V120" i="18" s="1"/>
  <c r="U116" i="18"/>
  <c r="T116" i="18" s="1"/>
  <c r="S116" i="18" s="1"/>
  <c r="R116" i="18" s="1"/>
  <c r="P116" i="18" s="1"/>
  <c r="V116" i="18" s="1"/>
  <c r="U112" i="18"/>
  <c r="T112" i="18" s="1"/>
  <c r="S112" i="18" s="1"/>
  <c r="R112" i="18" s="1"/>
  <c r="P112" i="18" s="1"/>
  <c r="V112" i="18" s="1"/>
  <c r="U108" i="18"/>
  <c r="T108" i="18" s="1"/>
  <c r="S108" i="18" s="1"/>
  <c r="R108" i="18" s="1"/>
  <c r="P108" i="18" s="1"/>
  <c r="V108" i="18" s="1"/>
  <c r="U104" i="18"/>
  <c r="T104" i="18" s="1"/>
  <c r="S104" i="18" s="1"/>
  <c r="R104" i="18" s="1"/>
  <c r="P104" i="18" s="1"/>
  <c r="V104" i="18" s="1"/>
  <c r="U100" i="18"/>
  <c r="T100" i="18" s="1"/>
  <c r="U96" i="18"/>
  <c r="T96" i="18" s="1"/>
  <c r="S96" i="18" s="1"/>
  <c r="R96" i="18" s="1"/>
  <c r="P96" i="18" s="1"/>
  <c r="V96" i="18" s="1"/>
  <c r="U92" i="18"/>
  <c r="T92" i="18" s="1"/>
  <c r="S92" i="18" s="1"/>
  <c r="R92" i="18" s="1"/>
  <c r="P92" i="18" s="1"/>
  <c r="V92" i="18" s="1"/>
  <c r="U88" i="18"/>
  <c r="T88" i="18" s="1"/>
  <c r="S88" i="18" s="1"/>
  <c r="R88" i="18" s="1"/>
  <c r="P88" i="18" s="1"/>
  <c r="D70" i="7" s="1"/>
  <c r="U84" i="18"/>
  <c r="T84" i="18" s="1"/>
  <c r="S84" i="18" s="1"/>
  <c r="R84" i="18" s="1"/>
  <c r="P84" i="18" s="1"/>
  <c r="V84" i="18" s="1"/>
  <c r="U80" i="18"/>
  <c r="T80" i="18" s="1"/>
  <c r="S80" i="18" s="1"/>
  <c r="R80" i="18" s="1"/>
  <c r="P80" i="18" s="1"/>
  <c r="V80" i="18" s="1"/>
  <c r="U76" i="18"/>
  <c r="T76" i="18" s="1"/>
  <c r="S76" i="18" s="1"/>
  <c r="R76" i="18" s="1"/>
  <c r="P76" i="18" s="1"/>
  <c r="V76" i="18" s="1"/>
  <c r="U72" i="18"/>
  <c r="T72" i="18" s="1"/>
  <c r="S72" i="18" s="1"/>
  <c r="R72" i="18" s="1"/>
  <c r="P72" i="18" s="1"/>
  <c r="V72" i="18" s="1"/>
  <c r="U68" i="18"/>
  <c r="T68" i="18" s="1"/>
  <c r="S68" i="18" s="1"/>
  <c r="R68" i="18" s="1"/>
  <c r="P68" i="18" s="1"/>
  <c r="V68" i="18" s="1"/>
  <c r="U64" i="18"/>
  <c r="T64" i="18" s="1"/>
  <c r="S64" i="18" s="1"/>
  <c r="R64" i="18" s="1"/>
  <c r="P64" i="18" s="1"/>
  <c r="V64" i="18" s="1"/>
  <c r="U60" i="18"/>
  <c r="T60" i="18" s="1"/>
  <c r="S60" i="18" s="1"/>
  <c r="R60" i="18" s="1"/>
  <c r="P60" i="18" s="1"/>
  <c r="V60" i="18" s="1"/>
  <c r="U56" i="18"/>
  <c r="T56" i="18" s="1"/>
  <c r="S56" i="18" s="1"/>
  <c r="R56" i="18" s="1"/>
  <c r="P56" i="18" s="1"/>
  <c r="V56" i="18" s="1"/>
  <c r="U52" i="18"/>
  <c r="T52" i="18" s="1"/>
  <c r="S52" i="18" s="1"/>
  <c r="R52" i="18" s="1"/>
  <c r="P52" i="18" s="1"/>
  <c r="V52" i="18" s="1"/>
  <c r="U48" i="18"/>
  <c r="T48" i="18" s="1"/>
  <c r="S48" i="18" s="1"/>
  <c r="R48" i="18" s="1"/>
  <c r="P48" i="18" s="1"/>
  <c r="V48" i="18" s="1"/>
  <c r="U44" i="18"/>
  <c r="T44" i="18" s="1"/>
  <c r="S44" i="18" s="1"/>
  <c r="R44" i="18" s="1"/>
  <c r="P44" i="18" s="1"/>
  <c r="V44" i="18" s="1"/>
  <c r="U40" i="18"/>
  <c r="T40" i="18" s="1"/>
  <c r="S40" i="18" s="1"/>
  <c r="R40" i="18" s="1"/>
  <c r="P40" i="18" s="1"/>
  <c r="V40" i="18" s="1"/>
  <c r="U36" i="18"/>
  <c r="T36" i="18" s="1"/>
  <c r="S36" i="18" s="1"/>
  <c r="R36" i="18" s="1"/>
  <c r="U32" i="18"/>
  <c r="T32" i="18" s="1"/>
  <c r="S32" i="18" s="1"/>
  <c r="R32" i="18" s="1"/>
  <c r="P32" i="18" s="1"/>
  <c r="V32" i="18" s="1"/>
  <c r="U28" i="18"/>
  <c r="T28" i="18" s="1"/>
  <c r="S28" i="18" s="1"/>
  <c r="R28" i="18" s="1"/>
  <c r="P28" i="18" s="1"/>
  <c r="V28" i="18" s="1"/>
  <c r="U24" i="18"/>
  <c r="T24" i="18" s="1"/>
  <c r="S24" i="18" s="1"/>
  <c r="R24" i="18" s="1"/>
  <c r="P24" i="18" s="1"/>
  <c r="V24" i="18" s="1"/>
  <c r="U20" i="18"/>
  <c r="T20" i="18" s="1"/>
  <c r="S20" i="18" s="1"/>
  <c r="R20" i="18" s="1"/>
  <c r="P20" i="18" s="1"/>
  <c r="V20" i="18" s="1"/>
  <c r="U16" i="18"/>
  <c r="T16" i="18" s="1"/>
  <c r="S16" i="18" s="1"/>
  <c r="R16" i="18" s="1"/>
  <c r="P16" i="18" s="1"/>
  <c r="V16" i="18" s="1"/>
  <c r="AI11" i="18"/>
  <c r="AI348" i="18" s="1"/>
  <c r="AH348" i="18" s="1"/>
  <c r="U268" i="18"/>
  <c r="T268" i="18" s="1"/>
  <c r="U264" i="18"/>
  <c r="T264" i="18" s="1"/>
  <c r="S264" i="18" s="1"/>
  <c r="R264" i="18" s="1"/>
  <c r="P264" i="18" s="1"/>
  <c r="V264" i="18" s="1"/>
  <c r="U260" i="18"/>
  <c r="T260" i="18" s="1"/>
  <c r="S260" i="18" s="1"/>
  <c r="R260" i="18" s="1"/>
  <c r="P260" i="18" s="1"/>
  <c r="V260" i="18" s="1"/>
  <c r="U256" i="18"/>
  <c r="T256" i="18" s="1"/>
  <c r="S256" i="18" s="1"/>
  <c r="R256" i="18" s="1"/>
  <c r="P256" i="18" s="1"/>
  <c r="V256" i="18" s="1"/>
  <c r="U252" i="18"/>
  <c r="T252" i="18" s="1"/>
  <c r="S252" i="18" s="1"/>
  <c r="R252" i="18" s="1"/>
  <c r="P252" i="18" s="1"/>
  <c r="V252" i="18" s="1"/>
  <c r="U248" i="18"/>
  <c r="T248" i="18" s="1"/>
  <c r="S248" i="18" s="1"/>
  <c r="R248" i="18" s="1"/>
  <c r="P248" i="18" s="1"/>
  <c r="V248" i="18" s="1"/>
  <c r="U244" i="18"/>
  <c r="T244" i="18" s="1"/>
  <c r="S244" i="18" s="1"/>
  <c r="R244" i="18" s="1"/>
  <c r="P244" i="18" s="1"/>
  <c r="V244" i="18" s="1"/>
  <c r="U240" i="18"/>
  <c r="T240" i="18" s="1"/>
  <c r="S240" i="18" s="1"/>
  <c r="R240" i="18" s="1"/>
  <c r="U236" i="18"/>
  <c r="T236" i="18" s="1"/>
  <c r="S236" i="18" s="1"/>
  <c r="R236" i="18" s="1"/>
  <c r="P236" i="18" s="1"/>
  <c r="V236" i="18" s="1"/>
  <c r="U232" i="18"/>
  <c r="T232" i="18" s="1"/>
  <c r="S232" i="18" s="1"/>
  <c r="R232" i="18" s="1"/>
  <c r="P232" i="18" s="1"/>
  <c r="V232" i="18" s="1"/>
  <c r="U228" i="18"/>
  <c r="T228" i="18" s="1"/>
  <c r="S228" i="18" s="1"/>
  <c r="R228" i="18" s="1"/>
  <c r="P228" i="18" s="1"/>
  <c r="V228" i="18" s="1"/>
  <c r="U224" i="18"/>
  <c r="T224" i="18" s="1"/>
  <c r="S224" i="18" s="1"/>
  <c r="R224" i="18" s="1"/>
  <c r="P224" i="18" s="1"/>
  <c r="V224" i="18" s="1"/>
  <c r="U220" i="18"/>
  <c r="T220" i="18" s="1"/>
  <c r="U216" i="18"/>
  <c r="T216" i="18" s="1"/>
  <c r="S216" i="18" s="1"/>
  <c r="R216" i="18" s="1"/>
  <c r="P216" i="18" s="1"/>
  <c r="V216" i="18" s="1"/>
  <c r="U212" i="18"/>
  <c r="T212" i="18" s="1"/>
  <c r="S212" i="18" s="1"/>
  <c r="R212" i="18" s="1"/>
  <c r="P212" i="18" s="1"/>
  <c r="V212" i="18" s="1"/>
  <c r="U208" i="18"/>
  <c r="T208" i="18" s="1"/>
  <c r="S208" i="18" s="1"/>
  <c r="R208" i="18" s="1"/>
  <c r="P208" i="18" s="1"/>
  <c r="V208" i="18" s="1"/>
  <c r="U204" i="18"/>
  <c r="T204" i="18" s="1"/>
  <c r="S204" i="18" s="1"/>
  <c r="R204" i="18" s="1"/>
  <c r="P204" i="18" s="1"/>
  <c r="V204" i="18" s="1"/>
  <c r="U200" i="18"/>
  <c r="T200" i="18" s="1"/>
  <c r="S200" i="18" s="1"/>
  <c r="R200" i="18" s="1"/>
  <c r="P200" i="18" s="1"/>
  <c r="V200" i="18" s="1"/>
  <c r="U196" i="18"/>
  <c r="T196" i="18" s="1"/>
  <c r="S196" i="18" s="1"/>
  <c r="R196" i="18" s="1"/>
  <c r="P196" i="18" s="1"/>
  <c r="V196" i="18" s="1"/>
  <c r="U192" i="18"/>
  <c r="T192" i="18" s="1"/>
  <c r="S192" i="18" s="1"/>
  <c r="R192" i="18" s="1"/>
  <c r="P192" i="18" s="1"/>
  <c r="V192" i="18" s="1"/>
  <c r="U188" i="18"/>
  <c r="T188" i="18" s="1"/>
  <c r="S188" i="18" s="1"/>
  <c r="R188" i="18" s="1"/>
  <c r="U184" i="18"/>
  <c r="T184" i="18" s="1"/>
  <c r="S184" i="18" s="1"/>
  <c r="R184" i="18" s="1"/>
  <c r="P184" i="18" s="1"/>
  <c r="V184" i="18" s="1"/>
  <c r="U177" i="18"/>
  <c r="T177" i="18" s="1"/>
  <c r="S177" i="18" s="1"/>
  <c r="R177" i="18" s="1"/>
  <c r="P177" i="18" s="1"/>
  <c r="V177" i="18" s="1"/>
  <c r="U169" i="18"/>
  <c r="T169" i="18" s="1"/>
  <c r="S169" i="18" s="1"/>
  <c r="R169" i="18" s="1"/>
  <c r="P169" i="18" s="1"/>
  <c r="V169" i="18" s="1"/>
  <c r="U161" i="18"/>
  <c r="T161" i="18" s="1"/>
  <c r="S161" i="18" s="1"/>
  <c r="R161" i="18" s="1"/>
  <c r="U153" i="18"/>
  <c r="T153" i="18" s="1"/>
  <c r="S153" i="18" s="1"/>
  <c r="R153" i="18" s="1"/>
  <c r="P153" i="18" s="1"/>
  <c r="V153" i="18" s="1"/>
  <c r="U145" i="18"/>
  <c r="T145" i="18" s="1"/>
  <c r="S145" i="18" s="1"/>
  <c r="R145" i="18" s="1"/>
  <c r="P145" i="18" s="1"/>
  <c r="V145" i="18" s="1"/>
  <c r="U137" i="18"/>
  <c r="T137" i="18" s="1"/>
  <c r="S137" i="18" s="1"/>
  <c r="R137" i="18" s="1"/>
  <c r="P137" i="18" s="1"/>
  <c r="V137" i="18" s="1"/>
  <c r="U129" i="18"/>
  <c r="T129" i="18" s="1"/>
  <c r="S129" i="18" s="1"/>
  <c r="R129" i="18" s="1"/>
  <c r="P129" i="18" s="1"/>
  <c r="V129" i="18" s="1"/>
  <c r="U121" i="18"/>
  <c r="T121" i="18" s="1"/>
  <c r="S121" i="18" s="1"/>
  <c r="R121" i="18" s="1"/>
  <c r="P121" i="18" s="1"/>
  <c r="V121" i="18" s="1"/>
  <c r="U113" i="18"/>
  <c r="T113" i="18" s="1"/>
  <c r="S113" i="18" s="1"/>
  <c r="R113" i="18" s="1"/>
  <c r="P113" i="18" s="1"/>
  <c r="V113" i="18" s="1"/>
  <c r="U105" i="18"/>
  <c r="T105" i="18" s="1"/>
  <c r="S105" i="18" s="1"/>
  <c r="R105" i="18" s="1"/>
  <c r="P105" i="18" s="1"/>
  <c r="V105" i="18" s="1"/>
  <c r="U97" i="18"/>
  <c r="T97" i="18" s="1"/>
  <c r="S97" i="18" s="1"/>
  <c r="R97" i="18" s="1"/>
  <c r="P97" i="18" s="1"/>
  <c r="V97" i="18" s="1"/>
  <c r="U89" i="18"/>
  <c r="T89" i="18" s="1"/>
  <c r="S89" i="18" s="1"/>
  <c r="R89" i="18" s="1"/>
  <c r="P89" i="18" s="1"/>
  <c r="V89" i="18" s="1"/>
  <c r="U81" i="18"/>
  <c r="T81" i="18" s="1"/>
  <c r="S81" i="18" s="1"/>
  <c r="R81" i="18" s="1"/>
  <c r="P81" i="18" s="1"/>
  <c r="V81" i="18" s="1"/>
  <c r="U73" i="18"/>
  <c r="T73" i="18" s="1"/>
  <c r="S73" i="18" s="1"/>
  <c r="R73" i="18" s="1"/>
  <c r="P73" i="18" s="1"/>
  <c r="V73" i="18" s="1"/>
  <c r="U65" i="18"/>
  <c r="T65" i="18" s="1"/>
  <c r="S65" i="18" s="1"/>
  <c r="R65" i="18" s="1"/>
  <c r="P65" i="18" s="1"/>
  <c r="V65" i="18" s="1"/>
  <c r="U57" i="18"/>
  <c r="T57" i="18" s="1"/>
  <c r="S57" i="18" s="1"/>
  <c r="R57" i="18" s="1"/>
  <c r="P57" i="18" s="1"/>
  <c r="V57" i="18" s="1"/>
  <c r="U49" i="18"/>
  <c r="T49" i="18" s="1"/>
  <c r="S49" i="18" s="1"/>
  <c r="R49" i="18" s="1"/>
  <c r="P49" i="18" s="1"/>
  <c r="V49" i="18" s="1"/>
  <c r="U41" i="18"/>
  <c r="T41" i="18" s="1"/>
  <c r="S41" i="18" s="1"/>
  <c r="R41" i="18" s="1"/>
  <c r="P41" i="18" s="1"/>
  <c r="V41" i="18" s="1"/>
  <c r="AE18" i="20"/>
  <c r="AA369" i="17"/>
  <c r="Z369" i="17" s="1"/>
  <c r="Y369" i="17" s="1"/>
  <c r="I332" i="17"/>
  <c r="AA142" i="17"/>
  <c r="Z142" i="17" s="1"/>
  <c r="Y142" i="17" s="1"/>
  <c r="J373" i="17"/>
  <c r="I157" i="17"/>
  <c r="AA294" i="17"/>
  <c r="Z294" i="17" s="1"/>
  <c r="Y294" i="17" s="1"/>
  <c r="I285" i="17"/>
  <c r="I335" i="17"/>
  <c r="J328" i="17"/>
  <c r="G286" i="17"/>
  <c r="BZ286" i="6" s="1"/>
  <c r="I344" i="17"/>
  <c r="J301" i="17"/>
  <c r="J240" i="17"/>
  <c r="H281" i="17"/>
  <c r="J281" i="17" s="1"/>
  <c r="I209" i="17"/>
  <c r="J320" i="17"/>
  <c r="I273" i="17"/>
  <c r="H369" i="17"/>
  <c r="I369" i="17" s="1"/>
  <c r="I203" i="17"/>
  <c r="H302" i="17"/>
  <c r="J302" i="17" s="1"/>
  <c r="H142" i="17"/>
  <c r="I142" i="17" s="1"/>
  <c r="AA124" i="17"/>
  <c r="Z124" i="17" s="1"/>
  <c r="AA286" i="17"/>
  <c r="Z286" i="17" s="1"/>
  <c r="Y286" i="17" s="1"/>
  <c r="H124" i="17"/>
  <c r="I124" i="17" s="1"/>
  <c r="AA281" i="17"/>
  <c r="Z281" i="17" s="1"/>
  <c r="Y281" i="17" s="1"/>
  <c r="AA302" i="17"/>
  <c r="Z302" i="17" s="1"/>
  <c r="Y302" i="17" s="1"/>
  <c r="I233" i="17"/>
  <c r="G142" i="17"/>
  <c r="BZ142" i="6" s="1"/>
  <c r="H195" i="17"/>
  <c r="I195" i="17" s="1"/>
  <c r="H225" i="17"/>
  <c r="J225" i="17" s="1"/>
  <c r="AA134" i="17"/>
  <c r="Z134" i="17" s="1"/>
  <c r="Y134" i="17" s="1"/>
  <c r="AA377" i="17"/>
  <c r="Z377" i="17" s="1"/>
  <c r="Y377" i="17" s="1"/>
  <c r="AA353" i="17"/>
  <c r="Z353" i="17" s="1"/>
  <c r="Y353" i="17" s="1"/>
  <c r="G377" i="17"/>
  <c r="BZ377" i="6" s="1"/>
  <c r="G353" i="17"/>
  <c r="BZ353" i="6" s="1"/>
  <c r="H294" i="17"/>
  <c r="J294" i="17" s="1"/>
  <c r="AA225" i="17"/>
  <c r="Z225" i="17" s="1"/>
  <c r="Y225" i="17" s="1"/>
  <c r="I140" i="17"/>
  <c r="V379" i="17"/>
  <c r="F379" i="17" s="1"/>
  <c r="G379" i="17" s="1"/>
  <c r="BZ379" i="6" s="1"/>
  <c r="I361" i="17"/>
  <c r="H134" i="17"/>
  <c r="J134" i="17" s="1"/>
  <c r="P25" i="18"/>
  <c r="V25" i="18" s="1"/>
  <c r="S100" i="18"/>
  <c r="R100" i="18" s="1"/>
  <c r="P100" i="18" s="1"/>
  <c r="V100" i="18" s="1"/>
  <c r="S220" i="18"/>
  <c r="R220" i="18" s="1"/>
  <c r="P220" i="18" s="1"/>
  <c r="V220" i="18" s="1"/>
  <c r="AI17" i="18"/>
  <c r="AH17" i="18" s="1"/>
  <c r="AG17" i="18" s="1"/>
  <c r="AF17" i="18" s="1"/>
  <c r="AI15" i="18"/>
  <c r="AH15" i="18" s="1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18" i="18"/>
  <c r="AH18" i="18" s="1"/>
  <c r="AG18" i="18" s="1"/>
  <c r="AF18" i="18" s="1"/>
  <c r="AD18" i="18" s="1"/>
  <c r="AI22" i="18"/>
  <c r="AH22" i="18" s="1"/>
  <c r="AG22" i="18" s="1"/>
  <c r="AF22" i="18" s="1"/>
  <c r="AI26" i="18"/>
  <c r="AH26" i="18" s="1"/>
  <c r="AG26" i="18" s="1"/>
  <c r="AF26" i="18" s="1"/>
  <c r="H330" i="17"/>
  <c r="AA330" i="17"/>
  <c r="Z330" i="17" s="1"/>
  <c r="Y330" i="17" s="1"/>
  <c r="G330" i="17"/>
  <c r="BZ330" i="6" s="1"/>
  <c r="H351" i="17"/>
  <c r="G351" i="17"/>
  <c r="BZ351" i="6" s="1"/>
  <c r="AA351" i="17"/>
  <c r="Z351" i="17" s="1"/>
  <c r="Y351" i="17" s="1"/>
  <c r="G295" i="17"/>
  <c r="BZ295" i="6" s="1"/>
  <c r="AA295" i="17"/>
  <c r="Z295" i="17" s="1"/>
  <c r="Y295" i="17" s="1"/>
  <c r="H295" i="17"/>
  <c r="V231" i="17"/>
  <c r="I64" i="19" s="1"/>
  <c r="G207" i="17"/>
  <c r="BZ207" i="6" s="1"/>
  <c r="H207" i="17"/>
  <c r="AA207" i="17"/>
  <c r="Z207" i="17" s="1"/>
  <c r="Y207" i="17" s="1"/>
  <c r="AA159" i="17"/>
  <c r="Z159" i="17" s="1"/>
  <c r="Y159" i="17" s="1"/>
  <c r="G159" i="17"/>
  <c r="BZ159" i="6" s="1"/>
  <c r="H159" i="17"/>
  <c r="V135" i="17"/>
  <c r="F135" i="17" s="1"/>
  <c r="AA111" i="17"/>
  <c r="Z111" i="17" s="1"/>
  <c r="Y111" i="17" s="1"/>
  <c r="G111" i="17"/>
  <c r="BZ111" i="6" s="1"/>
  <c r="H111" i="17"/>
  <c r="G87" i="17"/>
  <c r="BZ87" i="6" s="1"/>
  <c r="H87" i="17"/>
  <c r="AA87" i="17"/>
  <c r="Z87" i="17" s="1"/>
  <c r="Y87" i="17" s="1"/>
  <c r="V71" i="17"/>
  <c r="F71" i="17" s="1"/>
  <c r="G31" i="17"/>
  <c r="BZ31" i="6" s="1"/>
  <c r="AA31" i="17"/>
  <c r="Z31" i="17" s="1"/>
  <c r="Y31" i="17" s="1"/>
  <c r="H31" i="17"/>
  <c r="H364" i="17"/>
  <c r="AA364" i="17"/>
  <c r="Z364" i="17" s="1"/>
  <c r="Y364" i="17" s="1"/>
  <c r="G364" i="17"/>
  <c r="BZ364" i="6" s="1"/>
  <c r="J356" i="17"/>
  <c r="I356" i="17"/>
  <c r="AA268" i="17"/>
  <c r="Z268" i="17" s="1"/>
  <c r="Y268" i="17" s="1"/>
  <c r="G268" i="17"/>
  <c r="BZ268" i="6" s="1"/>
  <c r="H268" i="17"/>
  <c r="H208" i="17"/>
  <c r="G208" i="17"/>
  <c r="BZ208" i="6" s="1"/>
  <c r="AA208" i="17"/>
  <c r="Z208" i="17" s="1"/>
  <c r="Y208" i="17" s="1"/>
  <c r="V176" i="17"/>
  <c r="F176" i="17" s="1"/>
  <c r="AA136" i="17"/>
  <c r="Z136" i="17" s="1"/>
  <c r="Y136" i="17" s="1"/>
  <c r="H136" i="17"/>
  <c r="G136" i="17"/>
  <c r="BZ136" i="6" s="1"/>
  <c r="V88" i="17"/>
  <c r="F88" i="17" s="1"/>
  <c r="D58" i="7"/>
  <c r="AA64" i="17"/>
  <c r="Z64" i="17" s="1"/>
  <c r="Y64" i="17" s="1"/>
  <c r="G64" i="17"/>
  <c r="BZ64" i="6" s="1"/>
  <c r="H64" i="17"/>
  <c r="H48" i="17"/>
  <c r="G48" i="17"/>
  <c r="BZ48" i="6" s="1"/>
  <c r="AA48" i="17"/>
  <c r="Z48" i="17" s="1"/>
  <c r="Y48" i="17" s="1"/>
  <c r="D64" i="7"/>
  <c r="V272" i="17"/>
  <c r="F272" i="17" s="1"/>
  <c r="AA234" i="17"/>
  <c r="Z234" i="17" s="1"/>
  <c r="Y234" i="17" s="1"/>
  <c r="G234" i="17"/>
  <c r="BZ234" i="6" s="1"/>
  <c r="H234" i="17"/>
  <c r="D62" i="7"/>
  <c r="V210" i="17"/>
  <c r="F210" i="17" s="1"/>
  <c r="H178" i="17"/>
  <c r="AA178" i="17"/>
  <c r="Z178" i="17" s="1"/>
  <c r="Y178" i="17" s="1"/>
  <c r="G178" i="17"/>
  <c r="BZ178" i="6" s="1"/>
  <c r="AA138" i="17"/>
  <c r="Z138" i="17" s="1"/>
  <c r="Y138" i="17" s="1"/>
  <c r="H138" i="17"/>
  <c r="G138" i="17"/>
  <c r="BZ138" i="6" s="1"/>
  <c r="AA114" i="17"/>
  <c r="Z114" i="17" s="1"/>
  <c r="Y114" i="17" s="1"/>
  <c r="G114" i="17"/>
  <c r="BZ114" i="6" s="1"/>
  <c r="H114" i="17"/>
  <c r="G42" i="17"/>
  <c r="BZ42" i="6" s="1"/>
  <c r="AA42" i="17"/>
  <c r="Z42" i="17" s="1"/>
  <c r="Y42" i="17" s="1"/>
  <c r="H42" i="17"/>
  <c r="H347" i="17"/>
  <c r="AA347" i="17"/>
  <c r="Z347" i="17" s="1"/>
  <c r="Y347" i="17" s="1"/>
  <c r="G347" i="17"/>
  <c r="BZ347" i="6" s="1"/>
  <c r="AA307" i="17"/>
  <c r="Z307" i="17" s="1"/>
  <c r="Y307" i="17" s="1"/>
  <c r="H307" i="17"/>
  <c r="G307" i="17"/>
  <c r="BZ307" i="6" s="1"/>
  <c r="V275" i="17"/>
  <c r="F275" i="17" s="1"/>
  <c r="AA251" i="17"/>
  <c r="Z251" i="17" s="1"/>
  <c r="Y251" i="17" s="1"/>
  <c r="H251" i="17"/>
  <c r="G251" i="17"/>
  <c r="BZ251" i="6" s="1"/>
  <c r="G235" i="17"/>
  <c r="BZ235" i="6" s="1"/>
  <c r="AA235" i="17"/>
  <c r="Z235" i="17" s="1"/>
  <c r="Y235" i="17" s="1"/>
  <c r="H235" i="17"/>
  <c r="G179" i="17"/>
  <c r="BZ179" i="6" s="1"/>
  <c r="AA179" i="17"/>
  <c r="Z179" i="17" s="1"/>
  <c r="Y179" i="17" s="1"/>
  <c r="H179" i="17"/>
  <c r="H163" i="17"/>
  <c r="AA163" i="17"/>
  <c r="Z163" i="17" s="1"/>
  <c r="Y163" i="17" s="1"/>
  <c r="G163" i="17"/>
  <c r="BZ163" i="6" s="1"/>
  <c r="AA147" i="17"/>
  <c r="Z147" i="17" s="1"/>
  <c r="Y147" i="17" s="1"/>
  <c r="G147" i="17"/>
  <c r="BZ147" i="6" s="1"/>
  <c r="H147" i="17"/>
  <c r="H115" i="17"/>
  <c r="G115" i="17"/>
  <c r="BZ115" i="6" s="1"/>
  <c r="AA115" i="17"/>
  <c r="Z115" i="17" s="1"/>
  <c r="Y115" i="17" s="1"/>
  <c r="AA75" i="17"/>
  <c r="Z75" i="17" s="1"/>
  <c r="Y75" i="17" s="1"/>
  <c r="H75" i="17"/>
  <c r="G75" i="17"/>
  <c r="BZ75" i="6" s="1"/>
  <c r="V51" i="17"/>
  <c r="F51" i="17" s="1"/>
  <c r="H27" i="17"/>
  <c r="AA27" i="17"/>
  <c r="Z27" i="17" s="1"/>
  <c r="Y27" i="17" s="1"/>
  <c r="G27" i="17"/>
  <c r="BZ27" i="6" s="1"/>
  <c r="V360" i="17"/>
  <c r="F360" i="17" s="1"/>
  <c r="H345" i="17"/>
  <c r="G345" i="17"/>
  <c r="BZ345" i="6" s="1"/>
  <c r="AA345" i="17"/>
  <c r="Z345" i="17" s="1"/>
  <c r="Y345" i="17" s="1"/>
  <c r="H305" i="17"/>
  <c r="G305" i="17"/>
  <c r="BZ305" i="6" s="1"/>
  <c r="AA305" i="17"/>
  <c r="Z305" i="17" s="1"/>
  <c r="Y305" i="17" s="1"/>
  <c r="AA265" i="17"/>
  <c r="Z265" i="17" s="1"/>
  <c r="Y265" i="17" s="1"/>
  <c r="G265" i="17"/>
  <c r="BZ265" i="6" s="1"/>
  <c r="H265" i="17"/>
  <c r="V185" i="17"/>
  <c r="F185" i="17" s="1"/>
  <c r="G169" i="17"/>
  <c r="BZ169" i="6" s="1"/>
  <c r="AA169" i="17"/>
  <c r="Z169" i="17" s="1"/>
  <c r="Y169" i="17" s="1"/>
  <c r="H169" i="17"/>
  <c r="H145" i="17"/>
  <c r="G145" i="17"/>
  <c r="BZ145" i="6" s="1"/>
  <c r="AA145" i="17"/>
  <c r="Z145" i="17" s="1"/>
  <c r="Y145" i="17" s="1"/>
  <c r="V121" i="17"/>
  <c r="F121" i="17" s="1"/>
  <c r="H81" i="17"/>
  <c r="G81" i="17"/>
  <c r="BZ81" i="6" s="1"/>
  <c r="AA81" i="17"/>
  <c r="Z81" i="17" s="1"/>
  <c r="Y81" i="17" s="1"/>
  <c r="V41" i="17"/>
  <c r="F41" i="17" s="1"/>
  <c r="AA366" i="17"/>
  <c r="Z366" i="17" s="1"/>
  <c r="Y366" i="17" s="1"/>
  <c r="G366" i="17"/>
  <c r="BZ366" i="6" s="1"/>
  <c r="H366" i="17"/>
  <c r="V334" i="17"/>
  <c r="F334" i="17" s="1"/>
  <c r="G318" i="17"/>
  <c r="BZ318" i="6" s="1"/>
  <c r="H318" i="17"/>
  <c r="G246" i="17"/>
  <c r="BZ246" i="6" s="1"/>
  <c r="AA246" i="17"/>
  <c r="Z246" i="17" s="1"/>
  <c r="Y246" i="17" s="1"/>
  <c r="H246" i="17"/>
  <c r="H276" i="17"/>
  <c r="AA276" i="17"/>
  <c r="Z276" i="17" s="1"/>
  <c r="Y276" i="17" s="1"/>
  <c r="G276" i="17"/>
  <c r="BZ276" i="6" s="1"/>
  <c r="H236" i="17"/>
  <c r="G236" i="17"/>
  <c r="BZ236" i="6" s="1"/>
  <c r="AA236" i="17"/>
  <c r="Z236" i="17" s="1"/>
  <c r="Y236" i="17" s="1"/>
  <c r="G220" i="17"/>
  <c r="BZ220" i="6" s="1"/>
  <c r="H220" i="17"/>
  <c r="AA220" i="17"/>
  <c r="Z220" i="17" s="1"/>
  <c r="Y220" i="17" s="1"/>
  <c r="H196" i="17"/>
  <c r="G196" i="17"/>
  <c r="BZ196" i="6" s="1"/>
  <c r="AA196" i="17"/>
  <c r="Z196" i="17" s="1"/>
  <c r="Y196" i="17" s="1"/>
  <c r="G116" i="17"/>
  <c r="BZ116" i="6" s="1"/>
  <c r="H116" i="17"/>
  <c r="AA116" i="17"/>
  <c r="Z116" i="17" s="1"/>
  <c r="Y116" i="17" s="1"/>
  <c r="V68" i="17"/>
  <c r="F68" i="17" s="1"/>
  <c r="G36" i="17"/>
  <c r="BZ36" i="6" s="1"/>
  <c r="H36" i="17"/>
  <c r="AA36" i="17"/>
  <c r="Z36" i="17" s="1"/>
  <c r="Y36" i="17" s="1"/>
  <c r="AA296" i="17"/>
  <c r="Z296" i="17" s="1"/>
  <c r="Y296" i="17" s="1"/>
  <c r="H296" i="17"/>
  <c r="G296" i="17"/>
  <c r="BZ296" i="6" s="1"/>
  <c r="AA248" i="17"/>
  <c r="Z248" i="17" s="1"/>
  <c r="Y248" i="17" s="1"/>
  <c r="G248" i="17"/>
  <c r="BZ248" i="6" s="1"/>
  <c r="H248" i="17"/>
  <c r="H198" i="17"/>
  <c r="G198" i="17"/>
  <c r="BZ198" i="6" s="1"/>
  <c r="AA198" i="17"/>
  <c r="Z198" i="17" s="1"/>
  <c r="Y198" i="17" s="1"/>
  <c r="G182" i="17"/>
  <c r="BZ182" i="6" s="1"/>
  <c r="H182" i="17"/>
  <c r="AA182" i="17"/>
  <c r="Z182" i="17" s="1"/>
  <c r="Y182" i="17" s="1"/>
  <c r="AA166" i="17"/>
  <c r="Z166" i="17" s="1"/>
  <c r="Y166" i="17" s="1"/>
  <c r="G166" i="17"/>
  <c r="BZ166" i="6" s="1"/>
  <c r="H166" i="17"/>
  <c r="V126" i="17"/>
  <c r="F126" i="17" s="1"/>
  <c r="V110" i="17"/>
  <c r="F110" i="17" s="1"/>
  <c r="H94" i="17"/>
  <c r="AA94" i="17"/>
  <c r="Z94" i="17" s="1"/>
  <c r="Y94" i="17" s="1"/>
  <c r="G94" i="17"/>
  <c r="BZ94" i="6" s="1"/>
  <c r="G46" i="17"/>
  <c r="BZ46" i="6" s="1"/>
  <c r="AA46" i="17"/>
  <c r="Z46" i="17" s="1"/>
  <c r="Y46" i="17" s="1"/>
  <c r="H46" i="17"/>
  <c r="G30" i="17"/>
  <c r="BZ30" i="6" s="1"/>
  <c r="AA30" i="17"/>
  <c r="Z30" i="17" s="1"/>
  <c r="Y30" i="17" s="1"/>
  <c r="H30" i="17"/>
  <c r="G367" i="17"/>
  <c r="BZ367" i="6" s="1"/>
  <c r="H367" i="17"/>
  <c r="AA367" i="17"/>
  <c r="Z367" i="17" s="1"/>
  <c r="Y367" i="17" s="1"/>
  <c r="G303" i="17"/>
  <c r="BZ303" i="6" s="1"/>
  <c r="AA303" i="17"/>
  <c r="Z303" i="17" s="1"/>
  <c r="Y303" i="17" s="1"/>
  <c r="H303" i="17"/>
  <c r="H239" i="17"/>
  <c r="G239" i="17"/>
  <c r="BZ239" i="6" s="1"/>
  <c r="AA239" i="17"/>
  <c r="Z239" i="17" s="1"/>
  <c r="Y239" i="17" s="1"/>
  <c r="G223" i="17"/>
  <c r="BZ223" i="6" s="1"/>
  <c r="H223" i="17"/>
  <c r="AA223" i="17"/>
  <c r="Z223" i="17" s="1"/>
  <c r="Y223" i="17" s="1"/>
  <c r="V183" i="17"/>
  <c r="F183" i="17" s="1"/>
  <c r="H143" i="17"/>
  <c r="G143" i="17"/>
  <c r="BZ143" i="6" s="1"/>
  <c r="AA143" i="17"/>
  <c r="Z143" i="17" s="1"/>
  <c r="Y143" i="17" s="1"/>
  <c r="V119" i="17"/>
  <c r="F119" i="17" s="1"/>
  <c r="D59" i="7"/>
  <c r="V95" i="17"/>
  <c r="F95" i="17" s="1"/>
  <c r="V79" i="17"/>
  <c r="F79" i="17" s="1"/>
  <c r="AA55" i="17"/>
  <c r="Z55" i="17" s="1"/>
  <c r="Y55" i="17" s="1"/>
  <c r="G55" i="17"/>
  <c r="BZ55" i="6" s="1"/>
  <c r="H55" i="17"/>
  <c r="H372" i="17"/>
  <c r="AA372" i="17"/>
  <c r="Z372" i="17" s="1"/>
  <c r="Y372" i="17" s="1"/>
  <c r="G372" i="17"/>
  <c r="BZ372" i="6" s="1"/>
  <c r="G365" i="17"/>
  <c r="BZ365" i="6" s="1"/>
  <c r="H365" i="17"/>
  <c r="AA365" i="17"/>
  <c r="Z365" i="17" s="1"/>
  <c r="Y365" i="17" s="1"/>
  <c r="V357" i="17"/>
  <c r="F357" i="17" s="1"/>
  <c r="H349" i="17"/>
  <c r="G349" i="17"/>
  <c r="BZ349" i="6" s="1"/>
  <c r="AA349" i="17"/>
  <c r="Z349" i="17" s="1"/>
  <c r="Y349" i="17" s="1"/>
  <c r="D66" i="7"/>
  <c r="V333" i="17"/>
  <c r="AA277" i="17"/>
  <c r="Z277" i="17" s="1"/>
  <c r="Y277" i="17" s="1"/>
  <c r="G277" i="17"/>
  <c r="BZ277" i="6" s="1"/>
  <c r="H277" i="17"/>
  <c r="G269" i="17"/>
  <c r="BZ269" i="6" s="1"/>
  <c r="H269" i="17"/>
  <c r="AA269" i="17"/>
  <c r="Z269" i="17" s="1"/>
  <c r="Y269" i="17" s="1"/>
  <c r="V261" i="17"/>
  <c r="F261" i="17" s="1"/>
  <c r="AA245" i="17"/>
  <c r="Z245" i="17" s="1"/>
  <c r="Y245" i="17" s="1"/>
  <c r="G245" i="17"/>
  <c r="BZ245" i="6" s="1"/>
  <c r="H245" i="17"/>
  <c r="G221" i="17"/>
  <c r="BZ221" i="6" s="1"/>
  <c r="AA221" i="17"/>
  <c r="Z221" i="17" s="1"/>
  <c r="Y221" i="17" s="1"/>
  <c r="H221" i="17"/>
  <c r="G213" i="17"/>
  <c r="BZ213" i="6" s="1"/>
  <c r="AA213" i="17"/>
  <c r="Z213" i="17" s="1"/>
  <c r="Y213" i="17" s="1"/>
  <c r="H213" i="17"/>
  <c r="V205" i="17"/>
  <c r="G197" i="17"/>
  <c r="BZ197" i="6" s="1"/>
  <c r="AA197" i="17"/>
  <c r="Z197" i="17" s="1"/>
  <c r="Y197" i="17" s="1"/>
  <c r="H197" i="17"/>
  <c r="G189" i="17"/>
  <c r="BZ189" i="6" s="1"/>
  <c r="H189" i="17"/>
  <c r="AA189" i="17"/>
  <c r="Z189" i="17" s="1"/>
  <c r="Y189" i="17" s="1"/>
  <c r="AA173" i="17"/>
  <c r="Z173" i="17" s="1"/>
  <c r="Y173" i="17" s="1"/>
  <c r="G173" i="17"/>
  <c r="BZ173" i="6" s="1"/>
  <c r="H173" i="17"/>
  <c r="G165" i="17"/>
  <c r="BZ165" i="6" s="1"/>
  <c r="AA165" i="17"/>
  <c r="Z165" i="17" s="1"/>
  <c r="Y165" i="17" s="1"/>
  <c r="H165" i="17"/>
  <c r="G216" i="17"/>
  <c r="BZ216" i="6" s="1"/>
  <c r="AA216" i="17"/>
  <c r="Z216" i="17" s="1"/>
  <c r="Y216" i="17" s="1"/>
  <c r="H216" i="17"/>
  <c r="H200" i="17"/>
  <c r="G200" i="17"/>
  <c r="BZ200" i="6" s="1"/>
  <c r="AA200" i="17"/>
  <c r="Z200" i="17" s="1"/>
  <c r="Y200" i="17" s="1"/>
  <c r="V152" i="17"/>
  <c r="F152" i="17" s="1"/>
  <c r="AA128" i="17"/>
  <c r="Z128" i="17" s="1"/>
  <c r="Y128" i="17" s="1"/>
  <c r="H128" i="17"/>
  <c r="G128" i="17"/>
  <c r="BZ128" i="6" s="1"/>
  <c r="H72" i="17"/>
  <c r="G72" i="17"/>
  <c r="BZ72" i="6" s="1"/>
  <c r="AA72" i="17"/>
  <c r="Z72" i="17" s="1"/>
  <c r="Y72" i="17" s="1"/>
  <c r="V56" i="17"/>
  <c r="F56" i="17" s="1"/>
  <c r="H32" i="17"/>
  <c r="G32" i="17"/>
  <c r="BZ32" i="6" s="1"/>
  <c r="AA32" i="17"/>
  <c r="Z32" i="17" s="1"/>
  <c r="Y32" i="17" s="1"/>
  <c r="G256" i="17"/>
  <c r="BZ256" i="6" s="1"/>
  <c r="H256" i="17"/>
  <c r="AA256" i="17"/>
  <c r="Z256" i="17" s="1"/>
  <c r="Y256" i="17" s="1"/>
  <c r="H218" i="17"/>
  <c r="G218" i="17"/>
  <c r="BZ218" i="6" s="1"/>
  <c r="AA218" i="17"/>
  <c r="Z218" i="17" s="1"/>
  <c r="Y218" i="17" s="1"/>
  <c r="AA202" i="17"/>
  <c r="Z202" i="17" s="1"/>
  <c r="Y202" i="17" s="1"/>
  <c r="G202" i="17"/>
  <c r="BZ202" i="6" s="1"/>
  <c r="H202" i="17"/>
  <c r="AA146" i="17"/>
  <c r="Z146" i="17" s="1"/>
  <c r="Y146" i="17" s="1"/>
  <c r="G146" i="17"/>
  <c r="BZ146" i="6" s="1"/>
  <c r="H146" i="17"/>
  <c r="G130" i="17"/>
  <c r="BZ130" i="6" s="1"/>
  <c r="AA130" i="17"/>
  <c r="Z130" i="17" s="1"/>
  <c r="Y130" i="17" s="1"/>
  <c r="H130" i="17"/>
  <c r="V82" i="17"/>
  <c r="F82" i="17" s="1"/>
  <c r="AA26" i="17"/>
  <c r="Z26" i="17" s="1"/>
  <c r="Y26" i="17" s="1"/>
  <c r="G26" i="17"/>
  <c r="BZ26" i="6" s="1"/>
  <c r="H26" i="17"/>
  <c r="D67" i="7"/>
  <c r="V363" i="17"/>
  <c r="F363" i="17" s="1"/>
  <c r="AA323" i="17"/>
  <c r="Z323" i="17" s="1"/>
  <c r="Y323" i="17" s="1"/>
  <c r="H323" i="17"/>
  <c r="G323" i="17"/>
  <c r="BZ323" i="6" s="1"/>
  <c r="V291" i="17"/>
  <c r="K64" i="19" s="1"/>
  <c r="V267" i="17"/>
  <c r="F267" i="17" s="1"/>
  <c r="G243" i="17"/>
  <c r="BZ243" i="6" s="1"/>
  <c r="AA243" i="17"/>
  <c r="Z243" i="17" s="1"/>
  <c r="Y243" i="17" s="1"/>
  <c r="H243" i="17"/>
  <c r="H227" i="17"/>
  <c r="G227" i="17"/>
  <c r="BZ227" i="6" s="1"/>
  <c r="AA227" i="17"/>
  <c r="Z227" i="17" s="1"/>
  <c r="Y227" i="17" s="1"/>
  <c r="AA171" i="17"/>
  <c r="Z171" i="17" s="1"/>
  <c r="Y171" i="17" s="1"/>
  <c r="G171" i="17"/>
  <c r="BZ171" i="6" s="1"/>
  <c r="H171" i="17"/>
  <c r="AA155" i="17"/>
  <c r="Z155" i="17" s="1"/>
  <c r="Y155" i="17" s="1"/>
  <c r="H155" i="17"/>
  <c r="G155" i="17"/>
  <c r="BZ155" i="6" s="1"/>
  <c r="H131" i="17"/>
  <c r="AA131" i="17"/>
  <c r="Z131" i="17" s="1"/>
  <c r="Y131" i="17" s="1"/>
  <c r="G131" i="17"/>
  <c r="BZ131" i="6" s="1"/>
  <c r="AA91" i="17"/>
  <c r="Z91" i="17" s="1"/>
  <c r="Y91" i="17" s="1"/>
  <c r="H91" i="17"/>
  <c r="G91" i="17"/>
  <c r="BZ91" i="6" s="1"/>
  <c r="G59" i="17"/>
  <c r="BZ59" i="6" s="1"/>
  <c r="AA59" i="17"/>
  <c r="Z59" i="17" s="1"/>
  <c r="Y59" i="17" s="1"/>
  <c r="H59" i="17"/>
  <c r="H43" i="17"/>
  <c r="AA43" i="17"/>
  <c r="Z43" i="17" s="1"/>
  <c r="Y43" i="17" s="1"/>
  <c r="G43" i="17"/>
  <c r="BZ43" i="6" s="1"/>
  <c r="G376" i="17"/>
  <c r="BZ376" i="6" s="1"/>
  <c r="AA376" i="17"/>
  <c r="Z376" i="17" s="1"/>
  <c r="Y376" i="17" s="1"/>
  <c r="H376" i="17"/>
  <c r="V336" i="17"/>
  <c r="F336" i="17" s="1"/>
  <c r="G321" i="17"/>
  <c r="BZ321" i="6" s="1"/>
  <c r="AA321" i="17"/>
  <c r="Z321" i="17" s="1"/>
  <c r="Y321" i="17" s="1"/>
  <c r="H321" i="17"/>
  <c r="AA289" i="17"/>
  <c r="Z289" i="17" s="1"/>
  <c r="Y289" i="17" s="1"/>
  <c r="G289" i="17"/>
  <c r="BZ289" i="6" s="1"/>
  <c r="H289" i="17"/>
  <c r="H201" i="17"/>
  <c r="AA201" i="17"/>
  <c r="Z201" i="17" s="1"/>
  <c r="Y201" i="17" s="1"/>
  <c r="G201" i="17"/>
  <c r="BZ201" i="6" s="1"/>
  <c r="G177" i="17"/>
  <c r="BZ177" i="6" s="1"/>
  <c r="AA177" i="17"/>
  <c r="Z177" i="17" s="1"/>
  <c r="Y177" i="17" s="1"/>
  <c r="H177" i="17"/>
  <c r="V153" i="17"/>
  <c r="F153" i="17" s="1"/>
  <c r="V137" i="17"/>
  <c r="F137" i="17" s="1"/>
  <c r="H97" i="17"/>
  <c r="AA97" i="17"/>
  <c r="Z97" i="17" s="1"/>
  <c r="Y97" i="17" s="1"/>
  <c r="G97" i="17"/>
  <c r="BZ97" i="6" s="1"/>
  <c r="G57" i="17"/>
  <c r="BZ57" i="6" s="1"/>
  <c r="AA57" i="17"/>
  <c r="Z57" i="17" s="1"/>
  <c r="Y57" i="17" s="1"/>
  <c r="H57" i="17"/>
  <c r="H16" i="17"/>
  <c r="G16" i="17"/>
  <c r="BZ16" i="6" s="1"/>
  <c r="AA16" i="17"/>
  <c r="Z16" i="17" s="1"/>
  <c r="Y16" i="17" s="1"/>
  <c r="V350" i="17"/>
  <c r="F350" i="17" s="1"/>
  <c r="H326" i="17"/>
  <c r="AA326" i="17"/>
  <c r="Z326" i="17" s="1"/>
  <c r="Y326" i="17" s="1"/>
  <c r="G326" i="17"/>
  <c r="BZ326" i="6" s="1"/>
  <c r="G262" i="17"/>
  <c r="BZ262" i="6" s="1"/>
  <c r="H262" i="17"/>
  <c r="AA262" i="17"/>
  <c r="Z262" i="17" s="1"/>
  <c r="Y262" i="17" s="1"/>
  <c r="H292" i="17"/>
  <c r="G292" i="17"/>
  <c r="BZ292" i="6" s="1"/>
  <c r="AA292" i="17"/>
  <c r="Z292" i="17" s="1"/>
  <c r="Y292" i="17" s="1"/>
  <c r="H260" i="17"/>
  <c r="G260" i="17"/>
  <c r="BZ260" i="6" s="1"/>
  <c r="AA260" i="17"/>
  <c r="Z260" i="17" s="1"/>
  <c r="Y260" i="17" s="1"/>
  <c r="G228" i="17"/>
  <c r="BZ228" i="6" s="1"/>
  <c r="AA228" i="17"/>
  <c r="Z228" i="17" s="1"/>
  <c r="Y228" i="17" s="1"/>
  <c r="H228" i="17"/>
  <c r="G204" i="17"/>
  <c r="BZ204" i="6" s="1"/>
  <c r="AA204" i="17"/>
  <c r="Z204" i="17" s="1"/>
  <c r="Y204" i="17" s="1"/>
  <c r="H204" i="17"/>
  <c r="G156" i="17"/>
  <c r="BZ156" i="6" s="1"/>
  <c r="H156" i="17"/>
  <c r="AA156" i="17"/>
  <c r="Z156" i="17" s="1"/>
  <c r="Y156" i="17" s="1"/>
  <c r="H92" i="17"/>
  <c r="G92" i="17"/>
  <c r="BZ92" i="6" s="1"/>
  <c r="AA92" i="17"/>
  <c r="Z92" i="17" s="1"/>
  <c r="Y92" i="17" s="1"/>
  <c r="G44" i="17"/>
  <c r="BZ44" i="6" s="1"/>
  <c r="H44" i="17"/>
  <c r="AA44" i="17"/>
  <c r="Z44" i="17" s="1"/>
  <c r="Y44" i="17" s="1"/>
  <c r="AA312" i="17"/>
  <c r="Z312" i="17" s="1"/>
  <c r="Y312" i="17" s="1"/>
  <c r="H312" i="17"/>
  <c r="G312" i="17"/>
  <c r="BZ312" i="6" s="1"/>
  <c r="H280" i="17"/>
  <c r="G280" i="17"/>
  <c r="BZ280" i="6" s="1"/>
  <c r="AA280" i="17"/>
  <c r="Z280" i="17" s="1"/>
  <c r="Y280" i="17" s="1"/>
  <c r="G206" i="17"/>
  <c r="BZ206" i="6" s="1"/>
  <c r="AA206" i="17"/>
  <c r="Z206" i="17" s="1"/>
  <c r="Y206" i="17" s="1"/>
  <c r="H206" i="17"/>
  <c r="G190" i="17"/>
  <c r="BZ190" i="6" s="1"/>
  <c r="H190" i="17"/>
  <c r="AA190" i="17"/>
  <c r="Z190" i="17" s="1"/>
  <c r="Y190" i="17" s="1"/>
  <c r="G174" i="17"/>
  <c r="BZ174" i="6" s="1"/>
  <c r="AA174" i="17"/>
  <c r="Z174" i="17" s="1"/>
  <c r="Y174" i="17" s="1"/>
  <c r="H174" i="17"/>
  <c r="H158" i="17"/>
  <c r="G158" i="17"/>
  <c r="BZ158" i="6" s="1"/>
  <c r="AA158" i="17"/>
  <c r="Z158" i="17" s="1"/>
  <c r="Y158" i="17" s="1"/>
  <c r="H118" i="17"/>
  <c r="AA118" i="17"/>
  <c r="Z118" i="17" s="1"/>
  <c r="Y118" i="17" s="1"/>
  <c r="G118" i="17"/>
  <c r="BZ118" i="6" s="1"/>
  <c r="G102" i="17"/>
  <c r="BZ102" i="6" s="1"/>
  <c r="H102" i="17"/>
  <c r="AA102" i="17"/>
  <c r="Z102" i="17" s="1"/>
  <c r="Y102" i="17" s="1"/>
  <c r="AA54" i="17"/>
  <c r="Z54" i="17" s="1"/>
  <c r="Y54" i="17" s="1"/>
  <c r="H54" i="17"/>
  <c r="G54" i="17"/>
  <c r="BZ54" i="6" s="1"/>
  <c r="G38" i="17"/>
  <c r="BZ38" i="6" s="1"/>
  <c r="AA38" i="17"/>
  <c r="Z38" i="17" s="1"/>
  <c r="Y38" i="17" s="1"/>
  <c r="H38" i="17"/>
  <c r="AA22" i="17"/>
  <c r="Z22" i="17" s="1"/>
  <c r="Y22" i="17" s="1"/>
  <c r="G22" i="17"/>
  <c r="BZ22" i="6" s="1"/>
  <c r="H22" i="17"/>
  <c r="D60" i="7"/>
  <c r="V149" i="17"/>
  <c r="F149" i="17" s="1"/>
  <c r="AA133" i="17"/>
  <c r="Z133" i="17" s="1"/>
  <c r="Y133" i="17" s="1"/>
  <c r="G133" i="17"/>
  <c r="BZ133" i="6" s="1"/>
  <c r="G125" i="17"/>
  <c r="BZ125" i="6" s="1"/>
  <c r="AA125" i="17"/>
  <c r="Z125" i="17" s="1"/>
  <c r="Y125" i="17" s="1"/>
  <c r="V109" i="17"/>
  <c r="H101" i="17"/>
  <c r="G101" i="17"/>
  <c r="BZ101" i="6" s="1"/>
  <c r="AA101" i="17"/>
  <c r="Z101" i="17" s="1"/>
  <c r="Y101" i="17" s="1"/>
  <c r="H77" i="17"/>
  <c r="G77" i="17"/>
  <c r="BZ77" i="6" s="1"/>
  <c r="AA77" i="17"/>
  <c r="Z77" i="17" s="1"/>
  <c r="Y77" i="17" s="1"/>
  <c r="V53" i="17"/>
  <c r="F53" i="17" s="1"/>
  <c r="AA37" i="17"/>
  <c r="Z37" i="17" s="1"/>
  <c r="Y37" i="17" s="1"/>
  <c r="H37" i="17"/>
  <c r="G37" i="17"/>
  <c r="BZ37" i="6" s="1"/>
  <c r="G354" i="17"/>
  <c r="BZ354" i="6" s="1"/>
  <c r="H354" i="17"/>
  <c r="AA354" i="17"/>
  <c r="Z354" i="17" s="1"/>
  <c r="Y354" i="17" s="1"/>
  <c r="G346" i="17"/>
  <c r="BZ346" i="6" s="1"/>
  <c r="H346" i="17"/>
  <c r="AA346" i="17"/>
  <c r="Z346" i="17" s="1"/>
  <c r="Y346" i="17" s="1"/>
  <c r="G322" i="17"/>
  <c r="BZ322" i="6" s="1"/>
  <c r="H322" i="17"/>
  <c r="AA322" i="17"/>
  <c r="Z322" i="17" s="1"/>
  <c r="Y322" i="17" s="1"/>
  <c r="AA282" i="17"/>
  <c r="Z282" i="17" s="1"/>
  <c r="Y282" i="17" s="1"/>
  <c r="G282" i="17"/>
  <c r="BZ282" i="6" s="1"/>
  <c r="H282" i="17"/>
  <c r="H266" i="17"/>
  <c r="AA266" i="17"/>
  <c r="Z266" i="17" s="1"/>
  <c r="Y266" i="17" s="1"/>
  <c r="G266" i="17"/>
  <c r="BZ266" i="6" s="1"/>
  <c r="J316" i="17"/>
  <c r="I316" i="17"/>
  <c r="H257" i="17"/>
  <c r="G257" i="17"/>
  <c r="BZ257" i="6" s="1"/>
  <c r="AA257" i="17"/>
  <c r="Z257" i="17" s="1"/>
  <c r="Y257" i="17" s="1"/>
  <c r="AA318" i="17"/>
  <c r="Z318" i="17" s="1"/>
  <c r="Y318" i="17" s="1"/>
  <c r="U31" i="18"/>
  <c r="T31" i="18" s="1"/>
  <c r="U39" i="18"/>
  <c r="T39" i="18" s="1"/>
  <c r="S39" i="18" s="1"/>
  <c r="R39" i="18" s="1"/>
  <c r="P39" i="18" s="1"/>
  <c r="V39" i="18" s="1"/>
  <c r="U47" i="18"/>
  <c r="T47" i="18" s="1"/>
  <c r="S47" i="18" s="1"/>
  <c r="R47" i="18" s="1"/>
  <c r="P47" i="18" s="1"/>
  <c r="V47" i="18" s="1"/>
  <c r="U55" i="18"/>
  <c r="T55" i="18" s="1"/>
  <c r="S55" i="18" s="1"/>
  <c r="R55" i="18" s="1"/>
  <c r="P55" i="18" s="1"/>
  <c r="V55" i="18" s="1"/>
  <c r="U63" i="18"/>
  <c r="T63" i="18" s="1"/>
  <c r="U71" i="18"/>
  <c r="T71" i="18" s="1"/>
  <c r="S71" i="18" s="1"/>
  <c r="R71" i="18" s="1"/>
  <c r="P71" i="18" s="1"/>
  <c r="V71" i="18" s="1"/>
  <c r="U79" i="18"/>
  <c r="T79" i="18" s="1"/>
  <c r="S79" i="18" s="1"/>
  <c r="R79" i="18" s="1"/>
  <c r="P79" i="18" s="1"/>
  <c r="V79" i="18" s="1"/>
  <c r="U87" i="18"/>
  <c r="T87" i="18" s="1"/>
  <c r="S87" i="18" s="1"/>
  <c r="R87" i="18" s="1"/>
  <c r="P87" i="18" s="1"/>
  <c r="V87" i="18" s="1"/>
  <c r="U95" i="18"/>
  <c r="T95" i="18" s="1"/>
  <c r="S95" i="18" s="1"/>
  <c r="R95" i="18" s="1"/>
  <c r="P95" i="18" s="1"/>
  <c r="V95" i="18" s="1"/>
  <c r="U103" i="18"/>
  <c r="T103" i="18" s="1"/>
  <c r="S103" i="18" s="1"/>
  <c r="R103" i="18" s="1"/>
  <c r="P103" i="18" s="1"/>
  <c r="V103" i="18" s="1"/>
  <c r="U111" i="18"/>
  <c r="T111" i="18" s="1"/>
  <c r="U119" i="18"/>
  <c r="T119" i="18" s="1"/>
  <c r="U127" i="18"/>
  <c r="T127" i="18" s="1"/>
  <c r="U135" i="18"/>
  <c r="T135" i="18" s="1"/>
  <c r="S135" i="18" s="1"/>
  <c r="R135" i="18" s="1"/>
  <c r="P135" i="18" s="1"/>
  <c r="V135" i="18" s="1"/>
  <c r="U143" i="18"/>
  <c r="T143" i="18" s="1"/>
  <c r="S143" i="18" s="1"/>
  <c r="R143" i="18" s="1"/>
  <c r="P143" i="18" s="1"/>
  <c r="V143" i="18" s="1"/>
  <c r="U151" i="18"/>
  <c r="T151" i="18" s="1"/>
  <c r="S151" i="18" s="1"/>
  <c r="R151" i="18" s="1"/>
  <c r="P151" i="18" s="1"/>
  <c r="V151" i="18" s="1"/>
  <c r="U159" i="18"/>
  <c r="T159" i="18" s="1"/>
  <c r="U167" i="18"/>
  <c r="T167" i="18" s="1"/>
  <c r="S167" i="18" s="1"/>
  <c r="R167" i="18" s="1"/>
  <c r="P167" i="18" s="1"/>
  <c r="V167" i="18" s="1"/>
  <c r="U175" i="18"/>
  <c r="T175" i="18" s="1"/>
  <c r="U183" i="18"/>
  <c r="T183" i="18" s="1"/>
  <c r="S183" i="18" s="1"/>
  <c r="R183" i="18" s="1"/>
  <c r="P183" i="18" s="1"/>
  <c r="V183" i="18" s="1"/>
  <c r="U187" i="18"/>
  <c r="T187" i="18" s="1"/>
  <c r="S187" i="18" s="1"/>
  <c r="R187" i="18" s="1"/>
  <c r="P187" i="18" s="1"/>
  <c r="V187" i="18" s="1"/>
  <c r="U191" i="18"/>
  <c r="T191" i="18" s="1"/>
  <c r="S191" i="18" s="1"/>
  <c r="R191" i="18" s="1"/>
  <c r="P191" i="18" s="1"/>
  <c r="V191" i="18" s="1"/>
  <c r="U195" i="18"/>
  <c r="T195" i="18" s="1"/>
  <c r="S195" i="18" s="1"/>
  <c r="R195" i="18" s="1"/>
  <c r="P195" i="18" s="1"/>
  <c r="V195" i="18" s="1"/>
  <c r="U199" i="18"/>
  <c r="T199" i="18" s="1"/>
  <c r="U203" i="18"/>
  <c r="T203" i="18" s="1"/>
  <c r="U207" i="18"/>
  <c r="T207" i="18" s="1"/>
  <c r="U211" i="18"/>
  <c r="T211" i="18" s="1"/>
  <c r="U215" i="18"/>
  <c r="T215" i="18" s="1"/>
  <c r="U219" i="18"/>
  <c r="T219" i="18" s="1"/>
  <c r="U223" i="18"/>
  <c r="T223" i="18" s="1"/>
  <c r="S223" i="18" s="1"/>
  <c r="R223" i="18" s="1"/>
  <c r="P223" i="18" s="1"/>
  <c r="V223" i="18" s="1"/>
  <c r="U227" i="18"/>
  <c r="T227" i="18" s="1"/>
  <c r="S227" i="18" s="1"/>
  <c r="R227" i="18" s="1"/>
  <c r="P227" i="18" s="1"/>
  <c r="V227" i="18" s="1"/>
  <c r="U231" i="18"/>
  <c r="T231" i="18" s="1"/>
  <c r="S231" i="18" s="1"/>
  <c r="R231" i="18" s="1"/>
  <c r="P231" i="18" s="1"/>
  <c r="V231" i="18" s="1"/>
  <c r="U235" i="18"/>
  <c r="T235" i="18" s="1"/>
  <c r="S235" i="18" s="1"/>
  <c r="R235" i="18" s="1"/>
  <c r="P235" i="18" s="1"/>
  <c r="V235" i="18" s="1"/>
  <c r="U239" i="18"/>
  <c r="T239" i="18" s="1"/>
  <c r="S239" i="18" s="1"/>
  <c r="R239" i="18" s="1"/>
  <c r="P239" i="18" s="1"/>
  <c r="V239" i="18" s="1"/>
  <c r="U243" i="18"/>
  <c r="T243" i="18" s="1"/>
  <c r="U247" i="18"/>
  <c r="T247" i="18" s="1"/>
  <c r="S247" i="18" s="1"/>
  <c r="R247" i="18" s="1"/>
  <c r="P247" i="18" s="1"/>
  <c r="V247" i="18" s="1"/>
  <c r="U251" i="18"/>
  <c r="T251" i="18" s="1"/>
  <c r="U255" i="18"/>
  <c r="T255" i="18" s="1"/>
  <c r="S255" i="18" s="1"/>
  <c r="R255" i="18" s="1"/>
  <c r="P255" i="18" s="1"/>
  <c r="V255" i="18" s="1"/>
  <c r="U259" i="18"/>
  <c r="T259" i="18" s="1"/>
  <c r="S259" i="18" s="1"/>
  <c r="R259" i="18" s="1"/>
  <c r="P259" i="18" s="1"/>
  <c r="V259" i="18" s="1"/>
  <c r="U263" i="18"/>
  <c r="T263" i="18" s="1"/>
  <c r="S263" i="18" s="1"/>
  <c r="R263" i="18" s="1"/>
  <c r="P263" i="18" s="1"/>
  <c r="V263" i="18" s="1"/>
  <c r="U267" i="18"/>
  <c r="T267" i="18" s="1"/>
  <c r="S267" i="18" s="1"/>
  <c r="R267" i="18" s="1"/>
  <c r="P267" i="18" s="1"/>
  <c r="V267" i="18" s="1"/>
  <c r="U271" i="18"/>
  <c r="T271" i="18" s="1"/>
  <c r="S271" i="18" s="1"/>
  <c r="R271" i="18" s="1"/>
  <c r="P271" i="18" s="1"/>
  <c r="V271" i="18" s="1"/>
  <c r="U273" i="18"/>
  <c r="T273" i="18" s="1"/>
  <c r="S273" i="18" s="1"/>
  <c r="R273" i="18" s="1"/>
  <c r="P273" i="18" s="1"/>
  <c r="V273" i="18" s="1"/>
  <c r="U275" i="18"/>
  <c r="T275" i="18" s="1"/>
  <c r="S275" i="18" s="1"/>
  <c r="R275" i="18" s="1"/>
  <c r="P275" i="18" s="1"/>
  <c r="V275" i="18" s="1"/>
  <c r="U277" i="18"/>
  <c r="T277" i="18" s="1"/>
  <c r="S277" i="18" s="1"/>
  <c r="R277" i="18" s="1"/>
  <c r="P277" i="18" s="1"/>
  <c r="V277" i="18" s="1"/>
  <c r="U279" i="18"/>
  <c r="T279" i="18" s="1"/>
  <c r="S279" i="18" s="1"/>
  <c r="R279" i="18" s="1"/>
  <c r="P279" i="18" s="1"/>
  <c r="V279" i="18" s="1"/>
  <c r="U281" i="18"/>
  <c r="T281" i="18" s="1"/>
  <c r="S281" i="18" s="1"/>
  <c r="R281" i="18" s="1"/>
  <c r="P281" i="18" s="1"/>
  <c r="V281" i="18" s="1"/>
  <c r="U283" i="18"/>
  <c r="T283" i="18" s="1"/>
  <c r="U285" i="18"/>
  <c r="T285" i="18" s="1"/>
  <c r="U287" i="18"/>
  <c r="T287" i="18" s="1"/>
  <c r="S287" i="18" s="1"/>
  <c r="R287" i="18" s="1"/>
  <c r="P287" i="18" s="1"/>
  <c r="V287" i="18" s="1"/>
  <c r="U289" i="18"/>
  <c r="T289" i="18" s="1"/>
  <c r="S289" i="18" s="1"/>
  <c r="R289" i="18" s="1"/>
  <c r="P289" i="18" s="1"/>
  <c r="V289" i="18" s="1"/>
  <c r="U291" i="18"/>
  <c r="T291" i="18" s="1"/>
  <c r="S291" i="18" s="1"/>
  <c r="R291" i="18" s="1"/>
  <c r="P291" i="18" s="1"/>
  <c r="V291" i="18" s="1"/>
  <c r="U293" i="18"/>
  <c r="T293" i="18" s="1"/>
  <c r="S293" i="18" s="1"/>
  <c r="R293" i="18" s="1"/>
  <c r="P293" i="18" s="1"/>
  <c r="V293" i="18" s="1"/>
  <c r="U295" i="18"/>
  <c r="T295" i="18" s="1"/>
  <c r="S295" i="18" s="1"/>
  <c r="R295" i="18" s="1"/>
  <c r="P295" i="18" s="1"/>
  <c r="V295" i="18" s="1"/>
  <c r="U297" i="18"/>
  <c r="T297" i="18" s="1"/>
  <c r="S297" i="18" s="1"/>
  <c r="R297" i="18" s="1"/>
  <c r="P297" i="18" s="1"/>
  <c r="V297" i="18" s="1"/>
  <c r="U299" i="18"/>
  <c r="T299" i="18" s="1"/>
  <c r="S299" i="18" s="1"/>
  <c r="R299" i="18" s="1"/>
  <c r="P299" i="18" s="1"/>
  <c r="V299" i="18" s="1"/>
  <c r="U301" i="18"/>
  <c r="T301" i="18" s="1"/>
  <c r="U303" i="18"/>
  <c r="T303" i="18" s="1"/>
  <c r="S303" i="18" s="1"/>
  <c r="R303" i="18" s="1"/>
  <c r="P303" i="18" s="1"/>
  <c r="V303" i="18" s="1"/>
  <c r="U305" i="18"/>
  <c r="T305" i="18" s="1"/>
  <c r="S305" i="18" s="1"/>
  <c r="R305" i="18" s="1"/>
  <c r="P305" i="18" s="1"/>
  <c r="V305" i="18" s="1"/>
  <c r="U307" i="18"/>
  <c r="T307" i="18" s="1"/>
  <c r="U309" i="18"/>
  <c r="T309" i="18" s="1"/>
  <c r="S309" i="18" s="1"/>
  <c r="R309" i="18" s="1"/>
  <c r="P309" i="18" s="1"/>
  <c r="V309" i="18" s="1"/>
  <c r="U311" i="18"/>
  <c r="T311" i="18" s="1"/>
  <c r="S311" i="18" s="1"/>
  <c r="R311" i="18" s="1"/>
  <c r="P311" i="18" s="1"/>
  <c r="V311" i="18" s="1"/>
  <c r="U313" i="18"/>
  <c r="T313" i="18" s="1"/>
  <c r="S313" i="18" s="1"/>
  <c r="R313" i="18" s="1"/>
  <c r="P313" i="18" s="1"/>
  <c r="V313" i="18" s="1"/>
  <c r="U315" i="18"/>
  <c r="T315" i="18" s="1"/>
  <c r="S315" i="18" s="1"/>
  <c r="R315" i="18" s="1"/>
  <c r="P315" i="18" s="1"/>
  <c r="V315" i="18" s="1"/>
  <c r="U317" i="18"/>
  <c r="T317" i="18" s="1"/>
  <c r="S317" i="18" s="1"/>
  <c r="R317" i="18" s="1"/>
  <c r="P317" i="18" s="1"/>
  <c r="V317" i="18" s="1"/>
  <c r="U319" i="18"/>
  <c r="T319" i="18" s="1"/>
  <c r="S319" i="18" s="1"/>
  <c r="R319" i="18" s="1"/>
  <c r="P319" i="18" s="1"/>
  <c r="V319" i="18" s="1"/>
  <c r="U321" i="18"/>
  <c r="T321" i="18" s="1"/>
  <c r="S321" i="18" s="1"/>
  <c r="R321" i="18" s="1"/>
  <c r="P321" i="18" s="1"/>
  <c r="V321" i="18" s="1"/>
  <c r="U323" i="18"/>
  <c r="T323" i="18" s="1"/>
  <c r="S323" i="18" s="1"/>
  <c r="R323" i="18" s="1"/>
  <c r="P323" i="18" s="1"/>
  <c r="V323" i="18" s="1"/>
  <c r="U325" i="18"/>
  <c r="T325" i="18" s="1"/>
  <c r="U327" i="18"/>
  <c r="T327" i="18" s="1"/>
  <c r="S327" i="18" s="1"/>
  <c r="R327" i="18" s="1"/>
  <c r="P327" i="18" s="1"/>
  <c r="V327" i="18" s="1"/>
  <c r="U329" i="18"/>
  <c r="T329" i="18" s="1"/>
  <c r="S329" i="18" s="1"/>
  <c r="R329" i="18" s="1"/>
  <c r="P329" i="18" s="1"/>
  <c r="V329" i="18" s="1"/>
  <c r="U331" i="18"/>
  <c r="T331" i="18" s="1"/>
  <c r="S331" i="18" s="1"/>
  <c r="R331" i="18" s="1"/>
  <c r="P331" i="18" s="1"/>
  <c r="V331" i="18" s="1"/>
  <c r="U333" i="18"/>
  <c r="T333" i="18" s="1"/>
  <c r="S333" i="18" s="1"/>
  <c r="R333" i="18" s="1"/>
  <c r="P333" i="18" s="1"/>
  <c r="D78" i="7" s="1"/>
  <c r="U335" i="18"/>
  <c r="T335" i="18" s="1"/>
  <c r="S335" i="18" s="1"/>
  <c r="R335" i="18" s="1"/>
  <c r="P335" i="18" s="1"/>
  <c r="V335" i="18" s="1"/>
  <c r="U337" i="18"/>
  <c r="T337" i="18" s="1"/>
  <c r="S337" i="18" s="1"/>
  <c r="R337" i="18" s="1"/>
  <c r="P337" i="18" s="1"/>
  <c r="V337" i="18" s="1"/>
  <c r="U339" i="18"/>
  <c r="T339" i="18" s="1"/>
  <c r="U341" i="18"/>
  <c r="T341" i="18" s="1"/>
  <c r="S341" i="18" s="1"/>
  <c r="R341" i="18" s="1"/>
  <c r="P341" i="18" s="1"/>
  <c r="V341" i="18" s="1"/>
  <c r="U343" i="18"/>
  <c r="T343" i="18" s="1"/>
  <c r="U345" i="18"/>
  <c r="T345" i="18" s="1"/>
  <c r="S345" i="18" s="1"/>
  <c r="R345" i="18" s="1"/>
  <c r="P345" i="18" s="1"/>
  <c r="V345" i="18" s="1"/>
  <c r="U347" i="18"/>
  <c r="T347" i="18" s="1"/>
  <c r="S347" i="18" s="1"/>
  <c r="R347" i="18" s="1"/>
  <c r="P347" i="18" s="1"/>
  <c r="V347" i="18" s="1"/>
  <c r="U349" i="18"/>
  <c r="T349" i="18" s="1"/>
  <c r="U351" i="18"/>
  <c r="T351" i="18" s="1"/>
  <c r="S351" i="18" s="1"/>
  <c r="R351" i="18" s="1"/>
  <c r="P351" i="18" s="1"/>
  <c r="V351" i="18" s="1"/>
  <c r="U353" i="18"/>
  <c r="T353" i="18" s="1"/>
  <c r="S353" i="18" s="1"/>
  <c r="R353" i="18" s="1"/>
  <c r="P353" i="18" s="1"/>
  <c r="V353" i="18" s="1"/>
  <c r="U355" i="18"/>
  <c r="T355" i="18" s="1"/>
  <c r="S355" i="18" s="1"/>
  <c r="R355" i="18" s="1"/>
  <c r="P355" i="18" s="1"/>
  <c r="V355" i="18" s="1"/>
  <c r="U357" i="18"/>
  <c r="T357" i="18" s="1"/>
  <c r="S357" i="18" s="1"/>
  <c r="R357" i="18" s="1"/>
  <c r="P357" i="18" s="1"/>
  <c r="V357" i="18" s="1"/>
  <c r="U359" i="18"/>
  <c r="T359" i="18" s="1"/>
  <c r="S359" i="18" s="1"/>
  <c r="R359" i="18" s="1"/>
  <c r="P359" i="18" s="1"/>
  <c r="V359" i="18" s="1"/>
  <c r="U361" i="18"/>
  <c r="T361" i="18" s="1"/>
  <c r="S361" i="18" s="1"/>
  <c r="R361" i="18" s="1"/>
  <c r="P361" i="18" s="1"/>
  <c r="V361" i="18" s="1"/>
  <c r="U363" i="18"/>
  <c r="T363" i="18" s="1"/>
  <c r="S363" i="18" s="1"/>
  <c r="R363" i="18" s="1"/>
  <c r="P363" i="18" s="1"/>
  <c r="D79" i="7" s="1"/>
  <c r="U365" i="18"/>
  <c r="T365" i="18" s="1"/>
  <c r="S365" i="18" s="1"/>
  <c r="R365" i="18" s="1"/>
  <c r="P365" i="18" s="1"/>
  <c r="V365" i="18" s="1"/>
  <c r="U367" i="18"/>
  <c r="T367" i="18" s="1"/>
  <c r="S367" i="18" s="1"/>
  <c r="R367" i="18" s="1"/>
  <c r="P367" i="18" s="1"/>
  <c r="V367" i="18" s="1"/>
  <c r="U369" i="18"/>
  <c r="T369" i="18" s="1"/>
  <c r="S369" i="18" s="1"/>
  <c r="R369" i="18" s="1"/>
  <c r="P369" i="18" s="1"/>
  <c r="V369" i="18" s="1"/>
  <c r="U371" i="18"/>
  <c r="T371" i="18" s="1"/>
  <c r="U373" i="18"/>
  <c r="T373" i="18" s="1"/>
  <c r="U375" i="18"/>
  <c r="T375" i="18" s="1"/>
  <c r="S375" i="18" s="1"/>
  <c r="R375" i="18" s="1"/>
  <c r="P375" i="18" s="1"/>
  <c r="V375" i="18" s="1"/>
  <c r="U377" i="18"/>
  <c r="T377" i="18" s="1"/>
  <c r="S377" i="18" s="1"/>
  <c r="R377" i="18" s="1"/>
  <c r="P377" i="18" s="1"/>
  <c r="V377" i="18" s="1"/>
  <c r="U379" i="18"/>
  <c r="U35" i="18"/>
  <c r="T35" i="18" s="1"/>
  <c r="U43" i="18"/>
  <c r="T43" i="18" s="1"/>
  <c r="U51" i="18"/>
  <c r="T51" i="18" s="1"/>
  <c r="S51" i="18" s="1"/>
  <c r="R51" i="18" s="1"/>
  <c r="P51" i="18" s="1"/>
  <c r="V51" i="18" s="1"/>
  <c r="U59" i="18"/>
  <c r="T59" i="18" s="1"/>
  <c r="U67" i="18"/>
  <c r="T67" i="18" s="1"/>
  <c r="S67" i="18" s="1"/>
  <c r="R67" i="18" s="1"/>
  <c r="P67" i="18" s="1"/>
  <c r="V67" i="18" s="1"/>
  <c r="U75" i="18"/>
  <c r="T75" i="18" s="1"/>
  <c r="S75" i="18" s="1"/>
  <c r="R75" i="18" s="1"/>
  <c r="P75" i="18" s="1"/>
  <c r="V75" i="18" s="1"/>
  <c r="U83" i="18"/>
  <c r="T83" i="18" s="1"/>
  <c r="U91" i="18"/>
  <c r="T91" i="18" s="1"/>
  <c r="U99" i="18"/>
  <c r="T99" i="18" s="1"/>
  <c r="U107" i="18"/>
  <c r="T107" i="18" s="1"/>
  <c r="U115" i="18"/>
  <c r="T115" i="18" s="1"/>
  <c r="S115" i="18" s="1"/>
  <c r="R115" i="18" s="1"/>
  <c r="P115" i="18" s="1"/>
  <c r="V115" i="18" s="1"/>
  <c r="U123" i="18"/>
  <c r="T123" i="18" s="1"/>
  <c r="U131" i="18"/>
  <c r="T131" i="18" s="1"/>
  <c r="U139" i="18"/>
  <c r="T139" i="18" s="1"/>
  <c r="U147" i="18"/>
  <c r="T147" i="18" s="1"/>
  <c r="S147" i="18" s="1"/>
  <c r="R147" i="18" s="1"/>
  <c r="P147" i="18" s="1"/>
  <c r="V147" i="18" s="1"/>
  <c r="U155" i="18"/>
  <c r="T155" i="18" s="1"/>
  <c r="S155" i="18" s="1"/>
  <c r="R155" i="18" s="1"/>
  <c r="P155" i="18" s="1"/>
  <c r="V155" i="18" s="1"/>
  <c r="U163" i="18"/>
  <c r="T163" i="18" s="1"/>
  <c r="S163" i="18" s="1"/>
  <c r="R163" i="18" s="1"/>
  <c r="P163" i="18" s="1"/>
  <c r="V163" i="18" s="1"/>
  <c r="U171" i="18"/>
  <c r="T171" i="18" s="1"/>
  <c r="S171" i="18" s="1"/>
  <c r="R171" i="18" s="1"/>
  <c r="P171" i="18" s="1"/>
  <c r="V171" i="18" s="1"/>
  <c r="U179" i="18"/>
  <c r="T179" i="18" s="1"/>
  <c r="S179" i="18" s="1"/>
  <c r="R179" i="18" s="1"/>
  <c r="P179" i="18" s="1"/>
  <c r="V179" i="18" s="1"/>
  <c r="U185" i="18"/>
  <c r="T185" i="18" s="1"/>
  <c r="S185" i="18" s="1"/>
  <c r="R185" i="18" s="1"/>
  <c r="P185" i="18" s="1"/>
  <c r="V185" i="18" s="1"/>
  <c r="U189" i="18"/>
  <c r="T189" i="18" s="1"/>
  <c r="U193" i="18"/>
  <c r="T193" i="18" s="1"/>
  <c r="U197" i="18"/>
  <c r="T197" i="18" s="1"/>
  <c r="U201" i="18"/>
  <c r="T201" i="18" s="1"/>
  <c r="U205" i="18"/>
  <c r="T205" i="18" s="1"/>
  <c r="S205" i="18" s="1"/>
  <c r="R205" i="18" s="1"/>
  <c r="P205" i="18" s="1"/>
  <c r="V205" i="18" s="1"/>
  <c r="U209" i="18"/>
  <c r="T209" i="18" s="1"/>
  <c r="U213" i="18"/>
  <c r="T213" i="18" s="1"/>
  <c r="U217" i="18"/>
  <c r="T217" i="18" s="1"/>
  <c r="U221" i="18"/>
  <c r="T221" i="18" s="1"/>
  <c r="S221" i="18" s="1"/>
  <c r="R221" i="18" s="1"/>
  <c r="P221" i="18" s="1"/>
  <c r="V221" i="18" s="1"/>
  <c r="U225" i="18"/>
  <c r="T225" i="18" s="1"/>
  <c r="S225" i="18" s="1"/>
  <c r="R225" i="18" s="1"/>
  <c r="P225" i="18" s="1"/>
  <c r="V225" i="18" s="1"/>
  <c r="U229" i="18"/>
  <c r="T229" i="18" s="1"/>
  <c r="S229" i="18" s="1"/>
  <c r="R229" i="18" s="1"/>
  <c r="P229" i="18" s="1"/>
  <c r="V229" i="18" s="1"/>
  <c r="U233" i="18"/>
  <c r="T233" i="18" s="1"/>
  <c r="S233" i="18" s="1"/>
  <c r="R233" i="18" s="1"/>
  <c r="P233" i="18" s="1"/>
  <c r="V233" i="18" s="1"/>
  <c r="U237" i="18"/>
  <c r="T237" i="18" s="1"/>
  <c r="S237" i="18" s="1"/>
  <c r="R237" i="18" s="1"/>
  <c r="P237" i="18" s="1"/>
  <c r="V237" i="18" s="1"/>
  <c r="U241" i="18"/>
  <c r="T241" i="18" s="1"/>
  <c r="S241" i="18" s="1"/>
  <c r="R241" i="18" s="1"/>
  <c r="P241" i="18" s="1"/>
  <c r="V241" i="18" s="1"/>
  <c r="U245" i="18"/>
  <c r="T245" i="18" s="1"/>
  <c r="S245" i="18" s="1"/>
  <c r="R245" i="18" s="1"/>
  <c r="P245" i="18" s="1"/>
  <c r="V245" i="18" s="1"/>
  <c r="U249" i="18"/>
  <c r="T249" i="18" s="1"/>
  <c r="S249" i="18" s="1"/>
  <c r="R249" i="18" s="1"/>
  <c r="P249" i="18" s="1"/>
  <c r="V249" i="18" s="1"/>
  <c r="U253" i="18"/>
  <c r="T253" i="18" s="1"/>
  <c r="S253" i="18" s="1"/>
  <c r="R253" i="18" s="1"/>
  <c r="P253" i="18" s="1"/>
  <c r="V253" i="18" s="1"/>
  <c r="U257" i="18"/>
  <c r="T257" i="18" s="1"/>
  <c r="S257" i="18" s="1"/>
  <c r="R257" i="18" s="1"/>
  <c r="P257" i="18" s="1"/>
  <c r="V257" i="18" s="1"/>
  <c r="U261" i="18"/>
  <c r="T261" i="18" s="1"/>
  <c r="S261" i="18" s="1"/>
  <c r="R261" i="18" s="1"/>
  <c r="P261" i="18" s="1"/>
  <c r="V261" i="18" s="1"/>
  <c r="U265" i="18"/>
  <c r="T265" i="18" s="1"/>
  <c r="S265" i="18" s="1"/>
  <c r="R265" i="18" s="1"/>
  <c r="P265" i="18" s="1"/>
  <c r="V265" i="18" s="1"/>
  <c r="U269" i="18"/>
  <c r="T269" i="18" s="1"/>
  <c r="S269" i="18" s="1"/>
  <c r="R269" i="18" s="1"/>
  <c r="P269" i="18" s="1"/>
  <c r="V269" i="18" s="1"/>
  <c r="U272" i="18"/>
  <c r="T272" i="18" s="1"/>
  <c r="S272" i="18" s="1"/>
  <c r="R272" i="18" s="1"/>
  <c r="P272" i="18" s="1"/>
  <c r="D76" i="7" s="1"/>
  <c r="U274" i="18"/>
  <c r="T274" i="18" s="1"/>
  <c r="S274" i="18" s="1"/>
  <c r="R274" i="18" s="1"/>
  <c r="P274" i="18" s="1"/>
  <c r="V274" i="18" s="1"/>
  <c r="U276" i="18"/>
  <c r="T276" i="18" s="1"/>
  <c r="S276" i="18" s="1"/>
  <c r="R276" i="18" s="1"/>
  <c r="P276" i="18" s="1"/>
  <c r="V276" i="18" s="1"/>
  <c r="U278" i="18"/>
  <c r="T278" i="18" s="1"/>
  <c r="S278" i="18" s="1"/>
  <c r="R278" i="18" s="1"/>
  <c r="P278" i="18" s="1"/>
  <c r="V278" i="18" s="1"/>
  <c r="U280" i="18"/>
  <c r="T280" i="18" s="1"/>
  <c r="S280" i="18" s="1"/>
  <c r="R280" i="18" s="1"/>
  <c r="P280" i="18" s="1"/>
  <c r="V280" i="18" s="1"/>
  <c r="U282" i="18"/>
  <c r="T282" i="18" s="1"/>
  <c r="S282" i="18" s="1"/>
  <c r="R282" i="18" s="1"/>
  <c r="P282" i="18" s="1"/>
  <c r="V282" i="18" s="1"/>
  <c r="U284" i="18"/>
  <c r="T284" i="18" s="1"/>
  <c r="U286" i="18"/>
  <c r="T286" i="18" s="1"/>
  <c r="S286" i="18" s="1"/>
  <c r="R286" i="18" s="1"/>
  <c r="P286" i="18" s="1"/>
  <c r="V286" i="18" s="1"/>
  <c r="U288" i="18"/>
  <c r="T288" i="18" s="1"/>
  <c r="S288" i="18" s="1"/>
  <c r="R288" i="18" s="1"/>
  <c r="P288" i="18" s="1"/>
  <c r="V288" i="18" s="1"/>
  <c r="U290" i="18"/>
  <c r="T290" i="18" s="1"/>
  <c r="S290" i="18" s="1"/>
  <c r="R290" i="18" s="1"/>
  <c r="P290" i="18" s="1"/>
  <c r="V290" i="18" s="1"/>
  <c r="U292" i="18"/>
  <c r="T292" i="18" s="1"/>
  <c r="S292" i="18" s="1"/>
  <c r="R292" i="18" s="1"/>
  <c r="P292" i="18" s="1"/>
  <c r="V292" i="18" s="1"/>
  <c r="U294" i="18"/>
  <c r="T294" i="18" s="1"/>
  <c r="S294" i="18" s="1"/>
  <c r="R294" i="18" s="1"/>
  <c r="P294" i="18" s="1"/>
  <c r="V294" i="18" s="1"/>
  <c r="U296" i="18"/>
  <c r="T296" i="18" s="1"/>
  <c r="S296" i="18" s="1"/>
  <c r="R296" i="18" s="1"/>
  <c r="P296" i="18" s="1"/>
  <c r="V296" i="18" s="1"/>
  <c r="U298" i="18"/>
  <c r="T298" i="18" s="1"/>
  <c r="S298" i="18" s="1"/>
  <c r="R298" i="18" s="1"/>
  <c r="P298" i="18" s="1"/>
  <c r="V298" i="18" s="1"/>
  <c r="U300" i="18"/>
  <c r="T300" i="18" s="1"/>
  <c r="U302" i="18"/>
  <c r="T302" i="18" s="1"/>
  <c r="S302" i="18" s="1"/>
  <c r="R302" i="18" s="1"/>
  <c r="P302" i="18" s="1"/>
  <c r="U304" i="18"/>
  <c r="T304" i="18" s="1"/>
  <c r="S304" i="18" s="1"/>
  <c r="R304" i="18" s="1"/>
  <c r="P304" i="18" s="1"/>
  <c r="V304" i="18" s="1"/>
  <c r="U306" i="18"/>
  <c r="T306" i="18" s="1"/>
  <c r="S306" i="18" s="1"/>
  <c r="R306" i="18" s="1"/>
  <c r="P306" i="18" s="1"/>
  <c r="V306" i="18" s="1"/>
  <c r="U308" i="18"/>
  <c r="T308" i="18" s="1"/>
  <c r="S308" i="18" s="1"/>
  <c r="R308" i="18" s="1"/>
  <c r="P308" i="18" s="1"/>
  <c r="V308" i="18" s="1"/>
  <c r="U310" i="18"/>
  <c r="T310" i="18" s="1"/>
  <c r="S310" i="18" s="1"/>
  <c r="R310" i="18" s="1"/>
  <c r="P310" i="18" s="1"/>
  <c r="V310" i="18" s="1"/>
  <c r="U312" i="18"/>
  <c r="T312" i="18" s="1"/>
  <c r="S312" i="18" s="1"/>
  <c r="R312" i="18" s="1"/>
  <c r="P312" i="18" s="1"/>
  <c r="V312" i="18" s="1"/>
  <c r="U314" i="18"/>
  <c r="T314" i="18" s="1"/>
  <c r="S314" i="18" s="1"/>
  <c r="R314" i="18" s="1"/>
  <c r="P314" i="18" s="1"/>
  <c r="V314" i="18" s="1"/>
  <c r="U316" i="18"/>
  <c r="T316" i="18" s="1"/>
  <c r="U318" i="18"/>
  <c r="T318" i="18" s="1"/>
  <c r="S318" i="18" s="1"/>
  <c r="R318" i="18" s="1"/>
  <c r="P318" i="18" s="1"/>
  <c r="V318" i="18" s="1"/>
  <c r="U320" i="18"/>
  <c r="T320" i="18" s="1"/>
  <c r="U322" i="18"/>
  <c r="T322" i="18" s="1"/>
  <c r="S322" i="18" s="1"/>
  <c r="R322" i="18" s="1"/>
  <c r="P322" i="18" s="1"/>
  <c r="V322" i="18" s="1"/>
  <c r="U324" i="18"/>
  <c r="T324" i="18" s="1"/>
  <c r="S324" i="18" s="1"/>
  <c r="R324" i="18" s="1"/>
  <c r="P324" i="18" s="1"/>
  <c r="V324" i="18" s="1"/>
  <c r="U326" i="18"/>
  <c r="T326" i="18" s="1"/>
  <c r="S326" i="18" s="1"/>
  <c r="R326" i="18" s="1"/>
  <c r="P326" i="18" s="1"/>
  <c r="V326" i="18" s="1"/>
  <c r="U328" i="18"/>
  <c r="T328" i="18" s="1"/>
  <c r="U330" i="18"/>
  <c r="T330" i="18" s="1"/>
  <c r="S330" i="18" s="1"/>
  <c r="R330" i="18" s="1"/>
  <c r="P330" i="18" s="1"/>
  <c r="V330" i="18" s="1"/>
  <c r="U332" i="18"/>
  <c r="T332" i="18" s="1"/>
  <c r="S332" i="18" s="1"/>
  <c r="R332" i="18" s="1"/>
  <c r="P332" i="18" s="1"/>
  <c r="V332" i="18" s="1"/>
  <c r="U334" i="18"/>
  <c r="T334" i="18" s="1"/>
  <c r="S334" i="18" s="1"/>
  <c r="R334" i="18" s="1"/>
  <c r="P334" i="18" s="1"/>
  <c r="V334" i="18" s="1"/>
  <c r="U336" i="18"/>
  <c r="T336" i="18" s="1"/>
  <c r="S336" i="18" s="1"/>
  <c r="R336" i="18" s="1"/>
  <c r="P336" i="18" s="1"/>
  <c r="V336" i="18" s="1"/>
  <c r="U338" i="18"/>
  <c r="T338" i="18" s="1"/>
  <c r="S338" i="18" s="1"/>
  <c r="R338" i="18" s="1"/>
  <c r="P338" i="18" s="1"/>
  <c r="V338" i="18" s="1"/>
  <c r="U340" i="18"/>
  <c r="T340" i="18" s="1"/>
  <c r="S340" i="18" s="1"/>
  <c r="R340" i="18" s="1"/>
  <c r="P340" i="18" s="1"/>
  <c r="V340" i="18" s="1"/>
  <c r="U342" i="18"/>
  <c r="T342" i="18" s="1"/>
  <c r="S342" i="18" s="1"/>
  <c r="R342" i="18" s="1"/>
  <c r="P342" i="18" s="1"/>
  <c r="V342" i="18" s="1"/>
  <c r="U344" i="18"/>
  <c r="T344" i="18" s="1"/>
  <c r="U346" i="18"/>
  <c r="T346" i="18" s="1"/>
  <c r="S346" i="18" s="1"/>
  <c r="R346" i="18" s="1"/>
  <c r="P346" i="18" s="1"/>
  <c r="V346" i="18" s="1"/>
  <c r="U348" i="18"/>
  <c r="T348" i="18" s="1"/>
  <c r="S348" i="18" s="1"/>
  <c r="R348" i="18" s="1"/>
  <c r="P348" i="18" s="1"/>
  <c r="V348" i="18" s="1"/>
  <c r="U350" i="18"/>
  <c r="T350" i="18" s="1"/>
  <c r="S350" i="18" s="1"/>
  <c r="R350" i="18" s="1"/>
  <c r="P350" i="18" s="1"/>
  <c r="V350" i="18" s="1"/>
  <c r="U352" i="18"/>
  <c r="T352" i="18" s="1"/>
  <c r="S352" i="18" s="1"/>
  <c r="R352" i="18" s="1"/>
  <c r="P352" i="18" s="1"/>
  <c r="V352" i="18" s="1"/>
  <c r="U354" i="18"/>
  <c r="T354" i="18" s="1"/>
  <c r="S354" i="18" s="1"/>
  <c r="R354" i="18" s="1"/>
  <c r="P354" i="18" s="1"/>
  <c r="V354" i="18" s="1"/>
  <c r="U356" i="18"/>
  <c r="T356" i="18" s="1"/>
  <c r="U358" i="18"/>
  <c r="T358" i="18" s="1"/>
  <c r="S358" i="18" s="1"/>
  <c r="R358" i="18" s="1"/>
  <c r="P358" i="18" s="1"/>
  <c r="V358" i="18" s="1"/>
  <c r="U360" i="18"/>
  <c r="T360" i="18" s="1"/>
  <c r="S360" i="18" s="1"/>
  <c r="R360" i="18" s="1"/>
  <c r="P360" i="18" s="1"/>
  <c r="V360" i="18" s="1"/>
  <c r="U362" i="18"/>
  <c r="T362" i="18" s="1"/>
  <c r="S362" i="18" s="1"/>
  <c r="R362" i="18" s="1"/>
  <c r="P362" i="18" s="1"/>
  <c r="V362" i="18" s="1"/>
  <c r="U364" i="18"/>
  <c r="T364" i="18" s="1"/>
  <c r="S364" i="18" s="1"/>
  <c r="R364" i="18" s="1"/>
  <c r="P364" i="18" s="1"/>
  <c r="V364" i="18" s="1"/>
  <c r="U366" i="18"/>
  <c r="T366" i="18" s="1"/>
  <c r="S366" i="18" s="1"/>
  <c r="R366" i="18" s="1"/>
  <c r="P366" i="18" s="1"/>
  <c r="V366" i="18" s="1"/>
  <c r="U368" i="18"/>
  <c r="T368" i="18" s="1"/>
  <c r="U370" i="18"/>
  <c r="T370" i="18" s="1"/>
  <c r="S370" i="18" s="1"/>
  <c r="R370" i="18" s="1"/>
  <c r="P370" i="18" s="1"/>
  <c r="V370" i="18" s="1"/>
  <c r="U372" i="18"/>
  <c r="T372" i="18" s="1"/>
  <c r="S372" i="18" s="1"/>
  <c r="R372" i="18" s="1"/>
  <c r="P372" i="18" s="1"/>
  <c r="V372" i="18" s="1"/>
  <c r="U374" i="18"/>
  <c r="T374" i="18" s="1"/>
  <c r="S374" i="18" s="1"/>
  <c r="R374" i="18" s="1"/>
  <c r="P374" i="18" s="1"/>
  <c r="V374" i="18" s="1"/>
  <c r="U376" i="18"/>
  <c r="T376" i="18" s="1"/>
  <c r="U378" i="18"/>
  <c r="T378" i="18" s="1"/>
  <c r="S378" i="18" s="1"/>
  <c r="R378" i="18" s="1"/>
  <c r="P378" i="18" s="1"/>
  <c r="V378" i="18" s="1"/>
  <c r="AA16" i="7"/>
  <c r="U23" i="18"/>
  <c r="T23" i="18" s="1"/>
  <c r="U18" i="18"/>
  <c r="T18" i="18" s="1"/>
  <c r="S18" i="18" s="1"/>
  <c r="R18" i="18" s="1"/>
  <c r="P18" i="18" s="1"/>
  <c r="V18" i="18" s="1"/>
  <c r="U19" i="18"/>
  <c r="T19" i="18" s="1"/>
  <c r="S19" i="18" s="1"/>
  <c r="R19" i="18" s="1"/>
  <c r="P19" i="18" s="1"/>
  <c r="V19" i="18" s="1"/>
  <c r="U27" i="18"/>
  <c r="T27" i="18" s="1"/>
  <c r="T381" i="17"/>
  <c r="T383" i="17"/>
  <c r="T382" i="17"/>
  <c r="S15" i="17"/>
  <c r="H133" i="17"/>
  <c r="G29" i="17"/>
  <c r="BZ29" i="6" s="1"/>
  <c r="H29" i="17"/>
  <c r="AA29" i="17"/>
  <c r="Z29" i="17" s="1"/>
  <c r="Y29" i="17" s="1"/>
  <c r="J300" i="17"/>
  <c r="I300" i="17"/>
  <c r="AG379" i="17"/>
  <c r="AF379" i="17" s="1"/>
  <c r="AD379" i="17" s="1"/>
  <c r="AH383" i="17"/>
  <c r="AG15" i="17"/>
  <c r="AH382" i="17"/>
  <c r="AH381" i="17"/>
  <c r="H125" i="17"/>
  <c r="P141" i="18"/>
  <c r="V141" i="18" s="1"/>
  <c r="P149" i="18"/>
  <c r="D72" i="7" s="1"/>
  <c r="P206" i="18"/>
  <c r="V206" i="18" s="1"/>
  <c r="P61" i="18"/>
  <c r="V61" i="18" s="1"/>
  <c r="P77" i="18"/>
  <c r="V77" i="18" s="1"/>
  <c r="P125" i="18"/>
  <c r="V125" i="18" s="1"/>
  <c r="P226" i="18"/>
  <c r="V226" i="18" s="1"/>
  <c r="P94" i="18"/>
  <c r="V94" i="18" s="1"/>
  <c r="D42" i="18"/>
  <c r="E42" i="18" s="1"/>
  <c r="D128" i="18"/>
  <c r="E128" i="18" s="1"/>
  <c r="D214" i="18"/>
  <c r="E214" i="18" s="1"/>
  <c r="D145" i="18"/>
  <c r="E145" i="18" s="1"/>
  <c r="D177" i="18"/>
  <c r="E177" i="18" s="1"/>
  <c r="D256" i="18"/>
  <c r="E256" i="18" s="1"/>
  <c r="AE83" i="20"/>
  <c r="P158" i="18"/>
  <c r="V158" i="18" s="1"/>
  <c r="AE11" i="20"/>
  <c r="P150" i="18"/>
  <c r="V150" i="18" s="1"/>
  <c r="AE377" i="20"/>
  <c r="AE345" i="20"/>
  <c r="AE313" i="20"/>
  <c r="AE281" i="20"/>
  <c r="AE249" i="20"/>
  <c r="AE217" i="20"/>
  <c r="AE179" i="20"/>
  <c r="AE115" i="20"/>
  <c r="AE51" i="20"/>
  <c r="AD21" i="18"/>
  <c r="AI67" i="18"/>
  <c r="AH67" i="18" s="1"/>
  <c r="AG67" i="18" s="1"/>
  <c r="AF67" i="18" s="1"/>
  <c r="AI184" i="18"/>
  <c r="AH184" i="18" s="1"/>
  <c r="AI269" i="18"/>
  <c r="AH269" i="18" s="1"/>
  <c r="AG269" i="18" s="1"/>
  <c r="AF269" i="18" s="1"/>
  <c r="AD269" i="18" s="1"/>
  <c r="D201" i="18"/>
  <c r="E201" i="18" s="1"/>
  <c r="D213" i="18"/>
  <c r="E213" i="18" s="1"/>
  <c r="D248" i="18"/>
  <c r="E248" i="18" s="1"/>
  <c r="D220" i="18"/>
  <c r="E220" i="18" s="1"/>
  <c r="D240" i="18"/>
  <c r="E240" i="18" s="1"/>
  <c r="D268" i="18"/>
  <c r="E268" i="18" s="1"/>
  <c r="AE369" i="20"/>
  <c r="AE353" i="20"/>
  <c r="AE337" i="20"/>
  <c r="AE321" i="20"/>
  <c r="AE305" i="20"/>
  <c r="AE289" i="20"/>
  <c r="AE273" i="20"/>
  <c r="AE257" i="20"/>
  <c r="AE241" i="20"/>
  <c r="AE225" i="20"/>
  <c r="AE209" i="20"/>
  <c r="AE193" i="20"/>
  <c r="AE163" i="20"/>
  <c r="AE131" i="20"/>
  <c r="AE99" i="20"/>
  <c r="AE67" i="20"/>
  <c r="AE35" i="20"/>
  <c r="Q353" i="20"/>
  <c r="Q282" i="20"/>
  <c r="D123" i="18"/>
  <c r="E123" i="18" s="1"/>
  <c r="D28" i="18"/>
  <c r="E28" i="18" s="1"/>
  <c r="D69" i="18"/>
  <c r="E69" i="18" s="1"/>
  <c r="D73" i="18"/>
  <c r="E73" i="18" s="1"/>
  <c r="D285" i="18"/>
  <c r="E285" i="18" s="1"/>
  <c r="AA47" i="17"/>
  <c r="Z47" i="17" s="1"/>
  <c r="Y47" i="17" s="1"/>
  <c r="AE373" i="20"/>
  <c r="AE365" i="20"/>
  <c r="AE357" i="20"/>
  <c r="AE349" i="20"/>
  <c r="AE341" i="20"/>
  <c r="AE333" i="20"/>
  <c r="AE325" i="20"/>
  <c r="AE317" i="20"/>
  <c r="AE309" i="20"/>
  <c r="AE301" i="20"/>
  <c r="AE293" i="20"/>
  <c r="AE285" i="20"/>
  <c r="AE277" i="20"/>
  <c r="AE269" i="20"/>
  <c r="AE261" i="20"/>
  <c r="AE253" i="20"/>
  <c r="AE245" i="20"/>
  <c r="AE237" i="20"/>
  <c r="AE229" i="20"/>
  <c r="AE221" i="20"/>
  <c r="AE213" i="20"/>
  <c r="AE205" i="20"/>
  <c r="AE197" i="20"/>
  <c r="AE187" i="20"/>
  <c r="AE171" i="20"/>
  <c r="AE155" i="20"/>
  <c r="AE139" i="20"/>
  <c r="AE123" i="20"/>
  <c r="AE107" i="20"/>
  <c r="AE91" i="20"/>
  <c r="AE75" i="20"/>
  <c r="AE59" i="20"/>
  <c r="AE43" i="20"/>
  <c r="AE27" i="20"/>
  <c r="Q321" i="20"/>
  <c r="Q218" i="20"/>
  <c r="Q369" i="20"/>
  <c r="Q337" i="20"/>
  <c r="Q305" i="20"/>
  <c r="Q250" i="20"/>
  <c r="Q186" i="20"/>
  <c r="D111" i="18"/>
  <c r="E111" i="18" s="1"/>
  <c r="AE379" i="20"/>
  <c r="AE12" i="22" s="1"/>
  <c r="AE375" i="20"/>
  <c r="AE371" i="20"/>
  <c r="AE367" i="20"/>
  <c r="AE363" i="20"/>
  <c r="AE359" i="20"/>
  <c r="AE355" i="20"/>
  <c r="AE351" i="20"/>
  <c r="AE347" i="20"/>
  <c r="AE343" i="20"/>
  <c r="AE339" i="20"/>
  <c r="AE335" i="20"/>
  <c r="AE331" i="20"/>
  <c r="AE327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3" i="20"/>
  <c r="AE259" i="20"/>
  <c r="AE255" i="20"/>
  <c r="AE251" i="20"/>
  <c r="AE247" i="20"/>
  <c r="AE243" i="20"/>
  <c r="AE239" i="20"/>
  <c r="AE235" i="20"/>
  <c r="AE231" i="20"/>
  <c r="AE227" i="20"/>
  <c r="AE223" i="20"/>
  <c r="AE219" i="20"/>
  <c r="AE215" i="20"/>
  <c r="AE211" i="20"/>
  <c r="AE207" i="20"/>
  <c r="AE203" i="20"/>
  <c r="AE199" i="20"/>
  <c r="AE195" i="20"/>
  <c r="AE191" i="20"/>
  <c r="AE183" i="20"/>
  <c r="AE175" i="20"/>
  <c r="AE167" i="20"/>
  <c r="AE159" i="20"/>
  <c r="AE151" i="20"/>
  <c r="AE143" i="20"/>
  <c r="AE135" i="20"/>
  <c r="AE127" i="20"/>
  <c r="AE119" i="20"/>
  <c r="AE111" i="20"/>
  <c r="AE103" i="20"/>
  <c r="AE95" i="20"/>
  <c r="AE87" i="20"/>
  <c r="AE79" i="20"/>
  <c r="AE71" i="20"/>
  <c r="AE63" i="20"/>
  <c r="AE55" i="20"/>
  <c r="AE47" i="20"/>
  <c r="AE39" i="20"/>
  <c r="AE31" i="20"/>
  <c r="AE23" i="20"/>
  <c r="AE15" i="20"/>
  <c r="Q377" i="20"/>
  <c r="Q361" i="20"/>
  <c r="Q345" i="20"/>
  <c r="Q329" i="20"/>
  <c r="Q313" i="20"/>
  <c r="Q297" i="20"/>
  <c r="Q266" i="20"/>
  <c r="Q234" i="20"/>
  <c r="Q202" i="20"/>
  <c r="Q170" i="20"/>
  <c r="Q373" i="20"/>
  <c r="Q365" i="20"/>
  <c r="Q357" i="20"/>
  <c r="Q349" i="20"/>
  <c r="Q341" i="20"/>
  <c r="Q333" i="20"/>
  <c r="Q325" i="20"/>
  <c r="Q317" i="20"/>
  <c r="Q309" i="20"/>
  <c r="Q301" i="20"/>
  <c r="Q290" i="20"/>
  <c r="Q274" i="20"/>
  <c r="Q258" i="20"/>
  <c r="Q242" i="20"/>
  <c r="Q226" i="20"/>
  <c r="Q210" i="20"/>
  <c r="Q194" i="20"/>
  <c r="Q178" i="20"/>
  <c r="Q143" i="20"/>
  <c r="Q159" i="20"/>
  <c r="D19" i="18"/>
  <c r="E19" i="18" s="1"/>
  <c r="D203" i="18"/>
  <c r="E203" i="18" s="1"/>
  <c r="D219" i="18"/>
  <c r="E219" i="18" s="1"/>
  <c r="D327" i="18"/>
  <c r="E327" i="18" s="1"/>
  <c r="D131" i="18"/>
  <c r="E131" i="18" s="1"/>
  <c r="D283" i="18"/>
  <c r="E283" i="18" s="1"/>
  <c r="H139" i="17"/>
  <c r="I139" i="17" s="1"/>
  <c r="Q46" i="20"/>
  <c r="Q101" i="20"/>
  <c r="Q123" i="20"/>
  <c r="Q131" i="20"/>
  <c r="Q139" i="20"/>
  <c r="Q147" i="20"/>
  <c r="Q155" i="20"/>
  <c r="Q163" i="20"/>
  <c r="Q168" i="20"/>
  <c r="Q172" i="20"/>
  <c r="Q176" i="20"/>
  <c r="Q180" i="20"/>
  <c r="Q184" i="20"/>
  <c r="Q188" i="20"/>
  <c r="Q192" i="20"/>
  <c r="Q196" i="20"/>
  <c r="Q200" i="20"/>
  <c r="Q204" i="20"/>
  <c r="Q208" i="20"/>
  <c r="Q212" i="20"/>
  <c r="Q216" i="20"/>
  <c r="Q220" i="20"/>
  <c r="Q224" i="20"/>
  <c r="Q228" i="20"/>
  <c r="Q232" i="20"/>
  <c r="Q236" i="20"/>
  <c r="Q240" i="20"/>
  <c r="Q244" i="20"/>
  <c r="Q248" i="20"/>
  <c r="Q252" i="20"/>
  <c r="Q256" i="20"/>
  <c r="Q260" i="20"/>
  <c r="Q264" i="20"/>
  <c r="Q268" i="20"/>
  <c r="Q272" i="20"/>
  <c r="Q276" i="20"/>
  <c r="Q280" i="20"/>
  <c r="Q284" i="20"/>
  <c r="Q288" i="20"/>
  <c r="Q292" i="20"/>
  <c r="Q296" i="20"/>
  <c r="Q298" i="20"/>
  <c r="Q300" i="20"/>
  <c r="Q302" i="20"/>
  <c r="Q304" i="20"/>
  <c r="Q306" i="20"/>
  <c r="Q308" i="20"/>
  <c r="Q310" i="20"/>
  <c r="Q312" i="20"/>
  <c r="Q314" i="20"/>
  <c r="Q316" i="20"/>
  <c r="Q318" i="20"/>
  <c r="Q320" i="20"/>
  <c r="Q322" i="20"/>
  <c r="Q324" i="20"/>
  <c r="Q326" i="20"/>
  <c r="Q328" i="20"/>
  <c r="Q330" i="20"/>
  <c r="Q332" i="20"/>
  <c r="Q334" i="20"/>
  <c r="Q336" i="20"/>
  <c r="Q338" i="20"/>
  <c r="Q340" i="20"/>
  <c r="Q342" i="20"/>
  <c r="Q344" i="20"/>
  <c r="Q346" i="20"/>
  <c r="Q348" i="20"/>
  <c r="Q350" i="20"/>
  <c r="Q352" i="20"/>
  <c r="Q354" i="20"/>
  <c r="Q356" i="20"/>
  <c r="Q358" i="20"/>
  <c r="Q360" i="20"/>
  <c r="Q362" i="20"/>
  <c r="Q364" i="20"/>
  <c r="Q366" i="20"/>
  <c r="Q368" i="20"/>
  <c r="Q370" i="20"/>
  <c r="Q372" i="20"/>
  <c r="Q374" i="20"/>
  <c r="Q376" i="20"/>
  <c r="Q378" i="20"/>
  <c r="AE19" i="20"/>
  <c r="AE16" i="20"/>
  <c r="AE20" i="20"/>
  <c r="AE22" i="20"/>
  <c r="AE24" i="20"/>
  <c r="AE26" i="20"/>
  <c r="AE28" i="20"/>
  <c r="AE30" i="20"/>
  <c r="AE32" i="20"/>
  <c r="AE34" i="20"/>
  <c r="AE36" i="20"/>
  <c r="AE38" i="20"/>
  <c r="AE40" i="20"/>
  <c r="AE42" i="20"/>
  <c r="AE44" i="20"/>
  <c r="AE46" i="20"/>
  <c r="AE48" i="20"/>
  <c r="AE50" i="20"/>
  <c r="AE52" i="20"/>
  <c r="AE54" i="20"/>
  <c r="AE56" i="20"/>
  <c r="AE58" i="20"/>
  <c r="AE60" i="20"/>
  <c r="AE62" i="20"/>
  <c r="AE64" i="20"/>
  <c r="AE66" i="20"/>
  <c r="AE68" i="20"/>
  <c r="AE70" i="20"/>
  <c r="AE72" i="20"/>
  <c r="AE74" i="20"/>
  <c r="AE76" i="20"/>
  <c r="AE78" i="20"/>
  <c r="AE80" i="20"/>
  <c r="AE82" i="20"/>
  <c r="AE84" i="20"/>
  <c r="AE86" i="20"/>
  <c r="AE88" i="20"/>
  <c r="AE90" i="20"/>
  <c r="AE92" i="20"/>
  <c r="AE94" i="20"/>
  <c r="AE96" i="20"/>
  <c r="AE98" i="20"/>
  <c r="AE100" i="20"/>
  <c r="AE102" i="20"/>
  <c r="AE104" i="20"/>
  <c r="AE106" i="20"/>
  <c r="AE108" i="20"/>
  <c r="AE110" i="20"/>
  <c r="AE112" i="20"/>
  <c r="AE114" i="20"/>
  <c r="AE116" i="20"/>
  <c r="AE118" i="20"/>
  <c r="AE120" i="20"/>
  <c r="AE122" i="20"/>
  <c r="AE124" i="20"/>
  <c r="AE126" i="20"/>
  <c r="AE128" i="20"/>
  <c r="AE130" i="20"/>
  <c r="AE132" i="20"/>
  <c r="AE134" i="20"/>
  <c r="AE136" i="20"/>
  <c r="AE138" i="20"/>
  <c r="AE140" i="20"/>
  <c r="AE142" i="20"/>
  <c r="AE144" i="20"/>
  <c r="AE146" i="20"/>
  <c r="AE148" i="20"/>
  <c r="AE150" i="20"/>
  <c r="AE152" i="20"/>
  <c r="AE154" i="20"/>
  <c r="AE156" i="20"/>
  <c r="AE158" i="20"/>
  <c r="AE160" i="20"/>
  <c r="AE162" i="20"/>
  <c r="AE164" i="20"/>
  <c r="AE166" i="20"/>
  <c r="AE168" i="20"/>
  <c r="AE170" i="20"/>
  <c r="AE172" i="20"/>
  <c r="AE174" i="20"/>
  <c r="AE176" i="20"/>
  <c r="AE178" i="20"/>
  <c r="AE180" i="20"/>
  <c r="AE182" i="20"/>
  <c r="AE184" i="20"/>
  <c r="AE186" i="20"/>
  <c r="AE188" i="20"/>
  <c r="AE190" i="20"/>
  <c r="H47" i="17"/>
  <c r="I47" i="17" s="1"/>
  <c r="AE378" i="20"/>
  <c r="AE376" i="20"/>
  <c r="AE374" i="20"/>
  <c r="AE372" i="20"/>
  <c r="AE370" i="20"/>
  <c r="AE368" i="20"/>
  <c r="AE366" i="20"/>
  <c r="AE364" i="20"/>
  <c r="AE362" i="20"/>
  <c r="AE360" i="20"/>
  <c r="AE358" i="20"/>
  <c r="AE356" i="20"/>
  <c r="AE354" i="20"/>
  <c r="AE352" i="20"/>
  <c r="AE350" i="20"/>
  <c r="AE348" i="20"/>
  <c r="AE346" i="20"/>
  <c r="AE344" i="20"/>
  <c r="AE342" i="20"/>
  <c r="AE340" i="20"/>
  <c r="AE338" i="20"/>
  <c r="AE336" i="20"/>
  <c r="AE334" i="20"/>
  <c r="AE332" i="20"/>
  <c r="AE330" i="20"/>
  <c r="AE328" i="20"/>
  <c r="AE326" i="20"/>
  <c r="AE324" i="20"/>
  <c r="AE322" i="20"/>
  <c r="AE320" i="20"/>
  <c r="AE318" i="20"/>
  <c r="AE316" i="20"/>
  <c r="AE314" i="20"/>
  <c r="AE312" i="20"/>
  <c r="AE310" i="20"/>
  <c r="AE308" i="20"/>
  <c r="AE306" i="20"/>
  <c r="AE304" i="20"/>
  <c r="AE302" i="20"/>
  <c r="AE300" i="20"/>
  <c r="AE298" i="20"/>
  <c r="AE296" i="20"/>
  <c r="AE294" i="20"/>
  <c r="AE292" i="20"/>
  <c r="AE290" i="20"/>
  <c r="AE288" i="20"/>
  <c r="AE286" i="20"/>
  <c r="AE284" i="20"/>
  <c r="AE282" i="20"/>
  <c r="AE280" i="20"/>
  <c r="AE278" i="20"/>
  <c r="AE276" i="20"/>
  <c r="AE274" i="20"/>
  <c r="AE272" i="20"/>
  <c r="AE270" i="20"/>
  <c r="AE268" i="20"/>
  <c r="AE266" i="20"/>
  <c r="AE264" i="20"/>
  <c r="AE262" i="20"/>
  <c r="AE260" i="20"/>
  <c r="AE258" i="20"/>
  <c r="AE256" i="20"/>
  <c r="AE254" i="20"/>
  <c r="AE252" i="20"/>
  <c r="AE250" i="20"/>
  <c r="AE248" i="20"/>
  <c r="AE246" i="20"/>
  <c r="AE244" i="20"/>
  <c r="AE242" i="20"/>
  <c r="AE240" i="20"/>
  <c r="AE238" i="20"/>
  <c r="AE236" i="20"/>
  <c r="AE234" i="20"/>
  <c r="AE232" i="20"/>
  <c r="AE230" i="20"/>
  <c r="AE228" i="20"/>
  <c r="AE226" i="20"/>
  <c r="AE224" i="20"/>
  <c r="AE222" i="20"/>
  <c r="AE220" i="20"/>
  <c r="AE218" i="20"/>
  <c r="AE216" i="20"/>
  <c r="AE214" i="20"/>
  <c r="AE212" i="20"/>
  <c r="AE210" i="20"/>
  <c r="AE208" i="20"/>
  <c r="AE206" i="20"/>
  <c r="AE204" i="20"/>
  <c r="AE202" i="20"/>
  <c r="AE200" i="20"/>
  <c r="AE198" i="20"/>
  <c r="AE196" i="20"/>
  <c r="AE194" i="20"/>
  <c r="AE192" i="20"/>
  <c r="AE189" i="20"/>
  <c r="AE185" i="20"/>
  <c r="AE181" i="20"/>
  <c r="AE177" i="20"/>
  <c r="AE173" i="20"/>
  <c r="AE169" i="20"/>
  <c r="AE165" i="20"/>
  <c r="AE161" i="20"/>
  <c r="AE157" i="20"/>
  <c r="AE153" i="20"/>
  <c r="AE149" i="20"/>
  <c r="AE145" i="20"/>
  <c r="AE141" i="20"/>
  <c r="AE137" i="20"/>
  <c r="AE133" i="20"/>
  <c r="AE129" i="20"/>
  <c r="AE125" i="20"/>
  <c r="AE121" i="20"/>
  <c r="AE117" i="20"/>
  <c r="AE113" i="20"/>
  <c r="AE109" i="20"/>
  <c r="AE105" i="20"/>
  <c r="AE101" i="20"/>
  <c r="AE97" i="20"/>
  <c r="AE93" i="20"/>
  <c r="AE89" i="20"/>
  <c r="AE85" i="20"/>
  <c r="AE81" i="20"/>
  <c r="AE77" i="20"/>
  <c r="AE73" i="20"/>
  <c r="AE69" i="20"/>
  <c r="AE65" i="20"/>
  <c r="AE61" i="20"/>
  <c r="AE57" i="20"/>
  <c r="AE53" i="20"/>
  <c r="AE49" i="20"/>
  <c r="AE45" i="20"/>
  <c r="AE41" i="20"/>
  <c r="AE37" i="20"/>
  <c r="AE33" i="20"/>
  <c r="AE29" i="20"/>
  <c r="AE25" i="20"/>
  <c r="AE21" i="20"/>
  <c r="AE17" i="20"/>
  <c r="Q379" i="20"/>
  <c r="Q375" i="20"/>
  <c r="Q371" i="20"/>
  <c r="Q367" i="20"/>
  <c r="Q363" i="20"/>
  <c r="Q359" i="20"/>
  <c r="Q355" i="20"/>
  <c r="Q351" i="20"/>
  <c r="Q347" i="20"/>
  <c r="Q343" i="20"/>
  <c r="Q339" i="20"/>
  <c r="Q335" i="20"/>
  <c r="Q331" i="20"/>
  <c r="Q327" i="20"/>
  <c r="Q323" i="20"/>
  <c r="Q319" i="20"/>
  <c r="Q315" i="20"/>
  <c r="Q311" i="20"/>
  <c r="Q307" i="20"/>
  <c r="Q303" i="20"/>
  <c r="Q299" i="20"/>
  <c r="Q294" i="20"/>
  <c r="Q286" i="20"/>
  <c r="Q278" i="20"/>
  <c r="Q270" i="20"/>
  <c r="Q262" i="20"/>
  <c r="Q254" i="20"/>
  <c r="Q246" i="20"/>
  <c r="Q238" i="20"/>
  <c r="Q230" i="20"/>
  <c r="Q222" i="20"/>
  <c r="Q214" i="20"/>
  <c r="Q206" i="20"/>
  <c r="Q198" i="20"/>
  <c r="Q190" i="20"/>
  <c r="Q182" i="20"/>
  <c r="Q174" i="20"/>
  <c r="Q166" i="20"/>
  <c r="Q151" i="20"/>
  <c r="Q135" i="20"/>
  <c r="Q119" i="20"/>
  <c r="Q111" i="20"/>
  <c r="Q76" i="20"/>
  <c r="Q115" i="20"/>
  <c r="Q107" i="20"/>
  <c r="Q93" i="20"/>
  <c r="Q17" i="20"/>
  <c r="Q30" i="20"/>
  <c r="Q62" i="20"/>
  <c r="Q84" i="20"/>
  <c r="Q97" i="20"/>
  <c r="Q105" i="20"/>
  <c r="Q109" i="20"/>
  <c r="Q113" i="20"/>
  <c r="Q117" i="20"/>
  <c r="Q121" i="20"/>
  <c r="Q125" i="20"/>
  <c r="Q129" i="20"/>
  <c r="Q133" i="20"/>
  <c r="Q137" i="20"/>
  <c r="Q141" i="20"/>
  <c r="Q145" i="20"/>
  <c r="Q149" i="20"/>
  <c r="Q153" i="20"/>
  <c r="Q157" i="20"/>
  <c r="Q161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Q277" i="20"/>
  <c r="Q279" i="20"/>
  <c r="Q281" i="20"/>
  <c r="Q283" i="20"/>
  <c r="Q285" i="20"/>
  <c r="Q287" i="20"/>
  <c r="Q289" i="20"/>
  <c r="Q291" i="20"/>
  <c r="Q293" i="20"/>
  <c r="Q295" i="20"/>
  <c r="D65" i="18"/>
  <c r="E65" i="18" s="1"/>
  <c r="AA139" i="17"/>
  <c r="Z139" i="17" s="1"/>
  <c r="Y139" i="17" s="1"/>
  <c r="Q164" i="20"/>
  <c r="Q162" i="20"/>
  <c r="Q160" i="20"/>
  <c r="Q158" i="20"/>
  <c r="Q156" i="20"/>
  <c r="Q154" i="20"/>
  <c r="Q152" i="20"/>
  <c r="Q150" i="20"/>
  <c r="Q148" i="20"/>
  <c r="Q146" i="20"/>
  <c r="Q144" i="20"/>
  <c r="Q142" i="20"/>
  <c r="Q140" i="20"/>
  <c r="Q138" i="20"/>
  <c r="Q136" i="20"/>
  <c r="Q134" i="20"/>
  <c r="Q132" i="20"/>
  <c r="Q130" i="20"/>
  <c r="Q128" i="20"/>
  <c r="Q126" i="20"/>
  <c r="Q124" i="20"/>
  <c r="Q122" i="20"/>
  <c r="Q120" i="20"/>
  <c r="Q118" i="20"/>
  <c r="Q116" i="20"/>
  <c r="Q114" i="20"/>
  <c r="Q112" i="20"/>
  <c r="Q110" i="20"/>
  <c r="Q108" i="20"/>
  <c r="Q106" i="20"/>
  <c r="Q103" i="20"/>
  <c r="Q99" i="20"/>
  <c r="Q95" i="20"/>
  <c r="Q88" i="20"/>
  <c r="Q80" i="20"/>
  <c r="Q70" i="20"/>
  <c r="Q54" i="20"/>
  <c r="Q38" i="20"/>
  <c r="Q22" i="20"/>
  <c r="Q104" i="20"/>
  <c r="Q102" i="20"/>
  <c r="Q100" i="20"/>
  <c r="Q98" i="20"/>
  <c r="Q96" i="20"/>
  <c r="Q94" i="20"/>
  <c r="Q91" i="20"/>
  <c r="Q86" i="20"/>
  <c r="Q82" i="20"/>
  <c r="Q78" i="20"/>
  <c r="Q74" i="20"/>
  <c r="Q66" i="20"/>
  <c r="Q58" i="20"/>
  <c r="Q50" i="20"/>
  <c r="Q42" i="20"/>
  <c r="Q34" i="20"/>
  <c r="Q26" i="20"/>
  <c r="Q15" i="20"/>
  <c r="AG16" i="18"/>
  <c r="AF16" i="18" s="1"/>
  <c r="AD16" i="18" s="1"/>
  <c r="AD22" i="18"/>
  <c r="AD24" i="18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H380" i="20"/>
  <c r="N63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D37" i="18"/>
  <c r="E37" i="18" s="1"/>
  <c r="D79" i="18"/>
  <c r="E79" i="18" s="1"/>
  <c r="D97" i="18"/>
  <c r="E97" i="18" s="1"/>
  <c r="D121" i="18"/>
  <c r="E121" i="18" s="1"/>
  <c r="D151" i="18"/>
  <c r="E151" i="18" s="1"/>
  <c r="D181" i="18"/>
  <c r="E181" i="18" s="1"/>
  <c r="D195" i="18"/>
  <c r="E195" i="18" s="1"/>
  <c r="D221" i="18"/>
  <c r="E221" i="18" s="1"/>
  <c r="D237" i="18"/>
  <c r="E237" i="18" s="1"/>
  <c r="D247" i="18"/>
  <c r="E247" i="18" s="1"/>
  <c r="D265" i="18"/>
  <c r="E265" i="18" s="1"/>
  <c r="D275" i="18"/>
  <c r="E275" i="18" s="1"/>
  <c r="D44" i="18"/>
  <c r="E44" i="18" s="1"/>
  <c r="D56" i="18"/>
  <c r="E56" i="18" s="1"/>
  <c r="D64" i="18"/>
  <c r="E64" i="18" s="1"/>
  <c r="D96" i="18"/>
  <c r="E96" i="18" s="1"/>
  <c r="D124" i="18"/>
  <c r="E124" i="18" s="1"/>
  <c r="D142" i="18"/>
  <c r="E142" i="18" s="1"/>
  <c r="D168" i="18"/>
  <c r="E168" i="18" s="1"/>
  <c r="D174" i="18"/>
  <c r="E174" i="18" s="1"/>
  <c r="D222" i="18"/>
  <c r="E222" i="18" s="1"/>
  <c r="D234" i="18"/>
  <c r="E234" i="18" s="1"/>
  <c r="D238" i="18"/>
  <c r="E238" i="18" s="1"/>
  <c r="D244" i="18"/>
  <c r="E244" i="18" s="1"/>
  <c r="D260" i="18"/>
  <c r="E260" i="18" s="1"/>
  <c r="D266" i="18"/>
  <c r="E266" i="18" s="1"/>
  <c r="D274" i="18"/>
  <c r="E274" i="18" s="1"/>
  <c r="D39" i="18"/>
  <c r="E39" i="18" s="1"/>
  <c r="D47" i="18"/>
  <c r="E47" i="18" s="1"/>
  <c r="D75" i="18"/>
  <c r="E75" i="18" s="1"/>
  <c r="D93" i="18"/>
  <c r="E93" i="18" s="1"/>
  <c r="D115" i="18"/>
  <c r="E115" i="18" s="1"/>
  <c r="D133" i="18"/>
  <c r="E133" i="18" s="1"/>
  <c r="D137" i="18"/>
  <c r="E137" i="18" s="1"/>
  <c r="D143" i="18"/>
  <c r="E143" i="18" s="1"/>
  <c r="D155" i="18"/>
  <c r="E155" i="18" s="1"/>
  <c r="D167" i="18"/>
  <c r="E167" i="18" s="1"/>
  <c r="D187" i="18"/>
  <c r="E187" i="18" s="1"/>
  <c r="D223" i="18"/>
  <c r="E223" i="18" s="1"/>
  <c r="D233" i="18"/>
  <c r="E233" i="18" s="1"/>
  <c r="D263" i="18"/>
  <c r="E263" i="18" s="1"/>
  <c r="D267" i="18"/>
  <c r="E267" i="18" s="1"/>
  <c r="D273" i="18"/>
  <c r="E273" i="18" s="1"/>
  <c r="D281" i="18"/>
  <c r="E281" i="18" s="1"/>
  <c r="D30" i="18"/>
  <c r="E30" i="18" s="1"/>
  <c r="F30" i="18" s="1"/>
  <c r="D38" i="18"/>
  <c r="E38" i="18" s="1"/>
  <c r="D52" i="18"/>
  <c r="E52" i="18" s="1"/>
  <c r="D68" i="18"/>
  <c r="E68" i="18" s="1"/>
  <c r="D72" i="18"/>
  <c r="E72" i="18" s="1"/>
  <c r="D84" i="18"/>
  <c r="E84" i="18" s="1"/>
  <c r="D102" i="18"/>
  <c r="E102" i="18" s="1"/>
  <c r="D116" i="18"/>
  <c r="E116" i="18" s="1"/>
  <c r="D134" i="18"/>
  <c r="E134" i="18" s="1"/>
  <c r="D152" i="18"/>
  <c r="E152" i="18" s="1"/>
  <c r="D162" i="18"/>
  <c r="E162" i="18" s="1"/>
  <c r="D172" i="18"/>
  <c r="E172" i="18" s="1"/>
  <c r="D176" i="18"/>
  <c r="E176" i="18" s="1"/>
  <c r="D182" i="18"/>
  <c r="E182" i="18" s="1"/>
  <c r="D216" i="18"/>
  <c r="E216" i="18" s="1"/>
  <c r="D224" i="18"/>
  <c r="E224" i="18" s="1"/>
  <c r="D228" i="18"/>
  <c r="E228" i="18" s="1"/>
  <c r="D236" i="18"/>
  <c r="E236" i="18" s="1"/>
  <c r="D254" i="18"/>
  <c r="E254" i="18" s="1"/>
  <c r="D262" i="18"/>
  <c r="E262" i="18" s="1"/>
  <c r="D276" i="18"/>
  <c r="E276" i="18" s="1"/>
  <c r="D41" i="18"/>
  <c r="E41" i="18" s="1"/>
  <c r="D87" i="18"/>
  <c r="E87" i="18" s="1"/>
  <c r="D103" i="18"/>
  <c r="E103" i="18" s="1"/>
  <c r="D173" i="18"/>
  <c r="E173" i="18" s="1"/>
  <c r="D191" i="18"/>
  <c r="E191" i="18" s="1"/>
  <c r="D205" i="18"/>
  <c r="E205" i="18" s="1"/>
  <c r="D225" i="18"/>
  <c r="E225" i="18" s="1"/>
  <c r="D229" i="18"/>
  <c r="E229" i="18" s="1"/>
  <c r="D255" i="18"/>
  <c r="E255" i="18" s="1"/>
  <c r="D269" i="18"/>
  <c r="E269" i="18" s="1"/>
  <c r="D287" i="18"/>
  <c r="E287" i="18" s="1"/>
  <c r="D22" i="18"/>
  <c r="E22" i="18" s="1"/>
  <c r="J279" i="17"/>
  <c r="I279" i="17"/>
  <c r="I255" i="17"/>
  <c r="J255" i="17"/>
  <c r="D18" i="18"/>
  <c r="E18" i="18" s="1"/>
  <c r="D21" i="18"/>
  <c r="E21" i="18" s="1"/>
  <c r="D45" i="18"/>
  <c r="E45" i="18" s="1"/>
  <c r="D51" i="18"/>
  <c r="E51" i="18" s="1"/>
  <c r="D55" i="18"/>
  <c r="E55" i="18" s="1"/>
  <c r="D63" i="18"/>
  <c r="E63" i="18" s="1"/>
  <c r="D71" i="18"/>
  <c r="E71" i="18" s="1"/>
  <c r="D89" i="18"/>
  <c r="E89" i="18" s="1"/>
  <c r="D109" i="18"/>
  <c r="E109" i="18" s="1"/>
  <c r="D129" i="18"/>
  <c r="E129" i="18" s="1"/>
  <c r="D147" i="18"/>
  <c r="E147" i="18" s="1"/>
  <c r="D157" i="18"/>
  <c r="E157" i="18" s="1"/>
  <c r="D163" i="18"/>
  <c r="E163" i="18" s="1"/>
  <c r="D171" i="18"/>
  <c r="E171" i="18" s="1"/>
  <c r="D185" i="18"/>
  <c r="E185" i="18" s="1"/>
  <c r="D231" i="18"/>
  <c r="E231" i="18" s="1"/>
  <c r="D239" i="18"/>
  <c r="E239" i="18" s="1"/>
  <c r="D245" i="18"/>
  <c r="E245" i="18" s="1"/>
  <c r="D257" i="18"/>
  <c r="E257" i="18" s="1"/>
  <c r="D261" i="18"/>
  <c r="E261" i="18" s="1"/>
  <c r="D271" i="18"/>
  <c r="E271" i="18" s="1"/>
  <c r="D279" i="18"/>
  <c r="E279" i="18" s="1"/>
  <c r="I353" i="17"/>
  <c r="J353" i="17"/>
  <c r="I317" i="17"/>
  <c r="J317" i="17"/>
  <c r="I313" i="17"/>
  <c r="J313" i="17"/>
  <c r="I237" i="17"/>
  <c r="J237" i="17"/>
  <c r="I370" i="17"/>
  <c r="J370" i="17"/>
  <c r="J342" i="17"/>
  <c r="I342" i="17"/>
  <c r="I338" i="17"/>
  <c r="J338" i="17"/>
  <c r="J286" i="17"/>
  <c r="I286" i="17"/>
  <c r="J258" i="17"/>
  <c r="I258" i="17"/>
  <c r="J254" i="17"/>
  <c r="I254" i="17"/>
  <c r="J250" i="17"/>
  <c r="I250" i="17"/>
  <c r="I238" i="17"/>
  <c r="J238" i="17"/>
  <c r="I162" i="17"/>
  <c r="J162" i="17"/>
  <c r="I122" i="17"/>
  <c r="J122" i="17"/>
  <c r="I78" i="17"/>
  <c r="J78" i="17"/>
  <c r="I58" i="17"/>
  <c r="J58" i="17"/>
  <c r="J375" i="17"/>
  <c r="I375" i="17"/>
  <c r="J151" i="17"/>
  <c r="I151" i="17"/>
  <c r="I99" i="17"/>
  <c r="J99" i="17"/>
  <c r="J67" i="17"/>
  <c r="I67" i="17"/>
  <c r="I35" i="17"/>
  <c r="J35" i="17"/>
  <c r="I23" i="17"/>
  <c r="J23" i="17"/>
  <c r="J15" i="16"/>
  <c r="I15" i="16"/>
  <c r="G383" i="16"/>
  <c r="G12" i="16" s="1"/>
  <c r="G382" i="16"/>
  <c r="G381" i="16"/>
  <c r="Z15" i="16"/>
  <c r="AL7" i="16" s="1"/>
  <c r="I212" i="17"/>
  <c r="J212" i="17"/>
  <c r="D192" i="18"/>
  <c r="E192" i="18" s="1"/>
  <c r="J112" i="17"/>
  <c r="I112" i="17"/>
  <c r="I100" i="17"/>
  <c r="J100" i="17"/>
  <c r="I96" i="17"/>
  <c r="J96" i="17"/>
  <c r="I359" i="17"/>
  <c r="J359" i="17"/>
  <c r="J343" i="17"/>
  <c r="I343" i="17"/>
  <c r="J127" i="17"/>
  <c r="I127" i="17"/>
  <c r="J80" i="17"/>
  <c r="I80" i="17"/>
  <c r="I20" i="17"/>
  <c r="J20" i="17"/>
  <c r="J141" i="17"/>
  <c r="I141" i="17"/>
  <c r="I129" i="17"/>
  <c r="J129" i="17"/>
  <c r="J85" i="17"/>
  <c r="I85" i="17"/>
  <c r="J61" i="17"/>
  <c r="I61" i="17"/>
  <c r="D194" i="18"/>
  <c r="E194" i="18" s="1"/>
  <c r="F194" i="18" s="1"/>
  <c r="I331" i="17"/>
  <c r="J331" i="17"/>
  <c r="I319" i="17"/>
  <c r="J319" i="17"/>
  <c r="J271" i="17"/>
  <c r="I271" i="17"/>
  <c r="I24" i="17"/>
  <c r="J24" i="17"/>
  <c r="D16" i="18"/>
  <c r="E16" i="18" s="1"/>
  <c r="D17" i="18"/>
  <c r="E17" i="18" s="1"/>
  <c r="D20" i="18"/>
  <c r="E20" i="18" s="1"/>
  <c r="D24" i="18"/>
  <c r="E24" i="18" s="1"/>
  <c r="D26" i="18"/>
  <c r="E26" i="18" s="1"/>
  <c r="D32" i="18"/>
  <c r="E32" i="18" s="1"/>
  <c r="D40" i="18"/>
  <c r="E40" i="18" s="1"/>
  <c r="D48" i="18"/>
  <c r="E48" i="18" s="1"/>
  <c r="D50" i="18"/>
  <c r="E50" i="18" s="1"/>
  <c r="D54" i="18"/>
  <c r="E54" i="18" s="1"/>
  <c r="D62" i="18"/>
  <c r="E62" i="18" s="1"/>
  <c r="F62" i="18" s="1"/>
  <c r="D66" i="18"/>
  <c r="E66" i="18" s="1"/>
  <c r="D70" i="18"/>
  <c r="E70" i="18" s="1"/>
  <c r="D80" i="18"/>
  <c r="E80" i="18" s="1"/>
  <c r="D82" i="18"/>
  <c r="E82" i="18" s="1"/>
  <c r="D86" i="18"/>
  <c r="E86" i="18" s="1"/>
  <c r="D88" i="18"/>
  <c r="E88" i="18" s="1"/>
  <c r="D90" i="18"/>
  <c r="E90" i="18" s="1"/>
  <c r="D104" i="18"/>
  <c r="E104" i="18" s="1"/>
  <c r="D106" i="18"/>
  <c r="E106" i="18" s="1"/>
  <c r="D110" i="18"/>
  <c r="E110" i="18" s="1"/>
  <c r="D112" i="18"/>
  <c r="E112" i="18" s="1"/>
  <c r="D118" i="18"/>
  <c r="E118" i="18" s="1"/>
  <c r="D122" i="18"/>
  <c r="E122" i="18" s="1"/>
  <c r="D126" i="18"/>
  <c r="E126" i="18" s="1"/>
  <c r="F126" i="18" s="1"/>
  <c r="D130" i="18"/>
  <c r="E130" i="18" s="1"/>
  <c r="D132" i="18"/>
  <c r="E132" i="18" s="1"/>
  <c r="D136" i="18"/>
  <c r="E136" i="18" s="1"/>
  <c r="D138" i="18"/>
  <c r="E138" i="18" s="1"/>
  <c r="D146" i="18"/>
  <c r="E146" i="18" s="1"/>
  <c r="D148" i="18"/>
  <c r="E148" i="18" s="1"/>
  <c r="D156" i="18"/>
  <c r="E156" i="18" s="1"/>
  <c r="D166" i="18"/>
  <c r="E166" i="18" s="1"/>
  <c r="D184" i="18"/>
  <c r="E184" i="18" s="1"/>
  <c r="D188" i="18"/>
  <c r="E188" i="18" s="1"/>
  <c r="D190" i="18"/>
  <c r="E190" i="18" s="1"/>
  <c r="D200" i="18"/>
  <c r="E200" i="18" s="1"/>
  <c r="D202" i="18"/>
  <c r="E202" i="18" s="1"/>
  <c r="D208" i="18"/>
  <c r="E208" i="18" s="1"/>
  <c r="D218" i="18"/>
  <c r="E218" i="18" s="1"/>
  <c r="D226" i="18"/>
  <c r="E226" i="18" s="1"/>
  <c r="D230" i="18"/>
  <c r="E230" i="18" s="1"/>
  <c r="D250" i="18"/>
  <c r="E250" i="18" s="1"/>
  <c r="D252" i="18"/>
  <c r="E252" i="18" s="1"/>
  <c r="D278" i="18"/>
  <c r="E278" i="18" s="1"/>
  <c r="D280" i="18"/>
  <c r="E280" i="18" s="1"/>
  <c r="D286" i="18"/>
  <c r="E286" i="18" s="1"/>
  <c r="I181" i="17"/>
  <c r="J181" i="17"/>
  <c r="I167" i="17"/>
  <c r="J167" i="17"/>
  <c r="I33" i="17"/>
  <c r="J33" i="17"/>
  <c r="I259" i="17"/>
  <c r="J259" i="17"/>
  <c r="I348" i="17"/>
  <c r="J348" i="17"/>
  <c r="J358" i="17"/>
  <c r="I358" i="17"/>
  <c r="J274" i="17"/>
  <c r="I274" i="17"/>
  <c r="I98" i="17"/>
  <c r="J98" i="17"/>
  <c r="J86" i="17"/>
  <c r="I86" i="17"/>
  <c r="J50" i="17"/>
  <c r="I50" i="17"/>
  <c r="I175" i="17"/>
  <c r="J175" i="17"/>
  <c r="J188" i="17"/>
  <c r="I188" i="17"/>
  <c r="J160" i="17"/>
  <c r="I160" i="17"/>
  <c r="I120" i="17"/>
  <c r="J120" i="17"/>
  <c r="J73" i="17"/>
  <c r="I73" i="17"/>
  <c r="I327" i="17"/>
  <c r="J327" i="17"/>
  <c r="I84" i="17"/>
  <c r="J84" i="17"/>
  <c r="J341" i="17"/>
  <c r="I341" i="17"/>
  <c r="I293" i="17"/>
  <c r="J293" i="17"/>
  <c r="I161" i="17"/>
  <c r="J161" i="17"/>
  <c r="I298" i="17"/>
  <c r="J298" i="17"/>
  <c r="I222" i="17"/>
  <c r="J222" i="17"/>
  <c r="I106" i="17"/>
  <c r="J106" i="17"/>
  <c r="J264" i="17"/>
  <c r="I264" i="17"/>
  <c r="J170" i="17"/>
  <c r="I170" i="17"/>
  <c r="AA247" i="17"/>
  <c r="Z247" i="17" s="1"/>
  <c r="Y247" i="17" s="1"/>
  <c r="G247" i="17"/>
  <c r="BZ247" i="6" s="1"/>
  <c r="H247" i="17"/>
  <c r="I340" i="17"/>
  <c r="J340" i="17"/>
  <c r="D25" i="18"/>
  <c r="E25" i="18" s="1"/>
  <c r="D33" i="18"/>
  <c r="E33" i="18" s="1"/>
  <c r="F33" i="18" s="1"/>
  <c r="D49" i="18"/>
  <c r="E49" i="18" s="1"/>
  <c r="D53" i="18"/>
  <c r="E53" i="18" s="1"/>
  <c r="D57" i="18"/>
  <c r="E57" i="18" s="1"/>
  <c r="D67" i="18"/>
  <c r="E67" i="18" s="1"/>
  <c r="D95" i="18"/>
  <c r="E95" i="18" s="1"/>
  <c r="D99" i="18"/>
  <c r="E99" i="18" s="1"/>
  <c r="D139" i="18"/>
  <c r="E139" i="18" s="1"/>
  <c r="D153" i="18"/>
  <c r="E153" i="18" s="1"/>
  <c r="D165" i="18"/>
  <c r="E165" i="18" s="1"/>
  <c r="D179" i="18"/>
  <c r="E179" i="18" s="1"/>
  <c r="D183" i="18"/>
  <c r="E183" i="18" s="1"/>
  <c r="D193" i="18"/>
  <c r="E193" i="18" s="1"/>
  <c r="D211" i="18"/>
  <c r="E211" i="18" s="1"/>
  <c r="D235" i="18"/>
  <c r="E235" i="18" s="1"/>
  <c r="D253" i="18"/>
  <c r="E253" i="18" s="1"/>
  <c r="D259" i="18"/>
  <c r="E259" i="18" s="1"/>
  <c r="D277" i="18"/>
  <c r="E277" i="18" s="1"/>
  <c r="J186" i="17"/>
  <c r="I186" i="17"/>
  <c r="G194" i="17"/>
  <c r="BZ194" i="6" s="1"/>
  <c r="H194" i="17"/>
  <c r="AA194" i="17"/>
  <c r="Z194" i="17" s="1"/>
  <c r="Y194" i="17" s="1"/>
  <c r="I311" i="17"/>
  <c r="J311" i="17"/>
  <c r="J263" i="17"/>
  <c r="I263" i="17"/>
  <c r="G352" i="17"/>
  <c r="BZ352" i="6" s="1"/>
  <c r="H352" i="17"/>
  <c r="AA352" i="17"/>
  <c r="Z352" i="17" s="1"/>
  <c r="Y352" i="17" s="1"/>
  <c r="J103" i="17"/>
  <c r="I103" i="17"/>
  <c r="J172" i="17"/>
  <c r="I172" i="17"/>
  <c r="D23" i="18"/>
  <c r="E23" i="18" s="1"/>
  <c r="D35" i="18"/>
  <c r="E35" i="18" s="1"/>
  <c r="D83" i="18"/>
  <c r="E83" i="18" s="1"/>
  <c r="D107" i="18"/>
  <c r="E107" i="18" s="1"/>
  <c r="D161" i="18"/>
  <c r="E161" i="18" s="1"/>
  <c r="D175" i="18"/>
  <c r="E175" i="18" s="1"/>
  <c r="D199" i="18"/>
  <c r="E199" i="18" s="1"/>
  <c r="D249" i="18"/>
  <c r="E249" i="18" s="1"/>
  <c r="I377" i="17"/>
  <c r="J377" i="17"/>
  <c r="I325" i="17"/>
  <c r="J325" i="17"/>
  <c r="J253" i="17"/>
  <c r="I253" i="17"/>
  <c r="I229" i="17"/>
  <c r="J229" i="17"/>
  <c r="J193" i="17"/>
  <c r="I193" i="17"/>
  <c r="I374" i="17"/>
  <c r="J374" i="17"/>
  <c r="I314" i="17"/>
  <c r="J314" i="17"/>
  <c r="I310" i="17"/>
  <c r="J310" i="17"/>
  <c r="I242" i="17"/>
  <c r="J242" i="17"/>
  <c r="J74" i="17"/>
  <c r="I74" i="17"/>
  <c r="J70" i="17"/>
  <c r="I70" i="17"/>
  <c r="I66" i="17"/>
  <c r="J66" i="17"/>
  <c r="I62" i="17"/>
  <c r="J62" i="17"/>
  <c r="I34" i="17"/>
  <c r="J34" i="17"/>
  <c r="I371" i="17"/>
  <c r="J371" i="17"/>
  <c r="J211" i="17"/>
  <c r="I211" i="17"/>
  <c r="I107" i="17"/>
  <c r="J107" i="17"/>
  <c r="I83" i="17"/>
  <c r="J83" i="17"/>
  <c r="J63" i="17"/>
  <c r="I63" i="17"/>
  <c r="I39" i="17"/>
  <c r="J39" i="17"/>
  <c r="AB9" i="16"/>
  <c r="F11" i="16"/>
  <c r="G13" i="19"/>
  <c r="D264" i="18"/>
  <c r="E264" i="18" s="1"/>
  <c r="I252" i="17"/>
  <c r="J252" i="17"/>
  <c r="J180" i="17"/>
  <c r="I180" i="17"/>
  <c r="J168" i="17"/>
  <c r="I168" i="17"/>
  <c r="J148" i="17"/>
  <c r="I148" i="17"/>
  <c r="J144" i="17"/>
  <c r="I144" i="17"/>
  <c r="I104" i="17"/>
  <c r="J104" i="17"/>
  <c r="J40" i="17"/>
  <c r="I40" i="17"/>
  <c r="J117" i="17"/>
  <c r="I117" i="17"/>
  <c r="I69" i="17"/>
  <c r="J69" i="17"/>
  <c r="J45" i="17"/>
  <c r="I45" i="17"/>
  <c r="I355" i="17"/>
  <c r="J355" i="17"/>
  <c r="I339" i="17"/>
  <c r="J339" i="17"/>
  <c r="I287" i="17"/>
  <c r="J287" i="17"/>
  <c r="I123" i="17"/>
  <c r="J123" i="17"/>
  <c r="J324" i="17"/>
  <c r="I324" i="17"/>
  <c r="J304" i="17"/>
  <c r="I304" i="17"/>
  <c r="I288" i="17"/>
  <c r="J288" i="17"/>
  <c r="J18" i="17"/>
  <c r="I18" i="17"/>
  <c r="D34" i="18"/>
  <c r="E34" i="18" s="1"/>
  <c r="D58" i="18"/>
  <c r="E58" i="18" s="1"/>
  <c r="D78" i="18"/>
  <c r="E78" i="18" s="1"/>
  <c r="D100" i="18"/>
  <c r="E100" i="18" s="1"/>
  <c r="D120" i="18"/>
  <c r="E120" i="18" s="1"/>
  <c r="D144" i="18"/>
  <c r="E144" i="18" s="1"/>
  <c r="D160" i="18"/>
  <c r="E160" i="18" s="1"/>
  <c r="D212" i="18"/>
  <c r="E212" i="18" s="1"/>
  <c r="D242" i="18"/>
  <c r="E242" i="18" s="1"/>
  <c r="D270" i="18"/>
  <c r="E270" i="18" s="1"/>
  <c r="D290" i="18"/>
  <c r="E290" i="18" s="1"/>
  <c r="J309" i="17"/>
  <c r="I309" i="17"/>
  <c r="Q90" i="20"/>
  <c r="AI15" i="7"/>
  <c r="X9" i="15"/>
  <c r="Y11" i="15" s="1"/>
  <c r="Y382" i="15"/>
  <c r="Y381" i="15"/>
  <c r="AL6" i="15"/>
  <c r="AL12" i="15" s="1"/>
  <c r="Y383" i="15"/>
  <c r="AM6" i="15"/>
  <c r="AM12" i="15" s="1"/>
  <c r="D74" i="18"/>
  <c r="E74" i="18" s="1"/>
  <c r="I244" i="17"/>
  <c r="J244" i="17"/>
  <c r="I113" i="17"/>
  <c r="J113" i="17"/>
  <c r="I89" i="17"/>
  <c r="J89" i="17"/>
  <c r="J65" i="17"/>
  <c r="I65" i="17"/>
  <c r="I315" i="17"/>
  <c r="J315" i="17"/>
  <c r="I19" i="17"/>
  <c r="J19" i="17"/>
  <c r="I76" i="17"/>
  <c r="J76" i="17"/>
  <c r="I249" i="17"/>
  <c r="J249" i="17"/>
  <c r="I25" i="17"/>
  <c r="J25" i="17"/>
  <c r="J226" i="17"/>
  <c r="I226" i="17"/>
  <c r="I17" i="17"/>
  <c r="J17" i="17"/>
  <c r="I132" i="17"/>
  <c r="J132" i="17"/>
  <c r="I105" i="17"/>
  <c r="J105" i="17"/>
  <c r="J49" i="17"/>
  <c r="I49" i="17"/>
  <c r="I283" i="17"/>
  <c r="J283" i="17"/>
  <c r="I241" i="17"/>
  <c r="J241" i="17"/>
  <c r="I21" i="17"/>
  <c r="J21" i="17"/>
  <c r="J290" i="17"/>
  <c r="I290" i="17"/>
  <c r="J278" i="17"/>
  <c r="I278" i="17"/>
  <c r="I270" i="17"/>
  <c r="J270" i="17"/>
  <c r="I230" i="17"/>
  <c r="J230" i="17"/>
  <c r="I90" i="17"/>
  <c r="J90" i="17"/>
  <c r="J199" i="17"/>
  <c r="I199" i="17"/>
  <c r="J187" i="17"/>
  <c r="I187" i="17"/>
  <c r="J192" i="17"/>
  <c r="I192" i="17"/>
  <c r="D150" i="18" l="1"/>
  <c r="E150" i="18" s="1"/>
  <c r="F150" i="18" s="1"/>
  <c r="H150" i="18" s="1"/>
  <c r="D158" i="18"/>
  <c r="E158" i="18" s="1"/>
  <c r="F158" i="18" s="1"/>
  <c r="D94" i="18"/>
  <c r="E94" i="18" s="1"/>
  <c r="F94" i="18" s="1"/>
  <c r="G94" i="18" s="1"/>
  <c r="CA94" i="6" s="1"/>
  <c r="D125" i="18"/>
  <c r="E125" i="18" s="1"/>
  <c r="F125" i="18" s="1"/>
  <c r="D61" i="18"/>
  <c r="E61" i="18" s="1"/>
  <c r="F61" i="18" s="1"/>
  <c r="G61" i="18" s="1"/>
  <c r="CA61" i="6" s="1"/>
  <c r="D372" i="18"/>
  <c r="E372" i="18" s="1"/>
  <c r="F372" i="18" s="1"/>
  <c r="D364" i="18"/>
  <c r="E364" i="18" s="1"/>
  <c r="F364" i="18" s="1"/>
  <c r="D348" i="18"/>
  <c r="E348" i="18" s="1"/>
  <c r="F348" i="18" s="1"/>
  <c r="D332" i="18"/>
  <c r="E332" i="18" s="1"/>
  <c r="F332" i="18" s="1"/>
  <c r="D324" i="18"/>
  <c r="E324" i="18" s="1"/>
  <c r="F324" i="18" s="1"/>
  <c r="D312" i="18"/>
  <c r="E312" i="18" s="1"/>
  <c r="F312" i="18" s="1"/>
  <c r="D308" i="18"/>
  <c r="E308" i="18" s="1"/>
  <c r="F308" i="18" s="1"/>
  <c r="D304" i="18"/>
  <c r="E304" i="18" s="1"/>
  <c r="F304" i="18" s="1"/>
  <c r="D288" i="18"/>
  <c r="E288" i="18" s="1"/>
  <c r="F288" i="18" s="1"/>
  <c r="D355" i="18"/>
  <c r="E355" i="18" s="1"/>
  <c r="F355" i="18" s="1"/>
  <c r="D77" i="18"/>
  <c r="E77" i="18" s="1"/>
  <c r="F77" i="18" s="1"/>
  <c r="G77" i="18" s="1"/>
  <c r="CA77" i="6" s="1"/>
  <c r="D206" i="18"/>
  <c r="E206" i="18" s="1"/>
  <c r="F206" i="18" s="1"/>
  <c r="G206" i="18" s="1"/>
  <c r="CA206" i="6" s="1"/>
  <c r="D141" i="18"/>
  <c r="E141" i="18" s="1"/>
  <c r="F141" i="18" s="1"/>
  <c r="G141" i="18" s="1"/>
  <c r="CA141" i="6" s="1"/>
  <c r="D378" i="18"/>
  <c r="E378" i="18" s="1"/>
  <c r="F378" i="18" s="1"/>
  <c r="D366" i="18"/>
  <c r="E366" i="18" s="1"/>
  <c r="F366" i="18" s="1"/>
  <c r="D342" i="18"/>
  <c r="E342" i="18" s="1"/>
  <c r="F342" i="18" s="1"/>
  <c r="D338" i="18"/>
  <c r="E338" i="18" s="1"/>
  <c r="F338" i="18" s="1"/>
  <c r="D326" i="18"/>
  <c r="E326" i="18" s="1"/>
  <c r="F326" i="18" s="1"/>
  <c r="D322" i="18"/>
  <c r="E322" i="18" s="1"/>
  <c r="F322" i="18" s="1"/>
  <c r="D294" i="18"/>
  <c r="E294" i="18" s="1"/>
  <c r="F294" i="18" s="1"/>
  <c r="D365" i="18"/>
  <c r="E365" i="18" s="1"/>
  <c r="F365" i="18" s="1"/>
  <c r="D357" i="18"/>
  <c r="E357" i="18" s="1"/>
  <c r="F357" i="18" s="1"/>
  <c r="D353" i="18"/>
  <c r="E353" i="18" s="1"/>
  <c r="F353" i="18" s="1"/>
  <c r="D345" i="18"/>
  <c r="E345" i="18" s="1"/>
  <c r="F345" i="18" s="1"/>
  <c r="D313" i="18"/>
  <c r="E313" i="18" s="1"/>
  <c r="F313" i="18" s="1"/>
  <c r="D323" i="18"/>
  <c r="E323" i="18" s="1"/>
  <c r="F323" i="18" s="1"/>
  <c r="D319" i="18"/>
  <c r="E319" i="18" s="1"/>
  <c r="F319" i="18" s="1"/>
  <c r="D315" i="18"/>
  <c r="E315" i="18" s="1"/>
  <c r="F315" i="18" s="1"/>
  <c r="D169" i="18"/>
  <c r="E169" i="18" s="1"/>
  <c r="F169" i="18" s="1"/>
  <c r="D232" i="18"/>
  <c r="E232" i="18" s="1"/>
  <c r="F232" i="18" s="1"/>
  <c r="D76" i="18"/>
  <c r="E76" i="18" s="1"/>
  <c r="F76" i="18" s="1"/>
  <c r="G76" i="18" s="1"/>
  <c r="CA76" i="6" s="1"/>
  <c r="D81" i="18"/>
  <c r="E81" i="18" s="1"/>
  <c r="F81" i="18" s="1"/>
  <c r="G81" i="18" s="1"/>
  <c r="CA81" i="6" s="1"/>
  <c r="D113" i="18"/>
  <c r="E113" i="18" s="1"/>
  <c r="F113" i="18" s="1"/>
  <c r="G113" i="18" s="1"/>
  <c r="CA113" i="6" s="1"/>
  <c r="D204" i="18"/>
  <c r="E204" i="18" s="1"/>
  <c r="F204" i="18" s="1"/>
  <c r="G204" i="18" s="1"/>
  <c r="CA204" i="6" s="1"/>
  <c r="D101" i="18"/>
  <c r="E101" i="18" s="1"/>
  <c r="F101" i="18" s="1"/>
  <c r="G101" i="18" s="1"/>
  <c r="CA101" i="6" s="1"/>
  <c r="D154" i="18"/>
  <c r="E154" i="18" s="1"/>
  <c r="F154" i="18" s="1"/>
  <c r="H154" i="18" s="1"/>
  <c r="D170" i="18"/>
  <c r="E170" i="18" s="1"/>
  <c r="F170" i="18" s="1"/>
  <c r="G170" i="18" s="1"/>
  <c r="CA170" i="6" s="1"/>
  <c r="AD20" i="18"/>
  <c r="AI312" i="18"/>
  <c r="AH312" i="18" s="1"/>
  <c r="AG312" i="18" s="1"/>
  <c r="AF312" i="18" s="1"/>
  <c r="AI56" i="18"/>
  <c r="AH56" i="18" s="1"/>
  <c r="P98" i="18"/>
  <c r="V98" i="18" s="1"/>
  <c r="P214" i="18"/>
  <c r="V214" i="18" s="1"/>
  <c r="F198" i="18"/>
  <c r="G198" i="18" s="1"/>
  <c r="CA198" i="6" s="1"/>
  <c r="P50" i="18"/>
  <c r="V50" i="18" s="1"/>
  <c r="D68" i="7"/>
  <c r="AD19" i="18"/>
  <c r="P69" i="18"/>
  <c r="V69" i="18" s="1"/>
  <c r="AI266" i="18"/>
  <c r="AH266" i="18" s="1"/>
  <c r="AG266" i="18" s="1"/>
  <c r="AF266" i="18" s="1"/>
  <c r="AI333" i="18"/>
  <c r="AH333" i="18" s="1"/>
  <c r="AG333" i="18" s="1"/>
  <c r="AF333" i="18" s="1"/>
  <c r="AI205" i="18"/>
  <c r="AH205" i="18" s="1"/>
  <c r="AG205" i="18" s="1"/>
  <c r="AF205" i="18" s="1"/>
  <c r="AI248" i="18"/>
  <c r="AH248" i="18" s="1"/>
  <c r="AI120" i="18"/>
  <c r="AH120" i="18" s="1"/>
  <c r="AI131" i="18"/>
  <c r="AH131" i="18" s="1"/>
  <c r="AG131" i="18" s="1"/>
  <c r="AF131" i="18" s="1"/>
  <c r="AI157" i="18"/>
  <c r="AH157" i="18" s="1"/>
  <c r="AG157" i="18" s="1"/>
  <c r="AF157" i="18" s="1"/>
  <c r="AI366" i="18"/>
  <c r="AH366" i="18" s="1"/>
  <c r="AG366" i="18" s="1"/>
  <c r="AF366" i="18" s="1"/>
  <c r="AI301" i="18"/>
  <c r="AH301" i="18" s="1"/>
  <c r="AI237" i="18"/>
  <c r="AH237" i="18" s="1"/>
  <c r="AG237" i="18" s="1"/>
  <c r="AF237" i="18" s="1"/>
  <c r="AD237" i="18" s="1"/>
  <c r="AI173" i="18"/>
  <c r="AH173" i="18" s="1"/>
  <c r="AG173" i="18" s="1"/>
  <c r="AF173" i="18" s="1"/>
  <c r="AD173" i="18" s="1"/>
  <c r="AI280" i="18"/>
  <c r="AH280" i="18" s="1"/>
  <c r="AG280" i="18" s="1"/>
  <c r="AF280" i="18" s="1"/>
  <c r="AD280" i="18" s="1"/>
  <c r="AI216" i="18"/>
  <c r="AH216" i="18" s="1"/>
  <c r="AG216" i="18" s="1"/>
  <c r="AF216" i="18" s="1"/>
  <c r="AI152" i="18"/>
  <c r="AH152" i="18" s="1"/>
  <c r="AG152" i="18" s="1"/>
  <c r="AF152" i="18" s="1"/>
  <c r="AI88" i="18"/>
  <c r="AH88" i="18" s="1"/>
  <c r="AI163" i="18"/>
  <c r="AH163" i="18" s="1"/>
  <c r="AG163" i="18" s="1"/>
  <c r="AF163" i="18" s="1"/>
  <c r="AI99" i="18"/>
  <c r="AH99" i="18" s="1"/>
  <c r="AG99" i="18" s="1"/>
  <c r="AF99" i="18" s="1"/>
  <c r="AI35" i="18"/>
  <c r="AH35" i="18" s="1"/>
  <c r="AG35" i="18" s="1"/>
  <c r="AF35" i="18" s="1"/>
  <c r="AI352" i="18"/>
  <c r="AH352" i="18" s="1"/>
  <c r="AG352" i="18" s="1"/>
  <c r="AF352" i="18" s="1"/>
  <c r="AI53" i="18"/>
  <c r="AH53" i="18" s="1"/>
  <c r="AG53" i="18" s="1"/>
  <c r="AF53" i="18" s="1"/>
  <c r="AD53" i="18" s="1"/>
  <c r="AI353" i="18"/>
  <c r="AH353" i="18" s="1"/>
  <c r="AG353" i="18" s="1"/>
  <c r="AF353" i="18" s="1"/>
  <c r="AD353" i="18" s="1"/>
  <c r="AI350" i="18"/>
  <c r="AH350" i="18" s="1"/>
  <c r="AI317" i="18"/>
  <c r="AH317" i="18" s="1"/>
  <c r="AG317" i="18" s="1"/>
  <c r="AF317" i="18" s="1"/>
  <c r="AD317" i="18" s="1"/>
  <c r="AI285" i="18"/>
  <c r="AH285" i="18" s="1"/>
  <c r="AG285" i="18" s="1"/>
  <c r="AF285" i="18" s="1"/>
  <c r="AI253" i="18"/>
  <c r="AH253" i="18" s="1"/>
  <c r="AG253" i="18" s="1"/>
  <c r="AF253" i="18" s="1"/>
  <c r="AD253" i="18" s="1"/>
  <c r="AI221" i="18"/>
  <c r="AH221" i="18" s="1"/>
  <c r="AG221" i="18" s="1"/>
  <c r="AF221" i="18" s="1"/>
  <c r="AI189" i="18"/>
  <c r="AH189" i="18" s="1"/>
  <c r="AG189" i="18" s="1"/>
  <c r="AF189" i="18" s="1"/>
  <c r="AD189" i="18" s="1"/>
  <c r="AI328" i="18"/>
  <c r="AH328" i="18" s="1"/>
  <c r="AG328" i="18" s="1"/>
  <c r="AF328" i="18" s="1"/>
  <c r="AI296" i="18"/>
  <c r="AH296" i="18" s="1"/>
  <c r="AI264" i="18"/>
  <c r="AH264" i="18" s="1"/>
  <c r="AG264" i="18" s="1"/>
  <c r="AF264" i="18" s="1"/>
  <c r="AD264" i="18" s="1"/>
  <c r="AI232" i="18"/>
  <c r="AH232" i="18" s="1"/>
  <c r="AI200" i="18"/>
  <c r="AH200" i="18" s="1"/>
  <c r="AG200" i="18" s="1"/>
  <c r="AF200" i="18" s="1"/>
  <c r="AI168" i="18"/>
  <c r="AH168" i="18" s="1"/>
  <c r="AI136" i="18"/>
  <c r="AH136" i="18" s="1"/>
  <c r="AG136" i="18" s="1"/>
  <c r="AF136" i="18" s="1"/>
  <c r="AI104" i="18"/>
  <c r="AH104" i="18" s="1"/>
  <c r="AI72" i="18"/>
  <c r="AH72" i="18" s="1"/>
  <c r="AG72" i="18" s="1"/>
  <c r="AF72" i="18" s="1"/>
  <c r="AI40" i="18"/>
  <c r="AH40" i="18" s="1"/>
  <c r="AI147" i="18"/>
  <c r="AH147" i="18" s="1"/>
  <c r="AG147" i="18" s="1"/>
  <c r="AF147" i="18" s="1"/>
  <c r="AD147" i="18" s="1"/>
  <c r="AI115" i="18"/>
  <c r="AH115" i="18" s="1"/>
  <c r="AG115" i="18" s="1"/>
  <c r="AF115" i="18" s="1"/>
  <c r="AD115" i="18" s="1"/>
  <c r="AI83" i="18"/>
  <c r="AH83" i="18" s="1"/>
  <c r="AG83" i="18" s="1"/>
  <c r="AF83" i="18" s="1"/>
  <c r="AD83" i="18" s="1"/>
  <c r="AI51" i="18"/>
  <c r="AH51" i="18" s="1"/>
  <c r="AG51" i="18" s="1"/>
  <c r="AF51" i="18" s="1"/>
  <c r="AD51" i="18" s="1"/>
  <c r="AI223" i="18"/>
  <c r="AH223" i="18" s="1"/>
  <c r="AG223" i="18" s="1"/>
  <c r="AF223" i="18" s="1"/>
  <c r="AD223" i="18" s="1"/>
  <c r="AI138" i="18"/>
  <c r="AH138" i="18" s="1"/>
  <c r="AG138" i="18" s="1"/>
  <c r="AF138" i="18" s="1"/>
  <c r="AI137" i="18"/>
  <c r="AH137" i="18" s="1"/>
  <c r="AG137" i="18" s="1"/>
  <c r="AF137" i="18" s="1"/>
  <c r="AD137" i="18" s="1"/>
  <c r="AI318" i="18"/>
  <c r="AH318" i="18" s="1"/>
  <c r="AG318" i="18" s="1"/>
  <c r="AF318" i="18" s="1"/>
  <c r="AI331" i="18"/>
  <c r="AH331" i="18" s="1"/>
  <c r="AG331" i="18" s="1"/>
  <c r="AF331" i="18" s="1"/>
  <c r="AD331" i="18" s="1"/>
  <c r="AD157" i="18"/>
  <c r="F202" i="18"/>
  <c r="G202" i="18" s="1"/>
  <c r="CA202" i="6" s="1"/>
  <c r="F110" i="18"/>
  <c r="F70" i="18"/>
  <c r="H70" i="18" s="1"/>
  <c r="F157" i="18"/>
  <c r="G157" i="18" s="1"/>
  <c r="CA157" i="6" s="1"/>
  <c r="F45" i="18"/>
  <c r="G45" i="18" s="1"/>
  <c r="CA45" i="6" s="1"/>
  <c r="AE382" i="18"/>
  <c r="AI374" i="18"/>
  <c r="AH374" i="18" s="1"/>
  <c r="AG374" i="18" s="1"/>
  <c r="AF374" i="18" s="1"/>
  <c r="AD374" i="18" s="1"/>
  <c r="AI358" i="18"/>
  <c r="AH358" i="18" s="1"/>
  <c r="AI342" i="18"/>
  <c r="AH342" i="18" s="1"/>
  <c r="AG342" i="18" s="1"/>
  <c r="AF342" i="18" s="1"/>
  <c r="AI325" i="18"/>
  <c r="AH325" i="18" s="1"/>
  <c r="AG325" i="18" s="1"/>
  <c r="AF325" i="18" s="1"/>
  <c r="AI309" i="18"/>
  <c r="AH309" i="18" s="1"/>
  <c r="AG309" i="18" s="1"/>
  <c r="AF309" i="18" s="1"/>
  <c r="AD309" i="18" s="1"/>
  <c r="AI293" i="18"/>
  <c r="AH293" i="18" s="1"/>
  <c r="AI277" i="18"/>
  <c r="AH277" i="18" s="1"/>
  <c r="AG277" i="18" s="1"/>
  <c r="AF277" i="18" s="1"/>
  <c r="AI261" i="18"/>
  <c r="AH261" i="18" s="1"/>
  <c r="AI245" i="18"/>
  <c r="AH245" i="18" s="1"/>
  <c r="AG245" i="18" s="1"/>
  <c r="AF245" i="18" s="1"/>
  <c r="AD245" i="18" s="1"/>
  <c r="AI229" i="18"/>
  <c r="AH229" i="18" s="1"/>
  <c r="AI213" i="18"/>
  <c r="AH213" i="18" s="1"/>
  <c r="AG213" i="18" s="1"/>
  <c r="AF213" i="18" s="1"/>
  <c r="AD213" i="18" s="1"/>
  <c r="AI197" i="18"/>
  <c r="AH197" i="18" s="1"/>
  <c r="AG197" i="18" s="1"/>
  <c r="AF197" i="18" s="1"/>
  <c r="AD197" i="18" s="1"/>
  <c r="AI181" i="18"/>
  <c r="AH181" i="18" s="1"/>
  <c r="AG181" i="18" s="1"/>
  <c r="AF181" i="18" s="1"/>
  <c r="AD181" i="18" s="1"/>
  <c r="AI336" i="18"/>
  <c r="AH336" i="18" s="1"/>
  <c r="AI320" i="18"/>
  <c r="AH320" i="18" s="1"/>
  <c r="AG320" i="18" s="1"/>
  <c r="AF320" i="18" s="1"/>
  <c r="AD320" i="18" s="1"/>
  <c r="AI304" i="18"/>
  <c r="AH304" i="18" s="1"/>
  <c r="AG304" i="18" s="1"/>
  <c r="AF304" i="18" s="1"/>
  <c r="AI288" i="18"/>
  <c r="AH288" i="18" s="1"/>
  <c r="AG288" i="18" s="1"/>
  <c r="AF288" i="18" s="1"/>
  <c r="AI272" i="18"/>
  <c r="AH272" i="18" s="1"/>
  <c r="AG272" i="18" s="1"/>
  <c r="AF272" i="18" s="1"/>
  <c r="AI256" i="18"/>
  <c r="AH256" i="18" s="1"/>
  <c r="AG256" i="18" s="1"/>
  <c r="AF256" i="18" s="1"/>
  <c r="AD256" i="18" s="1"/>
  <c r="AI240" i="18"/>
  <c r="AH240" i="18" s="1"/>
  <c r="AG240" i="18" s="1"/>
  <c r="AF240" i="18" s="1"/>
  <c r="AI224" i="18"/>
  <c r="AH224" i="18" s="1"/>
  <c r="AG224" i="18" s="1"/>
  <c r="AF224" i="18" s="1"/>
  <c r="AI208" i="18"/>
  <c r="AH208" i="18" s="1"/>
  <c r="AI192" i="18"/>
  <c r="AH192" i="18" s="1"/>
  <c r="AG192" i="18" s="1"/>
  <c r="AF192" i="18" s="1"/>
  <c r="AD192" i="18" s="1"/>
  <c r="AI176" i="18"/>
  <c r="AH176" i="18" s="1"/>
  <c r="AG176" i="18" s="1"/>
  <c r="AF176" i="18" s="1"/>
  <c r="AI160" i="18"/>
  <c r="AH160" i="18" s="1"/>
  <c r="AG160" i="18" s="1"/>
  <c r="AF160" i="18" s="1"/>
  <c r="AD160" i="18" s="1"/>
  <c r="AI144" i="18"/>
  <c r="AH144" i="18" s="1"/>
  <c r="AI128" i="18"/>
  <c r="AH128" i="18" s="1"/>
  <c r="AG128" i="18" s="1"/>
  <c r="AF128" i="18" s="1"/>
  <c r="AD128" i="18" s="1"/>
  <c r="AI112" i="18"/>
  <c r="AH112" i="18" s="1"/>
  <c r="AG112" i="18" s="1"/>
  <c r="AF112" i="18" s="1"/>
  <c r="AI96" i="18"/>
  <c r="AH96" i="18" s="1"/>
  <c r="AG96" i="18" s="1"/>
  <c r="AF96" i="18" s="1"/>
  <c r="AI80" i="18"/>
  <c r="AH80" i="18" s="1"/>
  <c r="AI64" i="18"/>
  <c r="AH64" i="18" s="1"/>
  <c r="AG64" i="18" s="1"/>
  <c r="AF64" i="18" s="1"/>
  <c r="AD64" i="18" s="1"/>
  <c r="AI48" i="18"/>
  <c r="AH48" i="18" s="1"/>
  <c r="AG48" i="18" s="1"/>
  <c r="AF48" i="18" s="1"/>
  <c r="AI32" i="18"/>
  <c r="AH32" i="18" s="1"/>
  <c r="AI155" i="18"/>
  <c r="AH155" i="18" s="1"/>
  <c r="AG155" i="18" s="1"/>
  <c r="AF155" i="18" s="1"/>
  <c r="AD155" i="18" s="1"/>
  <c r="AI139" i="18"/>
  <c r="AH139" i="18" s="1"/>
  <c r="AG139" i="18" s="1"/>
  <c r="AF139" i="18" s="1"/>
  <c r="AD139" i="18" s="1"/>
  <c r="AI123" i="18"/>
  <c r="AH123" i="18" s="1"/>
  <c r="AG123" i="18" s="1"/>
  <c r="AF123" i="18" s="1"/>
  <c r="AD123" i="18" s="1"/>
  <c r="AI107" i="18"/>
  <c r="AH107" i="18" s="1"/>
  <c r="AG107" i="18" s="1"/>
  <c r="AF107" i="18" s="1"/>
  <c r="AD107" i="18" s="1"/>
  <c r="AI91" i="18"/>
  <c r="AH91" i="18" s="1"/>
  <c r="AG91" i="18" s="1"/>
  <c r="AF91" i="18" s="1"/>
  <c r="AD91" i="18" s="1"/>
  <c r="AI75" i="18"/>
  <c r="AH75" i="18" s="1"/>
  <c r="AG75" i="18" s="1"/>
  <c r="AF75" i="18" s="1"/>
  <c r="AD75" i="18" s="1"/>
  <c r="AI59" i="18"/>
  <c r="AH59" i="18" s="1"/>
  <c r="AG59" i="18" s="1"/>
  <c r="AF59" i="18" s="1"/>
  <c r="AD59" i="18" s="1"/>
  <c r="AI43" i="18"/>
  <c r="AH43" i="18" s="1"/>
  <c r="AG43" i="18" s="1"/>
  <c r="AF43" i="18" s="1"/>
  <c r="AD43" i="18" s="1"/>
  <c r="P178" i="18"/>
  <c r="V178" i="18" s="1"/>
  <c r="P114" i="18"/>
  <c r="V114" i="18" s="1"/>
  <c r="P210" i="18"/>
  <c r="D74" i="7" s="1"/>
  <c r="P85" i="18"/>
  <c r="V85" i="18" s="1"/>
  <c r="P21" i="18"/>
  <c r="V21" i="18" s="1"/>
  <c r="F21" i="18" s="1"/>
  <c r="G21" i="18" s="1"/>
  <c r="CA21" i="6" s="1"/>
  <c r="P34" i="18"/>
  <c r="V34" i="18" s="1"/>
  <c r="AI359" i="18"/>
  <c r="AH359" i="18" s="1"/>
  <c r="AG359" i="18" s="1"/>
  <c r="AF359" i="18" s="1"/>
  <c r="AD359" i="18" s="1"/>
  <c r="AI287" i="18"/>
  <c r="AH287" i="18" s="1"/>
  <c r="AG287" i="18" s="1"/>
  <c r="AF287" i="18" s="1"/>
  <c r="AI330" i="18"/>
  <c r="AH330" i="18" s="1"/>
  <c r="AG330" i="18" s="1"/>
  <c r="AF330" i="18" s="1"/>
  <c r="AI202" i="18"/>
  <c r="AH202" i="18" s="1"/>
  <c r="AG202" i="18" s="1"/>
  <c r="AF202" i="18" s="1"/>
  <c r="AI42" i="18"/>
  <c r="AH42" i="18" s="1"/>
  <c r="AG42" i="18" s="1"/>
  <c r="AF42" i="18" s="1"/>
  <c r="AI54" i="18"/>
  <c r="AH54" i="18" s="1"/>
  <c r="AG54" i="18" s="1"/>
  <c r="AF54" i="18" s="1"/>
  <c r="AI73" i="18"/>
  <c r="AH73" i="18" s="1"/>
  <c r="AG73" i="18" s="1"/>
  <c r="AF73" i="18" s="1"/>
  <c r="AI190" i="18"/>
  <c r="AH190" i="18" s="1"/>
  <c r="AG190" i="18" s="1"/>
  <c r="AF190" i="18" s="1"/>
  <c r="AI275" i="18"/>
  <c r="AH275" i="18" s="1"/>
  <c r="AG275" i="18" s="1"/>
  <c r="AF275" i="18" s="1"/>
  <c r="AD275" i="18" s="1"/>
  <c r="AI246" i="18"/>
  <c r="AH246" i="18" s="1"/>
  <c r="AI134" i="18"/>
  <c r="AH134" i="18" s="1"/>
  <c r="AE381" i="18"/>
  <c r="AD330" i="18"/>
  <c r="F134" i="18"/>
  <c r="G134" i="18" s="1"/>
  <c r="CA134" i="6" s="1"/>
  <c r="F102" i="18"/>
  <c r="F266" i="18"/>
  <c r="G266" i="18" s="1"/>
  <c r="CA266" i="6" s="1"/>
  <c r="F174" i="18"/>
  <c r="G174" i="18" s="1"/>
  <c r="CA174" i="6" s="1"/>
  <c r="F242" i="18"/>
  <c r="H242" i="18" s="1"/>
  <c r="F166" i="18"/>
  <c r="G166" i="18" s="1"/>
  <c r="CA166" i="6" s="1"/>
  <c r="AA383" i="16"/>
  <c r="AA381" i="16"/>
  <c r="AD17" i="18"/>
  <c r="AD25" i="18"/>
  <c r="AD26" i="18"/>
  <c r="AD28" i="18"/>
  <c r="AD333" i="18"/>
  <c r="AD99" i="18"/>
  <c r="AD67" i="18"/>
  <c r="AD73" i="18"/>
  <c r="P161" i="18"/>
  <c r="V161" i="18" s="1"/>
  <c r="AE383" i="18"/>
  <c r="F173" i="18"/>
  <c r="G173" i="18" s="1"/>
  <c r="CA173" i="6" s="1"/>
  <c r="F38" i="18"/>
  <c r="G38" i="18" s="1"/>
  <c r="CA38" i="6" s="1"/>
  <c r="F93" i="18"/>
  <c r="H93" i="18" s="1"/>
  <c r="F234" i="18"/>
  <c r="G234" i="18" s="1"/>
  <c r="CA234" i="6" s="1"/>
  <c r="F250" i="18"/>
  <c r="G250" i="18" s="1"/>
  <c r="CA250" i="6" s="1"/>
  <c r="F218" i="18"/>
  <c r="G218" i="18" s="1"/>
  <c r="CA218" i="6" s="1"/>
  <c r="F86" i="18"/>
  <c r="H86" i="18" s="1"/>
  <c r="D69" i="7"/>
  <c r="F109" i="18"/>
  <c r="G109" i="18" s="1"/>
  <c r="CA109" i="6" s="1"/>
  <c r="F262" i="18"/>
  <c r="G262" i="18" s="1"/>
  <c r="CA262" i="6" s="1"/>
  <c r="F162" i="18"/>
  <c r="G162" i="18" s="1"/>
  <c r="CA162" i="6" s="1"/>
  <c r="F78" i="18"/>
  <c r="G78" i="18" s="1"/>
  <c r="CA78" i="6" s="1"/>
  <c r="F118" i="18"/>
  <c r="G118" i="18" s="1"/>
  <c r="CA118" i="6" s="1"/>
  <c r="F54" i="18"/>
  <c r="G54" i="18" s="1"/>
  <c r="CA54" i="6" s="1"/>
  <c r="F22" i="18"/>
  <c r="G22" i="18" s="1"/>
  <c r="CA22" i="6" s="1"/>
  <c r="F182" i="18"/>
  <c r="G182" i="18" s="1"/>
  <c r="CA182" i="6" s="1"/>
  <c r="D73" i="7"/>
  <c r="F142" i="18"/>
  <c r="G142" i="18" s="1"/>
  <c r="CA142" i="6" s="1"/>
  <c r="F186" i="18"/>
  <c r="G186" i="18" s="1"/>
  <c r="CA186" i="6" s="1"/>
  <c r="AI375" i="18"/>
  <c r="AH375" i="18" s="1"/>
  <c r="AG375" i="18" s="1"/>
  <c r="AF375" i="18" s="1"/>
  <c r="AI343" i="18"/>
  <c r="AH343" i="18" s="1"/>
  <c r="AG343" i="18" s="1"/>
  <c r="AF343" i="18" s="1"/>
  <c r="AI319" i="18"/>
  <c r="AH319" i="18" s="1"/>
  <c r="AG319" i="18" s="1"/>
  <c r="AF319" i="18" s="1"/>
  <c r="AD319" i="18" s="1"/>
  <c r="AA319" i="18" s="1"/>
  <c r="Z319" i="18" s="1"/>
  <c r="Y319" i="18" s="1"/>
  <c r="AI255" i="18"/>
  <c r="AH255" i="18" s="1"/>
  <c r="AG255" i="18" s="1"/>
  <c r="AF255" i="18" s="1"/>
  <c r="AD255" i="18" s="1"/>
  <c r="AI191" i="18"/>
  <c r="AH191" i="18" s="1"/>
  <c r="AG191" i="18" s="1"/>
  <c r="AF191" i="18" s="1"/>
  <c r="AD191" i="18" s="1"/>
  <c r="AI298" i="18"/>
  <c r="AH298" i="18" s="1"/>
  <c r="AG298" i="18" s="1"/>
  <c r="AF298" i="18" s="1"/>
  <c r="AI234" i="18"/>
  <c r="AH234" i="18" s="1"/>
  <c r="AG234" i="18" s="1"/>
  <c r="AF234" i="18" s="1"/>
  <c r="AI170" i="18"/>
  <c r="AH170" i="18" s="1"/>
  <c r="AG170" i="18" s="1"/>
  <c r="AF170" i="18" s="1"/>
  <c r="AI106" i="18"/>
  <c r="AH106" i="18" s="1"/>
  <c r="AG106" i="18" s="1"/>
  <c r="AF106" i="18" s="1"/>
  <c r="AI117" i="18"/>
  <c r="AH117" i="18" s="1"/>
  <c r="AG117" i="18" s="1"/>
  <c r="AF117" i="18" s="1"/>
  <c r="AD117" i="18" s="1"/>
  <c r="AI86" i="18"/>
  <c r="AH86" i="18" s="1"/>
  <c r="AI169" i="18"/>
  <c r="AH169" i="18" s="1"/>
  <c r="AG169" i="18" s="1"/>
  <c r="AF169" i="18" s="1"/>
  <c r="AD169" i="18" s="1"/>
  <c r="AA169" i="18" s="1"/>
  <c r="Z169" i="18" s="1"/>
  <c r="Y169" i="18" s="1"/>
  <c r="AI105" i="18"/>
  <c r="AH105" i="18" s="1"/>
  <c r="AG105" i="18" s="1"/>
  <c r="AF105" i="18" s="1"/>
  <c r="AD105" i="18" s="1"/>
  <c r="AI41" i="18"/>
  <c r="AH41" i="18" s="1"/>
  <c r="AG41" i="18" s="1"/>
  <c r="AF41" i="18" s="1"/>
  <c r="AI126" i="18"/>
  <c r="AH126" i="18" s="1"/>
  <c r="AI254" i="18"/>
  <c r="AH254" i="18" s="1"/>
  <c r="AI211" i="18"/>
  <c r="AH211" i="18" s="1"/>
  <c r="AG211" i="18" s="1"/>
  <c r="AF211" i="18" s="1"/>
  <c r="AD211" i="18" s="1"/>
  <c r="AI339" i="18"/>
  <c r="AH339" i="18" s="1"/>
  <c r="AG339" i="18" s="1"/>
  <c r="AF339" i="18" s="1"/>
  <c r="AI118" i="18"/>
  <c r="AH118" i="18" s="1"/>
  <c r="AI203" i="18"/>
  <c r="AH203" i="18" s="1"/>
  <c r="AG203" i="18" s="1"/>
  <c r="AF203" i="18" s="1"/>
  <c r="AD203" i="18" s="1"/>
  <c r="AI219" i="18"/>
  <c r="AH219" i="18" s="1"/>
  <c r="AG219" i="18" s="1"/>
  <c r="AF219" i="18" s="1"/>
  <c r="AD219" i="18" s="1"/>
  <c r="G154" i="18"/>
  <c r="CA154" i="6" s="1"/>
  <c r="F144" i="18"/>
  <c r="H144" i="18" s="1"/>
  <c r="F120" i="18"/>
  <c r="G120" i="18" s="1"/>
  <c r="CA120" i="6" s="1"/>
  <c r="F58" i="18"/>
  <c r="G58" i="18" s="1"/>
  <c r="CA58" i="6" s="1"/>
  <c r="F230" i="18"/>
  <c r="G230" i="18" s="1"/>
  <c r="CA230" i="6" s="1"/>
  <c r="F146" i="18"/>
  <c r="G146" i="18" s="1"/>
  <c r="CA146" i="6" s="1"/>
  <c r="F130" i="18"/>
  <c r="G130" i="18" s="1"/>
  <c r="CA130" i="6" s="1"/>
  <c r="F82" i="18"/>
  <c r="G82" i="18" s="1"/>
  <c r="CA82" i="6" s="1"/>
  <c r="F181" i="18"/>
  <c r="H181" i="18" s="1"/>
  <c r="I225" i="17"/>
  <c r="F53" i="18"/>
  <c r="G53" i="18" s="1"/>
  <c r="CA53" i="6" s="1"/>
  <c r="F66" i="18"/>
  <c r="H66" i="18" s="1"/>
  <c r="F17" i="18"/>
  <c r="F172" i="18"/>
  <c r="G172" i="18" s="1"/>
  <c r="CA172" i="6" s="1"/>
  <c r="F116" i="18"/>
  <c r="G116" i="18" s="1"/>
  <c r="CA116" i="6" s="1"/>
  <c r="F52" i="18"/>
  <c r="H52" i="18" s="1"/>
  <c r="F246" i="18"/>
  <c r="G246" i="18" s="1"/>
  <c r="CA246" i="6" s="1"/>
  <c r="F74" i="18"/>
  <c r="G74" i="18" s="1"/>
  <c r="CA74" i="6" s="1"/>
  <c r="F270" i="18"/>
  <c r="G270" i="18" s="1"/>
  <c r="CA270" i="6" s="1"/>
  <c r="F138" i="18"/>
  <c r="G138" i="18" s="1"/>
  <c r="CA138" i="6" s="1"/>
  <c r="F136" i="18"/>
  <c r="G136" i="18" s="1"/>
  <c r="CA136" i="6" s="1"/>
  <c r="F112" i="18"/>
  <c r="H112" i="18" s="1"/>
  <c r="F90" i="18"/>
  <c r="H90" i="18" s="1"/>
  <c r="F48" i="18"/>
  <c r="G48" i="18" s="1"/>
  <c r="CA48" i="6" s="1"/>
  <c r="F32" i="18"/>
  <c r="G32" i="18" s="1"/>
  <c r="CA32" i="6" s="1"/>
  <c r="F16" i="18"/>
  <c r="G16" i="18" s="1"/>
  <c r="CA16" i="6" s="1"/>
  <c r="F129" i="18"/>
  <c r="H129" i="18" s="1"/>
  <c r="F254" i="18"/>
  <c r="G254" i="18" s="1"/>
  <c r="CA254" i="6" s="1"/>
  <c r="F176" i="18"/>
  <c r="G176" i="18" s="1"/>
  <c r="CA176" i="6" s="1"/>
  <c r="F152" i="18"/>
  <c r="G152" i="18" s="1"/>
  <c r="CA152" i="6" s="1"/>
  <c r="F72" i="18"/>
  <c r="G72" i="18" s="1"/>
  <c r="CA72" i="6" s="1"/>
  <c r="F133" i="18"/>
  <c r="G133" i="18" s="1"/>
  <c r="CA133" i="6" s="1"/>
  <c r="F260" i="18"/>
  <c r="G260" i="18" s="1"/>
  <c r="CA260" i="6" s="1"/>
  <c r="F244" i="18"/>
  <c r="G244" i="18" s="1"/>
  <c r="CA244" i="6" s="1"/>
  <c r="F168" i="18"/>
  <c r="H168" i="18" s="1"/>
  <c r="F96" i="18"/>
  <c r="G96" i="18" s="1"/>
  <c r="CA96" i="6" s="1"/>
  <c r="F97" i="18"/>
  <c r="G97" i="18" s="1"/>
  <c r="CA97" i="6" s="1"/>
  <c r="F128" i="18"/>
  <c r="G128" i="18" s="1"/>
  <c r="CA128" i="6" s="1"/>
  <c r="F42" i="18"/>
  <c r="G42" i="18" s="1"/>
  <c r="CA42" i="6" s="1"/>
  <c r="F160" i="18"/>
  <c r="H160" i="18" s="1"/>
  <c r="F165" i="18"/>
  <c r="G165" i="18" s="1"/>
  <c r="CA165" i="6" s="1"/>
  <c r="F49" i="18"/>
  <c r="H49" i="18" s="1"/>
  <c r="H170" i="18"/>
  <c r="J170" i="18" s="1"/>
  <c r="F190" i="18"/>
  <c r="G190" i="18" s="1"/>
  <c r="CA190" i="6" s="1"/>
  <c r="F122" i="18"/>
  <c r="H122" i="18" s="1"/>
  <c r="F106" i="18"/>
  <c r="G106" i="18" s="1"/>
  <c r="CA106" i="6" s="1"/>
  <c r="F104" i="18"/>
  <c r="G104" i="18" s="1"/>
  <c r="CA104" i="6" s="1"/>
  <c r="F80" i="18"/>
  <c r="G80" i="18" s="1"/>
  <c r="CA80" i="6" s="1"/>
  <c r="F40" i="18"/>
  <c r="H40" i="18" s="1"/>
  <c r="F26" i="18"/>
  <c r="F24" i="18"/>
  <c r="H24" i="18" s="1"/>
  <c r="AL10" i="16"/>
  <c r="AA9" i="16"/>
  <c r="AM8" i="16"/>
  <c r="AA382" i="16"/>
  <c r="F236" i="18"/>
  <c r="G236" i="18" s="1"/>
  <c r="CA236" i="6" s="1"/>
  <c r="F228" i="18"/>
  <c r="G228" i="18" s="1"/>
  <c r="CA228" i="6" s="1"/>
  <c r="F238" i="18"/>
  <c r="H238" i="18" s="1"/>
  <c r="F222" i="18"/>
  <c r="G222" i="18" s="1"/>
  <c r="CA222" i="6" s="1"/>
  <c r="F64" i="18"/>
  <c r="G64" i="18" s="1"/>
  <c r="CA64" i="6" s="1"/>
  <c r="F56" i="18"/>
  <c r="G56" i="18" s="1"/>
  <c r="CA56" i="6" s="1"/>
  <c r="F37" i="18"/>
  <c r="G37" i="18" s="1"/>
  <c r="CA37" i="6" s="1"/>
  <c r="V88" i="18"/>
  <c r="AA379" i="17"/>
  <c r="Z379" i="17" s="1"/>
  <c r="Y379" i="17" s="1"/>
  <c r="P188" i="18"/>
  <c r="V188" i="18" s="1"/>
  <c r="V333" i="18"/>
  <c r="S117" i="18"/>
  <c r="R117" i="18" s="1"/>
  <c r="P117" i="18" s="1"/>
  <c r="V117" i="18" s="1"/>
  <c r="I302" i="17"/>
  <c r="J369" i="17"/>
  <c r="J124" i="17"/>
  <c r="F153" i="18"/>
  <c r="G153" i="18" s="1"/>
  <c r="CA153" i="6" s="1"/>
  <c r="F57" i="18"/>
  <c r="G57" i="18" s="1"/>
  <c r="CA57" i="6" s="1"/>
  <c r="F200" i="18"/>
  <c r="G200" i="18" s="1"/>
  <c r="CA200" i="6" s="1"/>
  <c r="F184" i="18"/>
  <c r="H184" i="18" s="1"/>
  <c r="F132" i="18"/>
  <c r="H132" i="18" s="1"/>
  <c r="F192" i="18"/>
  <c r="H192" i="18" s="1"/>
  <c r="F264" i="18"/>
  <c r="H264" i="18" s="1"/>
  <c r="F208" i="18"/>
  <c r="G208" i="18" s="1"/>
  <c r="CA208" i="6" s="1"/>
  <c r="F156" i="18"/>
  <c r="G156" i="18" s="1"/>
  <c r="CA156" i="6" s="1"/>
  <c r="F20" i="18"/>
  <c r="G20" i="18" s="1"/>
  <c r="CA20" i="6" s="1"/>
  <c r="I281" i="17"/>
  <c r="F41" i="18"/>
  <c r="G41" i="18" s="1"/>
  <c r="CA41" i="6" s="1"/>
  <c r="F224" i="18"/>
  <c r="H224" i="18" s="1"/>
  <c r="F216" i="18"/>
  <c r="G216" i="18" s="1"/>
  <c r="CA216" i="6" s="1"/>
  <c r="F84" i="18"/>
  <c r="H84" i="18" s="1"/>
  <c r="F68" i="18"/>
  <c r="G68" i="18" s="1"/>
  <c r="CA68" i="6" s="1"/>
  <c r="F137" i="18"/>
  <c r="F124" i="18"/>
  <c r="H124" i="18" s="1"/>
  <c r="F44" i="18"/>
  <c r="G44" i="18" s="1"/>
  <c r="CA44" i="6" s="1"/>
  <c r="F121" i="18"/>
  <c r="G121" i="18" s="1"/>
  <c r="CA121" i="6" s="1"/>
  <c r="AG348" i="18"/>
  <c r="AF348" i="18" s="1"/>
  <c r="AD348" i="18" s="1"/>
  <c r="AA348" i="18" s="1"/>
  <c r="Z348" i="18" s="1"/>
  <c r="Y348" i="18" s="1"/>
  <c r="AH15" i="7"/>
  <c r="AI367" i="18"/>
  <c r="AH367" i="18" s="1"/>
  <c r="AI351" i="18"/>
  <c r="AH351" i="18" s="1"/>
  <c r="AI368" i="18"/>
  <c r="AH368" i="18" s="1"/>
  <c r="AI335" i="18"/>
  <c r="AH335" i="18" s="1"/>
  <c r="AG335" i="18" s="1"/>
  <c r="AF335" i="18" s="1"/>
  <c r="AI303" i="18"/>
  <c r="AH303" i="18" s="1"/>
  <c r="AG303" i="18" s="1"/>
  <c r="AF303" i="18" s="1"/>
  <c r="AD303" i="18" s="1"/>
  <c r="AI271" i="18"/>
  <c r="AH271" i="18" s="1"/>
  <c r="AG271" i="18" s="1"/>
  <c r="AF271" i="18" s="1"/>
  <c r="AD271" i="18" s="1"/>
  <c r="AI239" i="18"/>
  <c r="AH239" i="18" s="1"/>
  <c r="AG239" i="18" s="1"/>
  <c r="AF239" i="18" s="1"/>
  <c r="AD239" i="18" s="1"/>
  <c r="AI207" i="18"/>
  <c r="AH207" i="18" s="1"/>
  <c r="AG207" i="18" s="1"/>
  <c r="AF207" i="18" s="1"/>
  <c r="AD207" i="18" s="1"/>
  <c r="AI175" i="18"/>
  <c r="AH175" i="18" s="1"/>
  <c r="AG175" i="18" s="1"/>
  <c r="AF175" i="18" s="1"/>
  <c r="AD175" i="18" s="1"/>
  <c r="AI314" i="18"/>
  <c r="AH314" i="18" s="1"/>
  <c r="AI282" i="18"/>
  <c r="AH282" i="18" s="1"/>
  <c r="AG282" i="18" s="1"/>
  <c r="AF282" i="18" s="1"/>
  <c r="AI250" i="18"/>
  <c r="AH250" i="18" s="1"/>
  <c r="AI218" i="18"/>
  <c r="AH218" i="18" s="1"/>
  <c r="AG218" i="18" s="1"/>
  <c r="AF218" i="18" s="1"/>
  <c r="AI186" i="18"/>
  <c r="AH186" i="18" s="1"/>
  <c r="AG186" i="18" s="1"/>
  <c r="AF186" i="18" s="1"/>
  <c r="AI154" i="18"/>
  <c r="AH154" i="18" s="1"/>
  <c r="AI122" i="18"/>
  <c r="AH122" i="18" s="1"/>
  <c r="AI74" i="18"/>
  <c r="AH74" i="18" s="1"/>
  <c r="AI149" i="18"/>
  <c r="AH149" i="18" s="1"/>
  <c r="AG149" i="18" s="1"/>
  <c r="AF149" i="18" s="1"/>
  <c r="AD149" i="18" s="1"/>
  <c r="AI85" i="18"/>
  <c r="AH85" i="18" s="1"/>
  <c r="AG85" i="18" s="1"/>
  <c r="AF85" i="18" s="1"/>
  <c r="AD85" i="18" s="1"/>
  <c r="AI102" i="18"/>
  <c r="AH102" i="18" s="1"/>
  <c r="AG102" i="18" s="1"/>
  <c r="AF102" i="18" s="1"/>
  <c r="AD102" i="18" s="1"/>
  <c r="AA102" i="18" s="1"/>
  <c r="Z102" i="18" s="1"/>
  <c r="Y102" i="18" s="1"/>
  <c r="AI70" i="18"/>
  <c r="AH70" i="18" s="1"/>
  <c r="AG70" i="18" s="1"/>
  <c r="AF70" i="18" s="1"/>
  <c r="AI38" i="18"/>
  <c r="AH38" i="18" s="1"/>
  <c r="AI153" i="18"/>
  <c r="AH153" i="18" s="1"/>
  <c r="AG153" i="18" s="1"/>
  <c r="AF153" i="18" s="1"/>
  <c r="AD153" i="18" s="1"/>
  <c r="AI121" i="18"/>
  <c r="AH121" i="18" s="1"/>
  <c r="AG121" i="18" s="1"/>
  <c r="AF121" i="18" s="1"/>
  <c r="AI89" i="18"/>
  <c r="AH89" i="18" s="1"/>
  <c r="AG89" i="18" s="1"/>
  <c r="AF89" i="18" s="1"/>
  <c r="AD89" i="18" s="1"/>
  <c r="AI57" i="18"/>
  <c r="AH57" i="18" s="1"/>
  <c r="AG57" i="18" s="1"/>
  <c r="AF57" i="18" s="1"/>
  <c r="AD57" i="18" s="1"/>
  <c r="P240" i="18"/>
  <c r="V240" i="18" s="1"/>
  <c r="AI93" i="18"/>
  <c r="AH93" i="18" s="1"/>
  <c r="AG93" i="18" s="1"/>
  <c r="AF93" i="18" s="1"/>
  <c r="AD93" i="18" s="1"/>
  <c r="AI82" i="18"/>
  <c r="AH82" i="18" s="1"/>
  <c r="AI158" i="18"/>
  <c r="AH158" i="18" s="1"/>
  <c r="AI222" i="18"/>
  <c r="AH222" i="18" s="1"/>
  <c r="AG222" i="18" s="1"/>
  <c r="AF222" i="18" s="1"/>
  <c r="AI286" i="18"/>
  <c r="AH286" i="18" s="1"/>
  <c r="AI179" i="18"/>
  <c r="AH179" i="18" s="1"/>
  <c r="AG179" i="18" s="1"/>
  <c r="AF179" i="18" s="1"/>
  <c r="AD179" i="18" s="1"/>
  <c r="AI243" i="18"/>
  <c r="AH243" i="18" s="1"/>
  <c r="AG243" i="18" s="1"/>
  <c r="AF243" i="18" s="1"/>
  <c r="AD243" i="18" s="1"/>
  <c r="AI307" i="18"/>
  <c r="AH307" i="18" s="1"/>
  <c r="AG307" i="18" s="1"/>
  <c r="AF307" i="18" s="1"/>
  <c r="AD307" i="18" s="1"/>
  <c r="AI372" i="18"/>
  <c r="AH372" i="18" s="1"/>
  <c r="AI369" i="18"/>
  <c r="AH369" i="18" s="1"/>
  <c r="AG369" i="18" s="1"/>
  <c r="AF369" i="18" s="1"/>
  <c r="AD369" i="18" s="1"/>
  <c r="AI141" i="18"/>
  <c r="AH141" i="18" s="1"/>
  <c r="AG141" i="18" s="1"/>
  <c r="AF141" i="18" s="1"/>
  <c r="AD141" i="18" s="1"/>
  <c r="AA141" i="18" s="1"/>
  <c r="Z141" i="18" s="1"/>
  <c r="Y141" i="18" s="1"/>
  <c r="AI182" i="18"/>
  <c r="AH182" i="18" s="1"/>
  <c r="AG182" i="18" s="1"/>
  <c r="AF182" i="18" s="1"/>
  <c r="AI310" i="18"/>
  <c r="AH310" i="18" s="1"/>
  <c r="AG310" i="18" s="1"/>
  <c r="AF310" i="18" s="1"/>
  <c r="AI267" i="18"/>
  <c r="AH267" i="18" s="1"/>
  <c r="AG267" i="18" s="1"/>
  <c r="AF267" i="18" s="1"/>
  <c r="AI349" i="18"/>
  <c r="AH349" i="18" s="1"/>
  <c r="AG349" i="18" s="1"/>
  <c r="AF349" i="18" s="1"/>
  <c r="AD349" i="18" s="1"/>
  <c r="AI45" i="18"/>
  <c r="AH45" i="18" s="1"/>
  <c r="AG45" i="18" s="1"/>
  <c r="AF45" i="18" s="1"/>
  <c r="AD45" i="18" s="1"/>
  <c r="AI262" i="18"/>
  <c r="AH262" i="18" s="1"/>
  <c r="AG262" i="18" s="1"/>
  <c r="AF262" i="18" s="1"/>
  <c r="J37" i="19"/>
  <c r="AI29" i="18"/>
  <c r="AH29" i="18" s="1"/>
  <c r="AG29" i="18" s="1"/>
  <c r="AF29" i="18" s="1"/>
  <c r="AD29" i="18" s="1"/>
  <c r="AI109" i="18"/>
  <c r="AH109" i="18" s="1"/>
  <c r="AG109" i="18" s="1"/>
  <c r="AF109" i="18" s="1"/>
  <c r="AD109" i="18" s="1"/>
  <c r="AA109" i="18" s="1"/>
  <c r="Z109" i="18" s="1"/>
  <c r="Y109" i="18" s="1"/>
  <c r="AI166" i="18"/>
  <c r="AH166" i="18" s="1"/>
  <c r="AI294" i="18"/>
  <c r="AH294" i="18" s="1"/>
  <c r="AI251" i="18"/>
  <c r="AH251" i="18" s="1"/>
  <c r="AG251" i="18" s="1"/>
  <c r="AF251" i="18" s="1"/>
  <c r="AD251" i="18" s="1"/>
  <c r="AI341" i="18"/>
  <c r="AH341" i="18" s="1"/>
  <c r="AG341" i="18" s="1"/>
  <c r="AF341" i="18" s="1"/>
  <c r="AD341" i="18" s="1"/>
  <c r="AI98" i="18"/>
  <c r="AH98" i="18" s="1"/>
  <c r="AI230" i="18"/>
  <c r="AH230" i="18" s="1"/>
  <c r="AI187" i="18"/>
  <c r="AH187" i="18" s="1"/>
  <c r="AG187" i="18" s="1"/>
  <c r="AF187" i="18" s="1"/>
  <c r="AD187" i="18" s="1"/>
  <c r="AI315" i="18"/>
  <c r="AH315" i="18" s="1"/>
  <c r="AG315" i="18" s="1"/>
  <c r="AF315" i="18" s="1"/>
  <c r="AD315" i="18" s="1"/>
  <c r="AA315" i="18" s="1"/>
  <c r="Z315" i="18" s="1"/>
  <c r="Y315" i="18" s="1"/>
  <c r="AI373" i="18"/>
  <c r="AH373" i="18" s="1"/>
  <c r="AG373" i="18" s="1"/>
  <c r="AF373" i="18" s="1"/>
  <c r="AD373" i="18" s="1"/>
  <c r="F89" i="18"/>
  <c r="G89" i="18" s="1"/>
  <c r="CA89" i="6" s="1"/>
  <c r="AD138" i="18"/>
  <c r="AD266" i="18"/>
  <c r="AD112" i="18"/>
  <c r="AD318" i="18"/>
  <c r="AD121" i="18"/>
  <c r="AD234" i="18"/>
  <c r="AD335" i="18"/>
  <c r="F327" i="18"/>
  <c r="G327" i="18" s="1"/>
  <c r="CA327" i="6" s="1"/>
  <c r="AI378" i="18"/>
  <c r="AH378" i="18" s="1"/>
  <c r="AG378" i="18" s="1"/>
  <c r="AF378" i="18" s="1"/>
  <c r="AI370" i="18"/>
  <c r="AH370" i="18" s="1"/>
  <c r="AI362" i="18"/>
  <c r="AH362" i="18" s="1"/>
  <c r="AI354" i="18"/>
  <c r="AH354" i="18" s="1"/>
  <c r="AG354" i="18" s="1"/>
  <c r="AF354" i="18" s="1"/>
  <c r="AI346" i="18"/>
  <c r="AH346" i="18" s="1"/>
  <c r="AG346" i="18" s="1"/>
  <c r="AF346" i="18" s="1"/>
  <c r="AD346" i="18" s="1"/>
  <c r="AI337" i="18"/>
  <c r="AH337" i="18" s="1"/>
  <c r="AG337" i="18" s="1"/>
  <c r="AF337" i="18" s="1"/>
  <c r="AI329" i="18"/>
  <c r="AH329" i="18" s="1"/>
  <c r="AI321" i="18"/>
  <c r="AH321" i="18" s="1"/>
  <c r="AI313" i="18"/>
  <c r="AH313" i="18" s="1"/>
  <c r="AI305" i="18"/>
  <c r="AH305" i="18" s="1"/>
  <c r="AI297" i="18"/>
  <c r="AH297" i="18" s="1"/>
  <c r="AI289" i="18"/>
  <c r="AH289" i="18" s="1"/>
  <c r="AI281" i="18"/>
  <c r="AH281" i="18" s="1"/>
  <c r="AG281" i="18" s="1"/>
  <c r="AF281" i="18" s="1"/>
  <c r="AD281" i="18" s="1"/>
  <c r="AI273" i="18"/>
  <c r="AH273" i="18" s="1"/>
  <c r="AG273" i="18" s="1"/>
  <c r="AF273" i="18" s="1"/>
  <c r="AI265" i="18"/>
  <c r="AH265" i="18" s="1"/>
  <c r="AI257" i="18"/>
  <c r="AH257" i="18" s="1"/>
  <c r="AG257" i="18" s="1"/>
  <c r="AF257" i="18" s="1"/>
  <c r="AD257" i="18" s="1"/>
  <c r="AI249" i="18"/>
  <c r="AH249" i="18" s="1"/>
  <c r="AG249" i="18" s="1"/>
  <c r="AF249" i="18" s="1"/>
  <c r="AD249" i="18" s="1"/>
  <c r="AI241" i="18"/>
  <c r="AH241" i="18" s="1"/>
  <c r="AG241" i="18" s="1"/>
  <c r="AF241" i="18" s="1"/>
  <c r="AD241" i="18" s="1"/>
  <c r="AI233" i="18"/>
  <c r="AH233" i="18" s="1"/>
  <c r="AG233" i="18" s="1"/>
  <c r="AF233" i="18" s="1"/>
  <c r="AD233" i="18" s="1"/>
  <c r="AI225" i="18"/>
  <c r="AH225" i="18" s="1"/>
  <c r="AG225" i="18" s="1"/>
  <c r="AF225" i="18" s="1"/>
  <c r="AD225" i="18" s="1"/>
  <c r="AI217" i="18"/>
  <c r="AH217" i="18" s="1"/>
  <c r="AG217" i="18" s="1"/>
  <c r="AF217" i="18" s="1"/>
  <c r="AD217" i="18" s="1"/>
  <c r="AI209" i="18"/>
  <c r="AH209" i="18" s="1"/>
  <c r="AG209" i="18" s="1"/>
  <c r="AF209" i="18" s="1"/>
  <c r="AD209" i="18" s="1"/>
  <c r="AI201" i="18"/>
  <c r="AH201" i="18" s="1"/>
  <c r="AG201" i="18" s="1"/>
  <c r="AF201" i="18" s="1"/>
  <c r="AD201" i="18" s="1"/>
  <c r="AI193" i="18"/>
  <c r="AH193" i="18" s="1"/>
  <c r="AG193" i="18" s="1"/>
  <c r="AF193" i="18" s="1"/>
  <c r="AD193" i="18" s="1"/>
  <c r="AI185" i="18"/>
  <c r="AH185" i="18" s="1"/>
  <c r="AG185" i="18" s="1"/>
  <c r="AF185" i="18" s="1"/>
  <c r="AD185" i="18" s="1"/>
  <c r="AI177" i="18"/>
  <c r="AH177" i="18" s="1"/>
  <c r="AG177" i="18" s="1"/>
  <c r="AF177" i="18" s="1"/>
  <c r="AD177" i="18" s="1"/>
  <c r="AI340" i="18"/>
  <c r="AH340" i="18" s="1"/>
  <c r="AI332" i="18"/>
  <c r="AH332" i="18" s="1"/>
  <c r="AG332" i="18" s="1"/>
  <c r="AF332" i="18" s="1"/>
  <c r="AI324" i="18"/>
  <c r="AH324" i="18" s="1"/>
  <c r="AI316" i="18"/>
  <c r="AH316" i="18" s="1"/>
  <c r="AG316" i="18" s="1"/>
  <c r="AF316" i="18" s="1"/>
  <c r="AD316" i="18" s="1"/>
  <c r="AI308" i="18"/>
  <c r="AH308" i="18" s="1"/>
  <c r="AI300" i="18"/>
  <c r="AH300" i="18" s="1"/>
  <c r="AI292" i="18"/>
  <c r="AH292" i="18" s="1"/>
  <c r="AG292" i="18" s="1"/>
  <c r="AF292" i="18" s="1"/>
  <c r="AI284" i="18"/>
  <c r="AH284" i="18" s="1"/>
  <c r="AG284" i="18" s="1"/>
  <c r="AF284" i="18" s="1"/>
  <c r="AD284" i="18" s="1"/>
  <c r="AI276" i="18"/>
  <c r="AH276" i="18" s="1"/>
  <c r="AI268" i="18"/>
  <c r="AH268" i="18" s="1"/>
  <c r="AI260" i="18"/>
  <c r="AH260" i="18" s="1"/>
  <c r="AG260" i="18" s="1"/>
  <c r="AF260" i="18" s="1"/>
  <c r="AI252" i="18"/>
  <c r="AH252" i="18" s="1"/>
  <c r="AI244" i="18"/>
  <c r="AH244" i="18" s="1"/>
  <c r="AG244" i="18" s="1"/>
  <c r="AF244" i="18" s="1"/>
  <c r="AD244" i="18" s="1"/>
  <c r="AA244" i="18" s="1"/>
  <c r="Z244" i="18" s="1"/>
  <c r="Y244" i="18" s="1"/>
  <c r="AI236" i="18"/>
  <c r="AH236" i="18" s="1"/>
  <c r="AI228" i="18"/>
  <c r="AH228" i="18" s="1"/>
  <c r="AG228" i="18" s="1"/>
  <c r="AF228" i="18" s="1"/>
  <c r="AD228" i="18" s="1"/>
  <c r="AI220" i="18"/>
  <c r="AH220" i="18" s="1"/>
  <c r="AI212" i="18"/>
  <c r="AH212" i="18" s="1"/>
  <c r="AI204" i="18"/>
  <c r="AH204" i="18" s="1"/>
  <c r="AG204" i="18" s="1"/>
  <c r="AF204" i="18" s="1"/>
  <c r="AI196" i="18"/>
  <c r="AH196" i="18" s="1"/>
  <c r="AI188" i="18"/>
  <c r="AH188" i="18" s="1"/>
  <c r="AI180" i="18"/>
  <c r="AH180" i="18" s="1"/>
  <c r="AG180" i="18" s="1"/>
  <c r="AF180" i="18" s="1"/>
  <c r="AI172" i="18"/>
  <c r="AH172" i="18" s="1"/>
  <c r="AI164" i="18"/>
  <c r="AH164" i="18" s="1"/>
  <c r="AI156" i="18"/>
  <c r="AH156" i="18" s="1"/>
  <c r="AI148" i="18"/>
  <c r="AH148" i="18" s="1"/>
  <c r="AI140" i="18"/>
  <c r="AH140" i="18" s="1"/>
  <c r="AG140" i="18" s="1"/>
  <c r="AF140" i="18" s="1"/>
  <c r="AD140" i="18" s="1"/>
  <c r="AI132" i="18"/>
  <c r="AH132" i="18" s="1"/>
  <c r="AI124" i="18"/>
  <c r="AH124" i="18" s="1"/>
  <c r="AG124" i="18" s="1"/>
  <c r="AF124" i="18" s="1"/>
  <c r="AD124" i="18" s="1"/>
  <c r="AI116" i="18"/>
  <c r="AH116" i="18" s="1"/>
  <c r="AI108" i="18"/>
  <c r="AH108" i="18" s="1"/>
  <c r="AI100" i="18"/>
  <c r="AH100" i="18" s="1"/>
  <c r="AI92" i="18"/>
  <c r="AH92" i="18" s="1"/>
  <c r="AI84" i="18"/>
  <c r="AH84" i="18" s="1"/>
  <c r="AG84" i="18" s="1"/>
  <c r="AF84" i="18" s="1"/>
  <c r="AD84" i="18" s="1"/>
  <c r="AI76" i="18"/>
  <c r="AH76" i="18" s="1"/>
  <c r="AG76" i="18" s="1"/>
  <c r="AF76" i="18" s="1"/>
  <c r="AD76" i="18" s="1"/>
  <c r="AA76" i="18" s="1"/>
  <c r="Z76" i="18" s="1"/>
  <c r="Y76" i="18" s="1"/>
  <c r="AI68" i="18"/>
  <c r="AH68" i="18" s="1"/>
  <c r="AI60" i="18"/>
  <c r="AH60" i="18" s="1"/>
  <c r="AI52" i="18"/>
  <c r="AH52" i="18" s="1"/>
  <c r="AI44" i="18"/>
  <c r="AH44" i="18" s="1"/>
  <c r="AG44" i="18" s="1"/>
  <c r="AF44" i="18" s="1"/>
  <c r="AD44" i="18" s="1"/>
  <c r="AI36" i="18"/>
  <c r="AH36" i="18" s="1"/>
  <c r="AI167" i="18"/>
  <c r="AH167" i="18" s="1"/>
  <c r="AG167" i="18" s="1"/>
  <c r="AF167" i="18" s="1"/>
  <c r="AD167" i="18" s="1"/>
  <c r="AI159" i="18"/>
  <c r="AH159" i="18" s="1"/>
  <c r="AG159" i="18" s="1"/>
  <c r="AF159" i="18" s="1"/>
  <c r="AD159" i="18" s="1"/>
  <c r="AI151" i="18"/>
  <c r="AH151" i="18" s="1"/>
  <c r="AG151" i="18" s="1"/>
  <c r="AF151" i="18" s="1"/>
  <c r="AD151" i="18" s="1"/>
  <c r="AI143" i="18"/>
  <c r="AH143" i="18" s="1"/>
  <c r="AG143" i="18" s="1"/>
  <c r="AF143" i="18" s="1"/>
  <c r="AD143" i="18" s="1"/>
  <c r="AI135" i="18"/>
  <c r="AH135" i="18" s="1"/>
  <c r="AG135" i="18" s="1"/>
  <c r="AF135" i="18" s="1"/>
  <c r="AD135" i="18" s="1"/>
  <c r="AI127" i="18"/>
  <c r="AH127" i="18" s="1"/>
  <c r="AG127" i="18" s="1"/>
  <c r="AF127" i="18" s="1"/>
  <c r="AD127" i="18" s="1"/>
  <c r="AI119" i="18"/>
  <c r="AH119" i="18" s="1"/>
  <c r="AG119" i="18" s="1"/>
  <c r="AF119" i="18" s="1"/>
  <c r="AD119" i="18" s="1"/>
  <c r="AI111" i="18"/>
  <c r="AH111" i="18" s="1"/>
  <c r="AG111" i="18" s="1"/>
  <c r="AF111" i="18" s="1"/>
  <c r="AD111" i="18" s="1"/>
  <c r="AI103" i="18"/>
  <c r="AH103" i="18" s="1"/>
  <c r="AG103" i="18" s="1"/>
  <c r="AF103" i="18" s="1"/>
  <c r="AD103" i="18" s="1"/>
  <c r="AI95" i="18"/>
  <c r="AH95" i="18" s="1"/>
  <c r="AG95" i="18" s="1"/>
  <c r="AF95" i="18" s="1"/>
  <c r="AD95" i="18" s="1"/>
  <c r="AI87" i="18"/>
  <c r="AH87" i="18" s="1"/>
  <c r="AG87" i="18" s="1"/>
  <c r="AF87" i="18" s="1"/>
  <c r="AD87" i="18" s="1"/>
  <c r="AI79" i="18"/>
  <c r="AH79" i="18" s="1"/>
  <c r="AG79" i="18" s="1"/>
  <c r="AF79" i="18" s="1"/>
  <c r="AD79" i="18" s="1"/>
  <c r="AI71" i="18"/>
  <c r="AH71" i="18" s="1"/>
  <c r="AG71" i="18" s="1"/>
  <c r="AF71" i="18" s="1"/>
  <c r="AD71" i="18" s="1"/>
  <c r="AI63" i="18"/>
  <c r="AH63" i="18" s="1"/>
  <c r="AG63" i="18" s="1"/>
  <c r="AF63" i="18" s="1"/>
  <c r="AD63" i="18" s="1"/>
  <c r="AI55" i="18"/>
  <c r="AH55" i="18" s="1"/>
  <c r="AG55" i="18" s="1"/>
  <c r="AF55" i="18" s="1"/>
  <c r="AD55" i="18" s="1"/>
  <c r="AI47" i="18"/>
  <c r="AH47" i="18" s="1"/>
  <c r="AG47" i="18" s="1"/>
  <c r="AF47" i="18" s="1"/>
  <c r="AD47" i="18" s="1"/>
  <c r="AI39" i="18"/>
  <c r="AH39" i="18" s="1"/>
  <c r="AG39" i="18" s="1"/>
  <c r="AF39" i="18" s="1"/>
  <c r="AD39" i="18" s="1"/>
  <c r="AI31" i="18"/>
  <c r="AH31" i="18" s="1"/>
  <c r="AG31" i="18" s="1"/>
  <c r="AF31" i="18" s="1"/>
  <c r="AD31" i="18" s="1"/>
  <c r="AI379" i="18"/>
  <c r="AI371" i="18"/>
  <c r="AH371" i="18" s="1"/>
  <c r="AI363" i="18"/>
  <c r="AH363" i="18" s="1"/>
  <c r="AI355" i="18"/>
  <c r="AH355" i="18" s="1"/>
  <c r="AI347" i="18"/>
  <c r="AH347" i="18" s="1"/>
  <c r="AI376" i="18"/>
  <c r="AH376" i="18" s="1"/>
  <c r="AI360" i="18"/>
  <c r="AH360" i="18" s="1"/>
  <c r="AI344" i="18"/>
  <c r="AH344" i="18" s="1"/>
  <c r="AI327" i="18"/>
  <c r="AH327" i="18" s="1"/>
  <c r="AG327" i="18" s="1"/>
  <c r="AF327" i="18" s="1"/>
  <c r="AD327" i="18" s="1"/>
  <c r="AI311" i="18"/>
  <c r="AH311" i="18" s="1"/>
  <c r="AI295" i="18"/>
  <c r="AH295" i="18" s="1"/>
  <c r="AI279" i="18"/>
  <c r="AH279" i="18" s="1"/>
  <c r="AG279" i="18" s="1"/>
  <c r="AF279" i="18" s="1"/>
  <c r="AD279" i="18" s="1"/>
  <c r="AI263" i="18"/>
  <c r="AH263" i="18" s="1"/>
  <c r="AG263" i="18" s="1"/>
  <c r="AF263" i="18" s="1"/>
  <c r="AD263" i="18" s="1"/>
  <c r="AI247" i="18"/>
  <c r="AH247" i="18" s="1"/>
  <c r="AG247" i="18" s="1"/>
  <c r="AF247" i="18" s="1"/>
  <c r="AD247" i="18" s="1"/>
  <c r="AI231" i="18"/>
  <c r="AH231" i="18" s="1"/>
  <c r="AG231" i="18" s="1"/>
  <c r="AF231" i="18" s="1"/>
  <c r="AD231" i="18" s="1"/>
  <c r="AI215" i="18"/>
  <c r="AH215" i="18" s="1"/>
  <c r="AG215" i="18" s="1"/>
  <c r="AF215" i="18" s="1"/>
  <c r="AD215" i="18" s="1"/>
  <c r="AI199" i="18"/>
  <c r="AH199" i="18" s="1"/>
  <c r="AG199" i="18" s="1"/>
  <c r="AF199" i="18" s="1"/>
  <c r="AD199" i="18" s="1"/>
  <c r="AI183" i="18"/>
  <c r="AH183" i="18" s="1"/>
  <c r="AG183" i="18" s="1"/>
  <c r="AF183" i="18" s="1"/>
  <c r="AD183" i="18" s="1"/>
  <c r="AI338" i="18"/>
  <c r="AH338" i="18" s="1"/>
  <c r="AI322" i="18"/>
  <c r="AH322" i="18" s="1"/>
  <c r="AI306" i="18"/>
  <c r="AH306" i="18" s="1"/>
  <c r="AI290" i="18"/>
  <c r="AH290" i="18" s="1"/>
  <c r="AI274" i="18"/>
  <c r="AH274" i="18" s="1"/>
  <c r="AI258" i="18"/>
  <c r="AH258" i="18" s="1"/>
  <c r="AI242" i="18"/>
  <c r="AH242" i="18" s="1"/>
  <c r="AI226" i="18"/>
  <c r="AH226" i="18" s="1"/>
  <c r="AI210" i="18"/>
  <c r="AH210" i="18" s="1"/>
  <c r="AI194" i="18"/>
  <c r="AH194" i="18" s="1"/>
  <c r="AI178" i="18"/>
  <c r="AH178" i="18" s="1"/>
  <c r="AI162" i="18"/>
  <c r="AH162" i="18" s="1"/>
  <c r="AI146" i="18"/>
  <c r="AH146" i="18" s="1"/>
  <c r="AI130" i="18"/>
  <c r="AH130" i="18" s="1"/>
  <c r="AI114" i="18"/>
  <c r="AH114" i="18" s="1"/>
  <c r="AI90" i="18"/>
  <c r="AH90" i="18" s="1"/>
  <c r="AI58" i="18"/>
  <c r="AH58" i="18" s="1"/>
  <c r="AI165" i="18"/>
  <c r="AH165" i="18" s="1"/>
  <c r="AI133" i="18"/>
  <c r="AH133" i="18" s="1"/>
  <c r="AG133" i="18" s="1"/>
  <c r="AF133" i="18" s="1"/>
  <c r="AD133" i="18" s="1"/>
  <c r="AI101" i="18"/>
  <c r="AH101" i="18" s="1"/>
  <c r="AG101" i="18" s="1"/>
  <c r="AF101" i="18" s="1"/>
  <c r="AD101" i="18" s="1"/>
  <c r="AA101" i="18" s="1"/>
  <c r="Z101" i="18" s="1"/>
  <c r="Y101" i="18" s="1"/>
  <c r="AI69" i="18"/>
  <c r="AH69" i="18" s="1"/>
  <c r="AI37" i="18"/>
  <c r="AH37" i="18" s="1"/>
  <c r="AG37" i="18" s="1"/>
  <c r="AF37" i="18" s="1"/>
  <c r="AD37" i="18" s="1"/>
  <c r="AI94" i="18"/>
  <c r="AH94" i="18" s="1"/>
  <c r="AI78" i="18"/>
  <c r="AH78" i="18" s="1"/>
  <c r="AI62" i="18"/>
  <c r="AH62" i="18" s="1"/>
  <c r="AI46" i="18"/>
  <c r="AH46" i="18" s="1"/>
  <c r="AI30" i="18"/>
  <c r="AH30" i="18" s="1"/>
  <c r="AI161" i="18"/>
  <c r="AH161" i="18" s="1"/>
  <c r="AG161" i="18" s="1"/>
  <c r="AF161" i="18" s="1"/>
  <c r="AD161" i="18" s="1"/>
  <c r="AI145" i="18"/>
  <c r="AH145" i="18" s="1"/>
  <c r="AG145" i="18" s="1"/>
  <c r="AF145" i="18" s="1"/>
  <c r="AD145" i="18" s="1"/>
  <c r="AI129" i="18"/>
  <c r="AH129" i="18" s="1"/>
  <c r="AG129" i="18" s="1"/>
  <c r="AF129" i="18" s="1"/>
  <c r="AD129" i="18" s="1"/>
  <c r="AI113" i="18"/>
  <c r="AH113" i="18" s="1"/>
  <c r="AG113" i="18" s="1"/>
  <c r="AF113" i="18" s="1"/>
  <c r="AD113" i="18" s="1"/>
  <c r="AA113" i="18" s="1"/>
  <c r="Z113" i="18" s="1"/>
  <c r="Y113" i="18" s="1"/>
  <c r="AI97" i="18"/>
  <c r="AH97" i="18" s="1"/>
  <c r="AG97" i="18" s="1"/>
  <c r="AF97" i="18" s="1"/>
  <c r="AD97" i="18" s="1"/>
  <c r="AI81" i="18"/>
  <c r="AH81" i="18" s="1"/>
  <c r="AI65" i="18"/>
  <c r="AH65" i="18" s="1"/>
  <c r="AI49" i="18"/>
  <c r="AH49" i="18" s="1"/>
  <c r="AG49" i="18" s="1"/>
  <c r="AF49" i="18" s="1"/>
  <c r="AD49" i="18" s="1"/>
  <c r="AI33" i="18"/>
  <c r="AH33" i="18" s="1"/>
  <c r="AG33" i="18" s="1"/>
  <c r="AF33" i="18" s="1"/>
  <c r="AD33" i="18" s="1"/>
  <c r="AA33" i="18" s="1"/>
  <c r="Z33" i="18" s="1"/>
  <c r="Y33" i="18" s="1"/>
  <c r="P36" i="18"/>
  <c r="V36" i="18" s="1"/>
  <c r="AI61" i="18"/>
  <c r="AH61" i="18" s="1"/>
  <c r="AG61" i="18" s="1"/>
  <c r="AF61" i="18" s="1"/>
  <c r="AD61" i="18" s="1"/>
  <c r="AA61" i="18" s="1"/>
  <c r="Z61" i="18" s="1"/>
  <c r="Y61" i="18" s="1"/>
  <c r="AI125" i="18"/>
  <c r="AH125" i="18" s="1"/>
  <c r="AG125" i="18" s="1"/>
  <c r="AF125" i="18" s="1"/>
  <c r="AD125" i="18" s="1"/>
  <c r="AA125" i="18" s="1"/>
  <c r="Z125" i="18" s="1"/>
  <c r="Y125" i="18" s="1"/>
  <c r="AI50" i="18"/>
  <c r="AH50" i="18" s="1"/>
  <c r="AI110" i="18"/>
  <c r="AH110" i="18" s="1"/>
  <c r="AI142" i="18"/>
  <c r="AH142" i="18" s="1"/>
  <c r="AI174" i="18"/>
  <c r="AH174" i="18" s="1"/>
  <c r="AI206" i="18"/>
  <c r="AH206" i="18" s="1"/>
  <c r="AI238" i="18"/>
  <c r="AH238" i="18" s="1"/>
  <c r="AI270" i="18"/>
  <c r="AH270" i="18" s="1"/>
  <c r="AI302" i="18"/>
  <c r="AH302" i="18" s="1"/>
  <c r="AI334" i="18"/>
  <c r="AH334" i="18" s="1"/>
  <c r="AI195" i="18"/>
  <c r="AH195" i="18" s="1"/>
  <c r="AG195" i="18" s="1"/>
  <c r="AF195" i="18" s="1"/>
  <c r="AD195" i="18" s="1"/>
  <c r="AI227" i="18"/>
  <c r="AH227" i="18" s="1"/>
  <c r="AG227" i="18" s="1"/>
  <c r="AF227" i="18" s="1"/>
  <c r="AD227" i="18" s="1"/>
  <c r="AI259" i="18"/>
  <c r="AH259" i="18" s="1"/>
  <c r="AG259" i="18" s="1"/>
  <c r="AF259" i="18" s="1"/>
  <c r="AD259" i="18" s="1"/>
  <c r="AI291" i="18"/>
  <c r="AH291" i="18" s="1"/>
  <c r="AG291" i="18" s="1"/>
  <c r="AF291" i="18" s="1"/>
  <c r="AD291" i="18" s="1"/>
  <c r="AI323" i="18"/>
  <c r="AH323" i="18" s="1"/>
  <c r="AG323" i="18" s="1"/>
  <c r="AF323" i="18" s="1"/>
  <c r="AD323" i="18" s="1"/>
  <c r="AA323" i="18" s="1"/>
  <c r="Z323" i="18" s="1"/>
  <c r="Y323" i="18" s="1"/>
  <c r="AI356" i="18"/>
  <c r="AH356" i="18" s="1"/>
  <c r="AI345" i="18"/>
  <c r="AH345" i="18" s="1"/>
  <c r="AI361" i="18"/>
  <c r="AH361" i="18" s="1"/>
  <c r="AI377" i="18"/>
  <c r="AH377" i="18" s="1"/>
  <c r="AG377" i="18" s="1"/>
  <c r="AF377" i="18" s="1"/>
  <c r="AD377" i="18" s="1"/>
  <c r="AI77" i="18"/>
  <c r="AH77" i="18" s="1"/>
  <c r="AI66" i="18"/>
  <c r="AH66" i="18" s="1"/>
  <c r="AI150" i="18"/>
  <c r="AH150" i="18" s="1"/>
  <c r="AI214" i="18"/>
  <c r="AH214" i="18" s="1"/>
  <c r="AI278" i="18"/>
  <c r="AH278" i="18" s="1"/>
  <c r="AI171" i="18"/>
  <c r="AH171" i="18" s="1"/>
  <c r="AG171" i="18" s="1"/>
  <c r="AF171" i="18" s="1"/>
  <c r="AD171" i="18" s="1"/>
  <c r="AI235" i="18"/>
  <c r="AH235" i="18" s="1"/>
  <c r="AG235" i="18" s="1"/>
  <c r="AF235" i="18" s="1"/>
  <c r="AD235" i="18" s="1"/>
  <c r="AI299" i="18"/>
  <c r="AH299" i="18" s="1"/>
  <c r="AG299" i="18" s="1"/>
  <c r="AF299" i="18" s="1"/>
  <c r="AD299" i="18" s="1"/>
  <c r="AI364" i="18"/>
  <c r="AH364" i="18" s="1"/>
  <c r="AI365" i="18"/>
  <c r="AH365" i="18" s="1"/>
  <c r="AI34" i="18"/>
  <c r="AH34" i="18" s="1"/>
  <c r="AI198" i="18"/>
  <c r="AH198" i="18" s="1"/>
  <c r="AI326" i="18"/>
  <c r="AH326" i="18" s="1"/>
  <c r="AI283" i="18"/>
  <c r="AH283" i="18" s="1"/>
  <c r="AG283" i="18" s="1"/>
  <c r="AF283" i="18" s="1"/>
  <c r="AD283" i="18" s="1"/>
  <c r="AI357" i="18"/>
  <c r="AH357" i="18" s="1"/>
  <c r="S268" i="18"/>
  <c r="R268" i="18" s="1"/>
  <c r="P268" i="18" s="1"/>
  <c r="F290" i="18"/>
  <c r="G290" i="18" s="1"/>
  <c r="CA290" i="6" s="1"/>
  <c r="F235" i="18"/>
  <c r="F95" i="18"/>
  <c r="G95" i="18" s="1"/>
  <c r="CA95" i="6" s="1"/>
  <c r="I134" i="17"/>
  <c r="V149" i="18"/>
  <c r="J142" i="17"/>
  <c r="H379" i="17"/>
  <c r="J379" i="17" s="1"/>
  <c r="J195" i="17"/>
  <c r="F253" i="18"/>
  <c r="H253" i="18" s="1"/>
  <c r="F179" i="18"/>
  <c r="G179" i="18" s="1"/>
  <c r="CA179" i="6" s="1"/>
  <c r="F67" i="18"/>
  <c r="D358" i="18"/>
  <c r="E358" i="18" s="1"/>
  <c r="F358" i="18" s="1"/>
  <c r="H358" i="18" s="1"/>
  <c r="D310" i="18"/>
  <c r="E310" i="18" s="1"/>
  <c r="F310" i="18" s="1"/>
  <c r="H310" i="18" s="1"/>
  <c r="D317" i="18"/>
  <c r="E317" i="18" s="1"/>
  <c r="F317" i="18" s="1"/>
  <c r="H317" i="18" s="1"/>
  <c r="F273" i="18"/>
  <c r="G273" i="18" s="1"/>
  <c r="CA273" i="6" s="1"/>
  <c r="F187" i="18"/>
  <c r="G187" i="18" s="1"/>
  <c r="CA187" i="6" s="1"/>
  <c r="F143" i="18"/>
  <c r="F115" i="18"/>
  <c r="AA115" i="18" s="1"/>
  <c r="Z115" i="18" s="1"/>
  <c r="Y115" i="18" s="1"/>
  <c r="F274" i="18"/>
  <c r="G274" i="18" s="1"/>
  <c r="CA274" i="6" s="1"/>
  <c r="D374" i="18"/>
  <c r="E374" i="18" s="1"/>
  <c r="F374" i="18" s="1"/>
  <c r="G374" i="18" s="1"/>
  <c r="CA374" i="6" s="1"/>
  <c r="D354" i="18"/>
  <c r="E354" i="18" s="1"/>
  <c r="F354" i="18" s="1"/>
  <c r="G354" i="18" s="1"/>
  <c r="CA354" i="6" s="1"/>
  <c r="D369" i="18"/>
  <c r="E369" i="18" s="1"/>
  <c r="F369" i="18" s="1"/>
  <c r="H369" i="18" s="1"/>
  <c r="F261" i="18"/>
  <c r="G261" i="18" s="1"/>
  <c r="CA261" i="6" s="1"/>
  <c r="F245" i="18"/>
  <c r="F163" i="18"/>
  <c r="F51" i="18"/>
  <c r="AA51" i="18" s="1"/>
  <c r="Z51" i="18" s="1"/>
  <c r="Y51" i="18" s="1"/>
  <c r="D309" i="18"/>
  <c r="E309" i="18" s="1"/>
  <c r="F309" i="18" s="1"/>
  <c r="D370" i="18"/>
  <c r="E370" i="18" s="1"/>
  <c r="F370" i="18" s="1"/>
  <c r="G370" i="18" s="1"/>
  <c r="CA370" i="6" s="1"/>
  <c r="D298" i="18"/>
  <c r="E298" i="18" s="1"/>
  <c r="F298" i="18" s="1"/>
  <c r="G298" i="18" s="1"/>
  <c r="CA298" i="6" s="1"/>
  <c r="F278" i="18"/>
  <c r="H278" i="18" s="1"/>
  <c r="D289" i="18"/>
  <c r="E289" i="18" s="1"/>
  <c r="F289" i="18" s="1"/>
  <c r="G289" i="18" s="1"/>
  <c r="CA289" i="6" s="1"/>
  <c r="D314" i="18"/>
  <c r="E314" i="18" s="1"/>
  <c r="F314" i="18" s="1"/>
  <c r="H314" i="18" s="1"/>
  <c r="D377" i="18"/>
  <c r="E377" i="18" s="1"/>
  <c r="F377" i="18" s="1"/>
  <c r="G377" i="18" s="1"/>
  <c r="CA377" i="6" s="1"/>
  <c r="D337" i="18"/>
  <c r="E337" i="18" s="1"/>
  <c r="F337" i="18" s="1"/>
  <c r="H337" i="18" s="1"/>
  <c r="F229" i="18"/>
  <c r="H229" i="18" s="1"/>
  <c r="D346" i="18"/>
  <c r="E346" i="18" s="1"/>
  <c r="F346" i="18" s="1"/>
  <c r="G346" i="18" s="1"/>
  <c r="CA346" i="6" s="1"/>
  <c r="D341" i="18"/>
  <c r="E341" i="18" s="1"/>
  <c r="F341" i="18" s="1"/>
  <c r="H341" i="18" s="1"/>
  <c r="D293" i="18"/>
  <c r="E293" i="18" s="1"/>
  <c r="F293" i="18" s="1"/>
  <c r="G293" i="18" s="1"/>
  <c r="CA293" i="6" s="1"/>
  <c r="F237" i="18"/>
  <c r="G237" i="18" s="1"/>
  <c r="CA237" i="6" s="1"/>
  <c r="F195" i="18"/>
  <c r="H195" i="18" s="1"/>
  <c r="I294" i="17"/>
  <c r="H294" i="18" s="1"/>
  <c r="D375" i="18"/>
  <c r="E375" i="18" s="1"/>
  <c r="F375" i="18" s="1"/>
  <c r="G375" i="18" s="1"/>
  <c r="CA375" i="6" s="1"/>
  <c r="F275" i="18"/>
  <c r="AA275" i="18" s="1"/>
  <c r="Z275" i="18" s="1"/>
  <c r="Y275" i="18" s="1"/>
  <c r="F151" i="18"/>
  <c r="F265" i="18"/>
  <c r="G265" i="18" s="1"/>
  <c r="CA265" i="6" s="1"/>
  <c r="D311" i="18"/>
  <c r="E311" i="18" s="1"/>
  <c r="F311" i="18" s="1"/>
  <c r="F277" i="18"/>
  <c r="G277" i="18" s="1"/>
  <c r="CA277" i="6" s="1"/>
  <c r="F259" i="18"/>
  <c r="F286" i="18"/>
  <c r="G286" i="18" s="1"/>
  <c r="CA286" i="6" s="1"/>
  <c r="F147" i="18"/>
  <c r="G147" i="18" s="1"/>
  <c r="CA147" i="6" s="1"/>
  <c r="F269" i="18"/>
  <c r="G269" i="18" s="1"/>
  <c r="CA269" i="6" s="1"/>
  <c r="F205" i="18"/>
  <c r="G205" i="18" s="1"/>
  <c r="CA205" i="6" s="1"/>
  <c r="F281" i="18"/>
  <c r="F267" i="18"/>
  <c r="F47" i="18"/>
  <c r="F221" i="18"/>
  <c r="G221" i="18" s="1"/>
  <c r="CA221" i="6" s="1"/>
  <c r="F79" i="18"/>
  <c r="F19" i="18"/>
  <c r="G19" i="18" s="1"/>
  <c r="CA19" i="6" s="1"/>
  <c r="V272" i="18"/>
  <c r="F226" i="18"/>
  <c r="F249" i="18"/>
  <c r="H249" i="18" s="1"/>
  <c r="D75" i="7"/>
  <c r="F25" i="18"/>
  <c r="G25" i="18" s="1"/>
  <c r="CA25" i="6" s="1"/>
  <c r="D296" i="18"/>
  <c r="E296" i="18" s="1"/>
  <c r="F296" i="18" s="1"/>
  <c r="G296" i="18" s="1"/>
  <c r="CA296" i="6" s="1"/>
  <c r="D331" i="18"/>
  <c r="E331" i="18" s="1"/>
  <c r="F331" i="18" s="1"/>
  <c r="G331" i="18" s="1"/>
  <c r="CA331" i="6" s="1"/>
  <c r="D352" i="18"/>
  <c r="E352" i="18" s="1"/>
  <c r="F352" i="18" s="1"/>
  <c r="D336" i="18"/>
  <c r="E336" i="18" s="1"/>
  <c r="F336" i="18" s="1"/>
  <c r="G336" i="18" s="1"/>
  <c r="CA336" i="6" s="1"/>
  <c r="V363" i="18"/>
  <c r="D292" i="18"/>
  <c r="E292" i="18" s="1"/>
  <c r="F292" i="18" s="1"/>
  <c r="G292" i="18" s="1"/>
  <c r="CA292" i="6" s="1"/>
  <c r="D359" i="18"/>
  <c r="E359" i="18" s="1"/>
  <c r="F359" i="18" s="1"/>
  <c r="AA359" i="18" s="1"/>
  <c r="Z359" i="18" s="1"/>
  <c r="Y359" i="18" s="1"/>
  <c r="F271" i="18"/>
  <c r="H271" i="18" s="1"/>
  <c r="F257" i="18"/>
  <c r="F231" i="18"/>
  <c r="F185" i="18"/>
  <c r="G185" i="18" s="1"/>
  <c r="CA185" i="6" s="1"/>
  <c r="F55" i="18"/>
  <c r="G55" i="18" s="1"/>
  <c r="CA55" i="6" s="1"/>
  <c r="F287" i="18"/>
  <c r="H287" i="18" s="1"/>
  <c r="F255" i="18"/>
  <c r="F191" i="18"/>
  <c r="H191" i="18" s="1"/>
  <c r="F103" i="18"/>
  <c r="G103" i="18" s="1"/>
  <c r="CA103" i="6" s="1"/>
  <c r="F87" i="18"/>
  <c r="G87" i="18" s="1"/>
  <c r="CA87" i="6" s="1"/>
  <c r="D340" i="18"/>
  <c r="E340" i="18" s="1"/>
  <c r="F340" i="18" s="1"/>
  <c r="G340" i="18" s="1"/>
  <c r="CA340" i="6" s="1"/>
  <c r="D303" i="18"/>
  <c r="E303" i="18" s="1"/>
  <c r="F303" i="18" s="1"/>
  <c r="F263" i="18"/>
  <c r="H263" i="18" s="1"/>
  <c r="F223" i="18"/>
  <c r="F155" i="18"/>
  <c r="AA155" i="18" s="1"/>
  <c r="Z155" i="18" s="1"/>
  <c r="Y155" i="18" s="1"/>
  <c r="F39" i="18"/>
  <c r="H39" i="18" s="1"/>
  <c r="H64" i="19"/>
  <c r="AD216" i="18"/>
  <c r="AD176" i="18"/>
  <c r="AD180" i="18"/>
  <c r="F183" i="18"/>
  <c r="F280" i="18"/>
  <c r="G280" i="18" s="1"/>
  <c r="CA280" i="6" s="1"/>
  <c r="F279" i="18"/>
  <c r="F239" i="18"/>
  <c r="G239" i="18" s="1"/>
  <c r="CA239" i="6" s="1"/>
  <c r="F171" i="18"/>
  <c r="F71" i="18"/>
  <c r="G71" i="18" s="1"/>
  <c r="CA71" i="6" s="1"/>
  <c r="F18" i="18"/>
  <c r="G18" i="18" s="1"/>
  <c r="CA18" i="6" s="1"/>
  <c r="F225" i="18"/>
  <c r="F276" i="18"/>
  <c r="G276" i="18" s="1"/>
  <c r="CA276" i="6" s="1"/>
  <c r="F233" i="18"/>
  <c r="G233" i="18" s="1"/>
  <c r="CA233" i="6" s="1"/>
  <c r="F167" i="18"/>
  <c r="F75" i="18"/>
  <c r="F247" i="18"/>
  <c r="M64" i="19"/>
  <c r="AD48" i="18"/>
  <c r="AD240" i="18"/>
  <c r="D299" i="18"/>
  <c r="E299" i="18" s="1"/>
  <c r="F299" i="18" s="1"/>
  <c r="U383" i="18"/>
  <c r="U381" i="18"/>
  <c r="E64" i="19"/>
  <c r="G169" i="18"/>
  <c r="CA169" i="6" s="1"/>
  <c r="H76" i="18"/>
  <c r="I76" i="18" s="1"/>
  <c r="H113" i="18"/>
  <c r="J113" i="18" s="1"/>
  <c r="F100" i="18"/>
  <c r="H100" i="18" s="1"/>
  <c r="F252" i="18"/>
  <c r="G252" i="18" s="1"/>
  <c r="CA252" i="6" s="1"/>
  <c r="F65" i="18"/>
  <c r="G65" i="18" s="1"/>
  <c r="CA65" i="6" s="1"/>
  <c r="F28" i="18"/>
  <c r="H28" i="18" s="1"/>
  <c r="J28" i="18" s="1"/>
  <c r="F177" i="18"/>
  <c r="F212" i="18"/>
  <c r="H212" i="18" s="1"/>
  <c r="F148" i="18"/>
  <c r="F73" i="18"/>
  <c r="G73" i="18" s="1"/>
  <c r="CA73" i="6" s="1"/>
  <c r="F220" i="18"/>
  <c r="G220" i="18" s="1"/>
  <c r="CA220" i="6" s="1"/>
  <c r="F248" i="18"/>
  <c r="G248" i="18" s="1"/>
  <c r="CA248" i="6" s="1"/>
  <c r="F256" i="18"/>
  <c r="G256" i="18" s="1"/>
  <c r="CA256" i="6" s="1"/>
  <c r="F145" i="18"/>
  <c r="G145" i="18" s="1"/>
  <c r="CA145" i="6" s="1"/>
  <c r="G183" i="17"/>
  <c r="BZ183" i="6" s="1"/>
  <c r="AA183" i="17"/>
  <c r="Z183" i="17" s="1"/>
  <c r="Y183" i="17" s="1"/>
  <c r="H183" i="17"/>
  <c r="AA41" i="17"/>
  <c r="Z41" i="17" s="1"/>
  <c r="Y41" i="17" s="1"/>
  <c r="G41" i="17"/>
  <c r="BZ41" i="6" s="1"/>
  <c r="H41" i="17"/>
  <c r="AA275" i="17"/>
  <c r="Z275" i="17" s="1"/>
  <c r="Y275" i="17" s="1"/>
  <c r="H275" i="17"/>
  <c r="G275" i="17"/>
  <c r="BZ275" i="6" s="1"/>
  <c r="H71" i="17"/>
  <c r="G71" i="17"/>
  <c r="BZ71" i="6" s="1"/>
  <c r="AA71" i="17"/>
  <c r="Z71" i="17" s="1"/>
  <c r="Y71" i="17" s="1"/>
  <c r="G53" i="17"/>
  <c r="BZ53" i="6" s="1"/>
  <c r="AA53" i="17"/>
  <c r="Z53" i="17" s="1"/>
  <c r="Y53" i="17" s="1"/>
  <c r="H53" i="17"/>
  <c r="H350" i="17"/>
  <c r="G350" i="17"/>
  <c r="BZ350" i="6" s="1"/>
  <c r="AA350" i="17"/>
  <c r="Z350" i="17" s="1"/>
  <c r="Y350" i="17" s="1"/>
  <c r="H56" i="17"/>
  <c r="G56" i="17"/>
  <c r="BZ56" i="6" s="1"/>
  <c r="AA56" i="17"/>
  <c r="Z56" i="17" s="1"/>
  <c r="Y56" i="17" s="1"/>
  <c r="AA267" i="17"/>
  <c r="Z267" i="17" s="1"/>
  <c r="Y267" i="17" s="1"/>
  <c r="G267" i="17"/>
  <c r="BZ267" i="6" s="1"/>
  <c r="H267" i="17"/>
  <c r="AA82" i="17"/>
  <c r="Z82" i="17" s="1"/>
  <c r="Y82" i="17" s="1"/>
  <c r="G82" i="17"/>
  <c r="BZ82" i="6" s="1"/>
  <c r="H82" i="17"/>
  <c r="H152" i="17"/>
  <c r="AA152" i="17"/>
  <c r="Z152" i="17" s="1"/>
  <c r="Y152" i="17" s="1"/>
  <c r="G152" i="17"/>
  <c r="BZ152" i="6" s="1"/>
  <c r="AA357" i="17"/>
  <c r="Z357" i="17" s="1"/>
  <c r="Y357" i="17" s="1"/>
  <c r="G357" i="17"/>
  <c r="BZ357" i="6" s="1"/>
  <c r="H357" i="17"/>
  <c r="G232" i="18"/>
  <c r="CA232" i="6" s="1"/>
  <c r="H232" i="18"/>
  <c r="J232" i="18" s="1"/>
  <c r="H360" i="17"/>
  <c r="G360" i="17"/>
  <c r="BZ360" i="6" s="1"/>
  <c r="AA360" i="17"/>
  <c r="Z360" i="17" s="1"/>
  <c r="Y360" i="17" s="1"/>
  <c r="H176" i="17"/>
  <c r="G176" i="17"/>
  <c r="BZ176" i="6" s="1"/>
  <c r="AA176" i="17"/>
  <c r="Z176" i="17" s="1"/>
  <c r="Y176" i="17" s="1"/>
  <c r="H135" i="17"/>
  <c r="G135" i="17"/>
  <c r="BZ135" i="6" s="1"/>
  <c r="AA135" i="17"/>
  <c r="Z135" i="17" s="1"/>
  <c r="Y135" i="17" s="1"/>
  <c r="U382" i="18"/>
  <c r="AG381" i="17"/>
  <c r="AF15" i="17"/>
  <c r="AG382" i="17"/>
  <c r="AG383" i="17"/>
  <c r="S382" i="17"/>
  <c r="R15" i="17"/>
  <c r="S381" i="17"/>
  <c r="S383" i="17"/>
  <c r="S27" i="18"/>
  <c r="R27" i="18" s="1"/>
  <c r="P27" i="18" s="1"/>
  <c r="V27" i="18" s="1"/>
  <c r="D27" i="18" s="1"/>
  <c r="E27" i="18" s="1"/>
  <c r="F27" i="18" s="1"/>
  <c r="S376" i="18"/>
  <c r="R376" i="18" s="1"/>
  <c r="P376" i="18" s="1"/>
  <c r="V376" i="18" s="1"/>
  <c r="S368" i="18"/>
  <c r="R368" i="18" s="1"/>
  <c r="P368" i="18" s="1"/>
  <c r="V368" i="18" s="1"/>
  <c r="S356" i="18"/>
  <c r="R356" i="18" s="1"/>
  <c r="P356" i="18" s="1"/>
  <c r="V356" i="18" s="1"/>
  <c r="S344" i="18"/>
  <c r="R344" i="18" s="1"/>
  <c r="P344" i="18" s="1"/>
  <c r="V344" i="18" s="1"/>
  <c r="S328" i="18"/>
  <c r="R328" i="18" s="1"/>
  <c r="P328" i="18" s="1"/>
  <c r="V328" i="18" s="1"/>
  <c r="S320" i="18"/>
  <c r="R320" i="18" s="1"/>
  <c r="P320" i="18" s="1"/>
  <c r="V320" i="18" s="1"/>
  <c r="S316" i="18"/>
  <c r="R316" i="18" s="1"/>
  <c r="P316" i="18" s="1"/>
  <c r="V316" i="18" s="1"/>
  <c r="S300" i="18"/>
  <c r="R300" i="18" s="1"/>
  <c r="P300" i="18" s="1"/>
  <c r="V300" i="18" s="1"/>
  <c r="S284" i="18"/>
  <c r="R284" i="18" s="1"/>
  <c r="P284" i="18" s="1"/>
  <c r="V284" i="18" s="1"/>
  <c r="S217" i="18"/>
  <c r="R217" i="18" s="1"/>
  <c r="P217" i="18" s="1"/>
  <c r="V217" i="18" s="1"/>
  <c r="S209" i="18"/>
  <c r="R209" i="18" s="1"/>
  <c r="P209" i="18" s="1"/>
  <c r="V209" i="18" s="1"/>
  <c r="S201" i="18"/>
  <c r="R201" i="18" s="1"/>
  <c r="P201" i="18" s="1"/>
  <c r="S193" i="18"/>
  <c r="R193" i="18" s="1"/>
  <c r="P193" i="18" s="1"/>
  <c r="S139" i="18"/>
  <c r="R139" i="18" s="1"/>
  <c r="P139" i="18" s="1"/>
  <c r="S123" i="18"/>
  <c r="R123" i="18" s="1"/>
  <c r="P123" i="18" s="1"/>
  <c r="S107" i="18"/>
  <c r="R107" i="18" s="1"/>
  <c r="P107" i="18" s="1"/>
  <c r="S91" i="18"/>
  <c r="R91" i="18" s="1"/>
  <c r="P91" i="18" s="1"/>
  <c r="V91" i="18" s="1"/>
  <c r="S59" i="18"/>
  <c r="R59" i="18" s="1"/>
  <c r="P59" i="18" s="1"/>
  <c r="V59" i="18" s="1"/>
  <c r="S43" i="18"/>
  <c r="R43" i="18" s="1"/>
  <c r="P43" i="18" s="1"/>
  <c r="V43" i="18" s="1"/>
  <c r="U12" i="20"/>
  <c r="T379" i="18"/>
  <c r="AB16" i="7"/>
  <c r="AH11" i="7" s="1"/>
  <c r="U11" i="20" s="1"/>
  <c r="U10" i="20" s="1"/>
  <c r="AI16" i="7" s="1"/>
  <c r="S371" i="18"/>
  <c r="R371" i="18" s="1"/>
  <c r="P371" i="18" s="1"/>
  <c r="V371" i="18" s="1"/>
  <c r="D367" i="18"/>
  <c r="E367" i="18" s="1"/>
  <c r="F367" i="18" s="1"/>
  <c r="D351" i="18"/>
  <c r="E351" i="18" s="1"/>
  <c r="F351" i="18" s="1"/>
  <c r="D347" i="18"/>
  <c r="E347" i="18" s="1"/>
  <c r="F347" i="18" s="1"/>
  <c r="S343" i="18"/>
  <c r="R343" i="18" s="1"/>
  <c r="P343" i="18" s="1"/>
  <c r="V343" i="18" s="1"/>
  <c r="S339" i="18"/>
  <c r="R339" i="18" s="1"/>
  <c r="P339" i="18" s="1"/>
  <c r="V339" i="18" s="1"/>
  <c r="D335" i="18"/>
  <c r="E335" i="18" s="1"/>
  <c r="F335" i="18" s="1"/>
  <c r="S307" i="18"/>
  <c r="R307" i="18" s="1"/>
  <c r="P307" i="18" s="1"/>
  <c r="V307" i="18" s="1"/>
  <c r="D295" i="18"/>
  <c r="E295" i="18" s="1"/>
  <c r="F295" i="18" s="1"/>
  <c r="S283" i="18"/>
  <c r="R283" i="18" s="1"/>
  <c r="P283" i="18" s="1"/>
  <c r="V283" i="18" s="1"/>
  <c r="S215" i="18"/>
  <c r="R215" i="18" s="1"/>
  <c r="P215" i="18" s="1"/>
  <c r="V215" i="18" s="1"/>
  <c r="S207" i="18"/>
  <c r="R207" i="18" s="1"/>
  <c r="P207" i="18" s="1"/>
  <c r="V207" i="18" s="1"/>
  <c r="S199" i="18"/>
  <c r="R199" i="18" s="1"/>
  <c r="P199" i="18" s="1"/>
  <c r="V199" i="18" s="1"/>
  <c r="S119" i="18"/>
  <c r="R119" i="18" s="1"/>
  <c r="P119" i="18" s="1"/>
  <c r="I266" i="17"/>
  <c r="J266" i="17"/>
  <c r="J346" i="17"/>
  <c r="I346" i="17"/>
  <c r="I37" i="17"/>
  <c r="J37" i="17"/>
  <c r="J77" i="17"/>
  <c r="I77" i="17"/>
  <c r="H77" i="18" s="1"/>
  <c r="I77" i="18" s="1"/>
  <c r="F109" i="17"/>
  <c r="G149" i="17"/>
  <c r="BZ149" i="6" s="1"/>
  <c r="AA149" i="17"/>
  <c r="Z149" i="17" s="1"/>
  <c r="Y149" i="17" s="1"/>
  <c r="H149" i="17"/>
  <c r="J22" i="17"/>
  <c r="I22" i="17"/>
  <c r="I102" i="17"/>
  <c r="J102" i="17"/>
  <c r="J118" i="17"/>
  <c r="I118" i="17"/>
  <c r="J174" i="17"/>
  <c r="I174" i="17"/>
  <c r="H174" i="18" s="1"/>
  <c r="I190" i="17"/>
  <c r="J190" i="17"/>
  <c r="I206" i="17"/>
  <c r="H206" i="18" s="1"/>
  <c r="I206" i="18" s="1"/>
  <c r="J206" i="17"/>
  <c r="J44" i="17"/>
  <c r="I44" i="17"/>
  <c r="J92" i="17"/>
  <c r="I92" i="17"/>
  <c r="I156" i="17"/>
  <c r="J156" i="17"/>
  <c r="I204" i="17"/>
  <c r="H204" i="18" s="1"/>
  <c r="I204" i="18" s="1"/>
  <c r="J204" i="17"/>
  <c r="J260" i="17"/>
  <c r="I260" i="17"/>
  <c r="I16" i="17"/>
  <c r="J16" i="17"/>
  <c r="J97" i="17"/>
  <c r="I97" i="17"/>
  <c r="I201" i="17"/>
  <c r="J201" i="17"/>
  <c r="I321" i="17"/>
  <c r="J321" i="17"/>
  <c r="J43" i="17"/>
  <c r="I43" i="17"/>
  <c r="I227" i="17"/>
  <c r="J227" i="17"/>
  <c r="F291" i="17"/>
  <c r="J130" i="17"/>
  <c r="I130" i="17"/>
  <c r="J202" i="17"/>
  <c r="I202" i="17"/>
  <c r="I72" i="17"/>
  <c r="J72" i="17"/>
  <c r="J128" i="17"/>
  <c r="I128" i="17"/>
  <c r="J200" i="17"/>
  <c r="I200" i="17"/>
  <c r="I165" i="17"/>
  <c r="J165" i="17"/>
  <c r="F205" i="17"/>
  <c r="I213" i="17"/>
  <c r="J213" i="17"/>
  <c r="I245" i="17"/>
  <c r="J245" i="17"/>
  <c r="J64" i="19"/>
  <c r="J269" i="17"/>
  <c r="I269" i="17"/>
  <c r="I277" i="17"/>
  <c r="J277" i="17"/>
  <c r="I55" i="17"/>
  <c r="J55" i="17"/>
  <c r="D64" i="19"/>
  <c r="H119" i="17"/>
  <c r="AA119" i="17"/>
  <c r="Z119" i="17" s="1"/>
  <c r="Y119" i="17" s="1"/>
  <c r="G119" i="17"/>
  <c r="BZ119" i="6" s="1"/>
  <c r="I303" i="17"/>
  <c r="J303" i="17"/>
  <c r="J367" i="17"/>
  <c r="I367" i="17"/>
  <c r="J30" i="17"/>
  <c r="I30" i="17"/>
  <c r="H30" i="18" s="1"/>
  <c r="J94" i="17"/>
  <c r="I94" i="17"/>
  <c r="H94" i="18" s="1"/>
  <c r="I94" i="18" s="1"/>
  <c r="I248" i="17"/>
  <c r="J248" i="17"/>
  <c r="J296" i="17"/>
  <c r="I296" i="17"/>
  <c r="J116" i="17"/>
  <c r="I116" i="17"/>
  <c r="I196" i="17"/>
  <c r="J196" i="17"/>
  <c r="J220" i="17"/>
  <c r="I220" i="17"/>
  <c r="J236" i="17"/>
  <c r="I236" i="17"/>
  <c r="I246" i="17"/>
  <c r="J246" i="17"/>
  <c r="J81" i="17"/>
  <c r="I81" i="17"/>
  <c r="H81" i="18" s="1"/>
  <c r="J81" i="18" s="1"/>
  <c r="J169" i="17"/>
  <c r="I169" i="17"/>
  <c r="H169" i="18" s="1"/>
  <c r="I169" i="18" s="1"/>
  <c r="J305" i="17"/>
  <c r="I305" i="17"/>
  <c r="J27" i="17"/>
  <c r="I27" i="17"/>
  <c r="C64" i="19"/>
  <c r="I75" i="17"/>
  <c r="J75" i="17"/>
  <c r="I115" i="17"/>
  <c r="J115" i="17"/>
  <c r="J163" i="17"/>
  <c r="I163" i="17"/>
  <c r="J235" i="17"/>
  <c r="I235" i="17"/>
  <c r="J251" i="17"/>
  <c r="I251" i="17"/>
  <c r="J42" i="17"/>
  <c r="I42" i="17"/>
  <c r="G210" i="17"/>
  <c r="BZ210" i="6" s="1"/>
  <c r="AA210" i="17"/>
  <c r="Z210" i="17" s="1"/>
  <c r="Y210" i="17" s="1"/>
  <c r="H210" i="17"/>
  <c r="J234" i="17"/>
  <c r="I234" i="17"/>
  <c r="J64" i="17"/>
  <c r="I64" i="17"/>
  <c r="AA88" i="17"/>
  <c r="Z88" i="17" s="1"/>
  <c r="Y88" i="17" s="1"/>
  <c r="H88" i="17"/>
  <c r="G88" i="17"/>
  <c r="BZ88" i="6" s="1"/>
  <c r="J136" i="17"/>
  <c r="I136" i="17"/>
  <c r="J208" i="17"/>
  <c r="I208" i="17"/>
  <c r="I364" i="17"/>
  <c r="H364" i="18" s="1"/>
  <c r="J364" i="17"/>
  <c r="J159" i="17"/>
  <c r="I159" i="17"/>
  <c r="J207" i="17"/>
  <c r="I207" i="17"/>
  <c r="F231" i="17"/>
  <c r="J295" i="17"/>
  <c r="I295" i="17"/>
  <c r="J330" i="17"/>
  <c r="I330" i="17"/>
  <c r="J125" i="17"/>
  <c r="I125" i="17"/>
  <c r="H125" i="18" s="1"/>
  <c r="J29" i="17"/>
  <c r="I29" i="17"/>
  <c r="I133" i="17"/>
  <c r="J133" i="17"/>
  <c r="S23" i="18"/>
  <c r="R23" i="18" s="1"/>
  <c r="P23" i="18" s="1"/>
  <c r="V23" i="18" s="1"/>
  <c r="D362" i="18"/>
  <c r="E362" i="18" s="1"/>
  <c r="F362" i="18" s="1"/>
  <c r="D330" i="18"/>
  <c r="E330" i="18" s="1"/>
  <c r="F330" i="18" s="1"/>
  <c r="AA330" i="18" s="1"/>
  <c r="Z330" i="18" s="1"/>
  <c r="Y330" i="18" s="1"/>
  <c r="D318" i="18"/>
  <c r="E318" i="18" s="1"/>
  <c r="F318" i="18" s="1"/>
  <c r="D306" i="18"/>
  <c r="E306" i="18" s="1"/>
  <c r="F306" i="18" s="1"/>
  <c r="D77" i="7"/>
  <c r="V302" i="18"/>
  <c r="S213" i="18"/>
  <c r="R213" i="18" s="1"/>
  <c r="P213" i="18" s="1"/>
  <c r="V213" i="18" s="1"/>
  <c r="S197" i="18"/>
  <c r="R197" i="18" s="1"/>
  <c r="P197" i="18" s="1"/>
  <c r="V197" i="18" s="1"/>
  <c r="S189" i="18"/>
  <c r="R189" i="18" s="1"/>
  <c r="P189" i="18" s="1"/>
  <c r="V189" i="18" s="1"/>
  <c r="S131" i="18"/>
  <c r="R131" i="18" s="1"/>
  <c r="P131" i="18" s="1"/>
  <c r="V131" i="18" s="1"/>
  <c r="S99" i="18"/>
  <c r="R99" i="18" s="1"/>
  <c r="P99" i="18" s="1"/>
  <c r="V99" i="18" s="1"/>
  <c r="S83" i="18"/>
  <c r="R83" i="18" s="1"/>
  <c r="P83" i="18" s="1"/>
  <c r="V83" i="18" s="1"/>
  <c r="S35" i="18"/>
  <c r="R35" i="18" s="1"/>
  <c r="P35" i="18" s="1"/>
  <c r="V35" i="18" s="1"/>
  <c r="S373" i="18"/>
  <c r="R373" i="18" s="1"/>
  <c r="P373" i="18" s="1"/>
  <c r="V373" i="18" s="1"/>
  <c r="D361" i="18"/>
  <c r="E361" i="18" s="1"/>
  <c r="F361" i="18" s="1"/>
  <c r="S349" i="18"/>
  <c r="R349" i="18" s="1"/>
  <c r="P349" i="18" s="1"/>
  <c r="V349" i="18" s="1"/>
  <c r="D329" i="18"/>
  <c r="E329" i="18" s="1"/>
  <c r="F329" i="18" s="1"/>
  <c r="S325" i="18"/>
  <c r="R325" i="18" s="1"/>
  <c r="P325" i="18" s="1"/>
  <c r="V325" i="18" s="1"/>
  <c r="D321" i="18"/>
  <c r="E321" i="18" s="1"/>
  <c r="F321" i="18" s="1"/>
  <c r="D305" i="18"/>
  <c r="E305" i="18" s="1"/>
  <c r="F305" i="18" s="1"/>
  <c r="S301" i="18"/>
  <c r="R301" i="18" s="1"/>
  <c r="P301" i="18" s="1"/>
  <c r="V301" i="18" s="1"/>
  <c r="D297" i="18"/>
  <c r="E297" i="18" s="1"/>
  <c r="F297" i="18" s="1"/>
  <c r="S285" i="18"/>
  <c r="R285" i="18" s="1"/>
  <c r="P285" i="18" s="1"/>
  <c r="V285" i="18" s="1"/>
  <c r="S251" i="18"/>
  <c r="R251" i="18" s="1"/>
  <c r="P251" i="18" s="1"/>
  <c r="S243" i="18"/>
  <c r="R243" i="18" s="1"/>
  <c r="P243" i="18" s="1"/>
  <c r="V243" i="18" s="1"/>
  <c r="S219" i="18"/>
  <c r="R219" i="18" s="1"/>
  <c r="P219" i="18" s="1"/>
  <c r="V219" i="18" s="1"/>
  <c r="S211" i="18"/>
  <c r="R211" i="18" s="1"/>
  <c r="P211" i="18" s="1"/>
  <c r="V211" i="18" s="1"/>
  <c r="S203" i="18"/>
  <c r="R203" i="18" s="1"/>
  <c r="P203" i="18" s="1"/>
  <c r="V203" i="18" s="1"/>
  <c r="S175" i="18"/>
  <c r="R175" i="18" s="1"/>
  <c r="P175" i="18" s="1"/>
  <c r="V175" i="18" s="1"/>
  <c r="S159" i="18"/>
  <c r="R159" i="18" s="1"/>
  <c r="P159" i="18" s="1"/>
  <c r="V159" i="18" s="1"/>
  <c r="S127" i="18"/>
  <c r="R127" i="18" s="1"/>
  <c r="P127" i="18" s="1"/>
  <c r="V127" i="18" s="1"/>
  <c r="S111" i="18"/>
  <c r="R111" i="18" s="1"/>
  <c r="P111" i="18" s="1"/>
  <c r="V111" i="18" s="1"/>
  <c r="S63" i="18"/>
  <c r="R63" i="18" s="1"/>
  <c r="P63" i="18" s="1"/>
  <c r="V63" i="18" s="1"/>
  <c r="S31" i="18"/>
  <c r="R31" i="18" s="1"/>
  <c r="P31" i="18" s="1"/>
  <c r="V31" i="18" s="1"/>
  <c r="D31" i="18" s="1"/>
  <c r="E31" i="18" s="1"/>
  <c r="F31" i="18" s="1"/>
  <c r="I257" i="17"/>
  <c r="J257" i="17"/>
  <c r="I282" i="17"/>
  <c r="J282" i="17"/>
  <c r="J322" i="17"/>
  <c r="I322" i="17"/>
  <c r="H322" i="18" s="1"/>
  <c r="J354" i="17"/>
  <c r="I354" i="17"/>
  <c r="J101" i="17"/>
  <c r="I101" i="17"/>
  <c r="H101" i="18" s="1"/>
  <c r="I101" i="18" s="1"/>
  <c r="J38" i="17"/>
  <c r="I38" i="17"/>
  <c r="I54" i="17"/>
  <c r="J54" i="17"/>
  <c r="I158" i="17"/>
  <c r="H158" i="18" s="1"/>
  <c r="J158" i="17"/>
  <c r="J280" i="17"/>
  <c r="I280" i="17"/>
  <c r="I312" i="17"/>
  <c r="H312" i="18" s="1"/>
  <c r="J312" i="17"/>
  <c r="I228" i="17"/>
  <c r="J228" i="17"/>
  <c r="I292" i="17"/>
  <c r="J292" i="17"/>
  <c r="I262" i="17"/>
  <c r="J262" i="17"/>
  <c r="I326" i="17"/>
  <c r="H326" i="18" s="1"/>
  <c r="J326" i="17"/>
  <c r="J57" i="17"/>
  <c r="I57" i="17"/>
  <c r="G137" i="17"/>
  <c r="BZ137" i="6" s="1"/>
  <c r="AA137" i="17"/>
  <c r="Z137" i="17" s="1"/>
  <c r="Y137" i="17" s="1"/>
  <c r="H137" i="17"/>
  <c r="H153" i="17"/>
  <c r="AA153" i="17"/>
  <c r="Z153" i="17" s="1"/>
  <c r="Y153" i="17" s="1"/>
  <c r="G153" i="17"/>
  <c r="BZ153" i="6" s="1"/>
  <c r="I177" i="17"/>
  <c r="J177" i="17"/>
  <c r="J289" i="17"/>
  <c r="I289" i="17"/>
  <c r="AA336" i="17"/>
  <c r="Z336" i="17" s="1"/>
  <c r="Y336" i="17" s="1"/>
  <c r="G336" i="17"/>
  <c r="BZ336" i="6" s="1"/>
  <c r="H336" i="17"/>
  <c r="J376" i="17"/>
  <c r="I376" i="17"/>
  <c r="J59" i="17"/>
  <c r="I59" i="17"/>
  <c r="J91" i="17"/>
  <c r="I91" i="17"/>
  <c r="J131" i="17"/>
  <c r="I131" i="17"/>
  <c r="J155" i="17"/>
  <c r="I155" i="17"/>
  <c r="J171" i="17"/>
  <c r="I171" i="17"/>
  <c r="I243" i="17"/>
  <c r="J243" i="17"/>
  <c r="J323" i="17"/>
  <c r="I323" i="17"/>
  <c r="H323" i="18" s="1"/>
  <c r="AA363" i="17"/>
  <c r="Z363" i="17" s="1"/>
  <c r="Y363" i="17" s="1"/>
  <c r="G363" i="17"/>
  <c r="BZ363" i="6" s="1"/>
  <c r="H363" i="17"/>
  <c r="I26" i="17"/>
  <c r="J26" i="17"/>
  <c r="I146" i="17"/>
  <c r="J146" i="17"/>
  <c r="I218" i="17"/>
  <c r="J218" i="17"/>
  <c r="I256" i="17"/>
  <c r="H256" i="18" s="1"/>
  <c r="J256" i="17"/>
  <c r="J32" i="17"/>
  <c r="I32" i="17"/>
  <c r="J216" i="17"/>
  <c r="I216" i="17"/>
  <c r="J173" i="17"/>
  <c r="I173" i="17"/>
  <c r="I189" i="17"/>
  <c r="J189" i="17"/>
  <c r="I197" i="17"/>
  <c r="J197" i="17"/>
  <c r="J221" i="17"/>
  <c r="I221" i="17"/>
  <c r="G261" i="17"/>
  <c r="BZ261" i="6" s="1"/>
  <c r="H261" i="17"/>
  <c r="AA261" i="17"/>
  <c r="Z261" i="17" s="1"/>
  <c r="Y261" i="17" s="1"/>
  <c r="F333" i="17"/>
  <c r="L64" i="19"/>
  <c r="I349" i="17"/>
  <c r="J349" i="17"/>
  <c r="I365" i="17"/>
  <c r="H365" i="18" s="1"/>
  <c r="J365" i="17"/>
  <c r="J372" i="17"/>
  <c r="I372" i="17"/>
  <c r="H372" i="18" s="1"/>
  <c r="H79" i="17"/>
  <c r="G79" i="17"/>
  <c r="BZ79" i="6" s="1"/>
  <c r="AA79" i="17"/>
  <c r="Z79" i="17" s="1"/>
  <c r="Y79" i="17" s="1"/>
  <c r="H95" i="17"/>
  <c r="G95" i="17"/>
  <c r="BZ95" i="6" s="1"/>
  <c r="AA95" i="17"/>
  <c r="Z95" i="17" s="1"/>
  <c r="Y95" i="17" s="1"/>
  <c r="I143" i="17"/>
  <c r="J143" i="17"/>
  <c r="J223" i="17"/>
  <c r="I223" i="17"/>
  <c r="J239" i="17"/>
  <c r="I239" i="17"/>
  <c r="I46" i="17"/>
  <c r="J46" i="17"/>
  <c r="G110" i="17"/>
  <c r="BZ110" i="6" s="1"/>
  <c r="AA110" i="17"/>
  <c r="Z110" i="17" s="1"/>
  <c r="Y110" i="17" s="1"/>
  <c r="H110" i="17"/>
  <c r="G126" i="17"/>
  <c r="BZ126" i="6" s="1"/>
  <c r="H126" i="17"/>
  <c r="AA126" i="17"/>
  <c r="Z126" i="17" s="1"/>
  <c r="Y126" i="17" s="1"/>
  <c r="I166" i="17"/>
  <c r="J166" i="17"/>
  <c r="J182" i="17"/>
  <c r="I182" i="17"/>
  <c r="I198" i="17"/>
  <c r="J198" i="17"/>
  <c r="J36" i="17"/>
  <c r="I36" i="17"/>
  <c r="H68" i="17"/>
  <c r="AA68" i="17"/>
  <c r="Z68" i="17" s="1"/>
  <c r="Y68" i="17" s="1"/>
  <c r="G68" i="17"/>
  <c r="BZ68" i="6" s="1"/>
  <c r="J276" i="17"/>
  <c r="I276" i="17"/>
  <c r="I318" i="17"/>
  <c r="J318" i="17"/>
  <c r="AA334" i="17"/>
  <c r="Z334" i="17" s="1"/>
  <c r="Y334" i="17" s="1"/>
  <c r="H334" i="17"/>
  <c r="G334" i="17"/>
  <c r="BZ334" i="6" s="1"/>
  <c r="I366" i="17"/>
  <c r="H366" i="18" s="1"/>
  <c r="J366" i="17"/>
  <c r="G121" i="17"/>
  <c r="BZ121" i="6" s="1"/>
  <c r="H121" i="17"/>
  <c r="AA121" i="17"/>
  <c r="Z121" i="17" s="1"/>
  <c r="Y121" i="17" s="1"/>
  <c r="I145" i="17"/>
  <c r="J145" i="17"/>
  <c r="H185" i="17"/>
  <c r="G185" i="17"/>
  <c r="BZ185" i="6" s="1"/>
  <c r="AA185" i="17"/>
  <c r="Z185" i="17" s="1"/>
  <c r="Y185" i="17" s="1"/>
  <c r="I265" i="17"/>
  <c r="J265" i="17"/>
  <c r="J345" i="17"/>
  <c r="I345" i="17"/>
  <c r="H345" i="18" s="1"/>
  <c r="H51" i="17"/>
  <c r="G51" i="17"/>
  <c r="BZ51" i="6" s="1"/>
  <c r="AA51" i="17"/>
  <c r="Z51" i="17" s="1"/>
  <c r="Y51" i="17" s="1"/>
  <c r="J147" i="17"/>
  <c r="I147" i="17"/>
  <c r="I179" i="17"/>
  <c r="J179" i="17"/>
  <c r="J307" i="17"/>
  <c r="I307" i="17"/>
  <c r="I347" i="17"/>
  <c r="J347" i="17"/>
  <c r="I114" i="17"/>
  <c r="J114" i="17"/>
  <c r="J138" i="17"/>
  <c r="I138" i="17"/>
  <c r="I178" i="17"/>
  <c r="J178" i="17"/>
  <c r="AA272" i="17"/>
  <c r="Z272" i="17" s="1"/>
  <c r="Y272" i="17" s="1"/>
  <c r="H272" i="17"/>
  <c r="G272" i="17"/>
  <c r="BZ272" i="6" s="1"/>
  <c r="I48" i="17"/>
  <c r="J48" i="17"/>
  <c r="G64" i="19"/>
  <c r="J268" i="17"/>
  <c r="I268" i="17"/>
  <c r="I31" i="17"/>
  <c r="J31" i="17"/>
  <c r="J87" i="17"/>
  <c r="I87" i="17"/>
  <c r="I111" i="17"/>
  <c r="J111" i="17"/>
  <c r="F64" i="19"/>
  <c r="J351" i="17"/>
  <c r="I351" i="17"/>
  <c r="F282" i="18"/>
  <c r="G125" i="18"/>
  <c r="CA125" i="6" s="1"/>
  <c r="H61" i="18"/>
  <c r="J61" i="18" s="1"/>
  <c r="H141" i="18"/>
  <c r="J141" i="18" s="1"/>
  <c r="F50" i="18"/>
  <c r="G50" i="18" s="1"/>
  <c r="CA50" i="6" s="1"/>
  <c r="F214" i="18"/>
  <c r="H214" i="18" s="1"/>
  <c r="I214" i="18" s="1"/>
  <c r="AD152" i="18"/>
  <c r="AD304" i="18"/>
  <c r="AA304" i="18" s="1"/>
  <c r="Z304" i="18" s="1"/>
  <c r="Y304" i="18" s="1"/>
  <c r="AD325" i="18"/>
  <c r="AD272" i="18"/>
  <c r="D13" i="19"/>
  <c r="G37" i="19"/>
  <c r="G150" i="18"/>
  <c r="CA150" i="6" s="1"/>
  <c r="G158" i="18"/>
  <c r="CA158" i="6" s="1"/>
  <c r="AI11" i="20"/>
  <c r="Q12" i="22"/>
  <c r="AM15" i="7" s="1"/>
  <c r="D119" i="18"/>
  <c r="E119" i="18" s="1"/>
  <c r="AE201" i="20"/>
  <c r="AE265" i="20"/>
  <c r="AE329" i="20"/>
  <c r="AE147" i="20"/>
  <c r="AE233" i="20"/>
  <c r="AE297" i="20"/>
  <c r="AE361" i="20"/>
  <c r="D114" i="18"/>
  <c r="E114" i="18" s="1"/>
  <c r="U26" i="20"/>
  <c r="T26" i="20" s="1"/>
  <c r="S26" i="20" s="1"/>
  <c r="R26" i="20" s="1"/>
  <c r="P26" i="20" s="1"/>
  <c r="V26" i="20" s="1"/>
  <c r="U42" i="20"/>
  <c r="T42" i="20" s="1"/>
  <c r="S42" i="20" s="1"/>
  <c r="R42" i="20" s="1"/>
  <c r="P42" i="20" s="1"/>
  <c r="V42" i="20" s="1"/>
  <c r="B42" i="20" s="1"/>
  <c r="U58" i="20"/>
  <c r="T58" i="20" s="1"/>
  <c r="S58" i="20" s="1"/>
  <c r="R58" i="20" s="1"/>
  <c r="P58" i="20" s="1"/>
  <c r="V58" i="20" s="1"/>
  <c r="B58" i="20" s="1"/>
  <c r="U74" i="20"/>
  <c r="T74" i="20" s="1"/>
  <c r="S74" i="20" s="1"/>
  <c r="R74" i="20" s="1"/>
  <c r="P74" i="20" s="1"/>
  <c r="V74" i="20" s="1"/>
  <c r="B74" i="20" s="1"/>
  <c r="U90" i="20"/>
  <c r="T90" i="20" s="1"/>
  <c r="S90" i="20" s="1"/>
  <c r="R90" i="20" s="1"/>
  <c r="U106" i="20"/>
  <c r="T106" i="20" s="1"/>
  <c r="S106" i="20" s="1"/>
  <c r="R106" i="20" s="1"/>
  <c r="U122" i="20"/>
  <c r="T122" i="20" s="1"/>
  <c r="S122" i="20" s="1"/>
  <c r="R122" i="20" s="1"/>
  <c r="P122" i="20" s="1"/>
  <c r="V122" i="20" s="1"/>
  <c r="B122" i="20" s="1"/>
  <c r="U138" i="20"/>
  <c r="T138" i="20" s="1"/>
  <c r="S138" i="20" s="1"/>
  <c r="R138" i="20" s="1"/>
  <c r="U154" i="20"/>
  <c r="T154" i="20" s="1"/>
  <c r="S154" i="20" s="1"/>
  <c r="R154" i="20" s="1"/>
  <c r="P154" i="20" s="1"/>
  <c r="V154" i="20" s="1"/>
  <c r="B154" i="20" s="1"/>
  <c r="U170" i="20"/>
  <c r="T170" i="20" s="1"/>
  <c r="S170" i="20" s="1"/>
  <c r="R170" i="20" s="1"/>
  <c r="P170" i="20" s="1"/>
  <c r="V170" i="20" s="1"/>
  <c r="B170" i="20" s="1"/>
  <c r="AG358" i="18"/>
  <c r="AF358" i="18" s="1"/>
  <c r="AD358" i="18" s="1"/>
  <c r="AG350" i="18"/>
  <c r="AF350" i="18" s="1"/>
  <c r="AD350" i="18" s="1"/>
  <c r="AG301" i="18"/>
  <c r="AF301" i="18" s="1"/>
  <c r="AD301" i="18" s="1"/>
  <c r="AG293" i="18"/>
  <c r="AF293" i="18" s="1"/>
  <c r="AD293" i="18" s="1"/>
  <c r="AG261" i="18"/>
  <c r="AF261" i="18" s="1"/>
  <c r="AD261" i="18" s="1"/>
  <c r="AG229" i="18"/>
  <c r="AF229" i="18" s="1"/>
  <c r="AD229" i="18" s="1"/>
  <c r="AG336" i="18"/>
  <c r="AF336" i="18" s="1"/>
  <c r="AD336" i="18" s="1"/>
  <c r="AG296" i="18"/>
  <c r="AF296" i="18" s="1"/>
  <c r="AD296" i="18" s="1"/>
  <c r="AG248" i="18"/>
  <c r="AF248" i="18" s="1"/>
  <c r="AD248" i="18" s="1"/>
  <c r="AG232" i="18"/>
  <c r="AF232" i="18" s="1"/>
  <c r="AD232" i="18" s="1"/>
  <c r="AA232" i="18" s="1"/>
  <c r="Z232" i="18" s="1"/>
  <c r="Y232" i="18" s="1"/>
  <c r="AG208" i="18"/>
  <c r="AF208" i="18" s="1"/>
  <c r="AD208" i="18" s="1"/>
  <c r="AA208" i="18" s="1"/>
  <c r="Z208" i="18" s="1"/>
  <c r="Y208" i="18" s="1"/>
  <c r="AG184" i="18"/>
  <c r="AF184" i="18" s="1"/>
  <c r="AD184" i="18" s="1"/>
  <c r="AG168" i="18"/>
  <c r="AF168" i="18" s="1"/>
  <c r="AD168" i="18" s="1"/>
  <c r="AG144" i="18"/>
  <c r="AF144" i="18" s="1"/>
  <c r="AD144" i="18" s="1"/>
  <c r="AG120" i="18"/>
  <c r="AF120" i="18" s="1"/>
  <c r="AD120" i="18" s="1"/>
  <c r="AG104" i="18"/>
  <c r="AF104" i="18" s="1"/>
  <c r="AD104" i="18" s="1"/>
  <c r="AG88" i="18"/>
  <c r="AF88" i="18" s="1"/>
  <c r="AD88" i="18" s="1"/>
  <c r="AG80" i="18"/>
  <c r="AF80" i="18" s="1"/>
  <c r="AD80" i="18" s="1"/>
  <c r="AG56" i="18"/>
  <c r="AF56" i="18" s="1"/>
  <c r="AD56" i="18" s="1"/>
  <c r="AG40" i="18"/>
  <c r="AF40" i="18" s="1"/>
  <c r="AD40" i="18" s="1"/>
  <c r="D164" i="18"/>
  <c r="E164" i="18" s="1"/>
  <c r="F164" i="18" s="1"/>
  <c r="G164" i="18" s="1"/>
  <c r="CA164" i="6" s="1"/>
  <c r="AG265" i="18"/>
  <c r="AF265" i="18" s="1"/>
  <c r="AD265" i="18" s="1"/>
  <c r="AG212" i="18"/>
  <c r="AF212" i="18" s="1"/>
  <c r="AD212" i="18" s="1"/>
  <c r="Q382" i="20"/>
  <c r="J139" i="17"/>
  <c r="J47" i="17"/>
  <c r="AG15" i="18"/>
  <c r="AJ4" i="15"/>
  <c r="P12" i="19" s="1"/>
  <c r="AL13" i="15"/>
  <c r="Y124" i="17"/>
  <c r="Q381" i="20"/>
  <c r="J380" i="20"/>
  <c r="C380" i="6" s="1"/>
  <c r="I380" i="20"/>
  <c r="B380" i="6" s="1"/>
  <c r="BA380" i="6" s="1"/>
  <c r="D380" i="6" s="1"/>
  <c r="Z11" i="15"/>
  <c r="Z5" i="15" s="1"/>
  <c r="H12" i="19" s="1"/>
  <c r="J12" i="19"/>
  <c r="AA11" i="15"/>
  <c r="AA5" i="15" s="1"/>
  <c r="I12" i="19" s="1"/>
  <c r="Q383" i="20"/>
  <c r="J150" i="18"/>
  <c r="I150" i="18"/>
  <c r="I352" i="17"/>
  <c r="J352" i="17"/>
  <c r="G319" i="18"/>
  <c r="CA319" i="6" s="1"/>
  <c r="H319" i="18"/>
  <c r="I194" i="17"/>
  <c r="H194" i="18" s="1"/>
  <c r="J194" i="17"/>
  <c r="H33" i="18"/>
  <c r="G33" i="18"/>
  <c r="CA33" i="6" s="1"/>
  <c r="H288" i="18"/>
  <c r="G288" i="18"/>
  <c r="CA288" i="6" s="1"/>
  <c r="I247" i="17"/>
  <c r="J247" i="17"/>
  <c r="G372" i="18"/>
  <c r="CA372" i="6" s="1"/>
  <c r="G326" i="18"/>
  <c r="CA326" i="6" s="1"/>
  <c r="G304" i="18"/>
  <c r="CA304" i="6" s="1"/>
  <c r="H304" i="18"/>
  <c r="D272" i="18"/>
  <c r="E272" i="18" s="1"/>
  <c r="D258" i="18"/>
  <c r="E258" i="18" s="1"/>
  <c r="F258" i="18" s="1"/>
  <c r="G126" i="18"/>
  <c r="CA126" i="6" s="1"/>
  <c r="G110" i="18"/>
  <c r="CA110" i="6" s="1"/>
  <c r="G62" i="18"/>
  <c r="CA62" i="6" s="1"/>
  <c r="H62" i="18"/>
  <c r="G194" i="18"/>
  <c r="CA194" i="6" s="1"/>
  <c r="I382" i="16"/>
  <c r="I381" i="16"/>
  <c r="I383" i="16"/>
  <c r="G323" i="18"/>
  <c r="CA323" i="6" s="1"/>
  <c r="G313" i="18"/>
  <c r="CA313" i="6" s="1"/>
  <c r="H313" i="18"/>
  <c r="D29" i="18"/>
  <c r="E29" i="18" s="1"/>
  <c r="F29" i="18" s="1"/>
  <c r="G378" i="18"/>
  <c r="CA378" i="6" s="1"/>
  <c r="H378" i="18"/>
  <c r="G364" i="18"/>
  <c r="CA364" i="6" s="1"/>
  <c r="H348" i="18"/>
  <c r="G348" i="18"/>
  <c r="CA348" i="6" s="1"/>
  <c r="G342" i="18"/>
  <c r="CA342" i="6" s="1"/>
  <c r="H342" i="18"/>
  <c r="G324" i="18"/>
  <c r="CA324" i="6" s="1"/>
  <c r="H324" i="18"/>
  <c r="G294" i="18"/>
  <c r="CA294" i="6" s="1"/>
  <c r="G357" i="18"/>
  <c r="CA357" i="6" s="1"/>
  <c r="G366" i="18"/>
  <c r="CA366" i="6" s="1"/>
  <c r="G102" i="18"/>
  <c r="CA102" i="6" s="1"/>
  <c r="G30" i="18"/>
  <c r="CA30" i="6" s="1"/>
  <c r="G355" i="18"/>
  <c r="CA355" i="6" s="1"/>
  <c r="H355" i="18"/>
  <c r="D105" i="18"/>
  <c r="E105" i="18" s="1"/>
  <c r="F105" i="18" s="1"/>
  <c r="D180" i="18"/>
  <c r="E180" i="18" s="1"/>
  <c r="F180" i="18" s="1"/>
  <c r="G365" i="18"/>
  <c r="CA365" i="6" s="1"/>
  <c r="G353" i="18"/>
  <c r="CA353" i="6" s="1"/>
  <c r="H353" i="18"/>
  <c r="AA353" i="18"/>
  <c r="Z353" i="18" s="1"/>
  <c r="Y353" i="18" s="1"/>
  <c r="AK4" i="15"/>
  <c r="R12" i="19" s="1"/>
  <c r="N13" i="19" s="1"/>
  <c r="AM13" i="15"/>
  <c r="H338" i="18"/>
  <c r="G338" i="18"/>
  <c r="CA338" i="6" s="1"/>
  <c r="J154" i="18"/>
  <c r="I154" i="18"/>
  <c r="R15" i="18"/>
  <c r="D241" i="18"/>
  <c r="E241" i="18" s="1"/>
  <c r="F241" i="18" s="1"/>
  <c r="D227" i="18"/>
  <c r="E227" i="18" s="1"/>
  <c r="F227" i="18" s="1"/>
  <c r="G332" i="18"/>
  <c r="CA332" i="6" s="1"/>
  <c r="H332" i="18"/>
  <c r="G312" i="18"/>
  <c r="CA312" i="6" s="1"/>
  <c r="H250" i="18"/>
  <c r="D60" i="18"/>
  <c r="E60" i="18" s="1"/>
  <c r="F60" i="18" s="1"/>
  <c r="Z382" i="16"/>
  <c r="Y15" i="16"/>
  <c r="AL5" i="16" s="1"/>
  <c r="AL11" i="16" s="1"/>
  <c r="AJ3" i="16" s="1"/>
  <c r="O13" i="19" s="1"/>
  <c r="AL8" i="16"/>
  <c r="Z383" i="16"/>
  <c r="Z9" i="16"/>
  <c r="Z381" i="16"/>
  <c r="C7" i="6"/>
  <c r="Q7" i="7"/>
  <c r="J382" i="16"/>
  <c r="J381" i="16"/>
  <c r="J383" i="16"/>
  <c r="G345" i="18"/>
  <c r="CA345" i="6" s="1"/>
  <c r="H157" i="18"/>
  <c r="D135" i="18"/>
  <c r="E135" i="18" s="1"/>
  <c r="F135" i="18" s="1"/>
  <c r="G322" i="18"/>
  <c r="CA322" i="6" s="1"/>
  <c r="H308" i="18"/>
  <c r="G308" i="18"/>
  <c r="CA308" i="6" s="1"/>
  <c r="D196" i="18"/>
  <c r="E196" i="18" s="1"/>
  <c r="F196" i="18" s="1"/>
  <c r="D46" i="18"/>
  <c r="E46" i="18" s="1"/>
  <c r="F46" i="18" s="1"/>
  <c r="G315" i="18"/>
  <c r="CA315" i="6" s="1"/>
  <c r="H315" i="18"/>
  <c r="D159" i="18" l="1"/>
  <c r="E159" i="18" s="1"/>
  <c r="F159" i="18" s="1"/>
  <c r="D197" i="18"/>
  <c r="E197" i="18" s="1"/>
  <c r="F197" i="18" s="1"/>
  <c r="D207" i="18"/>
  <c r="E207" i="18" s="1"/>
  <c r="F207" i="18" s="1"/>
  <c r="U20" i="20"/>
  <c r="T20" i="20" s="1"/>
  <c r="S20" i="20" s="1"/>
  <c r="R20" i="20" s="1"/>
  <c r="D217" i="18"/>
  <c r="E217" i="18" s="1"/>
  <c r="F217" i="18" s="1"/>
  <c r="D149" i="18"/>
  <c r="E149" i="18" s="1"/>
  <c r="F149" i="18" s="1"/>
  <c r="D117" i="18"/>
  <c r="E117" i="18" s="1"/>
  <c r="F117" i="18" s="1"/>
  <c r="F88" i="18"/>
  <c r="G88" i="18" s="1"/>
  <c r="CA88" i="6" s="1"/>
  <c r="F161" i="18"/>
  <c r="G161" i="18" s="1"/>
  <c r="CA161" i="6" s="1"/>
  <c r="D85" i="18"/>
  <c r="E85" i="18" s="1"/>
  <c r="F85" i="18" s="1"/>
  <c r="D98" i="18"/>
  <c r="E98" i="18" s="1"/>
  <c r="F98" i="18" s="1"/>
  <c r="G98" i="18" s="1"/>
  <c r="CA98" i="6" s="1"/>
  <c r="D127" i="18"/>
  <c r="E127" i="18" s="1"/>
  <c r="F127" i="18" s="1"/>
  <c r="G127" i="18" s="1"/>
  <c r="CA127" i="6" s="1"/>
  <c r="D243" i="18"/>
  <c r="E243" i="18" s="1"/>
  <c r="F243" i="18" s="1"/>
  <c r="D189" i="18"/>
  <c r="E189" i="18" s="1"/>
  <c r="F189" i="18" s="1"/>
  <c r="D215" i="18"/>
  <c r="E215" i="18" s="1"/>
  <c r="F215" i="18" s="1"/>
  <c r="D43" i="18"/>
  <c r="E43" i="18" s="1"/>
  <c r="F43" i="18" s="1"/>
  <c r="D209" i="18"/>
  <c r="E209" i="18" s="1"/>
  <c r="F209" i="18" s="1"/>
  <c r="D36" i="18"/>
  <c r="E36" i="18" s="1"/>
  <c r="F36" i="18" s="1"/>
  <c r="G36" i="18" s="1"/>
  <c r="CA36" i="6" s="1"/>
  <c r="AD218" i="18"/>
  <c r="D178" i="18"/>
  <c r="E178" i="18" s="1"/>
  <c r="F178" i="18" s="1"/>
  <c r="G178" i="18" s="1"/>
  <c r="CA178" i="6" s="1"/>
  <c r="B50" i="20"/>
  <c r="U162" i="20"/>
  <c r="T162" i="20" s="1"/>
  <c r="S162" i="20" s="1"/>
  <c r="R162" i="20" s="1"/>
  <c r="P162" i="20" s="1"/>
  <c r="V162" i="20" s="1"/>
  <c r="B162" i="20" s="1"/>
  <c r="U146" i="20"/>
  <c r="T146" i="20" s="1"/>
  <c r="S146" i="20" s="1"/>
  <c r="R146" i="20" s="1"/>
  <c r="P146" i="20" s="1"/>
  <c r="V146" i="20" s="1"/>
  <c r="B146" i="20" s="1"/>
  <c r="U130" i="20"/>
  <c r="T130" i="20" s="1"/>
  <c r="S130" i="20" s="1"/>
  <c r="R130" i="20" s="1"/>
  <c r="P130" i="20" s="1"/>
  <c r="V130" i="20" s="1"/>
  <c r="B130" i="20" s="1"/>
  <c r="U114" i="20"/>
  <c r="T114" i="20" s="1"/>
  <c r="S114" i="20" s="1"/>
  <c r="R114" i="20" s="1"/>
  <c r="U98" i="20"/>
  <c r="T98" i="20" s="1"/>
  <c r="S98" i="20" s="1"/>
  <c r="R98" i="20" s="1"/>
  <c r="P98" i="20" s="1"/>
  <c r="V98" i="20" s="1"/>
  <c r="B98" i="20" s="1"/>
  <c r="U82" i="20"/>
  <c r="T82" i="20" s="1"/>
  <c r="S82" i="20" s="1"/>
  <c r="R82" i="20" s="1"/>
  <c r="P82" i="20" s="1"/>
  <c r="V82" i="20" s="1"/>
  <c r="B82" i="20" s="1"/>
  <c r="U66" i="20"/>
  <c r="T66" i="20" s="1"/>
  <c r="S66" i="20" s="1"/>
  <c r="R66" i="20" s="1"/>
  <c r="P66" i="20" s="1"/>
  <c r="V66" i="20" s="1"/>
  <c r="B66" i="20" s="1"/>
  <c r="U50" i="20"/>
  <c r="T50" i="20" s="1"/>
  <c r="S50" i="20" s="1"/>
  <c r="R50" i="20" s="1"/>
  <c r="P50" i="20" s="1"/>
  <c r="V50" i="20" s="1"/>
  <c r="U34" i="20"/>
  <c r="T34" i="20" s="1"/>
  <c r="S34" i="20" s="1"/>
  <c r="R34" i="20" s="1"/>
  <c r="P34" i="20" s="1"/>
  <c r="V34" i="20" s="1"/>
  <c r="AD285" i="18"/>
  <c r="AA149" i="18"/>
  <c r="Z149" i="18" s="1"/>
  <c r="Y149" i="18" s="1"/>
  <c r="AD202" i="18"/>
  <c r="AD106" i="18"/>
  <c r="AA137" i="18"/>
  <c r="Z137" i="18" s="1"/>
  <c r="Y137" i="18" s="1"/>
  <c r="AA17" i="18"/>
  <c r="Z17" i="18" s="1"/>
  <c r="Y17" i="18" s="1"/>
  <c r="AD35" i="18"/>
  <c r="AA22" i="18"/>
  <c r="Z22" i="18" s="1"/>
  <c r="Y22" i="18" s="1"/>
  <c r="H162" i="18"/>
  <c r="G86" i="18"/>
  <c r="CA86" i="6" s="1"/>
  <c r="H45" i="18"/>
  <c r="I45" i="18" s="1"/>
  <c r="H98" i="18"/>
  <c r="G70" i="18"/>
  <c r="CA70" i="6" s="1"/>
  <c r="AA80" i="18"/>
  <c r="Z80" i="18" s="1"/>
  <c r="Y80" i="18" s="1"/>
  <c r="AA144" i="18"/>
  <c r="Z144" i="18" s="1"/>
  <c r="Y144" i="18" s="1"/>
  <c r="AA184" i="18"/>
  <c r="Z184" i="18" s="1"/>
  <c r="Y184" i="18" s="1"/>
  <c r="AA202" i="18"/>
  <c r="Z202" i="18" s="1"/>
  <c r="Y202" i="18" s="1"/>
  <c r="AA45" i="18"/>
  <c r="Z45" i="18" s="1"/>
  <c r="Y45" i="18" s="1"/>
  <c r="AA85" i="18"/>
  <c r="Z85" i="18" s="1"/>
  <c r="Y85" i="18" s="1"/>
  <c r="D34" i="20"/>
  <c r="E34" i="20" s="1"/>
  <c r="AD312" i="18"/>
  <c r="AA312" i="18" s="1"/>
  <c r="Z312" i="18" s="1"/>
  <c r="Y312" i="18" s="1"/>
  <c r="AD224" i="18"/>
  <c r="AA224" i="18" s="1"/>
  <c r="Z224" i="18" s="1"/>
  <c r="Y224" i="18" s="1"/>
  <c r="AD328" i="18"/>
  <c r="F69" i="18"/>
  <c r="H69" i="18" s="1"/>
  <c r="H198" i="18"/>
  <c r="I198" i="18" s="1"/>
  <c r="AA75" i="18"/>
  <c r="Z75" i="18" s="1"/>
  <c r="Y75" i="18" s="1"/>
  <c r="AD288" i="18"/>
  <c r="AA288" i="18" s="1"/>
  <c r="Z288" i="18" s="1"/>
  <c r="Y288" i="18" s="1"/>
  <c r="AD72" i="18"/>
  <c r="AA72" i="18" s="1"/>
  <c r="Z72" i="18" s="1"/>
  <c r="Y72" i="18" s="1"/>
  <c r="AD163" i="18"/>
  <c r="H173" i="18"/>
  <c r="I173" i="18" s="1"/>
  <c r="H202" i="18"/>
  <c r="I202" i="18" s="1"/>
  <c r="H266" i="18"/>
  <c r="J266" i="18" s="1"/>
  <c r="AD200" i="18"/>
  <c r="AD136" i="18"/>
  <c r="AA136" i="18" s="1"/>
  <c r="Z136" i="18" s="1"/>
  <c r="Y136" i="18" s="1"/>
  <c r="AD366" i="18"/>
  <c r="AA366" i="18" s="1"/>
  <c r="Z366" i="18" s="1"/>
  <c r="Y366" i="18" s="1"/>
  <c r="AA176" i="18"/>
  <c r="Z176" i="18" s="1"/>
  <c r="Y176" i="18" s="1"/>
  <c r="AA223" i="18"/>
  <c r="Z223" i="18" s="1"/>
  <c r="Y223" i="18" s="1"/>
  <c r="F188" i="18"/>
  <c r="H134" i="18"/>
  <c r="I134" i="18" s="1"/>
  <c r="AD131" i="18"/>
  <c r="AD221" i="18"/>
  <c r="Q10" i="22"/>
  <c r="Q378" i="22" s="1"/>
  <c r="AA299" i="18"/>
  <c r="Z299" i="18" s="1"/>
  <c r="Y299" i="18" s="1"/>
  <c r="AD186" i="18"/>
  <c r="AA186" i="18" s="1"/>
  <c r="Z186" i="18" s="1"/>
  <c r="Y186" i="18" s="1"/>
  <c r="AD375" i="18"/>
  <c r="V210" i="18"/>
  <c r="AD262" i="18"/>
  <c r="AA247" i="18"/>
  <c r="Z247" i="18" s="1"/>
  <c r="Y247" i="18" s="1"/>
  <c r="AA279" i="18"/>
  <c r="Z279" i="18" s="1"/>
  <c r="Y279" i="18" s="1"/>
  <c r="AA183" i="18"/>
  <c r="Z183" i="18" s="1"/>
  <c r="Y183" i="18" s="1"/>
  <c r="AA173" i="18"/>
  <c r="Z173" i="18" s="1"/>
  <c r="Y173" i="18" s="1"/>
  <c r="AD352" i="18"/>
  <c r="AA352" i="18" s="1"/>
  <c r="Z352" i="18" s="1"/>
  <c r="Y352" i="18" s="1"/>
  <c r="AD205" i="18"/>
  <c r="AD354" i="18"/>
  <c r="AA354" i="18" s="1"/>
  <c r="Z354" i="18" s="1"/>
  <c r="Y354" i="18" s="1"/>
  <c r="AA303" i="18"/>
  <c r="Z303" i="18" s="1"/>
  <c r="Y303" i="18" s="1"/>
  <c r="AA151" i="18"/>
  <c r="Z151" i="18" s="1"/>
  <c r="Y151" i="18" s="1"/>
  <c r="AA163" i="18"/>
  <c r="Z163" i="18" s="1"/>
  <c r="Y163" i="18" s="1"/>
  <c r="AD170" i="18"/>
  <c r="AA170" i="18" s="1"/>
  <c r="Z170" i="18" s="1"/>
  <c r="Y170" i="18" s="1"/>
  <c r="AD182" i="18"/>
  <c r="AA182" i="18" s="1"/>
  <c r="Z182" i="18" s="1"/>
  <c r="Y182" i="18" s="1"/>
  <c r="AD42" i="18"/>
  <c r="AA42" i="18" s="1"/>
  <c r="Z42" i="18" s="1"/>
  <c r="Y42" i="18" s="1"/>
  <c r="AD310" i="18"/>
  <c r="AA310" i="18" s="1"/>
  <c r="Z310" i="18" s="1"/>
  <c r="Y310" i="18" s="1"/>
  <c r="AA157" i="18"/>
  <c r="Z157" i="18" s="1"/>
  <c r="Y157" i="18" s="1"/>
  <c r="AA168" i="18"/>
  <c r="Z168" i="18" s="1"/>
  <c r="Y168" i="18" s="1"/>
  <c r="AA181" i="18"/>
  <c r="Z181" i="18" s="1"/>
  <c r="Y181" i="18" s="1"/>
  <c r="H166" i="18"/>
  <c r="J166" i="18" s="1"/>
  <c r="H102" i="18"/>
  <c r="J102" i="18" s="1"/>
  <c r="U22" i="20"/>
  <c r="T22" i="20" s="1"/>
  <c r="S22" i="20" s="1"/>
  <c r="R22" i="20" s="1"/>
  <c r="P22" i="20" s="1"/>
  <c r="V22" i="20" s="1"/>
  <c r="W22" i="20" s="1"/>
  <c r="AA128" i="18"/>
  <c r="Z128" i="18" s="1"/>
  <c r="Y128" i="18" s="1"/>
  <c r="AA160" i="18"/>
  <c r="Z160" i="18" s="1"/>
  <c r="Y160" i="18" s="1"/>
  <c r="AG246" i="18"/>
  <c r="AF246" i="18" s="1"/>
  <c r="AD246" i="18" s="1"/>
  <c r="AA246" i="18" s="1"/>
  <c r="Z246" i="18" s="1"/>
  <c r="Y246" i="18" s="1"/>
  <c r="H142" i="18"/>
  <c r="I142" i="18" s="1"/>
  <c r="AA266" i="18"/>
  <c r="Z266" i="18" s="1"/>
  <c r="Y266" i="18" s="1"/>
  <c r="G242" i="18"/>
  <c r="CA242" i="6" s="1"/>
  <c r="U166" i="20"/>
  <c r="T166" i="20" s="1"/>
  <c r="S166" i="20" s="1"/>
  <c r="R166" i="20" s="1"/>
  <c r="P166" i="20" s="1"/>
  <c r="V166" i="20" s="1"/>
  <c r="B166" i="20" s="1"/>
  <c r="U158" i="20"/>
  <c r="T158" i="20" s="1"/>
  <c r="S158" i="20" s="1"/>
  <c r="R158" i="20" s="1"/>
  <c r="P158" i="20" s="1"/>
  <c r="V158" i="20" s="1"/>
  <c r="U150" i="20"/>
  <c r="T150" i="20" s="1"/>
  <c r="S150" i="20" s="1"/>
  <c r="R150" i="20" s="1"/>
  <c r="P150" i="20" s="1"/>
  <c r="V150" i="20" s="1"/>
  <c r="U142" i="20"/>
  <c r="T142" i="20" s="1"/>
  <c r="S142" i="20" s="1"/>
  <c r="R142" i="20" s="1"/>
  <c r="P142" i="20" s="1"/>
  <c r="V142" i="20" s="1"/>
  <c r="U134" i="20"/>
  <c r="T134" i="20" s="1"/>
  <c r="S134" i="20" s="1"/>
  <c r="R134" i="20" s="1"/>
  <c r="P134" i="20" s="1"/>
  <c r="V134" i="20" s="1"/>
  <c r="U126" i="20"/>
  <c r="T126" i="20" s="1"/>
  <c r="S126" i="20" s="1"/>
  <c r="R126" i="20" s="1"/>
  <c r="P126" i="20" s="1"/>
  <c r="V126" i="20" s="1"/>
  <c r="U118" i="20"/>
  <c r="T118" i="20" s="1"/>
  <c r="S118" i="20" s="1"/>
  <c r="R118" i="20" s="1"/>
  <c r="P118" i="20" s="1"/>
  <c r="V118" i="20" s="1"/>
  <c r="U110" i="20"/>
  <c r="T110" i="20" s="1"/>
  <c r="S110" i="20" s="1"/>
  <c r="R110" i="20" s="1"/>
  <c r="U102" i="20"/>
  <c r="T102" i="20" s="1"/>
  <c r="S102" i="20" s="1"/>
  <c r="R102" i="20" s="1"/>
  <c r="P102" i="20" s="1"/>
  <c r="V102" i="20" s="1"/>
  <c r="U94" i="20"/>
  <c r="T94" i="20" s="1"/>
  <c r="S94" i="20" s="1"/>
  <c r="R94" i="20" s="1"/>
  <c r="U86" i="20"/>
  <c r="T86" i="20" s="1"/>
  <c r="S86" i="20" s="1"/>
  <c r="R86" i="20" s="1"/>
  <c r="U78" i="20"/>
  <c r="T78" i="20" s="1"/>
  <c r="S78" i="20" s="1"/>
  <c r="R78" i="20" s="1"/>
  <c r="P78" i="20" s="1"/>
  <c r="V78" i="20" s="1"/>
  <c r="U70" i="20"/>
  <c r="T70" i="20" s="1"/>
  <c r="S70" i="20" s="1"/>
  <c r="R70" i="20" s="1"/>
  <c r="P70" i="20" s="1"/>
  <c r="V70" i="20" s="1"/>
  <c r="U62" i="20"/>
  <c r="T62" i="20" s="1"/>
  <c r="U54" i="20"/>
  <c r="T54" i="20" s="1"/>
  <c r="S54" i="20" s="1"/>
  <c r="R54" i="20" s="1"/>
  <c r="P54" i="20" s="1"/>
  <c r="V54" i="20" s="1"/>
  <c r="U46" i="20"/>
  <c r="T46" i="20" s="1"/>
  <c r="U38" i="20"/>
  <c r="T38" i="20" s="1"/>
  <c r="S38" i="20" s="1"/>
  <c r="R38" i="20" s="1"/>
  <c r="U30" i="20"/>
  <c r="T30" i="20" s="1"/>
  <c r="S30" i="20" s="1"/>
  <c r="R30" i="20" s="1"/>
  <c r="P30" i="20" s="1"/>
  <c r="V30" i="20" s="1"/>
  <c r="F114" i="18"/>
  <c r="H114" i="18" s="1"/>
  <c r="AD277" i="18"/>
  <c r="AA277" i="18" s="1"/>
  <c r="Z277" i="18" s="1"/>
  <c r="Y277" i="18" s="1"/>
  <c r="AD337" i="18"/>
  <c r="AA337" i="18" s="1"/>
  <c r="Z337" i="18" s="1"/>
  <c r="Y337" i="18" s="1"/>
  <c r="F34" i="18"/>
  <c r="G34" i="18" s="1"/>
  <c r="CA34" i="6" s="1"/>
  <c r="AD342" i="18"/>
  <c r="AA342" i="18" s="1"/>
  <c r="Z342" i="18" s="1"/>
  <c r="Y342" i="18" s="1"/>
  <c r="AD96" i="18"/>
  <c r="AA96" i="18" s="1"/>
  <c r="Z96" i="18" s="1"/>
  <c r="Y96" i="18" s="1"/>
  <c r="AA255" i="18"/>
  <c r="Z255" i="18" s="1"/>
  <c r="Y255" i="18" s="1"/>
  <c r="AA309" i="18"/>
  <c r="Z309" i="18" s="1"/>
  <c r="Y309" i="18" s="1"/>
  <c r="AA245" i="18"/>
  <c r="Z245" i="18" s="1"/>
  <c r="Y245" i="18" s="1"/>
  <c r="AA67" i="18"/>
  <c r="Z67" i="18" s="1"/>
  <c r="Y67" i="18" s="1"/>
  <c r="AD54" i="18"/>
  <c r="AA54" i="18" s="1"/>
  <c r="Z54" i="18" s="1"/>
  <c r="Y54" i="18" s="1"/>
  <c r="AD343" i="18"/>
  <c r="AD298" i="18"/>
  <c r="AA298" i="18" s="1"/>
  <c r="Z298" i="18" s="1"/>
  <c r="Y298" i="18" s="1"/>
  <c r="AD190" i="18"/>
  <c r="AA190" i="18" s="1"/>
  <c r="Z190" i="18" s="1"/>
  <c r="Y190" i="18" s="1"/>
  <c r="AD41" i="18"/>
  <c r="AD339" i="18"/>
  <c r="AA26" i="18"/>
  <c r="Z26" i="18" s="1"/>
  <c r="Y26" i="18" s="1"/>
  <c r="AA93" i="18"/>
  <c r="Z93" i="18" s="1"/>
  <c r="Y93" i="18" s="1"/>
  <c r="AD287" i="18"/>
  <c r="AA287" i="18" s="1"/>
  <c r="Z287" i="18" s="1"/>
  <c r="Y287" i="18" s="1"/>
  <c r="AG134" i="18"/>
  <c r="AF134" i="18" s="1"/>
  <c r="AD134" i="18" s="1"/>
  <c r="AA134" i="18" s="1"/>
  <c r="Z134" i="18" s="1"/>
  <c r="Y134" i="18" s="1"/>
  <c r="AA262" i="18"/>
  <c r="Z262" i="18" s="1"/>
  <c r="Y262" i="18" s="1"/>
  <c r="G90" i="18"/>
  <c r="CA90" i="6" s="1"/>
  <c r="G93" i="18"/>
  <c r="CA93" i="6" s="1"/>
  <c r="H228" i="18"/>
  <c r="J228" i="18" s="1"/>
  <c r="H136" i="18"/>
  <c r="I136" i="18" s="1"/>
  <c r="H42" i="18"/>
  <c r="I42" i="18" s="1"/>
  <c r="H246" i="18"/>
  <c r="J246" i="18" s="1"/>
  <c r="H165" i="18"/>
  <c r="J165" i="18" s="1"/>
  <c r="H72" i="18"/>
  <c r="I72" i="18" s="1"/>
  <c r="H97" i="18"/>
  <c r="J97" i="18" s="1"/>
  <c r="H260" i="18"/>
  <c r="J260" i="18" s="1"/>
  <c r="H118" i="18"/>
  <c r="I118" i="18" s="1"/>
  <c r="H22" i="18"/>
  <c r="J22" i="18" s="1"/>
  <c r="H44" i="18"/>
  <c r="J44" i="18" s="1"/>
  <c r="H38" i="18"/>
  <c r="J38" i="18" s="1"/>
  <c r="H234" i="18"/>
  <c r="J234" i="18" s="1"/>
  <c r="AA234" i="18"/>
  <c r="Z234" i="18" s="1"/>
  <c r="Y234" i="18" s="1"/>
  <c r="AA16" i="18"/>
  <c r="Z16" i="18" s="1"/>
  <c r="Y16" i="18" s="1"/>
  <c r="H78" i="18"/>
  <c r="I78" i="18" s="1"/>
  <c r="H74" i="18"/>
  <c r="I74" i="18" s="1"/>
  <c r="AA95" i="18"/>
  <c r="Z95" i="18" s="1"/>
  <c r="Y95" i="18" s="1"/>
  <c r="AA161" i="18"/>
  <c r="Z161" i="18" s="1"/>
  <c r="Y161" i="18" s="1"/>
  <c r="H186" i="18"/>
  <c r="I186" i="18" s="1"/>
  <c r="H48" i="18"/>
  <c r="I48" i="18" s="1"/>
  <c r="H138" i="18"/>
  <c r="J138" i="18" s="1"/>
  <c r="H216" i="18"/>
  <c r="I216" i="18" s="1"/>
  <c r="H57" i="18"/>
  <c r="I57" i="18" s="1"/>
  <c r="AA318" i="18"/>
  <c r="Z318" i="18" s="1"/>
  <c r="Y318" i="18" s="1"/>
  <c r="H64" i="18"/>
  <c r="I64" i="18" s="1"/>
  <c r="H236" i="18"/>
  <c r="J236" i="18" s="1"/>
  <c r="H128" i="18"/>
  <c r="J128" i="18" s="1"/>
  <c r="H16" i="18"/>
  <c r="I16" i="18" s="1"/>
  <c r="H190" i="18"/>
  <c r="I190" i="18" s="1"/>
  <c r="H37" i="18"/>
  <c r="J37" i="18" s="1"/>
  <c r="H172" i="18"/>
  <c r="J172" i="18" s="1"/>
  <c r="H106" i="18"/>
  <c r="J106" i="18" s="1"/>
  <c r="G238" i="18"/>
  <c r="CA238" i="6" s="1"/>
  <c r="G112" i="18"/>
  <c r="CA112" i="6" s="1"/>
  <c r="G184" i="18"/>
  <c r="CA184" i="6" s="1"/>
  <c r="H161" i="18"/>
  <c r="J161" i="18" s="1"/>
  <c r="H120" i="18"/>
  <c r="I120" i="18" s="1"/>
  <c r="H182" i="18"/>
  <c r="I182" i="18" s="1"/>
  <c r="H218" i="18"/>
  <c r="I218" i="18" s="1"/>
  <c r="H262" i="18"/>
  <c r="I262" i="18" s="1"/>
  <c r="H54" i="18"/>
  <c r="I54" i="18" s="1"/>
  <c r="AA79" i="18"/>
  <c r="Z79" i="18" s="1"/>
  <c r="Y79" i="18" s="1"/>
  <c r="AA47" i="18"/>
  <c r="Z47" i="18" s="1"/>
  <c r="Y47" i="18" s="1"/>
  <c r="AA143" i="18"/>
  <c r="Z143" i="18" s="1"/>
  <c r="Y143" i="18" s="1"/>
  <c r="AA218" i="18"/>
  <c r="Z218" i="18" s="1"/>
  <c r="Y218" i="18" s="1"/>
  <c r="G181" i="18"/>
  <c r="CA181" i="6" s="1"/>
  <c r="H230" i="18"/>
  <c r="J230" i="18" s="1"/>
  <c r="G40" i="18"/>
  <c r="CA40" i="6" s="1"/>
  <c r="H96" i="18"/>
  <c r="J96" i="18" s="1"/>
  <c r="H244" i="18"/>
  <c r="J244" i="18" s="1"/>
  <c r="G52" i="18"/>
  <c r="CA52" i="6" s="1"/>
  <c r="G66" i="18"/>
  <c r="CA66" i="6" s="1"/>
  <c r="G49" i="18"/>
  <c r="CA49" i="6" s="1"/>
  <c r="G26" i="18"/>
  <c r="CA26" i="6" s="1"/>
  <c r="H80" i="18"/>
  <c r="J80" i="18" s="1"/>
  <c r="AA112" i="18"/>
  <c r="Z112" i="18" s="1"/>
  <c r="Y112" i="18" s="1"/>
  <c r="G160" i="18"/>
  <c r="CA160" i="6" s="1"/>
  <c r="AA120" i="18"/>
  <c r="Z120" i="18" s="1"/>
  <c r="Y120" i="18" s="1"/>
  <c r="AG254" i="18"/>
  <c r="AF254" i="18" s="1"/>
  <c r="AD254" i="18" s="1"/>
  <c r="AA254" i="18" s="1"/>
  <c r="Z254" i="18" s="1"/>
  <c r="Y254" i="18" s="1"/>
  <c r="AG118" i="18"/>
  <c r="AF118" i="18" s="1"/>
  <c r="AD118" i="18" s="1"/>
  <c r="AA118" i="18" s="1"/>
  <c r="Z118" i="18" s="1"/>
  <c r="Y118" i="18" s="1"/>
  <c r="AG126" i="18"/>
  <c r="AF126" i="18" s="1"/>
  <c r="AD126" i="18" s="1"/>
  <c r="AA126" i="18" s="1"/>
  <c r="Z126" i="18" s="1"/>
  <c r="Y126" i="18" s="1"/>
  <c r="AG86" i="18"/>
  <c r="AF86" i="18" s="1"/>
  <c r="AD86" i="18" s="1"/>
  <c r="AA86" i="18" s="1"/>
  <c r="Z86" i="18" s="1"/>
  <c r="Y86" i="18" s="1"/>
  <c r="AI381" i="18"/>
  <c r="AD332" i="18"/>
  <c r="AA332" i="18" s="1"/>
  <c r="Z332" i="18" s="1"/>
  <c r="Y332" i="18" s="1"/>
  <c r="H293" i="18"/>
  <c r="I293" i="18" s="1"/>
  <c r="AA53" i="18"/>
  <c r="Z53" i="18" s="1"/>
  <c r="Y53" i="18" s="1"/>
  <c r="G144" i="18"/>
  <c r="CA144" i="6" s="1"/>
  <c r="H58" i="18"/>
  <c r="I58" i="18" s="1"/>
  <c r="AA235" i="18"/>
  <c r="Z235" i="18" s="1"/>
  <c r="Y235" i="18" s="1"/>
  <c r="AA37" i="18"/>
  <c r="Z37" i="18" s="1"/>
  <c r="Y37" i="18" s="1"/>
  <c r="G192" i="18"/>
  <c r="CA192" i="6" s="1"/>
  <c r="G67" i="18"/>
  <c r="CA67" i="6" s="1"/>
  <c r="G124" i="18"/>
  <c r="CA124" i="6" s="1"/>
  <c r="AA20" i="18"/>
  <c r="Z20" i="18" s="1"/>
  <c r="Y20" i="18" s="1"/>
  <c r="H222" i="18"/>
  <c r="I222" i="18" s="1"/>
  <c r="H17" i="18"/>
  <c r="I17" i="18" s="1"/>
  <c r="G132" i="18"/>
  <c r="CA132" i="6" s="1"/>
  <c r="H130" i="18"/>
  <c r="I130" i="18" s="1"/>
  <c r="H254" i="18"/>
  <c r="I254" i="18" s="1"/>
  <c r="H20" i="18"/>
  <c r="J20" i="18" s="1"/>
  <c r="AA57" i="18"/>
  <c r="Z57" i="18" s="1"/>
  <c r="Y57" i="18" s="1"/>
  <c r="AA64" i="18"/>
  <c r="Z64" i="18" s="1"/>
  <c r="Y64" i="18" s="1"/>
  <c r="AA152" i="18"/>
  <c r="Z152" i="18" s="1"/>
  <c r="Y152" i="18" s="1"/>
  <c r="H146" i="18"/>
  <c r="I146" i="18" s="1"/>
  <c r="H26" i="18"/>
  <c r="I26" i="18" s="1"/>
  <c r="H133" i="18"/>
  <c r="J133" i="18" s="1"/>
  <c r="AA48" i="18"/>
  <c r="Z48" i="18" s="1"/>
  <c r="Y48" i="18" s="1"/>
  <c r="H225" i="18"/>
  <c r="I225" i="18" s="1"/>
  <c r="AA49" i="18"/>
  <c r="Z49" i="18" s="1"/>
  <c r="Y49" i="18" s="1"/>
  <c r="AA133" i="18"/>
  <c r="Z133" i="18" s="1"/>
  <c r="Y133" i="18" s="1"/>
  <c r="AA106" i="18"/>
  <c r="Z106" i="18" s="1"/>
  <c r="Y106" i="18" s="1"/>
  <c r="AA121" i="18"/>
  <c r="Z121" i="18" s="1"/>
  <c r="Y121" i="18" s="1"/>
  <c r="AA138" i="18"/>
  <c r="Z138" i="18" s="1"/>
  <c r="Y138" i="18" s="1"/>
  <c r="G168" i="18"/>
  <c r="CA168" i="6" s="1"/>
  <c r="G129" i="18"/>
  <c r="CA129" i="6" s="1"/>
  <c r="G122" i="18"/>
  <c r="CA122" i="6" s="1"/>
  <c r="I170" i="18"/>
  <c r="H270" i="18"/>
  <c r="J270" i="18" s="1"/>
  <c r="G17" i="18"/>
  <c r="CA17" i="6" s="1"/>
  <c r="AA24" i="18"/>
  <c r="Z24" i="18" s="1"/>
  <c r="Y24" i="18" s="1"/>
  <c r="AA153" i="18"/>
  <c r="Z153" i="18" s="1"/>
  <c r="Y153" i="18" s="1"/>
  <c r="H116" i="18"/>
  <c r="I116" i="18" s="1"/>
  <c r="H104" i="18"/>
  <c r="I104" i="18" s="1"/>
  <c r="G24" i="18"/>
  <c r="CA24" i="6" s="1"/>
  <c r="G235" i="18"/>
  <c r="CA235" i="6" s="1"/>
  <c r="G264" i="18"/>
  <c r="CA264" i="6" s="1"/>
  <c r="G28" i="18"/>
  <c r="CA28" i="6" s="1"/>
  <c r="AA44" i="18"/>
  <c r="Z44" i="18" s="1"/>
  <c r="Y44" i="18" s="1"/>
  <c r="AA56" i="18"/>
  <c r="Z56" i="18" s="1"/>
  <c r="Y56" i="18" s="1"/>
  <c r="AA104" i="18"/>
  <c r="Z104" i="18" s="1"/>
  <c r="Y104" i="18" s="1"/>
  <c r="H32" i="18"/>
  <c r="I32" i="18" s="1"/>
  <c r="AA97" i="18"/>
  <c r="Z97" i="18" s="1"/>
  <c r="Y97" i="18" s="1"/>
  <c r="AA129" i="18"/>
  <c r="Z129" i="18" s="1"/>
  <c r="Y129" i="18" s="1"/>
  <c r="H89" i="18"/>
  <c r="I89" i="18" s="1"/>
  <c r="AA179" i="18"/>
  <c r="Z179" i="18" s="1"/>
  <c r="Y179" i="18" s="1"/>
  <c r="G224" i="18"/>
  <c r="CA224" i="6" s="1"/>
  <c r="AA40" i="18"/>
  <c r="Z40" i="18" s="1"/>
  <c r="Y40" i="18" s="1"/>
  <c r="AA177" i="18"/>
  <c r="Z177" i="18" s="1"/>
  <c r="Y177" i="18" s="1"/>
  <c r="AA167" i="18"/>
  <c r="Z167" i="18" s="1"/>
  <c r="Y167" i="18" s="1"/>
  <c r="AA228" i="18"/>
  <c r="Z228" i="18" s="1"/>
  <c r="Y228" i="18" s="1"/>
  <c r="AA89" i="18"/>
  <c r="Z89" i="18" s="1"/>
  <c r="Y89" i="18" s="1"/>
  <c r="G137" i="18"/>
  <c r="CA137" i="6" s="1"/>
  <c r="G84" i="18"/>
  <c r="CA84" i="6" s="1"/>
  <c r="AA256" i="18"/>
  <c r="Z256" i="18" s="1"/>
  <c r="Y256" i="18" s="1"/>
  <c r="H200" i="18"/>
  <c r="I200" i="18" s="1"/>
  <c r="AA200" i="18"/>
  <c r="Z200" i="18" s="1"/>
  <c r="Y200" i="18" s="1"/>
  <c r="U19" i="20"/>
  <c r="T19" i="20" s="1"/>
  <c r="G117" i="18"/>
  <c r="CA117" i="6" s="1"/>
  <c r="H117" i="18"/>
  <c r="AA117" i="18"/>
  <c r="Z117" i="18" s="1"/>
  <c r="Y117" i="18" s="1"/>
  <c r="H273" i="18"/>
  <c r="J273" i="18" s="1"/>
  <c r="H327" i="18"/>
  <c r="I327" i="18" s="1"/>
  <c r="AI382" i="18"/>
  <c r="AA192" i="18"/>
  <c r="Z192" i="18" s="1"/>
  <c r="Y192" i="18" s="1"/>
  <c r="U172" i="20"/>
  <c r="T172" i="20" s="1"/>
  <c r="S172" i="20" s="1"/>
  <c r="R172" i="20" s="1"/>
  <c r="P172" i="20" s="1"/>
  <c r="V172" i="20" s="1"/>
  <c r="U168" i="20"/>
  <c r="T168" i="20" s="1"/>
  <c r="S168" i="20" s="1"/>
  <c r="R168" i="20" s="1"/>
  <c r="P168" i="20" s="1"/>
  <c r="V168" i="20" s="1"/>
  <c r="U164" i="20"/>
  <c r="T164" i="20" s="1"/>
  <c r="S164" i="20" s="1"/>
  <c r="R164" i="20" s="1"/>
  <c r="P164" i="20" s="1"/>
  <c r="V164" i="20" s="1"/>
  <c r="U160" i="20"/>
  <c r="T160" i="20" s="1"/>
  <c r="S160" i="20" s="1"/>
  <c r="R160" i="20" s="1"/>
  <c r="P160" i="20" s="1"/>
  <c r="V160" i="20" s="1"/>
  <c r="U156" i="20"/>
  <c r="T156" i="20" s="1"/>
  <c r="S156" i="20" s="1"/>
  <c r="R156" i="20" s="1"/>
  <c r="P156" i="20" s="1"/>
  <c r="V156" i="20" s="1"/>
  <c r="U152" i="20"/>
  <c r="T152" i="20" s="1"/>
  <c r="S152" i="20" s="1"/>
  <c r="R152" i="20" s="1"/>
  <c r="P152" i="20" s="1"/>
  <c r="V152" i="20" s="1"/>
  <c r="U148" i="20"/>
  <c r="T148" i="20" s="1"/>
  <c r="S148" i="20" s="1"/>
  <c r="R148" i="20" s="1"/>
  <c r="P148" i="20" s="1"/>
  <c r="V148" i="20" s="1"/>
  <c r="U144" i="20"/>
  <c r="T144" i="20" s="1"/>
  <c r="S144" i="20" s="1"/>
  <c r="R144" i="20" s="1"/>
  <c r="P144" i="20" s="1"/>
  <c r="V144" i="20" s="1"/>
  <c r="U140" i="20"/>
  <c r="T140" i="20" s="1"/>
  <c r="S140" i="20" s="1"/>
  <c r="R140" i="20" s="1"/>
  <c r="P140" i="20" s="1"/>
  <c r="V140" i="20" s="1"/>
  <c r="B140" i="20" s="1"/>
  <c r="U136" i="20"/>
  <c r="T136" i="20" s="1"/>
  <c r="S136" i="20" s="1"/>
  <c r="R136" i="20" s="1"/>
  <c r="P136" i="20" s="1"/>
  <c r="V136" i="20" s="1"/>
  <c r="U132" i="20"/>
  <c r="T132" i="20" s="1"/>
  <c r="S132" i="20" s="1"/>
  <c r="R132" i="20" s="1"/>
  <c r="P132" i="20" s="1"/>
  <c r="V132" i="20" s="1"/>
  <c r="U128" i="20"/>
  <c r="T128" i="20" s="1"/>
  <c r="S128" i="20" s="1"/>
  <c r="R128" i="20" s="1"/>
  <c r="P128" i="20" s="1"/>
  <c r="V128" i="20" s="1"/>
  <c r="U124" i="20"/>
  <c r="T124" i="20" s="1"/>
  <c r="S124" i="20" s="1"/>
  <c r="R124" i="20" s="1"/>
  <c r="P124" i="20" s="1"/>
  <c r="V124" i="20" s="1"/>
  <c r="U120" i="20"/>
  <c r="T120" i="20" s="1"/>
  <c r="S120" i="20" s="1"/>
  <c r="R120" i="20" s="1"/>
  <c r="P120" i="20" s="1"/>
  <c r="V120" i="20" s="1"/>
  <c r="U116" i="20"/>
  <c r="T116" i="20" s="1"/>
  <c r="S116" i="20" s="1"/>
  <c r="R116" i="20" s="1"/>
  <c r="P116" i="20" s="1"/>
  <c r="V116" i="20" s="1"/>
  <c r="U112" i="20"/>
  <c r="T112" i="20" s="1"/>
  <c r="S112" i="20" s="1"/>
  <c r="R112" i="20" s="1"/>
  <c r="U108" i="20"/>
  <c r="T108" i="20" s="1"/>
  <c r="S108" i="20" s="1"/>
  <c r="R108" i="20" s="1"/>
  <c r="P108" i="20" s="1"/>
  <c r="V108" i="20" s="1"/>
  <c r="U104" i="20"/>
  <c r="T104" i="20" s="1"/>
  <c r="S104" i="20" s="1"/>
  <c r="R104" i="20" s="1"/>
  <c r="P104" i="20" s="1"/>
  <c r="V104" i="20" s="1"/>
  <c r="U100" i="20"/>
  <c r="T100" i="20" s="1"/>
  <c r="S100" i="20" s="1"/>
  <c r="R100" i="20" s="1"/>
  <c r="U96" i="20"/>
  <c r="T96" i="20" s="1"/>
  <c r="S96" i="20" s="1"/>
  <c r="R96" i="20" s="1"/>
  <c r="P96" i="20" s="1"/>
  <c r="V96" i="20" s="1"/>
  <c r="U92" i="20"/>
  <c r="T92" i="20" s="1"/>
  <c r="S92" i="20" s="1"/>
  <c r="R92" i="20" s="1"/>
  <c r="P92" i="20" s="1"/>
  <c r="V92" i="20" s="1"/>
  <c r="U88" i="20"/>
  <c r="T88" i="20" s="1"/>
  <c r="S88" i="20" s="1"/>
  <c r="R88" i="20" s="1"/>
  <c r="U84" i="20"/>
  <c r="T84" i="20" s="1"/>
  <c r="S84" i="20" s="1"/>
  <c r="R84" i="20" s="1"/>
  <c r="P84" i="20" s="1"/>
  <c r="V84" i="20" s="1"/>
  <c r="U80" i="20"/>
  <c r="T80" i="20" s="1"/>
  <c r="S80" i="20" s="1"/>
  <c r="R80" i="20" s="1"/>
  <c r="P80" i="20" s="1"/>
  <c r="V80" i="20" s="1"/>
  <c r="U76" i="20"/>
  <c r="T76" i="20" s="1"/>
  <c r="S76" i="20" s="1"/>
  <c r="R76" i="20" s="1"/>
  <c r="P76" i="20" s="1"/>
  <c r="V76" i="20" s="1"/>
  <c r="U72" i="20"/>
  <c r="T72" i="20" s="1"/>
  <c r="U68" i="20"/>
  <c r="T68" i="20" s="1"/>
  <c r="S68" i="20" s="1"/>
  <c r="R68" i="20" s="1"/>
  <c r="U64" i="20"/>
  <c r="T64" i="20" s="1"/>
  <c r="S64" i="20" s="1"/>
  <c r="R64" i="20" s="1"/>
  <c r="P64" i="20" s="1"/>
  <c r="V64" i="20" s="1"/>
  <c r="U60" i="20"/>
  <c r="T60" i="20" s="1"/>
  <c r="S60" i="20" s="1"/>
  <c r="R60" i="20" s="1"/>
  <c r="U56" i="20"/>
  <c r="T56" i="20" s="1"/>
  <c r="S56" i="20" s="1"/>
  <c r="R56" i="20" s="1"/>
  <c r="P56" i="20" s="1"/>
  <c r="V56" i="20" s="1"/>
  <c r="U52" i="20"/>
  <c r="T52" i="20" s="1"/>
  <c r="S52" i="20" s="1"/>
  <c r="R52" i="20" s="1"/>
  <c r="P52" i="20" s="1"/>
  <c r="V52" i="20" s="1"/>
  <c r="U48" i="20"/>
  <c r="T48" i="20" s="1"/>
  <c r="S48" i="20" s="1"/>
  <c r="R48" i="20" s="1"/>
  <c r="P48" i="20" s="1"/>
  <c r="V48" i="20" s="1"/>
  <c r="U44" i="20"/>
  <c r="T44" i="20" s="1"/>
  <c r="S44" i="20" s="1"/>
  <c r="R44" i="20" s="1"/>
  <c r="P44" i="20" s="1"/>
  <c r="V44" i="20" s="1"/>
  <c r="U40" i="20"/>
  <c r="T40" i="20" s="1"/>
  <c r="S40" i="20" s="1"/>
  <c r="R40" i="20" s="1"/>
  <c r="P40" i="20" s="1"/>
  <c r="V40" i="20" s="1"/>
  <c r="U36" i="20"/>
  <c r="T36" i="20" s="1"/>
  <c r="U32" i="20"/>
  <c r="T32" i="20" s="1"/>
  <c r="S32" i="20" s="1"/>
  <c r="R32" i="20" s="1"/>
  <c r="P32" i="20" s="1"/>
  <c r="V32" i="20" s="1"/>
  <c r="D32" i="20" s="1"/>
  <c r="E32" i="20" s="1"/>
  <c r="F32" i="20" s="1"/>
  <c r="U28" i="20"/>
  <c r="T28" i="20" s="1"/>
  <c r="S28" i="20" s="1"/>
  <c r="R28" i="20" s="1"/>
  <c r="P28" i="20" s="1"/>
  <c r="V28" i="20" s="1"/>
  <c r="D28" i="20" s="1"/>
  <c r="E28" i="20" s="1"/>
  <c r="F28" i="20" s="1"/>
  <c r="U24" i="20"/>
  <c r="T24" i="20" s="1"/>
  <c r="S24" i="20" s="1"/>
  <c r="R24" i="20" s="1"/>
  <c r="U17" i="20"/>
  <c r="T17" i="20" s="1"/>
  <c r="S17" i="20" s="1"/>
  <c r="R17" i="20" s="1"/>
  <c r="P17" i="20" s="1"/>
  <c r="V17" i="20" s="1"/>
  <c r="D17" i="20" s="1"/>
  <c r="E17" i="20" s="1"/>
  <c r="F17" i="20" s="1"/>
  <c r="AD378" i="18"/>
  <c r="AA378" i="18" s="1"/>
  <c r="Z378" i="18" s="1"/>
  <c r="Y378" i="18" s="1"/>
  <c r="H36" i="18"/>
  <c r="J36" i="18" s="1"/>
  <c r="H208" i="18"/>
  <c r="J208" i="18" s="1"/>
  <c r="AA327" i="18"/>
  <c r="Z327" i="18" s="1"/>
  <c r="Y327" i="18" s="1"/>
  <c r="AA171" i="18"/>
  <c r="Z171" i="18" s="1"/>
  <c r="Y171" i="18" s="1"/>
  <c r="AD292" i="18"/>
  <c r="AA292" i="18" s="1"/>
  <c r="Z292" i="18" s="1"/>
  <c r="Y292" i="18" s="1"/>
  <c r="AD260" i="18"/>
  <c r="AA260" i="18" s="1"/>
  <c r="Z260" i="18" s="1"/>
  <c r="Y260" i="18" s="1"/>
  <c r="AA216" i="18"/>
  <c r="Z216" i="18" s="1"/>
  <c r="Y216" i="18" s="1"/>
  <c r="AA231" i="18"/>
  <c r="Z231" i="18" s="1"/>
  <c r="Y231" i="18" s="1"/>
  <c r="AA259" i="18"/>
  <c r="Z259" i="18" s="1"/>
  <c r="Y259" i="18" s="1"/>
  <c r="AD282" i="18"/>
  <c r="AA282" i="18" s="1"/>
  <c r="Z282" i="18" s="1"/>
  <c r="Y282" i="18" s="1"/>
  <c r="AA124" i="18"/>
  <c r="Z124" i="18" s="1"/>
  <c r="Y124" i="18" s="1"/>
  <c r="F240" i="18"/>
  <c r="AA240" i="18" s="1"/>
  <c r="Z240" i="18" s="1"/>
  <c r="Y240" i="18" s="1"/>
  <c r="AA41" i="18"/>
  <c r="Z41" i="18" s="1"/>
  <c r="Y41" i="18" s="1"/>
  <c r="I379" i="17"/>
  <c r="G253" i="18"/>
  <c r="CA253" i="6" s="1"/>
  <c r="G149" i="18"/>
  <c r="CA149" i="6" s="1"/>
  <c r="AA84" i="18"/>
  <c r="Z84" i="18" s="1"/>
  <c r="Y84" i="18" s="1"/>
  <c r="AA265" i="18"/>
  <c r="Z265" i="18" s="1"/>
  <c r="Y265" i="18" s="1"/>
  <c r="AA346" i="18"/>
  <c r="Z346" i="18" s="1"/>
  <c r="Y346" i="18" s="1"/>
  <c r="AA264" i="18"/>
  <c r="Z264" i="18" s="1"/>
  <c r="Y264" i="18" s="1"/>
  <c r="H156" i="18"/>
  <c r="I156" i="18" s="1"/>
  <c r="H281" i="18"/>
  <c r="J281" i="18" s="1"/>
  <c r="AG82" i="18"/>
  <c r="AF82" i="18" s="1"/>
  <c r="AD82" i="18" s="1"/>
  <c r="AA82" i="18" s="1"/>
  <c r="Z82" i="18" s="1"/>
  <c r="Y82" i="18" s="1"/>
  <c r="AG74" i="18"/>
  <c r="AF74" i="18" s="1"/>
  <c r="AD74" i="18" s="1"/>
  <c r="AA74" i="18" s="1"/>
  <c r="Z74" i="18" s="1"/>
  <c r="Y74" i="18" s="1"/>
  <c r="AG154" i="18"/>
  <c r="AF154" i="18" s="1"/>
  <c r="AD154" i="18" s="1"/>
  <c r="AA154" i="18" s="1"/>
  <c r="Z154" i="18" s="1"/>
  <c r="Y154" i="18" s="1"/>
  <c r="AG368" i="18"/>
  <c r="AF368" i="18" s="1"/>
  <c r="AD368" i="18" s="1"/>
  <c r="AG367" i="18"/>
  <c r="AF367" i="18" s="1"/>
  <c r="AD367" i="18" s="1"/>
  <c r="AA367" i="18" s="1"/>
  <c r="Z367" i="18" s="1"/>
  <c r="Y367" i="18" s="1"/>
  <c r="G195" i="18"/>
  <c r="CA195" i="6" s="1"/>
  <c r="G143" i="18"/>
  <c r="CA143" i="6" s="1"/>
  <c r="G358" i="18"/>
  <c r="CA358" i="6" s="1"/>
  <c r="H290" i="18"/>
  <c r="J290" i="18" s="1"/>
  <c r="G151" i="18"/>
  <c r="CA151" i="6" s="1"/>
  <c r="G341" i="18"/>
  <c r="CA341" i="6" s="1"/>
  <c r="G163" i="18"/>
  <c r="CA163" i="6" s="1"/>
  <c r="AA281" i="18"/>
  <c r="Z281" i="18" s="1"/>
  <c r="Y281" i="18" s="1"/>
  <c r="AI383" i="18"/>
  <c r="AA293" i="18"/>
  <c r="Z293" i="18" s="1"/>
  <c r="Y293" i="18" s="1"/>
  <c r="AD273" i="18"/>
  <c r="AA273" i="18" s="1"/>
  <c r="Z273" i="18" s="1"/>
  <c r="Y273" i="18" s="1"/>
  <c r="H143" i="18"/>
  <c r="J143" i="18" s="1"/>
  <c r="H289" i="18"/>
  <c r="J289" i="18" s="1"/>
  <c r="H354" i="18"/>
  <c r="J354" i="18" s="1"/>
  <c r="H269" i="18"/>
  <c r="I269" i="18" s="1"/>
  <c r="AD204" i="18"/>
  <c r="AA204" i="18" s="1"/>
  <c r="Z204" i="18" s="1"/>
  <c r="Y204" i="18" s="1"/>
  <c r="AD222" i="18"/>
  <c r="AA222" i="18" s="1"/>
  <c r="Z222" i="18" s="1"/>
  <c r="Y222" i="18" s="1"/>
  <c r="AD70" i="18"/>
  <c r="AA70" i="18" s="1"/>
  <c r="Z70" i="18" s="1"/>
  <c r="Y70" i="18" s="1"/>
  <c r="AD267" i="18"/>
  <c r="AA267" i="18" s="1"/>
  <c r="Z267" i="18" s="1"/>
  <c r="Y267" i="18" s="1"/>
  <c r="AG372" i="18"/>
  <c r="AF372" i="18" s="1"/>
  <c r="AD372" i="18" s="1"/>
  <c r="AA372" i="18" s="1"/>
  <c r="Z372" i="18" s="1"/>
  <c r="Y372" i="18" s="1"/>
  <c r="AG286" i="18"/>
  <c r="AF286" i="18" s="1"/>
  <c r="AD286" i="18" s="1"/>
  <c r="AA286" i="18" s="1"/>
  <c r="Z286" i="18" s="1"/>
  <c r="Y286" i="18" s="1"/>
  <c r="AG158" i="18"/>
  <c r="AF158" i="18" s="1"/>
  <c r="AD158" i="18" s="1"/>
  <c r="AA158" i="18" s="1"/>
  <c r="Z158" i="18" s="1"/>
  <c r="Y158" i="18" s="1"/>
  <c r="AG38" i="18"/>
  <c r="AF38" i="18" s="1"/>
  <c r="AD38" i="18" s="1"/>
  <c r="AA38" i="18" s="1"/>
  <c r="Z38" i="18" s="1"/>
  <c r="Y38" i="18" s="1"/>
  <c r="AG122" i="18"/>
  <c r="AF122" i="18" s="1"/>
  <c r="AD122" i="18" s="1"/>
  <c r="AA122" i="18" s="1"/>
  <c r="Z122" i="18" s="1"/>
  <c r="Y122" i="18" s="1"/>
  <c r="AG250" i="18"/>
  <c r="AF250" i="18" s="1"/>
  <c r="AD250" i="18" s="1"/>
  <c r="AA250" i="18" s="1"/>
  <c r="Z250" i="18" s="1"/>
  <c r="Y250" i="18" s="1"/>
  <c r="AG314" i="18"/>
  <c r="AF314" i="18" s="1"/>
  <c r="AD314" i="18" s="1"/>
  <c r="AA314" i="18" s="1"/>
  <c r="Z314" i="18" s="1"/>
  <c r="Y314" i="18" s="1"/>
  <c r="AG351" i="18"/>
  <c r="AF351" i="18" s="1"/>
  <c r="AD351" i="18" s="1"/>
  <c r="AA351" i="18" s="1"/>
  <c r="Z351" i="18" s="1"/>
  <c r="Y351" i="18" s="1"/>
  <c r="I36" i="19"/>
  <c r="H36" i="19"/>
  <c r="E13" i="19"/>
  <c r="F13" i="19" s="1"/>
  <c r="V268" i="18"/>
  <c r="AG357" i="18"/>
  <c r="AF357" i="18" s="1"/>
  <c r="AD357" i="18" s="1"/>
  <c r="AA357" i="18" s="1"/>
  <c r="Z357" i="18" s="1"/>
  <c r="Y357" i="18" s="1"/>
  <c r="AG326" i="18"/>
  <c r="AF326" i="18" s="1"/>
  <c r="AD326" i="18" s="1"/>
  <c r="AA326" i="18" s="1"/>
  <c r="Z326" i="18" s="1"/>
  <c r="Y326" i="18" s="1"/>
  <c r="AG34" i="18"/>
  <c r="AF34" i="18" s="1"/>
  <c r="AD34" i="18" s="1"/>
  <c r="AG364" i="18"/>
  <c r="AF364" i="18" s="1"/>
  <c r="AD364" i="18" s="1"/>
  <c r="AA364" i="18" s="1"/>
  <c r="Z364" i="18" s="1"/>
  <c r="Y364" i="18" s="1"/>
  <c r="AG278" i="18"/>
  <c r="AF278" i="18" s="1"/>
  <c r="AD278" i="18" s="1"/>
  <c r="AA278" i="18" s="1"/>
  <c r="Z278" i="18" s="1"/>
  <c r="Y278" i="18" s="1"/>
  <c r="AG150" i="18"/>
  <c r="AF150" i="18" s="1"/>
  <c r="AD150" i="18" s="1"/>
  <c r="AA150" i="18" s="1"/>
  <c r="Z150" i="18" s="1"/>
  <c r="Y150" i="18" s="1"/>
  <c r="AG77" i="18"/>
  <c r="AF77" i="18" s="1"/>
  <c r="AD77" i="18" s="1"/>
  <c r="AA77" i="18" s="1"/>
  <c r="Z77" i="18" s="1"/>
  <c r="Y77" i="18" s="1"/>
  <c r="AG361" i="18"/>
  <c r="AF361" i="18" s="1"/>
  <c r="AD361" i="18" s="1"/>
  <c r="AA361" i="18" s="1"/>
  <c r="Z361" i="18" s="1"/>
  <c r="Y361" i="18" s="1"/>
  <c r="AG356" i="18"/>
  <c r="AF356" i="18" s="1"/>
  <c r="AD356" i="18" s="1"/>
  <c r="AG334" i="18"/>
  <c r="AF334" i="18" s="1"/>
  <c r="AD334" i="18" s="1"/>
  <c r="AG270" i="18"/>
  <c r="AF270" i="18" s="1"/>
  <c r="AD270" i="18" s="1"/>
  <c r="AA270" i="18" s="1"/>
  <c r="Z270" i="18" s="1"/>
  <c r="Y270" i="18" s="1"/>
  <c r="AG206" i="18"/>
  <c r="AF206" i="18" s="1"/>
  <c r="AD206" i="18" s="1"/>
  <c r="AA206" i="18" s="1"/>
  <c r="Z206" i="18" s="1"/>
  <c r="Y206" i="18" s="1"/>
  <c r="AG142" i="18"/>
  <c r="AF142" i="18" s="1"/>
  <c r="AD142" i="18" s="1"/>
  <c r="AA142" i="18" s="1"/>
  <c r="Z142" i="18" s="1"/>
  <c r="Y142" i="18" s="1"/>
  <c r="AG50" i="18"/>
  <c r="AF50" i="18" s="1"/>
  <c r="AD50" i="18" s="1"/>
  <c r="AA50" i="18" s="1"/>
  <c r="Z50" i="18" s="1"/>
  <c r="Y50" i="18" s="1"/>
  <c r="AG65" i="18"/>
  <c r="AF65" i="18" s="1"/>
  <c r="AD65" i="18" s="1"/>
  <c r="AA65" i="18" s="1"/>
  <c r="Z65" i="18" s="1"/>
  <c r="Y65" i="18" s="1"/>
  <c r="AG46" i="18"/>
  <c r="AF46" i="18" s="1"/>
  <c r="AD46" i="18" s="1"/>
  <c r="AA46" i="18" s="1"/>
  <c r="Z46" i="18" s="1"/>
  <c r="Y46" i="18" s="1"/>
  <c r="AG78" i="18"/>
  <c r="AF78" i="18" s="1"/>
  <c r="AD78" i="18" s="1"/>
  <c r="AA78" i="18" s="1"/>
  <c r="Z78" i="18" s="1"/>
  <c r="Y78" i="18" s="1"/>
  <c r="AG165" i="18"/>
  <c r="AF165" i="18" s="1"/>
  <c r="AD165" i="18" s="1"/>
  <c r="AA165" i="18" s="1"/>
  <c r="Z165" i="18" s="1"/>
  <c r="Y165" i="18" s="1"/>
  <c r="AG90" i="18"/>
  <c r="AF90" i="18" s="1"/>
  <c r="AD90" i="18" s="1"/>
  <c r="AA90" i="18" s="1"/>
  <c r="Z90" i="18" s="1"/>
  <c r="Y90" i="18" s="1"/>
  <c r="AG130" i="18"/>
  <c r="AF130" i="18" s="1"/>
  <c r="AD130" i="18" s="1"/>
  <c r="AA130" i="18" s="1"/>
  <c r="Z130" i="18" s="1"/>
  <c r="Y130" i="18" s="1"/>
  <c r="AG162" i="18"/>
  <c r="AF162" i="18" s="1"/>
  <c r="AD162" i="18" s="1"/>
  <c r="AA162" i="18" s="1"/>
  <c r="Z162" i="18" s="1"/>
  <c r="Y162" i="18" s="1"/>
  <c r="AG194" i="18"/>
  <c r="AF194" i="18" s="1"/>
  <c r="AD194" i="18" s="1"/>
  <c r="AA194" i="18" s="1"/>
  <c r="Z194" i="18" s="1"/>
  <c r="Y194" i="18" s="1"/>
  <c r="AG226" i="18"/>
  <c r="AF226" i="18" s="1"/>
  <c r="AD226" i="18" s="1"/>
  <c r="AA226" i="18" s="1"/>
  <c r="Z226" i="18" s="1"/>
  <c r="Y226" i="18" s="1"/>
  <c r="AG258" i="18"/>
  <c r="AF258" i="18" s="1"/>
  <c r="AD258" i="18" s="1"/>
  <c r="AA258" i="18" s="1"/>
  <c r="Z258" i="18" s="1"/>
  <c r="Y258" i="18" s="1"/>
  <c r="AG290" i="18"/>
  <c r="AF290" i="18" s="1"/>
  <c r="AD290" i="18" s="1"/>
  <c r="AA290" i="18" s="1"/>
  <c r="Z290" i="18" s="1"/>
  <c r="Y290" i="18" s="1"/>
  <c r="AG322" i="18"/>
  <c r="AF322" i="18" s="1"/>
  <c r="AD322" i="18" s="1"/>
  <c r="AA322" i="18" s="1"/>
  <c r="Z322" i="18" s="1"/>
  <c r="Y322" i="18" s="1"/>
  <c r="AG311" i="18"/>
  <c r="AF311" i="18" s="1"/>
  <c r="AD311" i="18" s="1"/>
  <c r="AA311" i="18" s="1"/>
  <c r="Z311" i="18" s="1"/>
  <c r="Y311" i="18" s="1"/>
  <c r="AG344" i="18"/>
  <c r="AF344" i="18" s="1"/>
  <c r="AD344" i="18" s="1"/>
  <c r="AG376" i="18"/>
  <c r="AF376" i="18" s="1"/>
  <c r="AD376" i="18" s="1"/>
  <c r="AG355" i="18"/>
  <c r="AF355" i="18" s="1"/>
  <c r="AD355" i="18" s="1"/>
  <c r="AA355" i="18" s="1"/>
  <c r="Z355" i="18" s="1"/>
  <c r="Y355" i="18" s="1"/>
  <c r="AG371" i="18"/>
  <c r="AF371" i="18" s="1"/>
  <c r="AD371" i="18" s="1"/>
  <c r="AG36" i="18"/>
  <c r="AF36" i="18" s="1"/>
  <c r="AD36" i="18" s="1"/>
  <c r="AA36" i="18" s="1"/>
  <c r="Z36" i="18" s="1"/>
  <c r="Y36" i="18" s="1"/>
  <c r="AG52" i="18"/>
  <c r="AF52" i="18" s="1"/>
  <c r="AD52" i="18" s="1"/>
  <c r="AA52" i="18" s="1"/>
  <c r="Z52" i="18" s="1"/>
  <c r="Y52" i="18" s="1"/>
  <c r="AG68" i="18"/>
  <c r="AF68" i="18" s="1"/>
  <c r="AD68" i="18" s="1"/>
  <c r="AA68" i="18" s="1"/>
  <c r="Z68" i="18" s="1"/>
  <c r="Y68" i="18" s="1"/>
  <c r="AG100" i="18"/>
  <c r="AF100" i="18" s="1"/>
  <c r="AD100" i="18" s="1"/>
  <c r="AA100" i="18" s="1"/>
  <c r="Z100" i="18" s="1"/>
  <c r="Y100" i="18" s="1"/>
  <c r="AG116" i="18"/>
  <c r="AF116" i="18" s="1"/>
  <c r="AD116" i="18" s="1"/>
  <c r="AA116" i="18" s="1"/>
  <c r="Z116" i="18" s="1"/>
  <c r="Y116" i="18" s="1"/>
  <c r="AG132" i="18"/>
  <c r="AF132" i="18" s="1"/>
  <c r="AD132" i="18" s="1"/>
  <c r="AA132" i="18" s="1"/>
  <c r="Z132" i="18" s="1"/>
  <c r="Y132" i="18" s="1"/>
  <c r="AG148" i="18"/>
  <c r="AF148" i="18" s="1"/>
  <c r="AD148" i="18" s="1"/>
  <c r="AA148" i="18" s="1"/>
  <c r="Z148" i="18" s="1"/>
  <c r="Y148" i="18" s="1"/>
  <c r="AG164" i="18"/>
  <c r="AF164" i="18" s="1"/>
  <c r="AD164" i="18" s="1"/>
  <c r="AA164" i="18" s="1"/>
  <c r="Z164" i="18" s="1"/>
  <c r="Y164" i="18" s="1"/>
  <c r="AG196" i="18"/>
  <c r="AF196" i="18" s="1"/>
  <c r="AD196" i="18" s="1"/>
  <c r="AA196" i="18" s="1"/>
  <c r="Z196" i="18" s="1"/>
  <c r="Y196" i="18" s="1"/>
  <c r="AG276" i="18"/>
  <c r="AF276" i="18" s="1"/>
  <c r="AD276" i="18" s="1"/>
  <c r="AA276" i="18" s="1"/>
  <c r="Z276" i="18" s="1"/>
  <c r="Y276" i="18" s="1"/>
  <c r="AG308" i="18"/>
  <c r="AF308" i="18" s="1"/>
  <c r="AD308" i="18" s="1"/>
  <c r="AA308" i="18" s="1"/>
  <c r="Z308" i="18" s="1"/>
  <c r="Y308" i="18" s="1"/>
  <c r="AG324" i="18"/>
  <c r="AF324" i="18" s="1"/>
  <c r="AD324" i="18" s="1"/>
  <c r="AA324" i="18" s="1"/>
  <c r="Z324" i="18" s="1"/>
  <c r="Y324" i="18" s="1"/>
  <c r="AG340" i="18"/>
  <c r="AF340" i="18" s="1"/>
  <c r="AD340" i="18" s="1"/>
  <c r="AA340" i="18" s="1"/>
  <c r="Z340" i="18" s="1"/>
  <c r="Y340" i="18" s="1"/>
  <c r="AG297" i="18"/>
  <c r="AF297" i="18" s="1"/>
  <c r="AD297" i="18" s="1"/>
  <c r="AA297" i="18" s="1"/>
  <c r="Z297" i="18" s="1"/>
  <c r="Y297" i="18" s="1"/>
  <c r="AG313" i="18"/>
  <c r="AF313" i="18" s="1"/>
  <c r="AD313" i="18" s="1"/>
  <c r="AA313" i="18" s="1"/>
  <c r="Z313" i="18" s="1"/>
  <c r="Y313" i="18" s="1"/>
  <c r="AG329" i="18"/>
  <c r="AF329" i="18" s="1"/>
  <c r="AD329" i="18" s="1"/>
  <c r="AA329" i="18" s="1"/>
  <c r="Z329" i="18" s="1"/>
  <c r="Y329" i="18" s="1"/>
  <c r="AG362" i="18"/>
  <c r="AF362" i="18" s="1"/>
  <c r="AD362" i="18" s="1"/>
  <c r="AA362" i="18" s="1"/>
  <c r="Z362" i="18" s="1"/>
  <c r="Y362" i="18" s="1"/>
  <c r="AG230" i="18"/>
  <c r="AF230" i="18" s="1"/>
  <c r="AD230" i="18" s="1"/>
  <c r="AA230" i="18" s="1"/>
  <c r="Z230" i="18" s="1"/>
  <c r="Y230" i="18" s="1"/>
  <c r="AG294" i="18"/>
  <c r="AF294" i="18" s="1"/>
  <c r="AD294" i="18" s="1"/>
  <c r="AA294" i="18" s="1"/>
  <c r="Z294" i="18" s="1"/>
  <c r="Y294" i="18" s="1"/>
  <c r="AG198" i="18"/>
  <c r="AF198" i="18" s="1"/>
  <c r="AD198" i="18" s="1"/>
  <c r="AA198" i="18" s="1"/>
  <c r="Z198" i="18" s="1"/>
  <c r="Y198" i="18" s="1"/>
  <c r="AG365" i="18"/>
  <c r="AF365" i="18" s="1"/>
  <c r="AD365" i="18" s="1"/>
  <c r="AA365" i="18" s="1"/>
  <c r="Z365" i="18" s="1"/>
  <c r="Y365" i="18" s="1"/>
  <c r="AG214" i="18"/>
  <c r="AF214" i="18" s="1"/>
  <c r="AD214" i="18" s="1"/>
  <c r="AA214" i="18" s="1"/>
  <c r="Z214" i="18" s="1"/>
  <c r="Y214" i="18" s="1"/>
  <c r="AG66" i="18"/>
  <c r="AF66" i="18" s="1"/>
  <c r="AD66" i="18" s="1"/>
  <c r="AA66" i="18" s="1"/>
  <c r="Z66" i="18" s="1"/>
  <c r="Y66" i="18" s="1"/>
  <c r="AG345" i="18"/>
  <c r="AF345" i="18" s="1"/>
  <c r="AD345" i="18" s="1"/>
  <c r="AA345" i="18" s="1"/>
  <c r="Z345" i="18" s="1"/>
  <c r="Y345" i="18" s="1"/>
  <c r="AG302" i="18"/>
  <c r="AF302" i="18" s="1"/>
  <c r="AD302" i="18" s="1"/>
  <c r="AG238" i="18"/>
  <c r="AF238" i="18" s="1"/>
  <c r="AD238" i="18" s="1"/>
  <c r="AA238" i="18" s="1"/>
  <c r="Z238" i="18" s="1"/>
  <c r="Y238" i="18" s="1"/>
  <c r="AG174" i="18"/>
  <c r="AF174" i="18" s="1"/>
  <c r="AD174" i="18" s="1"/>
  <c r="AA174" i="18" s="1"/>
  <c r="Z174" i="18" s="1"/>
  <c r="Y174" i="18" s="1"/>
  <c r="AG110" i="18"/>
  <c r="AF110" i="18" s="1"/>
  <c r="AD110" i="18" s="1"/>
  <c r="AA110" i="18" s="1"/>
  <c r="Z110" i="18" s="1"/>
  <c r="Y110" i="18" s="1"/>
  <c r="AG81" i="18"/>
  <c r="AF81" i="18" s="1"/>
  <c r="AD81" i="18" s="1"/>
  <c r="AA81" i="18" s="1"/>
  <c r="Z81" i="18" s="1"/>
  <c r="Y81" i="18" s="1"/>
  <c r="AG30" i="18"/>
  <c r="AF30" i="18" s="1"/>
  <c r="AD30" i="18" s="1"/>
  <c r="AA30" i="18" s="1"/>
  <c r="Z30" i="18" s="1"/>
  <c r="Y30" i="18" s="1"/>
  <c r="AG62" i="18"/>
  <c r="AF62" i="18" s="1"/>
  <c r="AD62" i="18" s="1"/>
  <c r="AA62" i="18" s="1"/>
  <c r="Z62" i="18" s="1"/>
  <c r="Y62" i="18" s="1"/>
  <c r="AG94" i="18"/>
  <c r="AF94" i="18" s="1"/>
  <c r="AD94" i="18" s="1"/>
  <c r="AA94" i="18" s="1"/>
  <c r="Z94" i="18" s="1"/>
  <c r="Y94" i="18" s="1"/>
  <c r="AG69" i="18"/>
  <c r="AF69" i="18" s="1"/>
  <c r="AD69" i="18" s="1"/>
  <c r="AG58" i="18"/>
  <c r="AF58" i="18" s="1"/>
  <c r="AD58" i="18" s="1"/>
  <c r="AA58" i="18" s="1"/>
  <c r="Z58" i="18" s="1"/>
  <c r="Y58" i="18" s="1"/>
  <c r="AG114" i="18"/>
  <c r="AF114" i="18" s="1"/>
  <c r="AD114" i="18" s="1"/>
  <c r="AG146" i="18"/>
  <c r="AF146" i="18" s="1"/>
  <c r="AD146" i="18" s="1"/>
  <c r="AA146" i="18" s="1"/>
  <c r="Z146" i="18" s="1"/>
  <c r="Y146" i="18" s="1"/>
  <c r="AG178" i="18"/>
  <c r="AF178" i="18" s="1"/>
  <c r="AD178" i="18" s="1"/>
  <c r="AA178" i="18" s="1"/>
  <c r="Z178" i="18" s="1"/>
  <c r="Y178" i="18" s="1"/>
  <c r="AG210" i="18"/>
  <c r="AF210" i="18" s="1"/>
  <c r="AD210" i="18" s="1"/>
  <c r="AG242" i="18"/>
  <c r="AF242" i="18" s="1"/>
  <c r="AD242" i="18" s="1"/>
  <c r="AA242" i="18" s="1"/>
  <c r="Z242" i="18" s="1"/>
  <c r="Y242" i="18" s="1"/>
  <c r="AG274" i="18"/>
  <c r="AF274" i="18" s="1"/>
  <c r="AD274" i="18" s="1"/>
  <c r="AA274" i="18" s="1"/>
  <c r="Z274" i="18" s="1"/>
  <c r="Y274" i="18" s="1"/>
  <c r="AG306" i="18"/>
  <c r="AF306" i="18" s="1"/>
  <c r="AD306" i="18" s="1"/>
  <c r="AA306" i="18" s="1"/>
  <c r="Z306" i="18" s="1"/>
  <c r="Y306" i="18" s="1"/>
  <c r="AG338" i="18"/>
  <c r="AF338" i="18" s="1"/>
  <c r="AD338" i="18" s="1"/>
  <c r="AA338" i="18" s="1"/>
  <c r="Z338" i="18" s="1"/>
  <c r="Y338" i="18" s="1"/>
  <c r="AG295" i="18"/>
  <c r="AF295" i="18" s="1"/>
  <c r="AD295" i="18" s="1"/>
  <c r="AA295" i="18" s="1"/>
  <c r="Z295" i="18" s="1"/>
  <c r="Y295" i="18" s="1"/>
  <c r="AG360" i="18"/>
  <c r="AF360" i="18" s="1"/>
  <c r="AD360" i="18" s="1"/>
  <c r="AG347" i="18"/>
  <c r="AF347" i="18" s="1"/>
  <c r="AD347" i="18" s="1"/>
  <c r="AA347" i="18" s="1"/>
  <c r="Z347" i="18" s="1"/>
  <c r="Y347" i="18" s="1"/>
  <c r="AG363" i="18"/>
  <c r="AF363" i="18" s="1"/>
  <c r="AD363" i="18" s="1"/>
  <c r="AI12" i="20"/>
  <c r="AI97" i="20" s="1"/>
  <c r="AH97" i="20" s="1"/>
  <c r="AH379" i="18"/>
  <c r="AG60" i="18"/>
  <c r="AF60" i="18" s="1"/>
  <c r="AD60" i="18" s="1"/>
  <c r="AA60" i="18" s="1"/>
  <c r="Z60" i="18" s="1"/>
  <c r="Y60" i="18" s="1"/>
  <c r="AG92" i="18"/>
  <c r="AF92" i="18" s="1"/>
  <c r="AD92" i="18" s="1"/>
  <c r="AG108" i="18"/>
  <c r="AF108" i="18" s="1"/>
  <c r="AD108" i="18" s="1"/>
  <c r="AG156" i="18"/>
  <c r="AF156" i="18" s="1"/>
  <c r="AD156" i="18" s="1"/>
  <c r="AA156" i="18" s="1"/>
  <c r="Z156" i="18" s="1"/>
  <c r="Y156" i="18" s="1"/>
  <c r="AG172" i="18"/>
  <c r="AF172" i="18" s="1"/>
  <c r="AD172" i="18" s="1"/>
  <c r="AA172" i="18" s="1"/>
  <c r="Z172" i="18" s="1"/>
  <c r="Y172" i="18" s="1"/>
  <c r="AG188" i="18"/>
  <c r="AF188" i="18" s="1"/>
  <c r="AD188" i="18" s="1"/>
  <c r="AG220" i="18"/>
  <c r="AF220" i="18" s="1"/>
  <c r="AD220" i="18" s="1"/>
  <c r="AA220" i="18" s="1"/>
  <c r="Z220" i="18" s="1"/>
  <c r="Y220" i="18" s="1"/>
  <c r="AG236" i="18"/>
  <c r="AF236" i="18" s="1"/>
  <c r="AD236" i="18" s="1"/>
  <c r="AA236" i="18" s="1"/>
  <c r="Z236" i="18" s="1"/>
  <c r="Y236" i="18" s="1"/>
  <c r="AG252" i="18"/>
  <c r="AF252" i="18" s="1"/>
  <c r="AD252" i="18" s="1"/>
  <c r="AA252" i="18" s="1"/>
  <c r="Z252" i="18" s="1"/>
  <c r="Y252" i="18" s="1"/>
  <c r="AG268" i="18"/>
  <c r="AF268" i="18" s="1"/>
  <c r="AD268" i="18" s="1"/>
  <c r="AG300" i="18"/>
  <c r="AF300" i="18" s="1"/>
  <c r="AD300" i="18" s="1"/>
  <c r="AG289" i="18"/>
  <c r="AF289" i="18" s="1"/>
  <c r="AD289" i="18" s="1"/>
  <c r="AA289" i="18" s="1"/>
  <c r="Z289" i="18" s="1"/>
  <c r="Y289" i="18" s="1"/>
  <c r="AG305" i="18"/>
  <c r="AF305" i="18" s="1"/>
  <c r="AD305" i="18" s="1"/>
  <c r="AA305" i="18" s="1"/>
  <c r="Z305" i="18" s="1"/>
  <c r="Y305" i="18" s="1"/>
  <c r="AG321" i="18"/>
  <c r="AF321" i="18" s="1"/>
  <c r="AD321" i="18" s="1"/>
  <c r="AA321" i="18" s="1"/>
  <c r="Z321" i="18" s="1"/>
  <c r="Y321" i="18" s="1"/>
  <c r="AG370" i="18"/>
  <c r="AF370" i="18" s="1"/>
  <c r="AD370" i="18" s="1"/>
  <c r="AA370" i="18" s="1"/>
  <c r="Z370" i="18" s="1"/>
  <c r="Y370" i="18" s="1"/>
  <c r="AG98" i="18"/>
  <c r="AF98" i="18" s="1"/>
  <c r="AD98" i="18" s="1"/>
  <c r="AA98" i="18" s="1"/>
  <c r="Z98" i="18" s="1"/>
  <c r="Y98" i="18" s="1"/>
  <c r="AG166" i="18"/>
  <c r="AF166" i="18" s="1"/>
  <c r="AD166" i="18" s="1"/>
  <c r="AA166" i="18" s="1"/>
  <c r="Z166" i="18" s="1"/>
  <c r="Y166" i="18" s="1"/>
  <c r="P100" i="20"/>
  <c r="V100" i="20" s="1"/>
  <c r="H276" i="18"/>
  <c r="J276" i="18" s="1"/>
  <c r="P24" i="20"/>
  <c r="V24" i="20" s="1"/>
  <c r="W24" i="20" s="1"/>
  <c r="P88" i="20"/>
  <c r="V88" i="20" s="1"/>
  <c r="P60" i="20"/>
  <c r="AH21" i="7" s="1"/>
  <c r="P112" i="20"/>
  <c r="V112" i="20" s="1"/>
  <c r="AA195" i="18"/>
  <c r="Z195" i="18" s="1"/>
  <c r="Y195" i="18" s="1"/>
  <c r="H274" i="18"/>
  <c r="J274" i="18" s="1"/>
  <c r="G337" i="18"/>
  <c r="CA337" i="6" s="1"/>
  <c r="G314" i="18"/>
  <c r="CA314" i="6" s="1"/>
  <c r="H47" i="18"/>
  <c r="I47" i="18" s="1"/>
  <c r="AA341" i="18"/>
  <c r="Z341" i="18" s="1"/>
  <c r="Y341" i="18" s="1"/>
  <c r="AA280" i="18"/>
  <c r="Z280" i="18" s="1"/>
  <c r="Y280" i="18" s="1"/>
  <c r="AA358" i="18"/>
  <c r="Z358" i="18" s="1"/>
  <c r="Y358" i="18" s="1"/>
  <c r="H235" i="18"/>
  <c r="J235" i="18" s="1"/>
  <c r="AA237" i="18"/>
  <c r="Z237" i="18" s="1"/>
  <c r="Y237" i="18" s="1"/>
  <c r="H187" i="18"/>
  <c r="I187" i="18" s="1"/>
  <c r="AA103" i="18"/>
  <c r="Z103" i="18" s="1"/>
  <c r="Y103" i="18" s="1"/>
  <c r="H67" i="18"/>
  <c r="I67" i="18" s="1"/>
  <c r="AA317" i="18"/>
  <c r="Z317" i="18" s="1"/>
  <c r="Y317" i="18" s="1"/>
  <c r="AA225" i="18"/>
  <c r="Z225" i="18" s="1"/>
  <c r="Y225" i="18" s="1"/>
  <c r="G309" i="18"/>
  <c r="CA309" i="6" s="1"/>
  <c r="AA377" i="18"/>
  <c r="Z377" i="18" s="1"/>
  <c r="Y377" i="18" s="1"/>
  <c r="H298" i="18"/>
  <c r="I298" i="18" s="1"/>
  <c r="G275" i="18"/>
  <c r="CA275" i="6" s="1"/>
  <c r="G231" i="18"/>
  <c r="CA231" i="6" s="1"/>
  <c r="AA369" i="18"/>
  <c r="Z369" i="18" s="1"/>
  <c r="Y369" i="18" s="1"/>
  <c r="I232" i="18"/>
  <c r="AA253" i="18"/>
  <c r="Z253" i="18" s="1"/>
  <c r="Y253" i="18" s="1"/>
  <c r="H237" i="18"/>
  <c r="I237" i="18" s="1"/>
  <c r="G115" i="18"/>
  <c r="CA115" i="6" s="1"/>
  <c r="AA187" i="18"/>
  <c r="Z187" i="18" s="1"/>
  <c r="Y187" i="18" s="1"/>
  <c r="H346" i="18"/>
  <c r="J346" i="18" s="1"/>
  <c r="G229" i="18"/>
  <c r="CA229" i="6" s="1"/>
  <c r="G310" i="18"/>
  <c r="CA310" i="6" s="1"/>
  <c r="H370" i="18"/>
  <c r="J370" i="18" s="1"/>
  <c r="H374" i="18"/>
  <c r="I374" i="18" s="1"/>
  <c r="G317" i="18"/>
  <c r="CA317" i="6" s="1"/>
  <c r="G51" i="18"/>
  <c r="CA51" i="6" s="1"/>
  <c r="G245" i="18"/>
  <c r="CA245" i="6" s="1"/>
  <c r="G369" i="18"/>
  <c r="CA369" i="6" s="1"/>
  <c r="H179" i="18"/>
  <c r="I179" i="18" s="1"/>
  <c r="AA375" i="18"/>
  <c r="Z375" i="18" s="1"/>
  <c r="Y375" i="18" s="1"/>
  <c r="H375" i="18"/>
  <c r="J375" i="18" s="1"/>
  <c r="G79" i="18"/>
  <c r="CA79" i="6" s="1"/>
  <c r="D333" i="18"/>
  <c r="E333" i="18" s="1"/>
  <c r="F333" i="18" s="1"/>
  <c r="G333" i="18" s="1"/>
  <c r="CA333" i="6" s="1"/>
  <c r="H309" i="18"/>
  <c r="J309" i="18" s="1"/>
  <c r="H377" i="18"/>
  <c r="J377" i="18" s="1"/>
  <c r="AA147" i="18"/>
  <c r="Z147" i="18" s="1"/>
  <c r="Y147" i="18" s="1"/>
  <c r="G271" i="18"/>
  <c r="CA271" i="6" s="1"/>
  <c r="H359" i="18"/>
  <c r="I359" i="18" s="1"/>
  <c r="G212" i="18"/>
  <c r="CA212" i="6" s="1"/>
  <c r="AA221" i="18"/>
  <c r="Z221" i="18" s="1"/>
  <c r="Y221" i="18" s="1"/>
  <c r="H155" i="18"/>
  <c r="I155" i="18" s="1"/>
  <c r="H55" i="18"/>
  <c r="J55" i="18" s="1"/>
  <c r="J76" i="18"/>
  <c r="H65" i="18"/>
  <c r="I65" i="18" s="1"/>
  <c r="AA229" i="18"/>
  <c r="Z229" i="18" s="1"/>
  <c r="Y229" i="18" s="1"/>
  <c r="AA374" i="18"/>
  <c r="Z374" i="18" s="1"/>
  <c r="Y374" i="18" s="1"/>
  <c r="H115" i="18"/>
  <c r="I115" i="18" s="1"/>
  <c r="H245" i="18"/>
  <c r="J245" i="18" s="1"/>
  <c r="H292" i="18"/>
  <c r="I292" i="18" s="1"/>
  <c r="AA261" i="18"/>
  <c r="Z261" i="18" s="1"/>
  <c r="Y261" i="18" s="1"/>
  <c r="H163" i="18"/>
  <c r="I163" i="18" s="1"/>
  <c r="AA331" i="18"/>
  <c r="Z331" i="18" s="1"/>
  <c r="Y331" i="18" s="1"/>
  <c r="G278" i="18"/>
  <c r="CA278" i="6" s="1"/>
  <c r="H151" i="18"/>
  <c r="J151" i="18" s="1"/>
  <c r="H73" i="18"/>
  <c r="I73" i="18" s="1"/>
  <c r="G75" i="18"/>
  <c r="CA75" i="6" s="1"/>
  <c r="H255" i="18"/>
  <c r="J255" i="18" s="1"/>
  <c r="H259" i="18"/>
  <c r="J259" i="18" s="1"/>
  <c r="G263" i="18"/>
  <c r="CA263" i="6" s="1"/>
  <c r="AA205" i="18"/>
  <c r="Z205" i="18" s="1"/>
  <c r="Y205" i="18" s="1"/>
  <c r="AA71" i="18"/>
  <c r="Z71" i="18" s="1"/>
  <c r="Y71" i="18" s="1"/>
  <c r="G177" i="18"/>
  <c r="CA177" i="6" s="1"/>
  <c r="H265" i="18"/>
  <c r="J265" i="18" s="1"/>
  <c r="AA88" i="18"/>
  <c r="Z88" i="18" s="1"/>
  <c r="Y88" i="18" s="1"/>
  <c r="AA233" i="18"/>
  <c r="Z233" i="18" s="1"/>
  <c r="Y233" i="18" s="1"/>
  <c r="G255" i="18"/>
  <c r="CA255" i="6" s="1"/>
  <c r="AA271" i="18"/>
  <c r="Z271" i="18" s="1"/>
  <c r="Y271" i="18" s="1"/>
  <c r="G359" i="18"/>
  <c r="CA359" i="6" s="1"/>
  <c r="H226" i="18"/>
  <c r="J226" i="18" s="1"/>
  <c r="H280" i="18"/>
  <c r="J280" i="18" s="1"/>
  <c r="G259" i="18"/>
  <c r="CA259" i="6" s="1"/>
  <c r="G100" i="18"/>
  <c r="CA100" i="6" s="1"/>
  <c r="G155" i="18"/>
  <c r="CA155" i="6" s="1"/>
  <c r="AA263" i="18"/>
  <c r="Z263" i="18" s="1"/>
  <c r="Y263" i="18" s="1"/>
  <c r="G267" i="18"/>
  <c r="CA267" i="6" s="1"/>
  <c r="G225" i="18"/>
  <c r="CA225" i="6" s="1"/>
  <c r="AA55" i="18"/>
  <c r="Z55" i="18" s="1"/>
  <c r="Y55" i="18" s="1"/>
  <c r="G311" i="18"/>
  <c r="CA311" i="6" s="1"/>
  <c r="AA249" i="18"/>
  <c r="Z249" i="18" s="1"/>
  <c r="Y249" i="18" s="1"/>
  <c r="AA296" i="18"/>
  <c r="Z296" i="18" s="1"/>
  <c r="Y296" i="18" s="1"/>
  <c r="H220" i="18"/>
  <c r="J220" i="18" s="1"/>
  <c r="H147" i="18"/>
  <c r="I147" i="18" s="1"/>
  <c r="H221" i="18"/>
  <c r="J221" i="18" s="1"/>
  <c r="H296" i="18"/>
  <c r="J296" i="18" s="1"/>
  <c r="H257" i="18"/>
  <c r="I257" i="18" s="1"/>
  <c r="H167" i="18"/>
  <c r="I167" i="18" s="1"/>
  <c r="H171" i="18"/>
  <c r="J171" i="18" s="1"/>
  <c r="AA257" i="18"/>
  <c r="Z257" i="18" s="1"/>
  <c r="Y257" i="18" s="1"/>
  <c r="H331" i="18"/>
  <c r="I331" i="18" s="1"/>
  <c r="H25" i="18"/>
  <c r="I25" i="18" s="1"/>
  <c r="H277" i="18"/>
  <c r="J277" i="18" s="1"/>
  <c r="G47" i="18"/>
  <c r="CA47" i="6" s="1"/>
  <c r="G281" i="18"/>
  <c r="CA281" i="6" s="1"/>
  <c r="AA269" i="18"/>
  <c r="Z269" i="18" s="1"/>
  <c r="Y269" i="18" s="1"/>
  <c r="AA185" i="18"/>
  <c r="Z185" i="18" s="1"/>
  <c r="Y185" i="18" s="1"/>
  <c r="H279" i="18"/>
  <c r="I279" i="18" s="1"/>
  <c r="H286" i="18"/>
  <c r="J286" i="18" s="1"/>
  <c r="AA28" i="18"/>
  <c r="Z28" i="18" s="1"/>
  <c r="Y28" i="18" s="1"/>
  <c r="G247" i="18"/>
  <c r="CA247" i="6" s="1"/>
  <c r="G303" i="18"/>
  <c r="CA303" i="6" s="1"/>
  <c r="D363" i="18"/>
  <c r="E363" i="18" s="1"/>
  <c r="F363" i="18" s="1"/>
  <c r="G363" i="18" s="1"/>
  <c r="CA363" i="6" s="1"/>
  <c r="G352" i="18"/>
  <c r="CA352" i="6" s="1"/>
  <c r="G226" i="18"/>
  <c r="CA226" i="6" s="1"/>
  <c r="H223" i="18"/>
  <c r="J223" i="18" s="1"/>
  <c r="H311" i="18"/>
  <c r="J311" i="18" s="1"/>
  <c r="H148" i="18"/>
  <c r="I148" i="18" s="1"/>
  <c r="G183" i="18"/>
  <c r="CA183" i="6" s="1"/>
  <c r="I28" i="18"/>
  <c r="AA19" i="18"/>
  <c r="Z19" i="18" s="1"/>
  <c r="Y19" i="18" s="1"/>
  <c r="H19" i="18"/>
  <c r="I19" i="18" s="1"/>
  <c r="D291" i="18"/>
  <c r="E291" i="18" s="1"/>
  <c r="F291" i="18" s="1"/>
  <c r="H303" i="18"/>
  <c r="J303" i="18" s="1"/>
  <c r="AA87" i="18"/>
  <c r="Z87" i="18" s="1"/>
  <c r="Y87" i="18" s="1"/>
  <c r="AA191" i="18"/>
  <c r="Z191" i="18" s="1"/>
  <c r="Y191" i="18" s="1"/>
  <c r="G287" i="18"/>
  <c r="CA287" i="6" s="1"/>
  <c r="AA18" i="18"/>
  <c r="Z18" i="18" s="1"/>
  <c r="Y18" i="18" s="1"/>
  <c r="G171" i="18"/>
  <c r="CA171" i="6" s="1"/>
  <c r="G257" i="18"/>
  <c r="CA257" i="6" s="1"/>
  <c r="H252" i="18"/>
  <c r="I252" i="18" s="1"/>
  <c r="AA25" i="18"/>
  <c r="Z25" i="18" s="1"/>
  <c r="Y25" i="18" s="1"/>
  <c r="G39" i="18"/>
  <c r="CA39" i="6" s="1"/>
  <c r="G223" i="18"/>
  <c r="CA223" i="6" s="1"/>
  <c r="G279" i="18"/>
  <c r="CA279" i="6" s="1"/>
  <c r="G148" i="18"/>
  <c r="CA148" i="6" s="1"/>
  <c r="J206" i="18"/>
  <c r="F272" i="18"/>
  <c r="AA272" i="18" s="1"/>
  <c r="Z272" i="18" s="1"/>
  <c r="Y272" i="18" s="1"/>
  <c r="H247" i="18"/>
  <c r="I247" i="18" s="1"/>
  <c r="I81" i="18"/>
  <c r="J169" i="18"/>
  <c r="I113" i="18"/>
  <c r="D360" i="18"/>
  <c r="E360" i="18" s="1"/>
  <c r="F360" i="18" s="1"/>
  <c r="G167" i="18"/>
  <c r="CA167" i="6" s="1"/>
  <c r="H87" i="18"/>
  <c r="J87" i="18" s="1"/>
  <c r="G191" i="18"/>
  <c r="CA191" i="6" s="1"/>
  <c r="H18" i="18"/>
  <c r="J18" i="18" s="1"/>
  <c r="J204" i="18"/>
  <c r="J101" i="18"/>
  <c r="AA39" i="18"/>
  <c r="Z39" i="18" s="1"/>
  <c r="Y39" i="18" s="1"/>
  <c r="H21" i="18"/>
  <c r="I21" i="18" s="1"/>
  <c r="H352" i="18"/>
  <c r="J352" i="18" s="1"/>
  <c r="H299" i="18"/>
  <c r="I299" i="18" s="1"/>
  <c r="G299" i="18"/>
  <c r="CA299" i="6" s="1"/>
  <c r="H239" i="18"/>
  <c r="I239" i="18" s="1"/>
  <c r="H75" i="18"/>
  <c r="J75" i="18" s="1"/>
  <c r="H233" i="18"/>
  <c r="I233" i="18" s="1"/>
  <c r="H340" i="18"/>
  <c r="J340" i="18" s="1"/>
  <c r="H103" i="18"/>
  <c r="J103" i="18" s="1"/>
  <c r="AA239" i="18"/>
  <c r="Z239" i="18" s="1"/>
  <c r="Y239" i="18" s="1"/>
  <c r="G249" i="18"/>
  <c r="CA249" i="6" s="1"/>
  <c r="AA73" i="18"/>
  <c r="Z73" i="18" s="1"/>
  <c r="Y73" i="18" s="1"/>
  <c r="AA212" i="18"/>
  <c r="Z212" i="18" s="1"/>
  <c r="Y212" i="18" s="1"/>
  <c r="AA248" i="18"/>
  <c r="Z248" i="18" s="1"/>
  <c r="Y248" i="18" s="1"/>
  <c r="AA336" i="18"/>
  <c r="Z336" i="18" s="1"/>
  <c r="Y336" i="18" s="1"/>
  <c r="H248" i="18"/>
  <c r="I248" i="18" s="1"/>
  <c r="H145" i="18"/>
  <c r="H177" i="18"/>
  <c r="I177" i="18" s="1"/>
  <c r="D334" i="18"/>
  <c r="E334" i="18" s="1"/>
  <c r="F334" i="18" s="1"/>
  <c r="D350" i="18"/>
  <c r="E350" i="18" s="1"/>
  <c r="F350" i="18" s="1"/>
  <c r="G350" i="18" s="1"/>
  <c r="CA350" i="6" s="1"/>
  <c r="AA145" i="18"/>
  <c r="Z145" i="18" s="1"/>
  <c r="Y145" i="18" s="1"/>
  <c r="J125" i="18"/>
  <c r="I125" i="18"/>
  <c r="G43" i="18"/>
  <c r="CA43" i="6" s="1"/>
  <c r="H43" i="18"/>
  <c r="AA43" i="18"/>
  <c r="Z43" i="18" s="1"/>
  <c r="Y43" i="18" s="1"/>
  <c r="D91" i="18"/>
  <c r="E91" i="18" s="1"/>
  <c r="F91" i="18" s="1"/>
  <c r="D65" i="19"/>
  <c r="V123" i="18"/>
  <c r="V193" i="18"/>
  <c r="G209" i="18"/>
  <c r="CA209" i="6" s="1"/>
  <c r="H209" i="18"/>
  <c r="AA209" i="18"/>
  <c r="Z209" i="18" s="1"/>
  <c r="Y209" i="18" s="1"/>
  <c r="D284" i="18"/>
  <c r="E284" i="18" s="1"/>
  <c r="F284" i="18" s="1"/>
  <c r="AA284" i="18" s="1"/>
  <c r="Z284" i="18" s="1"/>
  <c r="Y284" i="18" s="1"/>
  <c r="D316" i="18"/>
  <c r="E316" i="18" s="1"/>
  <c r="F316" i="18" s="1"/>
  <c r="AA316" i="18" s="1"/>
  <c r="Z316" i="18" s="1"/>
  <c r="Y316" i="18" s="1"/>
  <c r="D328" i="18"/>
  <c r="E328" i="18" s="1"/>
  <c r="F328" i="18" s="1"/>
  <c r="AA328" i="18" s="1"/>
  <c r="Z328" i="18" s="1"/>
  <c r="Y328" i="18" s="1"/>
  <c r="D376" i="18"/>
  <c r="E376" i="18" s="1"/>
  <c r="F376" i="18" s="1"/>
  <c r="I256" i="18"/>
  <c r="J256" i="18"/>
  <c r="J158" i="18"/>
  <c r="I158" i="18"/>
  <c r="D59" i="18"/>
  <c r="E59" i="18" s="1"/>
  <c r="F59" i="18" s="1"/>
  <c r="C65" i="19"/>
  <c r="V107" i="18"/>
  <c r="V139" i="18"/>
  <c r="V201" i="18"/>
  <c r="H217" i="18"/>
  <c r="G217" i="18"/>
  <c r="CA217" i="6" s="1"/>
  <c r="AA217" i="18"/>
  <c r="Z217" i="18" s="1"/>
  <c r="Y217" i="18" s="1"/>
  <c r="K65" i="19"/>
  <c r="L65" i="19"/>
  <c r="D344" i="18"/>
  <c r="E344" i="18" s="1"/>
  <c r="F344" i="18" s="1"/>
  <c r="D368" i="18"/>
  <c r="E368" i="18" s="1"/>
  <c r="F368" i="18" s="1"/>
  <c r="G27" i="18"/>
  <c r="CA27" i="6" s="1"/>
  <c r="AA27" i="18"/>
  <c r="Z27" i="18" s="1"/>
  <c r="Y27" i="18" s="1"/>
  <c r="H27" i="18"/>
  <c r="G282" i="18"/>
  <c r="CA282" i="6" s="1"/>
  <c r="H282" i="18"/>
  <c r="I272" i="17"/>
  <c r="J272" i="17"/>
  <c r="I51" i="17"/>
  <c r="H51" i="18" s="1"/>
  <c r="I51" i="18" s="1"/>
  <c r="J51" i="17"/>
  <c r="J334" i="17"/>
  <c r="I334" i="17"/>
  <c r="J68" i="17"/>
  <c r="I68" i="17"/>
  <c r="H68" i="18" s="1"/>
  <c r="I68" i="18" s="1"/>
  <c r="I126" i="17"/>
  <c r="H126" i="18" s="1"/>
  <c r="I126" i="18" s="1"/>
  <c r="J126" i="17"/>
  <c r="I110" i="17"/>
  <c r="H110" i="18" s="1"/>
  <c r="I110" i="18" s="1"/>
  <c r="J110" i="17"/>
  <c r="J79" i="17"/>
  <c r="I79" i="17"/>
  <c r="H79" i="18" s="1"/>
  <c r="I79" i="18" s="1"/>
  <c r="G333" i="17"/>
  <c r="BZ333" i="6" s="1"/>
  <c r="AA333" i="17"/>
  <c r="Z333" i="17" s="1"/>
  <c r="Y333" i="17" s="1"/>
  <c r="H333" i="17"/>
  <c r="I261" i="17"/>
  <c r="H261" i="18" s="1"/>
  <c r="I261" i="18" s="1"/>
  <c r="J261" i="17"/>
  <c r="I363" i="17"/>
  <c r="J363" i="17"/>
  <c r="I153" i="17"/>
  <c r="H153" i="18" s="1"/>
  <c r="I153" i="18" s="1"/>
  <c r="J153" i="17"/>
  <c r="G31" i="18"/>
  <c r="CA31" i="6" s="1"/>
  <c r="H31" i="18"/>
  <c r="G159" i="18"/>
  <c r="CA159" i="6" s="1"/>
  <c r="H159" i="18"/>
  <c r="G243" i="18"/>
  <c r="CA243" i="6" s="1"/>
  <c r="H243" i="18"/>
  <c r="V251" i="18"/>
  <c r="D301" i="18"/>
  <c r="E301" i="18" s="1"/>
  <c r="F301" i="18" s="1"/>
  <c r="AA301" i="18" s="1"/>
  <c r="Z301" i="18" s="1"/>
  <c r="Y301" i="18" s="1"/>
  <c r="G305" i="18"/>
  <c r="CA305" i="6" s="1"/>
  <c r="H305" i="18"/>
  <c r="D325" i="18"/>
  <c r="E325" i="18" s="1"/>
  <c r="F325" i="18" s="1"/>
  <c r="AA325" i="18" s="1"/>
  <c r="Z325" i="18" s="1"/>
  <c r="Y325" i="18" s="1"/>
  <c r="G329" i="18"/>
  <c r="CA329" i="6" s="1"/>
  <c r="H329" i="18"/>
  <c r="D349" i="18"/>
  <c r="E349" i="18" s="1"/>
  <c r="F349" i="18" s="1"/>
  <c r="G361" i="18"/>
  <c r="CA361" i="6" s="1"/>
  <c r="H361" i="18"/>
  <c r="D373" i="18"/>
  <c r="E373" i="18" s="1"/>
  <c r="F373" i="18" s="1"/>
  <c r="H189" i="18"/>
  <c r="G189" i="18"/>
  <c r="CA189" i="6" s="1"/>
  <c r="G197" i="18"/>
  <c r="CA197" i="6" s="1"/>
  <c r="H197" i="18"/>
  <c r="D302" i="18"/>
  <c r="E302" i="18" s="1"/>
  <c r="F302" i="18" s="1"/>
  <c r="G362" i="18"/>
  <c r="CA362" i="6" s="1"/>
  <c r="H362" i="18"/>
  <c r="AA189" i="18"/>
  <c r="Z189" i="18" s="1"/>
  <c r="Y189" i="18" s="1"/>
  <c r="F213" i="18"/>
  <c r="F219" i="18"/>
  <c r="H205" i="17"/>
  <c r="G205" i="17"/>
  <c r="BZ205" i="6" s="1"/>
  <c r="AA205" i="17"/>
  <c r="I149" i="17"/>
  <c r="H149" i="18" s="1"/>
  <c r="I149" i="18" s="1"/>
  <c r="J149" i="17"/>
  <c r="D71" i="7"/>
  <c r="V119" i="18"/>
  <c r="G207" i="18"/>
  <c r="CA207" i="6" s="1"/>
  <c r="H207" i="18"/>
  <c r="AA207" i="18"/>
  <c r="Z207" i="18" s="1"/>
  <c r="Y207" i="18" s="1"/>
  <c r="H215" i="18"/>
  <c r="G215" i="18"/>
  <c r="CA215" i="6" s="1"/>
  <c r="H295" i="18"/>
  <c r="G295" i="18"/>
  <c r="CA295" i="6" s="1"/>
  <c r="D307" i="18"/>
  <c r="E307" i="18" s="1"/>
  <c r="F307" i="18" s="1"/>
  <c r="G335" i="18"/>
  <c r="CA335" i="6" s="1"/>
  <c r="H335" i="18"/>
  <c r="D339" i="18"/>
  <c r="E339" i="18" s="1"/>
  <c r="F339" i="18" s="1"/>
  <c r="D343" i="18"/>
  <c r="E343" i="18" s="1"/>
  <c r="F343" i="18" s="1"/>
  <c r="G347" i="18"/>
  <c r="CA347" i="6" s="1"/>
  <c r="H347" i="18"/>
  <c r="G351" i="18"/>
  <c r="CA351" i="6" s="1"/>
  <c r="H351" i="18"/>
  <c r="H367" i="18"/>
  <c r="G367" i="18"/>
  <c r="CA367" i="6" s="1"/>
  <c r="D371" i="18"/>
  <c r="E371" i="18" s="1"/>
  <c r="F371" i="18" s="1"/>
  <c r="AI100" i="20"/>
  <c r="AH100" i="20" s="1"/>
  <c r="U18" i="20"/>
  <c r="T18" i="20" s="1"/>
  <c r="U16" i="20"/>
  <c r="T16" i="20" s="1"/>
  <c r="S16" i="20" s="1"/>
  <c r="R16" i="20" s="1"/>
  <c r="P16" i="20" s="1"/>
  <c r="V16" i="20" s="1"/>
  <c r="W16" i="20" s="1"/>
  <c r="U23" i="20"/>
  <c r="T23" i="20" s="1"/>
  <c r="S23" i="20" s="1"/>
  <c r="R23" i="20" s="1"/>
  <c r="P23" i="20" s="1"/>
  <c r="V23" i="20" s="1"/>
  <c r="W23" i="20" s="1"/>
  <c r="U27" i="20"/>
  <c r="T27" i="20" s="1"/>
  <c r="S27" i="20" s="1"/>
  <c r="R27" i="20" s="1"/>
  <c r="P27" i="20" s="1"/>
  <c r="V27" i="20" s="1"/>
  <c r="U31" i="20"/>
  <c r="T31" i="20" s="1"/>
  <c r="S31" i="20" s="1"/>
  <c r="R31" i="20" s="1"/>
  <c r="P31" i="20" s="1"/>
  <c r="V31" i="20" s="1"/>
  <c r="U35" i="20"/>
  <c r="T35" i="20" s="1"/>
  <c r="S35" i="20" s="1"/>
  <c r="R35" i="20" s="1"/>
  <c r="P35" i="20" s="1"/>
  <c r="V35" i="20" s="1"/>
  <c r="D35" i="20" s="1"/>
  <c r="E35" i="20" s="1"/>
  <c r="F35" i="20" s="1"/>
  <c r="U39" i="20"/>
  <c r="T39" i="20" s="1"/>
  <c r="S39" i="20" s="1"/>
  <c r="R39" i="20" s="1"/>
  <c r="P39" i="20" s="1"/>
  <c r="V39" i="20" s="1"/>
  <c r="U43" i="20"/>
  <c r="T43" i="20" s="1"/>
  <c r="S43" i="20" s="1"/>
  <c r="R43" i="20" s="1"/>
  <c r="P43" i="20" s="1"/>
  <c r="V43" i="20" s="1"/>
  <c r="B43" i="20" s="1"/>
  <c r="U47" i="20"/>
  <c r="T47" i="20" s="1"/>
  <c r="S47" i="20" s="1"/>
  <c r="R47" i="20" s="1"/>
  <c r="P47" i="20" s="1"/>
  <c r="V47" i="20" s="1"/>
  <c r="B47" i="20" s="1"/>
  <c r="U51" i="20"/>
  <c r="T51" i="20" s="1"/>
  <c r="S51" i="20" s="1"/>
  <c r="R51" i="20" s="1"/>
  <c r="P51" i="20" s="1"/>
  <c r="V51" i="20" s="1"/>
  <c r="U55" i="20"/>
  <c r="T55" i="20" s="1"/>
  <c r="S55" i="20" s="1"/>
  <c r="R55" i="20" s="1"/>
  <c r="P55" i="20" s="1"/>
  <c r="V55" i="20" s="1"/>
  <c r="U59" i="20"/>
  <c r="T59" i="20" s="1"/>
  <c r="S59" i="20" s="1"/>
  <c r="R59" i="20" s="1"/>
  <c r="P59" i="20" s="1"/>
  <c r="V59" i="20" s="1"/>
  <c r="B59" i="20" s="1"/>
  <c r="U63" i="20"/>
  <c r="T63" i="20" s="1"/>
  <c r="S63" i="20" s="1"/>
  <c r="R63" i="20" s="1"/>
  <c r="P63" i="20" s="1"/>
  <c r="V63" i="20" s="1"/>
  <c r="U67" i="20"/>
  <c r="T67" i="20" s="1"/>
  <c r="S67" i="20" s="1"/>
  <c r="R67" i="20" s="1"/>
  <c r="P67" i="20" s="1"/>
  <c r="V67" i="20" s="1"/>
  <c r="U71" i="20"/>
  <c r="T71" i="20" s="1"/>
  <c r="S71" i="20" s="1"/>
  <c r="R71" i="20" s="1"/>
  <c r="P71" i="20" s="1"/>
  <c r="V71" i="20" s="1"/>
  <c r="B71" i="20" s="1"/>
  <c r="U75" i="20"/>
  <c r="T75" i="20" s="1"/>
  <c r="S75" i="20" s="1"/>
  <c r="R75" i="20" s="1"/>
  <c r="P75" i="20" s="1"/>
  <c r="V75" i="20" s="1"/>
  <c r="B75" i="20" s="1"/>
  <c r="U79" i="20"/>
  <c r="T79" i="20" s="1"/>
  <c r="S79" i="20" s="1"/>
  <c r="R79" i="20" s="1"/>
  <c r="P79" i="20" s="1"/>
  <c r="V79" i="20" s="1"/>
  <c r="U83" i="20"/>
  <c r="T83" i="20" s="1"/>
  <c r="S83" i="20" s="1"/>
  <c r="R83" i="20" s="1"/>
  <c r="P83" i="20" s="1"/>
  <c r="V83" i="20" s="1"/>
  <c r="U87" i="20"/>
  <c r="T87" i="20" s="1"/>
  <c r="S87" i="20" s="1"/>
  <c r="R87" i="20" s="1"/>
  <c r="P87" i="20" s="1"/>
  <c r="V87" i="20" s="1"/>
  <c r="B87" i="20" s="1"/>
  <c r="U91" i="20"/>
  <c r="T91" i="20" s="1"/>
  <c r="S91" i="20" s="1"/>
  <c r="R91" i="20" s="1"/>
  <c r="P91" i="20" s="1"/>
  <c r="V91" i="20" s="1"/>
  <c r="B91" i="20" s="1"/>
  <c r="U95" i="20"/>
  <c r="T95" i="20" s="1"/>
  <c r="U99" i="20"/>
  <c r="T99" i="20" s="1"/>
  <c r="S99" i="20" s="1"/>
  <c r="R99" i="20" s="1"/>
  <c r="P99" i="20" s="1"/>
  <c r="V99" i="20" s="1"/>
  <c r="B99" i="20" s="1"/>
  <c r="U103" i="20"/>
  <c r="T103" i="20" s="1"/>
  <c r="S103" i="20" s="1"/>
  <c r="R103" i="20" s="1"/>
  <c r="P103" i="20" s="1"/>
  <c r="V103" i="20" s="1"/>
  <c r="U107" i="20"/>
  <c r="T107" i="20" s="1"/>
  <c r="S107" i="20" s="1"/>
  <c r="R107" i="20" s="1"/>
  <c r="P107" i="20" s="1"/>
  <c r="V107" i="20" s="1"/>
  <c r="U111" i="20"/>
  <c r="T111" i="20" s="1"/>
  <c r="S111" i="20" s="1"/>
  <c r="R111" i="20" s="1"/>
  <c r="P111" i="20" s="1"/>
  <c r="V111" i="20" s="1"/>
  <c r="U115" i="20"/>
  <c r="T115" i="20" s="1"/>
  <c r="S115" i="20" s="1"/>
  <c r="R115" i="20" s="1"/>
  <c r="P115" i="20" s="1"/>
  <c r="V115" i="20" s="1"/>
  <c r="U119" i="20"/>
  <c r="T119" i="20" s="1"/>
  <c r="S119" i="20" s="1"/>
  <c r="R119" i="20" s="1"/>
  <c r="P119" i="20" s="1"/>
  <c r="AH23" i="7" s="1"/>
  <c r="U123" i="20"/>
  <c r="T123" i="20" s="1"/>
  <c r="S123" i="20" s="1"/>
  <c r="R123" i="20" s="1"/>
  <c r="P123" i="20" s="1"/>
  <c r="V123" i="20" s="1"/>
  <c r="U127" i="20"/>
  <c r="T127" i="20" s="1"/>
  <c r="S127" i="20" s="1"/>
  <c r="R127" i="20" s="1"/>
  <c r="P127" i="20" s="1"/>
  <c r="V127" i="20" s="1"/>
  <c r="B127" i="20" s="1"/>
  <c r="U131" i="20"/>
  <c r="T131" i="20" s="1"/>
  <c r="S131" i="20" s="1"/>
  <c r="R131" i="20" s="1"/>
  <c r="P131" i="20" s="1"/>
  <c r="V131" i="20" s="1"/>
  <c r="B131" i="20" s="1"/>
  <c r="U135" i="20"/>
  <c r="T135" i="20" s="1"/>
  <c r="U139" i="20"/>
  <c r="T139" i="20" s="1"/>
  <c r="S139" i="20" s="1"/>
  <c r="R139" i="20" s="1"/>
  <c r="P139" i="20" s="1"/>
  <c r="V139" i="20" s="1"/>
  <c r="U143" i="20"/>
  <c r="T143" i="20" s="1"/>
  <c r="U147" i="20"/>
  <c r="T147" i="20" s="1"/>
  <c r="S147" i="20" s="1"/>
  <c r="R147" i="20" s="1"/>
  <c r="P147" i="20" s="1"/>
  <c r="V147" i="20" s="1"/>
  <c r="U151" i="20"/>
  <c r="T151" i="20" s="1"/>
  <c r="S151" i="20" s="1"/>
  <c r="R151" i="20" s="1"/>
  <c r="P151" i="20" s="1"/>
  <c r="V151" i="20" s="1"/>
  <c r="B151" i="20" s="1"/>
  <c r="U155" i="20"/>
  <c r="T155" i="20" s="1"/>
  <c r="S155" i="20" s="1"/>
  <c r="R155" i="20" s="1"/>
  <c r="P155" i="20" s="1"/>
  <c r="V155" i="20" s="1"/>
  <c r="U159" i="20"/>
  <c r="T159" i="20" s="1"/>
  <c r="S159" i="20" s="1"/>
  <c r="R159" i="20" s="1"/>
  <c r="P159" i="20" s="1"/>
  <c r="V159" i="20" s="1"/>
  <c r="U163" i="20"/>
  <c r="T163" i="20" s="1"/>
  <c r="U167" i="20"/>
  <c r="T167" i="20" s="1"/>
  <c r="S167" i="20" s="1"/>
  <c r="R167" i="20" s="1"/>
  <c r="P167" i="20" s="1"/>
  <c r="V167" i="20" s="1"/>
  <c r="U171" i="20"/>
  <c r="T171" i="20" s="1"/>
  <c r="U174" i="20"/>
  <c r="T174" i="20" s="1"/>
  <c r="S174" i="20" s="1"/>
  <c r="R174" i="20" s="1"/>
  <c r="P174" i="20" s="1"/>
  <c r="V174" i="20" s="1"/>
  <c r="U176" i="20"/>
  <c r="T176" i="20" s="1"/>
  <c r="S176" i="20" s="1"/>
  <c r="R176" i="20" s="1"/>
  <c r="P176" i="20" s="1"/>
  <c r="V176" i="20" s="1"/>
  <c r="U178" i="20"/>
  <c r="T178" i="20" s="1"/>
  <c r="S178" i="20" s="1"/>
  <c r="R178" i="20" s="1"/>
  <c r="P178" i="20" s="1"/>
  <c r="V178" i="20" s="1"/>
  <c r="U180" i="20"/>
  <c r="T180" i="20" s="1"/>
  <c r="S180" i="20" s="1"/>
  <c r="R180" i="20" s="1"/>
  <c r="P180" i="20" s="1"/>
  <c r="U182" i="20"/>
  <c r="T182" i="20" s="1"/>
  <c r="S182" i="20" s="1"/>
  <c r="R182" i="20" s="1"/>
  <c r="P182" i="20" s="1"/>
  <c r="V182" i="20" s="1"/>
  <c r="B182" i="20" s="1"/>
  <c r="U184" i="20"/>
  <c r="T184" i="20" s="1"/>
  <c r="S184" i="20" s="1"/>
  <c r="R184" i="20" s="1"/>
  <c r="P184" i="20" s="1"/>
  <c r="V184" i="20" s="1"/>
  <c r="U186" i="20"/>
  <c r="T186" i="20" s="1"/>
  <c r="S186" i="20" s="1"/>
  <c r="R186" i="20" s="1"/>
  <c r="P186" i="20" s="1"/>
  <c r="V186" i="20" s="1"/>
  <c r="U188" i="20"/>
  <c r="T188" i="20" s="1"/>
  <c r="S188" i="20" s="1"/>
  <c r="R188" i="20" s="1"/>
  <c r="P188" i="20" s="1"/>
  <c r="V188" i="20" s="1"/>
  <c r="U190" i="20"/>
  <c r="T190" i="20" s="1"/>
  <c r="S190" i="20" s="1"/>
  <c r="R190" i="20" s="1"/>
  <c r="P190" i="20" s="1"/>
  <c r="V190" i="20" s="1"/>
  <c r="U192" i="20"/>
  <c r="T192" i="20" s="1"/>
  <c r="S192" i="20" s="1"/>
  <c r="R192" i="20" s="1"/>
  <c r="P192" i="20" s="1"/>
  <c r="V192" i="20" s="1"/>
  <c r="U194" i="20"/>
  <c r="T194" i="20" s="1"/>
  <c r="S194" i="20" s="1"/>
  <c r="R194" i="20" s="1"/>
  <c r="P194" i="20" s="1"/>
  <c r="V194" i="20" s="1"/>
  <c r="U196" i="20"/>
  <c r="T196" i="20" s="1"/>
  <c r="S196" i="20" s="1"/>
  <c r="R196" i="20" s="1"/>
  <c r="P196" i="20" s="1"/>
  <c r="V196" i="20" s="1"/>
  <c r="B196" i="20" s="1"/>
  <c r="U198" i="20"/>
  <c r="T198" i="20" s="1"/>
  <c r="S198" i="20" s="1"/>
  <c r="R198" i="20" s="1"/>
  <c r="P198" i="20" s="1"/>
  <c r="V198" i="20" s="1"/>
  <c r="U200" i="20"/>
  <c r="T200" i="20" s="1"/>
  <c r="S200" i="20" s="1"/>
  <c r="R200" i="20" s="1"/>
  <c r="P200" i="20" s="1"/>
  <c r="V200" i="20" s="1"/>
  <c r="U202" i="20"/>
  <c r="T202" i="20" s="1"/>
  <c r="S202" i="20" s="1"/>
  <c r="R202" i="20" s="1"/>
  <c r="P202" i="20" s="1"/>
  <c r="V202" i="20" s="1"/>
  <c r="U204" i="20"/>
  <c r="T204" i="20" s="1"/>
  <c r="S204" i="20" s="1"/>
  <c r="R204" i="20" s="1"/>
  <c r="P204" i="20" s="1"/>
  <c r="V204" i="20" s="1"/>
  <c r="U206" i="20"/>
  <c r="T206" i="20" s="1"/>
  <c r="S206" i="20" s="1"/>
  <c r="R206" i="20" s="1"/>
  <c r="P206" i="20" s="1"/>
  <c r="V206" i="20" s="1"/>
  <c r="U208" i="20"/>
  <c r="T208" i="20" s="1"/>
  <c r="U210" i="20"/>
  <c r="T210" i="20" s="1"/>
  <c r="S210" i="20" s="1"/>
  <c r="R210" i="20" s="1"/>
  <c r="P210" i="20" s="1"/>
  <c r="V210" i="20" s="1"/>
  <c r="U212" i="20"/>
  <c r="T212" i="20" s="1"/>
  <c r="S212" i="20" s="1"/>
  <c r="R212" i="20" s="1"/>
  <c r="P212" i="20" s="1"/>
  <c r="V212" i="20" s="1"/>
  <c r="U214" i="20"/>
  <c r="T214" i="20" s="1"/>
  <c r="S214" i="20" s="1"/>
  <c r="R214" i="20" s="1"/>
  <c r="P214" i="20" s="1"/>
  <c r="V214" i="20" s="1"/>
  <c r="B214" i="20" s="1"/>
  <c r="U216" i="20"/>
  <c r="T216" i="20" s="1"/>
  <c r="S216" i="20" s="1"/>
  <c r="R216" i="20" s="1"/>
  <c r="P216" i="20" s="1"/>
  <c r="V216" i="20" s="1"/>
  <c r="U218" i="20"/>
  <c r="T218" i="20" s="1"/>
  <c r="S218" i="20" s="1"/>
  <c r="R218" i="20" s="1"/>
  <c r="P218" i="20" s="1"/>
  <c r="V218" i="20" s="1"/>
  <c r="U220" i="20"/>
  <c r="T220" i="20" s="1"/>
  <c r="S220" i="20" s="1"/>
  <c r="R220" i="20" s="1"/>
  <c r="P220" i="20" s="1"/>
  <c r="V220" i="20" s="1"/>
  <c r="B220" i="20" s="1"/>
  <c r="U222" i="20"/>
  <c r="T222" i="20" s="1"/>
  <c r="S222" i="20" s="1"/>
  <c r="R222" i="20" s="1"/>
  <c r="P222" i="20" s="1"/>
  <c r="V222" i="20" s="1"/>
  <c r="U224" i="20"/>
  <c r="T224" i="20" s="1"/>
  <c r="S224" i="20" s="1"/>
  <c r="R224" i="20" s="1"/>
  <c r="P224" i="20" s="1"/>
  <c r="V224" i="20" s="1"/>
  <c r="U226" i="20"/>
  <c r="T226" i="20" s="1"/>
  <c r="S226" i="20" s="1"/>
  <c r="R226" i="20" s="1"/>
  <c r="P226" i="20" s="1"/>
  <c r="V226" i="20" s="1"/>
  <c r="B226" i="20" s="1"/>
  <c r="U228" i="20"/>
  <c r="T228" i="20" s="1"/>
  <c r="S228" i="20" s="1"/>
  <c r="R228" i="20" s="1"/>
  <c r="P228" i="20" s="1"/>
  <c r="V228" i="20" s="1"/>
  <c r="B228" i="20" s="1"/>
  <c r="U230" i="20"/>
  <c r="T230" i="20" s="1"/>
  <c r="S230" i="20" s="1"/>
  <c r="R230" i="20" s="1"/>
  <c r="P230" i="20" s="1"/>
  <c r="V230" i="20" s="1"/>
  <c r="U232" i="20"/>
  <c r="T232" i="20" s="1"/>
  <c r="S232" i="20" s="1"/>
  <c r="R232" i="20" s="1"/>
  <c r="P232" i="20" s="1"/>
  <c r="V232" i="20" s="1"/>
  <c r="U234" i="20"/>
  <c r="T234" i="20" s="1"/>
  <c r="U236" i="20"/>
  <c r="T236" i="20" s="1"/>
  <c r="S236" i="20" s="1"/>
  <c r="R236" i="20" s="1"/>
  <c r="P236" i="20" s="1"/>
  <c r="V236" i="20" s="1"/>
  <c r="U238" i="20"/>
  <c r="T238" i="20" s="1"/>
  <c r="S238" i="20" s="1"/>
  <c r="R238" i="20" s="1"/>
  <c r="P238" i="20" s="1"/>
  <c r="V238" i="20" s="1"/>
  <c r="U240" i="20"/>
  <c r="T240" i="20" s="1"/>
  <c r="U242" i="20"/>
  <c r="T242" i="20" s="1"/>
  <c r="S242" i="20" s="1"/>
  <c r="R242" i="20" s="1"/>
  <c r="P242" i="20" s="1"/>
  <c r="V242" i="20" s="1"/>
  <c r="U244" i="20"/>
  <c r="T244" i="20" s="1"/>
  <c r="S244" i="20" s="1"/>
  <c r="R244" i="20" s="1"/>
  <c r="P244" i="20" s="1"/>
  <c r="V244" i="20" s="1"/>
  <c r="U246" i="20"/>
  <c r="T246" i="20" s="1"/>
  <c r="S246" i="20" s="1"/>
  <c r="R246" i="20" s="1"/>
  <c r="P246" i="20" s="1"/>
  <c r="V246" i="20" s="1"/>
  <c r="U248" i="20"/>
  <c r="T248" i="20" s="1"/>
  <c r="S248" i="20" s="1"/>
  <c r="R248" i="20" s="1"/>
  <c r="P248" i="20" s="1"/>
  <c r="V248" i="20" s="1"/>
  <c r="U250" i="20"/>
  <c r="T250" i="20" s="1"/>
  <c r="S250" i="20" s="1"/>
  <c r="R250" i="20" s="1"/>
  <c r="P250" i="20" s="1"/>
  <c r="V250" i="20" s="1"/>
  <c r="U252" i="20"/>
  <c r="T252" i="20" s="1"/>
  <c r="S252" i="20" s="1"/>
  <c r="R252" i="20" s="1"/>
  <c r="P252" i="20" s="1"/>
  <c r="V252" i="20" s="1"/>
  <c r="U254" i="20"/>
  <c r="T254" i="20" s="1"/>
  <c r="U256" i="20"/>
  <c r="T256" i="20" s="1"/>
  <c r="S256" i="20" s="1"/>
  <c r="R256" i="20" s="1"/>
  <c r="P256" i="20" s="1"/>
  <c r="V256" i="20" s="1"/>
  <c r="U258" i="20"/>
  <c r="T258" i="20" s="1"/>
  <c r="S258" i="20" s="1"/>
  <c r="R258" i="20" s="1"/>
  <c r="P258" i="20" s="1"/>
  <c r="V258" i="20" s="1"/>
  <c r="B258" i="20" s="1"/>
  <c r="U260" i="20"/>
  <c r="T260" i="20" s="1"/>
  <c r="S260" i="20" s="1"/>
  <c r="R260" i="20" s="1"/>
  <c r="P260" i="20" s="1"/>
  <c r="V260" i="20" s="1"/>
  <c r="U262" i="20"/>
  <c r="T262" i="20" s="1"/>
  <c r="S262" i="20" s="1"/>
  <c r="R262" i="20" s="1"/>
  <c r="P262" i="20" s="1"/>
  <c r="V262" i="20" s="1"/>
  <c r="B262" i="20" s="1"/>
  <c r="U264" i="20"/>
  <c r="T264" i="20" s="1"/>
  <c r="S264" i="20" s="1"/>
  <c r="R264" i="20" s="1"/>
  <c r="P264" i="20" s="1"/>
  <c r="V264" i="20" s="1"/>
  <c r="U266" i="20"/>
  <c r="T266" i="20" s="1"/>
  <c r="S266" i="20" s="1"/>
  <c r="R266" i="20" s="1"/>
  <c r="P266" i="20" s="1"/>
  <c r="V266" i="20" s="1"/>
  <c r="U268" i="20"/>
  <c r="T268" i="20" s="1"/>
  <c r="S268" i="20" s="1"/>
  <c r="R268" i="20" s="1"/>
  <c r="P268" i="20" s="1"/>
  <c r="V268" i="20" s="1"/>
  <c r="U270" i="20"/>
  <c r="T270" i="20" s="1"/>
  <c r="U272" i="20"/>
  <c r="T272" i="20" s="1"/>
  <c r="S272" i="20" s="1"/>
  <c r="R272" i="20" s="1"/>
  <c r="P272" i="20" s="1"/>
  <c r="AH28" i="7" s="1"/>
  <c r="U274" i="20"/>
  <c r="T274" i="20" s="1"/>
  <c r="S274" i="20" s="1"/>
  <c r="R274" i="20" s="1"/>
  <c r="P274" i="20" s="1"/>
  <c r="V274" i="20" s="1"/>
  <c r="U276" i="20"/>
  <c r="T276" i="20" s="1"/>
  <c r="S276" i="20" s="1"/>
  <c r="R276" i="20" s="1"/>
  <c r="P276" i="20" s="1"/>
  <c r="V276" i="20" s="1"/>
  <c r="U278" i="20"/>
  <c r="T278" i="20" s="1"/>
  <c r="S278" i="20" s="1"/>
  <c r="R278" i="20" s="1"/>
  <c r="P278" i="20" s="1"/>
  <c r="V278" i="20" s="1"/>
  <c r="U280" i="20"/>
  <c r="T280" i="20" s="1"/>
  <c r="S280" i="20" s="1"/>
  <c r="R280" i="20" s="1"/>
  <c r="P280" i="20" s="1"/>
  <c r="V280" i="20" s="1"/>
  <c r="U282" i="20"/>
  <c r="T282" i="20" s="1"/>
  <c r="S282" i="20" s="1"/>
  <c r="R282" i="20" s="1"/>
  <c r="P282" i="20" s="1"/>
  <c r="V282" i="20" s="1"/>
  <c r="U284" i="20"/>
  <c r="T284" i="20" s="1"/>
  <c r="S284" i="20" s="1"/>
  <c r="R284" i="20" s="1"/>
  <c r="P284" i="20" s="1"/>
  <c r="V284" i="20" s="1"/>
  <c r="B284" i="20" s="1"/>
  <c r="U286" i="20"/>
  <c r="T286" i="20" s="1"/>
  <c r="S286" i="20" s="1"/>
  <c r="R286" i="20" s="1"/>
  <c r="P286" i="20" s="1"/>
  <c r="V286" i="20" s="1"/>
  <c r="U288" i="20"/>
  <c r="T288" i="20" s="1"/>
  <c r="S288" i="20" s="1"/>
  <c r="R288" i="20" s="1"/>
  <c r="P288" i="20" s="1"/>
  <c r="V288" i="20" s="1"/>
  <c r="B288" i="20" s="1"/>
  <c r="U290" i="20"/>
  <c r="T290" i="20" s="1"/>
  <c r="S290" i="20" s="1"/>
  <c r="R290" i="20" s="1"/>
  <c r="P290" i="20" s="1"/>
  <c r="V290" i="20" s="1"/>
  <c r="U292" i="20"/>
  <c r="T292" i="20" s="1"/>
  <c r="S292" i="20" s="1"/>
  <c r="R292" i="20" s="1"/>
  <c r="P292" i="20" s="1"/>
  <c r="V292" i="20" s="1"/>
  <c r="U294" i="20"/>
  <c r="T294" i="20" s="1"/>
  <c r="S294" i="20" s="1"/>
  <c r="R294" i="20" s="1"/>
  <c r="P294" i="20" s="1"/>
  <c r="V294" i="20" s="1"/>
  <c r="U296" i="20"/>
  <c r="T296" i="20" s="1"/>
  <c r="S296" i="20" s="1"/>
  <c r="R296" i="20" s="1"/>
  <c r="P296" i="20" s="1"/>
  <c r="V296" i="20" s="1"/>
  <c r="U298" i="20"/>
  <c r="T298" i="20" s="1"/>
  <c r="S298" i="20" s="1"/>
  <c r="R298" i="20" s="1"/>
  <c r="P298" i="20" s="1"/>
  <c r="V298" i="20" s="1"/>
  <c r="U300" i="20"/>
  <c r="T300" i="20" s="1"/>
  <c r="U302" i="20"/>
  <c r="T302" i="20" s="1"/>
  <c r="S302" i="20" s="1"/>
  <c r="R302" i="20" s="1"/>
  <c r="P302" i="20" s="1"/>
  <c r="V302" i="20" s="1"/>
  <c r="B302" i="20" s="1"/>
  <c r="U304" i="20"/>
  <c r="T304" i="20" s="1"/>
  <c r="U306" i="20"/>
  <c r="T306" i="20" s="1"/>
  <c r="S306" i="20" s="1"/>
  <c r="R306" i="20" s="1"/>
  <c r="P306" i="20" s="1"/>
  <c r="V306" i="20" s="1"/>
  <c r="U308" i="20"/>
  <c r="T308" i="20" s="1"/>
  <c r="U310" i="20"/>
  <c r="T310" i="20" s="1"/>
  <c r="S310" i="20" s="1"/>
  <c r="R310" i="20" s="1"/>
  <c r="P310" i="20" s="1"/>
  <c r="V310" i="20" s="1"/>
  <c r="U312" i="20"/>
  <c r="T312" i="20" s="1"/>
  <c r="S312" i="20" s="1"/>
  <c r="R312" i="20" s="1"/>
  <c r="P312" i="20" s="1"/>
  <c r="V312" i="20" s="1"/>
  <c r="U314" i="20"/>
  <c r="T314" i="20" s="1"/>
  <c r="S314" i="20" s="1"/>
  <c r="R314" i="20" s="1"/>
  <c r="P314" i="20" s="1"/>
  <c r="V314" i="20" s="1"/>
  <c r="U316" i="20"/>
  <c r="T316" i="20" s="1"/>
  <c r="U318" i="20"/>
  <c r="T318" i="20" s="1"/>
  <c r="S318" i="20" s="1"/>
  <c r="R318" i="20" s="1"/>
  <c r="P318" i="20" s="1"/>
  <c r="V318" i="20" s="1"/>
  <c r="U320" i="20"/>
  <c r="T320" i="20" s="1"/>
  <c r="S320" i="20" s="1"/>
  <c r="R320" i="20" s="1"/>
  <c r="P320" i="20" s="1"/>
  <c r="V320" i="20" s="1"/>
  <c r="B320" i="20" s="1"/>
  <c r="U322" i="20"/>
  <c r="T322" i="20" s="1"/>
  <c r="S322" i="20" s="1"/>
  <c r="R322" i="20" s="1"/>
  <c r="P322" i="20" s="1"/>
  <c r="V322" i="20" s="1"/>
  <c r="B322" i="20" s="1"/>
  <c r="U324" i="20"/>
  <c r="T324" i="20" s="1"/>
  <c r="S324" i="20" s="1"/>
  <c r="R324" i="20" s="1"/>
  <c r="P324" i="20" s="1"/>
  <c r="V324" i="20" s="1"/>
  <c r="U326" i="20"/>
  <c r="T326" i="20" s="1"/>
  <c r="S326" i="20" s="1"/>
  <c r="R326" i="20" s="1"/>
  <c r="P326" i="20" s="1"/>
  <c r="V326" i="20" s="1"/>
  <c r="U328" i="20"/>
  <c r="T328" i="20" s="1"/>
  <c r="S328" i="20" s="1"/>
  <c r="R328" i="20" s="1"/>
  <c r="P328" i="20" s="1"/>
  <c r="V328" i="20" s="1"/>
  <c r="B328" i="20" s="1"/>
  <c r="U330" i="20"/>
  <c r="T330" i="20" s="1"/>
  <c r="S330" i="20" s="1"/>
  <c r="R330" i="20" s="1"/>
  <c r="P330" i="20" s="1"/>
  <c r="V330" i="20" s="1"/>
  <c r="U332" i="20"/>
  <c r="T332" i="20" s="1"/>
  <c r="S332" i="20" s="1"/>
  <c r="R332" i="20" s="1"/>
  <c r="P332" i="20" s="1"/>
  <c r="V332" i="20" s="1"/>
  <c r="U334" i="20"/>
  <c r="T334" i="20" s="1"/>
  <c r="S334" i="20" s="1"/>
  <c r="R334" i="20" s="1"/>
  <c r="P334" i="20" s="1"/>
  <c r="V334" i="20" s="1"/>
  <c r="B334" i="20" s="1"/>
  <c r="U336" i="20"/>
  <c r="T336" i="20" s="1"/>
  <c r="S336" i="20" s="1"/>
  <c r="R336" i="20" s="1"/>
  <c r="P336" i="20" s="1"/>
  <c r="V336" i="20" s="1"/>
  <c r="U338" i="20"/>
  <c r="T338" i="20" s="1"/>
  <c r="S338" i="20" s="1"/>
  <c r="R338" i="20" s="1"/>
  <c r="P338" i="20" s="1"/>
  <c r="V338" i="20" s="1"/>
  <c r="U340" i="20"/>
  <c r="T340" i="20" s="1"/>
  <c r="S340" i="20" s="1"/>
  <c r="R340" i="20" s="1"/>
  <c r="P340" i="20" s="1"/>
  <c r="V340" i="20" s="1"/>
  <c r="U342" i="20"/>
  <c r="T342" i="20" s="1"/>
  <c r="S342" i="20" s="1"/>
  <c r="R342" i="20" s="1"/>
  <c r="P342" i="20" s="1"/>
  <c r="V342" i="20" s="1"/>
  <c r="U344" i="20"/>
  <c r="T344" i="20" s="1"/>
  <c r="U346" i="20"/>
  <c r="T346" i="20" s="1"/>
  <c r="S346" i="20" s="1"/>
  <c r="R346" i="20" s="1"/>
  <c r="P346" i="20" s="1"/>
  <c r="V346" i="20" s="1"/>
  <c r="U348" i="20"/>
  <c r="T348" i="20" s="1"/>
  <c r="U350" i="20"/>
  <c r="T350" i="20" s="1"/>
  <c r="S350" i="20" s="1"/>
  <c r="R350" i="20" s="1"/>
  <c r="P350" i="20" s="1"/>
  <c r="V350" i="20" s="1"/>
  <c r="B350" i="20" s="1"/>
  <c r="U352" i="20"/>
  <c r="T352" i="20" s="1"/>
  <c r="U354" i="20"/>
  <c r="T354" i="20" s="1"/>
  <c r="S354" i="20" s="1"/>
  <c r="R354" i="20" s="1"/>
  <c r="P354" i="20" s="1"/>
  <c r="V354" i="20" s="1"/>
  <c r="U356" i="20"/>
  <c r="T356" i="20" s="1"/>
  <c r="S356" i="20" s="1"/>
  <c r="R356" i="20" s="1"/>
  <c r="P356" i="20" s="1"/>
  <c r="V356" i="20" s="1"/>
  <c r="U358" i="20"/>
  <c r="T358" i="20" s="1"/>
  <c r="S358" i="20" s="1"/>
  <c r="R358" i="20" s="1"/>
  <c r="P358" i="20" s="1"/>
  <c r="V358" i="20" s="1"/>
  <c r="U360" i="20"/>
  <c r="T360" i="20" s="1"/>
  <c r="U362" i="20"/>
  <c r="T362" i="20" s="1"/>
  <c r="S362" i="20" s="1"/>
  <c r="R362" i="20" s="1"/>
  <c r="P362" i="20" s="1"/>
  <c r="V362" i="20" s="1"/>
  <c r="U364" i="20"/>
  <c r="T364" i="20" s="1"/>
  <c r="S364" i="20" s="1"/>
  <c r="R364" i="20" s="1"/>
  <c r="P364" i="20" s="1"/>
  <c r="V364" i="20" s="1"/>
  <c r="U366" i="20"/>
  <c r="T366" i="20" s="1"/>
  <c r="S366" i="20" s="1"/>
  <c r="R366" i="20" s="1"/>
  <c r="P366" i="20" s="1"/>
  <c r="V366" i="20" s="1"/>
  <c r="U368" i="20"/>
  <c r="T368" i="20" s="1"/>
  <c r="S368" i="20" s="1"/>
  <c r="R368" i="20" s="1"/>
  <c r="P368" i="20" s="1"/>
  <c r="V368" i="20" s="1"/>
  <c r="B368" i="20" s="1"/>
  <c r="U370" i="20"/>
  <c r="T370" i="20" s="1"/>
  <c r="S370" i="20" s="1"/>
  <c r="R370" i="20" s="1"/>
  <c r="P370" i="20" s="1"/>
  <c r="V370" i="20" s="1"/>
  <c r="B370" i="20" s="1"/>
  <c r="U372" i="20"/>
  <c r="T372" i="20" s="1"/>
  <c r="S372" i="20" s="1"/>
  <c r="R372" i="20" s="1"/>
  <c r="P372" i="20" s="1"/>
  <c r="V372" i="20" s="1"/>
  <c r="U374" i="20"/>
  <c r="T374" i="20" s="1"/>
  <c r="S374" i="20" s="1"/>
  <c r="R374" i="20" s="1"/>
  <c r="P374" i="20" s="1"/>
  <c r="V374" i="20" s="1"/>
  <c r="B374" i="20" s="1"/>
  <c r="U376" i="20"/>
  <c r="T376" i="20" s="1"/>
  <c r="U378" i="20"/>
  <c r="T378" i="20" s="1"/>
  <c r="S378" i="20" s="1"/>
  <c r="R378" i="20" s="1"/>
  <c r="P378" i="20" s="1"/>
  <c r="V378" i="20" s="1"/>
  <c r="AG16" i="7"/>
  <c r="U15" i="20"/>
  <c r="T15" i="20" s="1"/>
  <c r="S15" i="20" s="1"/>
  <c r="U21" i="20"/>
  <c r="T21" i="20" s="1"/>
  <c r="U25" i="20"/>
  <c r="T25" i="20" s="1"/>
  <c r="S25" i="20" s="1"/>
  <c r="R25" i="20" s="1"/>
  <c r="P25" i="20" s="1"/>
  <c r="V25" i="20" s="1"/>
  <c r="W25" i="20" s="1"/>
  <c r="U29" i="20"/>
  <c r="T29" i="20" s="1"/>
  <c r="S29" i="20" s="1"/>
  <c r="R29" i="20" s="1"/>
  <c r="P29" i="20" s="1"/>
  <c r="AH20" i="7" s="1"/>
  <c r="U33" i="20"/>
  <c r="T33" i="20" s="1"/>
  <c r="S33" i="20" s="1"/>
  <c r="R33" i="20" s="1"/>
  <c r="P33" i="20" s="1"/>
  <c r="V33" i="20" s="1"/>
  <c r="D33" i="20" s="1"/>
  <c r="E33" i="20" s="1"/>
  <c r="F33" i="20" s="1"/>
  <c r="U37" i="20"/>
  <c r="T37" i="20" s="1"/>
  <c r="S37" i="20" s="1"/>
  <c r="R37" i="20" s="1"/>
  <c r="P37" i="20" s="1"/>
  <c r="V37" i="20" s="1"/>
  <c r="U41" i="20"/>
  <c r="T41" i="20" s="1"/>
  <c r="U45" i="20"/>
  <c r="T45" i="20" s="1"/>
  <c r="U49" i="20"/>
  <c r="T49" i="20" s="1"/>
  <c r="U53" i="20"/>
  <c r="T53" i="20" s="1"/>
  <c r="S53" i="20" s="1"/>
  <c r="R53" i="20" s="1"/>
  <c r="P53" i="20" s="1"/>
  <c r="V53" i="20" s="1"/>
  <c r="U57" i="20"/>
  <c r="T57" i="20" s="1"/>
  <c r="U61" i="20"/>
  <c r="T61" i="20" s="1"/>
  <c r="S61" i="20" s="1"/>
  <c r="R61" i="20" s="1"/>
  <c r="P61" i="20" s="1"/>
  <c r="V61" i="20" s="1"/>
  <c r="U65" i="20"/>
  <c r="T65" i="20" s="1"/>
  <c r="S65" i="20" s="1"/>
  <c r="R65" i="20" s="1"/>
  <c r="P65" i="20" s="1"/>
  <c r="V65" i="20" s="1"/>
  <c r="U69" i="20"/>
  <c r="T69" i="20" s="1"/>
  <c r="S69" i="20" s="1"/>
  <c r="R69" i="20" s="1"/>
  <c r="P69" i="20" s="1"/>
  <c r="V69" i="20" s="1"/>
  <c r="U73" i="20"/>
  <c r="T73" i="20" s="1"/>
  <c r="S73" i="20" s="1"/>
  <c r="R73" i="20" s="1"/>
  <c r="P73" i="20" s="1"/>
  <c r="V73" i="20" s="1"/>
  <c r="U77" i="20"/>
  <c r="T77" i="20" s="1"/>
  <c r="U81" i="20"/>
  <c r="T81" i="20" s="1"/>
  <c r="U85" i="20"/>
  <c r="T85" i="20" s="1"/>
  <c r="U89" i="20"/>
  <c r="T89" i="20" s="1"/>
  <c r="U93" i="20"/>
  <c r="T93" i="20" s="1"/>
  <c r="U97" i="20"/>
  <c r="T97" i="20" s="1"/>
  <c r="S97" i="20" s="1"/>
  <c r="R97" i="20" s="1"/>
  <c r="P97" i="20" s="1"/>
  <c r="V97" i="20" s="1"/>
  <c r="U101" i="20"/>
  <c r="T101" i="20" s="1"/>
  <c r="S101" i="20" s="1"/>
  <c r="R101" i="20" s="1"/>
  <c r="P101" i="20" s="1"/>
  <c r="V101" i="20" s="1"/>
  <c r="U105" i="20"/>
  <c r="T105" i="20" s="1"/>
  <c r="S105" i="20" s="1"/>
  <c r="R105" i="20" s="1"/>
  <c r="P105" i="20" s="1"/>
  <c r="V105" i="20" s="1"/>
  <c r="B105" i="20" s="1"/>
  <c r="U109" i="20"/>
  <c r="T109" i="20" s="1"/>
  <c r="S109" i="20" s="1"/>
  <c r="R109" i="20" s="1"/>
  <c r="P109" i="20" s="1"/>
  <c r="V109" i="20" s="1"/>
  <c r="U113" i="20"/>
  <c r="T113" i="20" s="1"/>
  <c r="S113" i="20" s="1"/>
  <c r="R113" i="20" s="1"/>
  <c r="P113" i="20" s="1"/>
  <c r="V113" i="20" s="1"/>
  <c r="U117" i="20"/>
  <c r="T117" i="20" s="1"/>
  <c r="S117" i="20" s="1"/>
  <c r="R117" i="20" s="1"/>
  <c r="P117" i="20" s="1"/>
  <c r="V117" i="20" s="1"/>
  <c r="B117" i="20" s="1"/>
  <c r="U121" i="20"/>
  <c r="T121" i="20" s="1"/>
  <c r="S121" i="20" s="1"/>
  <c r="R121" i="20" s="1"/>
  <c r="P121" i="20" s="1"/>
  <c r="V121" i="20" s="1"/>
  <c r="U125" i="20"/>
  <c r="T125" i="20" s="1"/>
  <c r="S125" i="20" s="1"/>
  <c r="R125" i="20" s="1"/>
  <c r="P125" i="20" s="1"/>
  <c r="V125" i="20" s="1"/>
  <c r="U129" i="20"/>
  <c r="T129" i="20" s="1"/>
  <c r="S129" i="20" s="1"/>
  <c r="R129" i="20" s="1"/>
  <c r="P129" i="20" s="1"/>
  <c r="V129" i="20" s="1"/>
  <c r="U133" i="20"/>
  <c r="T133" i="20" s="1"/>
  <c r="S133" i="20" s="1"/>
  <c r="R133" i="20" s="1"/>
  <c r="P133" i="20" s="1"/>
  <c r="V133" i="20" s="1"/>
  <c r="U137" i="20"/>
  <c r="T137" i="20" s="1"/>
  <c r="U141" i="20"/>
  <c r="T141" i="20" s="1"/>
  <c r="S141" i="20" s="1"/>
  <c r="R141" i="20" s="1"/>
  <c r="P141" i="20" s="1"/>
  <c r="V141" i="20" s="1"/>
  <c r="U145" i="20"/>
  <c r="T145" i="20" s="1"/>
  <c r="U149" i="20"/>
  <c r="T149" i="20" s="1"/>
  <c r="S149" i="20" s="1"/>
  <c r="R149" i="20" s="1"/>
  <c r="P149" i="20" s="1"/>
  <c r="V149" i="20" s="1"/>
  <c r="B149" i="20" s="1"/>
  <c r="U153" i="20"/>
  <c r="T153" i="20" s="1"/>
  <c r="S153" i="20" s="1"/>
  <c r="R153" i="20" s="1"/>
  <c r="P153" i="20" s="1"/>
  <c r="V153" i="20" s="1"/>
  <c r="U157" i="20"/>
  <c r="T157" i="20" s="1"/>
  <c r="S157" i="20" s="1"/>
  <c r="R157" i="20" s="1"/>
  <c r="P157" i="20" s="1"/>
  <c r="V157" i="20" s="1"/>
  <c r="B157" i="20" s="1"/>
  <c r="U161" i="20"/>
  <c r="T161" i="20" s="1"/>
  <c r="U165" i="20"/>
  <c r="T165" i="20" s="1"/>
  <c r="S165" i="20" s="1"/>
  <c r="R165" i="20" s="1"/>
  <c r="P165" i="20" s="1"/>
  <c r="V165" i="20" s="1"/>
  <c r="B165" i="20" s="1"/>
  <c r="U169" i="20"/>
  <c r="T169" i="20" s="1"/>
  <c r="S169" i="20" s="1"/>
  <c r="R169" i="20" s="1"/>
  <c r="P169" i="20" s="1"/>
  <c r="V169" i="20" s="1"/>
  <c r="B169" i="20" s="1"/>
  <c r="U173" i="20"/>
  <c r="T173" i="20" s="1"/>
  <c r="S173" i="20" s="1"/>
  <c r="R173" i="20" s="1"/>
  <c r="P173" i="20" s="1"/>
  <c r="V173" i="20" s="1"/>
  <c r="U175" i="20"/>
  <c r="T175" i="20" s="1"/>
  <c r="U177" i="20"/>
  <c r="T177" i="20" s="1"/>
  <c r="S177" i="20" s="1"/>
  <c r="R177" i="20" s="1"/>
  <c r="P177" i="20" s="1"/>
  <c r="V177" i="20" s="1"/>
  <c r="B177" i="20" s="1"/>
  <c r="U179" i="20"/>
  <c r="T179" i="20" s="1"/>
  <c r="U181" i="20"/>
  <c r="T181" i="20" s="1"/>
  <c r="S181" i="20" s="1"/>
  <c r="R181" i="20" s="1"/>
  <c r="P181" i="20" s="1"/>
  <c r="V181" i="20" s="1"/>
  <c r="B181" i="20" s="1"/>
  <c r="U183" i="20"/>
  <c r="T183" i="20" s="1"/>
  <c r="S183" i="20" s="1"/>
  <c r="R183" i="20" s="1"/>
  <c r="P183" i="20" s="1"/>
  <c r="V183" i="20" s="1"/>
  <c r="U185" i="20"/>
  <c r="T185" i="20" s="1"/>
  <c r="S185" i="20" s="1"/>
  <c r="R185" i="20" s="1"/>
  <c r="P185" i="20" s="1"/>
  <c r="V185" i="20" s="1"/>
  <c r="U187" i="20"/>
  <c r="T187" i="20" s="1"/>
  <c r="U189" i="20"/>
  <c r="T189" i="20" s="1"/>
  <c r="S189" i="20" s="1"/>
  <c r="R189" i="20" s="1"/>
  <c r="P189" i="20" s="1"/>
  <c r="V189" i="20" s="1"/>
  <c r="B189" i="20" s="1"/>
  <c r="U191" i="20"/>
  <c r="T191" i="20" s="1"/>
  <c r="U193" i="20"/>
  <c r="T193" i="20" s="1"/>
  <c r="S193" i="20" s="1"/>
  <c r="R193" i="20" s="1"/>
  <c r="P193" i="20" s="1"/>
  <c r="V193" i="20" s="1"/>
  <c r="U195" i="20"/>
  <c r="T195" i="20" s="1"/>
  <c r="S195" i="20" s="1"/>
  <c r="R195" i="20" s="1"/>
  <c r="P195" i="20" s="1"/>
  <c r="V195" i="20" s="1"/>
  <c r="U197" i="20"/>
  <c r="T197" i="20" s="1"/>
  <c r="S197" i="20" s="1"/>
  <c r="R197" i="20" s="1"/>
  <c r="P197" i="20" s="1"/>
  <c r="V197" i="20" s="1"/>
  <c r="B197" i="20" s="1"/>
  <c r="U199" i="20"/>
  <c r="T199" i="20" s="1"/>
  <c r="S199" i="20" s="1"/>
  <c r="R199" i="20" s="1"/>
  <c r="P199" i="20" s="1"/>
  <c r="V199" i="20" s="1"/>
  <c r="B199" i="20" s="1"/>
  <c r="U201" i="20"/>
  <c r="T201" i="20" s="1"/>
  <c r="S201" i="20" s="1"/>
  <c r="R201" i="20" s="1"/>
  <c r="P201" i="20" s="1"/>
  <c r="V201" i="20" s="1"/>
  <c r="U203" i="20"/>
  <c r="T203" i="20" s="1"/>
  <c r="S203" i="20" s="1"/>
  <c r="R203" i="20" s="1"/>
  <c r="P203" i="20" s="1"/>
  <c r="V203" i="20" s="1"/>
  <c r="B203" i="20" s="1"/>
  <c r="U205" i="20"/>
  <c r="T205" i="20" s="1"/>
  <c r="S205" i="20" s="1"/>
  <c r="R205" i="20" s="1"/>
  <c r="P205" i="20" s="1"/>
  <c r="V205" i="20" s="1"/>
  <c r="U207" i="20"/>
  <c r="T207" i="20" s="1"/>
  <c r="S207" i="20" s="1"/>
  <c r="R207" i="20" s="1"/>
  <c r="P207" i="20" s="1"/>
  <c r="V207" i="20" s="1"/>
  <c r="U209" i="20"/>
  <c r="T209" i="20" s="1"/>
  <c r="S209" i="20" s="1"/>
  <c r="R209" i="20" s="1"/>
  <c r="P209" i="20" s="1"/>
  <c r="V209" i="20" s="1"/>
  <c r="U211" i="20"/>
  <c r="T211" i="20" s="1"/>
  <c r="S211" i="20" s="1"/>
  <c r="R211" i="20" s="1"/>
  <c r="P211" i="20" s="1"/>
  <c r="V211" i="20" s="1"/>
  <c r="U213" i="20"/>
  <c r="T213" i="20" s="1"/>
  <c r="S213" i="20" s="1"/>
  <c r="R213" i="20" s="1"/>
  <c r="P213" i="20" s="1"/>
  <c r="V213" i="20" s="1"/>
  <c r="B213" i="20" s="1"/>
  <c r="U215" i="20"/>
  <c r="T215" i="20" s="1"/>
  <c r="S215" i="20" s="1"/>
  <c r="R215" i="20" s="1"/>
  <c r="P215" i="20" s="1"/>
  <c r="V215" i="20" s="1"/>
  <c r="B215" i="20" s="1"/>
  <c r="U217" i="20"/>
  <c r="T217" i="20" s="1"/>
  <c r="S217" i="20" s="1"/>
  <c r="R217" i="20" s="1"/>
  <c r="P217" i="20" s="1"/>
  <c r="V217" i="20" s="1"/>
  <c r="B217" i="20" s="1"/>
  <c r="U219" i="20"/>
  <c r="T219" i="20" s="1"/>
  <c r="S219" i="20" s="1"/>
  <c r="R219" i="20" s="1"/>
  <c r="P219" i="20" s="1"/>
  <c r="V219" i="20" s="1"/>
  <c r="U221" i="20"/>
  <c r="T221" i="20" s="1"/>
  <c r="S221" i="20" s="1"/>
  <c r="R221" i="20" s="1"/>
  <c r="P221" i="20" s="1"/>
  <c r="V221" i="20" s="1"/>
  <c r="B221" i="20" s="1"/>
  <c r="U223" i="20"/>
  <c r="T223" i="20" s="1"/>
  <c r="U225" i="20"/>
  <c r="T225" i="20" s="1"/>
  <c r="S225" i="20" s="1"/>
  <c r="R225" i="20" s="1"/>
  <c r="P225" i="20" s="1"/>
  <c r="V225" i="20" s="1"/>
  <c r="B225" i="20" s="1"/>
  <c r="U227" i="20"/>
  <c r="T227" i="20" s="1"/>
  <c r="U229" i="20"/>
  <c r="T229" i="20" s="1"/>
  <c r="S229" i="20" s="1"/>
  <c r="R229" i="20" s="1"/>
  <c r="P229" i="20" s="1"/>
  <c r="V229" i="20" s="1"/>
  <c r="U231" i="20"/>
  <c r="T231" i="20" s="1"/>
  <c r="U233" i="20"/>
  <c r="T233" i="20" s="1"/>
  <c r="S233" i="20" s="1"/>
  <c r="R233" i="20" s="1"/>
  <c r="P233" i="20" s="1"/>
  <c r="V233" i="20" s="1"/>
  <c r="U235" i="20"/>
  <c r="T235" i="20" s="1"/>
  <c r="S235" i="20" s="1"/>
  <c r="R235" i="20" s="1"/>
  <c r="P235" i="20" s="1"/>
  <c r="V235" i="20" s="1"/>
  <c r="U237" i="20"/>
  <c r="T237" i="20" s="1"/>
  <c r="S237" i="20" s="1"/>
  <c r="R237" i="20" s="1"/>
  <c r="P237" i="20" s="1"/>
  <c r="V237" i="20" s="1"/>
  <c r="U239" i="20"/>
  <c r="T239" i="20" s="1"/>
  <c r="U241" i="20"/>
  <c r="T241" i="20" s="1"/>
  <c r="S241" i="20" s="1"/>
  <c r="R241" i="20" s="1"/>
  <c r="P241" i="20" s="1"/>
  <c r="AH27" i="7" s="1"/>
  <c r="U243" i="20"/>
  <c r="T243" i="20" s="1"/>
  <c r="S243" i="20" s="1"/>
  <c r="R243" i="20" s="1"/>
  <c r="P243" i="20" s="1"/>
  <c r="V243" i="20" s="1"/>
  <c r="U245" i="20"/>
  <c r="T245" i="20" s="1"/>
  <c r="S245" i="20" s="1"/>
  <c r="R245" i="20" s="1"/>
  <c r="P245" i="20" s="1"/>
  <c r="V245" i="20" s="1"/>
  <c r="U247" i="20"/>
  <c r="T247" i="20" s="1"/>
  <c r="U249" i="20"/>
  <c r="T249" i="20" s="1"/>
  <c r="S249" i="20" s="1"/>
  <c r="R249" i="20" s="1"/>
  <c r="P249" i="20" s="1"/>
  <c r="V249" i="20" s="1"/>
  <c r="B249" i="20" s="1"/>
  <c r="U251" i="20"/>
  <c r="T251" i="20" s="1"/>
  <c r="S251" i="20" s="1"/>
  <c r="R251" i="20" s="1"/>
  <c r="P251" i="20" s="1"/>
  <c r="V251" i="20" s="1"/>
  <c r="U253" i="20"/>
  <c r="T253" i="20" s="1"/>
  <c r="S253" i="20" s="1"/>
  <c r="R253" i="20" s="1"/>
  <c r="P253" i="20" s="1"/>
  <c r="V253" i="20" s="1"/>
  <c r="U255" i="20"/>
  <c r="T255" i="20" s="1"/>
  <c r="U257" i="20"/>
  <c r="T257" i="20" s="1"/>
  <c r="S257" i="20" s="1"/>
  <c r="R257" i="20" s="1"/>
  <c r="P257" i="20" s="1"/>
  <c r="V257" i="20" s="1"/>
  <c r="U259" i="20"/>
  <c r="T259" i="20" s="1"/>
  <c r="S259" i="20" s="1"/>
  <c r="R259" i="20" s="1"/>
  <c r="P259" i="20" s="1"/>
  <c r="V259" i="20" s="1"/>
  <c r="U261" i="20"/>
  <c r="T261" i="20" s="1"/>
  <c r="S261" i="20" s="1"/>
  <c r="R261" i="20" s="1"/>
  <c r="P261" i="20" s="1"/>
  <c r="V261" i="20" s="1"/>
  <c r="U263" i="20"/>
  <c r="T263" i="20" s="1"/>
  <c r="S263" i="20" s="1"/>
  <c r="R263" i="20" s="1"/>
  <c r="P263" i="20" s="1"/>
  <c r="V263" i="20" s="1"/>
  <c r="U265" i="20"/>
  <c r="T265" i="20" s="1"/>
  <c r="S265" i="20" s="1"/>
  <c r="R265" i="20" s="1"/>
  <c r="P265" i="20" s="1"/>
  <c r="V265" i="20" s="1"/>
  <c r="U267" i="20"/>
  <c r="T267" i="20" s="1"/>
  <c r="U269" i="20"/>
  <c r="T269" i="20" s="1"/>
  <c r="S269" i="20" s="1"/>
  <c r="R269" i="20" s="1"/>
  <c r="P269" i="20" s="1"/>
  <c r="V269" i="20" s="1"/>
  <c r="B269" i="20" s="1"/>
  <c r="U271" i="20"/>
  <c r="T271" i="20" s="1"/>
  <c r="U273" i="20"/>
  <c r="T273" i="20" s="1"/>
  <c r="S273" i="20" s="1"/>
  <c r="R273" i="20" s="1"/>
  <c r="P273" i="20" s="1"/>
  <c r="V273" i="20" s="1"/>
  <c r="B273" i="20" s="1"/>
  <c r="U275" i="20"/>
  <c r="T275" i="20" s="1"/>
  <c r="S275" i="20" s="1"/>
  <c r="R275" i="20" s="1"/>
  <c r="P275" i="20" s="1"/>
  <c r="V275" i="20" s="1"/>
  <c r="U277" i="20"/>
  <c r="T277" i="20" s="1"/>
  <c r="S277" i="20" s="1"/>
  <c r="R277" i="20" s="1"/>
  <c r="P277" i="20" s="1"/>
  <c r="V277" i="20" s="1"/>
  <c r="U279" i="20"/>
  <c r="T279" i="20" s="1"/>
  <c r="S279" i="20" s="1"/>
  <c r="R279" i="20" s="1"/>
  <c r="P279" i="20" s="1"/>
  <c r="V279" i="20" s="1"/>
  <c r="U281" i="20"/>
  <c r="T281" i="20" s="1"/>
  <c r="S281" i="20" s="1"/>
  <c r="R281" i="20" s="1"/>
  <c r="P281" i="20" s="1"/>
  <c r="V281" i="20" s="1"/>
  <c r="U283" i="20"/>
  <c r="T283" i="20" s="1"/>
  <c r="S283" i="20" s="1"/>
  <c r="R283" i="20" s="1"/>
  <c r="P283" i="20" s="1"/>
  <c r="V283" i="20" s="1"/>
  <c r="B283" i="20" s="1"/>
  <c r="U285" i="20"/>
  <c r="T285" i="20" s="1"/>
  <c r="S285" i="20" s="1"/>
  <c r="R285" i="20" s="1"/>
  <c r="P285" i="20" s="1"/>
  <c r="V285" i="20" s="1"/>
  <c r="B285" i="20" s="1"/>
  <c r="U287" i="20"/>
  <c r="T287" i="20" s="1"/>
  <c r="S287" i="20" s="1"/>
  <c r="R287" i="20" s="1"/>
  <c r="P287" i="20" s="1"/>
  <c r="V287" i="20" s="1"/>
  <c r="U289" i="20"/>
  <c r="T289" i="20" s="1"/>
  <c r="S289" i="20" s="1"/>
  <c r="R289" i="20" s="1"/>
  <c r="P289" i="20" s="1"/>
  <c r="V289" i="20" s="1"/>
  <c r="B289" i="20" s="1"/>
  <c r="U291" i="20"/>
  <c r="T291" i="20" s="1"/>
  <c r="U293" i="20"/>
  <c r="T293" i="20" s="1"/>
  <c r="S293" i="20" s="1"/>
  <c r="R293" i="20" s="1"/>
  <c r="P293" i="20" s="1"/>
  <c r="V293" i="20" s="1"/>
  <c r="U295" i="20"/>
  <c r="T295" i="20" s="1"/>
  <c r="U297" i="20"/>
  <c r="T297" i="20" s="1"/>
  <c r="S297" i="20" s="1"/>
  <c r="R297" i="20" s="1"/>
  <c r="P297" i="20" s="1"/>
  <c r="V297" i="20" s="1"/>
  <c r="U299" i="20"/>
  <c r="T299" i="20" s="1"/>
  <c r="S299" i="20" s="1"/>
  <c r="R299" i="20" s="1"/>
  <c r="P299" i="20" s="1"/>
  <c r="V299" i="20" s="1"/>
  <c r="U301" i="20"/>
  <c r="T301" i="20" s="1"/>
  <c r="S301" i="20" s="1"/>
  <c r="R301" i="20" s="1"/>
  <c r="P301" i="20" s="1"/>
  <c r="V301" i="20" s="1"/>
  <c r="U303" i="20"/>
  <c r="T303" i="20" s="1"/>
  <c r="S303" i="20" s="1"/>
  <c r="R303" i="20" s="1"/>
  <c r="P303" i="20" s="1"/>
  <c r="V303" i="20" s="1"/>
  <c r="U305" i="20"/>
  <c r="T305" i="20" s="1"/>
  <c r="S305" i="20" s="1"/>
  <c r="R305" i="20" s="1"/>
  <c r="P305" i="20" s="1"/>
  <c r="V305" i="20" s="1"/>
  <c r="U307" i="20"/>
  <c r="T307" i="20" s="1"/>
  <c r="S307" i="20" s="1"/>
  <c r="R307" i="20" s="1"/>
  <c r="P307" i="20" s="1"/>
  <c r="V307" i="20" s="1"/>
  <c r="U309" i="20"/>
  <c r="T309" i="20" s="1"/>
  <c r="S309" i="20" s="1"/>
  <c r="R309" i="20" s="1"/>
  <c r="P309" i="20" s="1"/>
  <c r="V309" i="20" s="1"/>
  <c r="U311" i="20"/>
  <c r="T311" i="20" s="1"/>
  <c r="S311" i="20" s="1"/>
  <c r="R311" i="20" s="1"/>
  <c r="P311" i="20" s="1"/>
  <c r="V311" i="20" s="1"/>
  <c r="U313" i="20"/>
  <c r="T313" i="20" s="1"/>
  <c r="S313" i="20" s="1"/>
  <c r="R313" i="20" s="1"/>
  <c r="P313" i="20" s="1"/>
  <c r="V313" i="20" s="1"/>
  <c r="U315" i="20"/>
  <c r="T315" i="20" s="1"/>
  <c r="S315" i="20" s="1"/>
  <c r="R315" i="20" s="1"/>
  <c r="P315" i="20" s="1"/>
  <c r="V315" i="20" s="1"/>
  <c r="B315" i="20" s="1"/>
  <c r="U317" i="20"/>
  <c r="T317" i="20" s="1"/>
  <c r="S317" i="20" s="1"/>
  <c r="R317" i="20" s="1"/>
  <c r="P317" i="20" s="1"/>
  <c r="V317" i="20" s="1"/>
  <c r="U319" i="20"/>
  <c r="T319" i="20" s="1"/>
  <c r="S319" i="20" s="1"/>
  <c r="R319" i="20" s="1"/>
  <c r="P319" i="20" s="1"/>
  <c r="V319" i="20" s="1"/>
  <c r="B319" i="20" s="1"/>
  <c r="U321" i="20"/>
  <c r="T321" i="20" s="1"/>
  <c r="S321" i="20" s="1"/>
  <c r="R321" i="20" s="1"/>
  <c r="P321" i="20" s="1"/>
  <c r="V321" i="20" s="1"/>
  <c r="B321" i="20" s="1"/>
  <c r="U323" i="20"/>
  <c r="T323" i="20" s="1"/>
  <c r="S323" i="20" s="1"/>
  <c r="R323" i="20" s="1"/>
  <c r="P323" i="20" s="1"/>
  <c r="V323" i="20" s="1"/>
  <c r="B323" i="20" s="1"/>
  <c r="U325" i="20"/>
  <c r="T325" i="20" s="1"/>
  <c r="U327" i="20"/>
  <c r="T327" i="20" s="1"/>
  <c r="U329" i="20"/>
  <c r="T329" i="20" s="1"/>
  <c r="S329" i="20" s="1"/>
  <c r="R329" i="20" s="1"/>
  <c r="P329" i="20" s="1"/>
  <c r="V329" i="20" s="1"/>
  <c r="U331" i="20"/>
  <c r="T331" i="20" s="1"/>
  <c r="S331" i="20" s="1"/>
  <c r="R331" i="20" s="1"/>
  <c r="P331" i="20" s="1"/>
  <c r="V331" i="20" s="1"/>
  <c r="U333" i="20"/>
  <c r="T333" i="20" s="1"/>
  <c r="S333" i="20" s="1"/>
  <c r="R333" i="20" s="1"/>
  <c r="P333" i="20" s="1"/>
  <c r="V333" i="20" s="1"/>
  <c r="B333" i="20" s="1"/>
  <c r="U335" i="20"/>
  <c r="T335" i="20" s="1"/>
  <c r="U337" i="20"/>
  <c r="T337" i="20" s="1"/>
  <c r="S337" i="20" s="1"/>
  <c r="R337" i="20" s="1"/>
  <c r="P337" i="20" s="1"/>
  <c r="V337" i="20" s="1"/>
  <c r="U339" i="20"/>
  <c r="T339" i="20" s="1"/>
  <c r="S339" i="20" s="1"/>
  <c r="R339" i="20" s="1"/>
  <c r="P339" i="20" s="1"/>
  <c r="V339" i="20" s="1"/>
  <c r="B339" i="20" s="1"/>
  <c r="U341" i="20"/>
  <c r="T341" i="20" s="1"/>
  <c r="S341" i="20" s="1"/>
  <c r="R341" i="20" s="1"/>
  <c r="P341" i="20" s="1"/>
  <c r="V341" i="20" s="1"/>
  <c r="U343" i="20"/>
  <c r="T343" i="20" s="1"/>
  <c r="S343" i="20" s="1"/>
  <c r="R343" i="20" s="1"/>
  <c r="P343" i="20" s="1"/>
  <c r="V343" i="20" s="1"/>
  <c r="U345" i="20"/>
  <c r="T345" i="20" s="1"/>
  <c r="U347" i="20"/>
  <c r="T347" i="20" s="1"/>
  <c r="S347" i="20" s="1"/>
  <c r="R347" i="20" s="1"/>
  <c r="P347" i="20" s="1"/>
  <c r="V347" i="20" s="1"/>
  <c r="U349" i="20"/>
  <c r="T349" i="20" s="1"/>
  <c r="S349" i="20" s="1"/>
  <c r="R349" i="20" s="1"/>
  <c r="P349" i="20" s="1"/>
  <c r="V349" i="20" s="1"/>
  <c r="U351" i="20"/>
  <c r="T351" i="20" s="1"/>
  <c r="S351" i="20" s="1"/>
  <c r="R351" i="20" s="1"/>
  <c r="P351" i="20" s="1"/>
  <c r="V351" i="20" s="1"/>
  <c r="U353" i="20"/>
  <c r="T353" i="20" s="1"/>
  <c r="S353" i="20" s="1"/>
  <c r="R353" i="20" s="1"/>
  <c r="P353" i="20" s="1"/>
  <c r="V353" i="20" s="1"/>
  <c r="U355" i="20"/>
  <c r="T355" i="20" s="1"/>
  <c r="S355" i="20" s="1"/>
  <c r="R355" i="20" s="1"/>
  <c r="P355" i="20" s="1"/>
  <c r="V355" i="20" s="1"/>
  <c r="U357" i="20"/>
  <c r="T357" i="20" s="1"/>
  <c r="U359" i="20"/>
  <c r="T359" i="20" s="1"/>
  <c r="S359" i="20" s="1"/>
  <c r="R359" i="20" s="1"/>
  <c r="P359" i="20" s="1"/>
  <c r="V359" i="20" s="1"/>
  <c r="U361" i="20"/>
  <c r="T361" i="20" s="1"/>
  <c r="S361" i="20" s="1"/>
  <c r="R361" i="20" s="1"/>
  <c r="P361" i="20" s="1"/>
  <c r="V361" i="20" s="1"/>
  <c r="U363" i="20"/>
  <c r="T363" i="20" s="1"/>
  <c r="S363" i="20" s="1"/>
  <c r="R363" i="20" s="1"/>
  <c r="P363" i="20" s="1"/>
  <c r="AH31" i="7" s="1"/>
  <c r="U365" i="20"/>
  <c r="T365" i="20" s="1"/>
  <c r="S365" i="20" s="1"/>
  <c r="R365" i="20" s="1"/>
  <c r="P365" i="20" s="1"/>
  <c r="V365" i="20" s="1"/>
  <c r="B365" i="20" s="1"/>
  <c r="U367" i="20"/>
  <c r="T367" i="20" s="1"/>
  <c r="U369" i="20"/>
  <c r="T369" i="20" s="1"/>
  <c r="S369" i="20" s="1"/>
  <c r="R369" i="20" s="1"/>
  <c r="P369" i="20" s="1"/>
  <c r="V369" i="20" s="1"/>
  <c r="B369" i="20" s="1"/>
  <c r="U371" i="20"/>
  <c r="T371" i="20" s="1"/>
  <c r="S371" i="20" s="1"/>
  <c r="R371" i="20" s="1"/>
  <c r="P371" i="20" s="1"/>
  <c r="V371" i="20" s="1"/>
  <c r="B371" i="20" s="1"/>
  <c r="U373" i="20"/>
  <c r="T373" i="20" s="1"/>
  <c r="U375" i="20"/>
  <c r="T375" i="20" s="1"/>
  <c r="S375" i="20" s="1"/>
  <c r="R375" i="20" s="1"/>
  <c r="P375" i="20" s="1"/>
  <c r="V375" i="20" s="1"/>
  <c r="U377" i="20"/>
  <c r="T377" i="20" s="1"/>
  <c r="S377" i="20" s="1"/>
  <c r="R377" i="20" s="1"/>
  <c r="P377" i="20" s="1"/>
  <c r="V377" i="20" s="1"/>
  <c r="U379" i="20"/>
  <c r="AA159" i="18"/>
  <c r="Z159" i="18" s="1"/>
  <c r="Y159" i="18" s="1"/>
  <c r="F285" i="18"/>
  <c r="F131" i="18"/>
  <c r="AA215" i="18"/>
  <c r="Z215" i="18" s="1"/>
  <c r="Y215" i="18" s="1"/>
  <c r="AA31" i="18"/>
  <c r="Z31" i="18" s="1"/>
  <c r="Y31" i="18" s="1"/>
  <c r="F63" i="18"/>
  <c r="F211" i="18"/>
  <c r="F83" i="18"/>
  <c r="H127" i="18"/>
  <c r="F23" i="18"/>
  <c r="F199" i="18"/>
  <c r="J135" i="17"/>
  <c r="I135" i="17"/>
  <c r="H135" i="18" s="1"/>
  <c r="J360" i="17"/>
  <c r="I360" i="17"/>
  <c r="I152" i="17"/>
  <c r="H152" i="18" s="1"/>
  <c r="I152" i="18" s="1"/>
  <c r="J152" i="17"/>
  <c r="J267" i="17"/>
  <c r="I267" i="17"/>
  <c r="H267" i="18" s="1"/>
  <c r="J267" i="18" s="1"/>
  <c r="I350" i="17"/>
  <c r="J350" i="17"/>
  <c r="I71" i="17"/>
  <c r="H71" i="18" s="1"/>
  <c r="J71" i="18" s="1"/>
  <c r="J71" i="17"/>
  <c r="I275" i="17"/>
  <c r="H275" i="18" s="1"/>
  <c r="I275" i="18" s="1"/>
  <c r="J275" i="17"/>
  <c r="J41" i="17"/>
  <c r="I41" i="17"/>
  <c r="H41" i="18" s="1"/>
  <c r="J41" i="18" s="1"/>
  <c r="J185" i="17"/>
  <c r="I185" i="17"/>
  <c r="H185" i="18" s="1"/>
  <c r="I185" i="18" s="1"/>
  <c r="I121" i="17"/>
  <c r="H121" i="18" s="1"/>
  <c r="J121" i="18" s="1"/>
  <c r="J121" i="17"/>
  <c r="I95" i="17"/>
  <c r="H95" i="18" s="1"/>
  <c r="I95" i="18" s="1"/>
  <c r="J95" i="17"/>
  <c r="J336" i="17"/>
  <c r="I336" i="17"/>
  <c r="H336" i="18" s="1"/>
  <c r="I336" i="18" s="1"/>
  <c r="J137" i="17"/>
  <c r="I137" i="17"/>
  <c r="H137" i="18" s="1"/>
  <c r="I137" i="18" s="1"/>
  <c r="G297" i="18"/>
  <c r="CA297" i="6" s="1"/>
  <c r="H297" i="18"/>
  <c r="H321" i="18"/>
  <c r="G321" i="18"/>
  <c r="CA321" i="6" s="1"/>
  <c r="G306" i="18"/>
  <c r="CA306" i="6" s="1"/>
  <c r="H306" i="18"/>
  <c r="G318" i="18"/>
  <c r="CA318" i="6" s="1"/>
  <c r="H318" i="18"/>
  <c r="H330" i="18"/>
  <c r="G330" i="18"/>
  <c r="CA330" i="6" s="1"/>
  <c r="AA197" i="18"/>
  <c r="Z197" i="18" s="1"/>
  <c r="Y197" i="18" s="1"/>
  <c r="F111" i="18"/>
  <c r="AA231" i="17"/>
  <c r="Z231" i="17" s="1"/>
  <c r="Y231" i="17" s="1"/>
  <c r="G231" i="17"/>
  <c r="BZ231" i="6" s="1"/>
  <c r="H231" i="17"/>
  <c r="J88" i="17"/>
  <c r="I88" i="17"/>
  <c r="H88" i="18" s="1"/>
  <c r="J210" i="17"/>
  <c r="I210" i="17"/>
  <c r="J119" i="17"/>
  <c r="I119" i="17"/>
  <c r="H291" i="17"/>
  <c r="G291" i="17"/>
  <c r="BZ291" i="6" s="1"/>
  <c r="AA291" i="17"/>
  <c r="Z291" i="17" s="1"/>
  <c r="Y291" i="17" s="1"/>
  <c r="G109" i="17"/>
  <c r="BZ109" i="6" s="1"/>
  <c r="AA109" i="17"/>
  <c r="Z109" i="17" s="1"/>
  <c r="Y109" i="17" s="1"/>
  <c r="H109" i="17"/>
  <c r="S379" i="18"/>
  <c r="T382" i="18"/>
  <c r="T381" i="18"/>
  <c r="T383" i="18"/>
  <c r="R383" i="17"/>
  <c r="R381" i="17"/>
  <c r="R382" i="17"/>
  <c r="P15" i="17"/>
  <c r="AF382" i="17"/>
  <c r="AF383" i="17"/>
  <c r="AF381" i="17"/>
  <c r="AD15" i="17"/>
  <c r="AA127" i="18"/>
  <c r="Z127" i="18" s="1"/>
  <c r="Y127" i="18" s="1"/>
  <c r="F203" i="18"/>
  <c r="F283" i="18"/>
  <c r="AA335" i="18"/>
  <c r="Z335" i="18" s="1"/>
  <c r="Y335" i="18" s="1"/>
  <c r="F99" i="18"/>
  <c r="F35" i="18"/>
  <c r="AA243" i="18"/>
  <c r="Z243" i="18" s="1"/>
  <c r="Y243" i="18" s="1"/>
  <c r="F175" i="18"/>
  <c r="J176" i="17"/>
  <c r="I176" i="17"/>
  <c r="H176" i="18" s="1"/>
  <c r="I176" i="18" s="1"/>
  <c r="J357" i="17"/>
  <c r="I357" i="17"/>
  <c r="H357" i="18" s="1"/>
  <c r="I357" i="18" s="1"/>
  <c r="I82" i="17"/>
  <c r="H82" i="18" s="1"/>
  <c r="I82" i="18" s="1"/>
  <c r="J82" i="17"/>
  <c r="J56" i="17"/>
  <c r="I56" i="17"/>
  <c r="H56" i="18" s="1"/>
  <c r="I56" i="18" s="1"/>
  <c r="I53" i="17"/>
  <c r="H53" i="18" s="1"/>
  <c r="I53" i="18" s="1"/>
  <c r="J53" i="17"/>
  <c r="I183" i="17"/>
  <c r="H183" i="18" s="1"/>
  <c r="I183" i="18" s="1"/>
  <c r="J183" i="17"/>
  <c r="J77" i="18"/>
  <c r="H50" i="18"/>
  <c r="I50" i="18" s="1"/>
  <c r="J214" i="18"/>
  <c r="I141" i="18"/>
  <c r="AA21" i="18"/>
  <c r="Z21" i="18" s="1"/>
  <c r="Y21" i="18" s="1"/>
  <c r="I61" i="18"/>
  <c r="J94" i="18"/>
  <c r="G214" i="18"/>
  <c r="CA214" i="6" s="1"/>
  <c r="AE383" i="20"/>
  <c r="AE381" i="20"/>
  <c r="P38" i="20"/>
  <c r="V38" i="20" s="1"/>
  <c r="B38" i="20" s="1"/>
  <c r="AE382" i="20"/>
  <c r="P106" i="20"/>
  <c r="V106" i="20" s="1"/>
  <c r="P20" i="20"/>
  <c r="V20" i="20" s="1"/>
  <c r="D20" i="20" s="1"/>
  <c r="E20" i="20" s="1"/>
  <c r="F20" i="20" s="1"/>
  <c r="G20" i="20" s="1"/>
  <c r="CB20" i="6" s="1"/>
  <c r="H164" i="18"/>
  <c r="J164" i="18" s="1"/>
  <c r="AE11" i="22"/>
  <c r="G114" i="18"/>
  <c r="CA114" i="6" s="1"/>
  <c r="D140" i="18"/>
  <c r="E140" i="18" s="1"/>
  <c r="F140" i="18" s="1"/>
  <c r="D92" i="18"/>
  <c r="E92" i="18" s="1"/>
  <c r="F92" i="18" s="1"/>
  <c r="AG32" i="18"/>
  <c r="AF32" i="18" s="1"/>
  <c r="AD32" i="18" s="1"/>
  <c r="AA32" i="18" s="1"/>
  <c r="Z32" i="18" s="1"/>
  <c r="Y32" i="18" s="1"/>
  <c r="P90" i="20"/>
  <c r="V90" i="20" s="1"/>
  <c r="P110" i="20"/>
  <c r="V110" i="20" s="1"/>
  <c r="P138" i="20"/>
  <c r="V138" i="20" s="1"/>
  <c r="P94" i="20"/>
  <c r="V94" i="20" s="1"/>
  <c r="D108" i="18"/>
  <c r="E108" i="18" s="1"/>
  <c r="F108" i="18" s="1"/>
  <c r="M13" i="19"/>
  <c r="Q376" i="22"/>
  <c r="Q342" i="22"/>
  <c r="Q315" i="22"/>
  <c r="Q148" i="22"/>
  <c r="Q114" i="22"/>
  <c r="Q158" i="22"/>
  <c r="Q208" i="22"/>
  <c r="Q240" i="22"/>
  <c r="Q272" i="22"/>
  <c r="Q294" i="22"/>
  <c r="Q310" i="22"/>
  <c r="Q371" i="22"/>
  <c r="Q355" i="22"/>
  <c r="Q339" i="22"/>
  <c r="Q323" i="22"/>
  <c r="Q297" i="22"/>
  <c r="Q265" i="22"/>
  <c r="Q233" i="22"/>
  <c r="Q201" i="22"/>
  <c r="Q144" i="22"/>
  <c r="Q124" i="22"/>
  <c r="Q92" i="22"/>
  <c r="AF15" i="18"/>
  <c r="Q42" i="22"/>
  <c r="Q60" i="22"/>
  <c r="Q28" i="22"/>
  <c r="I194" i="18"/>
  <c r="J194" i="18"/>
  <c r="W122" i="20"/>
  <c r="D122" i="20"/>
  <c r="E122" i="20" s="1"/>
  <c r="F122" i="20" s="1"/>
  <c r="W130" i="20"/>
  <c r="D130" i="20"/>
  <c r="E130" i="20" s="1"/>
  <c r="F130" i="20" s="1"/>
  <c r="D146" i="20"/>
  <c r="E146" i="20" s="1"/>
  <c r="W146" i="20"/>
  <c r="W154" i="20"/>
  <c r="D154" i="20"/>
  <c r="E154" i="20" s="1"/>
  <c r="F154" i="20" s="1"/>
  <c r="D162" i="20"/>
  <c r="E162" i="20" s="1"/>
  <c r="F162" i="20" s="1"/>
  <c r="W162" i="20"/>
  <c r="W170" i="20"/>
  <c r="D170" i="20"/>
  <c r="E170" i="20" s="1"/>
  <c r="F170" i="20" s="1"/>
  <c r="H46" i="18"/>
  <c r="G46" i="18"/>
  <c r="CA46" i="6" s="1"/>
  <c r="G196" i="18"/>
  <c r="CA196" i="6" s="1"/>
  <c r="H196" i="18"/>
  <c r="AA135" i="18"/>
  <c r="Z135" i="18" s="1"/>
  <c r="Y135" i="18" s="1"/>
  <c r="G135" i="18"/>
  <c r="CA135" i="6" s="1"/>
  <c r="I229" i="18"/>
  <c r="J229" i="18"/>
  <c r="I66" i="18"/>
  <c r="J66" i="18"/>
  <c r="I250" i="18"/>
  <c r="J250" i="18"/>
  <c r="I310" i="18"/>
  <c r="J310" i="18"/>
  <c r="G227" i="18"/>
  <c r="CA227" i="6" s="1"/>
  <c r="AA227" i="18"/>
  <c r="Z227" i="18" s="1"/>
  <c r="Y227" i="18" s="1"/>
  <c r="H227" i="18"/>
  <c r="J100" i="18"/>
  <c r="I100" i="18"/>
  <c r="I144" i="18"/>
  <c r="J144" i="18"/>
  <c r="J212" i="18"/>
  <c r="I212" i="18"/>
  <c r="J338" i="18"/>
  <c r="I338" i="18"/>
  <c r="J238" i="18"/>
  <c r="I238" i="18"/>
  <c r="J93" i="18"/>
  <c r="I93" i="18"/>
  <c r="AA105" i="18"/>
  <c r="Z105" i="18" s="1"/>
  <c r="Y105" i="18" s="1"/>
  <c r="H105" i="18"/>
  <c r="G105" i="18"/>
  <c r="CA105" i="6" s="1"/>
  <c r="I341" i="18"/>
  <c r="J341" i="18"/>
  <c r="J134" i="18"/>
  <c r="I324" i="18"/>
  <c r="J324" i="18"/>
  <c r="J342" i="18"/>
  <c r="I342" i="18"/>
  <c r="J348" i="18"/>
  <c r="I348" i="18"/>
  <c r="I364" i="18"/>
  <c r="J364" i="18"/>
  <c r="I378" i="18"/>
  <c r="J378" i="18"/>
  <c r="J24" i="18"/>
  <c r="I24" i="18"/>
  <c r="J40" i="18"/>
  <c r="I40" i="18"/>
  <c r="I70" i="18"/>
  <c r="J70" i="18"/>
  <c r="J118" i="18"/>
  <c r="I184" i="18"/>
  <c r="J184" i="18"/>
  <c r="G258" i="18"/>
  <c r="CA258" i="6" s="1"/>
  <c r="H258" i="18"/>
  <c r="I372" i="18"/>
  <c r="J372" i="18"/>
  <c r="I288" i="18"/>
  <c r="J288" i="18"/>
  <c r="J33" i="18"/>
  <c r="I33" i="18"/>
  <c r="I165" i="18"/>
  <c r="D22" i="20"/>
  <c r="E22" i="20" s="1"/>
  <c r="F22" i="20" s="1"/>
  <c r="W26" i="20"/>
  <c r="D26" i="20"/>
  <c r="E26" i="20" s="1"/>
  <c r="F26" i="20" s="1"/>
  <c r="D42" i="20"/>
  <c r="E42" i="20" s="1"/>
  <c r="F42" i="20" s="1"/>
  <c r="W42" i="20"/>
  <c r="D50" i="20"/>
  <c r="E50" i="20" s="1"/>
  <c r="F50" i="20" s="1"/>
  <c r="W50" i="20"/>
  <c r="W58" i="20"/>
  <c r="D58" i="20"/>
  <c r="E58" i="20" s="1"/>
  <c r="F58" i="20" s="1"/>
  <c r="D66" i="20"/>
  <c r="E66" i="20" s="1"/>
  <c r="F66" i="20" s="1"/>
  <c r="W66" i="20"/>
  <c r="W82" i="20"/>
  <c r="D82" i="20"/>
  <c r="E82" i="20" s="1"/>
  <c r="F82" i="20" s="1"/>
  <c r="I264" i="18"/>
  <c r="J264" i="18"/>
  <c r="I160" i="18"/>
  <c r="J160" i="18"/>
  <c r="AE27" i="22"/>
  <c r="AE43" i="22"/>
  <c r="AE59" i="22"/>
  <c r="AE75" i="22"/>
  <c r="AE91" i="22"/>
  <c r="AE107" i="22"/>
  <c r="AE123" i="22"/>
  <c r="AE139" i="22"/>
  <c r="AE155" i="22"/>
  <c r="AE171" i="22"/>
  <c r="AE187" i="22"/>
  <c r="AE203" i="22"/>
  <c r="AE219" i="22"/>
  <c r="AE235" i="22"/>
  <c r="AE251" i="22"/>
  <c r="AE261" i="22"/>
  <c r="AE269" i="22"/>
  <c r="AE277" i="22"/>
  <c r="AE285" i="22"/>
  <c r="AE293" i="22"/>
  <c r="AE301" i="22"/>
  <c r="AE309" i="22"/>
  <c r="AE317" i="22"/>
  <c r="AE325" i="22"/>
  <c r="AE333" i="22"/>
  <c r="AE341" i="22"/>
  <c r="AE349" i="22"/>
  <c r="AE357" i="22"/>
  <c r="AE365" i="22"/>
  <c r="AE373" i="22"/>
  <c r="AE15" i="22"/>
  <c r="AE24" i="22"/>
  <c r="AE32" i="22"/>
  <c r="AE40" i="22"/>
  <c r="AE48" i="22"/>
  <c r="AE56" i="22"/>
  <c r="AE64" i="22"/>
  <c r="AE72" i="22"/>
  <c r="AE80" i="22"/>
  <c r="AE88" i="22"/>
  <c r="AE96" i="22"/>
  <c r="AE104" i="22"/>
  <c r="AE112" i="22"/>
  <c r="AE120" i="22"/>
  <c r="AE128" i="22"/>
  <c r="AE136" i="22"/>
  <c r="AE140" i="22"/>
  <c r="AE144" i="22"/>
  <c r="AE148" i="22"/>
  <c r="AE152" i="22"/>
  <c r="AE156" i="22"/>
  <c r="AE160" i="22"/>
  <c r="AE164" i="22"/>
  <c r="AE168" i="22"/>
  <c r="AE172" i="22"/>
  <c r="AE176" i="22"/>
  <c r="AE180" i="22"/>
  <c r="AE184" i="22"/>
  <c r="AE188" i="22"/>
  <c r="AE192" i="22"/>
  <c r="AE196" i="22"/>
  <c r="AE200" i="22"/>
  <c r="AE204" i="22"/>
  <c r="AE208" i="22"/>
  <c r="AE212" i="22"/>
  <c r="AE216" i="22"/>
  <c r="AE220" i="22"/>
  <c r="AE224" i="22"/>
  <c r="AE228" i="22"/>
  <c r="AE232" i="22"/>
  <c r="AE236" i="22"/>
  <c r="AE240" i="22"/>
  <c r="AE244" i="22"/>
  <c r="AE248" i="22"/>
  <c r="AE252" i="22"/>
  <c r="AE256" i="22"/>
  <c r="AE260" i="22"/>
  <c r="AE264" i="22"/>
  <c r="AE268" i="22"/>
  <c r="AE272" i="22"/>
  <c r="AE276" i="22"/>
  <c r="AE280" i="22"/>
  <c r="AE284" i="22"/>
  <c r="AE288" i="22"/>
  <c r="AE292" i="22"/>
  <c r="AE296" i="22"/>
  <c r="AE300" i="22"/>
  <c r="AE304" i="22"/>
  <c r="AE308" i="22"/>
  <c r="AE312" i="22"/>
  <c r="AE316" i="22"/>
  <c r="AE320" i="22"/>
  <c r="AE324" i="22"/>
  <c r="AE328" i="22"/>
  <c r="AE332" i="22"/>
  <c r="AE336" i="22"/>
  <c r="AE340" i="22"/>
  <c r="AE344" i="22"/>
  <c r="AE348" i="22"/>
  <c r="AE352" i="22"/>
  <c r="AE356" i="22"/>
  <c r="AE360" i="22"/>
  <c r="AE364" i="22"/>
  <c r="AE368" i="22"/>
  <c r="AE372" i="22"/>
  <c r="AE376" i="22"/>
  <c r="AE380" i="22"/>
  <c r="I315" i="18"/>
  <c r="J315" i="18"/>
  <c r="J322" i="18"/>
  <c r="I322" i="18"/>
  <c r="J337" i="18"/>
  <c r="I337" i="18"/>
  <c r="I271" i="18"/>
  <c r="J271" i="18"/>
  <c r="I345" i="18"/>
  <c r="J345" i="18"/>
  <c r="I181" i="18"/>
  <c r="J181" i="18"/>
  <c r="I195" i="18"/>
  <c r="J195" i="18"/>
  <c r="I168" i="18"/>
  <c r="J168" i="18"/>
  <c r="I174" i="18"/>
  <c r="J174" i="18"/>
  <c r="J52" i="18"/>
  <c r="I52" i="18"/>
  <c r="I172" i="18"/>
  <c r="J308" i="18"/>
  <c r="I308" i="18"/>
  <c r="I358" i="18"/>
  <c r="J358" i="18"/>
  <c r="J191" i="18"/>
  <c r="I191" i="18"/>
  <c r="J287" i="18"/>
  <c r="I287" i="18"/>
  <c r="I314" i="18"/>
  <c r="J314" i="18"/>
  <c r="I129" i="18"/>
  <c r="J129" i="18"/>
  <c r="I157" i="18"/>
  <c r="J157" i="18"/>
  <c r="Y381" i="16"/>
  <c r="AL6" i="16"/>
  <c r="AL12" i="16" s="1"/>
  <c r="X9" i="16"/>
  <c r="Z11" i="16" s="1"/>
  <c r="Z5" i="16" s="1"/>
  <c r="H13" i="19" s="1"/>
  <c r="H37" i="19" s="1"/>
  <c r="Y383" i="16"/>
  <c r="AM6" i="16"/>
  <c r="AM12" i="16" s="1"/>
  <c r="Y382" i="16"/>
  <c r="I192" i="18"/>
  <c r="J192" i="18"/>
  <c r="H60" i="18"/>
  <c r="G60" i="18"/>
  <c r="CA60" i="6" s="1"/>
  <c r="I90" i="18"/>
  <c r="J90" i="18"/>
  <c r="I98" i="18"/>
  <c r="J98" i="18"/>
  <c r="I122" i="18"/>
  <c r="J122" i="18"/>
  <c r="J202" i="18"/>
  <c r="I278" i="18"/>
  <c r="J278" i="18"/>
  <c r="I312" i="18"/>
  <c r="J312" i="18"/>
  <c r="I332" i="18"/>
  <c r="J332" i="18"/>
  <c r="I49" i="18"/>
  <c r="J49" i="18"/>
  <c r="G241" i="18"/>
  <c r="CA241" i="6" s="1"/>
  <c r="AA241" i="18"/>
  <c r="Z241" i="18" s="1"/>
  <c r="Y241" i="18" s="1"/>
  <c r="H241" i="18"/>
  <c r="P15" i="18"/>
  <c r="I242" i="18"/>
  <c r="J242" i="18"/>
  <c r="I353" i="18"/>
  <c r="J353" i="18"/>
  <c r="J365" i="18"/>
  <c r="I365" i="18"/>
  <c r="J124" i="18"/>
  <c r="I124" i="18"/>
  <c r="H180" i="18"/>
  <c r="G180" i="18"/>
  <c r="CA180" i="6" s="1"/>
  <c r="AA180" i="18"/>
  <c r="Z180" i="18" s="1"/>
  <c r="Y180" i="18" s="1"/>
  <c r="J39" i="18"/>
  <c r="I39" i="18"/>
  <c r="I263" i="18"/>
  <c r="J263" i="18"/>
  <c r="J317" i="18"/>
  <c r="I317" i="18"/>
  <c r="I355" i="18"/>
  <c r="J355" i="18"/>
  <c r="I30" i="18"/>
  <c r="J30" i="18"/>
  <c r="I84" i="18"/>
  <c r="J84" i="18"/>
  <c r="I162" i="18"/>
  <c r="J162" i="18"/>
  <c r="J224" i="18"/>
  <c r="I224" i="18"/>
  <c r="I366" i="18"/>
  <c r="J366" i="18"/>
  <c r="I294" i="18"/>
  <c r="J294" i="18"/>
  <c r="G29" i="18"/>
  <c r="CA29" i="6" s="1"/>
  <c r="H29" i="18"/>
  <c r="AA29" i="18"/>
  <c r="Z29" i="18" s="1"/>
  <c r="Y29" i="18" s="1"/>
  <c r="J313" i="18"/>
  <c r="I313" i="18"/>
  <c r="J323" i="18"/>
  <c r="I323" i="18"/>
  <c r="J369" i="18"/>
  <c r="I369" i="18"/>
  <c r="J62" i="18"/>
  <c r="I62" i="18"/>
  <c r="J86" i="18"/>
  <c r="I86" i="18"/>
  <c r="I112" i="18"/>
  <c r="J112" i="18"/>
  <c r="I132" i="18"/>
  <c r="J132" i="18"/>
  <c r="I304" i="18"/>
  <c r="J304" i="18"/>
  <c r="J326" i="18"/>
  <c r="I326" i="18"/>
  <c r="J253" i="18"/>
  <c r="I253" i="18"/>
  <c r="J319" i="18"/>
  <c r="I319" i="18"/>
  <c r="I249" i="18"/>
  <c r="J249" i="18"/>
  <c r="Q191" i="22"/>
  <c r="Q187" i="22"/>
  <c r="Q183" i="22"/>
  <c r="Q179" i="22"/>
  <c r="Q175" i="22"/>
  <c r="Q171" i="22"/>
  <c r="Q167" i="22"/>
  <c r="Q163" i="22"/>
  <c r="Q159" i="22"/>
  <c r="Q155" i="22"/>
  <c r="Q151" i="22"/>
  <c r="Q147" i="22"/>
  <c r="Q143" i="22"/>
  <c r="Q139" i="22"/>
  <c r="Q135" i="22"/>
  <c r="Q131" i="22"/>
  <c r="Q127" i="22"/>
  <c r="Q123" i="22"/>
  <c r="Q119" i="22"/>
  <c r="Q115" i="22"/>
  <c r="Q111" i="22"/>
  <c r="Q107" i="22"/>
  <c r="Q103" i="22"/>
  <c r="Q99" i="22"/>
  <c r="Q95" i="22"/>
  <c r="Q91" i="22"/>
  <c r="Q87" i="22"/>
  <c r="Q83" i="22"/>
  <c r="Q79" i="22"/>
  <c r="Q75" i="22"/>
  <c r="Q71" i="22"/>
  <c r="Q67" i="22"/>
  <c r="Q63" i="22"/>
  <c r="Q59" i="22"/>
  <c r="Q55" i="22"/>
  <c r="Q51" i="22"/>
  <c r="Q47" i="22"/>
  <c r="Q43" i="22"/>
  <c r="Q39" i="22"/>
  <c r="Q35" i="22"/>
  <c r="Q31" i="22"/>
  <c r="Q27" i="22"/>
  <c r="Q23" i="22"/>
  <c r="Q19" i="22"/>
  <c r="Q18" i="22"/>
  <c r="W98" i="20" l="1"/>
  <c r="D98" i="20"/>
  <c r="E98" i="20" s="1"/>
  <c r="F98" i="20" s="1"/>
  <c r="W40" i="20"/>
  <c r="B40" i="20"/>
  <c r="W48" i="20"/>
  <c r="B48" i="20"/>
  <c r="D56" i="20"/>
  <c r="E56" i="20" s="1"/>
  <c r="F56" i="20" s="1"/>
  <c r="H56" i="20" s="1"/>
  <c r="B56" i="20"/>
  <c r="D64" i="20"/>
  <c r="E64" i="20" s="1"/>
  <c r="F64" i="20" s="1"/>
  <c r="G64" i="20" s="1"/>
  <c r="CB64" i="6" s="1"/>
  <c r="B64" i="20"/>
  <c r="W80" i="20"/>
  <c r="B80" i="20"/>
  <c r="W96" i="20"/>
  <c r="B96" i="20"/>
  <c r="D104" i="20"/>
  <c r="E104" i="20" s="1"/>
  <c r="F104" i="20" s="1"/>
  <c r="H104" i="20" s="1"/>
  <c r="B104" i="20"/>
  <c r="W120" i="20"/>
  <c r="B120" i="20"/>
  <c r="D128" i="20"/>
  <c r="E128" i="20" s="1"/>
  <c r="F128" i="20" s="1"/>
  <c r="G128" i="20" s="1"/>
  <c r="CB128" i="6" s="1"/>
  <c r="B128" i="20"/>
  <c r="W136" i="20"/>
  <c r="B136" i="20"/>
  <c r="D144" i="20"/>
  <c r="E144" i="20" s="1"/>
  <c r="F144" i="20" s="1"/>
  <c r="H144" i="20" s="1"/>
  <c r="B144" i="20"/>
  <c r="W152" i="20"/>
  <c r="B152" i="20"/>
  <c r="D160" i="20"/>
  <c r="E160" i="20" s="1"/>
  <c r="F160" i="20" s="1"/>
  <c r="G160" i="20" s="1"/>
  <c r="CB160" i="6" s="1"/>
  <c r="B160" i="20"/>
  <c r="W168" i="20"/>
  <c r="B168" i="20"/>
  <c r="W78" i="20"/>
  <c r="B78" i="20"/>
  <c r="D78" i="20" s="1"/>
  <c r="E78" i="20" s="1"/>
  <c r="F78" i="20" s="1"/>
  <c r="W126" i="20"/>
  <c r="B126" i="20"/>
  <c r="D126" i="20" s="1"/>
  <c r="E126" i="20" s="1"/>
  <c r="F126" i="20" s="1"/>
  <c r="D142" i="20"/>
  <c r="E142" i="20" s="1"/>
  <c r="F142" i="20" s="1"/>
  <c r="H142" i="20" s="1"/>
  <c r="B142" i="20"/>
  <c r="W142" i="20" s="1"/>
  <c r="D158" i="20"/>
  <c r="E158" i="20" s="1"/>
  <c r="F158" i="20" s="1"/>
  <c r="G158" i="20" s="1"/>
  <c r="CB158" i="6" s="1"/>
  <c r="B158" i="20"/>
  <c r="W158" i="20" s="1"/>
  <c r="H178" i="18"/>
  <c r="G85" i="18"/>
  <c r="CA85" i="6" s="1"/>
  <c r="H85" i="18"/>
  <c r="B94" i="20"/>
  <c r="D94" i="20" s="1"/>
  <c r="E94" i="20" s="1"/>
  <c r="F94" i="20" s="1"/>
  <c r="G94" i="20" s="1"/>
  <c r="CB94" i="6" s="1"/>
  <c r="B110" i="20"/>
  <c r="W110" i="20" s="1"/>
  <c r="B377" i="20"/>
  <c r="D377" i="20" s="1"/>
  <c r="E377" i="20" s="1"/>
  <c r="F377" i="20" s="1"/>
  <c r="B361" i="20"/>
  <c r="D361" i="20" s="1"/>
  <c r="E361" i="20" s="1"/>
  <c r="F361" i="20" s="1"/>
  <c r="B353" i="20"/>
  <c r="D353" i="20" s="1"/>
  <c r="E353" i="20" s="1"/>
  <c r="F353" i="20" s="1"/>
  <c r="D341" i="20"/>
  <c r="E341" i="20" s="1"/>
  <c r="F341" i="20" s="1"/>
  <c r="G341" i="20" s="1"/>
  <c r="CB341" i="6" s="1"/>
  <c r="B341" i="20"/>
  <c r="W337" i="20"/>
  <c r="B337" i="20"/>
  <c r="W329" i="20"/>
  <c r="B329" i="20"/>
  <c r="D317" i="20"/>
  <c r="E317" i="20" s="1"/>
  <c r="F317" i="20" s="1"/>
  <c r="G317" i="20" s="1"/>
  <c r="CB317" i="6" s="1"/>
  <c r="B317" i="20"/>
  <c r="W313" i="20"/>
  <c r="B313" i="20"/>
  <c r="D309" i="20"/>
  <c r="E309" i="20" s="1"/>
  <c r="F309" i="20" s="1"/>
  <c r="AA309" i="20" s="1"/>
  <c r="Z309" i="20" s="1"/>
  <c r="Y309" i="20" s="1"/>
  <c r="B309" i="20"/>
  <c r="W305" i="20"/>
  <c r="B305" i="20"/>
  <c r="B297" i="20"/>
  <c r="W297" i="20" s="1"/>
  <c r="B293" i="20"/>
  <c r="D293" i="20" s="1"/>
  <c r="E293" i="20" s="1"/>
  <c r="F293" i="20" s="1"/>
  <c r="G293" i="20" s="1"/>
  <c r="CB293" i="6" s="1"/>
  <c r="W285" i="20"/>
  <c r="W281" i="20"/>
  <c r="B281" i="20"/>
  <c r="W277" i="20"/>
  <c r="B277" i="20"/>
  <c r="D265" i="20"/>
  <c r="E265" i="20" s="1"/>
  <c r="F265" i="20" s="1"/>
  <c r="G265" i="20" s="1"/>
  <c r="CB265" i="6" s="1"/>
  <c r="B265" i="20"/>
  <c r="W261" i="20"/>
  <c r="B261" i="20"/>
  <c r="W257" i="20"/>
  <c r="B257" i="20"/>
  <c r="W253" i="20"/>
  <c r="B253" i="20"/>
  <c r="D245" i="20"/>
  <c r="E245" i="20" s="1"/>
  <c r="F245" i="20" s="1"/>
  <c r="AA245" i="20" s="1"/>
  <c r="Z245" i="20" s="1"/>
  <c r="Y245" i="20" s="1"/>
  <c r="B245" i="20"/>
  <c r="W237" i="20"/>
  <c r="B237" i="20"/>
  <c r="W233" i="20"/>
  <c r="B233" i="20"/>
  <c r="D229" i="20"/>
  <c r="E229" i="20" s="1"/>
  <c r="F229" i="20" s="1"/>
  <c r="G229" i="20" s="1"/>
  <c r="CB229" i="6" s="1"/>
  <c r="B229" i="20"/>
  <c r="D217" i="20"/>
  <c r="E217" i="20" s="1"/>
  <c r="F217" i="20" s="1"/>
  <c r="G217" i="20" s="1"/>
  <c r="CB217" i="6" s="1"/>
  <c r="D205" i="20"/>
  <c r="E205" i="20" s="1"/>
  <c r="F205" i="20" s="1"/>
  <c r="B205" i="20"/>
  <c r="D197" i="20"/>
  <c r="E197" i="20" s="1"/>
  <c r="F197" i="20" s="1"/>
  <c r="B185" i="20"/>
  <c r="W185" i="20" s="1"/>
  <c r="B173" i="20"/>
  <c r="W173" i="20" s="1"/>
  <c r="B141" i="20"/>
  <c r="W141" i="20" s="1"/>
  <c r="B133" i="20"/>
  <c r="W133" i="20" s="1"/>
  <c r="B125" i="20"/>
  <c r="D125" i="20" s="1"/>
  <c r="E125" i="20" s="1"/>
  <c r="F125" i="20" s="1"/>
  <c r="H125" i="20" s="1"/>
  <c r="B109" i="20"/>
  <c r="D109" i="20" s="1"/>
  <c r="E109" i="20" s="1"/>
  <c r="F109" i="20" s="1"/>
  <c r="B101" i="20"/>
  <c r="W101" i="20" s="1"/>
  <c r="W61" i="20"/>
  <c r="B61" i="20"/>
  <c r="D53" i="20"/>
  <c r="E53" i="20" s="1"/>
  <c r="F53" i="20" s="1"/>
  <c r="B53" i="20"/>
  <c r="D37" i="20"/>
  <c r="E37" i="20" s="1"/>
  <c r="F37" i="20" s="1"/>
  <c r="B37" i="20"/>
  <c r="D372" i="20"/>
  <c r="E372" i="20" s="1"/>
  <c r="F372" i="20" s="1"/>
  <c r="B372" i="20"/>
  <c r="W368" i="20"/>
  <c r="B364" i="20"/>
  <c r="D364" i="20" s="1"/>
  <c r="E364" i="20" s="1"/>
  <c r="F364" i="20" s="1"/>
  <c r="H364" i="20" s="1"/>
  <c r="W340" i="20"/>
  <c r="B340" i="20"/>
  <c r="D336" i="20"/>
  <c r="E336" i="20" s="1"/>
  <c r="F336" i="20" s="1"/>
  <c r="B336" i="20"/>
  <c r="W332" i="20"/>
  <c r="B332" i="20"/>
  <c r="D328" i="20"/>
  <c r="E328" i="20" s="1"/>
  <c r="F328" i="20" s="1"/>
  <c r="B324" i="20"/>
  <c r="W324" i="20" s="1"/>
  <c r="B312" i="20"/>
  <c r="D312" i="20" s="1"/>
  <c r="E312" i="20" s="1"/>
  <c r="F312" i="20" s="1"/>
  <c r="B296" i="20"/>
  <c r="W296" i="20" s="1"/>
  <c r="B292" i="20"/>
  <c r="D292" i="20" s="1"/>
  <c r="E292" i="20" s="1"/>
  <c r="F292" i="20" s="1"/>
  <c r="B280" i="20"/>
  <c r="W280" i="20" s="1"/>
  <c r="B276" i="20"/>
  <c r="D276" i="20" s="1"/>
  <c r="E276" i="20" s="1"/>
  <c r="F276" i="20" s="1"/>
  <c r="B264" i="20"/>
  <c r="D264" i="20" s="1"/>
  <c r="E264" i="20" s="1"/>
  <c r="F264" i="20" s="1"/>
  <c r="G264" i="20" s="1"/>
  <c r="CB264" i="6" s="1"/>
  <c r="B260" i="20"/>
  <c r="W260" i="20" s="1"/>
  <c r="B256" i="20"/>
  <c r="D256" i="20" s="1"/>
  <c r="E256" i="20" s="1"/>
  <c r="F256" i="20" s="1"/>
  <c r="H256" i="20" s="1"/>
  <c r="B252" i="20"/>
  <c r="W252" i="20" s="1"/>
  <c r="B248" i="20"/>
  <c r="D248" i="20" s="1"/>
  <c r="E248" i="20" s="1"/>
  <c r="F248" i="20" s="1"/>
  <c r="G248" i="20" s="1"/>
  <c r="CB248" i="6" s="1"/>
  <c r="B244" i="20"/>
  <c r="D244" i="20" s="1"/>
  <c r="E244" i="20" s="1"/>
  <c r="F244" i="20" s="1"/>
  <c r="B236" i="20"/>
  <c r="D236" i="20" s="1"/>
  <c r="E236" i="20" s="1"/>
  <c r="F236" i="20" s="1"/>
  <c r="G236" i="20" s="1"/>
  <c r="CB236" i="6" s="1"/>
  <c r="B232" i="20"/>
  <c r="D232" i="20" s="1"/>
  <c r="E232" i="20" s="1"/>
  <c r="F232" i="20" s="1"/>
  <c r="B224" i="20"/>
  <c r="D224" i="20" s="1"/>
  <c r="E224" i="20" s="1"/>
  <c r="F224" i="20" s="1"/>
  <c r="H224" i="20" s="1"/>
  <c r="B216" i="20"/>
  <c r="D216" i="20" s="1"/>
  <c r="E216" i="20" s="1"/>
  <c r="F216" i="20" s="1"/>
  <c r="B212" i="20"/>
  <c r="W212" i="20" s="1"/>
  <c r="B204" i="20"/>
  <c r="W204" i="20" s="1"/>
  <c r="B200" i="20"/>
  <c r="W200" i="20" s="1"/>
  <c r="B192" i="20"/>
  <c r="W192" i="20" s="1"/>
  <c r="D184" i="20"/>
  <c r="E184" i="20" s="1"/>
  <c r="F184" i="20" s="1"/>
  <c r="G184" i="20" s="1"/>
  <c r="CB184" i="6" s="1"/>
  <c r="B184" i="20"/>
  <c r="D176" i="20"/>
  <c r="E176" i="20" s="1"/>
  <c r="F176" i="20" s="1"/>
  <c r="H176" i="20" s="1"/>
  <c r="B176" i="20"/>
  <c r="D155" i="20"/>
  <c r="E155" i="20" s="1"/>
  <c r="F155" i="20" s="1"/>
  <c r="G155" i="20" s="1"/>
  <c r="CB155" i="6" s="1"/>
  <c r="B155" i="20"/>
  <c r="W147" i="20"/>
  <c r="B147" i="20"/>
  <c r="W131" i="20"/>
  <c r="B115" i="20"/>
  <c r="D115" i="20" s="1"/>
  <c r="E115" i="20" s="1"/>
  <c r="F115" i="20" s="1"/>
  <c r="W99" i="20"/>
  <c r="D83" i="20"/>
  <c r="E83" i="20" s="1"/>
  <c r="F83" i="20" s="1"/>
  <c r="B67" i="20"/>
  <c r="D67" i="20" s="1"/>
  <c r="E67" i="20" s="1"/>
  <c r="F67" i="20" s="1"/>
  <c r="H67" i="20" s="1"/>
  <c r="B51" i="20"/>
  <c r="W51" i="20" s="1"/>
  <c r="W43" i="20"/>
  <c r="F65" i="19"/>
  <c r="B139" i="20"/>
  <c r="B123" i="20"/>
  <c r="W112" i="20"/>
  <c r="B112" i="20"/>
  <c r="W88" i="20"/>
  <c r="B268" i="20"/>
  <c r="D138" i="20"/>
  <c r="E138" i="20" s="1"/>
  <c r="F138" i="20" s="1"/>
  <c r="B138" i="20"/>
  <c r="W90" i="20"/>
  <c r="B90" i="20"/>
  <c r="W106" i="20"/>
  <c r="B106" i="20"/>
  <c r="W375" i="20"/>
  <c r="B375" i="20"/>
  <c r="D371" i="20"/>
  <c r="E371" i="20" s="1"/>
  <c r="F371" i="20" s="1"/>
  <c r="B359" i="20"/>
  <c r="D359" i="20" s="1"/>
  <c r="E359" i="20" s="1"/>
  <c r="F359" i="20" s="1"/>
  <c r="H359" i="20" s="1"/>
  <c r="B355" i="20"/>
  <c r="W355" i="20" s="1"/>
  <c r="B351" i="20"/>
  <c r="W351" i="20" s="1"/>
  <c r="B347" i="20"/>
  <c r="W347" i="20" s="1"/>
  <c r="W331" i="20"/>
  <c r="B331" i="20"/>
  <c r="D311" i="20"/>
  <c r="E311" i="20" s="1"/>
  <c r="F311" i="20" s="1"/>
  <c r="AA311" i="20" s="1"/>
  <c r="Z311" i="20" s="1"/>
  <c r="Y311" i="20" s="1"/>
  <c r="B311" i="20"/>
  <c r="W307" i="20"/>
  <c r="B303" i="20"/>
  <c r="B299" i="20"/>
  <c r="W299" i="20" s="1"/>
  <c r="B287" i="20"/>
  <c r="D287" i="20" s="1"/>
  <c r="E287" i="20" s="1"/>
  <c r="F287" i="20" s="1"/>
  <c r="W283" i="20"/>
  <c r="W279" i="20"/>
  <c r="B279" i="20"/>
  <c r="D275" i="20"/>
  <c r="E275" i="20" s="1"/>
  <c r="F275" i="20" s="1"/>
  <c r="B275" i="20"/>
  <c r="W263" i="20"/>
  <c r="B263" i="20"/>
  <c r="D259" i="20"/>
  <c r="E259" i="20" s="1"/>
  <c r="F259" i="20" s="1"/>
  <c r="B259" i="20"/>
  <c r="D243" i="20"/>
  <c r="E243" i="20" s="1"/>
  <c r="F243" i="20" s="1"/>
  <c r="B235" i="20"/>
  <c r="D235" i="20" s="1"/>
  <c r="E235" i="20" s="1"/>
  <c r="F235" i="20" s="1"/>
  <c r="G235" i="20" s="1"/>
  <c r="CB235" i="6" s="1"/>
  <c r="D215" i="20"/>
  <c r="E215" i="20" s="1"/>
  <c r="F215" i="20" s="1"/>
  <c r="D203" i="20"/>
  <c r="E203" i="20" s="1"/>
  <c r="F203" i="20" s="1"/>
  <c r="W199" i="20"/>
  <c r="B195" i="20"/>
  <c r="D195" i="20" s="1"/>
  <c r="E195" i="20" s="1"/>
  <c r="F195" i="20" s="1"/>
  <c r="B183" i="20"/>
  <c r="W183" i="20" s="1"/>
  <c r="B153" i="20"/>
  <c r="W153" i="20" s="1"/>
  <c r="B129" i="20"/>
  <c r="D129" i="20" s="1"/>
  <c r="E129" i="20" s="1"/>
  <c r="F129" i="20" s="1"/>
  <c r="G129" i="20" s="1"/>
  <c r="CB129" i="6" s="1"/>
  <c r="B121" i="20"/>
  <c r="W121" i="20" s="1"/>
  <c r="B113" i="20"/>
  <c r="W113" i="20" s="1"/>
  <c r="B97" i="20"/>
  <c r="D97" i="20" s="1"/>
  <c r="E97" i="20" s="1"/>
  <c r="F97" i="20" s="1"/>
  <c r="B73" i="20"/>
  <c r="W73" i="20" s="1"/>
  <c r="B65" i="20"/>
  <c r="D65" i="20" s="1"/>
  <c r="E65" i="20" s="1"/>
  <c r="F65" i="20" s="1"/>
  <c r="B378" i="20"/>
  <c r="W378" i="20" s="1"/>
  <c r="B366" i="20"/>
  <c r="B362" i="20"/>
  <c r="W362" i="20" s="1"/>
  <c r="B358" i="20"/>
  <c r="B354" i="20"/>
  <c r="W354" i="20" s="1"/>
  <c r="B346" i="20"/>
  <c r="D346" i="20" s="1"/>
  <c r="E346" i="20" s="1"/>
  <c r="F346" i="20" s="1"/>
  <c r="B342" i="20"/>
  <c r="W342" i="20" s="1"/>
  <c r="B338" i="20"/>
  <c r="D338" i="20" s="1"/>
  <c r="E338" i="20" s="1"/>
  <c r="F338" i="20" s="1"/>
  <c r="B330" i="20"/>
  <c r="W330" i="20" s="1"/>
  <c r="B326" i="20"/>
  <c r="W326" i="20" s="1"/>
  <c r="B318" i="20"/>
  <c r="B314" i="20"/>
  <c r="W314" i="20" s="1"/>
  <c r="B310" i="20"/>
  <c r="D310" i="20" s="1"/>
  <c r="E310" i="20" s="1"/>
  <c r="F310" i="20" s="1"/>
  <c r="G310" i="20" s="1"/>
  <c r="CB310" i="6" s="1"/>
  <c r="B306" i="20"/>
  <c r="W306" i="20" s="1"/>
  <c r="B298" i="20"/>
  <c r="W298" i="20" s="1"/>
  <c r="B294" i="20"/>
  <c r="B290" i="20"/>
  <c r="B286" i="20"/>
  <c r="B282" i="20"/>
  <c r="W282" i="20" s="1"/>
  <c r="B278" i="20"/>
  <c r="D278" i="20" s="1"/>
  <c r="E278" i="20" s="1"/>
  <c r="F278" i="20" s="1"/>
  <c r="B274" i="20"/>
  <c r="D274" i="20" s="1"/>
  <c r="E274" i="20" s="1"/>
  <c r="F274" i="20" s="1"/>
  <c r="B266" i="20"/>
  <c r="B250" i="20"/>
  <c r="W250" i="20" s="1"/>
  <c r="B246" i="20"/>
  <c r="D246" i="20" s="1"/>
  <c r="E246" i="20" s="1"/>
  <c r="F246" i="20" s="1"/>
  <c r="B242" i="20"/>
  <c r="B238" i="20"/>
  <c r="B230" i="20"/>
  <c r="W230" i="20" s="1"/>
  <c r="B222" i="20"/>
  <c r="W222" i="20" s="1"/>
  <c r="B218" i="20"/>
  <c r="B206" i="20"/>
  <c r="B202" i="20"/>
  <c r="B198" i="20"/>
  <c r="W198" i="20" s="1"/>
  <c r="B194" i="20"/>
  <c r="W194" i="20" s="1"/>
  <c r="B190" i="20"/>
  <c r="D190" i="20" s="1"/>
  <c r="E190" i="20" s="1"/>
  <c r="F190" i="20" s="1"/>
  <c r="B186" i="20"/>
  <c r="W174" i="20"/>
  <c r="B174" i="20"/>
  <c r="W167" i="20"/>
  <c r="B167" i="20"/>
  <c r="D103" i="20"/>
  <c r="E103" i="20" s="1"/>
  <c r="F103" i="20" s="1"/>
  <c r="B103" i="20"/>
  <c r="W79" i="20"/>
  <c r="B79" i="20"/>
  <c r="W63" i="20"/>
  <c r="B55" i="20"/>
  <c r="W55" i="20" s="1"/>
  <c r="B39" i="20"/>
  <c r="D39" i="20" s="1"/>
  <c r="E39" i="20" s="1"/>
  <c r="F39" i="20" s="1"/>
  <c r="G39" i="20" s="1"/>
  <c r="CB39" i="6" s="1"/>
  <c r="I65" i="19"/>
  <c r="B251" i="20"/>
  <c r="F201" i="18"/>
  <c r="B201" i="20"/>
  <c r="F107" i="18"/>
  <c r="B107" i="20"/>
  <c r="G65" i="19"/>
  <c r="B193" i="20"/>
  <c r="B100" i="20"/>
  <c r="W100" i="20" s="1"/>
  <c r="B44" i="20"/>
  <c r="D44" i="20" s="1"/>
  <c r="E44" i="20" s="1"/>
  <c r="F44" i="20" s="1"/>
  <c r="G44" i="20" s="1"/>
  <c r="CB44" i="6" s="1"/>
  <c r="B52" i="20"/>
  <c r="B76" i="20"/>
  <c r="D76" i="20" s="1"/>
  <c r="E76" i="20" s="1"/>
  <c r="F76" i="20" s="1"/>
  <c r="H76" i="20" s="1"/>
  <c r="B84" i="20"/>
  <c r="B92" i="20"/>
  <c r="D92" i="20" s="1"/>
  <c r="E92" i="20" s="1"/>
  <c r="F92" i="20" s="1"/>
  <c r="B108" i="20"/>
  <c r="W108" i="20" s="1"/>
  <c r="B116" i="20"/>
  <c r="B124" i="20"/>
  <c r="D124" i="20" s="1"/>
  <c r="E124" i="20" s="1"/>
  <c r="F124" i="20" s="1"/>
  <c r="G124" i="20" s="1"/>
  <c r="CB124" i="6" s="1"/>
  <c r="B132" i="20"/>
  <c r="B148" i="20"/>
  <c r="W148" i="20" s="1"/>
  <c r="B156" i="20"/>
  <c r="D156" i="20" s="1"/>
  <c r="E156" i="20" s="1"/>
  <c r="F156" i="20" s="1"/>
  <c r="G156" i="20" s="1"/>
  <c r="CB156" i="6" s="1"/>
  <c r="B164" i="20"/>
  <c r="W164" i="20" s="1"/>
  <c r="B172" i="20"/>
  <c r="B54" i="20"/>
  <c r="W54" i="20" s="1"/>
  <c r="B70" i="20"/>
  <c r="B102" i="20"/>
  <c r="D102" i="20" s="1"/>
  <c r="E102" i="20" s="1"/>
  <c r="F102" i="20" s="1"/>
  <c r="B118" i="20"/>
  <c r="B134" i="20"/>
  <c r="W134" i="20" s="1"/>
  <c r="B150" i="20"/>
  <c r="D210" i="18"/>
  <c r="E210" i="18" s="1"/>
  <c r="F210" i="18" s="1"/>
  <c r="G210" i="18" s="1"/>
  <c r="CA210" i="6" s="1"/>
  <c r="B210" i="20"/>
  <c r="D210" i="20" s="1"/>
  <c r="E210" i="20" s="1"/>
  <c r="F210" i="20" s="1"/>
  <c r="F34" i="20"/>
  <c r="B178" i="20"/>
  <c r="D178" i="20" s="1"/>
  <c r="E178" i="20" s="1"/>
  <c r="F178" i="20" s="1"/>
  <c r="B356" i="20"/>
  <c r="D356" i="20" s="1"/>
  <c r="E356" i="20" s="1"/>
  <c r="F356" i="20" s="1"/>
  <c r="B209" i="20"/>
  <c r="D209" i="20" s="1"/>
  <c r="E209" i="20" s="1"/>
  <c r="F209" i="20" s="1"/>
  <c r="G209" i="20" s="1"/>
  <c r="CB209" i="6" s="1"/>
  <c r="B343" i="20"/>
  <c r="D343" i="20" s="1"/>
  <c r="E343" i="20" s="1"/>
  <c r="F343" i="20" s="1"/>
  <c r="B301" i="20"/>
  <c r="D301" i="20" s="1"/>
  <c r="E301" i="20" s="1"/>
  <c r="F301" i="20" s="1"/>
  <c r="G301" i="20" s="1"/>
  <c r="CB301" i="6" s="1"/>
  <c r="B243" i="20"/>
  <c r="B211" i="20"/>
  <c r="B63" i="20"/>
  <c r="B69" i="20"/>
  <c r="W69" i="20" s="1"/>
  <c r="B88" i="20"/>
  <c r="B188" i="20"/>
  <c r="D188" i="20" s="1"/>
  <c r="E188" i="20" s="1"/>
  <c r="F188" i="20" s="1"/>
  <c r="B307" i="20"/>
  <c r="B207" i="20"/>
  <c r="W207" i="20" s="1"/>
  <c r="B83" i="20"/>
  <c r="B349" i="20"/>
  <c r="W349" i="20" s="1"/>
  <c r="B219" i="20"/>
  <c r="W219" i="20" s="1"/>
  <c r="B159" i="20"/>
  <c r="D159" i="20" s="1"/>
  <c r="E159" i="20" s="1"/>
  <c r="F159" i="20" s="1"/>
  <c r="G159" i="20" s="1"/>
  <c r="CB159" i="6" s="1"/>
  <c r="B111" i="20"/>
  <c r="D111" i="20" s="1"/>
  <c r="E111" i="20" s="1"/>
  <c r="F111" i="20" s="1"/>
  <c r="AE132" i="22"/>
  <c r="AE124" i="22"/>
  <c r="AE116" i="22"/>
  <c r="AE108" i="22"/>
  <c r="AE100" i="22"/>
  <c r="AE92" i="22"/>
  <c r="AE84" i="22"/>
  <c r="AE76" i="22"/>
  <c r="AE68" i="22"/>
  <c r="AE60" i="22"/>
  <c r="AE52" i="22"/>
  <c r="AE44" i="22"/>
  <c r="AE36" i="22"/>
  <c r="AE28" i="22"/>
  <c r="AE20" i="22"/>
  <c r="AE383" i="22" s="1"/>
  <c r="AE377" i="22"/>
  <c r="AE369" i="22"/>
  <c r="AE361" i="22"/>
  <c r="AE353" i="22"/>
  <c r="AE345" i="22"/>
  <c r="AE337" i="22"/>
  <c r="AE329" i="22"/>
  <c r="AE321" i="22"/>
  <c r="AE313" i="22"/>
  <c r="AE305" i="22"/>
  <c r="AE297" i="22"/>
  <c r="AE289" i="22"/>
  <c r="AE281" i="22"/>
  <c r="AE273" i="22"/>
  <c r="AE265" i="22"/>
  <c r="AE257" i="22"/>
  <c r="AE243" i="22"/>
  <c r="AE227" i="22"/>
  <c r="AE211" i="22"/>
  <c r="AE195" i="22"/>
  <c r="AE179" i="22"/>
  <c r="AE163" i="22"/>
  <c r="AE147" i="22"/>
  <c r="AE131" i="22"/>
  <c r="AE115" i="22"/>
  <c r="AE99" i="22"/>
  <c r="AE83" i="22"/>
  <c r="AE67" i="22"/>
  <c r="AE51" i="22"/>
  <c r="AE35" i="22"/>
  <c r="AE18" i="22"/>
  <c r="I266" i="18"/>
  <c r="F146" i="20"/>
  <c r="Q44" i="22"/>
  <c r="Q381" i="22" s="1"/>
  <c r="Q76" i="22"/>
  <c r="Q74" i="22"/>
  <c r="Q54" i="22"/>
  <c r="Q108" i="22"/>
  <c r="Q90" i="22"/>
  <c r="Q176" i="22"/>
  <c r="Q217" i="22"/>
  <c r="Q249" i="22"/>
  <c r="Q281" i="22"/>
  <c r="Q313" i="22"/>
  <c r="Q331" i="22"/>
  <c r="Q347" i="22"/>
  <c r="Q363" i="22"/>
  <c r="Q379" i="22"/>
  <c r="Q12" i="23" s="1"/>
  <c r="AS15" i="7" s="1"/>
  <c r="Q302" i="22"/>
  <c r="Q286" i="22"/>
  <c r="Q256" i="22"/>
  <c r="Q224" i="22"/>
  <c r="Q190" i="22"/>
  <c r="Q118" i="22"/>
  <c r="Q223" i="22"/>
  <c r="Q130" i="22"/>
  <c r="Q348" i="22"/>
  <c r="P86" i="20"/>
  <c r="V86" i="20" s="1"/>
  <c r="P114" i="20"/>
  <c r="V114" i="20" s="1"/>
  <c r="J136" i="18"/>
  <c r="J190" i="18"/>
  <c r="J72" i="18"/>
  <c r="J78" i="18"/>
  <c r="J45" i="18"/>
  <c r="J218" i="18"/>
  <c r="J173" i="18"/>
  <c r="I273" i="18"/>
  <c r="J57" i="18"/>
  <c r="I166" i="18"/>
  <c r="I228" i="18"/>
  <c r="J142" i="18"/>
  <c r="I97" i="18"/>
  <c r="J17" i="18"/>
  <c r="J198" i="18"/>
  <c r="H34" i="18"/>
  <c r="I34" i="18" s="1"/>
  <c r="AA34" i="18"/>
  <c r="Z34" i="18" s="1"/>
  <c r="Y34" i="18" s="1"/>
  <c r="W34" i="20"/>
  <c r="D54" i="20"/>
  <c r="E54" i="20" s="1"/>
  <c r="F54" i="20" s="1"/>
  <c r="G54" i="20" s="1"/>
  <c r="CB54" i="6" s="1"/>
  <c r="Q78" i="22"/>
  <c r="Q380" i="22"/>
  <c r="Q364" i="22"/>
  <c r="Q356" i="22"/>
  <c r="Q275" i="22"/>
  <c r="Q368" i="22"/>
  <c r="Q352" i="22"/>
  <c r="Q322" i="22"/>
  <c r="Q211" i="22"/>
  <c r="Q374" i="22"/>
  <c r="Q366" i="22"/>
  <c r="Q358" i="22"/>
  <c r="Q350" i="22"/>
  <c r="Q334" i="22"/>
  <c r="Q318" i="22"/>
  <c r="Q287" i="22"/>
  <c r="Q164" i="22"/>
  <c r="Q344" i="22"/>
  <c r="Q336" i="22"/>
  <c r="Q328" i="22"/>
  <c r="Q320" i="22"/>
  <c r="Q307" i="22"/>
  <c r="Q291" i="22"/>
  <c r="Q259" i="22"/>
  <c r="Q195" i="22"/>
  <c r="Q279" i="22"/>
  <c r="Q251" i="22"/>
  <c r="Q219" i="22"/>
  <c r="Q180" i="22"/>
  <c r="Q98" i="22"/>
  <c r="Q263" i="22"/>
  <c r="Q247" i="22"/>
  <c r="Q231" i="22"/>
  <c r="Q215" i="22"/>
  <c r="Q199" i="22"/>
  <c r="Q172" i="22"/>
  <c r="Q140" i="22"/>
  <c r="Q16" i="22"/>
  <c r="Q62" i="22"/>
  <c r="Q94" i="22"/>
  <c r="Q110" i="22"/>
  <c r="Q126" i="22"/>
  <c r="Q138" i="22"/>
  <c r="Q146" i="22"/>
  <c r="Q154" i="22"/>
  <c r="Q162" i="22"/>
  <c r="Q170" i="22"/>
  <c r="Q178" i="22"/>
  <c r="Q186" i="22"/>
  <c r="Q194" i="22"/>
  <c r="Q198" i="22"/>
  <c r="Q202" i="22"/>
  <c r="Q206" i="22"/>
  <c r="Q210" i="22"/>
  <c r="Q214" i="22"/>
  <c r="Q218" i="22"/>
  <c r="Q222" i="22"/>
  <c r="Q226" i="22"/>
  <c r="Q230" i="22"/>
  <c r="Q234" i="22"/>
  <c r="Q238" i="22"/>
  <c r="Q242" i="22"/>
  <c r="Q246" i="22"/>
  <c r="Q250" i="22"/>
  <c r="Q254" i="22"/>
  <c r="Q258" i="22"/>
  <c r="Q262" i="22"/>
  <c r="Q266" i="22"/>
  <c r="Q270" i="22"/>
  <c r="Q274" i="22"/>
  <c r="Q278" i="22"/>
  <c r="Q282" i="22"/>
  <c r="Q346" i="22"/>
  <c r="Q330" i="22"/>
  <c r="Q360" i="22"/>
  <c r="Q295" i="22"/>
  <c r="Q370" i="22"/>
  <c r="Q354" i="22"/>
  <c r="Q326" i="22"/>
  <c r="Q243" i="22"/>
  <c r="Q340" i="22"/>
  <c r="Q324" i="22"/>
  <c r="Q299" i="22"/>
  <c r="Q227" i="22"/>
  <c r="Q267" i="22"/>
  <c r="Q203" i="22"/>
  <c r="Q271" i="22"/>
  <c r="Q239" i="22"/>
  <c r="Q207" i="22"/>
  <c r="Q156" i="22"/>
  <c r="Q30" i="22"/>
  <c r="Q102" i="22"/>
  <c r="Q134" i="22"/>
  <c r="Q150" i="22"/>
  <c r="Q166" i="22"/>
  <c r="Q182" i="22"/>
  <c r="Q196" i="22"/>
  <c r="Q204" i="22"/>
  <c r="Q212" i="22"/>
  <c r="Q220" i="22"/>
  <c r="Q228" i="22"/>
  <c r="Q236" i="22"/>
  <c r="Q244" i="22"/>
  <c r="Q252" i="22"/>
  <c r="Q260" i="22"/>
  <c r="Q268" i="22"/>
  <c r="Q276" i="22"/>
  <c r="Q284" i="22"/>
  <c r="Q288" i="22"/>
  <c r="Q292" i="22"/>
  <c r="Q296" i="22"/>
  <c r="Q300" i="22"/>
  <c r="Q304" i="22"/>
  <c r="Q308" i="22"/>
  <c r="Q312" i="22"/>
  <c r="Q316" i="22"/>
  <c r="Q377" i="22"/>
  <c r="Q373" i="22"/>
  <c r="Q369" i="22"/>
  <c r="Q365" i="22"/>
  <c r="Q361" i="22"/>
  <c r="Q357" i="22"/>
  <c r="Q353" i="22"/>
  <c r="Q349" i="22"/>
  <c r="Q345" i="22"/>
  <c r="Q341" i="22"/>
  <c r="Q337" i="22"/>
  <c r="Q333" i="22"/>
  <c r="Q329" i="22"/>
  <c r="Q325" i="22"/>
  <c r="Q321" i="22"/>
  <c r="Q317" i="22"/>
  <c r="Q309" i="22"/>
  <c r="Q301" i="22"/>
  <c r="Q293" i="22"/>
  <c r="Q285" i="22"/>
  <c r="Q277" i="22"/>
  <c r="Q269" i="22"/>
  <c r="Q261" i="22"/>
  <c r="Q253" i="22"/>
  <c r="Q245" i="22"/>
  <c r="Q237" i="22"/>
  <c r="Q229" i="22"/>
  <c r="Q221" i="22"/>
  <c r="Q213" i="22"/>
  <c r="Q205" i="22"/>
  <c r="Q197" i="22"/>
  <c r="Q184" i="22"/>
  <c r="Q168" i="22"/>
  <c r="Q152" i="22"/>
  <c r="Q136" i="22"/>
  <c r="Q106" i="22"/>
  <c r="Q46" i="22"/>
  <c r="Q128" i="22"/>
  <c r="Q120" i="22"/>
  <c r="Q112" i="22"/>
  <c r="Q104" i="22"/>
  <c r="Q96" i="22"/>
  <c r="Q88" i="22"/>
  <c r="Q70" i="22"/>
  <c r="Q38" i="22"/>
  <c r="Q80" i="22"/>
  <c r="Q66" i="22"/>
  <c r="Q50" i="22"/>
  <c r="Q34" i="22"/>
  <c r="Q15" i="22"/>
  <c r="Q72" i="22"/>
  <c r="Q64" i="22"/>
  <c r="Q56" i="22"/>
  <c r="Q48" i="22"/>
  <c r="Q40" i="22"/>
  <c r="Q32" i="22"/>
  <c r="Q24" i="22"/>
  <c r="AO15" i="7"/>
  <c r="AE19" i="22"/>
  <c r="AE21" i="22"/>
  <c r="AE25" i="22"/>
  <c r="AE29" i="22"/>
  <c r="AE33" i="22"/>
  <c r="AE37" i="22"/>
  <c r="AE41" i="22"/>
  <c r="AE45" i="22"/>
  <c r="AE49" i="22"/>
  <c r="AE53" i="22"/>
  <c r="AE57" i="22"/>
  <c r="AE61" i="22"/>
  <c r="AE65" i="22"/>
  <c r="AE69" i="22"/>
  <c r="AE73" i="22"/>
  <c r="AE77" i="22"/>
  <c r="AE81" i="22"/>
  <c r="AE85" i="22"/>
  <c r="AE89" i="22"/>
  <c r="AE93" i="22"/>
  <c r="AE97" i="22"/>
  <c r="AE101" i="22"/>
  <c r="AE105" i="22"/>
  <c r="AE109" i="22"/>
  <c r="AE113" i="22"/>
  <c r="AE117" i="22"/>
  <c r="AE121" i="22"/>
  <c r="AE125" i="22"/>
  <c r="AE129" i="22"/>
  <c r="AE133" i="22"/>
  <c r="AE137" i="22"/>
  <c r="AE141" i="22"/>
  <c r="AE145" i="22"/>
  <c r="AE149" i="22"/>
  <c r="AE153" i="22"/>
  <c r="AE157" i="22"/>
  <c r="AE161" i="22"/>
  <c r="AE165" i="22"/>
  <c r="AE169" i="22"/>
  <c r="AE173" i="22"/>
  <c r="AE177" i="22"/>
  <c r="AE181" i="22"/>
  <c r="AE185" i="22"/>
  <c r="AE189" i="22"/>
  <c r="AE193" i="22"/>
  <c r="AE197" i="22"/>
  <c r="AE201" i="22"/>
  <c r="AE205" i="22"/>
  <c r="AE209" i="22"/>
  <c r="AE213" i="22"/>
  <c r="AE217" i="22"/>
  <c r="AE221" i="22"/>
  <c r="AE225" i="22"/>
  <c r="AE229" i="22"/>
  <c r="AE233" i="22"/>
  <c r="AE237" i="22"/>
  <c r="AE241" i="22"/>
  <c r="AE245" i="22"/>
  <c r="AE249" i="22"/>
  <c r="AE253" i="22"/>
  <c r="G188" i="18"/>
  <c r="CA188" i="6" s="1"/>
  <c r="H188" i="18"/>
  <c r="J188" i="18" s="1"/>
  <c r="I69" i="18"/>
  <c r="J69" i="18"/>
  <c r="Q17" i="22"/>
  <c r="Q21" i="22"/>
  <c r="Q25" i="22"/>
  <c r="Q29" i="22"/>
  <c r="Q33" i="22"/>
  <c r="Q37" i="22"/>
  <c r="Q41" i="22"/>
  <c r="Q45" i="22"/>
  <c r="Q49" i="22"/>
  <c r="Q53" i="22"/>
  <c r="Q57" i="22"/>
  <c r="Q61" i="22"/>
  <c r="Q65" i="22"/>
  <c r="Q69" i="22"/>
  <c r="Q73" i="22"/>
  <c r="Q77" i="22"/>
  <c r="Q81" i="22"/>
  <c r="Q85" i="22"/>
  <c r="Q89" i="22"/>
  <c r="Q93" i="22"/>
  <c r="Q97" i="22"/>
  <c r="Q101" i="22"/>
  <c r="Q105" i="22"/>
  <c r="Q109" i="22"/>
  <c r="Q113" i="22"/>
  <c r="Q117" i="22"/>
  <c r="Q121" i="22"/>
  <c r="Q125" i="22"/>
  <c r="Q129" i="22"/>
  <c r="Q133" i="22"/>
  <c r="Q137" i="22"/>
  <c r="Q141" i="22"/>
  <c r="Q145" i="22"/>
  <c r="Q149" i="22"/>
  <c r="Q153" i="22"/>
  <c r="Q157" i="22"/>
  <c r="Q161" i="22"/>
  <c r="Q165" i="22"/>
  <c r="Q169" i="22"/>
  <c r="Q173" i="22"/>
  <c r="Q177" i="22"/>
  <c r="Q181" i="22"/>
  <c r="Q185" i="22"/>
  <c r="Q189" i="22"/>
  <c r="Q193" i="22"/>
  <c r="AE378" i="22"/>
  <c r="AE374" i="22"/>
  <c r="AE370" i="22"/>
  <c r="AE366" i="22"/>
  <c r="AE362" i="22"/>
  <c r="AE358" i="22"/>
  <c r="AE354" i="22"/>
  <c r="AE350" i="22"/>
  <c r="AE346" i="22"/>
  <c r="AE342" i="22"/>
  <c r="AE338" i="22"/>
  <c r="AE334" i="22"/>
  <c r="AE330" i="22"/>
  <c r="AE326" i="22"/>
  <c r="AE322" i="22"/>
  <c r="AE318" i="22"/>
  <c r="AE314" i="22"/>
  <c r="AE310" i="22"/>
  <c r="AE306" i="22"/>
  <c r="AE302" i="22"/>
  <c r="AE298" i="22"/>
  <c r="AE294" i="22"/>
  <c r="AE290" i="22"/>
  <c r="AE286" i="22"/>
  <c r="AE282" i="22"/>
  <c r="AE278" i="22"/>
  <c r="AE274" i="22"/>
  <c r="AE270" i="22"/>
  <c r="AE266" i="22"/>
  <c r="AE262" i="22"/>
  <c r="AE258" i="22"/>
  <c r="AE254" i="22"/>
  <c r="AE250" i="22"/>
  <c r="AE246" i="22"/>
  <c r="AE242" i="22"/>
  <c r="AE238" i="22"/>
  <c r="AE234" i="22"/>
  <c r="AE230" i="22"/>
  <c r="AE226" i="22"/>
  <c r="AE222" i="22"/>
  <c r="AE218" i="22"/>
  <c r="AE214" i="22"/>
  <c r="AE210" i="22"/>
  <c r="AE206" i="22"/>
  <c r="AE202" i="22"/>
  <c r="AE198" i="22"/>
  <c r="AE194" i="22"/>
  <c r="AE190" i="22"/>
  <c r="AE186" i="22"/>
  <c r="AE182" i="22"/>
  <c r="AE178" i="22"/>
  <c r="AE174" i="22"/>
  <c r="AE170" i="22"/>
  <c r="AE166" i="22"/>
  <c r="AE162" i="22"/>
  <c r="AE158" i="22"/>
  <c r="AE154" i="22"/>
  <c r="AE150" i="22"/>
  <c r="AE146" i="22"/>
  <c r="AE142" i="22"/>
  <c r="AE138" i="22"/>
  <c r="AE134" i="22"/>
  <c r="AE130" i="22"/>
  <c r="AE126" i="22"/>
  <c r="AE122" i="22"/>
  <c r="AE118" i="22"/>
  <c r="AE114" i="22"/>
  <c r="AE110" i="22"/>
  <c r="AE106" i="22"/>
  <c r="AE102" i="22"/>
  <c r="AE98" i="22"/>
  <c r="AE94" i="22"/>
  <c r="AE90" i="22"/>
  <c r="AE86" i="22"/>
  <c r="AE82" i="22"/>
  <c r="AE78" i="22"/>
  <c r="AE74" i="22"/>
  <c r="AE70" i="22"/>
  <c r="AE66" i="22"/>
  <c r="AE62" i="22"/>
  <c r="AE58" i="22"/>
  <c r="AE54" i="22"/>
  <c r="AE50" i="22"/>
  <c r="AE46" i="22"/>
  <c r="AE42" i="22"/>
  <c r="AE38" i="22"/>
  <c r="AE34" i="22"/>
  <c r="AE30" i="22"/>
  <c r="AE26" i="22"/>
  <c r="AE22" i="22"/>
  <c r="AE16" i="22"/>
  <c r="AE379" i="22"/>
  <c r="AE12" i="23" s="1"/>
  <c r="AE375" i="22"/>
  <c r="AE371" i="22"/>
  <c r="AE367" i="22"/>
  <c r="AE363" i="22"/>
  <c r="AE359" i="22"/>
  <c r="AE355" i="22"/>
  <c r="AE351" i="22"/>
  <c r="AE347" i="22"/>
  <c r="AE343" i="22"/>
  <c r="AE339" i="22"/>
  <c r="AE335" i="22"/>
  <c r="AE331" i="22"/>
  <c r="AE327" i="22"/>
  <c r="AE323" i="22"/>
  <c r="AE319" i="22"/>
  <c r="AE315" i="22"/>
  <c r="AE311" i="22"/>
  <c r="AE307" i="22"/>
  <c r="AE303" i="22"/>
  <c r="AE299" i="22"/>
  <c r="AE295" i="22"/>
  <c r="AE291" i="22"/>
  <c r="AE287" i="22"/>
  <c r="AE283" i="22"/>
  <c r="AE279" i="22"/>
  <c r="AE275" i="22"/>
  <c r="AE271" i="22"/>
  <c r="AE267" i="22"/>
  <c r="AE263" i="22"/>
  <c r="AE259" i="22"/>
  <c r="AE255" i="22"/>
  <c r="AE247" i="22"/>
  <c r="AE239" i="22"/>
  <c r="AE231" i="22"/>
  <c r="AE223" i="22"/>
  <c r="AE215" i="22"/>
  <c r="AE207" i="22"/>
  <c r="AE199" i="22"/>
  <c r="AE191" i="22"/>
  <c r="AE183" i="22"/>
  <c r="AE175" i="22"/>
  <c r="AE167" i="22"/>
  <c r="AE159" i="22"/>
  <c r="AE151" i="22"/>
  <c r="AE143" i="22"/>
  <c r="AE135" i="22"/>
  <c r="AE127" i="22"/>
  <c r="AE119" i="22"/>
  <c r="AE111" i="22"/>
  <c r="AE103" i="22"/>
  <c r="AE95" i="22"/>
  <c r="AE87" i="22"/>
  <c r="AE79" i="22"/>
  <c r="AE71" i="22"/>
  <c r="AE63" i="22"/>
  <c r="AE55" i="22"/>
  <c r="AE47" i="22"/>
  <c r="AE39" i="22"/>
  <c r="AE31" i="22"/>
  <c r="AE23" i="22"/>
  <c r="AE17" i="22"/>
  <c r="I102" i="18"/>
  <c r="Q20" i="22"/>
  <c r="Q36" i="22"/>
  <c r="Q52" i="22"/>
  <c r="Q68" i="22"/>
  <c r="Q26" i="22"/>
  <c r="Q58" i="22"/>
  <c r="Q84" i="22"/>
  <c r="Q22" i="22"/>
  <c r="Q82" i="22"/>
  <c r="Q100" i="22"/>
  <c r="Q116" i="22"/>
  <c r="Q132" i="22"/>
  <c r="Q122" i="22"/>
  <c r="Q160" i="22"/>
  <c r="Q192" i="22"/>
  <c r="Q209" i="22"/>
  <c r="Q225" i="22"/>
  <c r="Q241" i="22"/>
  <c r="Q257" i="22"/>
  <c r="Q273" i="22"/>
  <c r="Q289" i="22"/>
  <c r="Q305" i="22"/>
  <c r="Q319" i="22"/>
  <c r="Q327" i="22"/>
  <c r="Q335" i="22"/>
  <c r="Q343" i="22"/>
  <c r="Q351" i="22"/>
  <c r="Q359" i="22"/>
  <c r="Q367" i="22"/>
  <c r="Q375" i="22"/>
  <c r="Q314" i="22"/>
  <c r="Q306" i="22"/>
  <c r="Q298" i="22"/>
  <c r="Q290" i="22"/>
  <c r="Q280" i="22"/>
  <c r="Q264" i="22"/>
  <c r="Q248" i="22"/>
  <c r="Q232" i="22"/>
  <c r="Q216" i="22"/>
  <c r="Q200" i="22"/>
  <c r="Q174" i="22"/>
  <c r="Q142" i="22"/>
  <c r="Q86" i="22"/>
  <c r="Q188" i="22"/>
  <c r="Q255" i="22"/>
  <c r="Q235" i="22"/>
  <c r="Q283" i="22"/>
  <c r="Q332" i="22"/>
  <c r="Q303" i="22"/>
  <c r="Q362" i="22"/>
  <c r="Q338" i="22"/>
  <c r="Q372" i="22"/>
  <c r="Q311" i="22"/>
  <c r="G69" i="18"/>
  <c r="CA69" i="6" s="1"/>
  <c r="AA188" i="18"/>
  <c r="Z188" i="18" s="1"/>
  <c r="Y188" i="18" s="1"/>
  <c r="AG379" i="18"/>
  <c r="AF379" i="18" s="1"/>
  <c r="AD379" i="18" s="1"/>
  <c r="AH381" i="18"/>
  <c r="AA210" i="18"/>
  <c r="Z210" i="18" s="1"/>
  <c r="Y210" i="18" s="1"/>
  <c r="S19" i="20"/>
  <c r="R19" i="20" s="1"/>
  <c r="P19" i="20" s="1"/>
  <c r="V19" i="20" s="1"/>
  <c r="D30" i="20"/>
  <c r="E30" i="20" s="1"/>
  <c r="F30" i="20" s="1"/>
  <c r="G30" i="20" s="1"/>
  <c r="CB30" i="6" s="1"/>
  <c r="W30" i="20"/>
  <c r="S46" i="20"/>
  <c r="R46" i="20" s="1"/>
  <c r="P46" i="20" s="1"/>
  <c r="V46" i="20" s="1"/>
  <c r="S62" i="20"/>
  <c r="R62" i="20" s="1"/>
  <c r="P62" i="20" s="1"/>
  <c r="V62" i="20" s="1"/>
  <c r="H210" i="18"/>
  <c r="I210" i="18" s="1"/>
  <c r="AA69" i="18"/>
  <c r="Z69" i="18" s="1"/>
  <c r="Y69" i="18" s="1"/>
  <c r="AI18" i="20"/>
  <c r="AH18" i="20" s="1"/>
  <c r="AG18" i="20" s="1"/>
  <c r="AF18" i="20" s="1"/>
  <c r="AD18" i="20" s="1"/>
  <c r="AI68" i="20"/>
  <c r="AH68" i="20" s="1"/>
  <c r="AG68" i="20" s="1"/>
  <c r="AF68" i="20" s="1"/>
  <c r="AD68" i="20" s="1"/>
  <c r="AI80" i="20"/>
  <c r="AH80" i="20" s="1"/>
  <c r="AI36" i="20"/>
  <c r="AH36" i="20" s="1"/>
  <c r="AI20" i="20"/>
  <c r="AH20" i="20" s="1"/>
  <c r="AI48" i="20"/>
  <c r="AH48" i="20" s="1"/>
  <c r="AG48" i="20" s="1"/>
  <c r="AF48" i="20" s="1"/>
  <c r="AD48" i="20" s="1"/>
  <c r="AI25" i="20"/>
  <c r="AH25" i="20" s="1"/>
  <c r="AI17" i="20"/>
  <c r="AH17" i="20" s="1"/>
  <c r="AG17" i="20" s="1"/>
  <c r="AF17" i="20" s="1"/>
  <c r="AD17" i="20" s="1"/>
  <c r="AA17" i="20" s="1"/>
  <c r="Z17" i="20" s="1"/>
  <c r="Y17" i="20" s="1"/>
  <c r="AI52" i="20"/>
  <c r="AH52" i="20" s="1"/>
  <c r="AI84" i="20"/>
  <c r="AH84" i="20" s="1"/>
  <c r="AG84" i="20" s="1"/>
  <c r="AF84" i="20" s="1"/>
  <c r="AD84" i="20" s="1"/>
  <c r="AI49" i="20"/>
  <c r="AH49" i="20" s="1"/>
  <c r="AI32" i="20"/>
  <c r="AH32" i="20" s="1"/>
  <c r="AI64" i="20"/>
  <c r="AH64" i="20" s="1"/>
  <c r="AI96" i="20"/>
  <c r="AH96" i="20" s="1"/>
  <c r="AG96" i="20" s="1"/>
  <c r="AF96" i="20" s="1"/>
  <c r="AD96" i="20" s="1"/>
  <c r="AI65" i="20"/>
  <c r="AH65" i="20" s="1"/>
  <c r="I38" i="18"/>
  <c r="I22" i="18"/>
  <c r="D134" i="20"/>
  <c r="E134" i="20" s="1"/>
  <c r="F134" i="20" s="1"/>
  <c r="H134" i="20" s="1"/>
  <c r="I260" i="18"/>
  <c r="W102" i="20"/>
  <c r="I246" i="18"/>
  <c r="J74" i="18"/>
  <c r="I143" i="18"/>
  <c r="J120" i="18"/>
  <c r="I138" i="18"/>
  <c r="J64" i="18"/>
  <c r="J54" i="18"/>
  <c r="W44" i="20"/>
  <c r="AH382" i="18"/>
  <c r="W156" i="20"/>
  <c r="I128" i="18"/>
  <c r="J186" i="18"/>
  <c r="AA114" i="18"/>
  <c r="Z114" i="18" s="1"/>
  <c r="Y114" i="18" s="1"/>
  <c r="P68" i="20"/>
  <c r="V68" i="20" s="1"/>
  <c r="I234" i="18"/>
  <c r="J16" i="18"/>
  <c r="I44" i="18"/>
  <c r="J42" i="18"/>
  <c r="I80" i="18"/>
  <c r="I236" i="18"/>
  <c r="J293" i="18"/>
  <c r="W17" i="20"/>
  <c r="I244" i="18"/>
  <c r="J200" i="18"/>
  <c r="J254" i="18"/>
  <c r="J48" i="18"/>
  <c r="J216" i="18"/>
  <c r="I37" i="18"/>
  <c r="I161" i="18"/>
  <c r="J156" i="18"/>
  <c r="J26" i="18"/>
  <c r="I230" i="18"/>
  <c r="J262" i="18"/>
  <c r="J182" i="18"/>
  <c r="I96" i="18"/>
  <c r="I106" i="18"/>
  <c r="J222" i="18"/>
  <c r="J104" i="18"/>
  <c r="D148" i="20"/>
  <c r="E148" i="20" s="1"/>
  <c r="F148" i="20" s="1"/>
  <c r="H148" i="20" s="1"/>
  <c r="J89" i="18"/>
  <c r="I354" i="18"/>
  <c r="W28" i="20"/>
  <c r="I290" i="18"/>
  <c r="I370" i="18"/>
  <c r="J32" i="18"/>
  <c r="D164" i="20"/>
  <c r="E164" i="20" s="1"/>
  <c r="F164" i="20" s="1"/>
  <c r="G164" i="20" s="1"/>
  <c r="CB164" i="6" s="1"/>
  <c r="W124" i="20"/>
  <c r="J58" i="18"/>
  <c r="J130" i="18"/>
  <c r="I270" i="18"/>
  <c r="I208" i="18"/>
  <c r="J225" i="18"/>
  <c r="J146" i="18"/>
  <c r="J116" i="18"/>
  <c r="I133" i="18"/>
  <c r="W56" i="20"/>
  <c r="I20" i="18"/>
  <c r="D96" i="20"/>
  <c r="E96" i="20" s="1"/>
  <c r="F96" i="20" s="1"/>
  <c r="D88" i="20"/>
  <c r="E88" i="20" s="1"/>
  <c r="F88" i="20" s="1"/>
  <c r="G88" i="20" s="1"/>
  <c r="CB88" i="6" s="1"/>
  <c r="J269" i="18"/>
  <c r="J359" i="18"/>
  <c r="I276" i="18"/>
  <c r="I221" i="18"/>
  <c r="D152" i="20"/>
  <c r="E152" i="20" s="1"/>
  <c r="F152" i="20" s="1"/>
  <c r="G152" i="20" s="1"/>
  <c r="CB152" i="6" s="1"/>
  <c r="D136" i="20"/>
  <c r="E136" i="20" s="1"/>
  <c r="F136" i="20" s="1"/>
  <c r="G136" i="20" s="1"/>
  <c r="CB136" i="6" s="1"/>
  <c r="J327" i="18"/>
  <c r="G272" i="18"/>
  <c r="CA272" i="6" s="1"/>
  <c r="J298" i="18"/>
  <c r="I171" i="18"/>
  <c r="I235" i="18"/>
  <c r="J47" i="18"/>
  <c r="I36" i="18"/>
  <c r="D80" i="20"/>
  <c r="E80" i="20" s="1"/>
  <c r="F80" i="20" s="1"/>
  <c r="G80" i="20" s="1"/>
  <c r="CB80" i="6" s="1"/>
  <c r="W64" i="20"/>
  <c r="W32" i="20"/>
  <c r="J155" i="18"/>
  <c r="I277" i="18"/>
  <c r="D40" i="20"/>
  <c r="E40" i="20" s="1"/>
  <c r="F40" i="20" s="1"/>
  <c r="G40" i="20" s="1"/>
  <c r="CB40" i="6" s="1"/>
  <c r="D168" i="20"/>
  <c r="E168" i="20" s="1"/>
  <c r="F168" i="20" s="1"/>
  <c r="H168" i="20" s="1"/>
  <c r="W144" i="20"/>
  <c r="W104" i="20"/>
  <c r="D112" i="20"/>
  <c r="E112" i="20" s="1"/>
  <c r="F112" i="20" s="1"/>
  <c r="G112" i="20" s="1"/>
  <c r="CB112" i="6" s="1"/>
  <c r="W160" i="20"/>
  <c r="D120" i="20"/>
  <c r="E120" i="20" s="1"/>
  <c r="F120" i="20" s="1"/>
  <c r="G120" i="20" s="1"/>
  <c r="CB120" i="6" s="1"/>
  <c r="D268" i="20"/>
  <c r="E268" i="20" s="1"/>
  <c r="F268" i="20" s="1"/>
  <c r="G268" i="20" s="1"/>
  <c r="CB268" i="6" s="1"/>
  <c r="J34" i="18"/>
  <c r="I289" i="18"/>
  <c r="I309" i="18"/>
  <c r="J237" i="18"/>
  <c r="I281" i="18"/>
  <c r="D306" i="20"/>
  <c r="E306" i="20" s="1"/>
  <c r="F306" i="20" s="1"/>
  <c r="G306" i="20" s="1"/>
  <c r="CB306" i="6" s="1"/>
  <c r="D100" i="20"/>
  <c r="E100" i="20" s="1"/>
  <c r="F100" i="20" s="1"/>
  <c r="G100" i="20" s="1"/>
  <c r="CB100" i="6" s="1"/>
  <c r="W128" i="20"/>
  <c r="S36" i="20"/>
  <c r="R36" i="20" s="1"/>
  <c r="P36" i="20" s="1"/>
  <c r="V36" i="20" s="1"/>
  <c r="B36" i="20" s="1"/>
  <c r="J117" i="18"/>
  <c r="I117" i="18"/>
  <c r="H240" i="18"/>
  <c r="G240" i="18"/>
  <c r="CA240" i="6" s="1"/>
  <c r="S72" i="20"/>
  <c r="R72" i="20" s="1"/>
  <c r="P72" i="20" s="1"/>
  <c r="V72" i="20" s="1"/>
  <c r="B72" i="20" s="1"/>
  <c r="I245" i="18"/>
  <c r="I226" i="18"/>
  <c r="I274" i="18"/>
  <c r="D230" i="20"/>
  <c r="E230" i="20" s="1"/>
  <c r="F230" i="20" s="1"/>
  <c r="G230" i="20" s="1"/>
  <c r="CB230" i="6" s="1"/>
  <c r="D199" i="20"/>
  <c r="E199" i="20" s="1"/>
  <c r="F199" i="20" s="1"/>
  <c r="G199" i="20" s="1"/>
  <c r="CB199" i="6" s="1"/>
  <c r="D330" i="20"/>
  <c r="E330" i="20" s="1"/>
  <c r="F330" i="20" s="1"/>
  <c r="G330" i="20" s="1"/>
  <c r="CB330" i="6" s="1"/>
  <c r="I311" i="18"/>
  <c r="I55" i="18"/>
  <c r="I255" i="18"/>
  <c r="AA363" i="18"/>
  <c r="Z363" i="18" s="1"/>
  <c r="Y363" i="18" s="1"/>
  <c r="I286" i="18"/>
  <c r="I151" i="18"/>
  <c r="I280" i="18"/>
  <c r="D24" i="20"/>
  <c r="E24" i="20" s="1"/>
  <c r="F24" i="20" s="1"/>
  <c r="H24" i="20" s="1"/>
  <c r="I24" i="20" s="1"/>
  <c r="B24" i="6" s="1"/>
  <c r="BA24" i="6" s="1"/>
  <c r="D24" i="6" s="1"/>
  <c r="V60" i="20"/>
  <c r="AI28" i="20"/>
  <c r="AH28" i="20" s="1"/>
  <c r="AG28" i="20" s="1"/>
  <c r="AF28" i="20" s="1"/>
  <c r="AD28" i="20" s="1"/>
  <c r="AA28" i="20" s="1"/>
  <c r="Z28" i="20" s="1"/>
  <c r="Y28" i="20" s="1"/>
  <c r="AI44" i="20"/>
  <c r="AH44" i="20" s="1"/>
  <c r="AG44" i="20" s="1"/>
  <c r="AF44" i="20" s="1"/>
  <c r="AD44" i="20" s="1"/>
  <c r="AI60" i="20"/>
  <c r="AH60" i="20" s="1"/>
  <c r="AG60" i="20" s="1"/>
  <c r="AF60" i="20" s="1"/>
  <c r="AD60" i="20" s="1"/>
  <c r="AI76" i="20"/>
  <c r="AH76" i="20" s="1"/>
  <c r="AI92" i="20"/>
  <c r="AH92" i="20" s="1"/>
  <c r="AG92" i="20" s="1"/>
  <c r="AF92" i="20" s="1"/>
  <c r="AD92" i="20" s="1"/>
  <c r="AI33" i="20"/>
  <c r="AH33" i="20" s="1"/>
  <c r="AG33" i="20" s="1"/>
  <c r="AF33" i="20" s="1"/>
  <c r="AD33" i="20" s="1"/>
  <c r="AA33" i="20" s="1"/>
  <c r="Z33" i="20" s="1"/>
  <c r="Y33" i="20" s="1"/>
  <c r="AI81" i="20"/>
  <c r="AH81" i="20" s="1"/>
  <c r="AG81" i="20" s="1"/>
  <c r="AF81" i="20" s="1"/>
  <c r="AD81" i="20" s="1"/>
  <c r="AI24" i="20"/>
  <c r="AH24" i="20" s="1"/>
  <c r="AI40" i="20"/>
  <c r="AH40" i="20" s="1"/>
  <c r="AG40" i="20" s="1"/>
  <c r="AF40" i="20" s="1"/>
  <c r="AD40" i="20" s="1"/>
  <c r="AI56" i="20"/>
  <c r="AH56" i="20" s="1"/>
  <c r="AG56" i="20" s="1"/>
  <c r="AF56" i="20" s="1"/>
  <c r="AD56" i="20" s="1"/>
  <c r="AI72" i="20"/>
  <c r="AH72" i="20" s="1"/>
  <c r="AG72" i="20" s="1"/>
  <c r="AF72" i="20" s="1"/>
  <c r="AD72" i="20" s="1"/>
  <c r="AI88" i="20"/>
  <c r="AH88" i="20" s="1"/>
  <c r="AG88" i="20" s="1"/>
  <c r="AF88" i="20" s="1"/>
  <c r="AD88" i="20" s="1"/>
  <c r="AI104" i="20"/>
  <c r="AH104" i="20" s="1"/>
  <c r="AG104" i="20" s="1"/>
  <c r="AF104" i="20" s="1"/>
  <c r="AD104" i="20" s="1"/>
  <c r="AI41" i="20"/>
  <c r="AH41" i="20" s="1"/>
  <c r="J65" i="19"/>
  <c r="F268" i="18"/>
  <c r="H268" i="18" s="1"/>
  <c r="AI89" i="20"/>
  <c r="AH89" i="20" s="1"/>
  <c r="AI22" i="20"/>
  <c r="AH22" i="20" s="1"/>
  <c r="AG22" i="20" s="1"/>
  <c r="AF22" i="20" s="1"/>
  <c r="AD22" i="20" s="1"/>
  <c r="AA22" i="20" s="1"/>
  <c r="Z22" i="20" s="1"/>
  <c r="Y22" i="20" s="1"/>
  <c r="AI30" i="20"/>
  <c r="AH30" i="20" s="1"/>
  <c r="AI38" i="20"/>
  <c r="AH38" i="20" s="1"/>
  <c r="AG38" i="20" s="1"/>
  <c r="AF38" i="20" s="1"/>
  <c r="AD38" i="20" s="1"/>
  <c r="AI46" i="20"/>
  <c r="AH46" i="20" s="1"/>
  <c r="AI54" i="20"/>
  <c r="AH54" i="20" s="1"/>
  <c r="AI62" i="20"/>
  <c r="AH62" i="20" s="1"/>
  <c r="AI70" i="20"/>
  <c r="AH70" i="20" s="1"/>
  <c r="AG70" i="20" s="1"/>
  <c r="AF70" i="20" s="1"/>
  <c r="AD70" i="20" s="1"/>
  <c r="AI78" i="20"/>
  <c r="AH78" i="20" s="1"/>
  <c r="AI86" i="20"/>
  <c r="AH86" i="20" s="1"/>
  <c r="AI94" i="20"/>
  <c r="AH94" i="20" s="1"/>
  <c r="AG94" i="20" s="1"/>
  <c r="AF94" i="20" s="1"/>
  <c r="AD94" i="20" s="1"/>
  <c r="AI102" i="20"/>
  <c r="AH102" i="20" s="1"/>
  <c r="AG102" i="20" s="1"/>
  <c r="AF102" i="20" s="1"/>
  <c r="AD102" i="20" s="1"/>
  <c r="AA102" i="20" s="1"/>
  <c r="Z102" i="20" s="1"/>
  <c r="Y102" i="20" s="1"/>
  <c r="AI29" i="20"/>
  <c r="AH29" i="20" s="1"/>
  <c r="AI45" i="20"/>
  <c r="AH45" i="20" s="1"/>
  <c r="AI73" i="20"/>
  <c r="AH73" i="20" s="1"/>
  <c r="AI361" i="20"/>
  <c r="AH361" i="20" s="1"/>
  <c r="AI329" i="20"/>
  <c r="AH329" i="20" s="1"/>
  <c r="AI297" i="20"/>
  <c r="AH297" i="20" s="1"/>
  <c r="AI265" i="20"/>
  <c r="AH265" i="20" s="1"/>
  <c r="AI233" i="20"/>
  <c r="AH233" i="20" s="1"/>
  <c r="AI201" i="20"/>
  <c r="AH201" i="20" s="1"/>
  <c r="AI169" i="20"/>
  <c r="AH169" i="20" s="1"/>
  <c r="AI137" i="20"/>
  <c r="AH137" i="20" s="1"/>
  <c r="AI105" i="20"/>
  <c r="AH105" i="20" s="1"/>
  <c r="AI374" i="20"/>
  <c r="AH374" i="20" s="1"/>
  <c r="AI366" i="20"/>
  <c r="AH366" i="20" s="1"/>
  <c r="AG366" i="20" s="1"/>
  <c r="AF366" i="20" s="1"/>
  <c r="AD366" i="20" s="1"/>
  <c r="AI358" i="20"/>
  <c r="AH358" i="20" s="1"/>
  <c r="AI350" i="20"/>
  <c r="AH350" i="20" s="1"/>
  <c r="AI342" i="20"/>
  <c r="AH342" i="20" s="1"/>
  <c r="AI334" i="20"/>
  <c r="AH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I302" i="20"/>
  <c r="AH302" i="20" s="1"/>
  <c r="AI294" i="20"/>
  <c r="AH294" i="20" s="1"/>
  <c r="AI286" i="20"/>
  <c r="AH286" i="20" s="1"/>
  <c r="AI278" i="20"/>
  <c r="AH278" i="20" s="1"/>
  <c r="AI270" i="20"/>
  <c r="AH270" i="20" s="1"/>
  <c r="AI262" i="20"/>
  <c r="AH262" i="20" s="1"/>
  <c r="AI254" i="20"/>
  <c r="AH254" i="20" s="1"/>
  <c r="AI246" i="20"/>
  <c r="AH246" i="20" s="1"/>
  <c r="AI238" i="20"/>
  <c r="AH238" i="20" s="1"/>
  <c r="AG238" i="20" s="1"/>
  <c r="AF238" i="20" s="1"/>
  <c r="AD238" i="20" s="1"/>
  <c r="AI230" i="20"/>
  <c r="AH230" i="20" s="1"/>
  <c r="AI222" i="20"/>
  <c r="AH222" i="20" s="1"/>
  <c r="AG222" i="20" s="1"/>
  <c r="AF222" i="20" s="1"/>
  <c r="AD222" i="20" s="1"/>
  <c r="AI214" i="20"/>
  <c r="AH214" i="20" s="1"/>
  <c r="AI206" i="20"/>
  <c r="AH206" i="20" s="1"/>
  <c r="AI198" i="20"/>
  <c r="AH198" i="20" s="1"/>
  <c r="AI190" i="20"/>
  <c r="AH190" i="20" s="1"/>
  <c r="AI182" i="20"/>
  <c r="AH182" i="20" s="1"/>
  <c r="AI174" i="20"/>
  <c r="AH174" i="20" s="1"/>
  <c r="AI166" i="20"/>
  <c r="AH166" i="20" s="1"/>
  <c r="AI158" i="20"/>
  <c r="AH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5" i="20"/>
  <c r="AI26" i="20"/>
  <c r="AH26" i="20" s="1"/>
  <c r="AG26" i="20" s="1"/>
  <c r="AF26" i="20" s="1"/>
  <c r="AD26" i="20" s="1"/>
  <c r="AA26" i="20" s="1"/>
  <c r="Z26" i="20" s="1"/>
  <c r="Y26" i="20" s="1"/>
  <c r="AI34" i="20"/>
  <c r="AH34" i="20" s="1"/>
  <c r="AI42" i="20"/>
  <c r="AH42" i="20" s="1"/>
  <c r="AI50" i="20"/>
  <c r="AH50" i="20" s="1"/>
  <c r="AI58" i="20"/>
  <c r="AH58" i="20" s="1"/>
  <c r="AG58" i="20" s="1"/>
  <c r="AF58" i="20" s="1"/>
  <c r="AD58" i="20" s="1"/>
  <c r="AA58" i="20" s="1"/>
  <c r="Z58" i="20" s="1"/>
  <c r="Y58" i="20" s="1"/>
  <c r="AI66" i="20"/>
  <c r="AH66" i="20" s="1"/>
  <c r="AG66" i="20" s="1"/>
  <c r="AF66" i="20" s="1"/>
  <c r="AD66" i="20" s="1"/>
  <c r="AA66" i="20" s="1"/>
  <c r="Z66" i="20" s="1"/>
  <c r="Y66" i="20" s="1"/>
  <c r="AI74" i="20"/>
  <c r="AH74" i="20" s="1"/>
  <c r="AI82" i="20"/>
  <c r="AH82" i="20" s="1"/>
  <c r="AI90" i="20"/>
  <c r="AH90" i="20" s="1"/>
  <c r="AI98" i="20"/>
  <c r="AH98" i="20" s="1"/>
  <c r="AI19" i="20"/>
  <c r="AH19" i="20" s="1"/>
  <c r="AI37" i="20"/>
  <c r="AH37" i="20" s="1"/>
  <c r="AI57" i="20"/>
  <c r="AH57" i="20" s="1"/>
  <c r="AG57" i="20" s="1"/>
  <c r="AF57" i="20" s="1"/>
  <c r="AD57" i="20" s="1"/>
  <c r="AI377" i="20"/>
  <c r="AH377" i="20" s="1"/>
  <c r="AG377" i="20" s="1"/>
  <c r="AF377" i="20" s="1"/>
  <c r="AD377" i="20" s="1"/>
  <c r="AI345" i="20"/>
  <c r="AH345" i="20" s="1"/>
  <c r="AG345" i="20" s="1"/>
  <c r="AF345" i="20" s="1"/>
  <c r="AD345" i="20" s="1"/>
  <c r="AI313" i="20"/>
  <c r="AH313" i="20" s="1"/>
  <c r="AG313" i="20" s="1"/>
  <c r="AF313" i="20" s="1"/>
  <c r="AD313" i="20" s="1"/>
  <c r="AI281" i="20"/>
  <c r="AH281" i="20" s="1"/>
  <c r="AG281" i="20" s="1"/>
  <c r="AF281" i="20" s="1"/>
  <c r="AD281" i="20" s="1"/>
  <c r="AI249" i="20"/>
  <c r="AH249" i="20" s="1"/>
  <c r="AG249" i="20" s="1"/>
  <c r="AF249" i="20" s="1"/>
  <c r="AD249" i="20" s="1"/>
  <c r="AI217" i="20"/>
  <c r="AH217" i="20" s="1"/>
  <c r="AG217" i="20" s="1"/>
  <c r="AF217" i="20" s="1"/>
  <c r="AD217" i="20" s="1"/>
  <c r="AI185" i="20"/>
  <c r="AH185" i="20" s="1"/>
  <c r="AG185" i="20" s="1"/>
  <c r="AF185" i="20" s="1"/>
  <c r="AD185" i="20" s="1"/>
  <c r="AI153" i="20"/>
  <c r="AH153" i="20" s="1"/>
  <c r="AG153" i="20" s="1"/>
  <c r="AF153" i="20" s="1"/>
  <c r="AD153" i="20" s="1"/>
  <c r="AI121" i="20"/>
  <c r="AH121" i="20" s="1"/>
  <c r="AI378" i="20"/>
  <c r="AH378" i="20" s="1"/>
  <c r="AI370" i="20"/>
  <c r="AH370" i="20" s="1"/>
  <c r="AI362" i="20"/>
  <c r="AH362" i="20" s="1"/>
  <c r="AI354" i="20"/>
  <c r="AH354" i="20" s="1"/>
  <c r="AI346" i="20"/>
  <c r="AH346" i="20" s="1"/>
  <c r="AI338" i="20"/>
  <c r="AH338" i="20" s="1"/>
  <c r="AI330" i="20"/>
  <c r="AH330" i="20" s="1"/>
  <c r="AG330" i="20" s="1"/>
  <c r="AF330" i="20" s="1"/>
  <c r="AD330" i="20" s="1"/>
  <c r="AI322" i="20"/>
  <c r="AH322" i="20" s="1"/>
  <c r="AI314" i="20"/>
  <c r="AH314" i="20" s="1"/>
  <c r="AI306" i="20"/>
  <c r="AH306" i="20" s="1"/>
  <c r="AI298" i="20"/>
  <c r="AH298" i="20" s="1"/>
  <c r="AI290" i="20"/>
  <c r="AH290" i="20" s="1"/>
  <c r="AI282" i="20"/>
  <c r="AH282" i="20" s="1"/>
  <c r="AI274" i="20"/>
  <c r="AH274" i="20" s="1"/>
  <c r="AG274" i="20" s="1"/>
  <c r="AF274" i="20" s="1"/>
  <c r="AD274" i="20" s="1"/>
  <c r="AI266" i="20"/>
  <c r="AH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I234" i="20"/>
  <c r="AH234" i="20" s="1"/>
  <c r="AI226" i="20"/>
  <c r="AH226" i="20" s="1"/>
  <c r="AI218" i="20"/>
  <c r="AH218" i="20" s="1"/>
  <c r="AG218" i="20" s="1"/>
  <c r="AF218" i="20" s="1"/>
  <c r="AD218" i="20" s="1"/>
  <c r="AI210" i="20"/>
  <c r="AH210" i="20" s="1"/>
  <c r="AI202" i="20"/>
  <c r="AH202" i="20" s="1"/>
  <c r="AI194" i="20"/>
  <c r="AH194" i="20" s="1"/>
  <c r="AI186" i="20"/>
  <c r="AH186" i="20" s="1"/>
  <c r="AI178" i="20"/>
  <c r="AH178" i="20" s="1"/>
  <c r="AI170" i="20"/>
  <c r="AH170" i="20" s="1"/>
  <c r="AG170" i="20" s="1"/>
  <c r="AF170" i="20" s="1"/>
  <c r="AD170" i="20" s="1"/>
  <c r="AA170" i="20" s="1"/>
  <c r="Z170" i="20" s="1"/>
  <c r="Y170" i="20" s="1"/>
  <c r="AI162" i="20"/>
  <c r="AH162" i="20" s="1"/>
  <c r="AI154" i="20"/>
  <c r="AH154" i="20" s="1"/>
  <c r="AI146" i="20"/>
  <c r="AH146" i="20" s="1"/>
  <c r="AG146" i="20" s="1"/>
  <c r="AF146" i="20" s="1"/>
  <c r="AD146" i="20" s="1"/>
  <c r="AA146" i="20" s="1"/>
  <c r="Z146" i="20" s="1"/>
  <c r="Y146" i="20" s="1"/>
  <c r="AI138" i="20"/>
  <c r="AH138" i="20" s="1"/>
  <c r="AI130" i="20"/>
  <c r="AH130" i="20" s="1"/>
  <c r="AI122" i="20"/>
  <c r="AH122" i="20" s="1"/>
  <c r="AI114" i="20"/>
  <c r="AH114" i="20" s="1"/>
  <c r="AI106" i="20"/>
  <c r="AH106" i="20" s="1"/>
  <c r="AI126" i="20"/>
  <c r="AH126" i="20" s="1"/>
  <c r="AI110" i="20"/>
  <c r="AH110" i="20" s="1"/>
  <c r="AG110" i="20" s="1"/>
  <c r="AF110" i="20" s="1"/>
  <c r="AD110" i="20" s="1"/>
  <c r="AI353" i="20"/>
  <c r="AH353" i="20" s="1"/>
  <c r="AI321" i="20"/>
  <c r="AH321" i="20" s="1"/>
  <c r="AG321" i="20" s="1"/>
  <c r="AF321" i="20" s="1"/>
  <c r="AD321" i="20" s="1"/>
  <c r="AI289" i="20"/>
  <c r="AH289" i="20" s="1"/>
  <c r="AG289" i="20" s="1"/>
  <c r="AF289" i="20" s="1"/>
  <c r="AD289" i="20" s="1"/>
  <c r="AI257" i="20"/>
  <c r="AH257" i="20" s="1"/>
  <c r="AI225" i="20"/>
  <c r="AH225" i="20" s="1"/>
  <c r="AI193" i="20"/>
  <c r="AH193" i="20" s="1"/>
  <c r="AI161" i="20"/>
  <c r="AH161" i="20" s="1"/>
  <c r="AI129" i="20"/>
  <c r="AH129" i="20" s="1"/>
  <c r="AI376" i="20"/>
  <c r="AH376" i="20" s="1"/>
  <c r="AI368" i="20"/>
  <c r="AH368" i="20" s="1"/>
  <c r="AI360" i="20"/>
  <c r="AH360" i="20" s="1"/>
  <c r="AI352" i="20"/>
  <c r="AH352" i="20" s="1"/>
  <c r="AG352" i="20" s="1"/>
  <c r="AF352" i="20" s="1"/>
  <c r="AD352" i="20" s="1"/>
  <c r="AI344" i="20"/>
  <c r="AH344" i="20" s="1"/>
  <c r="AI336" i="20"/>
  <c r="AH336" i="20" s="1"/>
  <c r="AI328" i="20"/>
  <c r="AH328" i="20" s="1"/>
  <c r="AG328" i="20" s="1"/>
  <c r="AF328" i="20" s="1"/>
  <c r="AD328" i="20" s="1"/>
  <c r="AI320" i="20"/>
  <c r="AH320" i="20" s="1"/>
  <c r="AI312" i="20"/>
  <c r="AH312" i="20" s="1"/>
  <c r="AI304" i="20"/>
  <c r="AH304" i="20" s="1"/>
  <c r="AG304" i="20" s="1"/>
  <c r="AF304" i="20" s="1"/>
  <c r="AD304" i="20" s="1"/>
  <c r="AI296" i="20"/>
  <c r="AH296" i="20" s="1"/>
  <c r="AI288" i="20"/>
  <c r="AH288" i="20" s="1"/>
  <c r="AI280" i="20"/>
  <c r="AH280" i="20" s="1"/>
  <c r="AI272" i="20"/>
  <c r="AH272" i="20" s="1"/>
  <c r="AG272" i="20" s="1"/>
  <c r="AF272" i="20" s="1"/>
  <c r="AD272" i="20" s="1"/>
  <c r="AI264" i="20"/>
  <c r="AH264" i="20" s="1"/>
  <c r="AI256" i="20"/>
  <c r="AH256" i="20" s="1"/>
  <c r="AI248" i="20"/>
  <c r="AH248" i="20" s="1"/>
  <c r="AI240" i="20"/>
  <c r="AH240" i="20" s="1"/>
  <c r="AI232" i="20"/>
  <c r="AH232" i="20" s="1"/>
  <c r="AG232" i="20" s="1"/>
  <c r="AF232" i="20" s="1"/>
  <c r="AD232" i="20" s="1"/>
  <c r="AI224" i="20"/>
  <c r="AH224" i="20" s="1"/>
  <c r="AG224" i="20" s="1"/>
  <c r="AF224" i="20" s="1"/>
  <c r="AD224" i="20" s="1"/>
  <c r="AI216" i="20"/>
  <c r="AH216" i="20" s="1"/>
  <c r="AG216" i="20" s="1"/>
  <c r="AF216" i="20" s="1"/>
  <c r="AD216" i="20" s="1"/>
  <c r="AI208" i="20"/>
  <c r="AH208" i="20" s="1"/>
  <c r="AG208" i="20" s="1"/>
  <c r="AF208" i="20" s="1"/>
  <c r="AD208" i="20" s="1"/>
  <c r="AI200" i="20"/>
  <c r="AH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I176" i="20"/>
  <c r="AH176" i="20" s="1"/>
  <c r="AI168" i="20"/>
  <c r="AH168" i="20" s="1"/>
  <c r="AI160" i="20"/>
  <c r="AH160" i="20" s="1"/>
  <c r="AI152" i="20"/>
  <c r="AH152" i="20" s="1"/>
  <c r="AI144" i="20"/>
  <c r="AH144" i="20" s="1"/>
  <c r="AI136" i="20"/>
  <c r="AH136" i="20" s="1"/>
  <c r="AI128" i="20"/>
  <c r="AH128" i="20" s="1"/>
  <c r="AG128" i="20" s="1"/>
  <c r="AF128" i="20" s="1"/>
  <c r="AD128" i="20" s="1"/>
  <c r="AI120" i="20"/>
  <c r="AH120" i="20" s="1"/>
  <c r="AI112" i="20"/>
  <c r="AH112" i="20" s="1"/>
  <c r="AG112" i="20" s="1"/>
  <c r="AF112" i="20" s="1"/>
  <c r="AD112" i="20" s="1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1" i="20"/>
  <c r="AH261" i="20" s="1"/>
  <c r="AG261" i="20" s="1"/>
  <c r="AF261" i="20" s="1"/>
  <c r="AD261" i="20" s="1"/>
  <c r="AI245" i="20"/>
  <c r="AH245" i="20" s="1"/>
  <c r="AG245" i="20" s="1"/>
  <c r="AF245" i="20" s="1"/>
  <c r="AD245" i="20" s="1"/>
  <c r="AI229" i="20"/>
  <c r="AH229" i="20" s="1"/>
  <c r="AG229" i="20" s="1"/>
  <c r="AF229" i="20" s="1"/>
  <c r="AD229" i="20" s="1"/>
  <c r="AI213" i="20"/>
  <c r="AH213" i="20" s="1"/>
  <c r="AG213" i="20" s="1"/>
  <c r="AF213" i="20" s="1"/>
  <c r="AD213" i="20" s="1"/>
  <c r="AI197" i="20"/>
  <c r="AH197" i="20" s="1"/>
  <c r="AG197" i="20" s="1"/>
  <c r="AF197" i="20" s="1"/>
  <c r="AD197" i="20" s="1"/>
  <c r="AA197" i="20" s="1"/>
  <c r="Z197" i="20" s="1"/>
  <c r="Y197" i="20" s="1"/>
  <c r="AI181" i="20"/>
  <c r="AH181" i="20" s="1"/>
  <c r="AI165" i="20"/>
  <c r="AH165" i="20" s="1"/>
  <c r="AI149" i="20"/>
  <c r="AH149" i="20" s="1"/>
  <c r="AI133" i="20"/>
  <c r="AH133" i="20" s="1"/>
  <c r="AI117" i="20"/>
  <c r="AH117" i="20" s="1"/>
  <c r="AI101" i="20"/>
  <c r="AH101" i="20" s="1"/>
  <c r="AI85" i="20"/>
  <c r="AH85" i="20" s="1"/>
  <c r="AI69" i="20"/>
  <c r="AH69" i="20" s="1"/>
  <c r="AI53" i="20"/>
  <c r="AH53" i="20" s="1"/>
  <c r="AI43" i="20"/>
  <c r="AH43" i="20" s="1"/>
  <c r="AG43" i="20" s="1"/>
  <c r="AF43" i="20" s="1"/>
  <c r="AD43" i="20" s="1"/>
  <c r="AI35" i="20"/>
  <c r="AH35" i="20" s="1"/>
  <c r="AG35" i="20" s="1"/>
  <c r="AF35" i="20" s="1"/>
  <c r="AD35" i="20" s="1"/>
  <c r="AA35" i="20" s="1"/>
  <c r="Z35" i="20" s="1"/>
  <c r="Y35" i="20" s="1"/>
  <c r="AI27" i="20"/>
  <c r="AH27" i="20" s="1"/>
  <c r="AI16" i="20"/>
  <c r="AH16" i="20" s="1"/>
  <c r="AI379" i="20"/>
  <c r="AI371" i="20"/>
  <c r="AH371" i="20" s="1"/>
  <c r="AG371" i="20" s="1"/>
  <c r="AF371" i="20" s="1"/>
  <c r="AD371" i="20" s="1"/>
  <c r="AI363" i="20"/>
  <c r="AH363" i="20" s="1"/>
  <c r="AG363" i="20" s="1"/>
  <c r="AF363" i="20" s="1"/>
  <c r="AD363" i="20" s="1"/>
  <c r="AI355" i="20"/>
  <c r="AH355" i="20" s="1"/>
  <c r="AG355" i="20" s="1"/>
  <c r="AF355" i="20" s="1"/>
  <c r="AD355" i="20" s="1"/>
  <c r="AI347" i="20"/>
  <c r="AH347" i="20" s="1"/>
  <c r="AG347" i="20" s="1"/>
  <c r="AF347" i="20" s="1"/>
  <c r="AD347" i="20" s="1"/>
  <c r="AI339" i="20"/>
  <c r="AH339" i="20" s="1"/>
  <c r="AG339" i="20" s="1"/>
  <c r="AF339" i="20" s="1"/>
  <c r="AD339" i="20" s="1"/>
  <c r="AI331" i="20"/>
  <c r="AH331" i="20" s="1"/>
  <c r="AG331" i="20" s="1"/>
  <c r="AF331" i="20" s="1"/>
  <c r="AD331" i="20" s="1"/>
  <c r="AI323" i="20"/>
  <c r="AH323" i="20" s="1"/>
  <c r="AG323" i="20" s="1"/>
  <c r="AF323" i="20" s="1"/>
  <c r="AD323" i="20" s="1"/>
  <c r="AI315" i="20"/>
  <c r="AH315" i="20" s="1"/>
  <c r="AG315" i="20" s="1"/>
  <c r="AF315" i="20" s="1"/>
  <c r="AD315" i="20" s="1"/>
  <c r="AI307" i="20"/>
  <c r="AH307" i="20" s="1"/>
  <c r="AG307" i="20" s="1"/>
  <c r="AF307" i="20" s="1"/>
  <c r="AD307" i="20" s="1"/>
  <c r="AI299" i="20"/>
  <c r="AH299" i="20" s="1"/>
  <c r="AG299" i="20" s="1"/>
  <c r="AF299" i="20" s="1"/>
  <c r="AD299" i="20" s="1"/>
  <c r="AI291" i="20"/>
  <c r="AH291" i="20" s="1"/>
  <c r="AG291" i="20" s="1"/>
  <c r="AF291" i="20" s="1"/>
  <c r="AD291" i="20" s="1"/>
  <c r="AI283" i="20"/>
  <c r="AH283" i="20" s="1"/>
  <c r="AG283" i="20" s="1"/>
  <c r="AF283" i="20" s="1"/>
  <c r="AD283" i="20" s="1"/>
  <c r="AI275" i="20"/>
  <c r="AH275" i="20" s="1"/>
  <c r="AG275" i="20" s="1"/>
  <c r="AF275" i="20" s="1"/>
  <c r="AD275" i="20" s="1"/>
  <c r="AI267" i="20"/>
  <c r="AH267" i="20" s="1"/>
  <c r="AG267" i="20" s="1"/>
  <c r="AF267" i="20" s="1"/>
  <c r="AD267" i="20" s="1"/>
  <c r="AI259" i="20"/>
  <c r="AH259" i="20" s="1"/>
  <c r="AG259" i="20" s="1"/>
  <c r="AF259" i="20" s="1"/>
  <c r="AD259" i="20" s="1"/>
  <c r="AI251" i="20"/>
  <c r="AH251" i="20" s="1"/>
  <c r="AG251" i="20" s="1"/>
  <c r="AF251" i="20" s="1"/>
  <c r="AD251" i="20" s="1"/>
  <c r="AI243" i="20"/>
  <c r="AH243" i="20" s="1"/>
  <c r="AG243" i="20" s="1"/>
  <c r="AF243" i="20" s="1"/>
  <c r="AD243" i="20" s="1"/>
  <c r="AI235" i="20"/>
  <c r="AH235" i="20" s="1"/>
  <c r="AG235" i="20" s="1"/>
  <c r="AF235" i="20" s="1"/>
  <c r="AD235" i="20" s="1"/>
  <c r="AI227" i="20"/>
  <c r="AH227" i="20" s="1"/>
  <c r="AG227" i="20" s="1"/>
  <c r="AF227" i="20" s="1"/>
  <c r="AD227" i="20" s="1"/>
  <c r="AI219" i="20"/>
  <c r="AH219" i="20" s="1"/>
  <c r="AG219" i="20" s="1"/>
  <c r="AF219" i="20" s="1"/>
  <c r="AD219" i="20" s="1"/>
  <c r="AI211" i="20"/>
  <c r="AH211" i="20" s="1"/>
  <c r="AG211" i="20" s="1"/>
  <c r="AF211" i="20" s="1"/>
  <c r="AD211" i="20" s="1"/>
  <c r="AI203" i="20"/>
  <c r="AH203" i="20" s="1"/>
  <c r="AG203" i="20" s="1"/>
  <c r="AF203" i="20" s="1"/>
  <c r="AD203" i="20" s="1"/>
  <c r="AA203" i="20" s="1"/>
  <c r="Z203" i="20" s="1"/>
  <c r="Y203" i="20" s="1"/>
  <c r="AI195" i="20"/>
  <c r="AH195" i="20" s="1"/>
  <c r="AG195" i="20" s="1"/>
  <c r="AF195" i="20" s="1"/>
  <c r="AD195" i="20" s="1"/>
  <c r="AI187" i="20"/>
  <c r="AH187" i="20" s="1"/>
  <c r="AG187" i="20" s="1"/>
  <c r="AF187" i="20" s="1"/>
  <c r="AD187" i="20" s="1"/>
  <c r="AI179" i="20"/>
  <c r="AH179" i="20" s="1"/>
  <c r="AG179" i="20" s="1"/>
  <c r="AF179" i="20" s="1"/>
  <c r="AD179" i="20" s="1"/>
  <c r="AI171" i="20"/>
  <c r="AH171" i="20" s="1"/>
  <c r="AG171" i="20" s="1"/>
  <c r="AF171" i="20" s="1"/>
  <c r="AD171" i="20" s="1"/>
  <c r="AI163" i="20"/>
  <c r="AH163" i="20" s="1"/>
  <c r="AG163" i="20" s="1"/>
  <c r="AF163" i="20" s="1"/>
  <c r="AD163" i="20" s="1"/>
  <c r="AI155" i="20"/>
  <c r="AH155" i="20" s="1"/>
  <c r="AG155" i="20" s="1"/>
  <c r="AF155" i="20" s="1"/>
  <c r="AD155" i="20" s="1"/>
  <c r="AI147" i="20"/>
  <c r="AH147" i="20" s="1"/>
  <c r="AG147" i="20" s="1"/>
  <c r="AF147" i="20" s="1"/>
  <c r="AD147" i="20" s="1"/>
  <c r="AI139" i="20"/>
  <c r="AH139" i="20" s="1"/>
  <c r="AG139" i="20" s="1"/>
  <c r="AF139" i="20" s="1"/>
  <c r="AD139" i="20" s="1"/>
  <c r="AI131" i="20"/>
  <c r="AH131" i="20" s="1"/>
  <c r="AG131" i="20" s="1"/>
  <c r="AF131" i="20" s="1"/>
  <c r="AD131" i="20" s="1"/>
  <c r="AI123" i="20"/>
  <c r="AH123" i="20" s="1"/>
  <c r="AG123" i="20" s="1"/>
  <c r="AF123" i="20" s="1"/>
  <c r="AD123" i="20" s="1"/>
  <c r="AI115" i="20"/>
  <c r="AH115" i="20" s="1"/>
  <c r="AG115" i="20" s="1"/>
  <c r="AF115" i="20" s="1"/>
  <c r="AD115" i="20" s="1"/>
  <c r="AI107" i="20"/>
  <c r="AH107" i="20" s="1"/>
  <c r="AG107" i="20" s="1"/>
  <c r="AF107" i="20" s="1"/>
  <c r="AD107" i="20" s="1"/>
  <c r="AI99" i="20"/>
  <c r="AH99" i="20" s="1"/>
  <c r="AG99" i="20" s="1"/>
  <c r="AF99" i="20" s="1"/>
  <c r="AD99" i="20" s="1"/>
  <c r="AI91" i="20"/>
  <c r="AH91" i="20" s="1"/>
  <c r="AG91" i="20" s="1"/>
  <c r="AF91" i="20" s="1"/>
  <c r="AD91" i="20" s="1"/>
  <c r="AI83" i="20"/>
  <c r="AH83" i="20" s="1"/>
  <c r="AG83" i="20" s="1"/>
  <c r="AF83" i="20" s="1"/>
  <c r="AD83" i="20" s="1"/>
  <c r="AI75" i="20"/>
  <c r="AH75" i="20" s="1"/>
  <c r="AG75" i="20" s="1"/>
  <c r="AF75" i="20" s="1"/>
  <c r="AD75" i="20" s="1"/>
  <c r="AI67" i="20"/>
  <c r="AH67" i="20" s="1"/>
  <c r="AG67" i="20" s="1"/>
  <c r="AF67" i="20" s="1"/>
  <c r="AD67" i="20" s="1"/>
  <c r="AI59" i="20"/>
  <c r="AH59" i="20" s="1"/>
  <c r="AG59" i="20" s="1"/>
  <c r="AF59" i="20" s="1"/>
  <c r="AD59" i="20" s="1"/>
  <c r="AI51" i="20"/>
  <c r="AH51" i="20" s="1"/>
  <c r="AG51" i="20" s="1"/>
  <c r="AF51" i="20" s="1"/>
  <c r="AD51" i="20" s="1"/>
  <c r="AI134" i="20"/>
  <c r="AH134" i="20" s="1"/>
  <c r="AI118" i="20"/>
  <c r="AH118" i="20" s="1"/>
  <c r="AG118" i="20" s="1"/>
  <c r="AF118" i="20" s="1"/>
  <c r="AD118" i="20" s="1"/>
  <c r="AI369" i="20"/>
  <c r="AH369" i="20" s="1"/>
  <c r="AG369" i="20" s="1"/>
  <c r="AF369" i="20" s="1"/>
  <c r="AD369" i="20" s="1"/>
  <c r="AI337" i="20"/>
  <c r="AH337" i="20" s="1"/>
  <c r="AG337" i="20" s="1"/>
  <c r="AF337" i="20" s="1"/>
  <c r="AD337" i="20" s="1"/>
  <c r="AI305" i="20"/>
  <c r="AH305" i="20" s="1"/>
  <c r="AG305" i="20" s="1"/>
  <c r="AF305" i="20" s="1"/>
  <c r="AD305" i="20" s="1"/>
  <c r="AI273" i="20"/>
  <c r="AH273" i="20" s="1"/>
  <c r="AG273" i="20" s="1"/>
  <c r="AF273" i="20" s="1"/>
  <c r="AD273" i="20" s="1"/>
  <c r="AI241" i="20"/>
  <c r="AH241" i="20" s="1"/>
  <c r="AG241" i="20" s="1"/>
  <c r="AF241" i="20" s="1"/>
  <c r="AD241" i="20" s="1"/>
  <c r="AI209" i="20"/>
  <c r="AH209" i="20" s="1"/>
  <c r="AG209" i="20" s="1"/>
  <c r="AF209" i="20" s="1"/>
  <c r="AD209" i="20" s="1"/>
  <c r="AI177" i="20"/>
  <c r="AH177" i="20" s="1"/>
  <c r="AG177" i="20" s="1"/>
  <c r="AF177" i="20" s="1"/>
  <c r="AD177" i="20" s="1"/>
  <c r="AI145" i="20"/>
  <c r="AH145" i="20" s="1"/>
  <c r="AI113" i="20"/>
  <c r="AH113" i="20" s="1"/>
  <c r="AG113" i="20" s="1"/>
  <c r="AF113" i="20" s="1"/>
  <c r="AD113" i="20" s="1"/>
  <c r="AI372" i="20"/>
  <c r="AH372" i="20" s="1"/>
  <c r="AI364" i="20"/>
  <c r="AH364" i="20" s="1"/>
  <c r="AG364" i="20" s="1"/>
  <c r="AF364" i="20" s="1"/>
  <c r="AD364" i="20" s="1"/>
  <c r="AI356" i="20"/>
  <c r="AH356" i="20" s="1"/>
  <c r="AI348" i="20"/>
  <c r="AH348" i="20" s="1"/>
  <c r="AG348" i="20" s="1"/>
  <c r="AF348" i="20" s="1"/>
  <c r="AD348" i="20" s="1"/>
  <c r="AI340" i="20"/>
  <c r="AH340" i="20" s="1"/>
  <c r="AI332" i="20"/>
  <c r="AH332" i="20" s="1"/>
  <c r="AI324" i="20"/>
  <c r="AH324" i="20" s="1"/>
  <c r="AI316" i="20"/>
  <c r="AH316" i="20" s="1"/>
  <c r="AG316" i="20" s="1"/>
  <c r="AF316" i="20" s="1"/>
  <c r="AD316" i="20" s="1"/>
  <c r="AI308" i="20"/>
  <c r="AH308" i="20" s="1"/>
  <c r="AI300" i="20"/>
  <c r="AH300" i="20" s="1"/>
  <c r="AG300" i="20" s="1"/>
  <c r="AF300" i="20" s="1"/>
  <c r="AD300" i="20" s="1"/>
  <c r="AI292" i="20"/>
  <c r="AH292" i="20" s="1"/>
  <c r="AI284" i="20"/>
  <c r="AH284" i="20" s="1"/>
  <c r="AG284" i="20" s="1"/>
  <c r="AF284" i="20" s="1"/>
  <c r="AD284" i="20" s="1"/>
  <c r="AI276" i="20"/>
  <c r="AH276" i="20" s="1"/>
  <c r="AI268" i="20"/>
  <c r="AH268" i="20" s="1"/>
  <c r="AI260" i="20"/>
  <c r="AH260" i="20" s="1"/>
  <c r="AG260" i="20" s="1"/>
  <c r="AF260" i="20" s="1"/>
  <c r="AD260" i="20" s="1"/>
  <c r="AI252" i="20"/>
  <c r="AH252" i="20" s="1"/>
  <c r="AI244" i="20"/>
  <c r="AH244" i="20" s="1"/>
  <c r="AI236" i="20"/>
  <c r="AH236" i="20" s="1"/>
  <c r="AI228" i="20"/>
  <c r="AH228" i="20" s="1"/>
  <c r="AG228" i="20" s="1"/>
  <c r="AF228" i="20" s="1"/>
  <c r="AD228" i="20" s="1"/>
  <c r="AI220" i="20"/>
  <c r="AH220" i="20" s="1"/>
  <c r="AI212" i="20"/>
  <c r="AH212" i="20" s="1"/>
  <c r="AI204" i="20"/>
  <c r="AH204" i="20" s="1"/>
  <c r="AI196" i="20"/>
  <c r="AH196" i="20" s="1"/>
  <c r="AI188" i="20"/>
  <c r="AH188" i="20" s="1"/>
  <c r="AG188" i="20" s="1"/>
  <c r="AF188" i="20" s="1"/>
  <c r="AD188" i="20" s="1"/>
  <c r="AI180" i="20"/>
  <c r="AH180" i="20" s="1"/>
  <c r="AI172" i="20"/>
  <c r="AH172" i="20" s="1"/>
  <c r="AG172" i="20" s="1"/>
  <c r="AF172" i="20" s="1"/>
  <c r="AD172" i="20" s="1"/>
  <c r="AI164" i="20"/>
  <c r="AH164" i="20" s="1"/>
  <c r="AI156" i="20"/>
  <c r="AH156" i="20" s="1"/>
  <c r="AG156" i="20" s="1"/>
  <c r="AF156" i="20" s="1"/>
  <c r="AD156" i="20" s="1"/>
  <c r="AI148" i="20"/>
  <c r="AH148" i="20" s="1"/>
  <c r="AG148" i="20" s="1"/>
  <c r="AF148" i="20" s="1"/>
  <c r="AD148" i="20" s="1"/>
  <c r="AI140" i="20"/>
  <c r="AH140" i="20" s="1"/>
  <c r="AG140" i="20" s="1"/>
  <c r="AF140" i="20" s="1"/>
  <c r="AD140" i="20" s="1"/>
  <c r="AI132" i="20"/>
  <c r="AH132" i="20" s="1"/>
  <c r="AI124" i="20"/>
  <c r="AH124" i="20" s="1"/>
  <c r="AG124" i="20" s="1"/>
  <c r="AF124" i="20" s="1"/>
  <c r="AD124" i="20" s="1"/>
  <c r="AA124" i="20" s="1"/>
  <c r="Z124" i="20" s="1"/>
  <c r="Y124" i="20" s="1"/>
  <c r="AI116" i="20"/>
  <c r="AH116" i="20" s="1"/>
  <c r="AI108" i="20"/>
  <c r="AH108" i="20" s="1"/>
  <c r="AG108" i="20" s="1"/>
  <c r="AF108" i="20" s="1"/>
  <c r="AD108" i="20" s="1"/>
  <c r="AI365" i="20"/>
  <c r="AH365" i="20" s="1"/>
  <c r="AG365" i="20" s="1"/>
  <c r="AF365" i="20" s="1"/>
  <c r="AD365" i="20" s="1"/>
  <c r="AI349" i="20"/>
  <c r="AH349" i="20" s="1"/>
  <c r="AI333" i="20"/>
  <c r="AH333" i="20" s="1"/>
  <c r="AI317" i="20"/>
  <c r="AH317" i="20" s="1"/>
  <c r="AI301" i="20"/>
  <c r="AH301" i="20" s="1"/>
  <c r="AI285" i="20"/>
  <c r="AH285" i="20" s="1"/>
  <c r="AI269" i="20"/>
  <c r="AH269" i="20" s="1"/>
  <c r="AI253" i="20"/>
  <c r="AH253" i="20" s="1"/>
  <c r="AI237" i="20"/>
  <c r="AH237" i="20" s="1"/>
  <c r="AI221" i="20"/>
  <c r="AH221" i="20" s="1"/>
  <c r="AI205" i="20"/>
  <c r="AH205" i="20" s="1"/>
  <c r="AI189" i="20"/>
  <c r="AH189" i="20" s="1"/>
  <c r="AI173" i="20"/>
  <c r="AH173" i="20" s="1"/>
  <c r="AI157" i="20"/>
  <c r="AH157" i="20" s="1"/>
  <c r="AI141" i="20"/>
  <c r="AH141" i="20" s="1"/>
  <c r="AI125" i="20"/>
  <c r="AH125" i="20" s="1"/>
  <c r="AI109" i="20"/>
  <c r="AH109" i="20" s="1"/>
  <c r="AG109" i="20" s="1"/>
  <c r="AF109" i="20" s="1"/>
  <c r="AD109" i="20" s="1"/>
  <c r="AI93" i="20"/>
  <c r="AH93" i="20" s="1"/>
  <c r="AI77" i="20"/>
  <c r="AH77" i="20" s="1"/>
  <c r="AI61" i="20"/>
  <c r="AH61" i="20" s="1"/>
  <c r="AI47" i="20"/>
  <c r="AH47" i="20" s="1"/>
  <c r="AG47" i="20" s="1"/>
  <c r="AF47" i="20" s="1"/>
  <c r="AD47" i="20" s="1"/>
  <c r="AI39" i="20"/>
  <c r="AH39" i="20" s="1"/>
  <c r="AI31" i="20"/>
  <c r="AH31" i="20" s="1"/>
  <c r="AI23" i="20"/>
  <c r="AH23" i="20" s="1"/>
  <c r="AI21" i="20"/>
  <c r="AH21" i="20" s="1"/>
  <c r="AI375" i="20"/>
  <c r="AH375" i="20" s="1"/>
  <c r="AG375" i="20" s="1"/>
  <c r="AF375" i="20" s="1"/>
  <c r="AD375" i="20" s="1"/>
  <c r="AI367" i="20"/>
  <c r="AH367" i="20" s="1"/>
  <c r="AG367" i="20" s="1"/>
  <c r="AF367" i="20" s="1"/>
  <c r="AD367" i="20" s="1"/>
  <c r="AI359" i="20"/>
  <c r="AH359" i="20" s="1"/>
  <c r="AG359" i="20" s="1"/>
  <c r="AF359" i="20" s="1"/>
  <c r="AD359" i="20" s="1"/>
  <c r="AI351" i="20"/>
  <c r="AH351" i="20" s="1"/>
  <c r="AG351" i="20" s="1"/>
  <c r="AF351" i="20" s="1"/>
  <c r="AD351" i="20" s="1"/>
  <c r="AI343" i="20"/>
  <c r="AH343" i="20" s="1"/>
  <c r="AG343" i="20" s="1"/>
  <c r="AF343" i="20" s="1"/>
  <c r="AD343" i="20" s="1"/>
  <c r="AA343" i="20" s="1"/>
  <c r="Z343" i="20" s="1"/>
  <c r="Y343" i="20" s="1"/>
  <c r="AI335" i="20"/>
  <c r="AH335" i="20" s="1"/>
  <c r="AG335" i="20" s="1"/>
  <c r="AF335" i="20" s="1"/>
  <c r="AD335" i="20" s="1"/>
  <c r="AI327" i="20"/>
  <c r="AH327" i="20" s="1"/>
  <c r="AG327" i="20" s="1"/>
  <c r="AF327" i="20" s="1"/>
  <c r="AD327" i="20" s="1"/>
  <c r="AI319" i="20"/>
  <c r="AH319" i="20" s="1"/>
  <c r="AG319" i="20" s="1"/>
  <c r="AF319" i="20" s="1"/>
  <c r="AD319" i="20" s="1"/>
  <c r="AI311" i="20"/>
  <c r="AH311" i="20" s="1"/>
  <c r="AG311" i="20" s="1"/>
  <c r="AF311" i="20" s="1"/>
  <c r="AD311" i="20" s="1"/>
  <c r="AI303" i="20"/>
  <c r="AH303" i="20" s="1"/>
  <c r="AG303" i="20" s="1"/>
  <c r="AF303" i="20" s="1"/>
  <c r="AD303" i="20" s="1"/>
  <c r="AI295" i="20"/>
  <c r="AH295" i="20" s="1"/>
  <c r="AG295" i="20" s="1"/>
  <c r="AF295" i="20" s="1"/>
  <c r="AD295" i="20" s="1"/>
  <c r="AI287" i="20"/>
  <c r="AH287" i="20" s="1"/>
  <c r="AG287" i="20" s="1"/>
  <c r="AF287" i="20" s="1"/>
  <c r="AD287" i="20" s="1"/>
  <c r="AI279" i="20"/>
  <c r="AH279" i="20" s="1"/>
  <c r="AG279" i="20" s="1"/>
  <c r="AF279" i="20" s="1"/>
  <c r="AD279" i="20" s="1"/>
  <c r="AI271" i="20"/>
  <c r="AH271" i="20" s="1"/>
  <c r="AG271" i="20" s="1"/>
  <c r="AF271" i="20" s="1"/>
  <c r="AD271" i="20" s="1"/>
  <c r="AI263" i="20"/>
  <c r="AH263" i="20" s="1"/>
  <c r="AG263" i="20" s="1"/>
  <c r="AF263" i="20" s="1"/>
  <c r="AD263" i="20" s="1"/>
  <c r="AI255" i="20"/>
  <c r="AH255" i="20" s="1"/>
  <c r="AG255" i="20" s="1"/>
  <c r="AF255" i="20" s="1"/>
  <c r="AD255" i="20" s="1"/>
  <c r="AI247" i="20"/>
  <c r="AH247" i="20" s="1"/>
  <c r="AG247" i="20" s="1"/>
  <c r="AF247" i="20" s="1"/>
  <c r="AD247" i="20" s="1"/>
  <c r="AI239" i="20"/>
  <c r="AH239" i="20" s="1"/>
  <c r="AG239" i="20" s="1"/>
  <c r="AF239" i="20" s="1"/>
  <c r="AD239" i="20" s="1"/>
  <c r="AI231" i="20"/>
  <c r="AH231" i="20" s="1"/>
  <c r="AG231" i="20" s="1"/>
  <c r="AF231" i="20" s="1"/>
  <c r="AD231" i="20" s="1"/>
  <c r="AI223" i="20"/>
  <c r="AH223" i="20" s="1"/>
  <c r="AG223" i="20" s="1"/>
  <c r="AF223" i="20" s="1"/>
  <c r="AD223" i="20" s="1"/>
  <c r="AI215" i="20"/>
  <c r="AH215" i="20" s="1"/>
  <c r="AG215" i="20" s="1"/>
  <c r="AF215" i="20" s="1"/>
  <c r="AD215" i="20" s="1"/>
  <c r="AA215" i="20" s="1"/>
  <c r="Z215" i="20" s="1"/>
  <c r="Y215" i="20" s="1"/>
  <c r="AI207" i="20"/>
  <c r="AH207" i="20" s="1"/>
  <c r="AG207" i="20" s="1"/>
  <c r="AF207" i="20" s="1"/>
  <c r="AD207" i="20" s="1"/>
  <c r="AI199" i="20"/>
  <c r="AH199" i="20" s="1"/>
  <c r="AG199" i="20" s="1"/>
  <c r="AF199" i="20" s="1"/>
  <c r="AD199" i="20" s="1"/>
  <c r="AI191" i="20"/>
  <c r="AH191" i="20" s="1"/>
  <c r="AG191" i="20" s="1"/>
  <c r="AF191" i="20" s="1"/>
  <c r="AD191" i="20" s="1"/>
  <c r="AI183" i="20"/>
  <c r="AH183" i="20" s="1"/>
  <c r="AG183" i="20" s="1"/>
  <c r="AF183" i="20" s="1"/>
  <c r="AD183" i="20" s="1"/>
  <c r="AI175" i="20"/>
  <c r="AH175" i="20" s="1"/>
  <c r="AG175" i="20" s="1"/>
  <c r="AF175" i="20" s="1"/>
  <c r="AD175" i="20" s="1"/>
  <c r="AI167" i="20"/>
  <c r="AH167" i="20" s="1"/>
  <c r="AG167" i="20" s="1"/>
  <c r="AF167" i="20" s="1"/>
  <c r="AD167" i="20" s="1"/>
  <c r="AI159" i="20"/>
  <c r="AH159" i="20" s="1"/>
  <c r="AG159" i="20" s="1"/>
  <c r="AF159" i="20" s="1"/>
  <c r="AD159" i="20" s="1"/>
  <c r="AI151" i="20"/>
  <c r="AH151" i="20" s="1"/>
  <c r="AG151" i="20" s="1"/>
  <c r="AF151" i="20" s="1"/>
  <c r="AD151" i="20" s="1"/>
  <c r="AI143" i="20"/>
  <c r="AH143" i="20" s="1"/>
  <c r="AG143" i="20" s="1"/>
  <c r="AF143" i="20" s="1"/>
  <c r="AD143" i="20" s="1"/>
  <c r="AI135" i="20"/>
  <c r="AH135" i="20" s="1"/>
  <c r="AG135" i="20" s="1"/>
  <c r="AF135" i="20" s="1"/>
  <c r="AD135" i="20" s="1"/>
  <c r="AI127" i="20"/>
  <c r="AH127" i="20" s="1"/>
  <c r="AG127" i="20" s="1"/>
  <c r="AF127" i="20" s="1"/>
  <c r="AD127" i="20" s="1"/>
  <c r="AI119" i="20"/>
  <c r="AH119" i="20" s="1"/>
  <c r="AG119" i="20" s="1"/>
  <c r="AF119" i="20" s="1"/>
  <c r="AD119" i="20" s="1"/>
  <c r="AI111" i="20"/>
  <c r="AH111" i="20" s="1"/>
  <c r="AG111" i="20" s="1"/>
  <c r="AF111" i="20" s="1"/>
  <c r="AD111" i="20" s="1"/>
  <c r="AI103" i="20"/>
  <c r="AH103" i="20" s="1"/>
  <c r="AG103" i="20" s="1"/>
  <c r="AF103" i="20" s="1"/>
  <c r="AD103" i="20" s="1"/>
  <c r="AI95" i="20"/>
  <c r="AH95" i="20" s="1"/>
  <c r="AG95" i="20" s="1"/>
  <c r="AF95" i="20" s="1"/>
  <c r="AD95" i="20" s="1"/>
  <c r="AI87" i="20"/>
  <c r="AH87" i="20" s="1"/>
  <c r="AG87" i="20" s="1"/>
  <c r="AF87" i="20" s="1"/>
  <c r="AD87" i="20" s="1"/>
  <c r="AI79" i="20"/>
  <c r="AH79" i="20" s="1"/>
  <c r="AG79" i="20" s="1"/>
  <c r="AF79" i="20" s="1"/>
  <c r="AD79" i="20" s="1"/>
  <c r="AI71" i="20"/>
  <c r="AH71" i="20" s="1"/>
  <c r="AG71" i="20" s="1"/>
  <c r="AF71" i="20" s="1"/>
  <c r="AD71" i="20" s="1"/>
  <c r="AI63" i="20"/>
  <c r="AH63" i="20" s="1"/>
  <c r="AG63" i="20" s="1"/>
  <c r="AF63" i="20" s="1"/>
  <c r="AD63" i="20" s="1"/>
  <c r="AI55" i="20"/>
  <c r="AH55" i="20" s="1"/>
  <c r="AG55" i="20" s="1"/>
  <c r="AF55" i="20" s="1"/>
  <c r="AD55" i="20" s="1"/>
  <c r="AH383" i="18"/>
  <c r="J179" i="18"/>
  <c r="J279" i="18"/>
  <c r="I265" i="18"/>
  <c r="I259" i="18"/>
  <c r="I375" i="18"/>
  <c r="AH22" i="7"/>
  <c r="U382" i="20"/>
  <c r="J331" i="18"/>
  <c r="I103" i="18"/>
  <c r="J167" i="18"/>
  <c r="AH24" i="7"/>
  <c r="J247" i="18"/>
  <c r="V272" i="20"/>
  <c r="AH30" i="7"/>
  <c r="J73" i="18"/>
  <c r="J65" i="18"/>
  <c r="J177" i="18"/>
  <c r="I71" i="18"/>
  <c r="I121" i="18"/>
  <c r="J53" i="18"/>
  <c r="W338" i="20"/>
  <c r="W246" i="20"/>
  <c r="W275" i="20"/>
  <c r="D23" i="20"/>
  <c r="E23" i="20" s="1"/>
  <c r="F23" i="20" s="1"/>
  <c r="G23" i="20" s="1"/>
  <c r="CB23" i="6" s="1"/>
  <c r="AH29" i="7"/>
  <c r="V119" i="20"/>
  <c r="E66" i="19" s="1"/>
  <c r="I223" i="18"/>
  <c r="J275" i="18"/>
  <c r="J374" i="18"/>
  <c r="J67" i="18"/>
  <c r="AA333" i="18"/>
  <c r="Z333" i="18" s="1"/>
  <c r="Y333" i="18" s="1"/>
  <c r="I346" i="18"/>
  <c r="D198" i="20"/>
  <c r="E198" i="20" s="1"/>
  <c r="F198" i="20" s="1"/>
  <c r="H198" i="20" s="1"/>
  <c r="J257" i="18"/>
  <c r="J187" i="18"/>
  <c r="D342" i="20"/>
  <c r="E342" i="20" s="1"/>
  <c r="F342" i="20" s="1"/>
  <c r="G342" i="20" s="1"/>
  <c r="CB342" i="6" s="1"/>
  <c r="D250" i="20"/>
  <c r="E250" i="20" s="1"/>
  <c r="F250" i="20" s="1"/>
  <c r="G250" i="20" s="1"/>
  <c r="CB250" i="6" s="1"/>
  <c r="D222" i="20"/>
  <c r="E222" i="20" s="1"/>
  <c r="F222" i="20" s="1"/>
  <c r="H222" i="20" s="1"/>
  <c r="V363" i="20"/>
  <c r="W111" i="20"/>
  <c r="D55" i="20"/>
  <c r="E55" i="20" s="1"/>
  <c r="F55" i="20" s="1"/>
  <c r="G55" i="20" s="1"/>
  <c r="CB55" i="6" s="1"/>
  <c r="D362" i="20"/>
  <c r="E362" i="20" s="1"/>
  <c r="F362" i="20" s="1"/>
  <c r="G362" i="20" s="1"/>
  <c r="CB362" i="6" s="1"/>
  <c r="D314" i="20"/>
  <c r="E314" i="20" s="1"/>
  <c r="F314" i="20" s="1"/>
  <c r="G314" i="20" s="1"/>
  <c r="CB314" i="6" s="1"/>
  <c r="W278" i="20"/>
  <c r="D174" i="20"/>
  <c r="E174" i="20" s="1"/>
  <c r="F174" i="20" s="1"/>
  <c r="G174" i="20" s="1"/>
  <c r="CB174" i="6" s="1"/>
  <c r="W215" i="20"/>
  <c r="D79" i="20"/>
  <c r="E79" i="20" s="1"/>
  <c r="F79" i="20" s="1"/>
  <c r="G79" i="20" s="1"/>
  <c r="CB79" i="6" s="1"/>
  <c r="H360" i="18"/>
  <c r="J360" i="18" s="1"/>
  <c r="D193" i="20"/>
  <c r="E193" i="20" s="1"/>
  <c r="F193" i="20" s="1"/>
  <c r="G193" i="20" s="1"/>
  <c r="CB193" i="6" s="1"/>
  <c r="J149" i="18"/>
  <c r="J292" i="18"/>
  <c r="I377" i="18"/>
  <c r="J115" i="18"/>
  <c r="I296" i="18"/>
  <c r="J163" i="18"/>
  <c r="J147" i="18"/>
  <c r="D351" i="20"/>
  <c r="E351" i="20" s="1"/>
  <c r="F351" i="20" s="1"/>
  <c r="AA351" i="20" s="1"/>
  <c r="Z351" i="20" s="1"/>
  <c r="Y351" i="20" s="1"/>
  <c r="J25" i="18"/>
  <c r="W236" i="20"/>
  <c r="J110" i="18"/>
  <c r="I87" i="18"/>
  <c r="W312" i="20"/>
  <c r="W109" i="20"/>
  <c r="D43" i="20"/>
  <c r="E43" i="20" s="1"/>
  <c r="F43" i="20" s="1"/>
  <c r="G43" i="20" s="1"/>
  <c r="CB43" i="6" s="1"/>
  <c r="J19" i="18"/>
  <c r="J51" i="18"/>
  <c r="J82" i="18"/>
  <c r="H272" i="18"/>
  <c r="J272" i="18" s="1"/>
  <c r="J21" i="18"/>
  <c r="J233" i="18"/>
  <c r="J239" i="18"/>
  <c r="D331" i="20"/>
  <c r="E331" i="20" s="1"/>
  <c r="F331" i="20" s="1"/>
  <c r="G331" i="20" s="1"/>
  <c r="CB331" i="6" s="1"/>
  <c r="D375" i="20"/>
  <c r="E375" i="20" s="1"/>
  <c r="F375" i="20" s="1"/>
  <c r="G375" i="20" s="1"/>
  <c r="CB375" i="6" s="1"/>
  <c r="D347" i="20"/>
  <c r="E347" i="20" s="1"/>
  <c r="F347" i="20" s="1"/>
  <c r="G347" i="20" s="1"/>
  <c r="CB347" i="6" s="1"/>
  <c r="D283" i="20"/>
  <c r="E283" i="20" s="1"/>
  <c r="F283" i="20" s="1"/>
  <c r="AA283" i="20" s="1"/>
  <c r="Z283" i="20" s="1"/>
  <c r="Y283" i="20" s="1"/>
  <c r="W259" i="20"/>
  <c r="W203" i="20"/>
  <c r="W195" i="20"/>
  <c r="D153" i="20"/>
  <c r="E153" i="20" s="1"/>
  <c r="F153" i="20" s="1"/>
  <c r="AA153" i="20" s="1"/>
  <c r="Z153" i="20" s="1"/>
  <c r="Y153" i="20" s="1"/>
  <c r="D121" i="20"/>
  <c r="E121" i="20" s="1"/>
  <c r="F121" i="20" s="1"/>
  <c r="W103" i="20"/>
  <c r="D63" i="20"/>
  <c r="E63" i="20" s="1"/>
  <c r="F63" i="20" s="1"/>
  <c r="G63" i="20" s="1"/>
  <c r="CB63" i="6" s="1"/>
  <c r="D378" i="20"/>
  <c r="E378" i="20" s="1"/>
  <c r="F378" i="20" s="1"/>
  <c r="G378" i="20" s="1"/>
  <c r="CB378" i="6" s="1"/>
  <c r="W346" i="20"/>
  <c r="D326" i="20"/>
  <c r="E326" i="20" s="1"/>
  <c r="F326" i="20" s="1"/>
  <c r="H326" i="20" s="1"/>
  <c r="D282" i="20"/>
  <c r="E282" i="20" s="1"/>
  <c r="F282" i="20" s="1"/>
  <c r="G282" i="20" s="1"/>
  <c r="CB282" i="6" s="1"/>
  <c r="AH26" i="7"/>
  <c r="W190" i="20"/>
  <c r="W178" i="20"/>
  <c r="W371" i="20"/>
  <c r="W311" i="20"/>
  <c r="W243" i="20"/>
  <c r="D167" i="20"/>
  <c r="E167" i="20" s="1"/>
  <c r="F167" i="20" s="1"/>
  <c r="G167" i="20" s="1"/>
  <c r="CB167" i="6" s="1"/>
  <c r="W97" i="20"/>
  <c r="W65" i="20"/>
  <c r="W33" i="20"/>
  <c r="I220" i="18"/>
  <c r="D139" i="20"/>
  <c r="E139" i="20" s="1"/>
  <c r="F139" i="20" s="1"/>
  <c r="G139" i="20" s="1"/>
  <c r="CB139" i="6" s="1"/>
  <c r="H363" i="18"/>
  <c r="J363" i="18" s="1"/>
  <c r="D297" i="20"/>
  <c r="E297" i="20" s="1"/>
  <c r="F297" i="20" s="1"/>
  <c r="G297" i="20" s="1"/>
  <c r="CB297" i="6" s="1"/>
  <c r="W287" i="20"/>
  <c r="D279" i="20"/>
  <c r="E279" i="20" s="1"/>
  <c r="F279" i="20" s="1"/>
  <c r="D263" i="20"/>
  <c r="E263" i="20" s="1"/>
  <c r="F263" i="20" s="1"/>
  <c r="H263" i="20" s="1"/>
  <c r="W235" i="20"/>
  <c r="D355" i="20"/>
  <c r="E355" i="20" s="1"/>
  <c r="F355" i="20" s="1"/>
  <c r="G355" i="20" s="1"/>
  <c r="CB355" i="6" s="1"/>
  <c r="W343" i="20"/>
  <c r="D307" i="20"/>
  <c r="E307" i="20" s="1"/>
  <c r="F307" i="20" s="1"/>
  <c r="G307" i="20" s="1"/>
  <c r="CB307" i="6" s="1"/>
  <c r="D219" i="20"/>
  <c r="E219" i="20" s="1"/>
  <c r="F219" i="20" s="1"/>
  <c r="D25" i="20"/>
  <c r="E25" i="20" s="1"/>
  <c r="F25" i="20" s="1"/>
  <c r="H25" i="20" s="1"/>
  <c r="D99" i="20"/>
  <c r="E99" i="20" s="1"/>
  <c r="F99" i="20" s="1"/>
  <c r="AA99" i="20" s="1"/>
  <c r="Z99" i="20" s="1"/>
  <c r="Y99" i="20" s="1"/>
  <c r="W35" i="20"/>
  <c r="W265" i="20"/>
  <c r="W209" i="20"/>
  <c r="J176" i="18"/>
  <c r="I267" i="18"/>
  <c r="J252" i="18"/>
  <c r="I18" i="18"/>
  <c r="I303" i="18"/>
  <c r="D16" i="20"/>
  <c r="E16" i="20" s="1"/>
  <c r="F16" i="20" s="1"/>
  <c r="H16" i="20" s="1"/>
  <c r="J148" i="18"/>
  <c r="D349" i="20"/>
  <c r="E349" i="20" s="1"/>
  <c r="F349" i="20" s="1"/>
  <c r="I352" i="18"/>
  <c r="W328" i="20"/>
  <c r="W276" i="20"/>
  <c r="D260" i="20"/>
  <c r="E260" i="20" s="1"/>
  <c r="F260" i="20" s="1"/>
  <c r="G260" i="20" s="1"/>
  <c r="CB260" i="6" s="1"/>
  <c r="D313" i="20"/>
  <c r="E313" i="20" s="1"/>
  <c r="F313" i="20" s="1"/>
  <c r="AA313" i="20" s="1"/>
  <c r="Z313" i="20" s="1"/>
  <c r="Y313" i="20" s="1"/>
  <c r="D340" i="20"/>
  <c r="E340" i="20" s="1"/>
  <c r="F340" i="20" s="1"/>
  <c r="G340" i="20" s="1"/>
  <c r="CB340" i="6" s="1"/>
  <c r="W292" i="20"/>
  <c r="W216" i="20"/>
  <c r="W293" i="20"/>
  <c r="D147" i="20"/>
  <c r="E147" i="20" s="1"/>
  <c r="F147" i="20" s="1"/>
  <c r="J357" i="18"/>
  <c r="I340" i="18"/>
  <c r="I75" i="18"/>
  <c r="I41" i="18"/>
  <c r="J50" i="18"/>
  <c r="W372" i="20"/>
  <c r="D332" i="20"/>
  <c r="E332" i="20" s="1"/>
  <c r="F332" i="20" s="1"/>
  <c r="G332" i="20" s="1"/>
  <c r="CB332" i="6" s="1"/>
  <c r="D280" i="20"/>
  <c r="E280" i="20" s="1"/>
  <c r="F280" i="20" s="1"/>
  <c r="G280" i="20" s="1"/>
  <c r="CB280" i="6" s="1"/>
  <c r="D212" i="20"/>
  <c r="E212" i="20" s="1"/>
  <c r="F212" i="20" s="1"/>
  <c r="W176" i="20"/>
  <c r="W353" i="20"/>
  <c r="D305" i="20"/>
  <c r="E305" i="20" s="1"/>
  <c r="F305" i="20" s="1"/>
  <c r="AA305" i="20" s="1"/>
  <c r="Z305" i="20" s="1"/>
  <c r="Y305" i="20" s="1"/>
  <c r="W245" i="20"/>
  <c r="W229" i="20"/>
  <c r="D185" i="20"/>
  <c r="E185" i="20" s="1"/>
  <c r="F185" i="20" s="1"/>
  <c r="G185" i="20" s="1"/>
  <c r="CB185" i="6" s="1"/>
  <c r="W115" i="20"/>
  <c r="D368" i="20"/>
  <c r="E368" i="20" s="1"/>
  <c r="F368" i="20" s="1"/>
  <c r="W232" i="20"/>
  <c r="D329" i="20"/>
  <c r="E329" i="20" s="1"/>
  <c r="F329" i="20" s="1"/>
  <c r="D281" i="20"/>
  <c r="E281" i="20" s="1"/>
  <c r="F281" i="20" s="1"/>
  <c r="AA281" i="20" s="1"/>
  <c r="Z281" i="20" s="1"/>
  <c r="Y281" i="20" s="1"/>
  <c r="D257" i="20"/>
  <c r="E257" i="20" s="1"/>
  <c r="F257" i="20" s="1"/>
  <c r="D237" i="20"/>
  <c r="E237" i="20" s="1"/>
  <c r="F237" i="20" s="1"/>
  <c r="W193" i="20"/>
  <c r="D131" i="20"/>
  <c r="E131" i="20" s="1"/>
  <c r="F131" i="20" s="1"/>
  <c r="D101" i="20"/>
  <c r="E101" i="20" s="1"/>
  <c r="F101" i="20" s="1"/>
  <c r="G101" i="20" s="1"/>
  <c r="CB101" i="6" s="1"/>
  <c r="D61" i="20"/>
  <c r="E61" i="20" s="1"/>
  <c r="F61" i="20" s="1"/>
  <c r="H61" i="20" s="1"/>
  <c r="G291" i="18"/>
  <c r="CA291" i="6" s="1"/>
  <c r="AA291" i="18"/>
  <c r="Z291" i="18" s="1"/>
  <c r="Y291" i="18" s="1"/>
  <c r="AA360" i="18"/>
  <c r="Z360" i="18" s="1"/>
  <c r="Y360" i="18" s="1"/>
  <c r="G360" i="18"/>
  <c r="CA360" i="6" s="1"/>
  <c r="J299" i="18"/>
  <c r="J248" i="18"/>
  <c r="W38" i="20"/>
  <c r="D38" i="20"/>
  <c r="E38" i="20" s="1"/>
  <c r="F38" i="20" s="1"/>
  <c r="AA38" i="20" s="1"/>
  <c r="Z38" i="20" s="1"/>
  <c r="Y38" i="20" s="1"/>
  <c r="W226" i="20"/>
  <c r="D226" i="20"/>
  <c r="E226" i="20" s="1"/>
  <c r="F226" i="20" s="1"/>
  <c r="W214" i="20"/>
  <c r="D214" i="20"/>
  <c r="E214" i="20" s="1"/>
  <c r="F214" i="20" s="1"/>
  <c r="J183" i="18"/>
  <c r="J56" i="18"/>
  <c r="J137" i="18"/>
  <c r="J336" i="18"/>
  <c r="J95" i="18"/>
  <c r="J185" i="18"/>
  <c r="J152" i="18"/>
  <c r="D123" i="20"/>
  <c r="E123" i="20" s="1"/>
  <c r="F123" i="20" s="1"/>
  <c r="D107" i="20"/>
  <c r="E107" i="20" s="1"/>
  <c r="F107" i="20" s="1"/>
  <c r="AA107" i="20" s="1"/>
  <c r="Z107" i="20" s="1"/>
  <c r="Y107" i="20" s="1"/>
  <c r="J153" i="18"/>
  <c r="J261" i="18"/>
  <c r="J79" i="18"/>
  <c r="J126" i="18"/>
  <c r="J68" i="18"/>
  <c r="H334" i="18"/>
  <c r="F119" i="18"/>
  <c r="J145" i="18"/>
  <c r="I145" i="18"/>
  <c r="D192" i="20"/>
  <c r="E192" i="20" s="1"/>
  <c r="F192" i="20" s="1"/>
  <c r="H192" i="20" s="1"/>
  <c r="W184" i="20"/>
  <c r="W341" i="20"/>
  <c r="W309" i="20"/>
  <c r="W301" i="20"/>
  <c r="D253" i="20"/>
  <c r="E253" i="20" s="1"/>
  <c r="F253" i="20" s="1"/>
  <c r="G253" i="20" s="1"/>
  <c r="CB253" i="6" s="1"/>
  <c r="V241" i="20"/>
  <c r="W217" i="20"/>
  <c r="D173" i="20"/>
  <c r="E173" i="20" s="1"/>
  <c r="F173" i="20" s="1"/>
  <c r="G173" i="20" s="1"/>
  <c r="CB173" i="6" s="1"/>
  <c r="D133" i="20"/>
  <c r="E133" i="20" s="1"/>
  <c r="F133" i="20" s="1"/>
  <c r="W83" i="20"/>
  <c r="D51" i="20"/>
  <c r="E51" i="20" s="1"/>
  <c r="F51" i="20" s="1"/>
  <c r="V29" i="20"/>
  <c r="D29" i="20" s="1"/>
  <c r="E29" i="20" s="1"/>
  <c r="F29" i="20" s="1"/>
  <c r="W356" i="20"/>
  <c r="W336" i="20"/>
  <c r="W264" i="20"/>
  <c r="D252" i="20"/>
  <c r="E252" i="20" s="1"/>
  <c r="F252" i="20" s="1"/>
  <c r="H252" i="20" s="1"/>
  <c r="W244" i="20"/>
  <c r="D204" i="20"/>
  <c r="E204" i="20" s="1"/>
  <c r="F204" i="20" s="1"/>
  <c r="W377" i="20"/>
  <c r="D337" i="20"/>
  <c r="E337" i="20" s="1"/>
  <c r="F337" i="20" s="1"/>
  <c r="G337" i="20" s="1"/>
  <c r="CB337" i="6" s="1"/>
  <c r="W317" i="20"/>
  <c r="D285" i="20"/>
  <c r="E285" i="20" s="1"/>
  <c r="F285" i="20" s="1"/>
  <c r="D277" i="20"/>
  <c r="E277" i="20" s="1"/>
  <c r="F277" i="20" s="1"/>
  <c r="D261" i="20"/>
  <c r="E261" i="20" s="1"/>
  <c r="F261" i="20" s="1"/>
  <c r="D233" i="20"/>
  <c r="E233" i="20" s="1"/>
  <c r="F233" i="20" s="1"/>
  <c r="G233" i="20" s="1"/>
  <c r="CB233" i="6" s="1"/>
  <c r="W205" i="20"/>
  <c r="W197" i="20"/>
  <c r="W155" i="20"/>
  <c r="D69" i="20"/>
  <c r="E69" i="20" s="1"/>
  <c r="F69" i="20" s="1"/>
  <c r="W53" i="20"/>
  <c r="W37" i="20"/>
  <c r="H350" i="18"/>
  <c r="G334" i="18"/>
  <c r="CA334" i="6" s="1"/>
  <c r="AA334" i="18"/>
  <c r="Z334" i="18" s="1"/>
  <c r="Y334" i="18" s="1"/>
  <c r="U383" i="20"/>
  <c r="U381" i="20"/>
  <c r="F193" i="18"/>
  <c r="AA193" i="18" s="1"/>
  <c r="Z193" i="18" s="1"/>
  <c r="Y193" i="18" s="1"/>
  <c r="AA350" i="18"/>
  <c r="Z350" i="18" s="1"/>
  <c r="Y350" i="18" s="1"/>
  <c r="F251" i="18"/>
  <c r="AA251" i="18" s="1"/>
  <c r="Z251" i="18" s="1"/>
  <c r="Y251" i="18" s="1"/>
  <c r="F123" i="18"/>
  <c r="G123" i="18" s="1"/>
  <c r="CA123" i="6" s="1"/>
  <c r="J88" i="18"/>
  <c r="AA201" i="18"/>
  <c r="Z201" i="18" s="1"/>
  <c r="Y201" i="18" s="1"/>
  <c r="G201" i="18"/>
  <c r="CA201" i="6" s="1"/>
  <c r="H201" i="18"/>
  <c r="G107" i="18"/>
  <c r="CA107" i="6" s="1"/>
  <c r="AA107" i="18"/>
  <c r="Z107" i="18" s="1"/>
  <c r="Y107" i="18" s="1"/>
  <c r="H107" i="18"/>
  <c r="AA99" i="18"/>
  <c r="Z99" i="18" s="1"/>
  <c r="Y99" i="18" s="1"/>
  <c r="G99" i="18"/>
  <c r="CA99" i="6" s="1"/>
  <c r="H99" i="18"/>
  <c r="G203" i="18"/>
  <c r="CA203" i="6" s="1"/>
  <c r="H203" i="18"/>
  <c r="AA203" i="18"/>
  <c r="Z203" i="18" s="1"/>
  <c r="Y203" i="18" s="1"/>
  <c r="AD381" i="17"/>
  <c r="AD383" i="17"/>
  <c r="AD382" i="17"/>
  <c r="P383" i="17"/>
  <c r="P382" i="17"/>
  <c r="V15" i="17"/>
  <c r="P381" i="17"/>
  <c r="J109" i="17"/>
  <c r="I109" i="17"/>
  <c r="H109" i="18" s="1"/>
  <c r="I231" i="17"/>
  <c r="H231" i="18" s="1"/>
  <c r="J231" i="17"/>
  <c r="J330" i="18"/>
  <c r="I330" i="18"/>
  <c r="J321" i="18"/>
  <c r="I321" i="18"/>
  <c r="G23" i="18"/>
  <c r="CA23" i="6" s="1"/>
  <c r="AA23" i="18"/>
  <c r="Z23" i="18" s="1"/>
  <c r="Y23" i="18" s="1"/>
  <c r="H23" i="18"/>
  <c r="G83" i="18"/>
  <c r="CA83" i="6" s="1"/>
  <c r="AA83" i="18"/>
  <c r="Z83" i="18" s="1"/>
  <c r="Y83" i="18" s="1"/>
  <c r="H83" i="18"/>
  <c r="AA63" i="18"/>
  <c r="Z63" i="18" s="1"/>
  <c r="Y63" i="18" s="1"/>
  <c r="G63" i="18"/>
  <c r="CA63" i="6" s="1"/>
  <c r="H63" i="18"/>
  <c r="G131" i="18"/>
  <c r="CA131" i="6" s="1"/>
  <c r="AA131" i="18"/>
  <c r="Z131" i="18" s="1"/>
  <c r="Y131" i="18" s="1"/>
  <c r="H131" i="18"/>
  <c r="AH16" i="7"/>
  <c r="AN11" i="7" s="1"/>
  <c r="U11" i="22" s="1"/>
  <c r="T379" i="20"/>
  <c r="U12" i="22"/>
  <c r="AM16" i="7" s="1"/>
  <c r="S367" i="20"/>
  <c r="R367" i="20" s="1"/>
  <c r="P367" i="20" s="1"/>
  <c r="V367" i="20" s="1"/>
  <c r="B367" i="20" s="1"/>
  <c r="W339" i="20"/>
  <c r="D339" i="20"/>
  <c r="E339" i="20" s="1"/>
  <c r="F339" i="20" s="1"/>
  <c r="S335" i="20"/>
  <c r="R335" i="20" s="1"/>
  <c r="P335" i="20" s="1"/>
  <c r="V335" i="20" s="1"/>
  <c r="B335" i="20" s="1"/>
  <c r="S327" i="20"/>
  <c r="R327" i="20" s="1"/>
  <c r="P327" i="20" s="1"/>
  <c r="V327" i="20" s="1"/>
  <c r="B327" i="20" s="1"/>
  <c r="W323" i="20"/>
  <c r="D323" i="20"/>
  <c r="E323" i="20" s="1"/>
  <c r="F323" i="20" s="1"/>
  <c r="H323" i="20" s="1"/>
  <c r="W315" i="20"/>
  <c r="D315" i="20"/>
  <c r="E315" i="20" s="1"/>
  <c r="F315" i="20" s="1"/>
  <c r="H315" i="20" s="1"/>
  <c r="I315" i="20" s="1"/>
  <c r="B315" i="6" s="1"/>
  <c r="BA315" i="6" s="1"/>
  <c r="D315" i="6" s="1"/>
  <c r="S295" i="20"/>
  <c r="R295" i="20" s="1"/>
  <c r="P295" i="20" s="1"/>
  <c r="V295" i="20" s="1"/>
  <c r="B295" i="20" s="1"/>
  <c r="S291" i="20"/>
  <c r="R291" i="20" s="1"/>
  <c r="P291" i="20" s="1"/>
  <c r="V291" i="20" s="1"/>
  <c r="B291" i="20" s="1"/>
  <c r="S271" i="20"/>
  <c r="R271" i="20" s="1"/>
  <c r="P271" i="20" s="1"/>
  <c r="V271" i="20" s="1"/>
  <c r="B271" i="20" s="1"/>
  <c r="S267" i="20"/>
  <c r="R267" i="20" s="1"/>
  <c r="P267" i="20" s="1"/>
  <c r="V267" i="20" s="1"/>
  <c r="B267" i="20" s="1"/>
  <c r="S255" i="20"/>
  <c r="R255" i="20" s="1"/>
  <c r="P255" i="20" s="1"/>
  <c r="V255" i="20" s="1"/>
  <c r="B255" i="20" s="1"/>
  <c r="S247" i="20"/>
  <c r="R247" i="20" s="1"/>
  <c r="P247" i="20" s="1"/>
  <c r="V247" i="20" s="1"/>
  <c r="B247" i="20" s="1"/>
  <c r="S239" i="20"/>
  <c r="R239" i="20" s="1"/>
  <c r="P239" i="20" s="1"/>
  <c r="V239" i="20" s="1"/>
  <c r="B239" i="20" s="1"/>
  <c r="S231" i="20"/>
  <c r="R231" i="20" s="1"/>
  <c r="P231" i="20" s="1"/>
  <c r="V231" i="20" s="1"/>
  <c r="B231" i="20" s="1"/>
  <c r="S227" i="20"/>
  <c r="R227" i="20" s="1"/>
  <c r="P227" i="20" s="1"/>
  <c r="V227" i="20" s="1"/>
  <c r="B227" i="20" s="1"/>
  <c r="S223" i="20"/>
  <c r="R223" i="20" s="1"/>
  <c r="P223" i="20" s="1"/>
  <c r="V223" i="20" s="1"/>
  <c r="B223" i="20" s="1"/>
  <c r="S191" i="20"/>
  <c r="R191" i="20" s="1"/>
  <c r="P191" i="20" s="1"/>
  <c r="V191" i="20" s="1"/>
  <c r="B191" i="20" s="1"/>
  <c r="S187" i="20"/>
  <c r="R187" i="20" s="1"/>
  <c r="P187" i="20" s="1"/>
  <c r="V187" i="20" s="1"/>
  <c r="B187" i="20" s="1"/>
  <c r="S179" i="20"/>
  <c r="R179" i="20" s="1"/>
  <c r="P179" i="20" s="1"/>
  <c r="V179" i="20" s="1"/>
  <c r="B179" i="20" s="1"/>
  <c r="S175" i="20"/>
  <c r="R175" i="20" s="1"/>
  <c r="P175" i="20" s="1"/>
  <c r="V175" i="20" s="1"/>
  <c r="B175" i="20" s="1"/>
  <c r="W169" i="20"/>
  <c r="D169" i="20"/>
  <c r="E169" i="20" s="1"/>
  <c r="F169" i="20" s="1"/>
  <c r="S161" i="20"/>
  <c r="R161" i="20" s="1"/>
  <c r="P161" i="20" s="1"/>
  <c r="V161" i="20" s="1"/>
  <c r="B161" i="20" s="1"/>
  <c r="S145" i="20"/>
  <c r="R145" i="20" s="1"/>
  <c r="P145" i="20" s="1"/>
  <c r="V145" i="20" s="1"/>
  <c r="B145" i="20" s="1"/>
  <c r="S137" i="20"/>
  <c r="R137" i="20" s="1"/>
  <c r="P137" i="20" s="1"/>
  <c r="V137" i="20" s="1"/>
  <c r="B137" i="20" s="1"/>
  <c r="S89" i="20"/>
  <c r="R89" i="20" s="1"/>
  <c r="P89" i="20" s="1"/>
  <c r="V89" i="20" s="1"/>
  <c r="B89" i="20" s="1"/>
  <c r="S81" i="20"/>
  <c r="R81" i="20" s="1"/>
  <c r="P81" i="20" s="1"/>
  <c r="V81" i="20" s="1"/>
  <c r="B81" i="20" s="1"/>
  <c r="S57" i="20"/>
  <c r="R57" i="20" s="1"/>
  <c r="P57" i="20" s="1"/>
  <c r="V57" i="20" s="1"/>
  <c r="B57" i="20" s="1"/>
  <c r="S49" i="20"/>
  <c r="R49" i="20" s="1"/>
  <c r="P49" i="20" s="1"/>
  <c r="V49" i="20" s="1"/>
  <c r="B49" i="20" s="1"/>
  <c r="S41" i="20"/>
  <c r="R41" i="20" s="1"/>
  <c r="P41" i="20" s="1"/>
  <c r="V41" i="20" s="1"/>
  <c r="B41" i="20" s="1"/>
  <c r="W374" i="20"/>
  <c r="D374" i="20"/>
  <c r="E374" i="20" s="1"/>
  <c r="F374" i="20" s="1"/>
  <c r="G374" i="20" s="1"/>
  <c r="CB374" i="6" s="1"/>
  <c r="D370" i="20"/>
  <c r="E370" i="20" s="1"/>
  <c r="F370" i="20" s="1"/>
  <c r="W370" i="20"/>
  <c r="W350" i="20"/>
  <c r="D350" i="20"/>
  <c r="E350" i="20" s="1"/>
  <c r="F350" i="20" s="1"/>
  <c r="D334" i="20"/>
  <c r="E334" i="20" s="1"/>
  <c r="F334" i="20" s="1"/>
  <c r="W334" i="20"/>
  <c r="W322" i="20"/>
  <c r="D322" i="20"/>
  <c r="E322" i="20" s="1"/>
  <c r="F322" i="20" s="1"/>
  <c r="H322" i="20" s="1"/>
  <c r="S270" i="20"/>
  <c r="R270" i="20" s="1"/>
  <c r="P270" i="20" s="1"/>
  <c r="V270" i="20" s="1"/>
  <c r="B270" i="20" s="1"/>
  <c r="W262" i="20"/>
  <c r="D262" i="20"/>
  <c r="E262" i="20" s="1"/>
  <c r="F262" i="20" s="1"/>
  <c r="G262" i="20" s="1"/>
  <c r="CB262" i="6" s="1"/>
  <c r="S254" i="20"/>
  <c r="R254" i="20" s="1"/>
  <c r="P254" i="20" s="1"/>
  <c r="V254" i="20" s="1"/>
  <c r="B254" i="20" s="1"/>
  <c r="S234" i="20"/>
  <c r="R234" i="20" s="1"/>
  <c r="P234" i="20" s="1"/>
  <c r="V234" i="20" s="1"/>
  <c r="B234" i="20" s="1"/>
  <c r="D182" i="20"/>
  <c r="E182" i="20" s="1"/>
  <c r="F182" i="20" s="1"/>
  <c r="G182" i="20" s="1"/>
  <c r="CB182" i="6" s="1"/>
  <c r="W182" i="20"/>
  <c r="W151" i="20"/>
  <c r="D151" i="20"/>
  <c r="E151" i="20" s="1"/>
  <c r="F151" i="20" s="1"/>
  <c r="S143" i="20"/>
  <c r="R143" i="20" s="1"/>
  <c r="P143" i="20" s="1"/>
  <c r="V143" i="20" s="1"/>
  <c r="B143" i="20" s="1"/>
  <c r="S135" i="20"/>
  <c r="R135" i="20" s="1"/>
  <c r="P135" i="20" s="1"/>
  <c r="V135" i="20" s="1"/>
  <c r="B135" i="20" s="1"/>
  <c r="W127" i="20"/>
  <c r="D127" i="20"/>
  <c r="E127" i="20" s="1"/>
  <c r="F127" i="20" s="1"/>
  <c r="S95" i="20"/>
  <c r="R95" i="20" s="1"/>
  <c r="P95" i="20" s="1"/>
  <c r="V95" i="20" s="1"/>
  <c r="B95" i="20" s="1"/>
  <c r="D87" i="20"/>
  <c r="E87" i="20" s="1"/>
  <c r="F87" i="20" s="1"/>
  <c r="W87" i="20"/>
  <c r="D71" i="20"/>
  <c r="E71" i="20" s="1"/>
  <c r="F71" i="20" s="1"/>
  <c r="W71" i="20"/>
  <c r="D47" i="20"/>
  <c r="E47" i="20" s="1"/>
  <c r="F47" i="20" s="1"/>
  <c r="H47" i="20" s="1"/>
  <c r="W47" i="20"/>
  <c r="D31" i="20"/>
  <c r="E31" i="20" s="1"/>
  <c r="F31" i="20" s="1"/>
  <c r="W31" i="20"/>
  <c r="S18" i="20"/>
  <c r="R18" i="20" s="1"/>
  <c r="P18" i="20" s="1"/>
  <c r="V18" i="20" s="1"/>
  <c r="AG76" i="20"/>
  <c r="AF76" i="20" s="1"/>
  <c r="AD76" i="20" s="1"/>
  <c r="AG24" i="20"/>
  <c r="AF24" i="20" s="1"/>
  <c r="AD24" i="20" s="1"/>
  <c r="AG41" i="20"/>
  <c r="AF41" i="20" s="1"/>
  <c r="AD41" i="20" s="1"/>
  <c r="AG97" i="20"/>
  <c r="AF97" i="20" s="1"/>
  <c r="AD97" i="20" s="1"/>
  <c r="AA97" i="20" s="1"/>
  <c r="Z97" i="20" s="1"/>
  <c r="Y97" i="20" s="1"/>
  <c r="J351" i="18"/>
  <c r="I351" i="18"/>
  <c r="J347" i="18"/>
  <c r="I347" i="18"/>
  <c r="I335" i="18"/>
  <c r="J335" i="18"/>
  <c r="AA219" i="18"/>
  <c r="Z219" i="18" s="1"/>
  <c r="Y219" i="18" s="1"/>
  <c r="H219" i="18"/>
  <c r="G219" i="18"/>
  <c r="CA219" i="6" s="1"/>
  <c r="AA302" i="18"/>
  <c r="Z302" i="18" s="1"/>
  <c r="Y302" i="18" s="1"/>
  <c r="H302" i="18"/>
  <c r="G302" i="18"/>
  <c r="CA302" i="6" s="1"/>
  <c r="I189" i="18"/>
  <c r="J189" i="18"/>
  <c r="G373" i="18"/>
  <c r="CA373" i="6" s="1"/>
  <c r="H373" i="18"/>
  <c r="AA373" i="18"/>
  <c r="Z373" i="18" s="1"/>
  <c r="Y373" i="18" s="1"/>
  <c r="G301" i="18"/>
  <c r="CA301" i="6" s="1"/>
  <c r="H301" i="18"/>
  <c r="I282" i="18"/>
  <c r="J282" i="18"/>
  <c r="I27" i="18"/>
  <c r="J27" i="18"/>
  <c r="H344" i="18"/>
  <c r="G344" i="18"/>
  <c r="CA344" i="6" s="1"/>
  <c r="AA344" i="18"/>
  <c r="Z344" i="18" s="1"/>
  <c r="Y344" i="18" s="1"/>
  <c r="D320" i="18"/>
  <c r="E320" i="18" s="1"/>
  <c r="F320" i="18" s="1"/>
  <c r="D300" i="18"/>
  <c r="E300" i="18" s="1"/>
  <c r="F300" i="18" s="1"/>
  <c r="F139" i="18"/>
  <c r="H91" i="18"/>
  <c r="G91" i="18"/>
  <c r="CA91" i="6" s="1"/>
  <c r="AA91" i="18"/>
  <c r="Z91" i="18" s="1"/>
  <c r="Y91" i="18" s="1"/>
  <c r="I43" i="18"/>
  <c r="J43" i="18"/>
  <c r="H175" i="18"/>
  <c r="AA175" i="18"/>
  <c r="Z175" i="18" s="1"/>
  <c r="Y175" i="18" s="1"/>
  <c r="G175" i="18"/>
  <c r="CA175" i="6" s="1"/>
  <c r="AA35" i="18"/>
  <c r="Z35" i="18" s="1"/>
  <c r="Y35" i="18" s="1"/>
  <c r="G35" i="18"/>
  <c r="CA35" i="6" s="1"/>
  <c r="H35" i="18"/>
  <c r="G283" i="18"/>
  <c r="CA283" i="6" s="1"/>
  <c r="AA283" i="18"/>
  <c r="Z283" i="18" s="1"/>
  <c r="Y283" i="18" s="1"/>
  <c r="H283" i="18"/>
  <c r="R379" i="18"/>
  <c r="S382" i="18"/>
  <c r="S381" i="18"/>
  <c r="S383" i="18"/>
  <c r="J291" i="17"/>
  <c r="I291" i="17"/>
  <c r="H291" i="18" s="1"/>
  <c r="H111" i="18"/>
  <c r="AA111" i="18"/>
  <c r="Z111" i="18" s="1"/>
  <c r="Y111" i="18" s="1"/>
  <c r="G111" i="18"/>
  <c r="CA111" i="6" s="1"/>
  <c r="I318" i="18"/>
  <c r="J318" i="18"/>
  <c r="J306" i="18"/>
  <c r="I306" i="18"/>
  <c r="J297" i="18"/>
  <c r="I297" i="18"/>
  <c r="AA199" i="18"/>
  <c r="Z199" i="18" s="1"/>
  <c r="Y199" i="18" s="1"/>
  <c r="G199" i="18"/>
  <c r="CA199" i="6" s="1"/>
  <c r="H199" i="18"/>
  <c r="J127" i="18"/>
  <c r="I127" i="18"/>
  <c r="H211" i="18"/>
  <c r="AA211" i="18"/>
  <c r="Z211" i="18" s="1"/>
  <c r="Y211" i="18" s="1"/>
  <c r="G211" i="18"/>
  <c r="CA211" i="6" s="1"/>
  <c r="H285" i="18"/>
  <c r="AA285" i="18"/>
  <c r="Z285" i="18" s="1"/>
  <c r="Y285" i="18" s="1"/>
  <c r="G285" i="18"/>
  <c r="CA285" i="6" s="1"/>
  <c r="S373" i="20"/>
  <c r="R373" i="20" s="1"/>
  <c r="P373" i="20" s="1"/>
  <c r="V373" i="20" s="1"/>
  <c r="B373" i="20" s="1"/>
  <c r="D369" i="20"/>
  <c r="E369" i="20" s="1"/>
  <c r="F369" i="20" s="1"/>
  <c r="H369" i="20" s="1"/>
  <c r="W369" i="20"/>
  <c r="W365" i="20"/>
  <c r="D365" i="20"/>
  <c r="E365" i="20" s="1"/>
  <c r="F365" i="20" s="1"/>
  <c r="H365" i="20" s="1"/>
  <c r="S357" i="20"/>
  <c r="R357" i="20" s="1"/>
  <c r="P357" i="20" s="1"/>
  <c r="V357" i="20" s="1"/>
  <c r="B357" i="20" s="1"/>
  <c r="S345" i="20"/>
  <c r="R345" i="20" s="1"/>
  <c r="P345" i="20" s="1"/>
  <c r="V345" i="20" s="1"/>
  <c r="B345" i="20" s="1"/>
  <c r="S325" i="20"/>
  <c r="R325" i="20" s="1"/>
  <c r="P325" i="20" s="1"/>
  <c r="V325" i="20" s="1"/>
  <c r="B325" i="20" s="1"/>
  <c r="D321" i="20"/>
  <c r="E321" i="20" s="1"/>
  <c r="F321" i="20" s="1"/>
  <c r="W321" i="20"/>
  <c r="W289" i="20"/>
  <c r="D289" i="20"/>
  <c r="E289" i="20" s="1"/>
  <c r="F289" i="20" s="1"/>
  <c r="D273" i="20"/>
  <c r="E273" i="20" s="1"/>
  <c r="F273" i="20" s="1"/>
  <c r="H273" i="20" s="1"/>
  <c r="I273" i="20" s="1"/>
  <c r="B273" i="6" s="1"/>
  <c r="W273" i="20"/>
  <c r="W269" i="20"/>
  <c r="D269" i="20"/>
  <c r="E269" i="20" s="1"/>
  <c r="F269" i="20" s="1"/>
  <c r="G269" i="20" s="1"/>
  <c r="CB269" i="6" s="1"/>
  <c r="D249" i="20"/>
  <c r="E249" i="20" s="1"/>
  <c r="F249" i="20" s="1"/>
  <c r="H249" i="20" s="1"/>
  <c r="W249" i="20"/>
  <c r="W225" i="20"/>
  <c r="D225" i="20"/>
  <c r="E225" i="20" s="1"/>
  <c r="F225" i="20" s="1"/>
  <c r="H225" i="20" s="1"/>
  <c r="D221" i="20"/>
  <c r="E221" i="20" s="1"/>
  <c r="F221" i="20" s="1"/>
  <c r="G221" i="20" s="1"/>
  <c r="CB221" i="6" s="1"/>
  <c r="W221" i="20"/>
  <c r="W213" i="20"/>
  <c r="D213" i="20"/>
  <c r="E213" i="20" s="1"/>
  <c r="F213" i="20" s="1"/>
  <c r="D189" i="20"/>
  <c r="E189" i="20" s="1"/>
  <c r="F189" i="20" s="1"/>
  <c r="W189" i="20"/>
  <c r="W181" i="20"/>
  <c r="D181" i="20"/>
  <c r="E181" i="20" s="1"/>
  <c r="F181" i="20" s="1"/>
  <c r="H181" i="20" s="1"/>
  <c r="I181" i="20" s="1"/>
  <c r="B181" i="6" s="1"/>
  <c r="BA181" i="6" s="1"/>
  <c r="D181" i="6" s="1"/>
  <c r="W177" i="20"/>
  <c r="D177" i="20"/>
  <c r="E177" i="20" s="1"/>
  <c r="F177" i="20" s="1"/>
  <c r="W165" i="20"/>
  <c r="D165" i="20"/>
  <c r="E165" i="20" s="1"/>
  <c r="F165" i="20" s="1"/>
  <c r="H165" i="20" s="1"/>
  <c r="I165" i="20" s="1"/>
  <c r="B165" i="6" s="1"/>
  <c r="BA165" i="6" s="1"/>
  <c r="D165" i="6" s="1"/>
  <c r="D157" i="20"/>
  <c r="E157" i="20" s="1"/>
  <c r="F157" i="20" s="1"/>
  <c r="G157" i="20" s="1"/>
  <c r="CB157" i="6" s="1"/>
  <c r="W157" i="20"/>
  <c r="W117" i="20"/>
  <c r="D117" i="20"/>
  <c r="E117" i="20" s="1"/>
  <c r="F117" i="20" s="1"/>
  <c r="S93" i="20"/>
  <c r="R93" i="20" s="1"/>
  <c r="P93" i="20" s="1"/>
  <c r="V93" i="20" s="1"/>
  <c r="B93" i="20" s="1"/>
  <c r="S85" i="20"/>
  <c r="R85" i="20" s="1"/>
  <c r="P85" i="20" s="1"/>
  <c r="V85" i="20" s="1"/>
  <c r="B85" i="20" s="1"/>
  <c r="S77" i="20"/>
  <c r="R77" i="20" s="1"/>
  <c r="P77" i="20" s="1"/>
  <c r="V77" i="20" s="1"/>
  <c r="B77" i="20" s="1"/>
  <c r="S45" i="20"/>
  <c r="R45" i="20" s="1"/>
  <c r="P45" i="20" s="1"/>
  <c r="V45" i="20" s="1"/>
  <c r="B45" i="20" s="1"/>
  <c r="S21" i="20"/>
  <c r="R21" i="20" s="1"/>
  <c r="P21" i="20" s="1"/>
  <c r="V21" i="20" s="1"/>
  <c r="S376" i="20"/>
  <c r="R376" i="20" s="1"/>
  <c r="P376" i="20" s="1"/>
  <c r="V376" i="20" s="1"/>
  <c r="B376" i="20" s="1"/>
  <c r="S360" i="20"/>
  <c r="R360" i="20" s="1"/>
  <c r="P360" i="20" s="1"/>
  <c r="V360" i="20" s="1"/>
  <c r="B360" i="20" s="1"/>
  <c r="S352" i="20"/>
  <c r="R352" i="20" s="1"/>
  <c r="P352" i="20" s="1"/>
  <c r="V352" i="20" s="1"/>
  <c r="B352" i="20" s="1"/>
  <c r="S348" i="20"/>
  <c r="R348" i="20" s="1"/>
  <c r="P348" i="20" s="1"/>
  <c r="V348" i="20" s="1"/>
  <c r="B348" i="20" s="1"/>
  <c r="S344" i="20"/>
  <c r="R344" i="20" s="1"/>
  <c r="P344" i="20" s="1"/>
  <c r="V344" i="20" s="1"/>
  <c r="B344" i="20" s="1"/>
  <c r="S316" i="20"/>
  <c r="R316" i="20" s="1"/>
  <c r="P316" i="20" s="1"/>
  <c r="V316" i="20" s="1"/>
  <c r="B316" i="20" s="1"/>
  <c r="S308" i="20"/>
  <c r="R308" i="20" s="1"/>
  <c r="P308" i="20" s="1"/>
  <c r="V308" i="20" s="1"/>
  <c r="B308" i="20" s="1"/>
  <c r="S304" i="20"/>
  <c r="R304" i="20" s="1"/>
  <c r="P304" i="20" s="1"/>
  <c r="V304" i="20" s="1"/>
  <c r="B304" i="20" s="1"/>
  <c r="S300" i="20"/>
  <c r="R300" i="20" s="1"/>
  <c r="P300" i="20" s="1"/>
  <c r="V300" i="20" s="1"/>
  <c r="B300" i="20" s="1"/>
  <c r="D284" i="20"/>
  <c r="E284" i="20" s="1"/>
  <c r="F284" i="20" s="1"/>
  <c r="W284" i="20"/>
  <c r="S240" i="20"/>
  <c r="R240" i="20" s="1"/>
  <c r="P240" i="20" s="1"/>
  <c r="V240" i="20" s="1"/>
  <c r="B240" i="20" s="1"/>
  <c r="D228" i="20"/>
  <c r="E228" i="20" s="1"/>
  <c r="F228" i="20" s="1"/>
  <c r="W228" i="20"/>
  <c r="D220" i="20"/>
  <c r="E220" i="20" s="1"/>
  <c r="F220" i="20" s="1"/>
  <c r="G220" i="20" s="1"/>
  <c r="CB220" i="6" s="1"/>
  <c r="W220" i="20"/>
  <c r="S208" i="20"/>
  <c r="R208" i="20" s="1"/>
  <c r="P208" i="20" s="1"/>
  <c r="V208" i="20" s="1"/>
  <c r="B208" i="20" s="1"/>
  <c r="V180" i="20"/>
  <c r="B180" i="20" s="1"/>
  <c r="AH25" i="7"/>
  <c r="S171" i="20"/>
  <c r="R171" i="20" s="1"/>
  <c r="P171" i="20" s="1"/>
  <c r="V171" i="20" s="1"/>
  <c r="B171" i="20" s="1"/>
  <c r="S163" i="20"/>
  <c r="R163" i="20" s="1"/>
  <c r="P163" i="20" s="1"/>
  <c r="V163" i="20" s="1"/>
  <c r="B163" i="20" s="1"/>
  <c r="D91" i="20"/>
  <c r="E91" i="20" s="1"/>
  <c r="F91" i="20" s="1"/>
  <c r="W91" i="20"/>
  <c r="W75" i="20"/>
  <c r="D75" i="20"/>
  <c r="E75" i="20" s="1"/>
  <c r="F75" i="20" s="1"/>
  <c r="D59" i="20"/>
  <c r="E59" i="20" s="1"/>
  <c r="F59" i="20" s="1"/>
  <c r="W59" i="20"/>
  <c r="D27" i="20"/>
  <c r="E27" i="20" s="1"/>
  <c r="F27" i="20" s="1"/>
  <c r="W27" i="20"/>
  <c r="AG36" i="20"/>
  <c r="AF36" i="20" s="1"/>
  <c r="AD36" i="20" s="1"/>
  <c r="AG52" i="20"/>
  <c r="AF52" i="20" s="1"/>
  <c r="AD52" i="20" s="1"/>
  <c r="AG20" i="20"/>
  <c r="AF20" i="20" s="1"/>
  <c r="AD20" i="20" s="1"/>
  <c r="AA20" i="20" s="1"/>
  <c r="Z20" i="20" s="1"/>
  <c r="Y20" i="20" s="1"/>
  <c r="AG49" i="20"/>
  <c r="AF49" i="20" s="1"/>
  <c r="AD49" i="20" s="1"/>
  <c r="AG32" i="20"/>
  <c r="AF32" i="20" s="1"/>
  <c r="AD32" i="20" s="1"/>
  <c r="AA32" i="20" s="1"/>
  <c r="Z32" i="20" s="1"/>
  <c r="Y32" i="20" s="1"/>
  <c r="AG64" i="20"/>
  <c r="AF64" i="20" s="1"/>
  <c r="AD64" i="20" s="1"/>
  <c r="AG80" i="20"/>
  <c r="AF80" i="20" s="1"/>
  <c r="AD80" i="20" s="1"/>
  <c r="AG25" i="20"/>
  <c r="AF25" i="20" s="1"/>
  <c r="AD25" i="20" s="1"/>
  <c r="AG65" i="20"/>
  <c r="AF65" i="20" s="1"/>
  <c r="AD65" i="20" s="1"/>
  <c r="AA65" i="20" s="1"/>
  <c r="Z65" i="20" s="1"/>
  <c r="Y65" i="20" s="1"/>
  <c r="AG100" i="20"/>
  <c r="AF100" i="20" s="1"/>
  <c r="AD100" i="20" s="1"/>
  <c r="AA371" i="18"/>
  <c r="Z371" i="18" s="1"/>
  <c r="Y371" i="18" s="1"/>
  <c r="G371" i="18"/>
  <c r="CA371" i="6" s="1"/>
  <c r="H371" i="18"/>
  <c r="I367" i="18"/>
  <c r="J367" i="18"/>
  <c r="G343" i="18"/>
  <c r="CA343" i="6" s="1"/>
  <c r="H343" i="18"/>
  <c r="AA343" i="18"/>
  <c r="Z343" i="18" s="1"/>
  <c r="Y343" i="18" s="1"/>
  <c r="G339" i="18"/>
  <c r="CA339" i="6" s="1"/>
  <c r="H339" i="18"/>
  <c r="AA339" i="18"/>
  <c r="Z339" i="18" s="1"/>
  <c r="Y339" i="18" s="1"/>
  <c r="AA307" i="18"/>
  <c r="Z307" i="18" s="1"/>
  <c r="Y307" i="18" s="1"/>
  <c r="G307" i="18"/>
  <c r="CA307" i="6" s="1"/>
  <c r="H307" i="18"/>
  <c r="J295" i="18"/>
  <c r="I295" i="18"/>
  <c r="I215" i="18"/>
  <c r="J215" i="18"/>
  <c r="I207" i="18"/>
  <c r="J207" i="18"/>
  <c r="Z205" i="17"/>
  <c r="AL10" i="17"/>
  <c r="J205" i="17"/>
  <c r="I205" i="17"/>
  <c r="H205" i="18" s="1"/>
  <c r="G213" i="18"/>
  <c r="CA213" i="6" s="1"/>
  <c r="AA213" i="18"/>
  <c r="Z213" i="18" s="1"/>
  <c r="Y213" i="18" s="1"/>
  <c r="H213" i="18"/>
  <c r="J362" i="18"/>
  <c r="I362" i="18"/>
  <c r="I197" i="18"/>
  <c r="J197" i="18"/>
  <c r="J361" i="18"/>
  <c r="I361" i="18"/>
  <c r="AA349" i="18"/>
  <c r="Z349" i="18" s="1"/>
  <c r="Y349" i="18" s="1"/>
  <c r="H349" i="18"/>
  <c r="G349" i="18"/>
  <c r="CA349" i="6" s="1"/>
  <c r="I329" i="18"/>
  <c r="J329" i="18"/>
  <c r="G325" i="18"/>
  <c r="CA325" i="6" s="1"/>
  <c r="H325" i="18"/>
  <c r="J305" i="18"/>
  <c r="I305" i="18"/>
  <c r="J243" i="18"/>
  <c r="I243" i="18"/>
  <c r="J159" i="18"/>
  <c r="I159" i="18"/>
  <c r="I31" i="18"/>
  <c r="J31" i="18"/>
  <c r="J333" i="17"/>
  <c r="I333" i="17"/>
  <c r="H333" i="18" s="1"/>
  <c r="H368" i="18"/>
  <c r="G368" i="18"/>
  <c r="CA368" i="6" s="1"/>
  <c r="AA368" i="18"/>
  <c r="Z368" i="18" s="1"/>
  <c r="Y368" i="18" s="1"/>
  <c r="I217" i="18"/>
  <c r="J217" i="18"/>
  <c r="H65" i="19"/>
  <c r="E65" i="19"/>
  <c r="G59" i="18"/>
  <c r="CA59" i="6" s="1"/>
  <c r="H59" i="18"/>
  <c r="AA59" i="18"/>
  <c r="Z59" i="18" s="1"/>
  <c r="Y59" i="18" s="1"/>
  <c r="H376" i="18"/>
  <c r="G376" i="18"/>
  <c r="CA376" i="6" s="1"/>
  <c r="AA376" i="18"/>
  <c r="Z376" i="18" s="1"/>
  <c r="Y376" i="18" s="1"/>
  <c r="D356" i="18"/>
  <c r="E356" i="18" s="1"/>
  <c r="F356" i="18" s="1"/>
  <c r="G328" i="18"/>
  <c r="CA328" i="6" s="1"/>
  <c r="H328" i="18"/>
  <c r="H316" i="18"/>
  <c r="G316" i="18"/>
  <c r="CA316" i="6" s="1"/>
  <c r="G284" i="18"/>
  <c r="CA284" i="6" s="1"/>
  <c r="H284" i="18"/>
  <c r="J209" i="18"/>
  <c r="I209" i="18"/>
  <c r="I88" i="18"/>
  <c r="W92" i="20"/>
  <c r="AG383" i="18"/>
  <c r="D90" i="20"/>
  <c r="E90" i="20" s="1"/>
  <c r="F90" i="20" s="1"/>
  <c r="H90" i="20" s="1"/>
  <c r="W94" i="20"/>
  <c r="W20" i="20"/>
  <c r="D106" i="20"/>
  <c r="E106" i="20" s="1"/>
  <c r="F106" i="20" s="1"/>
  <c r="G106" i="20" s="1"/>
  <c r="CB106" i="6" s="1"/>
  <c r="AG381" i="18"/>
  <c r="D108" i="20"/>
  <c r="E108" i="20" s="1"/>
  <c r="F108" i="20" s="1"/>
  <c r="G108" i="20" s="1"/>
  <c r="CB108" i="6" s="1"/>
  <c r="I164" i="18"/>
  <c r="G138" i="20"/>
  <c r="CB138" i="6" s="1"/>
  <c r="H94" i="20"/>
  <c r="J94" i="20" s="1"/>
  <c r="C94" i="6" s="1"/>
  <c r="AN15" i="7"/>
  <c r="W138" i="20"/>
  <c r="D140" i="20"/>
  <c r="E140" i="20" s="1"/>
  <c r="F140" i="20" s="1"/>
  <c r="W140" i="20"/>
  <c r="AI11" i="22"/>
  <c r="G92" i="18"/>
  <c r="CA92" i="6" s="1"/>
  <c r="AA92" i="18"/>
  <c r="Z92" i="18" s="1"/>
  <c r="Y92" i="18" s="1"/>
  <c r="H92" i="18"/>
  <c r="H140" i="18"/>
  <c r="G140" i="18"/>
  <c r="CA140" i="6" s="1"/>
  <c r="I114" i="18"/>
  <c r="J114" i="18"/>
  <c r="AA140" i="18"/>
  <c r="Z140" i="18" s="1"/>
  <c r="Y140" i="18" s="1"/>
  <c r="H108" i="18"/>
  <c r="G108" i="18"/>
  <c r="CA108" i="6" s="1"/>
  <c r="AA108" i="18"/>
  <c r="Z108" i="18" s="1"/>
  <c r="Y108" i="18" s="1"/>
  <c r="H160" i="20"/>
  <c r="J160" i="20" s="1"/>
  <c r="C160" i="6" s="1"/>
  <c r="D48" i="20"/>
  <c r="E48" i="20" s="1"/>
  <c r="F48" i="20" s="1"/>
  <c r="G48" i="20" s="1"/>
  <c r="CB48" i="6" s="1"/>
  <c r="H156" i="20"/>
  <c r="AF383" i="18"/>
  <c r="AD15" i="18"/>
  <c r="AF382" i="18"/>
  <c r="J29" i="18"/>
  <c r="I29" i="18"/>
  <c r="I180" i="18"/>
  <c r="J180" i="18"/>
  <c r="J241" i="18"/>
  <c r="I241" i="18"/>
  <c r="I60" i="18"/>
  <c r="J60" i="18"/>
  <c r="AK4" i="16"/>
  <c r="R13" i="19" s="1"/>
  <c r="N14" i="19" s="1"/>
  <c r="AM13" i="16"/>
  <c r="J13" i="19"/>
  <c r="AA11" i="16"/>
  <c r="AA5" i="16" s="1"/>
  <c r="I13" i="19" s="1"/>
  <c r="AE381" i="22"/>
  <c r="H124" i="20"/>
  <c r="H78" i="20"/>
  <c r="G78" i="20"/>
  <c r="CB78" i="6" s="1"/>
  <c r="H66" i="20"/>
  <c r="G66" i="20"/>
  <c r="CB66" i="6" s="1"/>
  <c r="H64" i="20"/>
  <c r="H58" i="20"/>
  <c r="G58" i="20"/>
  <c r="CB58" i="6" s="1"/>
  <c r="G34" i="20"/>
  <c r="CB34" i="6" s="1"/>
  <c r="H34" i="20"/>
  <c r="H32" i="20"/>
  <c r="G32" i="20"/>
  <c r="CB32" i="6" s="1"/>
  <c r="J105" i="18"/>
  <c r="I105" i="18"/>
  <c r="W149" i="20"/>
  <c r="D149" i="20"/>
  <c r="E149" i="20" s="1"/>
  <c r="F149" i="20" s="1"/>
  <c r="Y11" i="16"/>
  <c r="J196" i="18"/>
  <c r="I196" i="18"/>
  <c r="G338" i="20"/>
  <c r="CB338" i="6" s="1"/>
  <c r="H338" i="20"/>
  <c r="G246" i="20"/>
  <c r="CB246" i="6" s="1"/>
  <c r="W196" i="20"/>
  <c r="D196" i="20"/>
  <c r="E196" i="20" s="1"/>
  <c r="F196" i="20" s="1"/>
  <c r="G170" i="20"/>
  <c r="CB170" i="6" s="1"/>
  <c r="H170" i="20"/>
  <c r="D166" i="20"/>
  <c r="E166" i="20" s="1"/>
  <c r="F166" i="20" s="1"/>
  <c r="W166" i="20"/>
  <c r="G154" i="20"/>
  <c r="CB154" i="6" s="1"/>
  <c r="H154" i="20"/>
  <c r="G142" i="20"/>
  <c r="CB142" i="6" s="1"/>
  <c r="G102" i="20"/>
  <c r="CB102" i="6" s="1"/>
  <c r="G353" i="20"/>
  <c r="CB353" i="6" s="1"/>
  <c r="H353" i="20"/>
  <c r="H341" i="20"/>
  <c r="D333" i="20"/>
  <c r="E333" i="20" s="1"/>
  <c r="F333" i="20" s="1"/>
  <c r="W333" i="20"/>
  <c r="D319" i="20"/>
  <c r="E319" i="20" s="1"/>
  <c r="F319" i="20" s="1"/>
  <c r="W319" i="20"/>
  <c r="G111" i="20"/>
  <c r="CB111" i="6" s="1"/>
  <c r="G103" i="20"/>
  <c r="CB103" i="6" s="1"/>
  <c r="H39" i="20"/>
  <c r="G346" i="20"/>
  <c r="CB346" i="6" s="1"/>
  <c r="H310" i="20"/>
  <c r="W302" i="20"/>
  <c r="D302" i="20"/>
  <c r="E302" i="20" s="1"/>
  <c r="F302" i="20" s="1"/>
  <c r="W288" i="20"/>
  <c r="D288" i="20"/>
  <c r="E288" i="20" s="1"/>
  <c r="F288" i="20" s="1"/>
  <c r="H264" i="20"/>
  <c r="W258" i="20"/>
  <c r="D258" i="20"/>
  <c r="E258" i="20" s="1"/>
  <c r="F258" i="20" s="1"/>
  <c r="H158" i="20"/>
  <c r="G130" i="20"/>
  <c r="CB130" i="6" s="1"/>
  <c r="H130" i="20"/>
  <c r="G122" i="20"/>
  <c r="CB122" i="6" s="1"/>
  <c r="H122" i="20"/>
  <c r="G98" i="20"/>
  <c r="CB98" i="6" s="1"/>
  <c r="H98" i="20"/>
  <c r="G92" i="20"/>
  <c r="CB92" i="6" s="1"/>
  <c r="G343" i="20"/>
  <c r="CB343" i="6" s="1"/>
  <c r="G215" i="20"/>
  <c r="CB215" i="6" s="1"/>
  <c r="W105" i="20"/>
  <c r="D105" i="20"/>
  <c r="E105" i="20" s="1"/>
  <c r="F105" i="20" s="1"/>
  <c r="G97" i="20"/>
  <c r="CB97" i="6" s="1"/>
  <c r="H65" i="20"/>
  <c r="G65" i="20"/>
  <c r="CB65" i="6" s="1"/>
  <c r="H53" i="20"/>
  <c r="G53" i="20"/>
  <c r="CB53" i="6" s="1"/>
  <c r="G37" i="20"/>
  <c r="CB37" i="6" s="1"/>
  <c r="G33" i="20"/>
  <c r="CB33" i="6" s="1"/>
  <c r="H33" i="20"/>
  <c r="Q10" i="23"/>
  <c r="Q63" i="23" s="1"/>
  <c r="Q16" i="23"/>
  <c r="V15" i="18"/>
  <c r="R15" i="20"/>
  <c r="AJ4" i="16"/>
  <c r="P13" i="19" s="1"/>
  <c r="AL13" i="16"/>
  <c r="H82" i="20"/>
  <c r="G82" i="20"/>
  <c r="CB82" i="6" s="1"/>
  <c r="G76" i="20"/>
  <c r="CB76" i="6" s="1"/>
  <c r="W74" i="20"/>
  <c r="D74" i="20"/>
  <c r="E74" i="20" s="1"/>
  <c r="F74" i="20" s="1"/>
  <c r="G56" i="20"/>
  <c r="CB56" i="6" s="1"/>
  <c r="G50" i="20"/>
  <c r="CB50" i="6" s="1"/>
  <c r="H50" i="20"/>
  <c r="G42" i="20"/>
  <c r="CB42" i="6" s="1"/>
  <c r="H42" i="20"/>
  <c r="G28" i="20"/>
  <c r="CB28" i="6" s="1"/>
  <c r="H28" i="20"/>
  <c r="G26" i="20"/>
  <c r="CB26" i="6" s="1"/>
  <c r="H26" i="20"/>
  <c r="G22" i="20"/>
  <c r="CB22" i="6" s="1"/>
  <c r="G17" i="20"/>
  <c r="CB17" i="6" s="1"/>
  <c r="H17" i="20"/>
  <c r="J258" i="18"/>
  <c r="I258" i="18"/>
  <c r="J227" i="18"/>
  <c r="I227" i="18"/>
  <c r="I135" i="18"/>
  <c r="J135" i="18"/>
  <c r="I46" i="18"/>
  <c r="J46" i="18"/>
  <c r="G372" i="20"/>
  <c r="CB372" i="6" s="1"/>
  <c r="H372" i="20"/>
  <c r="G364" i="20"/>
  <c r="CB364" i="6" s="1"/>
  <c r="G328" i="20"/>
  <c r="CB328" i="6" s="1"/>
  <c r="G312" i="20"/>
  <c r="CB312" i="6" s="1"/>
  <c r="H312" i="20"/>
  <c r="G276" i="20"/>
  <c r="CB276" i="6" s="1"/>
  <c r="G256" i="20"/>
  <c r="CB256" i="6" s="1"/>
  <c r="G188" i="20"/>
  <c r="CB188" i="6" s="1"/>
  <c r="H184" i="20"/>
  <c r="G176" i="20"/>
  <c r="CB176" i="6" s="1"/>
  <c r="G162" i="20"/>
  <c r="CB162" i="6" s="1"/>
  <c r="H162" i="20"/>
  <c r="G146" i="20"/>
  <c r="CB146" i="6" s="1"/>
  <c r="H146" i="20"/>
  <c r="G126" i="20"/>
  <c r="CB126" i="6" s="1"/>
  <c r="H126" i="20"/>
  <c r="G359" i="20"/>
  <c r="CB359" i="6" s="1"/>
  <c r="G309" i="20"/>
  <c r="CB309" i="6" s="1"/>
  <c r="G287" i="20"/>
  <c r="CB287" i="6" s="1"/>
  <c r="H287" i="20"/>
  <c r="G275" i="20"/>
  <c r="CB275" i="6" s="1"/>
  <c r="H275" i="20"/>
  <c r="AA259" i="20"/>
  <c r="Z259" i="20" s="1"/>
  <c r="Y259" i="20" s="1"/>
  <c r="G259" i="20"/>
  <c r="CB259" i="6" s="1"/>
  <c r="G245" i="20"/>
  <c r="CB245" i="6" s="1"/>
  <c r="H229" i="20"/>
  <c r="G203" i="20"/>
  <c r="CB203" i="6" s="1"/>
  <c r="G195" i="20"/>
  <c r="CB195" i="6" s="1"/>
  <c r="H195" i="20"/>
  <c r="AA195" i="20"/>
  <c r="Z195" i="20" s="1"/>
  <c r="Y195" i="20" s="1"/>
  <c r="H129" i="20"/>
  <c r="H115" i="20"/>
  <c r="G115" i="20"/>
  <c r="CB115" i="6" s="1"/>
  <c r="G83" i="20"/>
  <c r="CB83" i="6" s="1"/>
  <c r="G67" i="20"/>
  <c r="CB67" i="6" s="1"/>
  <c r="G35" i="20"/>
  <c r="CB35" i="6" s="1"/>
  <c r="G356" i="20"/>
  <c r="CB356" i="6" s="1"/>
  <c r="H336" i="20"/>
  <c r="G336" i="20"/>
  <c r="CB336" i="6" s="1"/>
  <c r="H292" i="20"/>
  <c r="G292" i="20"/>
  <c r="CB292" i="6" s="1"/>
  <c r="G278" i="20"/>
  <c r="CB278" i="6" s="1"/>
  <c r="H278" i="20"/>
  <c r="G274" i="20"/>
  <c r="CB274" i="6" s="1"/>
  <c r="H248" i="20"/>
  <c r="G244" i="20"/>
  <c r="CB244" i="6" s="1"/>
  <c r="G232" i="20"/>
  <c r="CB232" i="6" s="1"/>
  <c r="H232" i="20"/>
  <c r="G224" i="20"/>
  <c r="CB224" i="6" s="1"/>
  <c r="H216" i="20"/>
  <c r="G216" i="20"/>
  <c r="CB216" i="6" s="1"/>
  <c r="G190" i="20"/>
  <c r="CB190" i="6" s="1"/>
  <c r="H190" i="20"/>
  <c r="G178" i="20"/>
  <c r="CB178" i="6" s="1"/>
  <c r="G144" i="20"/>
  <c r="CB144" i="6" s="1"/>
  <c r="G104" i="20"/>
  <c r="CB104" i="6" s="1"/>
  <c r="G377" i="20"/>
  <c r="CB377" i="6" s="1"/>
  <c r="G371" i="20"/>
  <c r="CB371" i="6" s="1"/>
  <c r="G361" i="20"/>
  <c r="CB361" i="6" s="1"/>
  <c r="H317" i="20"/>
  <c r="G311" i="20"/>
  <c r="CB311" i="6" s="1"/>
  <c r="H293" i="20"/>
  <c r="G243" i="20"/>
  <c r="CB243" i="6" s="1"/>
  <c r="G205" i="20"/>
  <c r="CB205" i="6" s="1"/>
  <c r="G197" i="20"/>
  <c r="CB197" i="6" s="1"/>
  <c r="H155" i="20"/>
  <c r="G125" i="20"/>
  <c r="CB125" i="6" s="1"/>
  <c r="G109" i="20"/>
  <c r="CB109" i="6" s="1"/>
  <c r="B241" i="20" l="1"/>
  <c r="W241" i="20" s="1"/>
  <c r="B363" i="20"/>
  <c r="W363" i="20" s="1"/>
  <c r="B68" i="20"/>
  <c r="W68" i="20" s="1"/>
  <c r="B62" i="20"/>
  <c r="W62" i="20" s="1"/>
  <c r="B86" i="20"/>
  <c r="W86" i="20" s="1"/>
  <c r="D211" i="20"/>
  <c r="E211" i="20" s="1"/>
  <c r="F211" i="20" s="1"/>
  <c r="G211" i="20" s="1"/>
  <c r="CB211" i="6" s="1"/>
  <c r="W211" i="20"/>
  <c r="D150" i="20"/>
  <c r="E150" i="20" s="1"/>
  <c r="F150" i="20" s="1"/>
  <c r="W150" i="20"/>
  <c r="W118" i="20"/>
  <c r="D118" i="20"/>
  <c r="E118" i="20" s="1"/>
  <c r="F118" i="20" s="1"/>
  <c r="W70" i="20"/>
  <c r="D70" i="20"/>
  <c r="E70" i="20" s="1"/>
  <c r="F70" i="20" s="1"/>
  <c r="H70" i="20" s="1"/>
  <c r="J70" i="20" s="1"/>
  <c r="C70" i="6" s="1"/>
  <c r="W172" i="20"/>
  <c r="D172" i="20"/>
  <c r="E172" i="20" s="1"/>
  <c r="F172" i="20" s="1"/>
  <c r="G172" i="20" s="1"/>
  <c r="CB172" i="6" s="1"/>
  <c r="D132" i="20"/>
  <c r="E132" i="20" s="1"/>
  <c r="F132" i="20" s="1"/>
  <c r="W132" i="20"/>
  <c r="W116" i="20"/>
  <c r="D116" i="20"/>
  <c r="E116" i="20" s="1"/>
  <c r="F116" i="20" s="1"/>
  <c r="G116" i="20" s="1"/>
  <c r="CB116" i="6" s="1"/>
  <c r="D186" i="20"/>
  <c r="E186" i="20" s="1"/>
  <c r="F186" i="20" s="1"/>
  <c r="W186" i="20"/>
  <c r="D202" i="20"/>
  <c r="E202" i="20" s="1"/>
  <c r="F202" i="20" s="1"/>
  <c r="W202" i="20"/>
  <c r="W218" i="20"/>
  <c r="D218" i="20"/>
  <c r="E218" i="20" s="1"/>
  <c r="F218" i="20" s="1"/>
  <c r="H218" i="20" s="1"/>
  <c r="J218" i="20" s="1"/>
  <c r="C218" i="6" s="1"/>
  <c r="W242" i="20"/>
  <c r="D242" i="20"/>
  <c r="E242" i="20" s="1"/>
  <c r="F242" i="20" s="1"/>
  <c r="G242" i="20" s="1"/>
  <c r="CB242" i="6" s="1"/>
  <c r="W290" i="20"/>
  <c r="D290" i="20"/>
  <c r="E290" i="20" s="1"/>
  <c r="F290" i="20" s="1"/>
  <c r="H290" i="20" s="1"/>
  <c r="J290" i="20" s="1"/>
  <c r="C290" i="6" s="1"/>
  <c r="W318" i="20"/>
  <c r="D318" i="20"/>
  <c r="E318" i="20" s="1"/>
  <c r="F318" i="20" s="1"/>
  <c r="G318" i="20" s="1"/>
  <c r="CB318" i="6" s="1"/>
  <c r="D207" i="20"/>
  <c r="E207" i="20" s="1"/>
  <c r="F207" i="20" s="1"/>
  <c r="J85" i="18"/>
  <c r="I85" i="18"/>
  <c r="I178" i="18"/>
  <c r="H178" i="20" s="1"/>
  <c r="J178" i="18"/>
  <c r="G134" i="20"/>
  <c r="CB134" i="6" s="1"/>
  <c r="D110" i="20"/>
  <c r="E110" i="20" s="1"/>
  <c r="F110" i="20" s="1"/>
  <c r="G110" i="20" s="1"/>
  <c r="CB110" i="6" s="1"/>
  <c r="AA64" i="20"/>
  <c r="Z64" i="20" s="1"/>
  <c r="Y64" i="20" s="1"/>
  <c r="AA76" i="20"/>
  <c r="Z76" i="20" s="1"/>
  <c r="Y76" i="20" s="1"/>
  <c r="W125" i="20"/>
  <c r="W224" i="20"/>
  <c r="D296" i="20"/>
  <c r="E296" i="20" s="1"/>
  <c r="F296" i="20" s="1"/>
  <c r="G296" i="20" s="1"/>
  <c r="CB296" i="6" s="1"/>
  <c r="W361" i="20"/>
  <c r="W248" i="20"/>
  <c r="W256" i="20"/>
  <c r="D324" i="20"/>
  <c r="E324" i="20" s="1"/>
  <c r="F324" i="20" s="1"/>
  <c r="H324" i="20" s="1"/>
  <c r="D200" i="20"/>
  <c r="E200" i="20" s="1"/>
  <c r="F200" i="20" s="1"/>
  <c r="G200" i="20" s="1"/>
  <c r="CB200" i="6" s="1"/>
  <c r="D141" i="20"/>
  <c r="E141" i="20" s="1"/>
  <c r="F141" i="20" s="1"/>
  <c r="W188" i="20"/>
  <c r="W67" i="20"/>
  <c r="W364" i="20"/>
  <c r="D183" i="20"/>
  <c r="E183" i="20" s="1"/>
  <c r="F183" i="20" s="1"/>
  <c r="H183" i="20" s="1"/>
  <c r="D299" i="20"/>
  <c r="E299" i="20" s="1"/>
  <c r="F299" i="20" s="1"/>
  <c r="G299" i="20" s="1"/>
  <c r="CB299" i="6" s="1"/>
  <c r="D113" i="20"/>
  <c r="E113" i="20" s="1"/>
  <c r="F113" i="20" s="1"/>
  <c r="AA113" i="20" s="1"/>
  <c r="Z113" i="20" s="1"/>
  <c r="Y113" i="20" s="1"/>
  <c r="W274" i="20"/>
  <c r="W310" i="20"/>
  <c r="W39" i="20"/>
  <c r="D194" i="20"/>
  <c r="E194" i="20" s="1"/>
  <c r="F194" i="20" s="1"/>
  <c r="G194" i="20" s="1"/>
  <c r="CB194" i="6" s="1"/>
  <c r="W159" i="20"/>
  <c r="D298" i="20"/>
  <c r="E298" i="20" s="1"/>
  <c r="F298" i="20" s="1"/>
  <c r="G298" i="20" s="1"/>
  <c r="CB298" i="6" s="1"/>
  <c r="W129" i="20"/>
  <c r="W359" i="20"/>
  <c r="D272" i="20"/>
  <c r="E272" i="20" s="1"/>
  <c r="F272" i="20" s="1"/>
  <c r="AA272" i="20" s="1"/>
  <c r="Z272" i="20" s="1"/>
  <c r="Y272" i="20" s="1"/>
  <c r="B272" i="20"/>
  <c r="AA103" i="20"/>
  <c r="Z103" i="20" s="1"/>
  <c r="Y103" i="20" s="1"/>
  <c r="AA359" i="20"/>
  <c r="Z359" i="20" s="1"/>
  <c r="Y359" i="20" s="1"/>
  <c r="AA156" i="20"/>
  <c r="Z156" i="20" s="1"/>
  <c r="Y156" i="20" s="1"/>
  <c r="AA188" i="20"/>
  <c r="Z188" i="20" s="1"/>
  <c r="Y188" i="20" s="1"/>
  <c r="AA364" i="20"/>
  <c r="Z364" i="20" s="1"/>
  <c r="Y364" i="20" s="1"/>
  <c r="AA155" i="20"/>
  <c r="Z155" i="20" s="1"/>
  <c r="Y155" i="20" s="1"/>
  <c r="AA235" i="20"/>
  <c r="Z235" i="20" s="1"/>
  <c r="Y235" i="20" s="1"/>
  <c r="AA229" i="20"/>
  <c r="Z229" i="20" s="1"/>
  <c r="Y229" i="20" s="1"/>
  <c r="AA293" i="20"/>
  <c r="Z293" i="20" s="1"/>
  <c r="Y293" i="20" s="1"/>
  <c r="AA128" i="20"/>
  <c r="Z128" i="20" s="1"/>
  <c r="Y128" i="20" s="1"/>
  <c r="AA224" i="20"/>
  <c r="Z224" i="20" s="1"/>
  <c r="Y224" i="20" s="1"/>
  <c r="AA217" i="20"/>
  <c r="Z217" i="20" s="1"/>
  <c r="Y217" i="20" s="1"/>
  <c r="AA142" i="20"/>
  <c r="Z142" i="20" s="1"/>
  <c r="Y142" i="20" s="1"/>
  <c r="AA56" i="20"/>
  <c r="Z56" i="20" s="1"/>
  <c r="Y56" i="20" s="1"/>
  <c r="AA44" i="20"/>
  <c r="Z44" i="20" s="1"/>
  <c r="Y44" i="20" s="1"/>
  <c r="B60" i="20"/>
  <c r="D60" i="20" s="1"/>
  <c r="E60" i="20" s="1"/>
  <c r="F60" i="20" s="1"/>
  <c r="D354" i="20"/>
  <c r="E354" i="20" s="1"/>
  <c r="F354" i="20" s="1"/>
  <c r="G354" i="20" s="1"/>
  <c r="CB354" i="6" s="1"/>
  <c r="D73" i="20"/>
  <c r="E73" i="20" s="1"/>
  <c r="F73" i="20" s="1"/>
  <c r="G73" i="20" s="1"/>
  <c r="CB73" i="6" s="1"/>
  <c r="W76" i="20"/>
  <c r="W84" i="20"/>
  <c r="D84" i="20"/>
  <c r="E84" i="20" s="1"/>
  <c r="F84" i="20" s="1"/>
  <c r="D52" i="20"/>
  <c r="E52" i="20" s="1"/>
  <c r="F52" i="20" s="1"/>
  <c r="W52" i="20"/>
  <c r="D206" i="20"/>
  <c r="E206" i="20" s="1"/>
  <c r="F206" i="20" s="1"/>
  <c r="W206" i="20"/>
  <c r="D238" i="20"/>
  <c r="E238" i="20" s="1"/>
  <c r="F238" i="20" s="1"/>
  <c r="W238" i="20"/>
  <c r="D266" i="20"/>
  <c r="E266" i="20" s="1"/>
  <c r="F266" i="20" s="1"/>
  <c r="W266" i="20"/>
  <c r="W286" i="20"/>
  <c r="D286" i="20"/>
  <c r="E286" i="20" s="1"/>
  <c r="F286" i="20" s="1"/>
  <c r="G286" i="20" s="1"/>
  <c r="CB286" i="6" s="1"/>
  <c r="W294" i="20"/>
  <c r="D294" i="20"/>
  <c r="E294" i="20" s="1"/>
  <c r="F294" i="20" s="1"/>
  <c r="G294" i="20" s="1"/>
  <c r="CB294" i="6" s="1"/>
  <c r="D358" i="20"/>
  <c r="E358" i="20" s="1"/>
  <c r="F358" i="20" s="1"/>
  <c r="W358" i="20"/>
  <c r="D366" i="20"/>
  <c r="E366" i="20" s="1"/>
  <c r="F366" i="20" s="1"/>
  <c r="W366" i="20"/>
  <c r="W303" i="20"/>
  <c r="D303" i="20"/>
  <c r="E303" i="20" s="1"/>
  <c r="F303" i="20" s="1"/>
  <c r="G303" i="20" s="1"/>
  <c r="CB303" i="6" s="1"/>
  <c r="B119" i="20"/>
  <c r="W119" i="20" s="1"/>
  <c r="AA111" i="20"/>
  <c r="Z111" i="20" s="1"/>
  <c r="Y111" i="20" s="1"/>
  <c r="AA159" i="20"/>
  <c r="Z159" i="20" s="1"/>
  <c r="Y159" i="20" s="1"/>
  <c r="AA287" i="20"/>
  <c r="Z287" i="20" s="1"/>
  <c r="Y287" i="20" s="1"/>
  <c r="AA109" i="20"/>
  <c r="Z109" i="20" s="1"/>
  <c r="Y109" i="20" s="1"/>
  <c r="AA209" i="20"/>
  <c r="Z209" i="20" s="1"/>
  <c r="Y209" i="20" s="1"/>
  <c r="AA118" i="20"/>
  <c r="Z118" i="20" s="1"/>
  <c r="Y118" i="20" s="1"/>
  <c r="AA67" i="20"/>
  <c r="Z67" i="20" s="1"/>
  <c r="Y67" i="20" s="1"/>
  <c r="AA83" i="20"/>
  <c r="Z83" i="20" s="1"/>
  <c r="Y83" i="20" s="1"/>
  <c r="AA115" i="20"/>
  <c r="Z115" i="20" s="1"/>
  <c r="Y115" i="20" s="1"/>
  <c r="AA211" i="20"/>
  <c r="Z211" i="20" s="1"/>
  <c r="Y211" i="20" s="1"/>
  <c r="AA243" i="20"/>
  <c r="Z243" i="20" s="1"/>
  <c r="Y243" i="20" s="1"/>
  <c r="AA275" i="20"/>
  <c r="Z275" i="20" s="1"/>
  <c r="Y275" i="20" s="1"/>
  <c r="AA371" i="20"/>
  <c r="Z371" i="20" s="1"/>
  <c r="Y371" i="20" s="1"/>
  <c r="AA341" i="20"/>
  <c r="Z341" i="20" s="1"/>
  <c r="Y341" i="20" s="1"/>
  <c r="AA184" i="20"/>
  <c r="Z184" i="20" s="1"/>
  <c r="Y184" i="20" s="1"/>
  <c r="AA216" i="20"/>
  <c r="Z216" i="20" s="1"/>
  <c r="Y216" i="20" s="1"/>
  <c r="AA232" i="20"/>
  <c r="Z232" i="20" s="1"/>
  <c r="Y232" i="20" s="1"/>
  <c r="AA328" i="20"/>
  <c r="Z328" i="20" s="1"/>
  <c r="Y328" i="20" s="1"/>
  <c r="AA274" i="20"/>
  <c r="Z274" i="20" s="1"/>
  <c r="Y274" i="20" s="1"/>
  <c r="AA377" i="20"/>
  <c r="Z377" i="20" s="1"/>
  <c r="Y377" i="20" s="1"/>
  <c r="AA94" i="20"/>
  <c r="Z94" i="20" s="1"/>
  <c r="Y94" i="20" s="1"/>
  <c r="AA104" i="20"/>
  <c r="Z104" i="20" s="1"/>
  <c r="Y104" i="20" s="1"/>
  <c r="AA92" i="20"/>
  <c r="Z92" i="20" s="1"/>
  <c r="Y92" i="20" s="1"/>
  <c r="D46" i="20"/>
  <c r="E46" i="20" s="1"/>
  <c r="F46" i="20" s="1"/>
  <c r="G46" i="20" s="1"/>
  <c r="CB46" i="6" s="1"/>
  <c r="B46" i="20"/>
  <c r="W114" i="20"/>
  <c r="B114" i="20"/>
  <c r="D114" i="20" s="1"/>
  <c r="E114" i="20" s="1"/>
  <c r="F114" i="20" s="1"/>
  <c r="G114" i="20" s="1"/>
  <c r="CB114" i="6" s="1"/>
  <c r="H96" i="20"/>
  <c r="I96" i="20" s="1"/>
  <c r="B96" i="6" s="1"/>
  <c r="BA96" i="6" s="1"/>
  <c r="D96" i="6" s="1"/>
  <c r="BA273" i="6"/>
  <c r="D273" i="6" s="1"/>
  <c r="W19" i="20"/>
  <c r="D19" i="20"/>
  <c r="E19" i="20" s="1"/>
  <c r="F19" i="20" s="1"/>
  <c r="G19" i="20" s="1"/>
  <c r="CB19" i="6" s="1"/>
  <c r="H97" i="20"/>
  <c r="J97" i="20" s="1"/>
  <c r="C97" i="6" s="1"/>
  <c r="AE382" i="22"/>
  <c r="Q382" i="22"/>
  <c r="W210" i="20"/>
  <c r="D62" i="20"/>
  <c r="E62" i="20" s="1"/>
  <c r="F62" i="20" s="1"/>
  <c r="G62" i="20" s="1"/>
  <c r="CB62" i="6" s="1"/>
  <c r="AA96" i="20"/>
  <c r="Z96" i="20" s="1"/>
  <c r="Y96" i="20" s="1"/>
  <c r="H244" i="20"/>
  <c r="J244" i="20" s="1"/>
  <c r="C244" i="6" s="1"/>
  <c r="H102" i="20"/>
  <c r="I102" i="20" s="1"/>
  <c r="B102" i="6" s="1"/>
  <c r="BA102" i="6" s="1"/>
  <c r="D102" i="6" s="1"/>
  <c r="H30" i="20"/>
  <c r="J30" i="20" s="1"/>
  <c r="C30" i="6" s="1"/>
  <c r="H128" i="20"/>
  <c r="I128" i="20" s="1"/>
  <c r="B128" i="6" s="1"/>
  <c r="BA128" i="6" s="1"/>
  <c r="D128" i="6" s="1"/>
  <c r="H54" i="20"/>
  <c r="I54" i="20" s="1"/>
  <c r="B54" i="6" s="1"/>
  <c r="BA54" i="6" s="1"/>
  <c r="D54" i="6" s="1"/>
  <c r="H40" i="20"/>
  <c r="J40" i="20" s="1"/>
  <c r="C40" i="6" s="1"/>
  <c r="H246" i="20"/>
  <c r="J246" i="20" s="1"/>
  <c r="C246" i="6" s="1"/>
  <c r="H138" i="20"/>
  <c r="J138" i="20" s="1"/>
  <c r="C138" i="6" s="1"/>
  <c r="H228" i="20"/>
  <c r="J228" i="20" s="1"/>
  <c r="C228" i="6" s="1"/>
  <c r="H289" i="20"/>
  <c r="J289" i="20" s="1"/>
  <c r="C289" i="6" s="1"/>
  <c r="J210" i="18"/>
  <c r="AA40" i="20"/>
  <c r="Z40" i="20" s="1"/>
  <c r="Y40" i="20" s="1"/>
  <c r="H236" i="20"/>
  <c r="J236" i="20" s="1"/>
  <c r="C236" i="6" s="1"/>
  <c r="Q383" i="22"/>
  <c r="H37" i="20"/>
  <c r="J37" i="20" s="1"/>
  <c r="C37" i="6" s="1"/>
  <c r="G148" i="20"/>
  <c r="CB148" i="6" s="1"/>
  <c r="AF381" i="18"/>
  <c r="AG382" i="18"/>
  <c r="W46" i="20"/>
  <c r="AA148" i="20"/>
  <c r="Z148" i="20" s="1"/>
  <c r="Y148" i="20" s="1"/>
  <c r="I188" i="18"/>
  <c r="H188" i="20" s="1"/>
  <c r="I188" i="20" s="1"/>
  <c r="B188" i="6" s="1"/>
  <c r="AA84" i="20"/>
  <c r="Z84" i="20" s="1"/>
  <c r="Y84" i="20" s="1"/>
  <c r="H22" i="20"/>
  <c r="J22" i="20" s="1"/>
  <c r="C22" i="6" s="1"/>
  <c r="H167" i="20"/>
  <c r="I167" i="20" s="1"/>
  <c r="B167" i="6" s="1"/>
  <c r="BA167" i="6" s="1"/>
  <c r="D167" i="6" s="1"/>
  <c r="H44" i="20"/>
  <c r="J44" i="20" s="1"/>
  <c r="C44" i="6" s="1"/>
  <c r="H112" i="20"/>
  <c r="J112" i="20" s="1"/>
  <c r="C112" i="6" s="1"/>
  <c r="AA24" i="20"/>
  <c r="Z24" i="20" s="1"/>
  <c r="Y24" i="20" s="1"/>
  <c r="H133" i="20"/>
  <c r="I133" i="20" s="1"/>
  <c r="B133" i="6" s="1"/>
  <c r="BA133" i="6" s="1"/>
  <c r="D133" i="6" s="1"/>
  <c r="AA70" i="20"/>
  <c r="Z70" i="20" s="1"/>
  <c r="Y70" i="20" s="1"/>
  <c r="H152" i="20"/>
  <c r="I152" i="20" s="1"/>
  <c r="B152" i="6" s="1"/>
  <c r="BA152" i="6" s="1"/>
  <c r="D152" i="6" s="1"/>
  <c r="H80" i="20"/>
  <c r="J80" i="20" s="1"/>
  <c r="C80" i="6" s="1"/>
  <c r="G168" i="20"/>
  <c r="CB168" i="6" s="1"/>
  <c r="G96" i="20"/>
  <c r="CB96" i="6" s="1"/>
  <c r="H172" i="20"/>
  <c r="J172" i="20" s="1"/>
  <c r="C172" i="6" s="1"/>
  <c r="H100" i="20"/>
  <c r="I100" i="20" s="1"/>
  <c r="B100" i="6" s="1"/>
  <c r="BA100" i="6" s="1"/>
  <c r="D100" i="6" s="1"/>
  <c r="H116" i="20"/>
  <c r="I116" i="20" s="1"/>
  <c r="B116" i="6" s="1"/>
  <c r="BA116" i="6" s="1"/>
  <c r="D116" i="6" s="1"/>
  <c r="AA88" i="20"/>
  <c r="Z88" i="20" s="1"/>
  <c r="Y88" i="20" s="1"/>
  <c r="H136" i="20"/>
  <c r="I136" i="20" s="1"/>
  <c r="B136" i="6" s="1"/>
  <c r="BA136" i="6" s="1"/>
  <c r="D136" i="6" s="1"/>
  <c r="G84" i="20"/>
  <c r="CB84" i="6" s="1"/>
  <c r="H250" i="20"/>
  <c r="I250" i="20" s="1"/>
  <c r="B250" i="6" s="1"/>
  <c r="BA250" i="6" s="1"/>
  <c r="D250" i="6" s="1"/>
  <c r="AA330" i="20"/>
  <c r="Z330" i="20" s="1"/>
  <c r="Y330" i="20" s="1"/>
  <c r="H73" i="20"/>
  <c r="I73" i="20" s="1"/>
  <c r="B73" i="6" s="1"/>
  <c r="BA73" i="6" s="1"/>
  <c r="D73" i="6" s="1"/>
  <c r="H84" i="20"/>
  <c r="I84" i="20" s="1"/>
  <c r="B84" i="6" s="1"/>
  <c r="BA84" i="6" s="1"/>
  <c r="D84" i="6" s="1"/>
  <c r="J156" i="20"/>
  <c r="C156" i="6" s="1"/>
  <c r="AA79" i="20"/>
  <c r="Z79" i="20" s="1"/>
  <c r="Y79" i="20" s="1"/>
  <c r="H276" i="20"/>
  <c r="I276" i="20" s="1"/>
  <c r="B276" i="6" s="1"/>
  <c r="BA276" i="6" s="1"/>
  <c r="D276" i="6" s="1"/>
  <c r="G290" i="20"/>
  <c r="CB290" i="6" s="1"/>
  <c r="H370" i="20"/>
  <c r="J370" i="20" s="1"/>
  <c r="C370" i="6" s="1"/>
  <c r="AA147" i="20"/>
  <c r="Z147" i="20" s="1"/>
  <c r="Y147" i="20" s="1"/>
  <c r="H354" i="20"/>
  <c r="I354" i="20" s="1"/>
  <c r="B354" i="6" s="1"/>
  <c r="BA354" i="6" s="1"/>
  <c r="D354" i="6" s="1"/>
  <c r="H377" i="20"/>
  <c r="I377" i="20" s="1"/>
  <c r="B377" i="6" s="1"/>
  <c r="BA377" i="6" s="1"/>
  <c r="D377" i="6" s="1"/>
  <c r="H230" i="20"/>
  <c r="I230" i="20" s="1"/>
  <c r="B230" i="6" s="1"/>
  <c r="BA230" i="6" s="1"/>
  <c r="D230" i="6" s="1"/>
  <c r="H20" i="20"/>
  <c r="I20" i="20" s="1"/>
  <c r="B20" i="6" s="1"/>
  <c r="BA20" i="6" s="1"/>
  <c r="D20" i="6" s="1"/>
  <c r="AA112" i="20"/>
  <c r="Z112" i="20" s="1"/>
  <c r="Y112" i="20" s="1"/>
  <c r="W60" i="20"/>
  <c r="AA261" i="20"/>
  <c r="Z261" i="20" s="1"/>
  <c r="Y261" i="20" s="1"/>
  <c r="AA219" i="20"/>
  <c r="Z219" i="20" s="1"/>
  <c r="Y219" i="20" s="1"/>
  <c r="AA279" i="20"/>
  <c r="Z279" i="20" s="1"/>
  <c r="Y279" i="20" s="1"/>
  <c r="AA318" i="20"/>
  <c r="Z318" i="20" s="1"/>
  <c r="Y318" i="20" s="1"/>
  <c r="AA268" i="18"/>
  <c r="Z268" i="18" s="1"/>
  <c r="Y268" i="18" s="1"/>
  <c r="G61" i="20"/>
  <c r="CB61" i="6" s="1"/>
  <c r="AA222" i="20"/>
  <c r="Z222" i="20" s="1"/>
  <c r="Y222" i="20" s="1"/>
  <c r="W272" i="20"/>
  <c r="H298" i="20"/>
  <c r="I298" i="20" s="1"/>
  <c r="B298" i="6" s="1"/>
  <c r="BA298" i="6" s="1"/>
  <c r="D298" i="6" s="1"/>
  <c r="H87" i="20"/>
  <c r="J87" i="20" s="1"/>
  <c r="C87" i="6" s="1"/>
  <c r="I360" i="18"/>
  <c r="H265" i="20"/>
  <c r="I265" i="20" s="1"/>
  <c r="B265" i="6" s="1"/>
  <c r="BA265" i="6" s="1"/>
  <c r="D265" i="6" s="1"/>
  <c r="H311" i="20"/>
  <c r="I311" i="20" s="1"/>
  <c r="B311" i="6" s="1"/>
  <c r="BA311" i="6" s="1"/>
  <c r="D311" i="6" s="1"/>
  <c r="H314" i="20"/>
  <c r="I314" i="20" s="1"/>
  <c r="B314" i="6" s="1"/>
  <c r="BA314" i="6" s="1"/>
  <c r="D314" i="6" s="1"/>
  <c r="AA55" i="20"/>
  <c r="Z55" i="20" s="1"/>
  <c r="Y55" i="20" s="1"/>
  <c r="H153" i="20"/>
  <c r="I153" i="20" s="1"/>
  <c r="B153" i="6" s="1"/>
  <c r="BA153" i="6" s="1"/>
  <c r="D153" i="6" s="1"/>
  <c r="H309" i="20"/>
  <c r="I309" i="20" s="1"/>
  <c r="B309" i="6" s="1"/>
  <c r="BA309" i="6" s="1"/>
  <c r="D309" i="6" s="1"/>
  <c r="AA250" i="20"/>
  <c r="Z250" i="20" s="1"/>
  <c r="Y250" i="20" s="1"/>
  <c r="H342" i="20"/>
  <c r="I342" i="20" s="1"/>
  <c r="B342" i="6" s="1"/>
  <c r="BA342" i="6" s="1"/>
  <c r="D342" i="6" s="1"/>
  <c r="G198" i="20"/>
  <c r="CB198" i="6" s="1"/>
  <c r="H103" i="20"/>
  <c r="I103" i="20" s="1"/>
  <c r="B103" i="6" s="1"/>
  <c r="BA103" i="6" s="1"/>
  <c r="D103" i="6" s="1"/>
  <c r="AA375" i="20"/>
  <c r="Z375" i="20" s="1"/>
  <c r="Y375" i="20" s="1"/>
  <c r="H251" i="18"/>
  <c r="I251" i="18" s="1"/>
  <c r="W268" i="20"/>
  <c r="G268" i="18"/>
  <c r="CA268" i="6" s="1"/>
  <c r="AA355" i="20"/>
  <c r="Z355" i="20" s="1"/>
  <c r="Y355" i="20" s="1"/>
  <c r="H274" i="20"/>
  <c r="J274" i="20" s="1"/>
  <c r="C274" i="6" s="1"/>
  <c r="H245" i="20"/>
  <c r="J245" i="20" s="1"/>
  <c r="C245" i="6" s="1"/>
  <c r="H120" i="20"/>
  <c r="I120" i="20" s="1"/>
  <c r="B120" i="6" s="1"/>
  <c r="BA120" i="6" s="1"/>
  <c r="D120" i="6" s="1"/>
  <c r="H174" i="20"/>
  <c r="J174" i="20" s="1"/>
  <c r="C174" i="6" s="1"/>
  <c r="H235" i="20"/>
  <c r="J235" i="20" s="1"/>
  <c r="C235" i="6" s="1"/>
  <c r="H331" i="20"/>
  <c r="I331" i="20" s="1"/>
  <c r="B331" i="6" s="1"/>
  <c r="BA331" i="6" s="1"/>
  <c r="D331" i="6" s="1"/>
  <c r="AA172" i="20"/>
  <c r="Z172" i="20" s="1"/>
  <c r="Y172" i="20" s="1"/>
  <c r="AA100" i="20"/>
  <c r="Z100" i="20" s="1"/>
  <c r="Y100" i="20" s="1"/>
  <c r="AA80" i="20"/>
  <c r="Z80" i="20" s="1"/>
  <c r="Y80" i="20" s="1"/>
  <c r="AA277" i="20"/>
  <c r="Z277" i="20" s="1"/>
  <c r="Y277" i="20" s="1"/>
  <c r="AA51" i="20"/>
  <c r="Z51" i="20" s="1"/>
  <c r="Y51" i="20" s="1"/>
  <c r="AA131" i="20"/>
  <c r="Z131" i="20" s="1"/>
  <c r="Y131" i="20" s="1"/>
  <c r="AA43" i="20"/>
  <c r="Z43" i="20" s="1"/>
  <c r="Y43" i="20" s="1"/>
  <c r="H79" i="20"/>
  <c r="I79" i="20" s="1"/>
  <c r="B79" i="6" s="1"/>
  <c r="BA79" i="6" s="1"/>
  <c r="D79" i="6" s="1"/>
  <c r="G351" i="20"/>
  <c r="CB351" i="6" s="1"/>
  <c r="AA199" i="20"/>
  <c r="Z199" i="20" s="1"/>
  <c r="Y199" i="20" s="1"/>
  <c r="H294" i="20"/>
  <c r="J294" i="20" s="1"/>
  <c r="C294" i="6" s="1"/>
  <c r="AA218" i="20"/>
  <c r="Z218" i="20" s="1"/>
  <c r="Y218" i="20" s="1"/>
  <c r="I272" i="18"/>
  <c r="G24" i="20"/>
  <c r="CB24" i="6" s="1"/>
  <c r="D36" i="20"/>
  <c r="E36" i="20" s="1"/>
  <c r="F36" i="20" s="1"/>
  <c r="AA36" i="20" s="1"/>
  <c r="Z36" i="20" s="1"/>
  <c r="Y36" i="20" s="1"/>
  <c r="W36" i="20"/>
  <c r="W72" i="20"/>
  <c r="D72" i="20"/>
  <c r="E72" i="20" s="1"/>
  <c r="F72" i="20" s="1"/>
  <c r="AA303" i="20"/>
  <c r="Z303" i="20" s="1"/>
  <c r="Y303" i="20" s="1"/>
  <c r="J240" i="18"/>
  <c r="I240" i="18"/>
  <c r="H286" i="20"/>
  <c r="I286" i="20" s="1"/>
  <c r="B286" i="6" s="1"/>
  <c r="BA286" i="6" s="1"/>
  <c r="D286" i="6" s="1"/>
  <c r="G25" i="20"/>
  <c r="CB25" i="6" s="1"/>
  <c r="AA139" i="20"/>
  <c r="Z139" i="20" s="1"/>
  <c r="Y139" i="20" s="1"/>
  <c r="G219" i="20"/>
  <c r="CB219" i="6" s="1"/>
  <c r="H55" i="20"/>
  <c r="I55" i="20" s="1"/>
  <c r="B55" i="6" s="1"/>
  <c r="BA55" i="6" s="1"/>
  <c r="D55" i="6" s="1"/>
  <c r="H259" i="20"/>
  <c r="I259" i="20" s="1"/>
  <c r="B259" i="6" s="1"/>
  <c r="BA259" i="6" s="1"/>
  <c r="D259" i="6" s="1"/>
  <c r="AA307" i="20"/>
  <c r="Z307" i="20" s="1"/>
  <c r="Y307" i="20" s="1"/>
  <c r="G326" i="20"/>
  <c r="CB326" i="6" s="1"/>
  <c r="H279" i="20"/>
  <c r="J279" i="20" s="1"/>
  <c r="C279" i="6" s="1"/>
  <c r="AA123" i="18"/>
  <c r="Z123" i="18" s="1"/>
  <c r="Y123" i="18" s="1"/>
  <c r="H71" i="20"/>
  <c r="J71" i="20" s="1"/>
  <c r="C71" i="6" s="1"/>
  <c r="H151" i="20"/>
  <c r="I151" i="20" s="1"/>
  <c r="B151" i="6" s="1"/>
  <c r="BA151" i="6" s="1"/>
  <c r="D151" i="6" s="1"/>
  <c r="I37" i="19"/>
  <c r="I268" i="18"/>
  <c r="J268" i="18"/>
  <c r="AG23" i="20"/>
  <c r="AF23" i="20" s="1"/>
  <c r="AD23" i="20" s="1"/>
  <c r="AA23" i="20" s="1"/>
  <c r="Z23" i="20" s="1"/>
  <c r="Y23" i="20" s="1"/>
  <c r="AG39" i="20"/>
  <c r="AF39" i="20" s="1"/>
  <c r="AD39" i="20" s="1"/>
  <c r="AA39" i="20" s="1"/>
  <c r="Z39" i="20" s="1"/>
  <c r="Y39" i="20" s="1"/>
  <c r="AG61" i="20"/>
  <c r="AF61" i="20" s="1"/>
  <c r="AD61" i="20" s="1"/>
  <c r="AA61" i="20" s="1"/>
  <c r="Z61" i="20" s="1"/>
  <c r="Y61" i="20" s="1"/>
  <c r="AG93" i="20"/>
  <c r="AF93" i="20" s="1"/>
  <c r="AD93" i="20" s="1"/>
  <c r="AG125" i="20"/>
  <c r="AF125" i="20" s="1"/>
  <c r="AD125" i="20" s="1"/>
  <c r="AA125" i="20" s="1"/>
  <c r="Z125" i="20" s="1"/>
  <c r="Y125" i="20" s="1"/>
  <c r="AG157" i="20"/>
  <c r="AF157" i="20" s="1"/>
  <c r="AD157" i="20" s="1"/>
  <c r="AA157" i="20" s="1"/>
  <c r="Z157" i="20" s="1"/>
  <c r="Y157" i="20" s="1"/>
  <c r="AG189" i="20"/>
  <c r="AF189" i="20" s="1"/>
  <c r="AD189" i="20" s="1"/>
  <c r="AA189" i="20" s="1"/>
  <c r="Z189" i="20" s="1"/>
  <c r="Y189" i="20" s="1"/>
  <c r="AG221" i="20"/>
  <c r="AF221" i="20" s="1"/>
  <c r="AD221" i="20" s="1"/>
  <c r="AA221" i="20" s="1"/>
  <c r="Z221" i="20" s="1"/>
  <c r="Y221" i="20" s="1"/>
  <c r="AG253" i="20"/>
  <c r="AF253" i="20" s="1"/>
  <c r="AD253" i="20" s="1"/>
  <c r="AA253" i="20" s="1"/>
  <c r="Z253" i="20" s="1"/>
  <c r="Y253" i="20" s="1"/>
  <c r="AG285" i="20"/>
  <c r="AF285" i="20" s="1"/>
  <c r="AD285" i="20" s="1"/>
  <c r="AA285" i="20" s="1"/>
  <c r="Z285" i="20" s="1"/>
  <c r="Y285" i="20" s="1"/>
  <c r="AG317" i="20"/>
  <c r="AF317" i="20" s="1"/>
  <c r="AD317" i="20" s="1"/>
  <c r="AA317" i="20" s="1"/>
  <c r="Z317" i="20" s="1"/>
  <c r="Y317" i="20" s="1"/>
  <c r="AG349" i="20"/>
  <c r="AF349" i="20" s="1"/>
  <c r="AD349" i="20" s="1"/>
  <c r="AA349" i="20" s="1"/>
  <c r="Z349" i="20" s="1"/>
  <c r="Y349" i="20" s="1"/>
  <c r="AG204" i="20"/>
  <c r="AF204" i="20" s="1"/>
  <c r="AD204" i="20" s="1"/>
  <c r="AA204" i="20" s="1"/>
  <c r="Z204" i="20" s="1"/>
  <c r="Y204" i="20" s="1"/>
  <c r="AG220" i="20"/>
  <c r="AF220" i="20" s="1"/>
  <c r="AD220" i="20" s="1"/>
  <c r="AA220" i="20" s="1"/>
  <c r="Z220" i="20" s="1"/>
  <c r="Y220" i="20" s="1"/>
  <c r="AG236" i="20"/>
  <c r="AF236" i="20" s="1"/>
  <c r="AD236" i="20" s="1"/>
  <c r="AA236" i="20" s="1"/>
  <c r="Z236" i="20" s="1"/>
  <c r="Y236" i="20" s="1"/>
  <c r="AG252" i="20"/>
  <c r="AF252" i="20" s="1"/>
  <c r="AD252" i="20" s="1"/>
  <c r="AA252" i="20" s="1"/>
  <c r="Z252" i="20" s="1"/>
  <c r="Y252" i="20" s="1"/>
  <c r="AG268" i="20"/>
  <c r="AF268" i="20" s="1"/>
  <c r="AD268" i="20" s="1"/>
  <c r="AA268" i="20" s="1"/>
  <c r="Z268" i="20" s="1"/>
  <c r="Y268" i="20" s="1"/>
  <c r="AG332" i="20"/>
  <c r="AF332" i="20" s="1"/>
  <c r="AD332" i="20" s="1"/>
  <c r="AA332" i="20" s="1"/>
  <c r="Z332" i="20" s="1"/>
  <c r="Y332" i="20" s="1"/>
  <c r="AG134" i="20"/>
  <c r="AF134" i="20" s="1"/>
  <c r="AD134" i="20" s="1"/>
  <c r="AA134" i="20" s="1"/>
  <c r="Z134" i="20" s="1"/>
  <c r="Y134" i="20" s="1"/>
  <c r="AI12" i="22"/>
  <c r="AH379" i="20"/>
  <c r="AG379" i="20" s="1"/>
  <c r="AF379" i="20" s="1"/>
  <c r="AD379" i="20" s="1"/>
  <c r="AG27" i="20"/>
  <c r="AF27" i="20" s="1"/>
  <c r="AD27" i="20" s="1"/>
  <c r="AA27" i="20" s="1"/>
  <c r="Z27" i="20" s="1"/>
  <c r="Y27" i="20" s="1"/>
  <c r="AG69" i="20"/>
  <c r="AF69" i="20" s="1"/>
  <c r="AD69" i="20" s="1"/>
  <c r="AA69" i="20" s="1"/>
  <c r="Z69" i="20" s="1"/>
  <c r="Y69" i="20" s="1"/>
  <c r="AG101" i="20"/>
  <c r="AF101" i="20" s="1"/>
  <c r="AD101" i="20" s="1"/>
  <c r="AA101" i="20" s="1"/>
  <c r="Z101" i="20" s="1"/>
  <c r="Y101" i="20" s="1"/>
  <c r="AG133" i="20"/>
  <c r="AF133" i="20" s="1"/>
  <c r="AD133" i="20" s="1"/>
  <c r="AA133" i="20" s="1"/>
  <c r="Z133" i="20" s="1"/>
  <c r="Y133" i="20" s="1"/>
  <c r="AG165" i="20"/>
  <c r="AF165" i="20" s="1"/>
  <c r="AD165" i="20" s="1"/>
  <c r="AA165" i="20" s="1"/>
  <c r="Z165" i="20" s="1"/>
  <c r="Y165" i="20" s="1"/>
  <c r="AG144" i="20"/>
  <c r="AF144" i="20" s="1"/>
  <c r="AD144" i="20" s="1"/>
  <c r="AA144" i="20" s="1"/>
  <c r="Z144" i="20" s="1"/>
  <c r="Y144" i="20" s="1"/>
  <c r="AG160" i="20"/>
  <c r="AF160" i="20" s="1"/>
  <c r="AD160" i="20" s="1"/>
  <c r="AA160" i="20" s="1"/>
  <c r="Z160" i="20" s="1"/>
  <c r="Y160" i="20" s="1"/>
  <c r="AG176" i="20"/>
  <c r="AF176" i="20" s="1"/>
  <c r="AD176" i="20" s="1"/>
  <c r="AA176" i="20" s="1"/>
  <c r="Z176" i="20" s="1"/>
  <c r="Y176" i="20" s="1"/>
  <c r="AG240" i="20"/>
  <c r="AF240" i="20" s="1"/>
  <c r="AD240" i="20" s="1"/>
  <c r="AG256" i="20"/>
  <c r="AF256" i="20" s="1"/>
  <c r="AD256" i="20" s="1"/>
  <c r="AA256" i="20" s="1"/>
  <c r="Z256" i="20" s="1"/>
  <c r="Y256" i="20" s="1"/>
  <c r="AG288" i="20"/>
  <c r="AF288" i="20" s="1"/>
  <c r="AD288" i="20" s="1"/>
  <c r="AA288" i="20" s="1"/>
  <c r="Z288" i="20" s="1"/>
  <c r="Y288" i="20" s="1"/>
  <c r="AG320" i="20"/>
  <c r="AF320" i="20" s="1"/>
  <c r="AD320" i="20" s="1"/>
  <c r="AG336" i="20"/>
  <c r="AF336" i="20" s="1"/>
  <c r="AD336" i="20" s="1"/>
  <c r="AA336" i="20" s="1"/>
  <c r="Z336" i="20" s="1"/>
  <c r="Y336" i="20" s="1"/>
  <c r="AG368" i="20"/>
  <c r="AF368" i="20" s="1"/>
  <c r="AD368" i="20" s="1"/>
  <c r="AA368" i="20" s="1"/>
  <c r="Z368" i="20" s="1"/>
  <c r="Y368" i="20" s="1"/>
  <c r="AG129" i="20"/>
  <c r="AF129" i="20" s="1"/>
  <c r="AD129" i="20" s="1"/>
  <c r="AA129" i="20" s="1"/>
  <c r="Z129" i="20" s="1"/>
  <c r="Y129" i="20" s="1"/>
  <c r="AG193" i="20"/>
  <c r="AF193" i="20" s="1"/>
  <c r="AD193" i="20" s="1"/>
  <c r="AA193" i="20" s="1"/>
  <c r="Z193" i="20" s="1"/>
  <c r="Y193" i="20" s="1"/>
  <c r="AG257" i="20"/>
  <c r="AF257" i="20" s="1"/>
  <c r="AD257" i="20" s="1"/>
  <c r="AA257" i="20" s="1"/>
  <c r="Z257" i="20" s="1"/>
  <c r="Y257" i="20" s="1"/>
  <c r="AG106" i="20"/>
  <c r="AF106" i="20" s="1"/>
  <c r="AD106" i="20" s="1"/>
  <c r="AA106" i="20" s="1"/>
  <c r="Z106" i="20" s="1"/>
  <c r="Y106" i="20" s="1"/>
  <c r="AG122" i="20"/>
  <c r="AF122" i="20" s="1"/>
  <c r="AD122" i="20" s="1"/>
  <c r="AA122" i="20" s="1"/>
  <c r="Z122" i="20" s="1"/>
  <c r="Y122" i="20" s="1"/>
  <c r="AG138" i="20"/>
  <c r="AF138" i="20" s="1"/>
  <c r="AD138" i="20" s="1"/>
  <c r="AA138" i="20" s="1"/>
  <c r="Z138" i="20" s="1"/>
  <c r="Y138" i="20" s="1"/>
  <c r="AG154" i="20"/>
  <c r="AF154" i="20" s="1"/>
  <c r="AD154" i="20" s="1"/>
  <c r="AA154" i="20" s="1"/>
  <c r="Z154" i="20" s="1"/>
  <c r="Y154" i="20" s="1"/>
  <c r="AG186" i="20"/>
  <c r="AF186" i="20" s="1"/>
  <c r="AD186" i="20" s="1"/>
  <c r="AA186" i="20" s="1"/>
  <c r="Z186" i="20" s="1"/>
  <c r="Y186" i="20" s="1"/>
  <c r="AG202" i="20"/>
  <c r="AF202" i="20" s="1"/>
  <c r="AD202" i="20" s="1"/>
  <c r="AA202" i="20" s="1"/>
  <c r="Z202" i="20" s="1"/>
  <c r="Y202" i="20" s="1"/>
  <c r="AG234" i="20"/>
  <c r="AF234" i="20" s="1"/>
  <c r="AD234" i="20" s="1"/>
  <c r="AG266" i="20"/>
  <c r="AF266" i="20" s="1"/>
  <c r="AD266" i="20" s="1"/>
  <c r="AA266" i="20" s="1"/>
  <c r="Z266" i="20" s="1"/>
  <c r="Y266" i="20" s="1"/>
  <c r="AG282" i="20"/>
  <c r="AF282" i="20" s="1"/>
  <c r="AD282" i="20" s="1"/>
  <c r="AA282" i="20" s="1"/>
  <c r="Z282" i="20" s="1"/>
  <c r="Y282" i="20" s="1"/>
  <c r="AG298" i="20"/>
  <c r="AF298" i="20" s="1"/>
  <c r="AD298" i="20" s="1"/>
  <c r="AA298" i="20" s="1"/>
  <c r="Z298" i="20" s="1"/>
  <c r="Y298" i="20" s="1"/>
  <c r="AG314" i="20"/>
  <c r="AF314" i="20" s="1"/>
  <c r="AD314" i="20" s="1"/>
  <c r="AA314" i="20" s="1"/>
  <c r="Z314" i="20" s="1"/>
  <c r="Y314" i="20" s="1"/>
  <c r="AG346" i="20"/>
  <c r="AF346" i="20" s="1"/>
  <c r="AD346" i="20" s="1"/>
  <c r="AA346" i="20" s="1"/>
  <c r="Z346" i="20" s="1"/>
  <c r="Y346" i="20" s="1"/>
  <c r="AG362" i="20"/>
  <c r="AF362" i="20" s="1"/>
  <c r="AD362" i="20" s="1"/>
  <c r="AA362" i="20" s="1"/>
  <c r="Z362" i="20" s="1"/>
  <c r="Y362" i="20" s="1"/>
  <c r="AG378" i="20"/>
  <c r="AF378" i="20" s="1"/>
  <c r="AD378" i="20" s="1"/>
  <c r="AA378" i="20" s="1"/>
  <c r="Z378" i="20" s="1"/>
  <c r="Y378" i="20" s="1"/>
  <c r="AG19" i="20"/>
  <c r="AF19" i="20" s="1"/>
  <c r="AD19" i="20" s="1"/>
  <c r="AG90" i="20"/>
  <c r="AF90" i="20" s="1"/>
  <c r="AD90" i="20" s="1"/>
  <c r="AA90" i="20" s="1"/>
  <c r="Z90" i="20" s="1"/>
  <c r="Y90" i="20" s="1"/>
  <c r="AG74" i="20"/>
  <c r="AF74" i="20" s="1"/>
  <c r="AD74" i="20" s="1"/>
  <c r="AA74" i="20" s="1"/>
  <c r="Z74" i="20" s="1"/>
  <c r="Y74" i="20" s="1"/>
  <c r="AG42" i="20"/>
  <c r="AF42" i="20" s="1"/>
  <c r="AD42" i="20" s="1"/>
  <c r="AA42" i="20" s="1"/>
  <c r="Z42" i="20" s="1"/>
  <c r="Y42" i="20" s="1"/>
  <c r="AG158" i="20"/>
  <c r="AF158" i="20" s="1"/>
  <c r="AD158" i="20" s="1"/>
  <c r="AA158" i="20" s="1"/>
  <c r="Z158" i="20" s="1"/>
  <c r="Y158" i="20" s="1"/>
  <c r="AG174" i="20"/>
  <c r="AF174" i="20" s="1"/>
  <c r="AD174" i="20" s="1"/>
  <c r="AA174" i="20" s="1"/>
  <c r="Z174" i="20" s="1"/>
  <c r="Y174" i="20" s="1"/>
  <c r="AG190" i="20"/>
  <c r="AF190" i="20" s="1"/>
  <c r="AD190" i="20" s="1"/>
  <c r="AA190" i="20" s="1"/>
  <c r="Z190" i="20" s="1"/>
  <c r="Y190" i="20" s="1"/>
  <c r="AG206" i="20"/>
  <c r="AF206" i="20" s="1"/>
  <c r="AD206" i="20" s="1"/>
  <c r="AA206" i="20" s="1"/>
  <c r="Z206" i="20" s="1"/>
  <c r="Y206" i="20" s="1"/>
  <c r="AG254" i="20"/>
  <c r="AF254" i="20" s="1"/>
  <c r="AD254" i="20" s="1"/>
  <c r="AG270" i="20"/>
  <c r="AF270" i="20" s="1"/>
  <c r="AD270" i="20" s="1"/>
  <c r="AG286" i="20"/>
  <c r="AF286" i="20" s="1"/>
  <c r="AD286" i="20" s="1"/>
  <c r="AA286" i="20" s="1"/>
  <c r="Z286" i="20" s="1"/>
  <c r="Y286" i="20" s="1"/>
  <c r="AG302" i="20"/>
  <c r="AF302" i="20" s="1"/>
  <c r="AD302" i="20" s="1"/>
  <c r="AA302" i="20" s="1"/>
  <c r="Z302" i="20" s="1"/>
  <c r="Y302" i="20" s="1"/>
  <c r="AG334" i="20"/>
  <c r="AF334" i="20" s="1"/>
  <c r="AD334" i="20" s="1"/>
  <c r="AA334" i="20" s="1"/>
  <c r="Z334" i="20" s="1"/>
  <c r="Y334" i="20" s="1"/>
  <c r="AG350" i="20"/>
  <c r="AF350" i="20" s="1"/>
  <c r="AD350" i="20" s="1"/>
  <c r="AA350" i="20" s="1"/>
  <c r="Z350" i="20" s="1"/>
  <c r="Y350" i="20" s="1"/>
  <c r="AG105" i="20"/>
  <c r="AF105" i="20" s="1"/>
  <c r="AD105" i="20" s="1"/>
  <c r="AA105" i="20" s="1"/>
  <c r="Z105" i="20" s="1"/>
  <c r="Y105" i="20" s="1"/>
  <c r="AG169" i="20"/>
  <c r="AF169" i="20" s="1"/>
  <c r="AD169" i="20" s="1"/>
  <c r="AA169" i="20" s="1"/>
  <c r="Z169" i="20" s="1"/>
  <c r="Y169" i="20" s="1"/>
  <c r="AG233" i="20"/>
  <c r="AF233" i="20" s="1"/>
  <c r="AD233" i="20" s="1"/>
  <c r="AA233" i="20" s="1"/>
  <c r="Z233" i="20" s="1"/>
  <c r="Y233" i="20" s="1"/>
  <c r="AG297" i="20"/>
  <c r="AF297" i="20" s="1"/>
  <c r="AD297" i="20" s="1"/>
  <c r="AA297" i="20" s="1"/>
  <c r="Z297" i="20" s="1"/>
  <c r="Y297" i="20" s="1"/>
  <c r="AG361" i="20"/>
  <c r="AF361" i="20" s="1"/>
  <c r="AD361" i="20" s="1"/>
  <c r="AA361" i="20" s="1"/>
  <c r="Z361" i="20" s="1"/>
  <c r="Y361" i="20" s="1"/>
  <c r="AG45" i="20"/>
  <c r="AF45" i="20" s="1"/>
  <c r="AD45" i="20" s="1"/>
  <c r="AG86" i="20"/>
  <c r="AF86" i="20" s="1"/>
  <c r="AD86" i="20" s="1"/>
  <c r="AG54" i="20"/>
  <c r="AF54" i="20" s="1"/>
  <c r="AD54" i="20" s="1"/>
  <c r="AA54" i="20" s="1"/>
  <c r="Z54" i="20" s="1"/>
  <c r="Y54" i="20" s="1"/>
  <c r="AI382" i="20"/>
  <c r="AI383" i="20"/>
  <c r="AG21" i="20"/>
  <c r="AF21" i="20" s="1"/>
  <c r="AD21" i="20" s="1"/>
  <c r="AG31" i="20"/>
  <c r="AF31" i="20" s="1"/>
  <c r="AD31" i="20" s="1"/>
  <c r="AA31" i="20" s="1"/>
  <c r="Z31" i="20" s="1"/>
  <c r="Y31" i="20" s="1"/>
  <c r="AG77" i="20"/>
  <c r="AF77" i="20" s="1"/>
  <c r="AD77" i="20" s="1"/>
  <c r="AG141" i="20"/>
  <c r="AF141" i="20" s="1"/>
  <c r="AD141" i="20" s="1"/>
  <c r="AA141" i="20" s="1"/>
  <c r="Z141" i="20" s="1"/>
  <c r="Y141" i="20" s="1"/>
  <c r="AG173" i="20"/>
  <c r="AF173" i="20" s="1"/>
  <c r="AD173" i="20" s="1"/>
  <c r="AA173" i="20" s="1"/>
  <c r="Z173" i="20" s="1"/>
  <c r="Y173" i="20" s="1"/>
  <c r="AG205" i="20"/>
  <c r="AF205" i="20" s="1"/>
  <c r="AD205" i="20" s="1"/>
  <c r="AA205" i="20" s="1"/>
  <c r="Z205" i="20" s="1"/>
  <c r="Y205" i="20" s="1"/>
  <c r="AG237" i="20"/>
  <c r="AF237" i="20" s="1"/>
  <c r="AD237" i="20" s="1"/>
  <c r="AA237" i="20" s="1"/>
  <c r="Z237" i="20" s="1"/>
  <c r="Y237" i="20" s="1"/>
  <c r="AG269" i="20"/>
  <c r="AF269" i="20" s="1"/>
  <c r="AD269" i="20" s="1"/>
  <c r="AA269" i="20" s="1"/>
  <c r="Z269" i="20" s="1"/>
  <c r="Y269" i="20" s="1"/>
  <c r="AG301" i="20"/>
  <c r="AF301" i="20" s="1"/>
  <c r="AD301" i="20" s="1"/>
  <c r="AA301" i="20" s="1"/>
  <c r="Z301" i="20" s="1"/>
  <c r="Y301" i="20" s="1"/>
  <c r="AG333" i="20"/>
  <c r="AF333" i="20" s="1"/>
  <c r="AD333" i="20" s="1"/>
  <c r="AA333" i="20" s="1"/>
  <c r="Z333" i="20" s="1"/>
  <c r="Y333" i="20" s="1"/>
  <c r="AG116" i="20"/>
  <c r="AF116" i="20" s="1"/>
  <c r="AD116" i="20" s="1"/>
  <c r="AG132" i="20"/>
  <c r="AF132" i="20" s="1"/>
  <c r="AD132" i="20" s="1"/>
  <c r="AA132" i="20" s="1"/>
  <c r="Z132" i="20" s="1"/>
  <c r="Y132" i="20" s="1"/>
  <c r="AG164" i="20"/>
  <c r="AF164" i="20" s="1"/>
  <c r="AD164" i="20" s="1"/>
  <c r="AA164" i="20" s="1"/>
  <c r="Z164" i="20" s="1"/>
  <c r="Y164" i="20" s="1"/>
  <c r="AG180" i="20"/>
  <c r="AF180" i="20" s="1"/>
  <c r="AD180" i="20" s="1"/>
  <c r="AG196" i="20"/>
  <c r="AF196" i="20" s="1"/>
  <c r="AD196" i="20" s="1"/>
  <c r="AA196" i="20" s="1"/>
  <c r="Z196" i="20" s="1"/>
  <c r="Y196" i="20" s="1"/>
  <c r="AG212" i="20"/>
  <c r="AF212" i="20" s="1"/>
  <c r="AD212" i="20" s="1"/>
  <c r="AA212" i="20" s="1"/>
  <c r="Z212" i="20" s="1"/>
  <c r="Y212" i="20" s="1"/>
  <c r="AG244" i="20"/>
  <c r="AF244" i="20" s="1"/>
  <c r="AD244" i="20" s="1"/>
  <c r="AA244" i="20" s="1"/>
  <c r="Z244" i="20" s="1"/>
  <c r="Y244" i="20" s="1"/>
  <c r="AG276" i="20"/>
  <c r="AF276" i="20" s="1"/>
  <c r="AD276" i="20" s="1"/>
  <c r="AA276" i="20" s="1"/>
  <c r="Z276" i="20" s="1"/>
  <c r="Y276" i="20" s="1"/>
  <c r="AG292" i="20"/>
  <c r="AF292" i="20" s="1"/>
  <c r="AD292" i="20" s="1"/>
  <c r="AA292" i="20" s="1"/>
  <c r="Z292" i="20" s="1"/>
  <c r="Y292" i="20" s="1"/>
  <c r="AG308" i="20"/>
  <c r="AF308" i="20" s="1"/>
  <c r="AD308" i="20" s="1"/>
  <c r="AG324" i="20"/>
  <c r="AF324" i="20" s="1"/>
  <c r="AD324" i="20" s="1"/>
  <c r="AA324" i="20" s="1"/>
  <c r="Z324" i="20" s="1"/>
  <c r="Y324" i="20" s="1"/>
  <c r="AG340" i="20"/>
  <c r="AF340" i="20" s="1"/>
  <c r="AD340" i="20" s="1"/>
  <c r="AA340" i="20" s="1"/>
  <c r="Z340" i="20" s="1"/>
  <c r="Y340" i="20" s="1"/>
  <c r="AG356" i="20"/>
  <c r="AF356" i="20" s="1"/>
  <c r="AD356" i="20" s="1"/>
  <c r="AA356" i="20" s="1"/>
  <c r="Z356" i="20" s="1"/>
  <c r="Y356" i="20" s="1"/>
  <c r="AG372" i="20"/>
  <c r="AF372" i="20" s="1"/>
  <c r="AD372" i="20" s="1"/>
  <c r="AA372" i="20" s="1"/>
  <c r="Z372" i="20" s="1"/>
  <c r="Y372" i="20" s="1"/>
  <c r="AG145" i="20"/>
  <c r="AF145" i="20" s="1"/>
  <c r="AD145" i="20" s="1"/>
  <c r="AG16" i="20"/>
  <c r="AF16" i="20" s="1"/>
  <c r="AD16" i="20" s="1"/>
  <c r="AA16" i="20" s="1"/>
  <c r="Z16" i="20" s="1"/>
  <c r="Y16" i="20" s="1"/>
  <c r="AG53" i="20"/>
  <c r="AF53" i="20" s="1"/>
  <c r="AD53" i="20" s="1"/>
  <c r="AA53" i="20" s="1"/>
  <c r="Z53" i="20" s="1"/>
  <c r="Y53" i="20" s="1"/>
  <c r="AG85" i="20"/>
  <c r="AF85" i="20" s="1"/>
  <c r="AD85" i="20" s="1"/>
  <c r="AG117" i="20"/>
  <c r="AF117" i="20" s="1"/>
  <c r="AD117" i="20" s="1"/>
  <c r="AA117" i="20" s="1"/>
  <c r="Z117" i="20" s="1"/>
  <c r="Y117" i="20" s="1"/>
  <c r="AG149" i="20"/>
  <c r="AF149" i="20" s="1"/>
  <c r="AD149" i="20" s="1"/>
  <c r="AA149" i="20" s="1"/>
  <c r="Z149" i="20" s="1"/>
  <c r="Y149" i="20" s="1"/>
  <c r="AG181" i="20"/>
  <c r="AF181" i="20" s="1"/>
  <c r="AD181" i="20" s="1"/>
  <c r="AA181" i="20" s="1"/>
  <c r="Z181" i="20" s="1"/>
  <c r="Y181" i="20" s="1"/>
  <c r="AG120" i="20"/>
  <c r="AF120" i="20" s="1"/>
  <c r="AD120" i="20" s="1"/>
  <c r="AA120" i="20" s="1"/>
  <c r="Z120" i="20" s="1"/>
  <c r="Y120" i="20" s="1"/>
  <c r="AG136" i="20"/>
  <c r="AF136" i="20" s="1"/>
  <c r="AD136" i="20" s="1"/>
  <c r="AA136" i="20" s="1"/>
  <c r="Z136" i="20" s="1"/>
  <c r="Y136" i="20" s="1"/>
  <c r="AG152" i="20"/>
  <c r="AF152" i="20" s="1"/>
  <c r="AD152" i="20" s="1"/>
  <c r="AA152" i="20" s="1"/>
  <c r="Z152" i="20" s="1"/>
  <c r="Y152" i="20" s="1"/>
  <c r="AG168" i="20"/>
  <c r="AF168" i="20" s="1"/>
  <c r="AD168" i="20" s="1"/>
  <c r="AA168" i="20" s="1"/>
  <c r="Z168" i="20" s="1"/>
  <c r="Y168" i="20" s="1"/>
  <c r="AG200" i="20"/>
  <c r="AF200" i="20" s="1"/>
  <c r="AD200" i="20" s="1"/>
  <c r="AA200" i="20" s="1"/>
  <c r="Z200" i="20" s="1"/>
  <c r="Y200" i="20" s="1"/>
  <c r="AG248" i="20"/>
  <c r="AF248" i="20" s="1"/>
  <c r="AD248" i="20" s="1"/>
  <c r="AA248" i="20" s="1"/>
  <c r="Z248" i="20" s="1"/>
  <c r="Y248" i="20" s="1"/>
  <c r="AG264" i="20"/>
  <c r="AF264" i="20" s="1"/>
  <c r="AD264" i="20" s="1"/>
  <c r="AA264" i="20" s="1"/>
  <c r="Z264" i="20" s="1"/>
  <c r="Y264" i="20" s="1"/>
  <c r="AG280" i="20"/>
  <c r="AF280" i="20" s="1"/>
  <c r="AD280" i="20" s="1"/>
  <c r="AA280" i="20" s="1"/>
  <c r="Z280" i="20" s="1"/>
  <c r="Y280" i="20" s="1"/>
  <c r="AG296" i="20"/>
  <c r="AF296" i="20" s="1"/>
  <c r="AD296" i="20" s="1"/>
  <c r="AA296" i="20" s="1"/>
  <c r="Z296" i="20" s="1"/>
  <c r="Y296" i="20" s="1"/>
  <c r="AG312" i="20"/>
  <c r="AF312" i="20" s="1"/>
  <c r="AD312" i="20" s="1"/>
  <c r="AA312" i="20" s="1"/>
  <c r="Z312" i="20" s="1"/>
  <c r="Y312" i="20" s="1"/>
  <c r="AG344" i="20"/>
  <c r="AF344" i="20" s="1"/>
  <c r="AD344" i="20" s="1"/>
  <c r="AG360" i="20"/>
  <c r="AF360" i="20" s="1"/>
  <c r="AD360" i="20" s="1"/>
  <c r="AG376" i="20"/>
  <c r="AF376" i="20" s="1"/>
  <c r="AD376" i="20" s="1"/>
  <c r="AG161" i="20"/>
  <c r="AF161" i="20" s="1"/>
  <c r="AD161" i="20" s="1"/>
  <c r="AG225" i="20"/>
  <c r="AF225" i="20" s="1"/>
  <c r="AD225" i="20" s="1"/>
  <c r="AA225" i="20" s="1"/>
  <c r="Z225" i="20" s="1"/>
  <c r="Y225" i="20" s="1"/>
  <c r="AG353" i="20"/>
  <c r="AF353" i="20" s="1"/>
  <c r="AD353" i="20" s="1"/>
  <c r="AA353" i="20" s="1"/>
  <c r="Z353" i="20" s="1"/>
  <c r="Y353" i="20" s="1"/>
  <c r="AG126" i="20"/>
  <c r="AF126" i="20" s="1"/>
  <c r="AD126" i="20" s="1"/>
  <c r="AA126" i="20" s="1"/>
  <c r="Z126" i="20" s="1"/>
  <c r="Y126" i="20" s="1"/>
  <c r="AG114" i="20"/>
  <c r="AF114" i="20" s="1"/>
  <c r="AD114" i="20" s="1"/>
  <c r="AA114" i="20" s="1"/>
  <c r="Z114" i="20" s="1"/>
  <c r="Y114" i="20" s="1"/>
  <c r="AG130" i="20"/>
  <c r="AF130" i="20" s="1"/>
  <c r="AD130" i="20" s="1"/>
  <c r="AA130" i="20" s="1"/>
  <c r="Z130" i="20" s="1"/>
  <c r="Y130" i="20" s="1"/>
  <c r="AG162" i="20"/>
  <c r="AF162" i="20" s="1"/>
  <c r="AD162" i="20" s="1"/>
  <c r="AA162" i="20" s="1"/>
  <c r="Z162" i="20" s="1"/>
  <c r="Y162" i="20" s="1"/>
  <c r="AG178" i="20"/>
  <c r="AF178" i="20" s="1"/>
  <c r="AD178" i="20" s="1"/>
  <c r="AA178" i="20" s="1"/>
  <c r="Z178" i="20" s="1"/>
  <c r="Y178" i="20" s="1"/>
  <c r="AG194" i="20"/>
  <c r="AF194" i="20" s="1"/>
  <c r="AD194" i="20" s="1"/>
  <c r="AA194" i="20" s="1"/>
  <c r="Z194" i="20" s="1"/>
  <c r="Y194" i="20" s="1"/>
  <c r="AG210" i="20"/>
  <c r="AF210" i="20" s="1"/>
  <c r="AD210" i="20" s="1"/>
  <c r="AA210" i="20" s="1"/>
  <c r="Z210" i="20" s="1"/>
  <c r="Y210" i="20" s="1"/>
  <c r="AG226" i="20"/>
  <c r="AF226" i="20" s="1"/>
  <c r="AD226" i="20" s="1"/>
  <c r="AA226" i="20" s="1"/>
  <c r="Z226" i="20" s="1"/>
  <c r="Y226" i="20" s="1"/>
  <c r="AG242" i="20"/>
  <c r="AF242" i="20" s="1"/>
  <c r="AD242" i="20" s="1"/>
  <c r="AA242" i="20" s="1"/>
  <c r="Z242" i="20" s="1"/>
  <c r="Y242" i="20" s="1"/>
  <c r="AG290" i="20"/>
  <c r="AF290" i="20" s="1"/>
  <c r="AD290" i="20" s="1"/>
  <c r="AG306" i="20"/>
  <c r="AF306" i="20" s="1"/>
  <c r="AD306" i="20" s="1"/>
  <c r="AA306" i="20" s="1"/>
  <c r="Z306" i="20" s="1"/>
  <c r="Y306" i="20" s="1"/>
  <c r="AG322" i="20"/>
  <c r="AF322" i="20" s="1"/>
  <c r="AD322" i="20" s="1"/>
  <c r="AA322" i="20" s="1"/>
  <c r="Z322" i="20" s="1"/>
  <c r="Y322" i="20" s="1"/>
  <c r="AG338" i="20"/>
  <c r="AF338" i="20" s="1"/>
  <c r="AD338" i="20" s="1"/>
  <c r="AA338" i="20" s="1"/>
  <c r="Z338" i="20" s="1"/>
  <c r="Y338" i="20" s="1"/>
  <c r="AG354" i="20"/>
  <c r="AF354" i="20" s="1"/>
  <c r="AD354" i="20" s="1"/>
  <c r="AA354" i="20" s="1"/>
  <c r="Z354" i="20" s="1"/>
  <c r="Y354" i="20" s="1"/>
  <c r="AG370" i="20"/>
  <c r="AF370" i="20" s="1"/>
  <c r="AD370" i="20" s="1"/>
  <c r="AA370" i="20" s="1"/>
  <c r="Z370" i="20" s="1"/>
  <c r="Y370" i="20" s="1"/>
  <c r="AG121" i="20"/>
  <c r="AF121" i="20" s="1"/>
  <c r="AD121" i="20" s="1"/>
  <c r="AA121" i="20" s="1"/>
  <c r="Z121" i="20" s="1"/>
  <c r="Y121" i="20" s="1"/>
  <c r="AG37" i="20"/>
  <c r="AF37" i="20" s="1"/>
  <c r="AD37" i="20" s="1"/>
  <c r="AA37" i="20" s="1"/>
  <c r="Z37" i="20" s="1"/>
  <c r="Y37" i="20" s="1"/>
  <c r="AG98" i="20"/>
  <c r="AF98" i="20" s="1"/>
  <c r="AD98" i="20" s="1"/>
  <c r="AA98" i="20" s="1"/>
  <c r="Z98" i="20" s="1"/>
  <c r="Y98" i="20" s="1"/>
  <c r="AG82" i="20"/>
  <c r="AF82" i="20" s="1"/>
  <c r="AD82" i="20" s="1"/>
  <c r="AA82" i="20" s="1"/>
  <c r="Z82" i="20" s="1"/>
  <c r="Y82" i="20" s="1"/>
  <c r="AG50" i="20"/>
  <c r="AF50" i="20" s="1"/>
  <c r="AD50" i="20" s="1"/>
  <c r="AA50" i="20" s="1"/>
  <c r="Z50" i="20" s="1"/>
  <c r="Y50" i="20" s="1"/>
  <c r="AG34" i="20"/>
  <c r="AF34" i="20" s="1"/>
  <c r="AD34" i="20" s="1"/>
  <c r="AA34" i="20" s="1"/>
  <c r="Z34" i="20" s="1"/>
  <c r="Y34" i="20" s="1"/>
  <c r="AH15" i="20"/>
  <c r="AI381" i="20"/>
  <c r="AG166" i="20"/>
  <c r="AF166" i="20" s="1"/>
  <c r="AD166" i="20" s="1"/>
  <c r="AA166" i="20" s="1"/>
  <c r="Z166" i="20" s="1"/>
  <c r="Y166" i="20" s="1"/>
  <c r="AG182" i="20"/>
  <c r="AF182" i="20" s="1"/>
  <c r="AD182" i="20" s="1"/>
  <c r="AA182" i="20" s="1"/>
  <c r="Z182" i="20" s="1"/>
  <c r="Y182" i="20" s="1"/>
  <c r="AG198" i="20"/>
  <c r="AF198" i="20" s="1"/>
  <c r="AD198" i="20" s="1"/>
  <c r="AA198" i="20" s="1"/>
  <c r="Z198" i="20" s="1"/>
  <c r="Y198" i="20" s="1"/>
  <c r="AG214" i="20"/>
  <c r="AF214" i="20" s="1"/>
  <c r="AD214" i="20" s="1"/>
  <c r="AA214" i="20" s="1"/>
  <c r="Z214" i="20" s="1"/>
  <c r="Y214" i="20" s="1"/>
  <c r="AG230" i="20"/>
  <c r="AF230" i="20" s="1"/>
  <c r="AD230" i="20" s="1"/>
  <c r="AA230" i="20" s="1"/>
  <c r="Z230" i="20" s="1"/>
  <c r="Y230" i="20" s="1"/>
  <c r="AG246" i="20"/>
  <c r="AF246" i="20" s="1"/>
  <c r="AD246" i="20" s="1"/>
  <c r="AA246" i="20" s="1"/>
  <c r="Z246" i="20" s="1"/>
  <c r="Y246" i="20" s="1"/>
  <c r="AG262" i="20"/>
  <c r="AF262" i="20" s="1"/>
  <c r="AD262" i="20" s="1"/>
  <c r="AA262" i="20" s="1"/>
  <c r="Z262" i="20" s="1"/>
  <c r="Y262" i="20" s="1"/>
  <c r="AG278" i="20"/>
  <c r="AF278" i="20" s="1"/>
  <c r="AD278" i="20" s="1"/>
  <c r="AA278" i="20" s="1"/>
  <c r="Z278" i="20" s="1"/>
  <c r="Y278" i="20" s="1"/>
  <c r="AG294" i="20"/>
  <c r="AF294" i="20" s="1"/>
  <c r="AD294" i="20" s="1"/>
  <c r="AA294" i="20" s="1"/>
  <c r="Z294" i="20" s="1"/>
  <c r="Y294" i="20" s="1"/>
  <c r="AG310" i="20"/>
  <c r="AF310" i="20" s="1"/>
  <c r="AD310" i="20" s="1"/>
  <c r="AA310" i="20" s="1"/>
  <c r="Z310" i="20" s="1"/>
  <c r="Y310" i="20" s="1"/>
  <c r="AG342" i="20"/>
  <c r="AF342" i="20" s="1"/>
  <c r="AD342" i="20" s="1"/>
  <c r="AA342" i="20" s="1"/>
  <c r="Z342" i="20" s="1"/>
  <c r="Y342" i="20" s="1"/>
  <c r="AG358" i="20"/>
  <c r="AF358" i="20" s="1"/>
  <c r="AD358" i="20" s="1"/>
  <c r="AA358" i="20" s="1"/>
  <c r="Z358" i="20" s="1"/>
  <c r="Y358" i="20" s="1"/>
  <c r="AG374" i="20"/>
  <c r="AF374" i="20" s="1"/>
  <c r="AD374" i="20" s="1"/>
  <c r="AA374" i="20" s="1"/>
  <c r="Z374" i="20" s="1"/>
  <c r="Y374" i="20" s="1"/>
  <c r="AG137" i="20"/>
  <c r="AF137" i="20" s="1"/>
  <c r="AD137" i="20" s="1"/>
  <c r="AG201" i="20"/>
  <c r="AF201" i="20" s="1"/>
  <c r="AD201" i="20" s="1"/>
  <c r="AG265" i="20"/>
  <c r="AF265" i="20" s="1"/>
  <c r="AD265" i="20" s="1"/>
  <c r="AA265" i="20" s="1"/>
  <c r="Z265" i="20" s="1"/>
  <c r="Y265" i="20" s="1"/>
  <c r="AG329" i="20"/>
  <c r="AF329" i="20" s="1"/>
  <c r="AD329" i="20" s="1"/>
  <c r="AA329" i="20" s="1"/>
  <c r="Z329" i="20" s="1"/>
  <c r="Y329" i="20" s="1"/>
  <c r="AG73" i="20"/>
  <c r="AF73" i="20" s="1"/>
  <c r="AD73" i="20" s="1"/>
  <c r="AA73" i="20" s="1"/>
  <c r="Z73" i="20" s="1"/>
  <c r="Y73" i="20" s="1"/>
  <c r="AG29" i="20"/>
  <c r="AF29" i="20" s="1"/>
  <c r="AD29" i="20" s="1"/>
  <c r="AA29" i="20" s="1"/>
  <c r="Z29" i="20" s="1"/>
  <c r="Y29" i="20" s="1"/>
  <c r="AG78" i="20"/>
  <c r="AF78" i="20" s="1"/>
  <c r="AD78" i="20" s="1"/>
  <c r="AA78" i="20" s="1"/>
  <c r="Z78" i="20" s="1"/>
  <c r="Y78" i="20" s="1"/>
  <c r="AG62" i="20"/>
  <c r="AF62" i="20" s="1"/>
  <c r="AD62" i="20" s="1"/>
  <c r="AG46" i="20"/>
  <c r="AF46" i="20" s="1"/>
  <c r="AD46" i="20" s="1"/>
  <c r="AA46" i="20" s="1"/>
  <c r="Z46" i="20" s="1"/>
  <c r="Y46" i="20" s="1"/>
  <c r="AG30" i="20"/>
  <c r="AF30" i="20" s="1"/>
  <c r="AD30" i="20" s="1"/>
  <c r="AA30" i="20" s="1"/>
  <c r="Z30" i="20" s="1"/>
  <c r="Y30" i="20" s="1"/>
  <c r="AG89" i="20"/>
  <c r="AF89" i="20" s="1"/>
  <c r="AD89" i="20" s="1"/>
  <c r="G113" i="20"/>
  <c r="CB113" i="6" s="1"/>
  <c r="H121" i="20"/>
  <c r="J121" i="20" s="1"/>
  <c r="C121" i="6" s="1"/>
  <c r="H194" i="20"/>
  <c r="J194" i="20" s="1"/>
  <c r="C194" i="6" s="1"/>
  <c r="H346" i="20"/>
  <c r="J346" i="20" s="1"/>
  <c r="C346" i="6" s="1"/>
  <c r="H141" i="20"/>
  <c r="I141" i="20" s="1"/>
  <c r="B141" i="6" s="1"/>
  <c r="BA141" i="6" s="1"/>
  <c r="D141" i="6" s="1"/>
  <c r="G263" i="20"/>
  <c r="CB263" i="6" s="1"/>
  <c r="G222" i="20"/>
  <c r="CB222" i="6" s="1"/>
  <c r="I363" i="18"/>
  <c r="G153" i="20"/>
  <c r="CB153" i="6" s="1"/>
  <c r="H113" i="20"/>
  <c r="I113" i="20" s="1"/>
  <c r="B113" i="6" s="1"/>
  <c r="BA113" i="6" s="1"/>
  <c r="D113" i="6" s="1"/>
  <c r="D119" i="20"/>
  <c r="E119" i="20" s="1"/>
  <c r="F119" i="20" s="1"/>
  <c r="G119" i="20" s="1"/>
  <c r="CB119" i="6" s="1"/>
  <c r="AA183" i="20"/>
  <c r="Z183" i="20" s="1"/>
  <c r="Y183" i="20" s="1"/>
  <c r="H277" i="20"/>
  <c r="I277" i="20" s="1"/>
  <c r="B277" i="6" s="1"/>
  <c r="BA277" i="6" s="1"/>
  <c r="D277" i="6" s="1"/>
  <c r="G51" i="20"/>
  <c r="CB51" i="6" s="1"/>
  <c r="AA263" i="20"/>
  <c r="Z263" i="20" s="1"/>
  <c r="Y263" i="20" s="1"/>
  <c r="G283" i="20"/>
  <c r="CB283" i="6" s="1"/>
  <c r="H375" i="20"/>
  <c r="I375" i="20" s="1"/>
  <c r="B375" i="6" s="1"/>
  <c r="BA375" i="6" s="1"/>
  <c r="D375" i="6" s="1"/>
  <c r="G324" i="20"/>
  <c r="CB324" i="6" s="1"/>
  <c r="G107" i="20"/>
  <c r="CB107" i="6" s="1"/>
  <c r="G131" i="20"/>
  <c r="CB131" i="6" s="1"/>
  <c r="G183" i="20"/>
  <c r="CB183" i="6" s="1"/>
  <c r="G237" i="20"/>
  <c r="CB237" i="6" s="1"/>
  <c r="H281" i="20"/>
  <c r="I281" i="20" s="1"/>
  <c r="B281" i="6" s="1"/>
  <c r="BA281" i="6" s="1"/>
  <c r="D281" i="6" s="1"/>
  <c r="G141" i="20"/>
  <c r="CB141" i="6" s="1"/>
  <c r="H253" i="20"/>
  <c r="I253" i="20" s="1"/>
  <c r="B253" i="6" s="1"/>
  <c r="BA253" i="6" s="1"/>
  <c r="D253" i="6" s="1"/>
  <c r="G305" i="20"/>
  <c r="CB305" i="6" s="1"/>
  <c r="H38" i="20"/>
  <c r="I38" i="20" s="1"/>
  <c r="B38" i="6" s="1"/>
  <c r="BA38" i="6" s="1"/>
  <c r="D38" i="6" s="1"/>
  <c r="G38" i="20"/>
  <c r="CB38" i="6" s="1"/>
  <c r="H69" i="20"/>
  <c r="I69" i="20" s="1"/>
  <c r="B69" i="6" s="1"/>
  <c r="BA69" i="6" s="1"/>
  <c r="D69" i="6" s="1"/>
  <c r="H355" i="20"/>
  <c r="I355" i="20" s="1"/>
  <c r="B355" i="6" s="1"/>
  <c r="BA355" i="6" s="1"/>
  <c r="D355" i="6" s="1"/>
  <c r="AA63" i="20"/>
  <c r="Z63" i="20" s="1"/>
  <c r="Y63" i="20" s="1"/>
  <c r="AA167" i="20"/>
  <c r="Z167" i="20" s="1"/>
  <c r="Y167" i="20" s="1"/>
  <c r="AA326" i="20"/>
  <c r="Z326" i="20" s="1"/>
  <c r="Y326" i="20" s="1"/>
  <c r="G121" i="20"/>
  <c r="CB121" i="6" s="1"/>
  <c r="G279" i="20"/>
  <c r="CB279" i="6" s="1"/>
  <c r="H347" i="20"/>
  <c r="I347" i="20" s="1"/>
  <c r="B347" i="6" s="1"/>
  <c r="BA347" i="6" s="1"/>
  <c r="D347" i="6" s="1"/>
  <c r="AA331" i="20"/>
  <c r="Z331" i="20" s="1"/>
  <c r="Y331" i="20" s="1"/>
  <c r="H182" i="20"/>
  <c r="J182" i="20" s="1"/>
  <c r="C182" i="6" s="1"/>
  <c r="H351" i="20"/>
  <c r="I351" i="20" s="1"/>
  <c r="B351" i="6" s="1"/>
  <c r="BA351" i="6" s="1"/>
  <c r="D351" i="6" s="1"/>
  <c r="G147" i="20"/>
  <c r="CB147" i="6" s="1"/>
  <c r="H215" i="20"/>
  <c r="I215" i="20" s="1"/>
  <c r="B215" i="6" s="1"/>
  <c r="BA215" i="6" s="1"/>
  <c r="D215" i="6" s="1"/>
  <c r="H200" i="20"/>
  <c r="J200" i="20" s="1"/>
  <c r="C200" i="6" s="1"/>
  <c r="H340" i="20"/>
  <c r="J340" i="20" s="1"/>
  <c r="C340" i="6" s="1"/>
  <c r="H378" i="20"/>
  <c r="J378" i="20" s="1"/>
  <c r="C378" i="6" s="1"/>
  <c r="G99" i="20"/>
  <c r="CB99" i="6" s="1"/>
  <c r="AA347" i="20"/>
  <c r="Z347" i="20" s="1"/>
  <c r="Y347" i="20" s="1"/>
  <c r="AA25" i="20"/>
  <c r="Z25" i="20" s="1"/>
  <c r="Y25" i="20" s="1"/>
  <c r="W139" i="20"/>
  <c r="G212" i="20"/>
  <c r="CB212" i="6" s="1"/>
  <c r="H147" i="20"/>
  <c r="J147" i="20" s="1"/>
  <c r="C147" i="6" s="1"/>
  <c r="G257" i="20"/>
  <c r="CB257" i="6" s="1"/>
  <c r="H337" i="20"/>
  <c r="J337" i="20" s="1"/>
  <c r="C337" i="6" s="1"/>
  <c r="H173" i="20"/>
  <c r="J173" i="20" s="1"/>
  <c r="C173" i="6" s="1"/>
  <c r="H313" i="20"/>
  <c r="I313" i="20" s="1"/>
  <c r="B313" i="6" s="1"/>
  <c r="BA313" i="6" s="1"/>
  <c r="D313" i="6" s="1"/>
  <c r="AA260" i="20"/>
  <c r="Z260" i="20" s="1"/>
  <c r="Y260" i="20" s="1"/>
  <c r="H280" i="20"/>
  <c r="I280" i="20" s="1"/>
  <c r="B280" i="6" s="1"/>
  <c r="BA280" i="6" s="1"/>
  <c r="D280" i="6" s="1"/>
  <c r="G349" i="20"/>
  <c r="CB349" i="6" s="1"/>
  <c r="G16" i="20"/>
  <c r="CB16" i="6" s="1"/>
  <c r="H185" i="20"/>
  <c r="I185" i="20" s="1"/>
  <c r="B185" i="6" s="1"/>
  <c r="BA185" i="6" s="1"/>
  <c r="D185" i="6" s="1"/>
  <c r="D241" i="20"/>
  <c r="E241" i="20" s="1"/>
  <c r="F241" i="20" s="1"/>
  <c r="H241" i="20" s="1"/>
  <c r="G192" i="20"/>
  <c r="CB192" i="6" s="1"/>
  <c r="H260" i="20"/>
  <c r="J260" i="20" s="1"/>
  <c r="C260" i="6" s="1"/>
  <c r="J333" i="18"/>
  <c r="H101" i="20"/>
  <c r="J101" i="20" s="1"/>
  <c r="C101" i="6" s="1"/>
  <c r="G261" i="20"/>
  <c r="CB261" i="6" s="1"/>
  <c r="G329" i="20"/>
  <c r="CB329" i="6" s="1"/>
  <c r="H204" i="20"/>
  <c r="J204" i="20" s="1"/>
  <c r="C204" i="6" s="1"/>
  <c r="G368" i="20"/>
  <c r="CB368" i="6" s="1"/>
  <c r="W29" i="20"/>
  <c r="AA185" i="20"/>
  <c r="Z185" i="20" s="1"/>
  <c r="Y185" i="20" s="1"/>
  <c r="G313" i="20"/>
  <c r="CB313" i="6" s="1"/>
  <c r="H269" i="20"/>
  <c r="I269" i="20" s="1"/>
  <c r="B269" i="6" s="1"/>
  <c r="BA269" i="6" s="1"/>
  <c r="D269" i="6" s="1"/>
  <c r="G69" i="20"/>
  <c r="CB69" i="6" s="1"/>
  <c r="H237" i="20"/>
  <c r="I237" i="20" s="1"/>
  <c r="B237" i="6" s="1"/>
  <c r="BA237" i="6" s="1"/>
  <c r="D237" i="6" s="1"/>
  <c r="G281" i="20"/>
  <c r="CB281" i="6" s="1"/>
  <c r="H303" i="20"/>
  <c r="I303" i="20" s="1"/>
  <c r="B303" i="6" s="1"/>
  <c r="BA303" i="6" s="1"/>
  <c r="D303" i="6" s="1"/>
  <c r="G252" i="20"/>
  <c r="CB252" i="6" s="1"/>
  <c r="H51" i="20"/>
  <c r="I51" i="20" s="1"/>
  <c r="B51" i="6" s="1"/>
  <c r="BA51" i="6" s="1"/>
  <c r="D51" i="6" s="1"/>
  <c r="G133" i="20"/>
  <c r="CB133" i="6" s="1"/>
  <c r="H226" i="20"/>
  <c r="I226" i="20" s="1"/>
  <c r="B226" i="6" s="1"/>
  <c r="BA226" i="6" s="1"/>
  <c r="D226" i="6" s="1"/>
  <c r="G226" i="20"/>
  <c r="CB226" i="6" s="1"/>
  <c r="H212" i="20"/>
  <c r="I212" i="20" s="1"/>
  <c r="B212" i="6" s="1"/>
  <c r="BA212" i="6" s="1"/>
  <c r="D212" i="6" s="1"/>
  <c r="H262" i="20"/>
  <c r="I262" i="20" s="1"/>
  <c r="B262" i="6" s="1"/>
  <c r="BA262" i="6" s="1"/>
  <c r="D262" i="6" s="1"/>
  <c r="H257" i="20"/>
  <c r="J257" i="20" s="1"/>
  <c r="C257" i="6" s="1"/>
  <c r="G285" i="20"/>
  <c r="CB285" i="6" s="1"/>
  <c r="G204" i="20"/>
  <c r="CB204" i="6" s="1"/>
  <c r="AA192" i="20"/>
  <c r="Z192" i="20" s="1"/>
  <c r="Y192" i="20" s="1"/>
  <c r="H332" i="20"/>
  <c r="I332" i="20" s="1"/>
  <c r="B332" i="6" s="1"/>
  <c r="BA332" i="6" s="1"/>
  <c r="D332" i="6" s="1"/>
  <c r="H220" i="20"/>
  <c r="J220" i="20" s="1"/>
  <c r="C220" i="6" s="1"/>
  <c r="H193" i="18"/>
  <c r="I193" i="18" s="1"/>
  <c r="G251" i="18"/>
  <c r="CA251" i="6" s="1"/>
  <c r="H75" i="20"/>
  <c r="I75" i="20" s="1"/>
  <c r="B75" i="6" s="1"/>
  <c r="BA75" i="6" s="1"/>
  <c r="D75" i="6" s="1"/>
  <c r="W123" i="20"/>
  <c r="W107" i="20"/>
  <c r="W201" i="20"/>
  <c r="D201" i="20"/>
  <c r="E201" i="20" s="1"/>
  <c r="F201" i="20" s="1"/>
  <c r="H197" i="20"/>
  <c r="J197" i="20" s="1"/>
  <c r="C197" i="6" s="1"/>
  <c r="H217" i="20"/>
  <c r="J217" i="20" s="1"/>
  <c r="C217" i="6" s="1"/>
  <c r="H233" i="20"/>
  <c r="J233" i="20" s="1"/>
  <c r="C233" i="6" s="1"/>
  <c r="G277" i="20"/>
  <c r="CB277" i="6" s="1"/>
  <c r="H296" i="20"/>
  <c r="I296" i="20" s="1"/>
  <c r="B296" i="6" s="1"/>
  <c r="BA296" i="6" s="1"/>
  <c r="D296" i="6" s="1"/>
  <c r="H330" i="20"/>
  <c r="I330" i="20" s="1"/>
  <c r="B330" i="6" s="1"/>
  <c r="BA330" i="6" s="1"/>
  <c r="D330" i="6" s="1"/>
  <c r="H159" i="20"/>
  <c r="I159" i="20" s="1"/>
  <c r="B159" i="6" s="1"/>
  <c r="BA159" i="6" s="1"/>
  <c r="D159" i="6" s="1"/>
  <c r="I333" i="18"/>
  <c r="AA110" i="20"/>
  <c r="Z110" i="20" s="1"/>
  <c r="Y110" i="20" s="1"/>
  <c r="J334" i="18"/>
  <c r="I334" i="18"/>
  <c r="D320" i="20"/>
  <c r="E320" i="20" s="1"/>
  <c r="F320" i="20" s="1"/>
  <c r="W320" i="20"/>
  <c r="G214" i="20"/>
  <c r="CB214" i="6" s="1"/>
  <c r="H214" i="20"/>
  <c r="J350" i="18"/>
  <c r="I350" i="18"/>
  <c r="G119" i="18"/>
  <c r="CA119" i="6" s="1"/>
  <c r="H119" i="18"/>
  <c r="AA119" i="18"/>
  <c r="Z119" i="18" s="1"/>
  <c r="Y119" i="18" s="1"/>
  <c r="H209" i="20"/>
  <c r="J209" i="20" s="1"/>
  <c r="C209" i="6" s="1"/>
  <c r="H243" i="20"/>
  <c r="J243" i="20" s="1"/>
  <c r="C243" i="6" s="1"/>
  <c r="H361" i="20"/>
  <c r="J361" i="20" s="1"/>
  <c r="C361" i="6" s="1"/>
  <c r="H362" i="20"/>
  <c r="I362" i="20" s="1"/>
  <c r="B362" i="6" s="1"/>
  <c r="BA362" i="6" s="1"/>
  <c r="D362" i="6" s="1"/>
  <c r="H207" i="20"/>
  <c r="I207" i="20" s="1"/>
  <c r="B207" i="6" s="1"/>
  <c r="BA207" i="6" s="1"/>
  <c r="D207" i="6" s="1"/>
  <c r="G90" i="20"/>
  <c r="CB90" i="6" s="1"/>
  <c r="H261" i="20"/>
  <c r="I261" i="20" s="1"/>
  <c r="B261" i="6" s="1"/>
  <c r="BA261" i="6" s="1"/>
  <c r="D261" i="6" s="1"/>
  <c r="H329" i="20"/>
  <c r="J329" i="20" s="1"/>
  <c r="C329" i="6" s="1"/>
  <c r="AA337" i="20"/>
  <c r="Z337" i="20" s="1"/>
  <c r="Y337" i="20" s="1"/>
  <c r="H282" i="20"/>
  <c r="J282" i="20" s="1"/>
  <c r="C282" i="6" s="1"/>
  <c r="G193" i="18"/>
  <c r="CA193" i="6" s="1"/>
  <c r="D251" i="20"/>
  <c r="E251" i="20" s="1"/>
  <c r="F251" i="20" s="1"/>
  <c r="W251" i="20"/>
  <c r="H43" i="20"/>
  <c r="J43" i="20" s="1"/>
  <c r="C43" i="6" s="1"/>
  <c r="H297" i="20"/>
  <c r="J297" i="20" s="1"/>
  <c r="C297" i="6" s="1"/>
  <c r="H305" i="20"/>
  <c r="I305" i="20" s="1"/>
  <c r="B305" i="6" s="1"/>
  <c r="BA305" i="6" s="1"/>
  <c r="D305" i="6" s="1"/>
  <c r="H306" i="20"/>
  <c r="I306" i="20" s="1"/>
  <c r="B306" i="6" s="1"/>
  <c r="BA306" i="6" s="1"/>
  <c r="D306" i="6" s="1"/>
  <c r="H221" i="20"/>
  <c r="I221" i="20" s="1"/>
  <c r="B221" i="6" s="1"/>
  <c r="BA221" i="6" s="1"/>
  <c r="D221" i="6" s="1"/>
  <c r="H374" i="20"/>
  <c r="J374" i="20" s="1"/>
  <c r="C374" i="6" s="1"/>
  <c r="H157" i="20"/>
  <c r="J157" i="20" s="1"/>
  <c r="C157" i="6" s="1"/>
  <c r="H123" i="18"/>
  <c r="I123" i="18" s="1"/>
  <c r="D267" i="20"/>
  <c r="E267" i="20" s="1"/>
  <c r="F267" i="20" s="1"/>
  <c r="J66" i="19"/>
  <c r="D49" i="20"/>
  <c r="E49" i="20" s="1"/>
  <c r="F49" i="20" s="1"/>
  <c r="C66" i="19"/>
  <c r="F66" i="19"/>
  <c r="H66" i="19"/>
  <c r="K66" i="19"/>
  <c r="D308" i="20"/>
  <c r="E308" i="20" s="1"/>
  <c r="F308" i="20" s="1"/>
  <c r="W308" i="20"/>
  <c r="D344" i="20"/>
  <c r="E344" i="20" s="1"/>
  <c r="F344" i="20" s="1"/>
  <c r="W344" i="20"/>
  <c r="W376" i="20"/>
  <c r="D376" i="20"/>
  <c r="E376" i="20" s="1"/>
  <c r="F376" i="20" s="1"/>
  <c r="W45" i="20"/>
  <c r="D45" i="20"/>
  <c r="E45" i="20" s="1"/>
  <c r="F45" i="20" s="1"/>
  <c r="W85" i="20"/>
  <c r="D85" i="20"/>
  <c r="E85" i="20" s="1"/>
  <c r="F85" i="20" s="1"/>
  <c r="L66" i="19"/>
  <c r="W357" i="20"/>
  <c r="D357" i="20"/>
  <c r="E357" i="20" s="1"/>
  <c r="F357" i="20" s="1"/>
  <c r="G66" i="19"/>
  <c r="I66" i="19"/>
  <c r="D304" i="20"/>
  <c r="E304" i="20" s="1"/>
  <c r="F304" i="20" s="1"/>
  <c r="W304" i="20"/>
  <c r="W316" i="20"/>
  <c r="D316" i="20"/>
  <c r="E316" i="20" s="1"/>
  <c r="F316" i="20" s="1"/>
  <c r="W348" i="20"/>
  <c r="D348" i="20"/>
  <c r="E348" i="20" s="1"/>
  <c r="F348" i="20" s="1"/>
  <c r="W360" i="20"/>
  <c r="D360" i="20"/>
  <c r="E360" i="20" s="1"/>
  <c r="F360" i="20" s="1"/>
  <c r="W21" i="20"/>
  <c r="D21" i="20"/>
  <c r="E21" i="20" s="1"/>
  <c r="F21" i="20" s="1"/>
  <c r="D66" i="19"/>
  <c r="W93" i="20"/>
  <c r="D93" i="20"/>
  <c r="E93" i="20" s="1"/>
  <c r="F93" i="20" s="1"/>
  <c r="D345" i="20"/>
  <c r="E345" i="20" s="1"/>
  <c r="F345" i="20" s="1"/>
  <c r="W345" i="20"/>
  <c r="W373" i="20"/>
  <c r="D373" i="20"/>
  <c r="E373" i="20" s="1"/>
  <c r="F373" i="20" s="1"/>
  <c r="I316" i="18"/>
  <c r="J316" i="18"/>
  <c r="J368" i="18"/>
  <c r="I368" i="18"/>
  <c r="J325" i="18"/>
  <c r="I325" i="18"/>
  <c r="J205" i="18"/>
  <c r="I205" i="18"/>
  <c r="J307" i="18"/>
  <c r="I307" i="18"/>
  <c r="I339" i="18"/>
  <c r="J339" i="18"/>
  <c r="G75" i="20"/>
  <c r="CB75" i="6" s="1"/>
  <c r="AA75" i="20"/>
  <c r="Z75" i="20" s="1"/>
  <c r="Y75" i="20" s="1"/>
  <c r="AA123" i="20"/>
  <c r="Z123" i="20" s="1"/>
  <c r="Y123" i="20" s="1"/>
  <c r="G123" i="20"/>
  <c r="CB123" i="6" s="1"/>
  <c r="G117" i="20"/>
  <c r="CB117" i="6" s="1"/>
  <c r="H117" i="20"/>
  <c r="G165" i="20"/>
  <c r="CB165" i="6" s="1"/>
  <c r="AA177" i="20"/>
  <c r="Z177" i="20" s="1"/>
  <c r="Y177" i="20" s="1"/>
  <c r="H177" i="20"/>
  <c r="G177" i="20"/>
  <c r="CB177" i="6" s="1"/>
  <c r="G181" i="20"/>
  <c r="CB181" i="6" s="1"/>
  <c r="G213" i="20"/>
  <c r="CB213" i="6" s="1"/>
  <c r="AA213" i="20"/>
  <c r="Z213" i="20" s="1"/>
  <c r="Y213" i="20" s="1"/>
  <c r="G225" i="20"/>
  <c r="CB225" i="6" s="1"/>
  <c r="AA289" i="20"/>
  <c r="Z289" i="20" s="1"/>
  <c r="Y289" i="20" s="1"/>
  <c r="G289" i="20"/>
  <c r="CB289" i="6" s="1"/>
  <c r="AA365" i="20"/>
  <c r="Z365" i="20" s="1"/>
  <c r="Y365" i="20" s="1"/>
  <c r="G365" i="20"/>
  <c r="CB365" i="6" s="1"/>
  <c r="J285" i="18"/>
  <c r="I285" i="18"/>
  <c r="J199" i="18"/>
  <c r="I199" i="18"/>
  <c r="J291" i="18"/>
  <c r="I291" i="18"/>
  <c r="I283" i="18"/>
  <c r="J283" i="18"/>
  <c r="I175" i="18"/>
  <c r="J175" i="18"/>
  <c r="G139" i="18"/>
  <c r="CA139" i="6" s="1"/>
  <c r="AA139" i="18"/>
  <c r="Z139" i="18" s="1"/>
  <c r="Y139" i="18" s="1"/>
  <c r="H139" i="18"/>
  <c r="H300" i="18"/>
  <c r="G300" i="18"/>
  <c r="CA300" i="6" s="1"/>
  <c r="AA300" i="18"/>
  <c r="Z300" i="18" s="1"/>
  <c r="Y300" i="18" s="1"/>
  <c r="J301" i="18"/>
  <c r="I301" i="18"/>
  <c r="J302" i="18"/>
  <c r="I302" i="18"/>
  <c r="G31" i="20"/>
  <c r="CB31" i="6" s="1"/>
  <c r="H31" i="20"/>
  <c r="AA47" i="20"/>
  <c r="Z47" i="20" s="1"/>
  <c r="Y47" i="20" s="1"/>
  <c r="G47" i="20"/>
  <c r="CB47" i="6" s="1"/>
  <c r="AA71" i="20"/>
  <c r="Z71" i="20" s="1"/>
  <c r="Y71" i="20" s="1"/>
  <c r="G71" i="20"/>
  <c r="CB71" i="6" s="1"/>
  <c r="AA87" i="20"/>
  <c r="Z87" i="20" s="1"/>
  <c r="Y87" i="20" s="1"/>
  <c r="G87" i="20"/>
  <c r="CB87" i="6" s="1"/>
  <c r="G334" i="20"/>
  <c r="CB334" i="6" s="1"/>
  <c r="G370" i="20"/>
  <c r="CB370" i="6" s="1"/>
  <c r="S379" i="20"/>
  <c r="T383" i="20"/>
  <c r="T381" i="20"/>
  <c r="T382" i="20"/>
  <c r="J131" i="18"/>
  <c r="I131" i="18"/>
  <c r="I83" i="18"/>
  <c r="J83" i="18"/>
  <c r="J109" i="18"/>
  <c r="I109" i="18"/>
  <c r="J203" i="18"/>
  <c r="I203" i="18"/>
  <c r="I99" i="18"/>
  <c r="J99" i="18"/>
  <c r="J107" i="18"/>
  <c r="I107" i="18"/>
  <c r="J284" i="18"/>
  <c r="I284" i="18"/>
  <c r="J328" i="18"/>
  <c r="I328" i="18"/>
  <c r="H356" i="18"/>
  <c r="G356" i="18"/>
  <c r="CA356" i="6" s="1"/>
  <c r="AA356" i="18"/>
  <c r="Z356" i="18" s="1"/>
  <c r="Y356" i="18" s="1"/>
  <c r="J376" i="18"/>
  <c r="I376" i="18"/>
  <c r="J59" i="18"/>
  <c r="I59" i="18"/>
  <c r="J251" i="18"/>
  <c r="I349" i="18"/>
  <c r="J349" i="18"/>
  <c r="J213" i="18"/>
  <c r="I213" i="18"/>
  <c r="Y205" i="17"/>
  <c r="AL6" i="17" s="1"/>
  <c r="AL8" i="17"/>
  <c r="J343" i="18"/>
  <c r="I343" i="18"/>
  <c r="I371" i="18"/>
  <c r="J371" i="18"/>
  <c r="G27" i="20"/>
  <c r="CB27" i="6" s="1"/>
  <c r="H27" i="20"/>
  <c r="G59" i="20"/>
  <c r="CB59" i="6" s="1"/>
  <c r="AA59" i="20"/>
  <c r="Z59" i="20" s="1"/>
  <c r="Y59" i="20" s="1"/>
  <c r="G91" i="20"/>
  <c r="CB91" i="6" s="1"/>
  <c r="AA91" i="20"/>
  <c r="Z91" i="20" s="1"/>
  <c r="Y91" i="20" s="1"/>
  <c r="W180" i="20"/>
  <c r="D180" i="20"/>
  <c r="E180" i="20" s="1"/>
  <c r="F180" i="20" s="1"/>
  <c r="H180" i="20" s="1"/>
  <c r="I180" i="20" s="1"/>
  <c r="B180" i="6" s="1"/>
  <c r="BA180" i="6" s="1"/>
  <c r="D180" i="6" s="1"/>
  <c r="G228" i="20"/>
  <c r="CB228" i="6" s="1"/>
  <c r="AA228" i="20"/>
  <c r="Z228" i="20" s="1"/>
  <c r="Y228" i="20" s="1"/>
  <c r="G284" i="20"/>
  <c r="CB284" i="6" s="1"/>
  <c r="AA284" i="20"/>
  <c r="Z284" i="20" s="1"/>
  <c r="Y284" i="20" s="1"/>
  <c r="G189" i="20"/>
  <c r="CB189" i="6" s="1"/>
  <c r="H189" i="20"/>
  <c r="AA249" i="20"/>
  <c r="Z249" i="20" s="1"/>
  <c r="Y249" i="20" s="1"/>
  <c r="G249" i="20"/>
  <c r="CB249" i="6" s="1"/>
  <c r="AA273" i="20"/>
  <c r="Z273" i="20" s="1"/>
  <c r="Y273" i="20" s="1"/>
  <c r="G273" i="20"/>
  <c r="CB273" i="6" s="1"/>
  <c r="H321" i="20"/>
  <c r="G321" i="20"/>
  <c r="CB321" i="6" s="1"/>
  <c r="AA321" i="20"/>
  <c r="Z321" i="20" s="1"/>
  <c r="Y321" i="20" s="1"/>
  <c r="AA369" i="20"/>
  <c r="Z369" i="20" s="1"/>
  <c r="Y369" i="20" s="1"/>
  <c r="G369" i="20"/>
  <c r="CB369" i="6" s="1"/>
  <c r="I211" i="18"/>
  <c r="J211" i="18"/>
  <c r="J111" i="18"/>
  <c r="I111" i="18"/>
  <c r="P379" i="18"/>
  <c r="R382" i="18"/>
  <c r="R381" i="18"/>
  <c r="R383" i="18"/>
  <c r="J35" i="18"/>
  <c r="I35" i="18"/>
  <c r="J91" i="18"/>
  <c r="I91" i="18"/>
  <c r="G320" i="18"/>
  <c r="CA320" i="6" s="1"/>
  <c r="H320" i="18"/>
  <c r="AA320" i="18"/>
  <c r="Z320" i="18" s="1"/>
  <c r="Y320" i="18" s="1"/>
  <c r="I344" i="18"/>
  <c r="J344" i="18"/>
  <c r="J373" i="18"/>
  <c r="I373" i="18"/>
  <c r="I219" i="18"/>
  <c r="J219" i="18"/>
  <c r="D18" i="20"/>
  <c r="E18" i="20" s="1"/>
  <c r="F18" i="20" s="1"/>
  <c r="W18" i="20"/>
  <c r="D95" i="20"/>
  <c r="E95" i="20" s="1"/>
  <c r="F95" i="20" s="1"/>
  <c r="W95" i="20"/>
  <c r="G127" i="20"/>
  <c r="CB127" i="6" s="1"/>
  <c r="AA127" i="20"/>
  <c r="Z127" i="20" s="1"/>
  <c r="Y127" i="20" s="1"/>
  <c r="H127" i="20"/>
  <c r="W135" i="20"/>
  <c r="D135" i="20"/>
  <c r="E135" i="20" s="1"/>
  <c r="F135" i="20" s="1"/>
  <c r="H135" i="20" s="1"/>
  <c r="W143" i="20"/>
  <c r="D143" i="20"/>
  <c r="E143" i="20" s="1"/>
  <c r="F143" i="20" s="1"/>
  <c r="G151" i="20"/>
  <c r="CB151" i="6" s="1"/>
  <c r="AA151" i="20"/>
  <c r="Z151" i="20" s="1"/>
  <c r="Y151" i="20" s="1"/>
  <c r="D234" i="20"/>
  <c r="E234" i="20" s="1"/>
  <c r="F234" i="20" s="1"/>
  <c r="W234" i="20"/>
  <c r="D254" i="20"/>
  <c r="E254" i="20" s="1"/>
  <c r="F254" i="20" s="1"/>
  <c r="W254" i="20"/>
  <c r="W270" i="20"/>
  <c r="D270" i="20"/>
  <c r="E270" i="20" s="1"/>
  <c r="F270" i="20" s="1"/>
  <c r="G322" i="20"/>
  <c r="CB322" i="6" s="1"/>
  <c r="G350" i="20"/>
  <c r="CB350" i="6" s="1"/>
  <c r="D41" i="20"/>
  <c r="E41" i="20" s="1"/>
  <c r="F41" i="20" s="1"/>
  <c r="W41" i="20"/>
  <c r="D57" i="20"/>
  <c r="E57" i="20" s="1"/>
  <c r="F57" i="20" s="1"/>
  <c r="W57" i="20"/>
  <c r="W81" i="20"/>
  <c r="D81" i="20"/>
  <c r="E81" i="20" s="1"/>
  <c r="F81" i="20" s="1"/>
  <c r="W89" i="20"/>
  <c r="D89" i="20"/>
  <c r="E89" i="20" s="1"/>
  <c r="F89" i="20" s="1"/>
  <c r="W137" i="20"/>
  <c r="D137" i="20"/>
  <c r="E137" i="20" s="1"/>
  <c r="F137" i="20" s="1"/>
  <c r="W145" i="20"/>
  <c r="D145" i="20"/>
  <c r="E145" i="20" s="1"/>
  <c r="F145" i="20" s="1"/>
  <c r="W161" i="20"/>
  <c r="D161" i="20"/>
  <c r="E161" i="20" s="1"/>
  <c r="F161" i="20" s="1"/>
  <c r="G169" i="20"/>
  <c r="CB169" i="6" s="1"/>
  <c r="H169" i="20"/>
  <c r="W175" i="20"/>
  <c r="D175" i="20"/>
  <c r="E175" i="20" s="1"/>
  <c r="F175" i="20" s="1"/>
  <c r="D179" i="20"/>
  <c r="E179" i="20" s="1"/>
  <c r="F179" i="20" s="1"/>
  <c r="W179" i="20"/>
  <c r="D187" i="20"/>
  <c r="E187" i="20" s="1"/>
  <c r="F187" i="20" s="1"/>
  <c r="W187" i="20"/>
  <c r="D191" i="20"/>
  <c r="E191" i="20" s="1"/>
  <c r="F191" i="20" s="1"/>
  <c r="W191" i="20"/>
  <c r="D223" i="20"/>
  <c r="E223" i="20" s="1"/>
  <c r="F223" i="20" s="1"/>
  <c r="W223" i="20"/>
  <c r="D227" i="20"/>
  <c r="E227" i="20" s="1"/>
  <c r="F227" i="20" s="1"/>
  <c r="H227" i="20" s="1"/>
  <c r="W227" i="20"/>
  <c r="D231" i="20"/>
  <c r="E231" i="20" s="1"/>
  <c r="F231" i="20" s="1"/>
  <c r="W231" i="20"/>
  <c r="D239" i="20"/>
  <c r="E239" i="20" s="1"/>
  <c r="F239" i="20" s="1"/>
  <c r="W239" i="20"/>
  <c r="W247" i="20"/>
  <c r="D247" i="20"/>
  <c r="E247" i="20" s="1"/>
  <c r="F247" i="20" s="1"/>
  <c r="D255" i="20"/>
  <c r="E255" i="20" s="1"/>
  <c r="F255" i="20" s="1"/>
  <c r="W255" i="20"/>
  <c r="W271" i="20"/>
  <c r="D271" i="20"/>
  <c r="E271" i="20" s="1"/>
  <c r="F271" i="20" s="1"/>
  <c r="D291" i="20"/>
  <c r="E291" i="20" s="1"/>
  <c r="F291" i="20" s="1"/>
  <c r="W291" i="20"/>
  <c r="W295" i="20"/>
  <c r="D295" i="20"/>
  <c r="E295" i="20" s="1"/>
  <c r="F295" i="20" s="1"/>
  <c r="G315" i="20"/>
  <c r="CB315" i="6" s="1"/>
  <c r="AA315" i="20"/>
  <c r="Z315" i="20" s="1"/>
  <c r="Y315" i="20" s="1"/>
  <c r="G323" i="20"/>
  <c r="CB323" i="6" s="1"/>
  <c r="AA323" i="20"/>
  <c r="Z323" i="20" s="1"/>
  <c r="Y323" i="20" s="1"/>
  <c r="D327" i="20"/>
  <c r="E327" i="20" s="1"/>
  <c r="F327" i="20" s="1"/>
  <c r="W327" i="20"/>
  <c r="D335" i="20"/>
  <c r="E335" i="20" s="1"/>
  <c r="F335" i="20" s="1"/>
  <c r="W335" i="20"/>
  <c r="G339" i="20"/>
  <c r="CB339" i="6" s="1"/>
  <c r="AA339" i="20"/>
  <c r="Z339" i="20" s="1"/>
  <c r="Y339" i="20" s="1"/>
  <c r="D367" i="20"/>
  <c r="E367" i="20" s="1"/>
  <c r="F367" i="20" s="1"/>
  <c r="W367" i="20"/>
  <c r="U10" i="22"/>
  <c r="J63" i="18"/>
  <c r="I63" i="18"/>
  <c r="I23" i="18"/>
  <c r="J23" i="18"/>
  <c r="J231" i="18"/>
  <c r="I231" i="18"/>
  <c r="V382" i="17"/>
  <c r="V381" i="17"/>
  <c r="F15" i="17"/>
  <c r="B64" i="19"/>
  <c r="N64" i="19" s="1"/>
  <c r="V383" i="17"/>
  <c r="J201" i="18"/>
  <c r="I201" i="18"/>
  <c r="H88" i="20"/>
  <c r="J88" i="20" s="1"/>
  <c r="C88" i="6" s="1"/>
  <c r="H106" i="20"/>
  <c r="J106" i="20" s="1"/>
  <c r="C106" i="6" s="1"/>
  <c r="H110" i="20"/>
  <c r="J110" i="20" s="1"/>
  <c r="C110" i="6" s="1"/>
  <c r="I94" i="20"/>
  <c r="B94" i="6" s="1"/>
  <c r="BA94" i="6" s="1"/>
  <c r="D94" i="6" s="1"/>
  <c r="AA108" i="20"/>
  <c r="Z108" i="20" s="1"/>
  <c r="Y108" i="20" s="1"/>
  <c r="H164" i="20"/>
  <c r="J164" i="20" s="1"/>
  <c r="C164" i="6" s="1"/>
  <c r="AA140" i="20"/>
  <c r="Z140" i="20" s="1"/>
  <c r="Y140" i="20" s="1"/>
  <c r="G140" i="20"/>
  <c r="CB140" i="6" s="1"/>
  <c r="AE11" i="23"/>
  <c r="J92" i="18"/>
  <c r="I92" i="18"/>
  <c r="I140" i="18"/>
  <c r="J140" i="18"/>
  <c r="H114" i="20"/>
  <c r="I108" i="18"/>
  <c r="J108" i="18"/>
  <c r="AE343" i="23"/>
  <c r="AE215" i="23"/>
  <c r="AE37" i="23"/>
  <c r="AE375" i="23"/>
  <c r="AE311" i="23"/>
  <c r="AE247" i="23"/>
  <c r="AE183" i="23"/>
  <c r="AE101" i="23"/>
  <c r="Q292" i="23"/>
  <c r="AE359" i="23"/>
  <c r="AE327" i="23"/>
  <c r="AE295" i="23"/>
  <c r="AE263" i="23"/>
  <c r="AE231" i="23"/>
  <c r="AE199" i="23"/>
  <c r="AE167" i="23"/>
  <c r="AE133" i="23"/>
  <c r="AE69" i="23"/>
  <c r="Q356" i="23"/>
  <c r="Q207" i="23"/>
  <c r="J315" i="20"/>
  <c r="C315" i="6" s="1"/>
  <c r="I160" i="20"/>
  <c r="B160" i="6" s="1"/>
  <c r="BA160" i="6" s="1"/>
  <c r="D160" i="6" s="1"/>
  <c r="H48" i="20"/>
  <c r="I48" i="20" s="1"/>
  <c r="B48" i="6" s="1"/>
  <c r="BA48" i="6" s="1"/>
  <c r="D48" i="6" s="1"/>
  <c r="AA48" i="20"/>
  <c r="Z48" i="20" s="1"/>
  <c r="Y48" i="20" s="1"/>
  <c r="Q324" i="23"/>
  <c r="Q260" i="23"/>
  <c r="Q143" i="23"/>
  <c r="AE367" i="23"/>
  <c r="AE351" i="23"/>
  <c r="AE335" i="23"/>
  <c r="AE319" i="23"/>
  <c r="AE303" i="23"/>
  <c r="AE287" i="23"/>
  <c r="AE271" i="23"/>
  <c r="AE255" i="23"/>
  <c r="AE239" i="23"/>
  <c r="AE223" i="23"/>
  <c r="AE207" i="23"/>
  <c r="AE191" i="23"/>
  <c r="AE175" i="23"/>
  <c r="AE159" i="23"/>
  <c r="AE143" i="23"/>
  <c r="AE117" i="23"/>
  <c r="AE85" i="23"/>
  <c r="AE53" i="23"/>
  <c r="AE21" i="23"/>
  <c r="Q372" i="23"/>
  <c r="Q340" i="23"/>
  <c r="Q308" i="23"/>
  <c r="Q276" i="23"/>
  <c r="Q239" i="23"/>
  <c r="Q175" i="23"/>
  <c r="Q111" i="23"/>
  <c r="AE379" i="23"/>
  <c r="AE12" i="24" s="1"/>
  <c r="AE371" i="23"/>
  <c r="AE363" i="23"/>
  <c r="AE355" i="23"/>
  <c r="AE347" i="23"/>
  <c r="AE339" i="23"/>
  <c r="AE331" i="23"/>
  <c r="AE323" i="23"/>
  <c r="AE315" i="23"/>
  <c r="AE307" i="23"/>
  <c r="AE299" i="23"/>
  <c r="AE291" i="23"/>
  <c r="AE283" i="23"/>
  <c r="AE275" i="23"/>
  <c r="AE267" i="23"/>
  <c r="AE259" i="23"/>
  <c r="AE251" i="23"/>
  <c r="AE243" i="23"/>
  <c r="AE235" i="23"/>
  <c r="AE227" i="23"/>
  <c r="AE219" i="23"/>
  <c r="AE211" i="23"/>
  <c r="AE203" i="23"/>
  <c r="AE195" i="23"/>
  <c r="AE187" i="23"/>
  <c r="AE179" i="23"/>
  <c r="AE171" i="23"/>
  <c r="AE163" i="23"/>
  <c r="AE155" i="23"/>
  <c r="AE147" i="23"/>
  <c r="AE139" i="23"/>
  <c r="AE125" i="23"/>
  <c r="AE109" i="23"/>
  <c r="AE93" i="23"/>
  <c r="AE77" i="23"/>
  <c r="AE61" i="23"/>
  <c r="AE45" i="23"/>
  <c r="AE29" i="23"/>
  <c r="Q364" i="23"/>
  <c r="Q348" i="23"/>
  <c r="Q332" i="23"/>
  <c r="Q316" i="23"/>
  <c r="Q300" i="23"/>
  <c r="Q284" i="23"/>
  <c r="Q268" i="23"/>
  <c r="Q252" i="23"/>
  <c r="Q223" i="23"/>
  <c r="Q191" i="23"/>
  <c r="Q159" i="23"/>
  <c r="Q127" i="23"/>
  <c r="Q82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17" i="23"/>
  <c r="AE313" i="23"/>
  <c r="AE309" i="23"/>
  <c r="AE305" i="23"/>
  <c r="AE301" i="23"/>
  <c r="AE297" i="23"/>
  <c r="AE293" i="23"/>
  <c r="AE289" i="23"/>
  <c r="AE285" i="23"/>
  <c r="AE281" i="23"/>
  <c r="AE277" i="23"/>
  <c r="AE273" i="23"/>
  <c r="AE269" i="23"/>
  <c r="AE265" i="23"/>
  <c r="AE261" i="23"/>
  <c r="AE257" i="23"/>
  <c r="AE253" i="23"/>
  <c r="AE249" i="23"/>
  <c r="AE245" i="23"/>
  <c r="AE241" i="23"/>
  <c r="AE237" i="23"/>
  <c r="AE233" i="23"/>
  <c r="AE229" i="23"/>
  <c r="AE225" i="23"/>
  <c r="AE221" i="23"/>
  <c r="AE217" i="23"/>
  <c r="AE213" i="23"/>
  <c r="AE209" i="23"/>
  <c r="AE205" i="23"/>
  <c r="AE201" i="23"/>
  <c r="AE197" i="23"/>
  <c r="AE193" i="23"/>
  <c r="AE189" i="23"/>
  <c r="AE185" i="23"/>
  <c r="AE181" i="23"/>
  <c r="AE177" i="23"/>
  <c r="AE173" i="23"/>
  <c r="AE169" i="23"/>
  <c r="AE165" i="23"/>
  <c r="AE161" i="23"/>
  <c r="AE157" i="23"/>
  <c r="AE153" i="23"/>
  <c r="AE149" i="23"/>
  <c r="AE145" i="23"/>
  <c r="AE141" i="23"/>
  <c r="AE137" i="23"/>
  <c r="AE129" i="23"/>
  <c r="AE121" i="23"/>
  <c r="AE113" i="23"/>
  <c r="AE105" i="23"/>
  <c r="AE97" i="23"/>
  <c r="AE89" i="23"/>
  <c r="AE81" i="23"/>
  <c r="AE73" i="23"/>
  <c r="AE65" i="23"/>
  <c r="AE57" i="23"/>
  <c r="AE49" i="23"/>
  <c r="AE41" i="23"/>
  <c r="AE33" i="23"/>
  <c r="AE25" i="23"/>
  <c r="AE15" i="23"/>
  <c r="Q376" i="23"/>
  <c r="Q368" i="23"/>
  <c r="Q360" i="23"/>
  <c r="Q352" i="23"/>
  <c r="Q344" i="23"/>
  <c r="Q336" i="23"/>
  <c r="Q328" i="23"/>
  <c r="Q320" i="23"/>
  <c r="Q312" i="23"/>
  <c r="Q304" i="23"/>
  <c r="Q296" i="23"/>
  <c r="Q288" i="23"/>
  <c r="Q280" i="23"/>
  <c r="Q272" i="23"/>
  <c r="Q264" i="23"/>
  <c r="Q256" i="23"/>
  <c r="Q247" i="23"/>
  <c r="Q231" i="23"/>
  <c r="Q215" i="23"/>
  <c r="Q199" i="23"/>
  <c r="Q183" i="23"/>
  <c r="Q167" i="23"/>
  <c r="Q151" i="23"/>
  <c r="Q135" i="23"/>
  <c r="Q119" i="23"/>
  <c r="Q98" i="23"/>
  <c r="AU15" i="7"/>
  <c r="Q23" i="23"/>
  <c r="Q39" i="23"/>
  <c r="Q51" i="23"/>
  <c r="Q59" i="23"/>
  <c r="Q67" i="23"/>
  <c r="Q72" i="23"/>
  <c r="Q76" i="23"/>
  <c r="Q80" i="23"/>
  <c r="Q84" i="23"/>
  <c r="Q88" i="23"/>
  <c r="Q92" i="23"/>
  <c r="Q96" i="23"/>
  <c r="Q100" i="23"/>
  <c r="Q104" i="23"/>
  <c r="Q108" i="23"/>
  <c r="Q110" i="23"/>
  <c r="Q112" i="23"/>
  <c r="Q114" i="23"/>
  <c r="Q116" i="23"/>
  <c r="Q118" i="23"/>
  <c r="Q120" i="23"/>
  <c r="Q122" i="23"/>
  <c r="Q124" i="23"/>
  <c r="Q126" i="23"/>
  <c r="Q128" i="23"/>
  <c r="Q130" i="23"/>
  <c r="Q132" i="23"/>
  <c r="Q134" i="23"/>
  <c r="Q136" i="23"/>
  <c r="Q138" i="23"/>
  <c r="Q140" i="23"/>
  <c r="Q142" i="23"/>
  <c r="Q144" i="23"/>
  <c r="Q146" i="23"/>
  <c r="Q148" i="23"/>
  <c r="Q150" i="23"/>
  <c r="Q152" i="23"/>
  <c r="Q154" i="23"/>
  <c r="Q156" i="23"/>
  <c r="Q158" i="23"/>
  <c r="Q160" i="23"/>
  <c r="Q162" i="23"/>
  <c r="Q164" i="23"/>
  <c r="Q166" i="23"/>
  <c r="Q168" i="23"/>
  <c r="Q170" i="23"/>
  <c r="Q172" i="23"/>
  <c r="Q174" i="23"/>
  <c r="Q176" i="23"/>
  <c r="Q178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31" i="23"/>
  <c r="Q55" i="23"/>
  <c r="Q70" i="23"/>
  <c r="Q78" i="23"/>
  <c r="Q86" i="23"/>
  <c r="Q94" i="23"/>
  <c r="Q102" i="23"/>
  <c r="Q109" i="23"/>
  <c r="Q113" i="23"/>
  <c r="Q117" i="23"/>
  <c r="Q121" i="23"/>
  <c r="Q125" i="23"/>
  <c r="Q129" i="23"/>
  <c r="Q133" i="23"/>
  <c r="Q137" i="23"/>
  <c r="Q141" i="23"/>
  <c r="Q145" i="23"/>
  <c r="Q149" i="23"/>
  <c r="Q153" i="23"/>
  <c r="Q157" i="23"/>
  <c r="Q161" i="23"/>
  <c r="Q165" i="23"/>
  <c r="Q169" i="23"/>
  <c r="Q173" i="23"/>
  <c r="Q177" i="23"/>
  <c r="Q181" i="23"/>
  <c r="Q185" i="23"/>
  <c r="Q189" i="23"/>
  <c r="Q193" i="23"/>
  <c r="Q197" i="23"/>
  <c r="Q201" i="23"/>
  <c r="Q205" i="23"/>
  <c r="Q209" i="23"/>
  <c r="Q213" i="23"/>
  <c r="Q217" i="23"/>
  <c r="Q221" i="23"/>
  <c r="Q225" i="23"/>
  <c r="Q229" i="23"/>
  <c r="Q233" i="23"/>
  <c r="Q237" i="23"/>
  <c r="Q241" i="23"/>
  <c r="Q245" i="23"/>
  <c r="Q249" i="23"/>
  <c r="Q251" i="23"/>
  <c r="Q253" i="23"/>
  <c r="Q255" i="23"/>
  <c r="Q257" i="23"/>
  <c r="Q259" i="23"/>
  <c r="Q261" i="23"/>
  <c r="Q263" i="23"/>
  <c r="Q265" i="23"/>
  <c r="Q267" i="23"/>
  <c r="Q269" i="23"/>
  <c r="Q271" i="23"/>
  <c r="Q273" i="23"/>
  <c r="Q275" i="23"/>
  <c r="Q277" i="23"/>
  <c r="Q279" i="23"/>
  <c r="Q281" i="23"/>
  <c r="Q283" i="23"/>
  <c r="Q285" i="23"/>
  <c r="Q287" i="23"/>
  <c r="Q289" i="23"/>
  <c r="Q291" i="23"/>
  <c r="Q293" i="23"/>
  <c r="Q295" i="23"/>
  <c r="Q297" i="23"/>
  <c r="Q299" i="23"/>
  <c r="Q301" i="23"/>
  <c r="Q303" i="23"/>
  <c r="Q305" i="23"/>
  <c r="Q307" i="23"/>
  <c r="Q309" i="23"/>
  <c r="Q311" i="23"/>
  <c r="Q313" i="23"/>
  <c r="Q315" i="23"/>
  <c r="Q317" i="23"/>
  <c r="Q319" i="23"/>
  <c r="Q321" i="23"/>
  <c r="Q323" i="23"/>
  <c r="Q325" i="23"/>
  <c r="Q327" i="23"/>
  <c r="Q329" i="23"/>
  <c r="Q331" i="23"/>
  <c r="Q333" i="23"/>
  <c r="Q335" i="23"/>
  <c r="Q337" i="23"/>
  <c r="Q339" i="23"/>
  <c r="Q341" i="23"/>
  <c r="Q343" i="23"/>
  <c r="Q345" i="23"/>
  <c r="Q347" i="23"/>
  <c r="Q349" i="23"/>
  <c r="Q351" i="23"/>
  <c r="Q353" i="23"/>
  <c r="Q355" i="23"/>
  <c r="Q357" i="23"/>
  <c r="Q359" i="23"/>
  <c r="Q361" i="23"/>
  <c r="Q363" i="23"/>
  <c r="Q365" i="23"/>
  <c r="Q367" i="23"/>
  <c r="Q369" i="23"/>
  <c r="Q371" i="23"/>
  <c r="Q373" i="23"/>
  <c r="Q375" i="23"/>
  <c r="Q377" i="23"/>
  <c r="Q379" i="23"/>
  <c r="AE17" i="23"/>
  <c r="AE19" i="23"/>
  <c r="AE20" i="23"/>
  <c r="AE22" i="23"/>
  <c r="AE24" i="23"/>
  <c r="AE26" i="23"/>
  <c r="AE28" i="23"/>
  <c r="AE30" i="23"/>
  <c r="AE32" i="23"/>
  <c r="AE34" i="23"/>
  <c r="AE36" i="23"/>
  <c r="AE38" i="23"/>
  <c r="AE40" i="23"/>
  <c r="AE42" i="23"/>
  <c r="AE44" i="23"/>
  <c r="AE46" i="23"/>
  <c r="AE48" i="23"/>
  <c r="AE50" i="23"/>
  <c r="AE52" i="23"/>
  <c r="AE54" i="23"/>
  <c r="AE56" i="23"/>
  <c r="AE58" i="23"/>
  <c r="AE60" i="23"/>
  <c r="AE62" i="23"/>
  <c r="AE64" i="23"/>
  <c r="AE66" i="23"/>
  <c r="AE68" i="23"/>
  <c r="AE70" i="23"/>
  <c r="AE72" i="23"/>
  <c r="AE74" i="23"/>
  <c r="AE76" i="23"/>
  <c r="AE78" i="23"/>
  <c r="AE80" i="23"/>
  <c r="AE82" i="23"/>
  <c r="AE84" i="23"/>
  <c r="AE86" i="23"/>
  <c r="AE88" i="23"/>
  <c r="AE90" i="23"/>
  <c r="AE92" i="23"/>
  <c r="AE94" i="23"/>
  <c r="AE96" i="23"/>
  <c r="AE98" i="23"/>
  <c r="AE100" i="23"/>
  <c r="AE102" i="23"/>
  <c r="AE104" i="23"/>
  <c r="AE106" i="23"/>
  <c r="AE108" i="23"/>
  <c r="AE110" i="23"/>
  <c r="AE112" i="23"/>
  <c r="AE114" i="23"/>
  <c r="AE116" i="23"/>
  <c r="AE118" i="23"/>
  <c r="AE120" i="23"/>
  <c r="AE122" i="23"/>
  <c r="AE124" i="23"/>
  <c r="AE126" i="23"/>
  <c r="AE128" i="23"/>
  <c r="AE130" i="23"/>
  <c r="AE132" i="23"/>
  <c r="AE134" i="23"/>
  <c r="AE136" i="23"/>
  <c r="AE378" i="23"/>
  <c r="AE376" i="23"/>
  <c r="AE374" i="23"/>
  <c r="AE372" i="23"/>
  <c r="AE370" i="23"/>
  <c r="AE368" i="23"/>
  <c r="AE366" i="23"/>
  <c r="AE364" i="23"/>
  <c r="AE362" i="23"/>
  <c r="AE360" i="23"/>
  <c r="AE358" i="23"/>
  <c r="AE356" i="23"/>
  <c r="AE354" i="23"/>
  <c r="AE352" i="23"/>
  <c r="AE350" i="23"/>
  <c r="AE348" i="23"/>
  <c r="AE346" i="23"/>
  <c r="AE344" i="23"/>
  <c r="AE342" i="23"/>
  <c r="AE340" i="23"/>
  <c r="AE338" i="23"/>
  <c r="AE336" i="23"/>
  <c r="AE334" i="23"/>
  <c r="AE332" i="23"/>
  <c r="AE330" i="23"/>
  <c r="AE328" i="23"/>
  <c r="AE326" i="23"/>
  <c r="AE324" i="23"/>
  <c r="AE322" i="23"/>
  <c r="AE320" i="23"/>
  <c r="AE318" i="23"/>
  <c r="AE316" i="23"/>
  <c r="AE314" i="23"/>
  <c r="AE312" i="23"/>
  <c r="AE310" i="23"/>
  <c r="AE308" i="23"/>
  <c r="AE306" i="23"/>
  <c r="AE304" i="23"/>
  <c r="AE302" i="23"/>
  <c r="AE300" i="23"/>
  <c r="AE298" i="23"/>
  <c r="AE296" i="23"/>
  <c r="AE294" i="23"/>
  <c r="AE292" i="23"/>
  <c r="AE290" i="23"/>
  <c r="AE288" i="23"/>
  <c r="AE286" i="23"/>
  <c r="AE284" i="23"/>
  <c r="AE282" i="23"/>
  <c r="AE280" i="23"/>
  <c r="AE278" i="23"/>
  <c r="AE276" i="23"/>
  <c r="AE274" i="23"/>
  <c r="AE272" i="23"/>
  <c r="AE270" i="23"/>
  <c r="AE268" i="23"/>
  <c r="AE266" i="23"/>
  <c r="AE264" i="23"/>
  <c r="AE262" i="23"/>
  <c r="AE260" i="23"/>
  <c r="AE258" i="23"/>
  <c r="AE256" i="23"/>
  <c r="AE254" i="23"/>
  <c r="AE252" i="23"/>
  <c r="AE250" i="23"/>
  <c r="AE248" i="23"/>
  <c r="AE246" i="23"/>
  <c r="AE244" i="23"/>
  <c r="AE242" i="23"/>
  <c r="AE240" i="23"/>
  <c r="AE238" i="23"/>
  <c r="AE236" i="23"/>
  <c r="AE234" i="23"/>
  <c r="AE232" i="23"/>
  <c r="AE230" i="23"/>
  <c r="AE228" i="23"/>
  <c r="AE226" i="23"/>
  <c r="AE224" i="23"/>
  <c r="AE222" i="23"/>
  <c r="AE220" i="23"/>
  <c r="AE218" i="23"/>
  <c r="AE216" i="23"/>
  <c r="AE214" i="23"/>
  <c r="AE212" i="23"/>
  <c r="AE210" i="23"/>
  <c r="AE208" i="23"/>
  <c r="AE206" i="23"/>
  <c r="AE204" i="23"/>
  <c r="AE202" i="23"/>
  <c r="AE200" i="23"/>
  <c r="AE198" i="23"/>
  <c r="AE196" i="23"/>
  <c r="AE194" i="23"/>
  <c r="AE192" i="23"/>
  <c r="AE190" i="23"/>
  <c r="AE188" i="23"/>
  <c r="AE186" i="23"/>
  <c r="AE184" i="23"/>
  <c r="AE182" i="23"/>
  <c r="AE180" i="23"/>
  <c r="AE178" i="23"/>
  <c r="AE176" i="23"/>
  <c r="AE174" i="23"/>
  <c r="AE172" i="23"/>
  <c r="AE170" i="23"/>
  <c r="AE168" i="23"/>
  <c r="AE166" i="23"/>
  <c r="AE164" i="23"/>
  <c r="AE162" i="23"/>
  <c r="AE160" i="23"/>
  <c r="AE158" i="23"/>
  <c r="AE156" i="23"/>
  <c r="AE154" i="23"/>
  <c r="AE152" i="23"/>
  <c r="AE150" i="23"/>
  <c r="AE148" i="23"/>
  <c r="AE146" i="23"/>
  <c r="AE144" i="23"/>
  <c r="AE142" i="23"/>
  <c r="AE140" i="23"/>
  <c r="AE138" i="23"/>
  <c r="AE135" i="23"/>
  <c r="AE131" i="23"/>
  <c r="AE127" i="23"/>
  <c r="AE123" i="23"/>
  <c r="AE119" i="23"/>
  <c r="AE115" i="23"/>
  <c r="AE111" i="23"/>
  <c r="AE107" i="23"/>
  <c r="AE103" i="23"/>
  <c r="AE99" i="23"/>
  <c r="AE95" i="23"/>
  <c r="AE91" i="23"/>
  <c r="AE87" i="23"/>
  <c r="AE83" i="23"/>
  <c r="AE79" i="23"/>
  <c r="AE75" i="23"/>
  <c r="AE71" i="23"/>
  <c r="AE67" i="23"/>
  <c r="AE63" i="23"/>
  <c r="AE59" i="23"/>
  <c r="AE55" i="23"/>
  <c r="AE51" i="23"/>
  <c r="AE47" i="23"/>
  <c r="AE43" i="23"/>
  <c r="AE39" i="23"/>
  <c r="AE35" i="23"/>
  <c r="AE31" i="23"/>
  <c r="AE27" i="23"/>
  <c r="AE23" i="23"/>
  <c r="AE18" i="23"/>
  <c r="AE16" i="23"/>
  <c r="Q378" i="23"/>
  <c r="Q374" i="23"/>
  <c r="Q370" i="23"/>
  <c r="Q366" i="23"/>
  <c r="Q362" i="23"/>
  <c r="Q358" i="23"/>
  <c r="Q354" i="23"/>
  <c r="Q350" i="23"/>
  <c r="Q346" i="23"/>
  <c r="Q342" i="23"/>
  <c r="Q338" i="23"/>
  <c r="Q334" i="23"/>
  <c r="Q330" i="23"/>
  <c r="Q326" i="23"/>
  <c r="Q322" i="23"/>
  <c r="Q318" i="23"/>
  <c r="Q314" i="23"/>
  <c r="Q310" i="23"/>
  <c r="Q306" i="23"/>
  <c r="Q302" i="23"/>
  <c r="Q298" i="23"/>
  <c r="Q294" i="23"/>
  <c r="Q290" i="23"/>
  <c r="Q286" i="23"/>
  <c r="Q282" i="23"/>
  <c r="Q278" i="23"/>
  <c r="Q274" i="23"/>
  <c r="Q270" i="23"/>
  <c r="Q266" i="23"/>
  <c r="Q262" i="23"/>
  <c r="Q258" i="23"/>
  <c r="Q254" i="23"/>
  <c r="Q250" i="23"/>
  <c r="Q243" i="23"/>
  <c r="Q235" i="23"/>
  <c r="Q227" i="23"/>
  <c r="Q219" i="23"/>
  <c r="Q211" i="23"/>
  <c r="Q203" i="23"/>
  <c r="Q195" i="23"/>
  <c r="Q187" i="23"/>
  <c r="Q179" i="23"/>
  <c r="Q171" i="23"/>
  <c r="Q163" i="23"/>
  <c r="Q155" i="23"/>
  <c r="Q147" i="23"/>
  <c r="Q139" i="23"/>
  <c r="Q131" i="23"/>
  <c r="Q123" i="23"/>
  <c r="Q115" i="23"/>
  <c r="Q106" i="23"/>
  <c r="Q90" i="23"/>
  <c r="Q74" i="23"/>
  <c r="Q47" i="23"/>
  <c r="J181" i="20"/>
  <c r="C181" i="6" s="1"/>
  <c r="I156" i="20"/>
  <c r="B156" i="6" s="1"/>
  <c r="BA156" i="6" s="1"/>
  <c r="D156" i="6" s="1"/>
  <c r="J165" i="20"/>
  <c r="C165" i="6" s="1"/>
  <c r="J273" i="20"/>
  <c r="C273" i="6" s="1"/>
  <c r="Q107" i="23"/>
  <c r="Q105" i="23"/>
  <c r="Q103" i="23"/>
  <c r="Q101" i="23"/>
  <c r="Q99" i="23"/>
  <c r="Q97" i="23"/>
  <c r="Q95" i="23"/>
  <c r="Q93" i="23"/>
  <c r="Q91" i="23"/>
  <c r="Q89" i="23"/>
  <c r="Q87" i="23"/>
  <c r="Q85" i="23"/>
  <c r="Q83" i="23"/>
  <c r="Q81" i="23"/>
  <c r="Q79" i="23"/>
  <c r="Q77" i="23"/>
  <c r="Q75" i="23"/>
  <c r="Q73" i="23"/>
  <c r="Q71" i="23"/>
  <c r="Q69" i="23"/>
  <c r="Q65" i="23"/>
  <c r="Q61" i="23"/>
  <c r="Q57" i="23"/>
  <c r="Q53" i="23"/>
  <c r="Q49" i="23"/>
  <c r="Q43" i="23"/>
  <c r="Q35" i="23"/>
  <c r="Q27" i="23"/>
  <c r="Q19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J24" i="20"/>
  <c r="C24" i="6" s="1"/>
  <c r="AD381" i="18"/>
  <c r="AD382" i="18"/>
  <c r="AD383" i="18"/>
  <c r="I25" i="20"/>
  <c r="B25" i="6" s="1"/>
  <c r="BA25" i="6" s="1"/>
  <c r="D25" i="6" s="1"/>
  <c r="J25" i="20"/>
  <c r="C25" i="6" s="1"/>
  <c r="J61" i="20"/>
  <c r="C61" i="6" s="1"/>
  <c r="I61" i="20"/>
  <c r="B61" i="6" s="1"/>
  <c r="BA61" i="6" s="1"/>
  <c r="D61" i="6" s="1"/>
  <c r="J248" i="20"/>
  <c r="C248" i="6" s="1"/>
  <c r="I248" i="20"/>
  <c r="B248" i="6" s="1"/>
  <c r="BA248" i="6" s="1"/>
  <c r="D248" i="6" s="1"/>
  <c r="J278" i="20"/>
  <c r="C278" i="6" s="1"/>
  <c r="I278" i="20"/>
  <c r="B278" i="6" s="1"/>
  <c r="BA278" i="6" s="1"/>
  <c r="D278" i="6" s="1"/>
  <c r="I292" i="20"/>
  <c r="B292" i="6" s="1"/>
  <c r="BA292" i="6" s="1"/>
  <c r="D292" i="6" s="1"/>
  <c r="J292" i="20"/>
  <c r="C292" i="6" s="1"/>
  <c r="J67" i="20"/>
  <c r="C67" i="6" s="1"/>
  <c r="I67" i="20"/>
  <c r="B67" i="6" s="1"/>
  <c r="BA67" i="6" s="1"/>
  <c r="D67" i="6" s="1"/>
  <c r="I115" i="20"/>
  <c r="B115" i="6" s="1"/>
  <c r="BA115" i="6" s="1"/>
  <c r="D115" i="6" s="1"/>
  <c r="J115" i="20"/>
  <c r="C115" i="6" s="1"/>
  <c r="J129" i="20"/>
  <c r="C129" i="6" s="1"/>
  <c r="I129" i="20"/>
  <c r="B129" i="6" s="1"/>
  <c r="BA129" i="6" s="1"/>
  <c r="D129" i="6" s="1"/>
  <c r="J229" i="20"/>
  <c r="C229" i="6" s="1"/>
  <c r="I229" i="20"/>
  <c r="B229" i="6" s="1"/>
  <c r="BA229" i="6" s="1"/>
  <c r="D229" i="6" s="1"/>
  <c r="J256" i="20"/>
  <c r="C256" i="6" s="1"/>
  <c r="I256" i="20"/>
  <c r="B256" i="6" s="1"/>
  <c r="BA256" i="6" s="1"/>
  <c r="D256" i="6" s="1"/>
  <c r="I364" i="20"/>
  <c r="B364" i="6" s="1"/>
  <c r="BA364" i="6" s="1"/>
  <c r="D364" i="6" s="1"/>
  <c r="J364" i="20"/>
  <c r="C364" i="6" s="1"/>
  <c r="I372" i="20"/>
  <c r="B372" i="6" s="1"/>
  <c r="BA372" i="6" s="1"/>
  <c r="D372" i="6" s="1"/>
  <c r="J372" i="20"/>
  <c r="C372" i="6" s="1"/>
  <c r="I369" i="20"/>
  <c r="B369" i="6" s="1"/>
  <c r="BA369" i="6" s="1"/>
  <c r="D369" i="6" s="1"/>
  <c r="J369" i="20"/>
  <c r="C369" i="6" s="1"/>
  <c r="I17" i="20"/>
  <c r="B17" i="6" s="1"/>
  <c r="BA17" i="6" s="1"/>
  <c r="D17" i="6" s="1"/>
  <c r="J17" i="20"/>
  <c r="C17" i="6" s="1"/>
  <c r="I26" i="20"/>
  <c r="B26" i="6" s="1"/>
  <c r="BA26" i="6" s="1"/>
  <c r="D26" i="6" s="1"/>
  <c r="J26" i="20"/>
  <c r="C26" i="6" s="1"/>
  <c r="I50" i="20"/>
  <c r="B50" i="6" s="1"/>
  <c r="BA50" i="6" s="1"/>
  <c r="D50" i="6" s="1"/>
  <c r="J50" i="20"/>
  <c r="C50" i="6" s="1"/>
  <c r="H74" i="20"/>
  <c r="G74" i="20"/>
  <c r="CB74" i="6" s="1"/>
  <c r="I82" i="20"/>
  <c r="B82" i="6" s="1"/>
  <c r="BA82" i="6" s="1"/>
  <c r="D82" i="6" s="1"/>
  <c r="J82" i="20"/>
  <c r="C82" i="6" s="1"/>
  <c r="J322" i="20"/>
  <c r="C322" i="6" s="1"/>
  <c r="I322" i="20"/>
  <c r="B322" i="6" s="1"/>
  <c r="BA322" i="6" s="1"/>
  <c r="D322" i="6" s="1"/>
  <c r="I323" i="20"/>
  <c r="B323" i="6" s="1"/>
  <c r="BA323" i="6" s="1"/>
  <c r="D323" i="6" s="1"/>
  <c r="J323" i="20"/>
  <c r="C323" i="6" s="1"/>
  <c r="I365" i="20"/>
  <c r="B365" i="6" s="1"/>
  <c r="BA365" i="6" s="1"/>
  <c r="D365" i="6" s="1"/>
  <c r="J365" i="20"/>
  <c r="C365" i="6" s="1"/>
  <c r="B65" i="19"/>
  <c r="AJ5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I65" i="20"/>
  <c r="B65" i="6" s="1"/>
  <c r="BA65" i="6" s="1"/>
  <c r="D65" i="6" s="1"/>
  <c r="J65" i="20"/>
  <c r="C65" i="6" s="1"/>
  <c r="H105" i="20"/>
  <c r="G105" i="20"/>
  <c r="CB105" i="6" s="1"/>
  <c r="I183" i="20"/>
  <c r="B183" i="6" s="1"/>
  <c r="BA183" i="6" s="1"/>
  <c r="D183" i="6" s="1"/>
  <c r="J183" i="20"/>
  <c r="C183" i="6" s="1"/>
  <c r="I98" i="20"/>
  <c r="B98" i="6" s="1"/>
  <c r="BA98" i="6" s="1"/>
  <c r="D98" i="6" s="1"/>
  <c r="J98" i="20"/>
  <c r="C98" i="6" s="1"/>
  <c r="I158" i="20"/>
  <c r="B158" i="6" s="1"/>
  <c r="BA158" i="6" s="1"/>
  <c r="D158" i="6" s="1"/>
  <c r="J158" i="20"/>
  <c r="C158" i="6" s="1"/>
  <c r="J168" i="20"/>
  <c r="C168" i="6" s="1"/>
  <c r="I168" i="20"/>
  <c r="B168" i="6" s="1"/>
  <c r="BA168" i="6" s="1"/>
  <c r="D168" i="6" s="1"/>
  <c r="I252" i="20"/>
  <c r="B252" i="6" s="1"/>
  <c r="BA252" i="6" s="1"/>
  <c r="D252" i="6" s="1"/>
  <c r="J252" i="20"/>
  <c r="C252" i="6" s="1"/>
  <c r="I264" i="20"/>
  <c r="B264" i="6" s="1"/>
  <c r="BA264" i="6" s="1"/>
  <c r="D264" i="6" s="1"/>
  <c r="J264" i="20"/>
  <c r="C264" i="6" s="1"/>
  <c r="G302" i="20"/>
  <c r="CB302" i="6" s="1"/>
  <c r="J326" i="20"/>
  <c r="C326" i="6" s="1"/>
  <c r="I326" i="20"/>
  <c r="B326" i="6" s="1"/>
  <c r="BA326" i="6" s="1"/>
  <c r="D326" i="6" s="1"/>
  <c r="G29" i="20"/>
  <c r="CB29" i="6" s="1"/>
  <c r="H29" i="20"/>
  <c r="I39" i="20"/>
  <c r="B39" i="6" s="1"/>
  <c r="BA39" i="6" s="1"/>
  <c r="D39" i="6" s="1"/>
  <c r="J39" i="20"/>
  <c r="C39" i="6" s="1"/>
  <c r="I263" i="20"/>
  <c r="B263" i="6" s="1"/>
  <c r="BA263" i="6" s="1"/>
  <c r="D263" i="6" s="1"/>
  <c r="J263" i="20"/>
  <c r="C263" i="6" s="1"/>
  <c r="I341" i="20"/>
  <c r="B341" i="6" s="1"/>
  <c r="BA341" i="6" s="1"/>
  <c r="D341" i="6" s="1"/>
  <c r="J341" i="20"/>
  <c r="C341" i="6" s="1"/>
  <c r="J353" i="20"/>
  <c r="C353" i="6" s="1"/>
  <c r="I353" i="20"/>
  <c r="B353" i="6" s="1"/>
  <c r="BA353" i="6" s="1"/>
  <c r="D353" i="6" s="1"/>
  <c r="J102" i="20"/>
  <c r="C102" i="6" s="1"/>
  <c r="I142" i="20"/>
  <c r="B142" i="6" s="1"/>
  <c r="BA142" i="6" s="1"/>
  <c r="D142" i="6" s="1"/>
  <c r="J142" i="20"/>
  <c r="C142" i="6" s="1"/>
  <c r="I170" i="20"/>
  <c r="B170" i="6" s="1"/>
  <c r="BA170" i="6" s="1"/>
  <c r="D170" i="6" s="1"/>
  <c r="J170" i="20"/>
  <c r="C170" i="6" s="1"/>
  <c r="I192" i="20"/>
  <c r="B192" i="6" s="1"/>
  <c r="BA192" i="6" s="1"/>
  <c r="D192" i="6" s="1"/>
  <c r="J192" i="20"/>
  <c r="C192" i="6" s="1"/>
  <c r="G272" i="20"/>
  <c r="CB272" i="6" s="1"/>
  <c r="I338" i="20"/>
  <c r="B338" i="6" s="1"/>
  <c r="BA338" i="6" s="1"/>
  <c r="D338" i="6" s="1"/>
  <c r="J338" i="20"/>
  <c r="C338" i="6" s="1"/>
  <c r="I225" i="20"/>
  <c r="B225" i="6" s="1"/>
  <c r="BA225" i="6" s="1"/>
  <c r="D225" i="6" s="1"/>
  <c r="J225" i="20"/>
  <c r="C225" i="6" s="1"/>
  <c r="I34" i="20"/>
  <c r="B34" i="6" s="1"/>
  <c r="BA34" i="6" s="1"/>
  <c r="D34" i="6" s="1"/>
  <c r="J34" i="20"/>
  <c r="C34" i="6" s="1"/>
  <c r="I58" i="20"/>
  <c r="B58" i="6" s="1"/>
  <c r="BA58" i="6" s="1"/>
  <c r="D58" i="6" s="1"/>
  <c r="J58" i="20"/>
  <c r="C58" i="6" s="1"/>
  <c r="J66" i="20"/>
  <c r="C66" i="6" s="1"/>
  <c r="I66" i="20"/>
  <c r="B66" i="6" s="1"/>
  <c r="BA66" i="6" s="1"/>
  <c r="D66" i="6" s="1"/>
  <c r="I78" i="20"/>
  <c r="B78" i="6" s="1"/>
  <c r="BA78" i="6" s="1"/>
  <c r="D78" i="6" s="1"/>
  <c r="J78" i="20"/>
  <c r="C78" i="6" s="1"/>
  <c r="J124" i="20"/>
  <c r="C124" i="6" s="1"/>
  <c r="I124" i="20"/>
  <c r="B124" i="6" s="1"/>
  <c r="BA124" i="6" s="1"/>
  <c r="D124" i="6" s="1"/>
  <c r="I16" i="20"/>
  <c r="B16" i="6" s="1"/>
  <c r="BA16" i="6" s="1"/>
  <c r="D16" i="6" s="1"/>
  <c r="J16" i="20"/>
  <c r="C16" i="6" s="1"/>
  <c r="J155" i="20"/>
  <c r="C155" i="6" s="1"/>
  <c r="I155" i="20"/>
  <c r="B155" i="6" s="1"/>
  <c r="BA155" i="6" s="1"/>
  <c r="D155" i="6" s="1"/>
  <c r="I125" i="20"/>
  <c r="B125" i="6" s="1"/>
  <c r="BA125" i="6" s="1"/>
  <c r="D125" i="6" s="1"/>
  <c r="J125" i="20"/>
  <c r="C125" i="6" s="1"/>
  <c r="J293" i="20"/>
  <c r="C293" i="6" s="1"/>
  <c r="I293" i="20"/>
  <c r="B293" i="6" s="1"/>
  <c r="BA293" i="6" s="1"/>
  <c r="D293" i="6" s="1"/>
  <c r="I317" i="20"/>
  <c r="B317" i="6" s="1"/>
  <c r="BA317" i="6" s="1"/>
  <c r="D317" i="6" s="1"/>
  <c r="J317" i="20"/>
  <c r="C317" i="6" s="1"/>
  <c r="I104" i="20"/>
  <c r="B104" i="6" s="1"/>
  <c r="BA104" i="6" s="1"/>
  <c r="D104" i="6" s="1"/>
  <c r="J104" i="20"/>
  <c r="C104" i="6" s="1"/>
  <c r="J144" i="20"/>
  <c r="C144" i="6" s="1"/>
  <c r="I144" i="20"/>
  <c r="B144" i="6" s="1"/>
  <c r="BA144" i="6" s="1"/>
  <c r="D144" i="6" s="1"/>
  <c r="I190" i="20"/>
  <c r="B190" i="6" s="1"/>
  <c r="BA190" i="6" s="1"/>
  <c r="D190" i="6" s="1"/>
  <c r="J190" i="20"/>
  <c r="C190" i="6" s="1"/>
  <c r="I216" i="20"/>
  <c r="B216" i="6" s="1"/>
  <c r="BA216" i="6" s="1"/>
  <c r="D216" i="6" s="1"/>
  <c r="J216" i="20"/>
  <c r="C216" i="6" s="1"/>
  <c r="I224" i="20"/>
  <c r="B224" i="6" s="1"/>
  <c r="BA224" i="6" s="1"/>
  <c r="D224" i="6" s="1"/>
  <c r="J224" i="20"/>
  <c r="C224" i="6" s="1"/>
  <c r="J232" i="20"/>
  <c r="C232" i="6" s="1"/>
  <c r="I232" i="20"/>
  <c r="B232" i="6" s="1"/>
  <c r="BA232" i="6" s="1"/>
  <c r="D232" i="6" s="1"/>
  <c r="I336" i="20"/>
  <c r="B336" i="6" s="1"/>
  <c r="BA336" i="6" s="1"/>
  <c r="D336" i="6" s="1"/>
  <c r="J336" i="20"/>
  <c r="C336" i="6" s="1"/>
  <c r="J195" i="20"/>
  <c r="C195" i="6" s="1"/>
  <c r="I195" i="20"/>
  <c r="B195" i="6" s="1"/>
  <c r="BA195" i="6" s="1"/>
  <c r="D195" i="6" s="1"/>
  <c r="J275" i="20"/>
  <c r="C275" i="6" s="1"/>
  <c r="I275" i="20"/>
  <c r="B275" i="6" s="1"/>
  <c r="BA275" i="6" s="1"/>
  <c r="D275" i="6" s="1"/>
  <c r="I287" i="20"/>
  <c r="B287" i="6" s="1"/>
  <c r="BA287" i="6" s="1"/>
  <c r="D287" i="6" s="1"/>
  <c r="J287" i="20"/>
  <c r="C287" i="6" s="1"/>
  <c r="J359" i="20"/>
  <c r="C359" i="6" s="1"/>
  <c r="I359" i="20"/>
  <c r="B359" i="6" s="1"/>
  <c r="BA359" i="6" s="1"/>
  <c r="D359" i="6" s="1"/>
  <c r="J126" i="20"/>
  <c r="C126" i="6" s="1"/>
  <c r="I126" i="20"/>
  <c r="B126" i="6" s="1"/>
  <c r="BA126" i="6" s="1"/>
  <c r="D126" i="6" s="1"/>
  <c r="I146" i="20"/>
  <c r="B146" i="6" s="1"/>
  <c r="BA146" i="6" s="1"/>
  <c r="D146" i="6" s="1"/>
  <c r="J146" i="20"/>
  <c r="C146" i="6" s="1"/>
  <c r="I162" i="20"/>
  <c r="B162" i="6" s="1"/>
  <c r="BA162" i="6" s="1"/>
  <c r="D162" i="6" s="1"/>
  <c r="J162" i="20"/>
  <c r="C162" i="6" s="1"/>
  <c r="I176" i="20"/>
  <c r="B176" i="6" s="1"/>
  <c r="BA176" i="6" s="1"/>
  <c r="D176" i="6" s="1"/>
  <c r="J176" i="20"/>
  <c r="C176" i="6" s="1"/>
  <c r="J184" i="20"/>
  <c r="C184" i="6" s="1"/>
  <c r="I184" i="20"/>
  <c r="B184" i="6" s="1"/>
  <c r="BA184" i="6" s="1"/>
  <c r="D184" i="6" s="1"/>
  <c r="I312" i="20"/>
  <c r="B312" i="6" s="1"/>
  <c r="BA312" i="6" s="1"/>
  <c r="D312" i="6" s="1"/>
  <c r="J312" i="20"/>
  <c r="C312" i="6" s="1"/>
  <c r="J28" i="20"/>
  <c r="C28" i="6" s="1"/>
  <c r="I28" i="20"/>
  <c r="B28" i="6" s="1"/>
  <c r="BA28" i="6" s="1"/>
  <c r="D28" i="6" s="1"/>
  <c r="I42" i="20"/>
  <c r="B42" i="6" s="1"/>
  <c r="BA42" i="6" s="1"/>
  <c r="D42" i="6" s="1"/>
  <c r="J42" i="20"/>
  <c r="C42" i="6" s="1"/>
  <c r="I56" i="20"/>
  <c r="B56" i="6" s="1"/>
  <c r="BA56" i="6" s="1"/>
  <c r="D56" i="6" s="1"/>
  <c r="J56" i="20"/>
  <c r="C56" i="6" s="1"/>
  <c r="I76" i="20"/>
  <c r="B76" i="6" s="1"/>
  <c r="BA76" i="6" s="1"/>
  <c r="D76" i="6" s="1"/>
  <c r="J76" i="20"/>
  <c r="C76" i="6" s="1"/>
  <c r="I134" i="20"/>
  <c r="B134" i="6" s="1"/>
  <c r="BA134" i="6" s="1"/>
  <c r="D134" i="6" s="1"/>
  <c r="J134" i="20"/>
  <c r="C134" i="6" s="1"/>
  <c r="J198" i="20"/>
  <c r="C198" i="6" s="1"/>
  <c r="I198" i="20"/>
  <c r="B198" i="6" s="1"/>
  <c r="BA198" i="6" s="1"/>
  <c r="D198" i="6" s="1"/>
  <c r="H46" i="20"/>
  <c r="P15" i="20"/>
  <c r="I90" i="20"/>
  <c r="B90" i="6" s="1"/>
  <c r="BA90" i="6" s="1"/>
  <c r="D90" i="6" s="1"/>
  <c r="J90" i="20"/>
  <c r="C90" i="6" s="1"/>
  <c r="I33" i="20"/>
  <c r="B33" i="6" s="1"/>
  <c r="BA33" i="6" s="1"/>
  <c r="D33" i="6" s="1"/>
  <c r="J33" i="20"/>
  <c r="C33" i="6" s="1"/>
  <c r="I37" i="20"/>
  <c r="B37" i="6" s="1"/>
  <c r="BA37" i="6" s="1"/>
  <c r="D37" i="6" s="1"/>
  <c r="J53" i="20"/>
  <c r="C53" i="6" s="1"/>
  <c r="I53" i="20"/>
  <c r="B53" i="6" s="1"/>
  <c r="BA53" i="6" s="1"/>
  <c r="D53" i="6" s="1"/>
  <c r="I97" i="20"/>
  <c r="B97" i="6" s="1"/>
  <c r="BA97" i="6" s="1"/>
  <c r="D97" i="6" s="1"/>
  <c r="J122" i="20"/>
  <c r="C122" i="6" s="1"/>
  <c r="I122" i="20"/>
  <c r="B122" i="6" s="1"/>
  <c r="BA122" i="6" s="1"/>
  <c r="D122" i="6" s="1"/>
  <c r="I130" i="20"/>
  <c r="B130" i="6" s="1"/>
  <c r="BA130" i="6" s="1"/>
  <c r="D130" i="6" s="1"/>
  <c r="J130" i="20"/>
  <c r="C130" i="6" s="1"/>
  <c r="I148" i="20"/>
  <c r="B148" i="6" s="1"/>
  <c r="BA148" i="6" s="1"/>
  <c r="D148" i="6" s="1"/>
  <c r="J148" i="20"/>
  <c r="C148" i="6" s="1"/>
  <c r="H210" i="20"/>
  <c r="G210" i="20"/>
  <c r="CB210" i="6" s="1"/>
  <c r="G258" i="20"/>
  <c r="CB258" i="6" s="1"/>
  <c r="AA258" i="20"/>
  <c r="Z258" i="20" s="1"/>
  <c r="Y258" i="20" s="1"/>
  <c r="H258" i="20"/>
  <c r="H288" i="20"/>
  <c r="G288" i="20"/>
  <c r="CB288" i="6" s="1"/>
  <c r="I310" i="20"/>
  <c r="B310" i="6" s="1"/>
  <c r="BA310" i="6" s="1"/>
  <c r="D310" i="6" s="1"/>
  <c r="J310" i="20"/>
  <c r="C310" i="6" s="1"/>
  <c r="G319" i="20"/>
  <c r="CB319" i="6" s="1"/>
  <c r="H319" i="20"/>
  <c r="AA319" i="20"/>
  <c r="Z319" i="20" s="1"/>
  <c r="Y319" i="20" s="1"/>
  <c r="G333" i="20"/>
  <c r="CB333" i="6" s="1"/>
  <c r="J96" i="20"/>
  <c r="C96" i="6" s="1"/>
  <c r="I154" i="20"/>
  <c r="B154" i="6" s="1"/>
  <c r="BA154" i="6" s="1"/>
  <c r="D154" i="6" s="1"/>
  <c r="J154" i="20"/>
  <c r="C154" i="6" s="1"/>
  <c r="H166" i="20"/>
  <c r="G166" i="20"/>
  <c r="CB166" i="6" s="1"/>
  <c r="G196" i="20"/>
  <c r="CB196" i="6" s="1"/>
  <c r="H196" i="20"/>
  <c r="I222" i="20"/>
  <c r="B222" i="6" s="1"/>
  <c r="BA222" i="6" s="1"/>
  <c r="D222" i="6" s="1"/>
  <c r="J222" i="20"/>
  <c r="C222" i="6" s="1"/>
  <c r="J324" i="20"/>
  <c r="C324" i="6" s="1"/>
  <c r="I324" i="20"/>
  <c r="B324" i="6" s="1"/>
  <c r="BA324" i="6" s="1"/>
  <c r="D324" i="6" s="1"/>
  <c r="I47" i="20"/>
  <c r="B47" i="6" s="1"/>
  <c r="BA47" i="6" s="1"/>
  <c r="D47" i="6" s="1"/>
  <c r="J47" i="20"/>
  <c r="C47" i="6" s="1"/>
  <c r="G149" i="20"/>
  <c r="CB149" i="6" s="1"/>
  <c r="H149" i="20"/>
  <c r="J249" i="20"/>
  <c r="C249" i="6" s="1"/>
  <c r="I249" i="20"/>
  <c r="B249" i="6" s="1"/>
  <c r="BA249" i="6" s="1"/>
  <c r="D249" i="6" s="1"/>
  <c r="J32" i="20"/>
  <c r="C32" i="6" s="1"/>
  <c r="I32" i="20"/>
  <c r="B32" i="6" s="1"/>
  <c r="BA32" i="6" s="1"/>
  <c r="D32" i="6" s="1"/>
  <c r="J64" i="20"/>
  <c r="C64" i="6" s="1"/>
  <c r="I64" i="20"/>
  <c r="B64" i="6" s="1"/>
  <c r="BA64" i="6" s="1"/>
  <c r="D64" i="6" s="1"/>
  <c r="I70" i="20"/>
  <c r="B70" i="6" s="1"/>
  <c r="BA70" i="6" s="1"/>
  <c r="D70" i="6" s="1"/>
  <c r="I218" i="20"/>
  <c r="B218" i="6" s="1"/>
  <c r="BA218" i="6" s="1"/>
  <c r="D218" i="6" s="1"/>
  <c r="G60" i="20" l="1"/>
  <c r="CB60" i="6" s="1"/>
  <c r="AA60" i="20"/>
  <c r="Z60" i="20" s="1"/>
  <c r="Y60" i="20" s="1"/>
  <c r="H60" i="20"/>
  <c r="J178" i="20"/>
  <c r="C178" i="6" s="1"/>
  <c r="I178" i="20"/>
  <c r="B178" i="6" s="1"/>
  <c r="BA178" i="6" s="1"/>
  <c r="D178" i="6" s="1"/>
  <c r="G366" i="20"/>
  <c r="CB366" i="6" s="1"/>
  <c r="H366" i="20"/>
  <c r="H358" i="20"/>
  <c r="G358" i="20"/>
  <c r="CB358" i="6" s="1"/>
  <c r="G266" i="20"/>
  <c r="CB266" i="6" s="1"/>
  <c r="H266" i="20"/>
  <c r="G238" i="20"/>
  <c r="CB238" i="6" s="1"/>
  <c r="H238" i="20"/>
  <c r="G206" i="20"/>
  <c r="CB206" i="6" s="1"/>
  <c r="H206" i="20"/>
  <c r="H52" i="20"/>
  <c r="G52" i="20"/>
  <c r="CB52" i="6" s="1"/>
  <c r="AA366" i="20"/>
  <c r="Z366" i="20" s="1"/>
  <c r="Y366" i="20" s="1"/>
  <c r="G118" i="20"/>
  <c r="CB118" i="6" s="1"/>
  <c r="H118" i="20"/>
  <c r="J54" i="20"/>
  <c r="C54" i="6" s="1"/>
  <c r="I172" i="20"/>
  <c r="B172" i="6" s="1"/>
  <c r="BA172" i="6" s="1"/>
  <c r="D172" i="6" s="1"/>
  <c r="H62" i="20"/>
  <c r="I62" i="20" s="1"/>
  <c r="B62" i="6" s="1"/>
  <c r="BA62" i="6" s="1"/>
  <c r="D62" i="6" s="1"/>
  <c r="H318" i="20"/>
  <c r="I318" i="20" s="1"/>
  <c r="B318" i="6" s="1"/>
  <c r="BA318" i="6" s="1"/>
  <c r="D318" i="6" s="1"/>
  <c r="AA299" i="20"/>
  <c r="Z299" i="20" s="1"/>
  <c r="Y299" i="20" s="1"/>
  <c r="H299" i="20"/>
  <c r="I299" i="20" s="1"/>
  <c r="B299" i="6" s="1"/>
  <c r="BA299" i="6" s="1"/>
  <c r="D299" i="6" s="1"/>
  <c r="AA62" i="20"/>
  <c r="Z62" i="20" s="1"/>
  <c r="Y62" i="20" s="1"/>
  <c r="AA290" i="20"/>
  <c r="Z290" i="20" s="1"/>
  <c r="Y290" i="20" s="1"/>
  <c r="AA116" i="20"/>
  <c r="Z116" i="20" s="1"/>
  <c r="Y116" i="20" s="1"/>
  <c r="H242" i="20"/>
  <c r="J242" i="20" s="1"/>
  <c r="C242" i="6" s="1"/>
  <c r="G218" i="20"/>
  <c r="CB218" i="6" s="1"/>
  <c r="D363" i="20"/>
  <c r="E363" i="20" s="1"/>
  <c r="F363" i="20" s="1"/>
  <c r="AA363" i="20" s="1"/>
  <c r="Z363" i="20" s="1"/>
  <c r="Y363" i="20" s="1"/>
  <c r="G70" i="20"/>
  <c r="CB70" i="6" s="1"/>
  <c r="AA238" i="20"/>
  <c r="Z238" i="20" s="1"/>
  <c r="Y238" i="20" s="1"/>
  <c r="AA52" i="20"/>
  <c r="Z52" i="20" s="1"/>
  <c r="Y52" i="20" s="1"/>
  <c r="AA207" i="20"/>
  <c r="Z207" i="20" s="1"/>
  <c r="Y207" i="20" s="1"/>
  <c r="G207" i="20"/>
  <c r="CB207" i="6" s="1"/>
  <c r="H202" i="20"/>
  <c r="G202" i="20"/>
  <c r="CB202" i="6" s="1"/>
  <c r="G186" i="20"/>
  <c r="CB186" i="6" s="1"/>
  <c r="H186" i="20"/>
  <c r="G132" i="20"/>
  <c r="CB132" i="6" s="1"/>
  <c r="H132" i="20"/>
  <c r="H150" i="20"/>
  <c r="G150" i="20"/>
  <c r="CB150" i="6" s="1"/>
  <c r="AA150" i="20"/>
  <c r="Z150" i="20" s="1"/>
  <c r="Y150" i="20" s="1"/>
  <c r="D86" i="20"/>
  <c r="E86" i="20" s="1"/>
  <c r="F86" i="20" s="1"/>
  <c r="D68" i="20"/>
  <c r="E68" i="20" s="1"/>
  <c r="F68" i="20" s="1"/>
  <c r="AA19" i="20"/>
  <c r="Z19" i="20" s="1"/>
  <c r="Y19" i="20" s="1"/>
  <c r="H19" i="20"/>
  <c r="I19" i="20" s="1"/>
  <c r="B19" i="6" s="1"/>
  <c r="BA19" i="6" s="1"/>
  <c r="D19" i="6" s="1"/>
  <c r="BA188" i="6"/>
  <c r="D188" i="6" s="1"/>
  <c r="I40" i="20"/>
  <c r="B40" i="6" s="1"/>
  <c r="BA40" i="6" s="1"/>
  <c r="D40" i="6" s="1"/>
  <c r="I236" i="20"/>
  <c r="B236" i="6" s="1"/>
  <c r="BA236" i="6" s="1"/>
  <c r="D236" i="6" s="1"/>
  <c r="I138" i="20"/>
  <c r="B138" i="6" s="1"/>
  <c r="BA138" i="6" s="1"/>
  <c r="D138" i="6" s="1"/>
  <c r="J128" i="20"/>
  <c r="C128" i="6" s="1"/>
  <c r="I246" i="20"/>
  <c r="B246" i="6" s="1"/>
  <c r="BA246" i="6" s="1"/>
  <c r="D246" i="6" s="1"/>
  <c r="I244" i="20"/>
  <c r="B244" i="6" s="1"/>
  <c r="BA244" i="6" s="1"/>
  <c r="D244" i="6" s="1"/>
  <c r="I44" i="20"/>
  <c r="B44" i="6" s="1"/>
  <c r="BA44" i="6" s="1"/>
  <c r="D44" i="6" s="1"/>
  <c r="I370" i="20"/>
  <c r="B370" i="6" s="1"/>
  <c r="BA370" i="6" s="1"/>
  <c r="D370" i="6" s="1"/>
  <c r="I30" i="20"/>
  <c r="B30" i="6" s="1"/>
  <c r="BA30" i="6" s="1"/>
  <c r="D30" i="6" s="1"/>
  <c r="I228" i="20"/>
  <c r="B228" i="6" s="1"/>
  <c r="BA228" i="6" s="1"/>
  <c r="D228" i="6" s="1"/>
  <c r="I289" i="20"/>
  <c r="B289" i="6" s="1"/>
  <c r="BA289" i="6" s="1"/>
  <c r="D289" i="6" s="1"/>
  <c r="I112" i="20"/>
  <c r="B112" i="6" s="1"/>
  <c r="BA112" i="6" s="1"/>
  <c r="D112" i="6" s="1"/>
  <c r="J167" i="20"/>
  <c r="C167" i="6" s="1"/>
  <c r="J133" i="20"/>
  <c r="C133" i="6" s="1"/>
  <c r="J152" i="20"/>
  <c r="C152" i="6" s="1"/>
  <c r="I80" i="20"/>
  <c r="B80" i="6" s="1"/>
  <c r="BA80" i="6" s="1"/>
  <c r="D80" i="6" s="1"/>
  <c r="I22" i="20"/>
  <c r="B22" i="6" s="1"/>
  <c r="BA22" i="6" s="1"/>
  <c r="D22" i="6" s="1"/>
  <c r="J314" i="20"/>
  <c r="C314" i="6" s="1"/>
  <c r="J19" i="20"/>
  <c r="C19" i="6" s="1"/>
  <c r="J377" i="20"/>
  <c r="C377" i="6" s="1"/>
  <c r="I121" i="20"/>
  <c r="B121" i="6" s="1"/>
  <c r="BA121" i="6" s="1"/>
  <c r="D121" i="6" s="1"/>
  <c r="J136" i="20"/>
  <c r="C136" i="6" s="1"/>
  <c r="J20" i="20"/>
  <c r="C20" i="6" s="1"/>
  <c r="I245" i="20"/>
  <c r="B245" i="6" s="1"/>
  <c r="BA245" i="6" s="1"/>
  <c r="D245" i="6" s="1"/>
  <c r="J73" i="20"/>
  <c r="C73" i="6" s="1"/>
  <c r="I174" i="20"/>
  <c r="B174" i="6" s="1"/>
  <c r="BA174" i="6" s="1"/>
  <c r="D174" i="6" s="1"/>
  <c r="J250" i="20"/>
  <c r="C250" i="6" s="1"/>
  <c r="J116" i="20"/>
  <c r="C116" i="6" s="1"/>
  <c r="J100" i="20"/>
  <c r="C100" i="6" s="1"/>
  <c r="I290" i="20"/>
  <c r="B290" i="6" s="1"/>
  <c r="BA290" i="6" s="1"/>
  <c r="D290" i="6" s="1"/>
  <c r="J84" i="20"/>
  <c r="C84" i="6" s="1"/>
  <c r="J354" i="20"/>
  <c r="C354" i="6" s="1"/>
  <c r="G363" i="20"/>
  <c r="CB363" i="6" s="1"/>
  <c r="J230" i="20"/>
  <c r="C230" i="6" s="1"/>
  <c r="J151" i="20"/>
  <c r="C151" i="6" s="1"/>
  <c r="J276" i="20"/>
  <c r="C276" i="6" s="1"/>
  <c r="I235" i="20"/>
  <c r="B235" i="6" s="1"/>
  <c r="BA235" i="6" s="1"/>
  <c r="D235" i="6" s="1"/>
  <c r="I242" i="20"/>
  <c r="B242" i="6" s="1"/>
  <c r="BA242" i="6" s="1"/>
  <c r="D242" i="6" s="1"/>
  <c r="J153" i="20"/>
  <c r="C153" i="6" s="1"/>
  <c r="J188" i="20"/>
  <c r="C188" i="6" s="1"/>
  <c r="J298" i="20"/>
  <c r="C298" i="6" s="1"/>
  <c r="J309" i="20"/>
  <c r="C309" i="6" s="1"/>
  <c r="J311" i="20"/>
  <c r="C311" i="6" s="1"/>
  <c r="J331" i="20"/>
  <c r="C331" i="6" s="1"/>
  <c r="J286" i="20"/>
  <c r="C286" i="6" s="1"/>
  <c r="J265" i="20"/>
  <c r="C265" i="6" s="1"/>
  <c r="J103" i="20"/>
  <c r="C103" i="6" s="1"/>
  <c r="J342" i="20"/>
  <c r="C342" i="6" s="1"/>
  <c r="I87" i="20"/>
  <c r="B87" i="6" s="1"/>
  <c r="BA87" i="6" s="1"/>
  <c r="D87" i="6" s="1"/>
  <c r="I279" i="20"/>
  <c r="B279" i="6" s="1"/>
  <c r="BA279" i="6" s="1"/>
  <c r="D279" i="6" s="1"/>
  <c r="I71" i="20"/>
  <c r="B71" i="6" s="1"/>
  <c r="BA71" i="6" s="1"/>
  <c r="D71" i="6" s="1"/>
  <c r="J55" i="20"/>
  <c r="C55" i="6" s="1"/>
  <c r="H339" i="20"/>
  <c r="J339" i="20" s="1"/>
  <c r="C339" i="6" s="1"/>
  <c r="I274" i="20"/>
  <c r="B274" i="6" s="1"/>
  <c r="BA274" i="6" s="1"/>
  <c r="D274" i="6" s="1"/>
  <c r="H272" i="20"/>
  <c r="I272" i="20" s="1"/>
  <c r="B272" i="6" s="1"/>
  <c r="BA272" i="6" s="1"/>
  <c r="D272" i="6" s="1"/>
  <c r="J299" i="20"/>
  <c r="C299" i="6" s="1"/>
  <c r="J120" i="20"/>
  <c r="C120" i="6" s="1"/>
  <c r="J79" i="20"/>
  <c r="C79" i="6" s="1"/>
  <c r="I294" i="20"/>
  <c r="B294" i="6" s="1"/>
  <c r="BA294" i="6" s="1"/>
  <c r="D294" i="6" s="1"/>
  <c r="H363" i="20"/>
  <c r="I363" i="20" s="1"/>
  <c r="B363" i="6" s="1"/>
  <c r="BA363" i="6" s="1"/>
  <c r="D363" i="6" s="1"/>
  <c r="J259" i="20"/>
  <c r="C259" i="6" s="1"/>
  <c r="J38" i="20"/>
  <c r="C38" i="6" s="1"/>
  <c r="J141" i="20"/>
  <c r="C141" i="6" s="1"/>
  <c r="AA119" i="20"/>
  <c r="Z119" i="20" s="1"/>
  <c r="Y119" i="20" s="1"/>
  <c r="G72" i="20"/>
  <c r="CB72" i="6" s="1"/>
  <c r="H72" i="20"/>
  <c r="AA72" i="20"/>
  <c r="Z72" i="20" s="1"/>
  <c r="Y72" i="20" s="1"/>
  <c r="G36" i="20"/>
  <c r="CB36" i="6" s="1"/>
  <c r="H36" i="20"/>
  <c r="I194" i="20"/>
  <c r="B194" i="6" s="1"/>
  <c r="BA194" i="6" s="1"/>
  <c r="D194" i="6" s="1"/>
  <c r="J277" i="20"/>
  <c r="C277" i="6" s="1"/>
  <c r="J375" i="20"/>
  <c r="C375" i="6" s="1"/>
  <c r="J253" i="20"/>
  <c r="C253" i="6" s="1"/>
  <c r="I340" i="20"/>
  <c r="B340" i="6" s="1"/>
  <c r="BA340" i="6" s="1"/>
  <c r="D340" i="6" s="1"/>
  <c r="J69" i="20"/>
  <c r="C69" i="6" s="1"/>
  <c r="Q12" i="24"/>
  <c r="Q10" i="24" s="1"/>
  <c r="Q30" i="24" s="1"/>
  <c r="I346" i="20"/>
  <c r="B346" i="6" s="1"/>
  <c r="BA346" i="6" s="1"/>
  <c r="D346" i="6" s="1"/>
  <c r="J306" i="20"/>
  <c r="C306" i="6" s="1"/>
  <c r="J113" i="20"/>
  <c r="C113" i="6" s="1"/>
  <c r="H268" i="20"/>
  <c r="AH382" i="20"/>
  <c r="AG15" i="20"/>
  <c r="AH383" i="20"/>
  <c r="AH381" i="20"/>
  <c r="J281" i="20"/>
  <c r="C281" i="6" s="1"/>
  <c r="J347" i="20"/>
  <c r="C347" i="6" s="1"/>
  <c r="J351" i="20"/>
  <c r="C351" i="6" s="1"/>
  <c r="J185" i="20"/>
  <c r="C185" i="6" s="1"/>
  <c r="J215" i="20"/>
  <c r="C215" i="6" s="1"/>
  <c r="J75" i="20"/>
  <c r="C75" i="6" s="1"/>
  <c r="I217" i="20"/>
  <c r="B217" i="6" s="1"/>
  <c r="BA217" i="6" s="1"/>
  <c r="D217" i="6" s="1"/>
  <c r="I243" i="20"/>
  <c r="B243" i="6" s="1"/>
  <c r="BA243" i="6" s="1"/>
  <c r="D243" i="6" s="1"/>
  <c r="J226" i="20"/>
  <c r="C226" i="6" s="1"/>
  <c r="J313" i="20"/>
  <c r="C313" i="6" s="1"/>
  <c r="J355" i="20"/>
  <c r="C355" i="6" s="1"/>
  <c r="I182" i="20"/>
  <c r="B182" i="6" s="1"/>
  <c r="BA182" i="6" s="1"/>
  <c r="D182" i="6" s="1"/>
  <c r="J305" i="20"/>
  <c r="C305" i="6" s="1"/>
  <c r="I378" i="20"/>
  <c r="B378" i="6" s="1"/>
  <c r="BA378" i="6" s="1"/>
  <c r="D378" i="6" s="1"/>
  <c r="I200" i="20"/>
  <c r="B200" i="6" s="1"/>
  <c r="BA200" i="6" s="1"/>
  <c r="D200" i="6" s="1"/>
  <c r="I257" i="20"/>
  <c r="B257" i="6" s="1"/>
  <c r="BA257" i="6" s="1"/>
  <c r="D257" i="6" s="1"/>
  <c r="J212" i="20"/>
  <c r="C212" i="6" s="1"/>
  <c r="J269" i="20"/>
  <c r="C269" i="6" s="1"/>
  <c r="J237" i="20"/>
  <c r="C237" i="6" s="1"/>
  <c r="I197" i="20"/>
  <c r="B197" i="6" s="1"/>
  <c r="BA197" i="6" s="1"/>
  <c r="D197" i="6" s="1"/>
  <c r="J280" i="20"/>
  <c r="C280" i="6" s="1"/>
  <c r="AA241" i="20"/>
  <c r="Z241" i="20" s="1"/>
  <c r="Y241" i="20" s="1"/>
  <c r="J51" i="20"/>
  <c r="C51" i="6" s="1"/>
  <c r="J303" i="20"/>
  <c r="C303" i="6" s="1"/>
  <c r="I260" i="20"/>
  <c r="B260" i="6" s="1"/>
  <c r="BA260" i="6" s="1"/>
  <c r="D260" i="6" s="1"/>
  <c r="J261" i="20"/>
  <c r="C261" i="6" s="1"/>
  <c r="J318" i="20"/>
  <c r="C318" i="6" s="1"/>
  <c r="J207" i="20"/>
  <c r="C207" i="6" s="1"/>
  <c r="W49" i="20"/>
  <c r="I204" i="20"/>
  <c r="B204" i="6" s="1"/>
  <c r="BA204" i="6" s="1"/>
  <c r="D204" i="6" s="1"/>
  <c r="I101" i="20"/>
  <c r="B101" i="6" s="1"/>
  <c r="BA101" i="6" s="1"/>
  <c r="D101" i="6" s="1"/>
  <c r="I147" i="20"/>
  <c r="B147" i="6" s="1"/>
  <c r="BA147" i="6" s="1"/>
  <c r="D147" i="6" s="1"/>
  <c r="J262" i="20"/>
  <c r="C262" i="6" s="1"/>
  <c r="I374" i="20"/>
  <c r="B374" i="6" s="1"/>
  <c r="BA374" i="6" s="1"/>
  <c r="D374" i="6" s="1"/>
  <c r="J193" i="18"/>
  <c r="J332" i="20"/>
  <c r="C332" i="6" s="1"/>
  <c r="G241" i="20"/>
  <c r="CB241" i="6" s="1"/>
  <c r="J296" i="20"/>
  <c r="C296" i="6" s="1"/>
  <c r="I88" i="20"/>
  <c r="B88" i="6" s="1"/>
  <c r="BA88" i="6" s="1"/>
  <c r="D88" i="6" s="1"/>
  <c r="I361" i="20"/>
  <c r="B361" i="6" s="1"/>
  <c r="BA361" i="6" s="1"/>
  <c r="D361" i="6" s="1"/>
  <c r="I157" i="20"/>
  <c r="B157" i="6" s="1"/>
  <c r="BA157" i="6" s="1"/>
  <c r="D157" i="6" s="1"/>
  <c r="I220" i="20"/>
  <c r="B220" i="6" s="1"/>
  <c r="BA220" i="6" s="1"/>
  <c r="D220" i="6" s="1"/>
  <c r="J330" i="20"/>
  <c r="C330" i="6" s="1"/>
  <c r="I337" i="20"/>
  <c r="B337" i="6" s="1"/>
  <c r="BA337" i="6" s="1"/>
  <c r="D337" i="6" s="1"/>
  <c r="I173" i="20"/>
  <c r="B173" i="6" s="1"/>
  <c r="BA173" i="6" s="1"/>
  <c r="D173" i="6" s="1"/>
  <c r="I297" i="20"/>
  <c r="B297" i="6" s="1"/>
  <c r="BA297" i="6" s="1"/>
  <c r="D297" i="6" s="1"/>
  <c r="I329" i="20"/>
  <c r="B329" i="6" s="1"/>
  <c r="BA329" i="6" s="1"/>
  <c r="D329" i="6" s="1"/>
  <c r="H333" i="20"/>
  <c r="J333" i="20" s="1"/>
  <c r="C333" i="6" s="1"/>
  <c r="I282" i="20"/>
  <c r="B282" i="6" s="1"/>
  <c r="BA282" i="6" s="1"/>
  <c r="D282" i="6" s="1"/>
  <c r="J362" i="20"/>
  <c r="C362" i="6" s="1"/>
  <c r="J123" i="18"/>
  <c r="J159" i="20"/>
  <c r="C159" i="6" s="1"/>
  <c r="I233" i="20"/>
  <c r="B233" i="6" s="1"/>
  <c r="BA233" i="6" s="1"/>
  <c r="D233" i="6" s="1"/>
  <c r="I209" i="20"/>
  <c r="B209" i="6" s="1"/>
  <c r="BA209" i="6" s="1"/>
  <c r="D209" i="6" s="1"/>
  <c r="I43" i="20"/>
  <c r="B43" i="6" s="1"/>
  <c r="BA43" i="6" s="1"/>
  <c r="W267" i="20"/>
  <c r="G320" i="20"/>
  <c r="CB320" i="6" s="1"/>
  <c r="AA320" i="20"/>
  <c r="Z320" i="20" s="1"/>
  <c r="Y320" i="20" s="1"/>
  <c r="I214" i="20"/>
  <c r="B214" i="6" s="1"/>
  <c r="BA214" i="6" s="1"/>
  <c r="D214" i="6" s="1"/>
  <c r="J214" i="20"/>
  <c r="C214" i="6" s="1"/>
  <c r="H334" i="20"/>
  <c r="AA201" i="20"/>
  <c r="Z201" i="20" s="1"/>
  <c r="Y201" i="20" s="1"/>
  <c r="G201" i="20"/>
  <c r="CB201" i="6" s="1"/>
  <c r="AA251" i="20"/>
  <c r="Z251" i="20" s="1"/>
  <c r="Y251" i="20" s="1"/>
  <c r="G251" i="20"/>
  <c r="CB251" i="6" s="1"/>
  <c r="I119" i="18"/>
  <c r="J119" i="18"/>
  <c r="H350" i="20"/>
  <c r="H302" i="20"/>
  <c r="J302" i="20" s="1"/>
  <c r="C302" i="6" s="1"/>
  <c r="J221" i="20"/>
  <c r="C221" i="6" s="1"/>
  <c r="H59" i="20"/>
  <c r="I59" i="20" s="1"/>
  <c r="B59" i="6" s="1"/>
  <c r="BA59" i="6" s="1"/>
  <c r="D59" i="6" s="1"/>
  <c r="H284" i="20"/>
  <c r="J284" i="20" s="1"/>
  <c r="C284" i="6" s="1"/>
  <c r="AL12" i="17"/>
  <c r="AJ4" i="17" s="1"/>
  <c r="P14" i="19" s="1"/>
  <c r="H63" i="20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U380" i="22"/>
  <c r="T380" i="22" s="1"/>
  <c r="S380" i="22" s="1"/>
  <c r="R380" i="22" s="1"/>
  <c r="P380" i="22" s="1"/>
  <c r="V380" i="22" s="1"/>
  <c r="U376" i="22"/>
  <c r="T376" i="22" s="1"/>
  <c r="S376" i="22" s="1"/>
  <c r="R376" i="22" s="1"/>
  <c r="P376" i="22" s="1"/>
  <c r="V376" i="22" s="1"/>
  <c r="U372" i="22"/>
  <c r="T372" i="22" s="1"/>
  <c r="S372" i="22" s="1"/>
  <c r="R372" i="22" s="1"/>
  <c r="P372" i="22" s="1"/>
  <c r="V372" i="22" s="1"/>
  <c r="U368" i="22"/>
  <c r="T368" i="22" s="1"/>
  <c r="S368" i="22" s="1"/>
  <c r="R368" i="22" s="1"/>
  <c r="P368" i="22" s="1"/>
  <c r="V368" i="22" s="1"/>
  <c r="W368" i="22" s="1"/>
  <c r="U364" i="22"/>
  <c r="T364" i="22" s="1"/>
  <c r="S364" i="22" s="1"/>
  <c r="R364" i="22" s="1"/>
  <c r="P364" i="22" s="1"/>
  <c r="V364" i="22" s="1"/>
  <c r="D364" i="22" s="1"/>
  <c r="E364" i="22" s="1"/>
  <c r="F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D356" i="22" s="1"/>
  <c r="E356" i="22" s="1"/>
  <c r="F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D336" i="22" s="1"/>
  <c r="E336" i="22" s="1"/>
  <c r="F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D320" i="22" s="1"/>
  <c r="E320" i="22" s="1"/>
  <c r="F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W312" i="22" s="1"/>
  <c r="U308" i="22"/>
  <c r="T308" i="22" s="1"/>
  <c r="S308" i="22" s="1"/>
  <c r="R308" i="22" s="1"/>
  <c r="P308" i="22" s="1"/>
  <c r="V308" i="22" s="1"/>
  <c r="D308" i="22" s="1"/>
  <c r="E308" i="22" s="1"/>
  <c r="F308" i="22" s="1"/>
  <c r="U304" i="22"/>
  <c r="T304" i="22" s="1"/>
  <c r="S304" i="22" s="1"/>
  <c r="R304" i="22" s="1"/>
  <c r="P304" i="22" s="1"/>
  <c r="V304" i="22" s="1"/>
  <c r="W304" i="22" s="1"/>
  <c r="U300" i="22"/>
  <c r="T300" i="22" s="1"/>
  <c r="S300" i="22" s="1"/>
  <c r="R300" i="22" s="1"/>
  <c r="P300" i="22" s="1"/>
  <c r="V300" i="22" s="1"/>
  <c r="D300" i="22" s="1"/>
  <c r="E300" i="22" s="1"/>
  <c r="F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D276" i="22" s="1"/>
  <c r="E276" i="22" s="1"/>
  <c r="F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D268" i="22" s="1"/>
  <c r="E268" i="22" s="1"/>
  <c r="F268" i="22" s="1"/>
  <c r="U264" i="22"/>
  <c r="T264" i="22" s="1"/>
  <c r="S264" i="22" s="1"/>
  <c r="R264" i="22" s="1"/>
  <c r="P264" i="22" s="1"/>
  <c r="V264" i="22" s="1"/>
  <c r="D264" i="22" s="1"/>
  <c r="E264" i="22" s="1"/>
  <c r="F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D244" i="22" s="1"/>
  <c r="E244" i="22" s="1"/>
  <c r="F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W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W228" i="22" s="1"/>
  <c r="U224" i="22"/>
  <c r="T224" i="22" s="1"/>
  <c r="S224" i="22" s="1"/>
  <c r="R224" i="22" s="1"/>
  <c r="P224" i="22" s="1"/>
  <c r="V224" i="22" s="1"/>
  <c r="D224" i="22" s="1"/>
  <c r="E224" i="22" s="1"/>
  <c r="F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W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D184" i="22" s="1"/>
  <c r="E184" i="22" s="1"/>
  <c r="F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D172" i="22" s="1"/>
  <c r="E172" i="22" s="1"/>
  <c r="F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D164" i="22" s="1"/>
  <c r="E164" i="22" s="1"/>
  <c r="F164" i="22" s="1"/>
  <c r="U160" i="22"/>
  <c r="T160" i="22" s="1"/>
  <c r="S160" i="22" s="1"/>
  <c r="R160" i="22" s="1"/>
  <c r="P160" i="22" s="1"/>
  <c r="V160" i="22" s="1"/>
  <c r="W160" i="22" s="1"/>
  <c r="U156" i="22"/>
  <c r="T156" i="22" s="1"/>
  <c r="S156" i="22" s="1"/>
  <c r="R156" i="22" s="1"/>
  <c r="P156" i="22" s="1"/>
  <c r="V156" i="22" s="1"/>
  <c r="D156" i="22" s="1"/>
  <c r="E156" i="22" s="1"/>
  <c r="F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W136" i="22" s="1"/>
  <c r="U132" i="22"/>
  <c r="T132" i="22" s="1"/>
  <c r="S132" i="22" s="1"/>
  <c r="R132" i="22" s="1"/>
  <c r="P132" i="22" s="1"/>
  <c r="V132" i="22" s="1"/>
  <c r="D132" i="22" s="1"/>
  <c r="E132" i="22" s="1"/>
  <c r="F132" i="22" s="1"/>
  <c r="U128" i="22"/>
  <c r="T128" i="22" s="1"/>
  <c r="S128" i="22" s="1"/>
  <c r="R128" i="22" s="1"/>
  <c r="P128" i="22" s="1"/>
  <c r="V128" i="22" s="1"/>
  <c r="W128" i="22" s="1"/>
  <c r="U124" i="22"/>
  <c r="T124" i="22" s="1"/>
  <c r="S124" i="22" s="1"/>
  <c r="R124" i="22" s="1"/>
  <c r="P124" i="22" s="1"/>
  <c r="V124" i="22" s="1"/>
  <c r="W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D116" i="22" s="1"/>
  <c r="E116" i="22" s="1"/>
  <c r="F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W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W96" i="22" s="1"/>
  <c r="U92" i="22"/>
  <c r="T92" i="22" s="1"/>
  <c r="S92" i="22" s="1"/>
  <c r="R92" i="22" s="1"/>
  <c r="P92" i="22" s="1"/>
  <c r="V92" i="22" s="1"/>
  <c r="W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W84" i="22" s="1"/>
  <c r="U80" i="22"/>
  <c r="T80" i="22" s="1"/>
  <c r="S80" i="22" s="1"/>
  <c r="R80" i="22" s="1"/>
  <c r="P80" i="22" s="1"/>
  <c r="V80" i="22" s="1"/>
  <c r="W80" i="22" s="1"/>
  <c r="U76" i="22"/>
  <c r="T76" i="22" s="1"/>
  <c r="S76" i="22" s="1"/>
  <c r="R76" i="22" s="1"/>
  <c r="P76" i="22" s="1"/>
  <c r="V76" i="22" s="1"/>
  <c r="W76" i="22" s="1"/>
  <c r="U72" i="22"/>
  <c r="T72" i="22" s="1"/>
  <c r="S72" i="22" s="1"/>
  <c r="R72" i="22" s="1"/>
  <c r="P72" i="22" s="1"/>
  <c r="V72" i="22" s="1"/>
  <c r="U68" i="22"/>
  <c r="T68" i="22" s="1"/>
  <c r="S68" i="22" s="1"/>
  <c r="R68" i="22" s="1"/>
  <c r="P68" i="22" s="1"/>
  <c r="V68" i="22" s="1"/>
  <c r="W68" i="22" s="1"/>
  <c r="U64" i="22"/>
  <c r="T64" i="22" s="1"/>
  <c r="S64" i="22" s="1"/>
  <c r="R64" i="22" s="1"/>
  <c r="P64" i="22" s="1"/>
  <c r="V64" i="22" s="1"/>
  <c r="W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W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6" i="22"/>
  <c r="T36" i="22" s="1"/>
  <c r="S36" i="22" s="1"/>
  <c r="R36" i="22" s="1"/>
  <c r="P36" i="22" s="1"/>
  <c r="V36" i="22" s="1"/>
  <c r="W36" i="22" s="1"/>
  <c r="U32" i="22"/>
  <c r="T32" i="22" s="1"/>
  <c r="S32" i="22" s="1"/>
  <c r="R32" i="22" s="1"/>
  <c r="P32" i="22" s="1"/>
  <c r="V32" i="22" s="1"/>
  <c r="U28" i="22"/>
  <c r="T28" i="22" s="1"/>
  <c r="S28" i="22" s="1"/>
  <c r="R28" i="22" s="1"/>
  <c r="P28" i="22" s="1"/>
  <c r="V28" i="22" s="1"/>
  <c r="D28" i="22" s="1"/>
  <c r="E28" i="22" s="1"/>
  <c r="F28" i="22" s="1"/>
  <c r="U24" i="22"/>
  <c r="T24" i="22" s="1"/>
  <c r="S24" i="22" s="1"/>
  <c r="R24" i="22" s="1"/>
  <c r="P24" i="22" s="1"/>
  <c r="V24" i="22" s="1"/>
  <c r="U15" i="22"/>
  <c r="U18" i="22"/>
  <c r="T18" i="22" s="1"/>
  <c r="S18" i="22" s="1"/>
  <c r="R18" i="22" s="1"/>
  <c r="P18" i="22" s="1"/>
  <c r="V18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U379" i="22"/>
  <c r="U375" i="22"/>
  <c r="T375" i="22" s="1"/>
  <c r="S375" i="22" s="1"/>
  <c r="R375" i="22" s="1"/>
  <c r="P375" i="22" s="1"/>
  <c r="V375" i="22" s="1"/>
  <c r="W375" i="22" s="1"/>
  <c r="U371" i="22"/>
  <c r="T371" i="22" s="1"/>
  <c r="S371" i="22" s="1"/>
  <c r="R371" i="22" s="1"/>
  <c r="P371" i="22" s="1"/>
  <c r="V371" i="22" s="1"/>
  <c r="D371" i="22" s="1"/>
  <c r="E371" i="22" s="1"/>
  <c r="F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D351" i="22" s="1"/>
  <c r="E351" i="22" s="1"/>
  <c r="F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W335" i="22" s="1"/>
  <c r="U331" i="22"/>
  <c r="T331" i="22" s="1"/>
  <c r="S331" i="22" s="1"/>
  <c r="R331" i="22" s="1"/>
  <c r="P331" i="22" s="1"/>
  <c r="V331" i="22" s="1"/>
  <c r="W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W323" i="22" s="1"/>
  <c r="U319" i="22"/>
  <c r="T319" i="22" s="1"/>
  <c r="S319" i="22" s="1"/>
  <c r="R319" i="22" s="1"/>
  <c r="P319" i="22" s="1"/>
  <c r="V319" i="22" s="1"/>
  <c r="D319" i="22" s="1"/>
  <c r="E319" i="22" s="1"/>
  <c r="F319" i="22" s="1"/>
  <c r="U315" i="22"/>
  <c r="T315" i="22" s="1"/>
  <c r="S315" i="22" s="1"/>
  <c r="R315" i="22" s="1"/>
  <c r="P315" i="22" s="1"/>
  <c r="V315" i="22" s="1"/>
  <c r="D315" i="22" s="1"/>
  <c r="E315" i="22" s="1"/>
  <c r="F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W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D295" i="22" s="1"/>
  <c r="E295" i="22" s="1"/>
  <c r="F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W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D271" i="22" s="1"/>
  <c r="E271" i="22" s="1"/>
  <c r="F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W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W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W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D203" i="22" s="1"/>
  <c r="E203" i="22" s="1"/>
  <c r="F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W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D179" i="22" s="1"/>
  <c r="E179" i="22" s="1"/>
  <c r="F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D167" i="22" s="1"/>
  <c r="E167" i="22" s="1"/>
  <c r="F167" i="22" s="1"/>
  <c r="U163" i="22"/>
  <c r="T163" i="22" s="1"/>
  <c r="S163" i="22" s="1"/>
  <c r="R163" i="22" s="1"/>
  <c r="P163" i="22" s="1"/>
  <c r="V163" i="22" s="1"/>
  <c r="W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W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W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D131" i="22" s="1"/>
  <c r="E131" i="22" s="1"/>
  <c r="F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W123" i="22" s="1"/>
  <c r="U119" i="22"/>
  <c r="T119" i="22" s="1"/>
  <c r="S119" i="22" s="1"/>
  <c r="R119" i="22" s="1"/>
  <c r="P119" i="22" s="1"/>
  <c r="AH35" i="7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D111" i="22" s="1"/>
  <c r="E111" i="22" s="1"/>
  <c r="F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D103" i="22" s="1"/>
  <c r="E103" i="22" s="1"/>
  <c r="F103" i="22" s="1"/>
  <c r="U99" i="22"/>
  <c r="T99" i="22" s="1"/>
  <c r="S99" i="22" s="1"/>
  <c r="R99" i="22" s="1"/>
  <c r="P99" i="22" s="1"/>
  <c r="V99" i="22" s="1"/>
  <c r="W99" i="22" s="1"/>
  <c r="U95" i="22"/>
  <c r="T95" i="22" s="1"/>
  <c r="S95" i="22" s="1"/>
  <c r="R95" i="22" s="1"/>
  <c r="P95" i="22" s="1"/>
  <c r="V95" i="22" s="1"/>
  <c r="D95" i="22" s="1"/>
  <c r="E95" i="22" s="1"/>
  <c r="F95" i="22" s="1"/>
  <c r="U91" i="22"/>
  <c r="T91" i="22" s="1"/>
  <c r="S91" i="22" s="1"/>
  <c r="R91" i="22" s="1"/>
  <c r="P91" i="22" s="1"/>
  <c r="V91" i="22" s="1"/>
  <c r="W91" i="22" s="1"/>
  <c r="U87" i="22"/>
  <c r="T87" i="22" s="1"/>
  <c r="S87" i="22" s="1"/>
  <c r="R87" i="22" s="1"/>
  <c r="P87" i="22" s="1"/>
  <c r="V87" i="22" s="1"/>
  <c r="W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W79" i="22" s="1"/>
  <c r="U75" i="22"/>
  <c r="T75" i="22" s="1"/>
  <c r="S75" i="22" s="1"/>
  <c r="R75" i="22" s="1"/>
  <c r="P75" i="22" s="1"/>
  <c r="V75" i="22" s="1"/>
  <c r="D75" i="22" s="1"/>
  <c r="E75" i="22" s="1"/>
  <c r="F75" i="22" s="1"/>
  <c r="U71" i="22"/>
  <c r="T71" i="22" s="1"/>
  <c r="S71" i="22" s="1"/>
  <c r="R71" i="22" s="1"/>
  <c r="P71" i="22" s="1"/>
  <c r="V71" i="22" s="1"/>
  <c r="W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W63" i="22" s="1"/>
  <c r="U59" i="22"/>
  <c r="T59" i="22" s="1"/>
  <c r="S59" i="22" s="1"/>
  <c r="R59" i="22" s="1"/>
  <c r="P59" i="22" s="1"/>
  <c r="V59" i="22" s="1"/>
  <c r="W59" i="22" s="1"/>
  <c r="U55" i="22"/>
  <c r="T55" i="22" s="1"/>
  <c r="S55" i="22" s="1"/>
  <c r="R55" i="22" s="1"/>
  <c r="P55" i="22" s="1"/>
  <c r="V55" i="22" s="1"/>
  <c r="D55" i="22" s="1"/>
  <c r="E55" i="22" s="1"/>
  <c r="F55" i="22" s="1"/>
  <c r="U51" i="22"/>
  <c r="T51" i="22" s="1"/>
  <c r="S51" i="22" s="1"/>
  <c r="R51" i="22" s="1"/>
  <c r="P51" i="22" s="1"/>
  <c r="V51" i="22" s="1"/>
  <c r="W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D27" i="22" s="1"/>
  <c r="E27" i="22" s="1"/>
  <c r="F27" i="22" s="1"/>
  <c r="U16" i="22"/>
  <c r="T16" i="22" s="1"/>
  <c r="S16" i="22" s="1"/>
  <c r="R16" i="22" s="1"/>
  <c r="P16" i="22" s="1"/>
  <c r="V16" i="22" s="1"/>
  <c r="D16" i="22" s="1"/>
  <c r="E16" i="22" s="1"/>
  <c r="F16" i="22" s="1"/>
  <c r="U19" i="22"/>
  <c r="T19" i="22" s="1"/>
  <c r="S19" i="22" s="1"/>
  <c r="R19" i="22" s="1"/>
  <c r="P19" i="22" s="1"/>
  <c r="V19" i="22" s="1"/>
  <c r="D19" i="22" s="1"/>
  <c r="E19" i="22" s="1"/>
  <c r="F19" i="22" s="1"/>
  <c r="U22" i="22"/>
  <c r="T22" i="22" s="1"/>
  <c r="S22" i="22" s="1"/>
  <c r="R22" i="22" s="1"/>
  <c r="P22" i="22" s="1"/>
  <c r="V22" i="22" s="1"/>
  <c r="AO16" i="7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D378" i="22" s="1"/>
  <c r="E378" i="22" s="1"/>
  <c r="F378" i="22" s="1"/>
  <c r="U374" i="22"/>
  <c r="T374" i="22" s="1"/>
  <c r="S374" i="22" s="1"/>
  <c r="R374" i="22" s="1"/>
  <c r="P374" i="22" s="1"/>
  <c r="V374" i="22" s="1"/>
  <c r="D374" i="22" s="1"/>
  <c r="E374" i="22" s="1"/>
  <c r="F374" i="22" s="1"/>
  <c r="U370" i="22"/>
  <c r="T370" i="22" s="1"/>
  <c r="S370" i="22" s="1"/>
  <c r="R370" i="22" s="1"/>
  <c r="P370" i="22" s="1"/>
  <c r="V370" i="22" s="1"/>
  <c r="U366" i="22"/>
  <c r="T366" i="22" s="1"/>
  <c r="S366" i="22" s="1"/>
  <c r="R366" i="22" s="1"/>
  <c r="P366" i="22" s="1"/>
  <c r="V366" i="22" s="1"/>
  <c r="U362" i="22"/>
  <c r="T362" i="22" s="1"/>
  <c r="S362" i="22" s="1"/>
  <c r="R362" i="22" s="1"/>
  <c r="P362" i="22" s="1"/>
  <c r="V362" i="22" s="1"/>
  <c r="U358" i="22"/>
  <c r="T358" i="22" s="1"/>
  <c r="S358" i="22" s="1"/>
  <c r="R358" i="22" s="1"/>
  <c r="P358" i="22" s="1"/>
  <c r="V358" i="22" s="1"/>
  <c r="U354" i="22"/>
  <c r="T354" i="22" s="1"/>
  <c r="S354" i="22" s="1"/>
  <c r="R354" i="22" s="1"/>
  <c r="P354" i="22" s="1"/>
  <c r="V354" i="22" s="1"/>
  <c r="U350" i="22"/>
  <c r="T350" i="22" s="1"/>
  <c r="S350" i="22" s="1"/>
  <c r="R350" i="22" s="1"/>
  <c r="P350" i="22" s="1"/>
  <c r="V350" i="22" s="1"/>
  <c r="W350" i="22" s="1"/>
  <c r="U346" i="22"/>
  <c r="T346" i="22" s="1"/>
  <c r="S346" i="22" s="1"/>
  <c r="R346" i="22" s="1"/>
  <c r="P346" i="22" s="1"/>
  <c r="V346" i="22" s="1"/>
  <c r="W346" i="22" s="1"/>
  <c r="U342" i="22"/>
  <c r="T342" i="22" s="1"/>
  <c r="S342" i="22" s="1"/>
  <c r="R342" i="22" s="1"/>
  <c r="P342" i="22" s="1"/>
  <c r="V342" i="22" s="1"/>
  <c r="D342" i="22" s="1"/>
  <c r="E342" i="22" s="1"/>
  <c r="F342" i="22" s="1"/>
  <c r="U338" i="22"/>
  <c r="T338" i="22" s="1"/>
  <c r="S338" i="22" s="1"/>
  <c r="R338" i="22" s="1"/>
  <c r="P338" i="22" s="1"/>
  <c r="V338" i="22" s="1"/>
  <c r="U334" i="22"/>
  <c r="T334" i="22" s="1"/>
  <c r="S334" i="22" s="1"/>
  <c r="R334" i="22" s="1"/>
  <c r="P334" i="22" s="1"/>
  <c r="V334" i="22" s="1"/>
  <c r="W334" i="22" s="1"/>
  <c r="U330" i="22"/>
  <c r="T330" i="22" s="1"/>
  <c r="S330" i="22" s="1"/>
  <c r="R330" i="22" s="1"/>
  <c r="P330" i="22" s="1"/>
  <c r="V330" i="22" s="1"/>
  <c r="D330" i="22" s="1"/>
  <c r="E330" i="22" s="1"/>
  <c r="F330" i="22" s="1"/>
  <c r="U326" i="22"/>
  <c r="T326" i="22" s="1"/>
  <c r="S326" i="22" s="1"/>
  <c r="R326" i="22" s="1"/>
  <c r="P326" i="22" s="1"/>
  <c r="V326" i="22" s="1"/>
  <c r="D326" i="22" s="1"/>
  <c r="E326" i="22" s="1"/>
  <c r="F326" i="22" s="1"/>
  <c r="U322" i="22"/>
  <c r="T322" i="22" s="1"/>
  <c r="S322" i="22" s="1"/>
  <c r="R322" i="22" s="1"/>
  <c r="P322" i="22" s="1"/>
  <c r="V322" i="22" s="1"/>
  <c r="U318" i="22"/>
  <c r="T318" i="22" s="1"/>
  <c r="S318" i="22" s="1"/>
  <c r="R318" i="22" s="1"/>
  <c r="P318" i="22" s="1"/>
  <c r="V318" i="22" s="1"/>
  <c r="U314" i="22"/>
  <c r="T314" i="22" s="1"/>
  <c r="S314" i="22" s="1"/>
  <c r="R314" i="22" s="1"/>
  <c r="P314" i="22" s="1"/>
  <c r="V314" i="22" s="1"/>
  <c r="D314" i="22" s="1"/>
  <c r="E314" i="22" s="1"/>
  <c r="F314" i="22" s="1"/>
  <c r="U310" i="22"/>
  <c r="T310" i="22" s="1"/>
  <c r="S310" i="22" s="1"/>
  <c r="R310" i="22" s="1"/>
  <c r="P310" i="22" s="1"/>
  <c r="V310" i="22" s="1"/>
  <c r="U306" i="22"/>
  <c r="T306" i="22" s="1"/>
  <c r="S306" i="22" s="1"/>
  <c r="R306" i="22" s="1"/>
  <c r="P306" i="22" s="1"/>
  <c r="V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U294" i="22"/>
  <c r="T294" i="22" s="1"/>
  <c r="S294" i="22" s="1"/>
  <c r="R294" i="22" s="1"/>
  <c r="P294" i="22" s="1"/>
  <c r="V294" i="22" s="1"/>
  <c r="U290" i="22"/>
  <c r="T290" i="22" s="1"/>
  <c r="S290" i="22" s="1"/>
  <c r="R290" i="22" s="1"/>
  <c r="P290" i="22" s="1"/>
  <c r="V290" i="22" s="1"/>
  <c r="U286" i="22"/>
  <c r="T286" i="22" s="1"/>
  <c r="S286" i="22" s="1"/>
  <c r="R286" i="22" s="1"/>
  <c r="P286" i="22" s="1"/>
  <c r="V286" i="22" s="1"/>
  <c r="D286" i="22" s="1"/>
  <c r="E286" i="22" s="1"/>
  <c r="F286" i="22" s="1"/>
  <c r="U282" i="22"/>
  <c r="T282" i="22" s="1"/>
  <c r="S282" i="22" s="1"/>
  <c r="R282" i="22" s="1"/>
  <c r="P282" i="22" s="1"/>
  <c r="V282" i="22" s="1"/>
  <c r="U278" i="22"/>
  <c r="T278" i="22" s="1"/>
  <c r="S278" i="22" s="1"/>
  <c r="R278" i="22" s="1"/>
  <c r="P278" i="22" s="1"/>
  <c r="V278" i="22" s="1"/>
  <c r="U274" i="22"/>
  <c r="T274" i="22" s="1"/>
  <c r="S274" i="22" s="1"/>
  <c r="R274" i="22" s="1"/>
  <c r="P274" i="22" s="1"/>
  <c r="V274" i="22" s="1"/>
  <c r="D274" i="22" s="1"/>
  <c r="E274" i="22" s="1"/>
  <c r="F274" i="22" s="1"/>
  <c r="U270" i="22"/>
  <c r="T270" i="22" s="1"/>
  <c r="S270" i="22" s="1"/>
  <c r="R270" i="22" s="1"/>
  <c r="P270" i="22" s="1"/>
  <c r="V270" i="22" s="1"/>
  <c r="U266" i="22"/>
  <c r="T266" i="22" s="1"/>
  <c r="S266" i="22" s="1"/>
  <c r="R266" i="22" s="1"/>
  <c r="P266" i="22" s="1"/>
  <c r="V266" i="22" s="1"/>
  <c r="W266" i="22" s="1"/>
  <c r="U262" i="22"/>
  <c r="T262" i="22" s="1"/>
  <c r="S262" i="22" s="1"/>
  <c r="R262" i="22" s="1"/>
  <c r="P262" i="22" s="1"/>
  <c r="V262" i="22" s="1"/>
  <c r="U258" i="22"/>
  <c r="T258" i="22" s="1"/>
  <c r="S258" i="22" s="1"/>
  <c r="R258" i="22" s="1"/>
  <c r="P258" i="22" s="1"/>
  <c r="V258" i="22" s="1"/>
  <c r="U254" i="22"/>
  <c r="T254" i="22" s="1"/>
  <c r="S254" i="22" s="1"/>
  <c r="R254" i="22" s="1"/>
  <c r="P254" i="22" s="1"/>
  <c r="V254" i="22" s="1"/>
  <c r="U250" i="22"/>
  <c r="T250" i="22" s="1"/>
  <c r="S250" i="22" s="1"/>
  <c r="R250" i="22" s="1"/>
  <c r="P250" i="22" s="1"/>
  <c r="V250" i="22" s="1"/>
  <c r="U246" i="22"/>
  <c r="T246" i="22" s="1"/>
  <c r="S246" i="22" s="1"/>
  <c r="R246" i="22" s="1"/>
  <c r="P246" i="22" s="1"/>
  <c r="V246" i="22" s="1"/>
  <c r="D246" i="22" s="1"/>
  <c r="E246" i="22" s="1"/>
  <c r="F246" i="22" s="1"/>
  <c r="U242" i="22"/>
  <c r="T242" i="22" s="1"/>
  <c r="S242" i="22" s="1"/>
  <c r="R242" i="22" s="1"/>
  <c r="P242" i="22" s="1"/>
  <c r="V242" i="22" s="1"/>
  <c r="W242" i="22" s="1"/>
  <c r="U238" i="22"/>
  <c r="T238" i="22" s="1"/>
  <c r="S238" i="22" s="1"/>
  <c r="R238" i="22" s="1"/>
  <c r="P238" i="22" s="1"/>
  <c r="V238" i="22" s="1"/>
  <c r="W238" i="22" s="1"/>
  <c r="U234" i="22"/>
  <c r="T234" i="22" s="1"/>
  <c r="S234" i="22" s="1"/>
  <c r="R234" i="22" s="1"/>
  <c r="P234" i="22" s="1"/>
  <c r="V234" i="22" s="1"/>
  <c r="D234" i="22" s="1"/>
  <c r="E234" i="22" s="1"/>
  <c r="F234" i="22" s="1"/>
  <c r="U230" i="22"/>
  <c r="T230" i="22" s="1"/>
  <c r="S230" i="22" s="1"/>
  <c r="R230" i="22" s="1"/>
  <c r="P230" i="22" s="1"/>
  <c r="V230" i="22" s="1"/>
  <c r="W230" i="22" s="1"/>
  <c r="U226" i="22"/>
  <c r="T226" i="22" s="1"/>
  <c r="S226" i="22" s="1"/>
  <c r="R226" i="22" s="1"/>
  <c r="P226" i="22" s="1"/>
  <c r="V226" i="22" s="1"/>
  <c r="W226" i="22" s="1"/>
  <c r="U222" i="22"/>
  <c r="T222" i="22" s="1"/>
  <c r="S222" i="22" s="1"/>
  <c r="R222" i="22" s="1"/>
  <c r="P222" i="22" s="1"/>
  <c r="V222" i="22" s="1"/>
  <c r="U218" i="22"/>
  <c r="T218" i="22" s="1"/>
  <c r="S218" i="22" s="1"/>
  <c r="R218" i="22" s="1"/>
  <c r="P218" i="22" s="1"/>
  <c r="V218" i="22" s="1"/>
  <c r="W218" i="22" s="1"/>
  <c r="U214" i="22"/>
  <c r="T214" i="22" s="1"/>
  <c r="S214" i="22" s="1"/>
  <c r="R214" i="22" s="1"/>
  <c r="P214" i="22" s="1"/>
  <c r="V214" i="22" s="1"/>
  <c r="U210" i="22"/>
  <c r="T210" i="22" s="1"/>
  <c r="S210" i="22" s="1"/>
  <c r="R210" i="22" s="1"/>
  <c r="P210" i="22" s="1"/>
  <c r="AH38" i="7" s="1"/>
  <c r="U206" i="22"/>
  <c r="T206" i="22" s="1"/>
  <c r="S206" i="22" s="1"/>
  <c r="R206" i="22" s="1"/>
  <c r="P206" i="22" s="1"/>
  <c r="V206" i="22" s="1"/>
  <c r="U202" i="22"/>
  <c r="T202" i="22" s="1"/>
  <c r="S202" i="22" s="1"/>
  <c r="R202" i="22" s="1"/>
  <c r="P202" i="22" s="1"/>
  <c r="V202" i="22" s="1"/>
  <c r="D202" i="22" s="1"/>
  <c r="E202" i="22" s="1"/>
  <c r="F202" i="22" s="1"/>
  <c r="U198" i="22"/>
  <c r="T198" i="22" s="1"/>
  <c r="S198" i="22" s="1"/>
  <c r="R198" i="22" s="1"/>
  <c r="P198" i="22" s="1"/>
  <c r="V198" i="22" s="1"/>
  <c r="D198" i="22" s="1"/>
  <c r="E198" i="22" s="1"/>
  <c r="F198" i="22" s="1"/>
  <c r="U194" i="22"/>
  <c r="T194" i="22" s="1"/>
  <c r="S194" i="22" s="1"/>
  <c r="R194" i="22" s="1"/>
  <c r="P194" i="22" s="1"/>
  <c r="V194" i="22" s="1"/>
  <c r="D194" i="22" s="1"/>
  <c r="E194" i="22" s="1"/>
  <c r="F194" i="22" s="1"/>
  <c r="U190" i="22"/>
  <c r="T190" i="22" s="1"/>
  <c r="S190" i="22" s="1"/>
  <c r="R190" i="22" s="1"/>
  <c r="P190" i="22" s="1"/>
  <c r="V190" i="22" s="1"/>
  <c r="W190" i="22" s="1"/>
  <c r="U186" i="22"/>
  <c r="T186" i="22" s="1"/>
  <c r="S186" i="22" s="1"/>
  <c r="R186" i="22" s="1"/>
  <c r="P186" i="22" s="1"/>
  <c r="V186" i="22" s="1"/>
  <c r="U182" i="22"/>
  <c r="T182" i="22" s="1"/>
  <c r="S182" i="22" s="1"/>
  <c r="R182" i="22" s="1"/>
  <c r="P182" i="22" s="1"/>
  <c r="V182" i="22" s="1"/>
  <c r="W182" i="22" s="1"/>
  <c r="U178" i="22"/>
  <c r="T178" i="22" s="1"/>
  <c r="S178" i="22" s="1"/>
  <c r="R178" i="22" s="1"/>
  <c r="P178" i="22" s="1"/>
  <c r="V178" i="22" s="1"/>
  <c r="W178" i="22" s="1"/>
  <c r="U174" i="22"/>
  <c r="T174" i="22" s="1"/>
  <c r="S174" i="22" s="1"/>
  <c r="R174" i="22" s="1"/>
  <c r="P174" i="22" s="1"/>
  <c r="V174" i="22" s="1"/>
  <c r="U170" i="22"/>
  <c r="T170" i="22" s="1"/>
  <c r="S170" i="22" s="1"/>
  <c r="R170" i="22" s="1"/>
  <c r="P170" i="22" s="1"/>
  <c r="V170" i="22" s="1"/>
  <c r="U166" i="22"/>
  <c r="T166" i="22" s="1"/>
  <c r="S166" i="22" s="1"/>
  <c r="R166" i="22" s="1"/>
  <c r="P166" i="22" s="1"/>
  <c r="V166" i="22" s="1"/>
  <c r="U162" i="22"/>
  <c r="T162" i="22" s="1"/>
  <c r="S162" i="22" s="1"/>
  <c r="R162" i="22" s="1"/>
  <c r="P162" i="22" s="1"/>
  <c r="V162" i="22" s="1"/>
  <c r="U158" i="22"/>
  <c r="T158" i="22" s="1"/>
  <c r="S158" i="22" s="1"/>
  <c r="R158" i="22" s="1"/>
  <c r="P158" i="22" s="1"/>
  <c r="V158" i="22" s="1"/>
  <c r="D158" i="22" s="1"/>
  <c r="E158" i="22" s="1"/>
  <c r="F158" i="22" s="1"/>
  <c r="U154" i="22"/>
  <c r="T154" i="22" s="1"/>
  <c r="S154" i="22" s="1"/>
  <c r="R154" i="22" s="1"/>
  <c r="P154" i="22" s="1"/>
  <c r="V154" i="22" s="1"/>
  <c r="D154" i="22" s="1"/>
  <c r="E154" i="22" s="1"/>
  <c r="F154" i="22" s="1"/>
  <c r="U150" i="22"/>
  <c r="T150" i="22" s="1"/>
  <c r="S150" i="22" s="1"/>
  <c r="R150" i="22" s="1"/>
  <c r="P150" i="22" s="1"/>
  <c r="V150" i="22" s="1"/>
  <c r="W150" i="22" s="1"/>
  <c r="U146" i="22"/>
  <c r="T146" i="22" s="1"/>
  <c r="S146" i="22" s="1"/>
  <c r="R146" i="22" s="1"/>
  <c r="P146" i="22" s="1"/>
  <c r="V146" i="22" s="1"/>
  <c r="D146" i="22" s="1"/>
  <c r="E146" i="22" s="1"/>
  <c r="F146" i="22" s="1"/>
  <c r="U142" i="22"/>
  <c r="T142" i="22" s="1"/>
  <c r="S142" i="22" s="1"/>
  <c r="R142" i="22" s="1"/>
  <c r="P142" i="22" s="1"/>
  <c r="V142" i="22" s="1"/>
  <c r="D142" i="22" s="1"/>
  <c r="E142" i="22" s="1"/>
  <c r="F142" i="22" s="1"/>
  <c r="U138" i="22"/>
  <c r="T138" i="22" s="1"/>
  <c r="S138" i="22" s="1"/>
  <c r="R138" i="22" s="1"/>
  <c r="P138" i="22" s="1"/>
  <c r="V138" i="22" s="1"/>
  <c r="U134" i="22"/>
  <c r="T134" i="22" s="1"/>
  <c r="S134" i="22" s="1"/>
  <c r="R134" i="22" s="1"/>
  <c r="P134" i="22" s="1"/>
  <c r="V134" i="22" s="1"/>
  <c r="U130" i="22"/>
  <c r="T130" i="22" s="1"/>
  <c r="S130" i="22" s="1"/>
  <c r="R130" i="22" s="1"/>
  <c r="P130" i="22" s="1"/>
  <c r="V130" i="22" s="1"/>
  <c r="W130" i="22" s="1"/>
  <c r="U126" i="22"/>
  <c r="T126" i="22" s="1"/>
  <c r="S126" i="22" s="1"/>
  <c r="R126" i="22" s="1"/>
  <c r="P126" i="22" s="1"/>
  <c r="V126" i="22" s="1"/>
  <c r="U122" i="22"/>
  <c r="T122" i="22" s="1"/>
  <c r="S122" i="22" s="1"/>
  <c r="R122" i="22" s="1"/>
  <c r="P122" i="22" s="1"/>
  <c r="V122" i="22" s="1"/>
  <c r="U118" i="22"/>
  <c r="T118" i="22" s="1"/>
  <c r="S118" i="22" s="1"/>
  <c r="R118" i="22" s="1"/>
  <c r="P118" i="22" s="1"/>
  <c r="V118" i="22" s="1"/>
  <c r="D118" i="22" s="1"/>
  <c r="E118" i="22" s="1"/>
  <c r="F118" i="22" s="1"/>
  <c r="U114" i="22"/>
  <c r="T114" i="22" s="1"/>
  <c r="S114" i="22" s="1"/>
  <c r="R114" i="22" s="1"/>
  <c r="P114" i="22" s="1"/>
  <c r="V114" i="22" s="1"/>
  <c r="D114" i="22" s="1"/>
  <c r="E114" i="22" s="1"/>
  <c r="F114" i="22" s="1"/>
  <c r="U110" i="22"/>
  <c r="T110" i="22" s="1"/>
  <c r="S110" i="22" s="1"/>
  <c r="R110" i="22" s="1"/>
  <c r="P110" i="22" s="1"/>
  <c r="V110" i="22" s="1"/>
  <c r="W110" i="22" s="1"/>
  <c r="U106" i="22"/>
  <c r="T106" i="22" s="1"/>
  <c r="S106" i="22" s="1"/>
  <c r="R106" i="22" s="1"/>
  <c r="P106" i="22" s="1"/>
  <c r="V106" i="22" s="1"/>
  <c r="U102" i="22"/>
  <c r="T102" i="22" s="1"/>
  <c r="S102" i="22" s="1"/>
  <c r="R102" i="22" s="1"/>
  <c r="P102" i="22" s="1"/>
  <c r="V102" i="22" s="1"/>
  <c r="W102" i="22" s="1"/>
  <c r="U98" i="22"/>
  <c r="T98" i="22" s="1"/>
  <c r="S98" i="22" s="1"/>
  <c r="R98" i="22" s="1"/>
  <c r="P98" i="22" s="1"/>
  <c r="V98" i="22" s="1"/>
  <c r="W98" i="22" s="1"/>
  <c r="U94" i="22"/>
  <c r="T94" i="22" s="1"/>
  <c r="S94" i="22" s="1"/>
  <c r="R94" i="22" s="1"/>
  <c r="P94" i="22" s="1"/>
  <c r="V94" i="22" s="1"/>
  <c r="U90" i="22"/>
  <c r="T90" i="22" s="1"/>
  <c r="S90" i="22" s="1"/>
  <c r="R90" i="22" s="1"/>
  <c r="P90" i="22" s="1"/>
  <c r="V90" i="22" s="1"/>
  <c r="D90" i="22" s="1"/>
  <c r="E90" i="22" s="1"/>
  <c r="F90" i="22" s="1"/>
  <c r="U86" i="22"/>
  <c r="T86" i="22" s="1"/>
  <c r="S86" i="22" s="1"/>
  <c r="R86" i="22" s="1"/>
  <c r="P86" i="22" s="1"/>
  <c r="V86" i="22" s="1"/>
  <c r="D86" i="22" s="1"/>
  <c r="E86" i="22" s="1"/>
  <c r="F86" i="22" s="1"/>
  <c r="U82" i="22"/>
  <c r="T82" i="22" s="1"/>
  <c r="S82" i="22" s="1"/>
  <c r="R82" i="22" s="1"/>
  <c r="P82" i="22" s="1"/>
  <c r="V82" i="22" s="1"/>
  <c r="U78" i="22"/>
  <c r="T78" i="22" s="1"/>
  <c r="S78" i="22" s="1"/>
  <c r="R78" i="22" s="1"/>
  <c r="P78" i="22" s="1"/>
  <c r="V78" i="22" s="1"/>
  <c r="W78" i="22" s="1"/>
  <c r="U74" i="22"/>
  <c r="T74" i="22" s="1"/>
  <c r="S74" i="22" s="1"/>
  <c r="R74" i="22" s="1"/>
  <c r="P74" i="22" s="1"/>
  <c r="V74" i="22" s="1"/>
  <c r="U70" i="22"/>
  <c r="T70" i="22" s="1"/>
  <c r="S70" i="22" s="1"/>
  <c r="R70" i="22" s="1"/>
  <c r="P70" i="22" s="1"/>
  <c r="V70" i="22" s="1"/>
  <c r="U66" i="22"/>
  <c r="T66" i="22" s="1"/>
  <c r="S66" i="22" s="1"/>
  <c r="R66" i="22" s="1"/>
  <c r="P66" i="22" s="1"/>
  <c r="V66" i="22" s="1"/>
  <c r="U62" i="22"/>
  <c r="T62" i="22" s="1"/>
  <c r="S62" i="22" s="1"/>
  <c r="R62" i="22" s="1"/>
  <c r="P62" i="22" s="1"/>
  <c r="V62" i="22" s="1"/>
  <c r="U58" i="22"/>
  <c r="T58" i="22" s="1"/>
  <c r="S58" i="22" s="1"/>
  <c r="R58" i="22" s="1"/>
  <c r="P58" i="22" s="1"/>
  <c r="V58" i="22" s="1"/>
  <c r="U54" i="22"/>
  <c r="T54" i="22" s="1"/>
  <c r="S54" i="22" s="1"/>
  <c r="R54" i="22" s="1"/>
  <c r="P54" i="22" s="1"/>
  <c r="V54" i="22" s="1"/>
  <c r="U50" i="22"/>
  <c r="T50" i="22" s="1"/>
  <c r="S50" i="22" s="1"/>
  <c r="R50" i="22" s="1"/>
  <c r="P50" i="22" s="1"/>
  <c r="V50" i="22" s="1"/>
  <c r="W50" i="22" s="1"/>
  <c r="U46" i="22"/>
  <c r="T46" i="22" s="1"/>
  <c r="S46" i="22" s="1"/>
  <c r="R46" i="22" s="1"/>
  <c r="P46" i="22" s="1"/>
  <c r="V46" i="22" s="1"/>
  <c r="W46" i="22" s="1"/>
  <c r="U42" i="22"/>
  <c r="T42" i="22" s="1"/>
  <c r="S42" i="22" s="1"/>
  <c r="R42" i="22" s="1"/>
  <c r="P42" i="22" s="1"/>
  <c r="V42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W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W21" i="22" s="1"/>
  <c r="U17" i="22"/>
  <c r="T17" i="22" s="1"/>
  <c r="S17" i="22" s="1"/>
  <c r="R17" i="22" s="1"/>
  <c r="P17" i="22" s="1"/>
  <c r="V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7" i="22"/>
  <c r="AH177" i="22" s="1"/>
  <c r="AG177" i="22" s="1"/>
  <c r="AF177" i="22" s="1"/>
  <c r="AD177" i="22" s="1"/>
  <c r="AI173" i="22"/>
  <c r="AH173" i="22" s="1"/>
  <c r="AG173" i="22" s="1"/>
  <c r="AF173" i="22" s="1"/>
  <c r="AD173" i="22" s="1"/>
  <c r="AI169" i="22"/>
  <c r="AH169" i="22" s="1"/>
  <c r="AG169" i="22" s="1"/>
  <c r="AF169" i="22" s="1"/>
  <c r="AD169" i="22" s="1"/>
  <c r="AI165" i="22"/>
  <c r="AH165" i="22" s="1"/>
  <c r="AG165" i="22" s="1"/>
  <c r="AF165" i="22" s="1"/>
  <c r="AD165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7" i="22"/>
  <c r="T377" i="22" s="1"/>
  <c r="S377" i="22" s="1"/>
  <c r="R377" i="22" s="1"/>
  <c r="P377" i="22" s="1"/>
  <c r="V377" i="22" s="1"/>
  <c r="U373" i="22"/>
  <c r="T373" i="22" s="1"/>
  <c r="S373" i="22" s="1"/>
  <c r="R373" i="22" s="1"/>
  <c r="P373" i="22" s="1"/>
  <c r="V373" i="22" s="1"/>
  <c r="U369" i="22"/>
  <c r="T369" i="22" s="1"/>
  <c r="S369" i="22" s="1"/>
  <c r="R369" i="22" s="1"/>
  <c r="P369" i="22" s="1"/>
  <c r="V369" i="22" s="1"/>
  <c r="U365" i="22"/>
  <c r="T365" i="22" s="1"/>
  <c r="S365" i="22" s="1"/>
  <c r="R365" i="22" s="1"/>
  <c r="P365" i="22" s="1"/>
  <c r="V365" i="22" s="1"/>
  <c r="D365" i="22" s="1"/>
  <c r="E365" i="22" s="1"/>
  <c r="F365" i="22" s="1"/>
  <c r="U361" i="22"/>
  <c r="T361" i="22" s="1"/>
  <c r="S361" i="22" s="1"/>
  <c r="R361" i="22" s="1"/>
  <c r="P361" i="22" s="1"/>
  <c r="V361" i="22" s="1"/>
  <c r="D361" i="22" s="1"/>
  <c r="E361" i="22" s="1"/>
  <c r="F361" i="22" s="1"/>
  <c r="U357" i="22"/>
  <c r="T357" i="22" s="1"/>
  <c r="S357" i="22" s="1"/>
  <c r="R357" i="22" s="1"/>
  <c r="P357" i="22" s="1"/>
  <c r="V357" i="22" s="1"/>
  <c r="D357" i="22" s="1"/>
  <c r="E357" i="22" s="1"/>
  <c r="F357" i="22" s="1"/>
  <c r="U353" i="22"/>
  <c r="T353" i="22" s="1"/>
  <c r="S353" i="22" s="1"/>
  <c r="R353" i="22" s="1"/>
  <c r="P353" i="22" s="1"/>
  <c r="V353" i="22" s="1"/>
  <c r="W353" i="22" s="1"/>
  <c r="U349" i="22"/>
  <c r="T349" i="22" s="1"/>
  <c r="S349" i="22" s="1"/>
  <c r="R349" i="22" s="1"/>
  <c r="P349" i="22" s="1"/>
  <c r="V349" i="22" s="1"/>
  <c r="U345" i="22"/>
  <c r="T345" i="22" s="1"/>
  <c r="S345" i="22" s="1"/>
  <c r="R345" i="22" s="1"/>
  <c r="P345" i="22" s="1"/>
  <c r="V345" i="22" s="1"/>
  <c r="U341" i="22"/>
  <c r="T341" i="22" s="1"/>
  <c r="S341" i="22" s="1"/>
  <c r="R341" i="22" s="1"/>
  <c r="P341" i="22" s="1"/>
  <c r="V341" i="22" s="1"/>
  <c r="D341" i="22" s="1"/>
  <c r="E341" i="22" s="1"/>
  <c r="F341" i="22" s="1"/>
  <c r="U337" i="22"/>
  <c r="T337" i="22" s="1"/>
  <c r="S337" i="22" s="1"/>
  <c r="R337" i="22" s="1"/>
  <c r="P337" i="22" s="1"/>
  <c r="V337" i="22" s="1"/>
  <c r="W337" i="22" s="1"/>
  <c r="U333" i="22"/>
  <c r="T333" i="22" s="1"/>
  <c r="S333" i="22" s="1"/>
  <c r="R333" i="22" s="1"/>
  <c r="P333" i="22" s="1"/>
  <c r="U329" i="22"/>
  <c r="T329" i="22" s="1"/>
  <c r="S329" i="22" s="1"/>
  <c r="R329" i="22" s="1"/>
  <c r="P329" i="22" s="1"/>
  <c r="V329" i="22" s="1"/>
  <c r="U325" i="22"/>
  <c r="T325" i="22" s="1"/>
  <c r="S325" i="22" s="1"/>
  <c r="R325" i="22" s="1"/>
  <c r="P325" i="22" s="1"/>
  <c r="V325" i="22" s="1"/>
  <c r="U321" i="22"/>
  <c r="T321" i="22" s="1"/>
  <c r="S321" i="22" s="1"/>
  <c r="R321" i="22" s="1"/>
  <c r="P321" i="22" s="1"/>
  <c r="V321" i="22" s="1"/>
  <c r="U317" i="22"/>
  <c r="T317" i="22" s="1"/>
  <c r="S317" i="22" s="1"/>
  <c r="R317" i="22" s="1"/>
  <c r="P317" i="22" s="1"/>
  <c r="V317" i="22" s="1"/>
  <c r="D317" i="22" s="1"/>
  <c r="E317" i="22" s="1"/>
  <c r="F317" i="22" s="1"/>
  <c r="U313" i="22"/>
  <c r="T313" i="22" s="1"/>
  <c r="S313" i="22" s="1"/>
  <c r="R313" i="22" s="1"/>
  <c r="P313" i="22" s="1"/>
  <c r="V313" i="22" s="1"/>
  <c r="U309" i="22"/>
  <c r="T309" i="22" s="1"/>
  <c r="S309" i="22" s="1"/>
  <c r="R309" i="22" s="1"/>
  <c r="P309" i="22" s="1"/>
  <c r="V309" i="22" s="1"/>
  <c r="D309" i="22" s="1"/>
  <c r="E309" i="22" s="1"/>
  <c r="F309" i="22" s="1"/>
  <c r="U305" i="22"/>
  <c r="T305" i="22" s="1"/>
  <c r="S305" i="22" s="1"/>
  <c r="R305" i="22" s="1"/>
  <c r="P305" i="22" s="1"/>
  <c r="V305" i="22" s="1"/>
  <c r="U301" i="22"/>
  <c r="T301" i="22" s="1"/>
  <c r="S301" i="22" s="1"/>
  <c r="R301" i="22" s="1"/>
  <c r="P301" i="22" s="1"/>
  <c r="V301" i="22" s="1"/>
  <c r="U297" i="22"/>
  <c r="T297" i="22" s="1"/>
  <c r="S297" i="22" s="1"/>
  <c r="R297" i="22" s="1"/>
  <c r="P297" i="22" s="1"/>
  <c r="V297" i="22" s="1"/>
  <c r="D297" i="22" s="1"/>
  <c r="E297" i="22" s="1"/>
  <c r="F297" i="22" s="1"/>
  <c r="U293" i="22"/>
  <c r="T293" i="22" s="1"/>
  <c r="S293" i="22" s="1"/>
  <c r="R293" i="22" s="1"/>
  <c r="P293" i="22" s="1"/>
  <c r="V293" i="22" s="1"/>
  <c r="U289" i="22"/>
  <c r="T289" i="22" s="1"/>
  <c r="S289" i="22" s="1"/>
  <c r="R289" i="22" s="1"/>
  <c r="P289" i="22" s="1"/>
  <c r="V289" i="22" s="1"/>
  <c r="U285" i="22"/>
  <c r="T285" i="22" s="1"/>
  <c r="S285" i="22" s="1"/>
  <c r="R285" i="22" s="1"/>
  <c r="P285" i="22" s="1"/>
  <c r="V285" i="22" s="1"/>
  <c r="U281" i="22"/>
  <c r="T281" i="22" s="1"/>
  <c r="S281" i="22" s="1"/>
  <c r="R281" i="22" s="1"/>
  <c r="P281" i="22" s="1"/>
  <c r="V281" i="22" s="1"/>
  <c r="U277" i="22"/>
  <c r="T277" i="22" s="1"/>
  <c r="S277" i="22" s="1"/>
  <c r="R277" i="22" s="1"/>
  <c r="P277" i="22" s="1"/>
  <c r="V277" i="22" s="1"/>
  <c r="U273" i="22"/>
  <c r="T273" i="22" s="1"/>
  <c r="S273" i="22" s="1"/>
  <c r="R273" i="22" s="1"/>
  <c r="P273" i="22" s="1"/>
  <c r="V273" i="22" s="1"/>
  <c r="D273" i="22" s="1"/>
  <c r="E273" i="22" s="1"/>
  <c r="F273" i="22" s="1"/>
  <c r="U269" i="22"/>
  <c r="T269" i="22" s="1"/>
  <c r="S269" i="22" s="1"/>
  <c r="R269" i="22" s="1"/>
  <c r="P269" i="22" s="1"/>
  <c r="V269" i="22" s="1"/>
  <c r="W269" i="22" s="1"/>
  <c r="U265" i="22"/>
  <c r="T265" i="22" s="1"/>
  <c r="S265" i="22" s="1"/>
  <c r="R265" i="22" s="1"/>
  <c r="P265" i="22" s="1"/>
  <c r="V265" i="22" s="1"/>
  <c r="U261" i="22"/>
  <c r="T261" i="22" s="1"/>
  <c r="S261" i="22" s="1"/>
  <c r="R261" i="22" s="1"/>
  <c r="P261" i="22" s="1"/>
  <c r="V261" i="22" s="1"/>
  <c r="D261" i="22" s="1"/>
  <c r="E261" i="22" s="1"/>
  <c r="F261" i="22" s="1"/>
  <c r="U257" i="22"/>
  <c r="T257" i="22" s="1"/>
  <c r="S257" i="22" s="1"/>
  <c r="R257" i="22" s="1"/>
  <c r="P257" i="22" s="1"/>
  <c r="V257" i="22" s="1"/>
  <c r="D257" i="22" s="1"/>
  <c r="E257" i="22" s="1"/>
  <c r="F257" i="22" s="1"/>
  <c r="U253" i="22"/>
  <c r="T253" i="22" s="1"/>
  <c r="S253" i="22" s="1"/>
  <c r="R253" i="22" s="1"/>
  <c r="P253" i="22" s="1"/>
  <c r="V253" i="22" s="1"/>
  <c r="U249" i="22"/>
  <c r="T249" i="22" s="1"/>
  <c r="S249" i="22" s="1"/>
  <c r="R249" i="22" s="1"/>
  <c r="P249" i="22" s="1"/>
  <c r="V249" i="22" s="1"/>
  <c r="U245" i="22"/>
  <c r="T245" i="22" s="1"/>
  <c r="S245" i="22" s="1"/>
  <c r="R245" i="22" s="1"/>
  <c r="P245" i="22" s="1"/>
  <c r="V245" i="22" s="1"/>
  <c r="D245" i="22" s="1"/>
  <c r="E245" i="22" s="1"/>
  <c r="F245" i="22" s="1"/>
  <c r="U241" i="22"/>
  <c r="T241" i="22" s="1"/>
  <c r="S241" i="22" s="1"/>
  <c r="R241" i="22" s="1"/>
  <c r="P241" i="22" s="1"/>
  <c r="U237" i="22"/>
  <c r="T237" i="22" s="1"/>
  <c r="S237" i="22" s="1"/>
  <c r="R237" i="22" s="1"/>
  <c r="P237" i="22" s="1"/>
  <c r="V237" i="22" s="1"/>
  <c r="D237" i="22" s="1"/>
  <c r="E237" i="22" s="1"/>
  <c r="F237" i="22" s="1"/>
  <c r="U233" i="22"/>
  <c r="T233" i="22" s="1"/>
  <c r="S233" i="22" s="1"/>
  <c r="R233" i="22" s="1"/>
  <c r="P233" i="22" s="1"/>
  <c r="V233" i="22" s="1"/>
  <c r="U229" i="22"/>
  <c r="T229" i="22" s="1"/>
  <c r="S229" i="22" s="1"/>
  <c r="R229" i="22" s="1"/>
  <c r="P229" i="22" s="1"/>
  <c r="V229" i="22" s="1"/>
  <c r="U225" i="22"/>
  <c r="T225" i="22" s="1"/>
  <c r="S225" i="22" s="1"/>
  <c r="R225" i="22" s="1"/>
  <c r="P225" i="22" s="1"/>
  <c r="V225" i="22" s="1"/>
  <c r="U221" i="22"/>
  <c r="T221" i="22" s="1"/>
  <c r="S221" i="22" s="1"/>
  <c r="R221" i="22" s="1"/>
  <c r="P221" i="22" s="1"/>
  <c r="V221" i="22" s="1"/>
  <c r="U217" i="22"/>
  <c r="T217" i="22" s="1"/>
  <c r="S217" i="22" s="1"/>
  <c r="R217" i="22" s="1"/>
  <c r="P217" i="22" s="1"/>
  <c r="V217" i="22" s="1"/>
  <c r="D217" i="22" s="1"/>
  <c r="E217" i="22" s="1"/>
  <c r="F217" i="22" s="1"/>
  <c r="U213" i="22"/>
  <c r="T213" i="22" s="1"/>
  <c r="S213" i="22" s="1"/>
  <c r="R213" i="22" s="1"/>
  <c r="P213" i="22" s="1"/>
  <c r="V213" i="22" s="1"/>
  <c r="U209" i="22"/>
  <c r="T209" i="22" s="1"/>
  <c r="S209" i="22" s="1"/>
  <c r="R209" i="22" s="1"/>
  <c r="P209" i="22" s="1"/>
  <c r="V209" i="22" s="1"/>
  <c r="W209" i="22" s="1"/>
  <c r="U205" i="22"/>
  <c r="T205" i="22" s="1"/>
  <c r="S205" i="22" s="1"/>
  <c r="R205" i="22" s="1"/>
  <c r="P205" i="22" s="1"/>
  <c r="V205" i="22" s="1"/>
  <c r="U201" i="22"/>
  <c r="T201" i="22" s="1"/>
  <c r="S201" i="22" s="1"/>
  <c r="R201" i="22" s="1"/>
  <c r="P201" i="22" s="1"/>
  <c r="V201" i="22" s="1"/>
  <c r="U197" i="22"/>
  <c r="T197" i="22" s="1"/>
  <c r="S197" i="22" s="1"/>
  <c r="R197" i="22" s="1"/>
  <c r="P197" i="22" s="1"/>
  <c r="V197" i="22" s="1"/>
  <c r="U193" i="22"/>
  <c r="T193" i="22" s="1"/>
  <c r="S193" i="22" s="1"/>
  <c r="R193" i="22" s="1"/>
  <c r="P193" i="22" s="1"/>
  <c r="V193" i="22" s="1"/>
  <c r="D193" i="22" s="1"/>
  <c r="E193" i="22" s="1"/>
  <c r="F193" i="22" s="1"/>
  <c r="U189" i="22"/>
  <c r="T189" i="22" s="1"/>
  <c r="S189" i="22" s="1"/>
  <c r="R189" i="22" s="1"/>
  <c r="P189" i="22" s="1"/>
  <c r="V189" i="22" s="1"/>
  <c r="W189" i="22" s="1"/>
  <c r="U185" i="22"/>
  <c r="T185" i="22" s="1"/>
  <c r="S185" i="22" s="1"/>
  <c r="R185" i="22" s="1"/>
  <c r="P185" i="22" s="1"/>
  <c r="V185" i="22" s="1"/>
  <c r="U181" i="22"/>
  <c r="T181" i="22" s="1"/>
  <c r="S181" i="22" s="1"/>
  <c r="R181" i="22" s="1"/>
  <c r="P181" i="22" s="1"/>
  <c r="V181" i="22" s="1"/>
  <c r="U177" i="22"/>
  <c r="T177" i="22" s="1"/>
  <c r="S177" i="22" s="1"/>
  <c r="R177" i="22" s="1"/>
  <c r="P177" i="22" s="1"/>
  <c r="V177" i="22" s="1"/>
  <c r="U173" i="22"/>
  <c r="T173" i="22" s="1"/>
  <c r="S173" i="22" s="1"/>
  <c r="R173" i="22" s="1"/>
  <c r="P173" i="22" s="1"/>
  <c r="V173" i="22" s="1"/>
  <c r="U169" i="22"/>
  <c r="T169" i="22" s="1"/>
  <c r="S169" i="22" s="1"/>
  <c r="R169" i="22" s="1"/>
  <c r="P169" i="22" s="1"/>
  <c r="V169" i="22" s="1"/>
  <c r="W169" i="22" s="1"/>
  <c r="U165" i="22"/>
  <c r="T165" i="22" s="1"/>
  <c r="S165" i="22" s="1"/>
  <c r="R165" i="22" s="1"/>
  <c r="P165" i="22" s="1"/>
  <c r="V165" i="22" s="1"/>
  <c r="U161" i="22"/>
  <c r="T161" i="22" s="1"/>
  <c r="S161" i="22" s="1"/>
  <c r="R161" i="22" s="1"/>
  <c r="P161" i="22" s="1"/>
  <c r="V161" i="22" s="1"/>
  <c r="W161" i="22" s="1"/>
  <c r="U157" i="22"/>
  <c r="T157" i="22" s="1"/>
  <c r="S157" i="22" s="1"/>
  <c r="R157" i="22" s="1"/>
  <c r="P157" i="22" s="1"/>
  <c r="V157" i="22" s="1"/>
  <c r="U153" i="22"/>
  <c r="T153" i="22" s="1"/>
  <c r="S153" i="22" s="1"/>
  <c r="R153" i="22" s="1"/>
  <c r="P153" i="22" s="1"/>
  <c r="V153" i="22" s="1"/>
  <c r="U149" i="22"/>
  <c r="T149" i="22" s="1"/>
  <c r="S149" i="22" s="1"/>
  <c r="R149" i="22" s="1"/>
  <c r="P149" i="22" s="1"/>
  <c r="V149" i="22" s="1"/>
  <c r="U145" i="22"/>
  <c r="T145" i="22" s="1"/>
  <c r="S145" i="22" s="1"/>
  <c r="R145" i="22" s="1"/>
  <c r="P145" i="22" s="1"/>
  <c r="V145" i="22" s="1"/>
  <c r="D145" i="22" s="1"/>
  <c r="E145" i="22" s="1"/>
  <c r="F145" i="22" s="1"/>
  <c r="U141" i="22"/>
  <c r="T141" i="22" s="1"/>
  <c r="S141" i="22" s="1"/>
  <c r="R141" i="22" s="1"/>
  <c r="P141" i="22" s="1"/>
  <c r="V141" i="22" s="1"/>
  <c r="U137" i="22"/>
  <c r="T137" i="22" s="1"/>
  <c r="S137" i="22" s="1"/>
  <c r="R137" i="22" s="1"/>
  <c r="P137" i="22" s="1"/>
  <c r="V137" i="22" s="1"/>
  <c r="W137" i="22" s="1"/>
  <c r="U133" i="22"/>
  <c r="T133" i="22" s="1"/>
  <c r="S133" i="22" s="1"/>
  <c r="R133" i="22" s="1"/>
  <c r="P133" i="22" s="1"/>
  <c r="V133" i="22" s="1"/>
  <c r="U129" i="22"/>
  <c r="T129" i="22" s="1"/>
  <c r="S129" i="22" s="1"/>
  <c r="R129" i="22" s="1"/>
  <c r="P129" i="22" s="1"/>
  <c r="V129" i="22" s="1"/>
  <c r="W129" i="22" s="1"/>
  <c r="U125" i="22"/>
  <c r="T125" i="22" s="1"/>
  <c r="S125" i="22" s="1"/>
  <c r="R125" i="22" s="1"/>
  <c r="P125" i="22" s="1"/>
  <c r="V125" i="22" s="1"/>
  <c r="D125" i="22" s="1"/>
  <c r="E125" i="22" s="1"/>
  <c r="F125" i="22" s="1"/>
  <c r="U121" i="22"/>
  <c r="T121" i="22" s="1"/>
  <c r="S121" i="22" s="1"/>
  <c r="R121" i="22" s="1"/>
  <c r="P121" i="22" s="1"/>
  <c r="V121" i="22" s="1"/>
  <c r="D121" i="22" s="1"/>
  <c r="E121" i="22" s="1"/>
  <c r="F121" i="22" s="1"/>
  <c r="U117" i="22"/>
  <c r="T117" i="22" s="1"/>
  <c r="S117" i="22" s="1"/>
  <c r="R117" i="22" s="1"/>
  <c r="P117" i="22" s="1"/>
  <c r="V117" i="22" s="1"/>
  <c r="U113" i="22"/>
  <c r="T113" i="22" s="1"/>
  <c r="S113" i="22" s="1"/>
  <c r="R113" i="22" s="1"/>
  <c r="P113" i="22" s="1"/>
  <c r="V113" i="22" s="1"/>
  <c r="D113" i="22" s="1"/>
  <c r="E113" i="22" s="1"/>
  <c r="F113" i="22" s="1"/>
  <c r="U109" i="22"/>
  <c r="T109" i="22" s="1"/>
  <c r="S109" i="22" s="1"/>
  <c r="R109" i="22" s="1"/>
  <c r="P109" i="22" s="1"/>
  <c r="V109" i="22" s="1"/>
  <c r="W109" i="22" s="1"/>
  <c r="U105" i="22"/>
  <c r="T105" i="22" s="1"/>
  <c r="S105" i="22" s="1"/>
  <c r="R105" i="22" s="1"/>
  <c r="P105" i="22" s="1"/>
  <c r="V105" i="22" s="1"/>
  <c r="U101" i="22"/>
  <c r="T101" i="22" s="1"/>
  <c r="S101" i="22" s="1"/>
  <c r="R101" i="22" s="1"/>
  <c r="P101" i="22" s="1"/>
  <c r="V101" i="22" s="1"/>
  <c r="D101" i="22" s="1"/>
  <c r="E101" i="22" s="1"/>
  <c r="F101" i="22" s="1"/>
  <c r="U97" i="22"/>
  <c r="T97" i="22" s="1"/>
  <c r="S97" i="22" s="1"/>
  <c r="R97" i="22" s="1"/>
  <c r="P97" i="22" s="1"/>
  <c r="V97" i="22" s="1"/>
  <c r="U93" i="22"/>
  <c r="T93" i="22" s="1"/>
  <c r="S93" i="22" s="1"/>
  <c r="R93" i="22" s="1"/>
  <c r="P93" i="22" s="1"/>
  <c r="V93" i="22" s="1"/>
  <c r="U89" i="22"/>
  <c r="T89" i="22" s="1"/>
  <c r="S89" i="22" s="1"/>
  <c r="R89" i="22" s="1"/>
  <c r="P89" i="22" s="1"/>
  <c r="V89" i="22" s="1"/>
  <c r="D89" i="22" s="1"/>
  <c r="E89" i="22" s="1"/>
  <c r="F89" i="22" s="1"/>
  <c r="U85" i="22"/>
  <c r="T85" i="22" s="1"/>
  <c r="S85" i="22" s="1"/>
  <c r="R85" i="22" s="1"/>
  <c r="P85" i="22" s="1"/>
  <c r="V85" i="22" s="1"/>
  <c r="D85" i="22" s="1"/>
  <c r="E85" i="22" s="1"/>
  <c r="F85" i="22" s="1"/>
  <c r="U81" i="22"/>
  <c r="T81" i="22" s="1"/>
  <c r="S81" i="22" s="1"/>
  <c r="R81" i="22" s="1"/>
  <c r="P81" i="22" s="1"/>
  <c r="V81" i="22" s="1"/>
  <c r="U77" i="22"/>
  <c r="T77" i="22" s="1"/>
  <c r="S77" i="22" s="1"/>
  <c r="R77" i="22" s="1"/>
  <c r="P77" i="22" s="1"/>
  <c r="V77" i="22" s="1"/>
  <c r="U73" i="22"/>
  <c r="T73" i="22" s="1"/>
  <c r="S73" i="22" s="1"/>
  <c r="R73" i="22" s="1"/>
  <c r="P73" i="22" s="1"/>
  <c r="V73" i="22" s="1"/>
  <c r="D73" i="22" s="1"/>
  <c r="E73" i="22" s="1"/>
  <c r="F73" i="22" s="1"/>
  <c r="U69" i="22"/>
  <c r="T69" i="22" s="1"/>
  <c r="S69" i="22" s="1"/>
  <c r="R69" i="22" s="1"/>
  <c r="P69" i="22" s="1"/>
  <c r="V69" i="22" s="1"/>
  <c r="U65" i="22"/>
  <c r="T65" i="22" s="1"/>
  <c r="S65" i="22" s="1"/>
  <c r="R65" i="22" s="1"/>
  <c r="P65" i="22" s="1"/>
  <c r="V65" i="22" s="1"/>
  <c r="U61" i="22"/>
  <c r="T61" i="22" s="1"/>
  <c r="S61" i="22" s="1"/>
  <c r="R61" i="22" s="1"/>
  <c r="P61" i="22" s="1"/>
  <c r="V61" i="22" s="1"/>
  <c r="W61" i="22" s="1"/>
  <c r="U57" i="22"/>
  <c r="T57" i="22" s="1"/>
  <c r="S57" i="22" s="1"/>
  <c r="R57" i="22" s="1"/>
  <c r="P57" i="22" s="1"/>
  <c r="V57" i="22" s="1"/>
  <c r="W57" i="22" s="1"/>
  <c r="U53" i="22"/>
  <c r="T53" i="22" s="1"/>
  <c r="S53" i="22" s="1"/>
  <c r="R53" i="22" s="1"/>
  <c r="P53" i="22" s="1"/>
  <c r="V53" i="22" s="1"/>
  <c r="U49" i="22"/>
  <c r="T49" i="22" s="1"/>
  <c r="S49" i="22" s="1"/>
  <c r="R49" i="22" s="1"/>
  <c r="P49" i="22" s="1"/>
  <c r="V49" i="22" s="1"/>
  <c r="U45" i="22"/>
  <c r="T45" i="22" s="1"/>
  <c r="S45" i="22" s="1"/>
  <c r="R45" i="22" s="1"/>
  <c r="P45" i="22" s="1"/>
  <c r="V45" i="22" s="1"/>
  <c r="D45" i="22" s="1"/>
  <c r="E45" i="22" s="1"/>
  <c r="F45" i="22" s="1"/>
  <c r="U41" i="22"/>
  <c r="T41" i="22" s="1"/>
  <c r="S41" i="22" s="1"/>
  <c r="R41" i="22" s="1"/>
  <c r="P41" i="22" s="1"/>
  <c r="V41" i="22" s="1"/>
  <c r="U37" i="22"/>
  <c r="T37" i="22" s="1"/>
  <c r="S37" i="22" s="1"/>
  <c r="R37" i="22" s="1"/>
  <c r="P37" i="22" s="1"/>
  <c r="V37" i="22" s="1"/>
  <c r="W37" i="22" s="1"/>
  <c r="U33" i="22"/>
  <c r="T33" i="22" s="1"/>
  <c r="S33" i="22" s="1"/>
  <c r="R33" i="22" s="1"/>
  <c r="P33" i="22" s="1"/>
  <c r="V33" i="22" s="1"/>
  <c r="W33" i="22" s="1"/>
  <c r="U29" i="22"/>
  <c r="T29" i="22" s="1"/>
  <c r="S29" i="22" s="1"/>
  <c r="R29" i="22" s="1"/>
  <c r="P29" i="22" s="1"/>
  <c r="AH32" i="7" s="1"/>
  <c r="U25" i="22"/>
  <c r="T25" i="22" s="1"/>
  <c r="S25" i="22" s="1"/>
  <c r="R25" i="22" s="1"/>
  <c r="P25" i="22" s="1"/>
  <c r="V25" i="22" s="1"/>
  <c r="U23" i="22"/>
  <c r="T23" i="22" s="1"/>
  <c r="S23" i="22" s="1"/>
  <c r="R23" i="22" s="1"/>
  <c r="P23" i="22" s="1"/>
  <c r="V23" i="22" s="1"/>
  <c r="W23" i="22" s="1"/>
  <c r="U20" i="22"/>
  <c r="T20" i="22" s="1"/>
  <c r="S20" i="22" s="1"/>
  <c r="R20" i="22" s="1"/>
  <c r="P20" i="22" s="1"/>
  <c r="V20" i="22" s="1"/>
  <c r="G367" i="20"/>
  <c r="CB367" i="6" s="1"/>
  <c r="AA367" i="20"/>
  <c r="Z367" i="20" s="1"/>
  <c r="Y367" i="20" s="1"/>
  <c r="H367" i="20"/>
  <c r="AA295" i="20"/>
  <c r="Z295" i="20" s="1"/>
  <c r="Y295" i="20" s="1"/>
  <c r="H295" i="20"/>
  <c r="G295" i="20"/>
  <c r="CB295" i="6" s="1"/>
  <c r="AA271" i="20"/>
  <c r="Z271" i="20" s="1"/>
  <c r="Y271" i="20" s="1"/>
  <c r="G271" i="20"/>
  <c r="CB271" i="6" s="1"/>
  <c r="H271" i="20"/>
  <c r="G267" i="20"/>
  <c r="CB267" i="6" s="1"/>
  <c r="AA267" i="20"/>
  <c r="Z267" i="20" s="1"/>
  <c r="Y267" i="20" s="1"/>
  <c r="H267" i="20"/>
  <c r="G247" i="20"/>
  <c r="CB247" i="6" s="1"/>
  <c r="H247" i="20"/>
  <c r="AA247" i="20"/>
  <c r="Z247" i="20" s="1"/>
  <c r="Y247" i="20" s="1"/>
  <c r="G175" i="20"/>
  <c r="CB175" i="6" s="1"/>
  <c r="H175" i="20"/>
  <c r="AA175" i="20"/>
  <c r="Z175" i="20" s="1"/>
  <c r="Y175" i="20" s="1"/>
  <c r="I169" i="20"/>
  <c r="B169" i="6" s="1"/>
  <c r="BA169" i="6" s="1"/>
  <c r="D169" i="6" s="1"/>
  <c r="J169" i="20"/>
  <c r="C169" i="6" s="1"/>
  <c r="AA161" i="20"/>
  <c r="Z161" i="20" s="1"/>
  <c r="Y161" i="20" s="1"/>
  <c r="H161" i="20"/>
  <c r="G161" i="20"/>
  <c r="CB161" i="6" s="1"/>
  <c r="H145" i="20"/>
  <c r="AA145" i="20"/>
  <c r="Z145" i="20" s="1"/>
  <c r="Y145" i="20" s="1"/>
  <c r="G145" i="20"/>
  <c r="CB145" i="6" s="1"/>
  <c r="G137" i="20"/>
  <c r="CB137" i="6" s="1"/>
  <c r="AA137" i="20"/>
  <c r="Z137" i="20" s="1"/>
  <c r="Y137" i="20" s="1"/>
  <c r="H137" i="20"/>
  <c r="G89" i="20"/>
  <c r="CB89" i="6" s="1"/>
  <c r="H89" i="20"/>
  <c r="AA89" i="20"/>
  <c r="Z89" i="20" s="1"/>
  <c r="Y89" i="20" s="1"/>
  <c r="AA81" i="20"/>
  <c r="Z81" i="20" s="1"/>
  <c r="Y81" i="20" s="1"/>
  <c r="H81" i="20"/>
  <c r="G81" i="20"/>
  <c r="CB81" i="6" s="1"/>
  <c r="G49" i="20"/>
  <c r="CB49" i="6" s="1"/>
  <c r="H49" i="20"/>
  <c r="AA49" i="20"/>
  <c r="Z49" i="20" s="1"/>
  <c r="Y49" i="20" s="1"/>
  <c r="AA270" i="20"/>
  <c r="Z270" i="20" s="1"/>
  <c r="Y270" i="20" s="1"/>
  <c r="H270" i="20"/>
  <c r="G270" i="20"/>
  <c r="CB270" i="6" s="1"/>
  <c r="AA143" i="20"/>
  <c r="Z143" i="20" s="1"/>
  <c r="Y143" i="20" s="1"/>
  <c r="H143" i="20"/>
  <c r="G143" i="20"/>
  <c r="CB143" i="6" s="1"/>
  <c r="AA135" i="20"/>
  <c r="Z135" i="20" s="1"/>
  <c r="Y135" i="20" s="1"/>
  <c r="G135" i="20"/>
  <c r="CB135" i="6" s="1"/>
  <c r="J127" i="20"/>
  <c r="C127" i="6" s="1"/>
  <c r="I127" i="20"/>
  <c r="B127" i="6" s="1"/>
  <c r="BA127" i="6" s="1"/>
  <c r="D127" i="6" s="1"/>
  <c r="G95" i="20"/>
  <c r="CB95" i="6" s="1"/>
  <c r="AA95" i="20"/>
  <c r="Z95" i="20" s="1"/>
  <c r="Y95" i="20" s="1"/>
  <c r="H95" i="20"/>
  <c r="AA18" i="20"/>
  <c r="Z18" i="20" s="1"/>
  <c r="Y18" i="20" s="1"/>
  <c r="G18" i="20"/>
  <c r="CB18" i="6" s="1"/>
  <c r="H18" i="20"/>
  <c r="H219" i="20"/>
  <c r="I320" i="18"/>
  <c r="J320" i="18"/>
  <c r="H35" i="20"/>
  <c r="H111" i="20"/>
  <c r="I321" i="20"/>
  <c r="B321" i="6" s="1"/>
  <c r="BA321" i="6" s="1"/>
  <c r="D321" i="6" s="1"/>
  <c r="J321" i="20"/>
  <c r="C321" i="6" s="1"/>
  <c r="AA180" i="20"/>
  <c r="Z180" i="20" s="1"/>
  <c r="Y180" i="20" s="1"/>
  <c r="G180" i="20"/>
  <c r="CB180" i="6" s="1"/>
  <c r="I27" i="20"/>
  <c r="B27" i="6" s="1"/>
  <c r="BA27" i="6" s="1"/>
  <c r="D27" i="6" s="1"/>
  <c r="J27" i="20"/>
  <c r="C27" i="6" s="1"/>
  <c r="H371" i="20"/>
  <c r="H349" i="20"/>
  <c r="H328" i="20"/>
  <c r="H193" i="20"/>
  <c r="H107" i="20"/>
  <c r="H99" i="20"/>
  <c r="H83" i="20"/>
  <c r="R379" i="20"/>
  <c r="S383" i="20"/>
  <c r="S381" i="20"/>
  <c r="S382" i="20"/>
  <c r="J139" i="18"/>
  <c r="I139" i="18"/>
  <c r="H283" i="20"/>
  <c r="J177" i="20"/>
  <c r="C177" i="6" s="1"/>
  <c r="I177" i="20"/>
  <c r="B177" i="6" s="1"/>
  <c r="BA177" i="6" s="1"/>
  <c r="D177" i="6" s="1"/>
  <c r="H307" i="20"/>
  <c r="H205" i="20"/>
  <c r="H368" i="20"/>
  <c r="H373" i="20"/>
  <c r="G373" i="20"/>
  <c r="CB373" i="6" s="1"/>
  <c r="AA373" i="20"/>
  <c r="Z373" i="20" s="1"/>
  <c r="Y373" i="20" s="1"/>
  <c r="G93" i="20"/>
  <c r="CB93" i="6" s="1"/>
  <c r="AA93" i="20"/>
  <c r="Z93" i="20" s="1"/>
  <c r="Y93" i="20" s="1"/>
  <c r="H93" i="20"/>
  <c r="G21" i="20"/>
  <c r="CB21" i="6" s="1"/>
  <c r="AA21" i="20"/>
  <c r="Z21" i="20" s="1"/>
  <c r="Y21" i="20" s="1"/>
  <c r="H21" i="20"/>
  <c r="AA360" i="20"/>
  <c r="Z360" i="20" s="1"/>
  <c r="Y360" i="20" s="1"/>
  <c r="H360" i="20"/>
  <c r="G360" i="20"/>
  <c r="CB360" i="6" s="1"/>
  <c r="AA348" i="20"/>
  <c r="Z348" i="20" s="1"/>
  <c r="Y348" i="20" s="1"/>
  <c r="G348" i="20"/>
  <c r="CB348" i="6" s="1"/>
  <c r="H348" i="20"/>
  <c r="AA316" i="20"/>
  <c r="Z316" i="20" s="1"/>
  <c r="Y316" i="20" s="1"/>
  <c r="H316" i="20"/>
  <c r="G316" i="20"/>
  <c r="CB316" i="6" s="1"/>
  <c r="G357" i="20"/>
  <c r="CB357" i="6" s="1"/>
  <c r="AA357" i="20"/>
  <c r="Z357" i="20" s="1"/>
  <c r="Y357" i="20" s="1"/>
  <c r="H357" i="20"/>
  <c r="AA85" i="20"/>
  <c r="Z85" i="20" s="1"/>
  <c r="Y85" i="20" s="1"/>
  <c r="G85" i="20"/>
  <c r="CB85" i="6" s="1"/>
  <c r="H85" i="20"/>
  <c r="AA45" i="20"/>
  <c r="Z45" i="20" s="1"/>
  <c r="Y45" i="20" s="1"/>
  <c r="G45" i="20"/>
  <c r="CB45" i="6" s="1"/>
  <c r="H45" i="20"/>
  <c r="AA376" i="20"/>
  <c r="Z376" i="20" s="1"/>
  <c r="Y376" i="20" s="1"/>
  <c r="G376" i="20"/>
  <c r="CB376" i="6" s="1"/>
  <c r="H376" i="20"/>
  <c r="H201" i="20"/>
  <c r="AA15" i="17"/>
  <c r="AM10" i="17"/>
  <c r="G15" i="17"/>
  <c r="BZ15" i="6" s="1"/>
  <c r="F382" i="17"/>
  <c r="H15" i="17"/>
  <c r="F9" i="17"/>
  <c r="F383" i="17"/>
  <c r="AK10" i="17"/>
  <c r="AK12" i="17" s="1"/>
  <c r="AK13" i="17" s="1"/>
  <c r="F381" i="17"/>
  <c r="H23" i="20"/>
  <c r="AA335" i="20"/>
  <c r="Z335" i="20" s="1"/>
  <c r="Y335" i="20" s="1"/>
  <c r="G335" i="20"/>
  <c r="CB335" i="6" s="1"/>
  <c r="H335" i="20"/>
  <c r="AA327" i="20"/>
  <c r="Z327" i="20" s="1"/>
  <c r="Y327" i="20" s="1"/>
  <c r="H327" i="20"/>
  <c r="G327" i="20"/>
  <c r="CB327" i="6" s="1"/>
  <c r="G291" i="20"/>
  <c r="CB291" i="6" s="1"/>
  <c r="AA291" i="20"/>
  <c r="Z291" i="20" s="1"/>
  <c r="Y291" i="20" s="1"/>
  <c r="H291" i="20"/>
  <c r="AA255" i="20"/>
  <c r="Z255" i="20" s="1"/>
  <c r="Y255" i="20" s="1"/>
  <c r="G255" i="20"/>
  <c r="CB255" i="6" s="1"/>
  <c r="H255" i="20"/>
  <c r="G239" i="20"/>
  <c r="CB239" i="6" s="1"/>
  <c r="AA239" i="20"/>
  <c r="Z239" i="20" s="1"/>
  <c r="Y239" i="20" s="1"/>
  <c r="H239" i="20"/>
  <c r="G231" i="20"/>
  <c r="CB231" i="6" s="1"/>
  <c r="AA231" i="20"/>
  <c r="Z231" i="20" s="1"/>
  <c r="Y231" i="20" s="1"/>
  <c r="H231" i="20"/>
  <c r="AA227" i="20"/>
  <c r="Z227" i="20" s="1"/>
  <c r="Y227" i="20" s="1"/>
  <c r="G227" i="20"/>
  <c r="CB227" i="6" s="1"/>
  <c r="G223" i="20"/>
  <c r="CB223" i="6" s="1"/>
  <c r="AA223" i="20"/>
  <c r="Z223" i="20" s="1"/>
  <c r="Y223" i="20" s="1"/>
  <c r="H223" i="20"/>
  <c r="AA191" i="20"/>
  <c r="Z191" i="20" s="1"/>
  <c r="Y191" i="20" s="1"/>
  <c r="G191" i="20"/>
  <c r="CB191" i="6" s="1"/>
  <c r="H191" i="20"/>
  <c r="AA187" i="20"/>
  <c r="Z187" i="20" s="1"/>
  <c r="Y187" i="20" s="1"/>
  <c r="G187" i="20"/>
  <c r="CB187" i="6" s="1"/>
  <c r="H187" i="20"/>
  <c r="AA179" i="20"/>
  <c r="Z179" i="20" s="1"/>
  <c r="Y179" i="20" s="1"/>
  <c r="G179" i="20"/>
  <c r="CB179" i="6" s="1"/>
  <c r="H179" i="20"/>
  <c r="G57" i="20"/>
  <c r="CB57" i="6" s="1"/>
  <c r="AA57" i="20"/>
  <c r="Z57" i="20" s="1"/>
  <c r="Y57" i="20" s="1"/>
  <c r="H57" i="20"/>
  <c r="G41" i="20"/>
  <c r="CB41" i="6" s="1"/>
  <c r="AA41" i="20"/>
  <c r="Z41" i="20" s="1"/>
  <c r="Y41" i="20" s="1"/>
  <c r="H41" i="20"/>
  <c r="G254" i="20"/>
  <c r="CB254" i="6" s="1"/>
  <c r="AA254" i="20"/>
  <c r="Z254" i="20" s="1"/>
  <c r="Y254" i="20" s="1"/>
  <c r="H254" i="20"/>
  <c r="G234" i="20"/>
  <c r="CB234" i="6" s="1"/>
  <c r="AA234" i="20"/>
  <c r="Z234" i="20" s="1"/>
  <c r="Y234" i="20" s="1"/>
  <c r="H234" i="20"/>
  <c r="V379" i="18"/>
  <c r="D39" i="19"/>
  <c r="P382" i="18"/>
  <c r="P383" i="18"/>
  <c r="P381" i="18"/>
  <c r="H211" i="20"/>
  <c r="I189" i="20"/>
  <c r="B189" i="6" s="1"/>
  <c r="BA189" i="6" s="1"/>
  <c r="D189" i="6" s="1"/>
  <c r="J189" i="20"/>
  <c r="C189" i="6" s="1"/>
  <c r="H91" i="20"/>
  <c r="H343" i="20"/>
  <c r="H213" i="20"/>
  <c r="H251" i="20"/>
  <c r="J356" i="18"/>
  <c r="I356" i="18"/>
  <c r="H203" i="20"/>
  <c r="H109" i="20"/>
  <c r="H131" i="20"/>
  <c r="J31" i="20"/>
  <c r="C31" i="6" s="1"/>
  <c r="I31" i="20"/>
  <c r="B31" i="6" s="1"/>
  <c r="BA31" i="6" s="1"/>
  <c r="D31" i="6" s="1"/>
  <c r="H301" i="20"/>
  <c r="J300" i="18"/>
  <c r="I300" i="18"/>
  <c r="H199" i="20"/>
  <c r="H285" i="20"/>
  <c r="J117" i="20"/>
  <c r="C117" i="6" s="1"/>
  <c r="I117" i="20"/>
  <c r="B117" i="6" s="1"/>
  <c r="BA117" i="6" s="1"/>
  <c r="D117" i="6" s="1"/>
  <c r="H123" i="20"/>
  <c r="G345" i="20"/>
  <c r="CB345" i="6" s="1"/>
  <c r="AA345" i="20"/>
  <c r="Z345" i="20" s="1"/>
  <c r="Y345" i="20" s="1"/>
  <c r="H345" i="20"/>
  <c r="D77" i="20"/>
  <c r="E77" i="20" s="1"/>
  <c r="F77" i="20" s="1"/>
  <c r="W77" i="20"/>
  <c r="AA304" i="20"/>
  <c r="Z304" i="20" s="1"/>
  <c r="Y304" i="20" s="1"/>
  <c r="G304" i="20"/>
  <c r="CB304" i="6" s="1"/>
  <c r="H304" i="20"/>
  <c r="D240" i="20"/>
  <c r="E240" i="20" s="1"/>
  <c r="F240" i="20" s="1"/>
  <c r="W240" i="20"/>
  <c r="W171" i="20"/>
  <c r="D171" i="20"/>
  <c r="E171" i="20" s="1"/>
  <c r="F171" i="20" s="1"/>
  <c r="D325" i="20"/>
  <c r="E325" i="20" s="1"/>
  <c r="F325" i="20" s="1"/>
  <c r="W325" i="20"/>
  <c r="W352" i="20"/>
  <c r="D352" i="20"/>
  <c r="E352" i="20" s="1"/>
  <c r="F352" i="20" s="1"/>
  <c r="AA344" i="20"/>
  <c r="Z344" i="20" s="1"/>
  <c r="Y344" i="20" s="1"/>
  <c r="G344" i="20"/>
  <c r="CB344" i="6" s="1"/>
  <c r="H344" i="20"/>
  <c r="G308" i="20"/>
  <c r="CB308" i="6" s="1"/>
  <c r="AA308" i="20"/>
  <c r="Z308" i="20" s="1"/>
  <c r="Y308" i="20" s="1"/>
  <c r="H308" i="20"/>
  <c r="W300" i="20"/>
  <c r="D300" i="20"/>
  <c r="E300" i="20" s="1"/>
  <c r="F300" i="20" s="1"/>
  <c r="D208" i="20"/>
  <c r="E208" i="20" s="1"/>
  <c r="F208" i="20" s="1"/>
  <c r="W208" i="20"/>
  <c r="D163" i="20"/>
  <c r="E163" i="20" s="1"/>
  <c r="F163" i="20" s="1"/>
  <c r="W163" i="20"/>
  <c r="I106" i="20"/>
  <c r="B106" i="6" s="1"/>
  <c r="BA106" i="6" s="1"/>
  <c r="D106" i="6" s="1"/>
  <c r="I110" i="20"/>
  <c r="B110" i="6" s="1"/>
  <c r="BA110" i="6" s="1"/>
  <c r="D110" i="6" s="1"/>
  <c r="J62" i="20"/>
  <c r="C62" i="6" s="1"/>
  <c r="I164" i="20"/>
  <c r="B164" i="6" s="1"/>
  <c r="BA164" i="6" s="1"/>
  <c r="D164" i="6" s="1"/>
  <c r="J48" i="20"/>
  <c r="C48" i="6" s="1"/>
  <c r="AT15" i="7"/>
  <c r="AE151" i="23"/>
  <c r="AE279" i="23"/>
  <c r="H92" i="20"/>
  <c r="I114" i="20"/>
  <c r="B114" i="6" s="1"/>
  <c r="BA114" i="6" s="1"/>
  <c r="D114" i="6" s="1"/>
  <c r="J114" i="20"/>
  <c r="C114" i="6" s="1"/>
  <c r="H140" i="20"/>
  <c r="H108" i="20"/>
  <c r="Q381" i="23"/>
  <c r="J180" i="20"/>
  <c r="C180" i="6" s="1"/>
  <c r="AK5" i="18"/>
  <c r="I149" i="20"/>
  <c r="B149" i="6" s="1"/>
  <c r="BA149" i="6" s="1"/>
  <c r="D149" i="6" s="1"/>
  <c r="J149" i="20"/>
  <c r="C149" i="6" s="1"/>
  <c r="J319" i="20"/>
  <c r="C319" i="6" s="1"/>
  <c r="I319" i="20"/>
  <c r="B319" i="6" s="1"/>
  <c r="BA319" i="6" s="1"/>
  <c r="D319" i="6" s="1"/>
  <c r="J196" i="20"/>
  <c r="C196" i="6" s="1"/>
  <c r="I196" i="20"/>
  <c r="B196" i="6" s="1"/>
  <c r="BA196" i="6" s="1"/>
  <c r="D196" i="6" s="1"/>
  <c r="J241" i="20"/>
  <c r="C241" i="6" s="1"/>
  <c r="I241" i="20"/>
  <c r="B241" i="6" s="1"/>
  <c r="BA241" i="6" s="1"/>
  <c r="D241" i="6" s="1"/>
  <c r="I288" i="20"/>
  <c r="B288" i="6" s="1"/>
  <c r="BA288" i="6" s="1"/>
  <c r="D288" i="6" s="1"/>
  <c r="J288" i="20"/>
  <c r="C288" i="6" s="1"/>
  <c r="J258" i="20"/>
  <c r="C258" i="6" s="1"/>
  <c r="I258" i="20"/>
  <c r="B258" i="6" s="1"/>
  <c r="BA258" i="6" s="1"/>
  <c r="D258" i="6" s="1"/>
  <c r="J210" i="20"/>
  <c r="C210" i="6" s="1"/>
  <c r="I210" i="20"/>
  <c r="B210" i="6" s="1"/>
  <c r="BA210" i="6" s="1"/>
  <c r="D210" i="6" s="1"/>
  <c r="AY15" i="7"/>
  <c r="D15" i="18"/>
  <c r="J60" i="20"/>
  <c r="C60" i="6" s="1"/>
  <c r="I60" i="20"/>
  <c r="B60" i="6" s="1"/>
  <c r="BA60" i="6" s="1"/>
  <c r="D60" i="6" s="1"/>
  <c r="I227" i="20"/>
  <c r="B227" i="6" s="1"/>
  <c r="BA227" i="6" s="1"/>
  <c r="D227" i="6" s="1"/>
  <c r="J227" i="20"/>
  <c r="C227" i="6" s="1"/>
  <c r="J166" i="20"/>
  <c r="C166" i="6" s="1"/>
  <c r="I166" i="20"/>
  <c r="B166" i="6" s="1"/>
  <c r="BA166" i="6" s="1"/>
  <c r="D166" i="6" s="1"/>
  <c r="V15" i="20"/>
  <c r="J46" i="20"/>
  <c r="C46" i="6" s="1"/>
  <c r="I46" i="20"/>
  <c r="B46" i="6" s="1"/>
  <c r="BA46" i="6" s="1"/>
  <c r="D46" i="6" s="1"/>
  <c r="J29" i="20"/>
  <c r="C29" i="6" s="1"/>
  <c r="I29" i="20"/>
  <c r="B29" i="6" s="1"/>
  <c r="BA29" i="6" s="1"/>
  <c r="D29" i="6" s="1"/>
  <c r="J105" i="20"/>
  <c r="C105" i="6" s="1"/>
  <c r="I105" i="20"/>
  <c r="B105" i="6" s="1"/>
  <c r="BA105" i="6" s="1"/>
  <c r="D105" i="6" s="1"/>
  <c r="Q382" i="23"/>
  <c r="Q383" i="23"/>
  <c r="I135" i="20"/>
  <c r="B135" i="6" s="1"/>
  <c r="BA135" i="6" s="1"/>
  <c r="D135" i="6" s="1"/>
  <c r="J135" i="20"/>
  <c r="C135" i="6" s="1"/>
  <c r="J74" i="20"/>
  <c r="C74" i="6" s="1"/>
  <c r="I74" i="20"/>
  <c r="B74" i="6" s="1"/>
  <c r="BA74" i="6" s="1"/>
  <c r="D74" i="6" s="1"/>
  <c r="G86" i="20" l="1"/>
  <c r="CB86" i="6" s="1"/>
  <c r="H86" i="20"/>
  <c r="J132" i="20"/>
  <c r="C132" i="6" s="1"/>
  <c r="I132" i="20"/>
  <c r="B132" i="6" s="1"/>
  <c r="BA132" i="6" s="1"/>
  <c r="D132" i="6" s="1"/>
  <c r="J186" i="20"/>
  <c r="C186" i="6" s="1"/>
  <c r="I186" i="20"/>
  <c r="B186" i="6" s="1"/>
  <c r="BA186" i="6" s="1"/>
  <c r="D186" i="6" s="1"/>
  <c r="AA86" i="20"/>
  <c r="Z86" i="20" s="1"/>
  <c r="Y86" i="20" s="1"/>
  <c r="I118" i="20"/>
  <c r="B118" i="6" s="1"/>
  <c r="BA118" i="6" s="1"/>
  <c r="D118" i="6" s="1"/>
  <c r="J118" i="20"/>
  <c r="C118" i="6" s="1"/>
  <c r="I52" i="20"/>
  <c r="B52" i="6" s="1"/>
  <c r="BA52" i="6" s="1"/>
  <c r="D52" i="6" s="1"/>
  <c r="J52" i="20"/>
  <c r="C52" i="6" s="1"/>
  <c r="I358" i="20"/>
  <c r="B358" i="6" s="1"/>
  <c r="BA358" i="6" s="1"/>
  <c r="D358" i="6" s="1"/>
  <c r="J358" i="20"/>
  <c r="C358" i="6" s="1"/>
  <c r="G68" i="20"/>
  <c r="CB68" i="6" s="1"/>
  <c r="H68" i="20"/>
  <c r="AA68" i="20"/>
  <c r="Z68" i="20" s="1"/>
  <c r="Y68" i="20" s="1"/>
  <c r="J150" i="20"/>
  <c r="C150" i="6" s="1"/>
  <c r="I150" i="20"/>
  <c r="B150" i="6" s="1"/>
  <c r="BA150" i="6" s="1"/>
  <c r="D150" i="6" s="1"/>
  <c r="I202" i="20"/>
  <c r="B202" i="6" s="1"/>
  <c r="BA202" i="6" s="1"/>
  <c r="D202" i="6" s="1"/>
  <c r="J202" i="20"/>
  <c r="C202" i="6" s="1"/>
  <c r="I206" i="20"/>
  <c r="B206" i="6" s="1"/>
  <c r="BA206" i="6" s="1"/>
  <c r="D206" i="6" s="1"/>
  <c r="J206" i="20"/>
  <c r="C206" i="6" s="1"/>
  <c r="I238" i="20"/>
  <c r="B238" i="6" s="1"/>
  <c r="BA238" i="6" s="1"/>
  <c r="D238" i="6" s="1"/>
  <c r="J238" i="20"/>
  <c r="C238" i="6" s="1"/>
  <c r="I266" i="20"/>
  <c r="B266" i="6" s="1"/>
  <c r="BA266" i="6" s="1"/>
  <c r="D266" i="6" s="1"/>
  <c r="J266" i="20"/>
  <c r="C266" i="6" s="1"/>
  <c r="I366" i="20"/>
  <c r="B366" i="6" s="1"/>
  <c r="BA366" i="6" s="1"/>
  <c r="D366" i="6" s="1"/>
  <c r="J366" i="20"/>
  <c r="C366" i="6" s="1"/>
  <c r="D43" i="6"/>
  <c r="J272" i="20"/>
  <c r="C272" i="6" s="1"/>
  <c r="W244" i="22"/>
  <c r="Q21" i="24"/>
  <c r="I339" i="20"/>
  <c r="B339" i="6" s="1"/>
  <c r="BA339" i="6" s="1"/>
  <c r="D339" i="6" s="1"/>
  <c r="J363" i="20"/>
  <c r="C363" i="6" s="1"/>
  <c r="D128" i="22"/>
  <c r="E128" i="22" s="1"/>
  <c r="F128" i="22" s="1"/>
  <c r="G128" i="22" s="1"/>
  <c r="CC128" i="6" s="1"/>
  <c r="J72" i="20"/>
  <c r="C72" i="6" s="1"/>
  <c r="I72" i="20"/>
  <c r="B72" i="6" s="1"/>
  <c r="BA72" i="6" s="1"/>
  <c r="D72" i="6" s="1"/>
  <c r="J36" i="20"/>
  <c r="C36" i="6" s="1"/>
  <c r="I36" i="20"/>
  <c r="B36" i="6" s="1"/>
  <c r="BA36" i="6" s="1"/>
  <c r="D36" i="6" s="1"/>
  <c r="I268" i="20"/>
  <c r="J268" i="20"/>
  <c r="C268" i="6" s="1"/>
  <c r="AG383" i="20"/>
  <c r="AF15" i="20"/>
  <c r="AG382" i="20"/>
  <c r="AG381" i="20"/>
  <c r="AH36" i="7"/>
  <c r="W86" i="22"/>
  <c r="W336" i="22"/>
  <c r="D136" i="22"/>
  <c r="E136" i="22" s="1"/>
  <c r="F136" i="22" s="1"/>
  <c r="G136" i="22" s="1"/>
  <c r="CC136" i="6" s="1"/>
  <c r="V119" i="22"/>
  <c r="W119" i="22" s="1"/>
  <c r="D123" i="22"/>
  <c r="E123" i="22" s="1"/>
  <c r="F123" i="22" s="1"/>
  <c r="G123" i="22" s="1"/>
  <c r="CC123" i="6" s="1"/>
  <c r="W300" i="22"/>
  <c r="I302" i="20"/>
  <c r="B302" i="6" s="1"/>
  <c r="BA302" i="6" s="1"/>
  <c r="D302" i="6" s="1"/>
  <c r="D130" i="22"/>
  <c r="E130" i="22" s="1"/>
  <c r="F130" i="22" s="1"/>
  <c r="AA130" i="22" s="1"/>
  <c r="Z130" i="22" s="1"/>
  <c r="Y130" i="22" s="1"/>
  <c r="W111" i="22"/>
  <c r="W286" i="22"/>
  <c r="D331" i="22"/>
  <c r="E331" i="22" s="1"/>
  <c r="F331" i="22" s="1"/>
  <c r="AA331" i="22" s="1"/>
  <c r="Z331" i="22" s="1"/>
  <c r="Y331" i="22" s="1"/>
  <c r="W156" i="22"/>
  <c r="V29" i="22"/>
  <c r="W29" i="22" s="1"/>
  <c r="W132" i="22"/>
  <c r="D51" i="22"/>
  <c r="E51" i="22" s="1"/>
  <c r="F51" i="22" s="1"/>
  <c r="G51" i="22" s="1"/>
  <c r="CC51" i="6" s="1"/>
  <c r="W276" i="22"/>
  <c r="W118" i="22"/>
  <c r="W158" i="22"/>
  <c r="W27" i="22"/>
  <c r="W179" i="22"/>
  <c r="D211" i="22"/>
  <c r="E211" i="22" s="1"/>
  <c r="F211" i="22" s="1"/>
  <c r="AA211" i="22" s="1"/>
  <c r="Z211" i="22" s="1"/>
  <c r="Y211" i="22" s="1"/>
  <c r="I333" i="20"/>
  <c r="B333" i="6" s="1"/>
  <c r="BA333" i="6" s="1"/>
  <c r="D333" i="6" s="1"/>
  <c r="D64" i="22"/>
  <c r="E64" i="22" s="1"/>
  <c r="F64" i="22" s="1"/>
  <c r="AA64" i="22" s="1"/>
  <c r="Z64" i="22" s="1"/>
  <c r="Y64" i="22" s="1"/>
  <c r="D71" i="22"/>
  <c r="E71" i="22" s="1"/>
  <c r="F71" i="22" s="1"/>
  <c r="G71" i="22" s="1"/>
  <c r="CC71" i="6" s="1"/>
  <c r="W361" i="22"/>
  <c r="W90" i="22"/>
  <c r="W167" i="22"/>
  <c r="D287" i="22"/>
  <c r="E287" i="22" s="1"/>
  <c r="F287" i="22" s="1"/>
  <c r="AA287" i="22" s="1"/>
  <c r="Z287" i="22" s="1"/>
  <c r="Y287" i="22" s="1"/>
  <c r="D335" i="22"/>
  <c r="E335" i="22" s="1"/>
  <c r="F335" i="22" s="1"/>
  <c r="G335" i="22" s="1"/>
  <c r="CC335" i="6" s="1"/>
  <c r="W257" i="22"/>
  <c r="D96" i="22"/>
  <c r="E96" i="22" s="1"/>
  <c r="F96" i="22" s="1"/>
  <c r="G96" i="22" s="1"/>
  <c r="CC96" i="6" s="1"/>
  <c r="D208" i="22"/>
  <c r="E208" i="22" s="1"/>
  <c r="F208" i="22" s="1"/>
  <c r="AA208" i="22" s="1"/>
  <c r="Z208" i="22" s="1"/>
  <c r="Y208" i="22" s="1"/>
  <c r="W295" i="22"/>
  <c r="W317" i="22"/>
  <c r="D30" i="22"/>
  <c r="E30" i="22" s="1"/>
  <c r="F30" i="22" s="1"/>
  <c r="G30" i="22" s="1"/>
  <c r="CC30" i="6" s="1"/>
  <c r="D190" i="22"/>
  <c r="E190" i="22" s="1"/>
  <c r="F190" i="22" s="1"/>
  <c r="H190" i="22" s="1"/>
  <c r="W374" i="22"/>
  <c r="D91" i="22"/>
  <c r="E91" i="22" s="1"/>
  <c r="F91" i="22" s="1"/>
  <c r="G91" i="22" s="1"/>
  <c r="CC91" i="6" s="1"/>
  <c r="W315" i="22"/>
  <c r="D68" i="22"/>
  <c r="E68" i="22" s="1"/>
  <c r="F68" i="22" s="1"/>
  <c r="AA68" i="22" s="1"/>
  <c r="Z68" i="22" s="1"/>
  <c r="Y68" i="22" s="1"/>
  <c r="D228" i="22"/>
  <c r="E228" i="22" s="1"/>
  <c r="F228" i="22" s="1"/>
  <c r="AA228" i="22" s="1"/>
  <c r="Z228" i="22" s="1"/>
  <c r="Y228" i="22" s="1"/>
  <c r="W356" i="22"/>
  <c r="D37" i="22"/>
  <c r="E37" i="22" s="1"/>
  <c r="F37" i="22" s="1"/>
  <c r="AA37" i="22" s="1"/>
  <c r="Z37" i="22" s="1"/>
  <c r="Y37" i="22" s="1"/>
  <c r="D46" i="22"/>
  <c r="E46" i="22" s="1"/>
  <c r="F46" i="22" s="1"/>
  <c r="H46" i="22" s="1"/>
  <c r="D236" i="22"/>
  <c r="E236" i="22" s="1"/>
  <c r="F236" i="22" s="1"/>
  <c r="AA236" i="22" s="1"/>
  <c r="Z236" i="22" s="1"/>
  <c r="Y236" i="22" s="1"/>
  <c r="W268" i="22"/>
  <c r="D78" i="22"/>
  <c r="E78" i="22" s="1"/>
  <c r="F78" i="22" s="1"/>
  <c r="AA78" i="22" s="1"/>
  <c r="Z78" i="22" s="1"/>
  <c r="Y78" i="22" s="1"/>
  <c r="D230" i="22"/>
  <c r="E230" i="22" s="1"/>
  <c r="F230" i="22" s="1"/>
  <c r="H230" i="22" s="1"/>
  <c r="W131" i="22"/>
  <c r="W371" i="22"/>
  <c r="W116" i="22"/>
  <c r="W364" i="22"/>
  <c r="W142" i="22"/>
  <c r="D251" i="22"/>
  <c r="E251" i="22" s="1"/>
  <c r="F251" i="22" s="1"/>
  <c r="G251" i="22" s="1"/>
  <c r="CC251" i="6" s="1"/>
  <c r="D52" i="22"/>
  <c r="E52" i="22" s="1"/>
  <c r="F52" i="22" s="1"/>
  <c r="H52" i="22" s="1"/>
  <c r="W308" i="22"/>
  <c r="W45" i="22"/>
  <c r="D137" i="22"/>
  <c r="E137" i="22" s="1"/>
  <c r="F137" i="22" s="1"/>
  <c r="AA137" i="22" s="1"/>
  <c r="Z137" i="22" s="1"/>
  <c r="Y137" i="22" s="1"/>
  <c r="D189" i="22"/>
  <c r="E189" i="22" s="1"/>
  <c r="F189" i="22" s="1"/>
  <c r="H189" i="22" s="1"/>
  <c r="W237" i="22"/>
  <c r="W357" i="22"/>
  <c r="W365" i="22"/>
  <c r="W101" i="22"/>
  <c r="W261" i="22"/>
  <c r="W234" i="22"/>
  <c r="W330" i="22"/>
  <c r="W16" i="22"/>
  <c r="D79" i="22"/>
  <c r="E79" i="22" s="1"/>
  <c r="F79" i="22" s="1"/>
  <c r="G79" i="22" s="1"/>
  <c r="CC79" i="6" s="1"/>
  <c r="W95" i="22"/>
  <c r="D151" i="22"/>
  <c r="E151" i="22" s="1"/>
  <c r="F151" i="22" s="1"/>
  <c r="AA151" i="22" s="1"/>
  <c r="Z151" i="22" s="1"/>
  <c r="Y151" i="22" s="1"/>
  <c r="D239" i="22"/>
  <c r="E239" i="22" s="1"/>
  <c r="F239" i="22" s="1"/>
  <c r="AA239" i="22" s="1"/>
  <c r="Z239" i="22" s="1"/>
  <c r="Y239" i="22" s="1"/>
  <c r="D303" i="22"/>
  <c r="E303" i="22" s="1"/>
  <c r="F303" i="22" s="1"/>
  <c r="G303" i="22" s="1"/>
  <c r="CC303" i="6" s="1"/>
  <c r="W351" i="22"/>
  <c r="W184" i="22"/>
  <c r="W264" i="22"/>
  <c r="D312" i="22"/>
  <c r="E312" i="22" s="1"/>
  <c r="F312" i="22" s="1"/>
  <c r="AA312" i="22" s="1"/>
  <c r="Z312" i="22" s="1"/>
  <c r="Y312" i="22" s="1"/>
  <c r="W89" i="22"/>
  <c r="W319" i="22"/>
  <c r="D304" i="22"/>
  <c r="E304" i="22" s="1"/>
  <c r="F304" i="22" s="1"/>
  <c r="G304" i="22" s="1"/>
  <c r="CC304" i="6" s="1"/>
  <c r="W194" i="22"/>
  <c r="W314" i="22"/>
  <c r="W271" i="22"/>
  <c r="D80" i="22"/>
  <c r="E80" i="22" s="1"/>
  <c r="F80" i="22" s="1"/>
  <c r="G80" i="22" s="1"/>
  <c r="CC80" i="6" s="1"/>
  <c r="D160" i="22"/>
  <c r="E160" i="22" s="1"/>
  <c r="F160" i="22" s="1"/>
  <c r="G160" i="22" s="1"/>
  <c r="CC160" i="6" s="1"/>
  <c r="D242" i="22"/>
  <c r="E242" i="22" s="1"/>
  <c r="F242" i="22" s="1"/>
  <c r="G242" i="22" s="1"/>
  <c r="CC242" i="6" s="1"/>
  <c r="D375" i="22"/>
  <c r="E375" i="22" s="1"/>
  <c r="F375" i="22" s="1"/>
  <c r="AA375" i="22" s="1"/>
  <c r="Z375" i="22" s="1"/>
  <c r="Y375" i="22" s="1"/>
  <c r="D104" i="22"/>
  <c r="E104" i="22" s="1"/>
  <c r="F104" i="22" s="1"/>
  <c r="G104" i="22" s="1"/>
  <c r="CC104" i="6" s="1"/>
  <c r="W224" i="22"/>
  <c r="D368" i="22"/>
  <c r="E368" i="22" s="1"/>
  <c r="F368" i="22" s="1"/>
  <c r="AA368" i="22" s="1"/>
  <c r="Z368" i="22" s="1"/>
  <c r="Y368" i="22" s="1"/>
  <c r="I284" i="20"/>
  <c r="B284" i="6" s="1"/>
  <c r="BA284" i="6" s="1"/>
  <c r="D284" i="6" s="1"/>
  <c r="W297" i="22"/>
  <c r="W202" i="22"/>
  <c r="W113" i="22"/>
  <c r="D57" i="22"/>
  <c r="E57" i="22" s="1"/>
  <c r="F57" i="22" s="1"/>
  <c r="AA57" i="22" s="1"/>
  <c r="Z57" i="22" s="1"/>
  <c r="Y57" i="22" s="1"/>
  <c r="D169" i="22"/>
  <c r="E169" i="22" s="1"/>
  <c r="F169" i="22" s="1"/>
  <c r="G169" i="22" s="1"/>
  <c r="CC169" i="6" s="1"/>
  <c r="W146" i="22"/>
  <c r="D209" i="22"/>
  <c r="E209" i="22" s="1"/>
  <c r="F209" i="22" s="1"/>
  <c r="H209" i="22" s="1"/>
  <c r="D178" i="22"/>
  <c r="E178" i="22" s="1"/>
  <c r="F178" i="22" s="1"/>
  <c r="G178" i="22" s="1"/>
  <c r="CC178" i="6" s="1"/>
  <c r="D346" i="22"/>
  <c r="E346" i="22" s="1"/>
  <c r="F346" i="22" s="1"/>
  <c r="AA346" i="22" s="1"/>
  <c r="Z346" i="22" s="1"/>
  <c r="Y346" i="22" s="1"/>
  <c r="W245" i="22"/>
  <c r="W309" i="22"/>
  <c r="W341" i="22"/>
  <c r="D21" i="22"/>
  <c r="E21" i="22" s="1"/>
  <c r="F21" i="22" s="1"/>
  <c r="G21" i="22" s="1"/>
  <c r="CC21" i="6" s="1"/>
  <c r="D110" i="22"/>
  <c r="E110" i="22" s="1"/>
  <c r="F110" i="22" s="1"/>
  <c r="G110" i="22" s="1"/>
  <c r="CC110" i="6" s="1"/>
  <c r="D182" i="22"/>
  <c r="E182" i="22" s="1"/>
  <c r="F182" i="22" s="1"/>
  <c r="AA182" i="22" s="1"/>
  <c r="Z182" i="22" s="1"/>
  <c r="Y182" i="22" s="1"/>
  <c r="D238" i="22"/>
  <c r="E238" i="22" s="1"/>
  <c r="F238" i="22" s="1"/>
  <c r="G238" i="22" s="1"/>
  <c r="CC238" i="6" s="1"/>
  <c r="W326" i="22"/>
  <c r="D350" i="22"/>
  <c r="E350" i="22" s="1"/>
  <c r="F350" i="22" s="1"/>
  <c r="G350" i="22" s="1"/>
  <c r="CC350" i="6" s="1"/>
  <c r="D139" i="22"/>
  <c r="E139" i="22" s="1"/>
  <c r="F139" i="22" s="1"/>
  <c r="AA139" i="22" s="1"/>
  <c r="Z139" i="22" s="1"/>
  <c r="Y139" i="22" s="1"/>
  <c r="D187" i="22"/>
  <c r="E187" i="22" s="1"/>
  <c r="F187" i="22" s="1"/>
  <c r="AA187" i="22" s="1"/>
  <c r="Z187" i="22" s="1"/>
  <c r="Y187" i="22" s="1"/>
  <c r="D323" i="22"/>
  <c r="E323" i="22" s="1"/>
  <c r="F323" i="22" s="1"/>
  <c r="AA323" i="22" s="1"/>
  <c r="Z323" i="22" s="1"/>
  <c r="Y323" i="22" s="1"/>
  <c r="D84" i="22"/>
  <c r="E84" i="22" s="1"/>
  <c r="F84" i="22" s="1"/>
  <c r="AA84" i="22" s="1"/>
  <c r="Z84" i="22" s="1"/>
  <c r="Y84" i="22" s="1"/>
  <c r="W85" i="22"/>
  <c r="D76" i="22"/>
  <c r="E76" i="22" s="1"/>
  <c r="F76" i="22" s="1"/>
  <c r="AA76" i="22" s="1"/>
  <c r="Z76" i="22" s="1"/>
  <c r="Y76" i="22" s="1"/>
  <c r="W172" i="22"/>
  <c r="D23" i="22"/>
  <c r="E23" i="22" s="1"/>
  <c r="F23" i="22" s="1"/>
  <c r="G23" i="22" s="1"/>
  <c r="CC23" i="6" s="1"/>
  <c r="D109" i="22"/>
  <c r="E109" i="22" s="1"/>
  <c r="F109" i="22" s="1"/>
  <c r="G109" i="22" s="1"/>
  <c r="CC109" i="6" s="1"/>
  <c r="D269" i="22"/>
  <c r="E269" i="22" s="1"/>
  <c r="F269" i="22" s="1"/>
  <c r="G269" i="22" s="1"/>
  <c r="CC269" i="6" s="1"/>
  <c r="W246" i="22"/>
  <c r="W342" i="22"/>
  <c r="D59" i="22"/>
  <c r="E59" i="22" s="1"/>
  <c r="F59" i="22" s="1"/>
  <c r="G59" i="22" s="1"/>
  <c r="CC59" i="6" s="1"/>
  <c r="D163" i="22"/>
  <c r="E163" i="22" s="1"/>
  <c r="F163" i="22" s="1"/>
  <c r="AA163" i="22" s="1"/>
  <c r="Z163" i="22" s="1"/>
  <c r="Y163" i="22" s="1"/>
  <c r="D36" i="22"/>
  <c r="E36" i="22" s="1"/>
  <c r="F36" i="22" s="1"/>
  <c r="G36" i="22" s="1"/>
  <c r="CC36" i="6" s="1"/>
  <c r="D61" i="22"/>
  <c r="E61" i="22" s="1"/>
  <c r="F61" i="22" s="1"/>
  <c r="G61" i="22" s="1"/>
  <c r="CC61" i="6" s="1"/>
  <c r="W125" i="22"/>
  <c r="D102" i="22"/>
  <c r="E102" i="22" s="1"/>
  <c r="F102" i="22" s="1"/>
  <c r="H102" i="22" s="1"/>
  <c r="D150" i="22"/>
  <c r="E150" i="22" s="1"/>
  <c r="F150" i="22" s="1"/>
  <c r="AA150" i="22" s="1"/>
  <c r="Z150" i="22" s="1"/>
  <c r="Y150" i="22" s="1"/>
  <c r="W198" i="22"/>
  <c r="D334" i="22"/>
  <c r="E334" i="22" s="1"/>
  <c r="F334" i="22" s="1"/>
  <c r="G334" i="22" s="1"/>
  <c r="CC334" i="6" s="1"/>
  <c r="W19" i="22"/>
  <c r="W203" i="22"/>
  <c r="W28" i="22"/>
  <c r="D92" i="22"/>
  <c r="E92" i="22" s="1"/>
  <c r="F92" i="22" s="1"/>
  <c r="G92" i="22" s="1"/>
  <c r="CC92" i="6" s="1"/>
  <c r="D124" i="22"/>
  <c r="E124" i="22" s="1"/>
  <c r="F124" i="22" s="1"/>
  <c r="G124" i="22" s="1"/>
  <c r="CC124" i="6" s="1"/>
  <c r="W164" i="22"/>
  <c r="J59" i="20"/>
  <c r="C59" i="6" s="1"/>
  <c r="D99" i="22"/>
  <c r="E99" i="22" s="1"/>
  <c r="F99" i="22" s="1"/>
  <c r="AA99" i="22" s="1"/>
  <c r="Z99" i="22" s="1"/>
  <c r="Y99" i="22" s="1"/>
  <c r="J334" i="20"/>
  <c r="C334" i="6" s="1"/>
  <c r="I334" i="20"/>
  <c r="B334" i="6" s="1"/>
  <c r="BA334" i="6" s="1"/>
  <c r="D334" i="6" s="1"/>
  <c r="J350" i="20"/>
  <c r="C350" i="6" s="1"/>
  <c r="I350" i="20"/>
  <c r="B350" i="6" s="1"/>
  <c r="BA350" i="6" s="1"/>
  <c r="D350" i="6" s="1"/>
  <c r="W217" i="22"/>
  <c r="D353" i="22"/>
  <c r="E353" i="22" s="1"/>
  <c r="F353" i="22" s="1"/>
  <c r="AA353" i="22" s="1"/>
  <c r="Z353" i="22" s="1"/>
  <c r="Y353" i="22" s="1"/>
  <c r="D98" i="22"/>
  <c r="E98" i="22" s="1"/>
  <c r="F98" i="22" s="1"/>
  <c r="AA98" i="22" s="1"/>
  <c r="Z98" i="22" s="1"/>
  <c r="Y98" i="22" s="1"/>
  <c r="D218" i="22"/>
  <c r="E218" i="22" s="1"/>
  <c r="F218" i="22" s="1"/>
  <c r="H218" i="22" s="1"/>
  <c r="D266" i="22"/>
  <c r="E266" i="22" s="1"/>
  <c r="F266" i="22" s="1"/>
  <c r="G266" i="22" s="1"/>
  <c r="CC266" i="6" s="1"/>
  <c r="W378" i="22"/>
  <c r="D63" i="22"/>
  <c r="E63" i="22" s="1"/>
  <c r="F63" i="22" s="1"/>
  <c r="G63" i="22" s="1"/>
  <c r="CC63" i="6" s="1"/>
  <c r="D87" i="22"/>
  <c r="E87" i="22" s="1"/>
  <c r="F87" i="22" s="1"/>
  <c r="AA87" i="22" s="1"/>
  <c r="Z87" i="22" s="1"/>
  <c r="Y87" i="22" s="1"/>
  <c r="W103" i="22"/>
  <c r="W121" i="22"/>
  <c r="D129" i="22"/>
  <c r="E129" i="22" s="1"/>
  <c r="F129" i="22" s="1"/>
  <c r="G129" i="22" s="1"/>
  <c r="CC129" i="6" s="1"/>
  <c r="W193" i="22"/>
  <c r="D337" i="22"/>
  <c r="E337" i="22" s="1"/>
  <c r="F337" i="22" s="1"/>
  <c r="G337" i="22" s="1"/>
  <c r="CC337" i="6" s="1"/>
  <c r="W114" i="22"/>
  <c r="W154" i="22"/>
  <c r="V210" i="22"/>
  <c r="D210" i="22" s="1"/>
  <c r="E210" i="22" s="1"/>
  <c r="F210" i="22" s="1"/>
  <c r="W145" i="22"/>
  <c r="W273" i="22"/>
  <c r="D50" i="22"/>
  <c r="E50" i="22" s="1"/>
  <c r="F50" i="22" s="1"/>
  <c r="AA50" i="22" s="1"/>
  <c r="Z50" i="22" s="1"/>
  <c r="Y50" i="22" s="1"/>
  <c r="D226" i="22"/>
  <c r="E226" i="22" s="1"/>
  <c r="F226" i="22" s="1"/>
  <c r="G226" i="22" s="1"/>
  <c r="CC226" i="6" s="1"/>
  <c r="W274" i="22"/>
  <c r="W55" i="22"/>
  <c r="H119" i="20"/>
  <c r="D33" i="22"/>
  <c r="E33" i="22" s="1"/>
  <c r="F33" i="22" s="1"/>
  <c r="H33" i="22" s="1"/>
  <c r="W73" i="22"/>
  <c r="D161" i="22"/>
  <c r="E161" i="22" s="1"/>
  <c r="F161" i="22" s="1"/>
  <c r="AA161" i="22" s="1"/>
  <c r="Z161" i="22" s="1"/>
  <c r="Y161" i="22" s="1"/>
  <c r="AA163" i="20"/>
  <c r="Z163" i="20" s="1"/>
  <c r="Y163" i="20" s="1"/>
  <c r="G163" i="20"/>
  <c r="CB163" i="6" s="1"/>
  <c r="H163" i="20"/>
  <c r="G208" i="20"/>
  <c r="CB208" i="6" s="1"/>
  <c r="AA208" i="20"/>
  <c r="Z208" i="20" s="1"/>
  <c r="Y208" i="20" s="1"/>
  <c r="H208" i="20"/>
  <c r="I344" i="20"/>
  <c r="B344" i="6" s="1"/>
  <c r="BA344" i="6" s="1"/>
  <c r="D344" i="6" s="1"/>
  <c r="J344" i="20"/>
  <c r="C344" i="6" s="1"/>
  <c r="AA325" i="20"/>
  <c r="Z325" i="20" s="1"/>
  <c r="Y325" i="20" s="1"/>
  <c r="G325" i="20"/>
  <c r="CB325" i="6" s="1"/>
  <c r="H325" i="20"/>
  <c r="AA240" i="20"/>
  <c r="Z240" i="20" s="1"/>
  <c r="Y240" i="20" s="1"/>
  <c r="G240" i="20"/>
  <c r="CB240" i="6" s="1"/>
  <c r="H240" i="20"/>
  <c r="J345" i="20"/>
  <c r="C345" i="6" s="1"/>
  <c r="I345" i="20"/>
  <c r="B345" i="6" s="1"/>
  <c r="BA345" i="6" s="1"/>
  <c r="D345" i="6" s="1"/>
  <c r="I285" i="20"/>
  <c r="B285" i="6" s="1"/>
  <c r="BA285" i="6" s="1"/>
  <c r="D285" i="6" s="1"/>
  <c r="J285" i="20"/>
  <c r="C285" i="6" s="1"/>
  <c r="J199" i="20"/>
  <c r="C199" i="6" s="1"/>
  <c r="I199" i="20"/>
  <c r="B199" i="6" s="1"/>
  <c r="BA199" i="6" s="1"/>
  <c r="I301" i="20"/>
  <c r="B301" i="6" s="1"/>
  <c r="BA301" i="6" s="1"/>
  <c r="D301" i="6" s="1"/>
  <c r="J301" i="20"/>
  <c r="C301" i="6" s="1"/>
  <c r="J131" i="20"/>
  <c r="C131" i="6" s="1"/>
  <c r="I131" i="20"/>
  <c r="J109" i="20"/>
  <c r="C109" i="6" s="1"/>
  <c r="I109" i="20"/>
  <c r="B109" i="6" s="1"/>
  <c r="BA109" i="6" s="1"/>
  <c r="D109" i="6" s="1"/>
  <c r="I203" i="20"/>
  <c r="J203" i="20"/>
  <c r="C203" i="6" s="1"/>
  <c r="H356" i="20"/>
  <c r="J251" i="20"/>
  <c r="C251" i="6" s="1"/>
  <c r="I251" i="20"/>
  <c r="B251" i="6" s="1"/>
  <c r="BA251" i="6" s="1"/>
  <c r="J213" i="20"/>
  <c r="C213" i="6" s="1"/>
  <c r="I213" i="20"/>
  <c r="B213" i="6" s="1"/>
  <c r="BA213" i="6" s="1"/>
  <c r="D213" i="6" s="1"/>
  <c r="I343" i="20"/>
  <c r="B343" i="6" s="1"/>
  <c r="BA343" i="6" s="1"/>
  <c r="D343" i="6" s="1"/>
  <c r="J343" i="20"/>
  <c r="C343" i="6" s="1"/>
  <c r="I91" i="20"/>
  <c r="J91" i="20"/>
  <c r="C91" i="6" s="1"/>
  <c r="I234" i="20"/>
  <c r="J234" i="20"/>
  <c r="C234" i="6" s="1"/>
  <c r="I41" i="20"/>
  <c r="B41" i="6" s="1"/>
  <c r="BA41" i="6" s="1"/>
  <c r="D41" i="6" s="1"/>
  <c r="J41" i="20"/>
  <c r="C41" i="6" s="1"/>
  <c r="J179" i="20"/>
  <c r="C179" i="6" s="1"/>
  <c r="I179" i="20"/>
  <c r="J191" i="20"/>
  <c r="C191" i="6" s="1"/>
  <c r="I191" i="20"/>
  <c r="B191" i="6" s="1"/>
  <c r="BA191" i="6" s="1"/>
  <c r="D191" i="6" s="1"/>
  <c r="I231" i="20"/>
  <c r="B231" i="6" s="1"/>
  <c r="BA231" i="6" s="1"/>
  <c r="D231" i="6" s="1"/>
  <c r="J231" i="20"/>
  <c r="C231" i="6" s="1"/>
  <c r="I255" i="20"/>
  <c r="B255" i="6" s="1"/>
  <c r="BA255" i="6" s="1"/>
  <c r="D255" i="6" s="1"/>
  <c r="J255" i="20"/>
  <c r="C255" i="6" s="1"/>
  <c r="I23" i="20"/>
  <c r="B23" i="6" s="1"/>
  <c r="BA23" i="6" s="1"/>
  <c r="D23" i="6" s="1"/>
  <c r="J23" i="20"/>
  <c r="C23" i="6" s="1"/>
  <c r="J15" i="17"/>
  <c r="I15" i="17"/>
  <c r="G382" i="17"/>
  <c r="G381" i="17"/>
  <c r="G383" i="17"/>
  <c r="G12" i="17" s="1"/>
  <c r="Z15" i="17"/>
  <c r="AA9" i="17"/>
  <c r="AA382" i="17"/>
  <c r="AL9" i="17"/>
  <c r="AM8" i="17"/>
  <c r="AA383" i="17"/>
  <c r="AA381" i="17"/>
  <c r="I45" i="20"/>
  <c r="J45" i="20"/>
  <c r="C45" i="6" s="1"/>
  <c r="I357" i="20"/>
  <c r="J357" i="20"/>
  <c r="C357" i="6" s="1"/>
  <c r="J316" i="20"/>
  <c r="C316" i="6" s="1"/>
  <c r="I316" i="20"/>
  <c r="B316" i="6" s="1"/>
  <c r="BA316" i="6" s="1"/>
  <c r="D316" i="6" s="1"/>
  <c r="I348" i="20"/>
  <c r="B348" i="6" s="1"/>
  <c r="BA348" i="6" s="1"/>
  <c r="D348" i="6" s="1"/>
  <c r="J348" i="20"/>
  <c r="C348" i="6" s="1"/>
  <c r="J360" i="20"/>
  <c r="C360" i="6" s="1"/>
  <c r="I360" i="20"/>
  <c r="B360" i="6" s="1"/>
  <c r="BA360" i="6" s="1"/>
  <c r="D360" i="6" s="1"/>
  <c r="I21" i="20"/>
  <c r="B21" i="6" s="1"/>
  <c r="BA21" i="6" s="1"/>
  <c r="D21" i="6" s="1"/>
  <c r="J21" i="20"/>
  <c r="C21" i="6" s="1"/>
  <c r="I373" i="20"/>
  <c r="B373" i="6" s="1"/>
  <c r="BA373" i="6" s="1"/>
  <c r="D373" i="6" s="1"/>
  <c r="J373" i="20"/>
  <c r="C373" i="6" s="1"/>
  <c r="P379" i="20"/>
  <c r="R383" i="20"/>
  <c r="R382" i="20"/>
  <c r="R381" i="20"/>
  <c r="H320" i="20"/>
  <c r="J95" i="20"/>
  <c r="C95" i="6" s="1"/>
  <c r="I95" i="20"/>
  <c r="J143" i="20"/>
  <c r="C143" i="6" s="1"/>
  <c r="I143" i="20"/>
  <c r="B143" i="6" s="1"/>
  <c r="BA143" i="6" s="1"/>
  <c r="J49" i="20"/>
  <c r="C49" i="6" s="1"/>
  <c r="I49" i="20"/>
  <c r="B49" i="6" s="1"/>
  <c r="BA49" i="6" s="1"/>
  <c r="D49" i="6" s="1"/>
  <c r="I89" i="20"/>
  <c r="J89" i="20"/>
  <c r="C89" i="6" s="1"/>
  <c r="J137" i="20"/>
  <c r="C137" i="6" s="1"/>
  <c r="I137" i="20"/>
  <c r="I175" i="20"/>
  <c r="B175" i="6" s="1"/>
  <c r="BA175" i="6" s="1"/>
  <c r="D175" i="6" s="1"/>
  <c r="J175" i="20"/>
  <c r="C175" i="6" s="1"/>
  <c r="J271" i="20"/>
  <c r="C271" i="6" s="1"/>
  <c r="I271" i="20"/>
  <c r="I295" i="20"/>
  <c r="J295" i="20"/>
  <c r="C295" i="6" s="1"/>
  <c r="I367" i="20"/>
  <c r="B367" i="6" s="1"/>
  <c r="BA367" i="6" s="1"/>
  <c r="D367" i="6" s="1"/>
  <c r="J367" i="20"/>
  <c r="C367" i="6" s="1"/>
  <c r="D53" i="22"/>
  <c r="E53" i="22" s="1"/>
  <c r="F53" i="22" s="1"/>
  <c r="W53" i="22"/>
  <c r="W69" i="22"/>
  <c r="D69" i="22"/>
  <c r="E69" i="22" s="1"/>
  <c r="F69" i="22" s="1"/>
  <c r="W77" i="22"/>
  <c r="D77" i="22"/>
  <c r="E77" i="22" s="1"/>
  <c r="F77" i="22" s="1"/>
  <c r="W93" i="22"/>
  <c r="D93" i="22"/>
  <c r="E93" i="22" s="1"/>
  <c r="F93" i="22" s="1"/>
  <c r="W117" i="22"/>
  <c r="D117" i="22"/>
  <c r="E117" i="22" s="1"/>
  <c r="F117" i="22" s="1"/>
  <c r="W133" i="22"/>
  <c r="D133" i="22"/>
  <c r="E133" i="22" s="1"/>
  <c r="F133" i="22" s="1"/>
  <c r="W141" i="22"/>
  <c r="D141" i="22"/>
  <c r="E141" i="22" s="1"/>
  <c r="F141" i="22" s="1"/>
  <c r="W157" i="22"/>
  <c r="D157" i="22"/>
  <c r="E157" i="22" s="1"/>
  <c r="F157" i="22" s="1"/>
  <c r="W165" i="22"/>
  <c r="D165" i="22"/>
  <c r="E165" i="22" s="1"/>
  <c r="F165" i="22" s="1"/>
  <c r="D173" i="22"/>
  <c r="E173" i="22" s="1"/>
  <c r="F173" i="22" s="1"/>
  <c r="W173" i="22"/>
  <c r="D181" i="22"/>
  <c r="E181" i="22" s="1"/>
  <c r="F181" i="22" s="1"/>
  <c r="W181" i="22"/>
  <c r="D197" i="22"/>
  <c r="E197" i="22" s="1"/>
  <c r="F197" i="22" s="1"/>
  <c r="W197" i="22"/>
  <c r="W205" i="22"/>
  <c r="D205" i="22"/>
  <c r="E205" i="22" s="1"/>
  <c r="F205" i="22" s="1"/>
  <c r="W213" i="22"/>
  <c r="D213" i="22"/>
  <c r="E213" i="22" s="1"/>
  <c r="F213" i="22" s="1"/>
  <c r="D221" i="22"/>
  <c r="E221" i="22" s="1"/>
  <c r="F221" i="22" s="1"/>
  <c r="W221" i="22"/>
  <c r="D229" i="22"/>
  <c r="E229" i="22" s="1"/>
  <c r="F229" i="22" s="1"/>
  <c r="W229" i="22"/>
  <c r="D253" i="22"/>
  <c r="E253" i="22" s="1"/>
  <c r="F253" i="22" s="1"/>
  <c r="W253" i="22"/>
  <c r="D277" i="22"/>
  <c r="E277" i="22" s="1"/>
  <c r="F277" i="22" s="1"/>
  <c r="W277" i="22"/>
  <c r="D285" i="22"/>
  <c r="E285" i="22" s="1"/>
  <c r="F285" i="22" s="1"/>
  <c r="W285" i="22"/>
  <c r="D293" i="22"/>
  <c r="E293" i="22" s="1"/>
  <c r="F293" i="22" s="1"/>
  <c r="W293" i="22"/>
  <c r="D301" i="22"/>
  <c r="E301" i="22" s="1"/>
  <c r="F301" i="22" s="1"/>
  <c r="W301" i="22"/>
  <c r="D325" i="22"/>
  <c r="E325" i="22" s="1"/>
  <c r="F325" i="22" s="1"/>
  <c r="W325" i="22"/>
  <c r="V333" i="22"/>
  <c r="AH42" i="7"/>
  <c r="W373" i="22"/>
  <c r="D373" i="22"/>
  <c r="E373" i="22" s="1"/>
  <c r="F373" i="22" s="1"/>
  <c r="W38" i="22"/>
  <c r="D38" i="22"/>
  <c r="E38" i="22" s="1"/>
  <c r="F38" i="22" s="1"/>
  <c r="W54" i="22"/>
  <c r="D54" i="22"/>
  <c r="E54" i="22" s="1"/>
  <c r="F54" i="22" s="1"/>
  <c r="W62" i="22"/>
  <c r="D62" i="22"/>
  <c r="E62" i="22" s="1"/>
  <c r="F62" i="22" s="1"/>
  <c r="D70" i="22"/>
  <c r="E70" i="22" s="1"/>
  <c r="F70" i="22" s="1"/>
  <c r="W70" i="22"/>
  <c r="D94" i="22"/>
  <c r="E94" i="22" s="1"/>
  <c r="F94" i="22" s="1"/>
  <c r="W94" i="22"/>
  <c r="D126" i="22"/>
  <c r="E126" i="22" s="1"/>
  <c r="F126" i="22" s="1"/>
  <c r="W126" i="22"/>
  <c r="D134" i="22"/>
  <c r="E134" i="22" s="1"/>
  <c r="F134" i="22" s="1"/>
  <c r="W134" i="22"/>
  <c r="W174" i="22"/>
  <c r="D174" i="22"/>
  <c r="E174" i="22" s="1"/>
  <c r="F174" i="22" s="1"/>
  <c r="D206" i="22"/>
  <c r="E206" i="22" s="1"/>
  <c r="F206" i="22" s="1"/>
  <c r="W206" i="22"/>
  <c r="D214" i="22"/>
  <c r="E214" i="22" s="1"/>
  <c r="F214" i="22" s="1"/>
  <c r="W214" i="22"/>
  <c r="D222" i="22"/>
  <c r="E222" i="22" s="1"/>
  <c r="F222" i="22" s="1"/>
  <c r="W222" i="22"/>
  <c r="W254" i="22"/>
  <c r="D254" i="22"/>
  <c r="E254" i="22" s="1"/>
  <c r="F254" i="22" s="1"/>
  <c r="D262" i="22"/>
  <c r="E262" i="22" s="1"/>
  <c r="F262" i="22" s="1"/>
  <c r="W262" i="22"/>
  <c r="D270" i="22"/>
  <c r="E270" i="22" s="1"/>
  <c r="F270" i="22" s="1"/>
  <c r="W270" i="22"/>
  <c r="D278" i="22"/>
  <c r="E278" i="22" s="1"/>
  <c r="F278" i="22" s="1"/>
  <c r="W278" i="22"/>
  <c r="W294" i="22"/>
  <c r="D294" i="22"/>
  <c r="E294" i="22" s="1"/>
  <c r="F294" i="22" s="1"/>
  <c r="AH41" i="7"/>
  <c r="V302" i="22"/>
  <c r="D310" i="22"/>
  <c r="E310" i="22" s="1"/>
  <c r="F310" i="22" s="1"/>
  <c r="W310" i="22"/>
  <c r="W318" i="22"/>
  <c r="D318" i="22"/>
  <c r="E318" i="22" s="1"/>
  <c r="F318" i="22" s="1"/>
  <c r="W358" i="22"/>
  <c r="D358" i="22"/>
  <c r="E358" i="22" s="1"/>
  <c r="F358" i="22" s="1"/>
  <c r="W366" i="22"/>
  <c r="D366" i="22"/>
  <c r="E366" i="22" s="1"/>
  <c r="F366" i="22" s="1"/>
  <c r="D35" i="22"/>
  <c r="E35" i="22" s="1"/>
  <c r="F35" i="22" s="1"/>
  <c r="W35" i="22"/>
  <c r="D43" i="22"/>
  <c r="E43" i="22" s="1"/>
  <c r="F43" i="22" s="1"/>
  <c r="W43" i="22"/>
  <c r="W67" i="22"/>
  <c r="D67" i="22"/>
  <c r="E67" i="22" s="1"/>
  <c r="F67" i="22" s="1"/>
  <c r="W83" i="22"/>
  <c r="D83" i="22"/>
  <c r="E83" i="22" s="1"/>
  <c r="F83" i="22" s="1"/>
  <c r="W107" i="22"/>
  <c r="D107" i="22"/>
  <c r="E107" i="22" s="1"/>
  <c r="F107" i="22" s="1"/>
  <c r="D115" i="22"/>
  <c r="E115" i="22" s="1"/>
  <c r="F115" i="22" s="1"/>
  <c r="W115" i="22"/>
  <c r="W147" i="22"/>
  <c r="D147" i="22"/>
  <c r="E147" i="22" s="1"/>
  <c r="F147" i="22" s="1"/>
  <c r="D155" i="22"/>
  <c r="E155" i="22" s="1"/>
  <c r="F155" i="22" s="1"/>
  <c r="W155" i="22"/>
  <c r="W171" i="22"/>
  <c r="D171" i="22"/>
  <c r="E171" i="22" s="1"/>
  <c r="F171" i="22" s="1"/>
  <c r="W195" i="22"/>
  <c r="D195" i="22"/>
  <c r="E195" i="22" s="1"/>
  <c r="F195" i="22" s="1"/>
  <c r="W219" i="22"/>
  <c r="D219" i="22"/>
  <c r="E219" i="22" s="1"/>
  <c r="F219" i="22" s="1"/>
  <c r="W235" i="22"/>
  <c r="D235" i="22"/>
  <c r="E235" i="22" s="1"/>
  <c r="F235" i="22" s="1"/>
  <c r="W243" i="22"/>
  <c r="D243" i="22"/>
  <c r="E243" i="22" s="1"/>
  <c r="F243" i="22" s="1"/>
  <c r="D259" i="22"/>
  <c r="E259" i="22" s="1"/>
  <c r="F259" i="22" s="1"/>
  <c r="W259" i="22"/>
  <c r="W267" i="22"/>
  <c r="D267" i="22"/>
  <c r="E267" i="22" s="1"/>
  <c r="F267" i="22" s="1"/>
  <c r="W275" i="22"/>
  <c r="D275" i="22"/>
  <c r="E275" i="22" s="1"/>
  <c r="F275" i="22" s="1"/>
  <c r="D283" i="22"/>
  <c r="E283" i="22" s="1"/>
  <c r="F283" i="22" s="1"/>
  <c r="W283" i="22"/>
  <c r="W291" i="22"/>
  <c r="D291" i="22"/>
  <c r="E291" i="22" s="1"/>
  <c r="F291" i="22" s="1"/>
  <c r="D299" i="22"/>
  <c r="E299" i="22" s="1"/>
  <c r="F299" i="22" s="1"/>
  <c r="W299" i="22"/>
  <c r="W307" i="22"/>
  <c r="D307" i="22"/>
  <c r="E307" i="22" s="1"/>
  <c r="F307" i="22" s="1"/>
  <c r="D339" i="22"/>
  <c r="E339" i="22" s="1"/>
  <c r="F339" i="22" s="1"/>
  <c r="W339" i="22"/>
  <c r="D347" i="22"/>
  <c r="E347" i="22" s="1"/>
  <c r="F347" i="22" s="1"/>
  <c r="W347" i="22"/>
  <c r="W355" i="22"/>
  <c r="D355" i="22"/>
  <c r="E355" i="22" s="1"/>
  <c r="F355" i="22" s="1"/>
  <c r="V363" i="22"/>
  <c r="AH43" i="7"/>
  <c r="AN16" i="7"/>
  <c r="AT11" i="7" s="1"/>
  <c r="U11" i="23" s="1"/>
  <c r="U12" i="23"/>
  <c r="T379" i="22"/>
  <c r="S379" i="22" s="1"/>
  <c r="R379" i="22" s="1"/>
  <c r="P379" i="22" s="1"/>
  <c r="AI383" i="22"/>
  <c r="AI382" i="22"/>
  <c r="AI381" i="22"/>
  <c r="AH15" i="22"/>
  <c r="AI12" i="23"/>
  <c r="AH379" i="22"/>
  <c r="AG379" i="22" s="1"/>
  <c r="AF379" i="22" s="1"/>
  <c r="AD379" i="22" s="1"/>
  <c r="U383" i="22"/>
  <c r="U381" i="22"/>
  <c r="U382" i="22"/>
  <c r="T15" i="22"/>
  <c r="D44" i="22"/>
  <c r="E44" i="22" s="1"/>
  <c r="F44" i="22" s="1"/>
  <c r="W44" i="22"/>
  <c r="AH33" i="7"/>
  <c r="V60" i="22"/>
  <c r="W100" i="22"/>
  <c r="D100" i="22"/>
  <c r="E100" i="22" s="1"/>
  <c r="F100" i="22" s="1"/>
  <c r="D108" i="22"/>
  <c r="E108" i="22" s="1"/>
  <c r="F108" i="22" s="1"/>
  <c r="W108" i="22"/>
  <c r="D140" i="22"/>
  <c r="E140" i="22" s="1"/>
  <c r="F140" i="22" s="1"/>
  <c r="W140" i="22"/>
  <c r="W148" i="22"/>
  <c r="D148" i="22"/>
  <c r="E148" i="22" s="1"/>
  <c r="F148" i="22" s="1"/>
  <c r="V180" i="22"/>
  <c r="AH37" i="7"/>
  <c r="D188" i="22"/>
  <c r="E188" i="22" s="1"/>
  <c r="F188" i="22" s="1"/>
  <c r="W188" i="22"/>
  <c r="W204" i="22"/>
  <c r="D204" i="22"/>
  <c r="E204" i="22" s="1"/>
  <c r="F204" i="22" s="1"/>
  <c r="W212" i="22"/>
  <c r="D212" i="22"/>
  <c r="E212" i="22" s="1"/>
  <c r="F212" i="22" s="1"/>
  <c r="W220" i="22"/>
  <c r="D220" i="22"/>
  <c r="E220" i="22" s="1"/>
  <c r="F220" i="22" s="1"/>
  <c r="D252" i="22"/>
  <c r="E252" i="22" s="1"/>
  <c r="F252" i="22" s="1"/>
  <c r="W252" i="22"/>
  <c r="D260" i="22"/>
  <c r="E260" i="22" s="1"/>
  <c r="F260" i="22" s="1"/>
  <c r="W260" i="22"/>
  <c r="D284" i="22"/>
  <c r="E284" i="22" s="1"/>
  <c r="F284" i="22" s="1"/>
  <c r="W284" i="22"/>
  <c r="D292" i="22"/>
  <c r="E292" i="22" s="1"/>
  <c r="F292" i="22" s="1"/>
  <c r="W292" i="22"/>
  <c r="W316" i="22"/>
  <c r="D316" i="22"/>
  <c r="E316" i="22" s="1"/>
  <c r="F316" i="22" s="1"/>
  <c r="D324" i="22"/>
  <c r="E324" i="22" s="1"/>
  <c r="F324" i="22" s="1"/>
  <c r="W324" i="22"/>
  <c r="W332" i="22"/>
  <c r="D332" i="22"/>
  <c r="E332" i="22" s="1"/>
  <c r="F332" i="22" s="1"/>
  <c r="W340" i="22"/>
  <c r="D340" i="22"/>
  <c r="E340" i="22" s="1"/>
  <c r="F340" i="22" s="1"/>
  <c r="D348" i="22"/>
  <c r="E348" i="22" s="1"/>
  <c r="F348" i="22" s="1"/>
  <c r="W348" i="22"/>
  <c r="D372" i="22"/>
  <c r="E372" i="22" s="1"/>
  <c r="F372" i="22" s="1"/>
  <c r="W372" i="22"/>
  <c r="I63" i="20"/>
  <c r="B63" i="6" s="1"/>
  <c r="BA63" i="6" s="1"/>
  <c r="J63" i="20"/>
  <c r="C63" i="6" s="1"/>
  <c r="G300" i="20"/>
  <c r="CB300" i="6" s="1"/>
  <c r="AA300" i="20"/>
  <c r="Z300" i="20" s="1"/>
  <c r="Y300" i="20" s="1"/>
  <c r="H300" i="20"/>
  <c r="J308" i="20"/>
  <c r="C308" i="6" s="1"/>
  <c r="I308" i="20"/>
  <c r="G352" i="20"/>
  <c r="CB352" i="6" s="1"/>
  <c r="AA352" i="20"/>
  <c r="Z352" i="20" s="1"/>
  <c r="Y352" i="20" s="1"/>
  <c r="H352" i="20"/>
  <c r="AA171" i="20"/>
  <c r="Z171" i="20" s="1"/>
  <c r="Y171" i="20" s="1"/>
  <c r="G171" i="20"/>
  <c r="CB171" i="6" s="1"/>
  <c r="H171" i="20"/>
  <c r="J304" i="20"/>
  <c r="C304" i="6" s="1"/>
  <c r="I304" i="20"/>
  <c r="B304" i="6" s="1"/>
  <c r="BA304" i="6" s="1"/>
  <c r="D304" i="6" s="1"/>
  <c r="G77" i="20"/>
  <c r="CB77" i="6" s="1"/>
  <c r="H77" i="20"/>
  <c r="AA77" i="20"/>
  <c r="Z77" i="20" s="1"/>
  <c r="Y77" i="20" s="1"/>
  <c r="J123" i="20"/>
  <c r="C123" i="6" s="1"/>
  <c r="I123" i="20"/>
  <c r="D199" i="6"/>
  <c r="D251" i="6"/>
  <c r="I211" i="20"/>
  <c r="B211" i="6" s="1"/>
  <c r="BA211" i="6" s="1"/>
  <c r="J211" i="20"/>
  <c r="C211" i="6" s="1"/>
  <c r="M65" i="19"/>
  <c r="V381" i="18"/>
  <c r="V382" i="18"/>
  <c r="V383" i="18"/>
  <c r="I254" i="20"/>
  <c r="B254" i="6" s="1"/>
  <c r="BA254" i="6" s="1"/>
  <c r="J254" i="20"/>
  <c r="C254" i="6" s="1"/>
  <c r="J57" i="20"/>
  <c r="C57" i="6" s="1"/>
  <c r="I57" i="20"/>
  <c r="B57" i="6" s="1"/>
  <c r="BA57" i="6" s="1"/>
  <c r="D57" i="6" s="1"/>
  <c r="I187" i="20"/>
  <c r="B187" i="6" s="1"/>
  <c r="BA187" i="6" s="1"/>
  <c r="D187" i="6" s="1"/>
  <c r="J187" i="20"/>
  <c r="C187" i="6" s="1"/>
  <c r="J223" i="20"/>
  <c r="C223" i="6" s="1"/>
  <c r="I223" i="20"/>
  <c r="B223" i="6" s="1"/>
  <c r="BA223" i="6" s="1"/>
  <c r="D223" i="6" s="1"/>
  <c r="J239" i="20"/>
  <c r="C239" i="6" s="1"/>
  <c r="I239" i="20"/>
  <c r="B239" i="6" s="1"/>
  <c r="BA239" i="6" s="1"/>
  <c r="D239" i="6" s="1"/>
  <c r="J291" i="20"/>
  <c r="C291" i="6" s="1"/>
  <c r="I291" i="20"/>
  <c r="B291" i="6" s="1"/>
  <c r="BA291" i="6" s="1"/>
  <c r="D291" i="6" s="1"/>
  <c r="J327" i="20"/>
  <c r="C327" i="6" s="1"/>
  <c r="I327" i="20"/>
  <c r="B327" i="6" s="1"/>
  <c r="BA327" i="6" s="1"/>
  <c r="D327" i="6" s="1"/>
  <c r="J335" i="20"/>
  <c r="C335" i="6" s="1"/>
  <c r="I335" i="20"/>
  <c r="B335" i="6" s="1"/>
  <c r="BA335" i="6" s="1"/>
  <c r="D335" i="6" s="1"/>
  <c r="AB9" i="17"/>
  <c r="G14" i="19"/>
  <c r="F11" i="17"/>
  <c r="J201" i="20"/>
  <c r="C201" i="6" s="1"/>
  <c r="I201" i="20"/>
  <c r="B201" i="6" s="1"/>
  <c r="BA201" i="6" s="1"/>
  <c r="D201" i="6" s="1"/>
  <c r="J376" i="20"/>
  <c r="C376" i="6" s="1"/>
  <c r="I376" i="20"/>
  <c r="B376" i="6" s="1"/>
  <c r="BA376" i="6" s="1"/>
  <c r="D376" i="6" s="1"/>
  <c r="J85" i="20"/>
  <c r="C85" i="6" s="1"/>
  <c r="I85" i="20"/>
  <c r="J93" i="20"/>
  <c r="C93" i="6" s="1"/>
  <c r="I93" i="20"/>
  <c r="B93" i="6" s="1"/>
  <c r="BA93" i="6" s="1"/>
  <c r="D93" i="6" s="1"/>
  <c r="J368" i="20"/>
  <c r="C368" i="6" s="1"/>
  <c r="I368" i="20"/>
  <c r="B368" i="6" s="1"/>
  <c r="BA368" i="6" s="1"/>
  <c r="D368" i="6" s="1"/>
  <c r="I205" i="20"/>
  <c r="B205" i="6" s="1"/>
  <c r="BA205" i="6" s="1"/>
  <c r="D205" i="6" s="1"/>
  <c r="J205" i="20"/>
  <c r="C205" i="6" s="1"/>
  <c r="I307" i="20"/>
  <c r="B307" i="6" s="1"/>
  <c r="BA307" i="6" s="1"/>
  <c r="D307" i="6" s="1"/>
  <c r="J307" i="20"/>
  <c r="C307" i="6" s="1"/>
  <c r="I283" i="20"/>
  <c r="B283" i="6" s="1"/>
  <c r="BA283" i="6" s="1"/>
  <c r="AG4" i="6" s="1"/>
  <c r="J283" i="20"/>
  <c r="C283" i="6" s="1"/>
  <c r="H139" i="20"/>
  <c r="I83" i="20"/>
  <c r="B83" i="6" s="1"/>
  <c r="BA83" i="6" s="1"/>
  <c r="D83" i="6" s="1"/>
  <c r="J83" i="20"/>
  <c r="C83" i="6" s="1"/>
  <c r="I99" i="20"/>
  <c r="B99" i="6" s="1"/>
  <c r="BA99" i="6" s="1"/>
  <c r="D99" i="6" s="1"/>
  <c r="J99" i="20"/>
  <c r="C99" i="6" s="1"/>
  <c r="I107" i="20"/>
  <c r="B107" i="6" s="1"/>
  <c r="BA107" i="6" s="1"/>
  <c r="D107" i="6" s="1"/>
  <c r="J107" i="20"/>
  <c r="C107" i="6" s="1"/>
  <c r="J193" i="20"/>
  <c r="C193" i="6" s="1"/>
  <c r="I193" i="20"/>
  <c r="J328" i="20"/>
  <c r="C328" i="6" s="1"/>
  <c r="I328" i="20"/>
  <c r="B328" i="6" s="1"/>
  <c r="BA328" i="6" s="1"/>
  <c r="D328" i="6" s="1"/>
  <c r="J349" i="20"/>
  <c r="C349" i="6" s="1"/>
  <c r="I349" i="20"/>
  <c r="B349" i="6" s="1"/>
  <c r="BA349" i="6" s="1"/>
  <c r="D349" i="6" s="1"/>
  <c r="I371" i="20"/>
  <c r="J371" i="20"/>
  <c r="C371" i="6" s="1"/>
  <c r="I111" i="20"/>
  <c r="J111" i="20"/>
  <c r="C111" i="6" s="1"/>
  <c r="I35" i="20"/>
  <c r="B35" i="6" s="1"/>
  <c r="BA35" i="6" s="1"/>
  <c r="O4" i="6" s="1"/>
  <c r="J35" i="20"/>
  <c r="C35" i="6" s="1"/>
  <c r="I219" i="20"/>
  <c r="B219" i="6" s="1"/>
  <c r="BA219" i="6" s="1"/>
  <c r="D219" i="6" s="1"/>
  <c r="J219" i="20"/>
  <c r="C219" i="6" s="1"/>
  <c r="I18" i="20"/>
  <c r="B18" i="6" s="1"/>
  <c r="BA18" i="6" s="1"/>
  <c r="D18" i="6" s="1"/>
  <c r="J18" i="20"/>
  <c r="C18" i="6" s="1"/>
  <c r="I270" i="20"/>
  <c r="B270" i="6" s="1"/>
  <c r="BA270" i="6" s="1"/>
  <c r="D270" i="6" s="1"/>
  <c r="J270" i="20"/>
  <c r="C270" i="6" s="1"/>
  <c r="J81" i="20"/>
  <c r="C81" i="6" s="1"/>
  <c r="I81" i="20"/>
  <c r="B81" i="6" s="1"/>
  <c r="BA81" i="6" s="1"/>
  <c r="D81" i="6" s="1"/>
  <c r="I145" i="20"/>
  <c r="J145" i="20"/>
  <c r="C145" i="6" s="1"/>
  <c r="I161" i="20"/>
  <c r="B161" i="6" s="1"/>
  <c r="BA161" i="6" s="1"/>
  <c r="D161" i="6" s="1"/>
  <c r="J161" i="20"/>
  <c r="C161" i="6" s="1"/>
  <c r="I247" i="20"/>
  <c r="B247" i="6" s="1"/>
  <c r="BA247" i="6" s="1"/>
  <c r="D247" i="6" s="1"/>
  <c r="J247" i="20"/>
  <c r="C247" i="6" s="1"/>
  <c r="I267" i="20"/>
  <c r="B267" i="6" s="1"/>
  <c r="BA267" i="6" s="1"/>
  <c r="D267" i="6" s="1"/>
  <c r="J267" i="20"/>
  <c r="C267" i="6" s="1"/>
  <c r="D20" i="22"/>
  <c r="E20" i="22" s="1"/>
  <c r="F20" i="22" s="1"/>
  <c r="W20" i="22"/>
  <c r="W25" i="22"/>
  <c r="D25" i="22"/>
  <c r="E25" i="22" s="1"/>
  <c r="F25" i="22" s="1"/>
  <c r="W41" i="22"/>
  <c r="D41" i="22"/>
  <c r="E41" i="22" s="1"/>
  <c r="F41" i="22" s="1"/>
  <c r="D49" i="22"/>
  <c r="E49" i="22" s="1"/>
  <c r="F49" i="22" s="1"/>
  <c r="W49" i="22"/>
  <c r="W65" i="22"/>
  <c r="D65" i="22"/>
  <c r="E65" i="22" s="1"/>
  <c r="F65" i="22" s="1"/>
  <c r="W81" i="22"/>
  <c r="D81" i="22"/>
  <c r="E81" i="22" s="1"/>
  <c r="F81" i="22" s="1"/>
  <c r="D97" i="22"/>
  <c r="E97" i="22" s="1"/>
  <c r="F97" i="22" s="1"/>
  <c r="W97" i="22"/>
  <c r="W153" i="22"/>
  <c r="D153" i="22"/>
  <c r="E153" i="22" s="1"/>
  <c r="F153" i="22" s="1"/>
  <c r="D177" i="22"/>
  <c r="E177" i="22" s="1"/>
  <c r="F177" i="22" s="1"/>
  <c r="W177" i="22"/>
  <c r="D185" i="22"/>
  <c r="E185" i="22" s="1"/>
  <c r="F185" i="22" s="1"/>
  <c r="W185" i="22"/>
  <c r="W201" i="22"/>
  <c r="D201" i="22"/>
  <c r="E201" i="22" s="1"/>
  <c r="F201" i="22" s="1"/>
  <c r="W225" i="22"/>
  <c r="D225" i="22"/>
  <c r="E225" i="22" s="1"/>
  <c r="F225" i="22" s="1"/>
  <c r="D233" i="22"/>
  <c r="E233" i="22" s="1"/>
  <c r="F233" i="22" s="1"/>
  <c r="W233" i="22"/>
  <c r="V241" i="22"/>
  <c r="AH39" i="7"/>
  <c r="D249" i="22"/>
  <c r="E249" i="22" s="1"/>
  <c r="F249" i="22" s="1"/>
  <c r="W249" i="22"/>
  <c r="D265" i="22"/>
  <c r="E265" i="22" s="1"/>
  <c r="F265" i="22" s="1"/>
  <c r="W265" i="22"/>
  <c r="W281" i="22"/>
  <c r="D281" i="22"/>
  <c r="E281" i="22" s="1"/>
  <c r="F281" i="22" s="1"/>
  <c r="D289" i="22"/>
  <c r="E289" i="22" s="1"/>
  <c r="F289" i="22" s="1"/>
  <c r="W289" i="22"/>
  <c r="W305" i="22"/>
  <c r="D305" i="22"/>
  <c r="E305" i="22" s="1"/>
  <c r="F305" i="22" s="1"/>
  <c r="D313" i="22"/>
  <c r="E313" i="22" s="1"/>
  <c r="F313" i="22" s="1"/>
  <c r="W313" i="22"/>
  <c r="D321" i="22"/>
  <c r="E321" i="22" s="1"/>
  <c r="F321" i="22" s="1"/>
  <c r="W321" i="22"/>
  <c r="W329" i="22"/>
  <c r="D329" i="22"/>
  <c r="E329" i="22" s="1"/>
  <c r="F329" i="22" s="1"/>
  <c r="D345" i="22"/>
  <c r="E345" i="22" s="1"/>
  <c r="F345" i="22" s="1"/>
  <c r="W345" i="22"/>
  <c r="W369" i="22"/>
  <c r="D369" i="22"/>
  <c r="E369" i="22" s="1"/>
  <c r="F369" i="22" s="1"/>
  <c r="D377" i="22"/>
  <c r="E377" i="22" s="1"/>
  <c r="F377" i="22" s="1"/>
  <c r="W377" i="22"/>
  <c r="W17" i="22"/>
  <c r="D17" i="22"/>
  <c r="E17" i="22" s="1"/>
  <c r="F17" i="22" s="1"/>
  <c r="W26" i="22"/>
  <c r="D26" i="22"/>
  <c r="E26" i="22" s="1"/>
  <c r="F26" i="22" s="1"/>
  <c r="W34" i="22"/>
  <c r="D34" i="22"/>
  <c r="E34" i="22" s="1"/>
  <c r="F34" i="22" s="1"/>
  <c r="D42" i="22"/>
  <c r="E42" i="22" s="1"/>
  <c r="F42" i="22" s="1"/>
  <c r="W42" i="22"/>
  <c r="W58" i="22"/>
  <c r="D58" i="22"/>
  <c r="E58" i="22" s="1"/>
  <c r="F58" i="22" s="1"/>
  <c r="W66" i="22"/>
  <c r="D66" i="22"/>
  <c r="E66" i="22" s="1"/>
  <c r="F66" i="22" s="1"/>
  <c r="D74" i="22"/>
  <c r="E74" i="22" s="1"/>
  <c r="F74" i="22" s="1"/>
  <c r="W74" i="22"/>
  <c r="W82" i="22"/>
  <c r="D82" i="22"/>
  <c r="E82" i="22" s="1"/>
  <c r="F82" i="22" s="1"/>
  <c r="W106" i="22"/>
  <c r="D106" i="22"/>
  <c r="E106" i="22" s="1"/>
  <c r="F106" i="22" s="1"/>
  <c r="W122" i="22"/>
  <c r="D122" i="22"/>
  <c r="E122" i="22" s="1"/>
  <c r="F122" i="22" s="1"/>
  <c r="D138" i="22"/>
  <c r="E138" i="22" s="1"/>
  <c r="F138" i="22" s="1"/>
  <c r="W138" i="22"/>
  <c r="D162" i="22"/>
  <c r="E162" i="22" s="1"/>
  <c r="F162" i="22" s="1"/>
  <c r="W162" i="22"/>
  <c r="D170" i="22"/>
  <c r="E170" i="22" s="1"/>
  <c r="F170" i="22" s="1"/>
  <c r="W170" i="22"/>
  <c r="D186" i="22"/>
  <c r="E186" i="22" s="1"/>
  <c r="F186" i="22" s="1"/>
  <c r="W186" i="22"/>
  <c r="D250" i="22"/>
  <c r="E250" i="22" s="1"/>
  <c r="F250" i="22" s="1"/>
  <c r="W250" i="22"/>
  <c r="D282" i="22"/>
  <c r="E282" i="22" s="1"/>
  <c r="F282" i="22" s="1"/>
  <c r="W282" i="22"/>
  <c r="W290" i="22"/>
  <c r="D290" i="22"/>
  <c r="E290" i="22" s="1"/>
  <c r="F290" i="22" s="1"/>
  <c r="W298" i="22"/>
  <c r="D298" i="22"/>
  <c r="E298" i="22" s="1"/>
  <c r="F298" i="22" s="1"/>
  <c r="W306" i="22"/>
  <c r="D306" i="22"/>
  <c r="E306" i="22" s="1"/>
  <c r="F306" i="22" s="1"/>
  <c r="D322" i="22"/>
  <c r="E322" i="22" s="1"/>
  <c r="F322" i="22" s="1"/>
  <c r="W322" i="22"/>
  <c r="D338" i="22"/>
  <c r="E338" i="22" s="1"/>
  <c r="F338" i="22" s="1"/>
  <c r="W338" i="22"/>
  <c r="D354" i="22"/>
  <c r="E354" i="22" s="1"/>
  <c r="F354" i="22" s="1"/>
  <c r="W354" i="22"/>
  <c r="D362" i="22"/>
  <c r="E362" i="22" s="1"/>
  <c r="F362" i="22" s="1"/>
  <c r="W362" i="22"/>
  <c r="W370" i="22"/>
  <c r="D370" i="22"/>
  <c r="E370" i="22" s="1"/>
  <c r="F370" i="22" s="1"/>
  <c r="W22" i="22"/>
  <c r="D22" i="22"/>
  <c r="E22" i="22" s="1"/>
  <c r="F22" i="22" s="1"/>
  <c r="D31" i="22"/>
  <c r="E31" i="22" s="1"/>
  <c r="F31" i="22" s="1"/>
  <c r="W31" i="22"/>
  <c r="W39" i="22"/>
  <c r="D39" i="22"/>
  <c r="E39" i="22" s="1"/>
  <c r="F39" i="22" s="1"/>
  <c r="D47" i="22"/>
  <c r="E47" i="22" s="1"/>
  <c r="F47" i="22" s="1"/>
  <c r="W47" i="22"/>
  <c r="D127" i="22"/>
  <c r="E127" i="22" s="1"/>
  <c r="F127" i="22" s="1"/>
  <c r="W127" i="22"/>
  <c r="D143" i="22"/>
  <c r="E143" i="22" s="1"/>
  <c r="F143" i="22" s="1"/>
  <c r="W143" i="22"/>
  <c r="D159" i="22"/>
  <c r="E159" i="22" s="1"/>
  <c r="F159" i="22" s="1"/>
  <c r="W159" i="22"/>
  <c r="W175" i="22"/>
  <c r="D175" i="22"/>
  <c r="E175" i="22" s="1"/>
  <c r="F175" i="22" s="1"/>
  <c r="W183" i="22"/>
  <c r="D183" i="22"/>
  <c r="E183" i="22" s="1"/>
  <c r="F183" i="22" s="1"/>
  <c r="W191" i="22"/>
  <c r="D191" i="22"/>
  <c r="E191" i="22" s="1"/>
  <c r="F191" i="22" s="1"/>
  <c r="D199" i="22"/>
  <c r="E199" i="22" s="1"/>
  <c r="F199" i="22" s="1"/>
  <c r="W199" i="22"/>
  <c r="D207" i="22"/>
  <c r="E207" i="22" s="1"/>
  <c r="F207" i="22" s="1"/>
  <c r="W207" i="22"/>
  <c r="D215" i="22"/>
  <c r="E215" i="22" s="1"/>
  <c r="F215" i="22" s="1"/>
  <c r="W215" i="22"/>
  <c r="W223" i="22"/>
  <c r="D223" i="22"/>
  <c r="E223" i="22" s="1"/>
  <c r="F223" i="22" s="1"/>
  <c r="D231" i="22"/>
  <c r="E231" i="22" s="1"/>
  <c r="F231" i="22" s="1"/>
  <c r="W231" i="22"/>
  <c r="D247" i="22"/>
  <c r="E247" i="22" s="1"/>
  <c r="F247" i="22" s="1"/>
  <c r="W247" i="22"/>
  <c r="D255" i="22"/>
  <c r="E255" i="22" s="1"/>
  <c r="F255" i="22" s="1"/>
  <c r="W255" i="22"/>
  <c r="W263" i="22"/>
  <c r="D263" i="22"/>
  <c r="E263" i="22" s="1"/>
  <c r="F263" i="22" s="1"/>
  <c r="W279" i="22"/>
  <c r="D279" i="22"/>
  <c r="E279" i="22" s="1"/>
  <c r="F279" i="22" s="1"/>
  <c r="W311" i="22"/>
  <c r="D311" i="22"/>
  <c r="E311" i="22" s="1"/>
  <c r="F311" i="22" s="1"/>
  <c r="D327" i="22"/>
  <c r="E327" i="22" s="1"/>
  <c r="F327" i="22" s="1"/>
  <c r="W327" i="22"/>
  <c r="D343" i="22"/>
  <c r="E343" i="22" s="1"/>
  <c r="F343" i="22" s="1"/>
  <c r="W343" i="22"/>
  <c r="D359" i="22"/>
  <c r="E359" i="22" s="1"/>
  <c r="F359" i="22" s="1"/>
  <c r="W359" i="22"/>
  <c r="D367" i="22"/>
  <c r="E367" i="22" s="1"/>
  <c r="F367" i="22" s="1"/>
  <c r="W367" i="22"/>
  <c r="D18" i="22"/>
  <c r="E18" i="22" s="1"/>
  <c r="F18" i="22" s="1"/>
  <c r="W18" i="22"/>
  <c r="W24" i="22"/>
  <c r="D24" i="22"/>
  <c r="E24" i="22" s="1"/>
  <c r="F24" i="22" s="1"/>
  <c r="D32" i="22"/>
  <c r="E32" i="22" s="1"/>
  <c r="F32" i="22" s="1"/>
  <c r="W32" i="22"/>
  <c r="D40" i="22"/>
  <c r="E40" i="22" s="1"/>
  <c r="F40" i="22" s="1"/>
  <c r="W40" i="22"/>
  <c r="D48" i="22"/>
  <c r="E48" i="22" s="1"/>
  <c r="F48" i="22" s="1"/>
  <c r="W48" i="22"/>
  <c r="W56" i="22"/>
  <c r="D56" i="22"/>
  <c r="E56" i="22" s="1"/>
  <c r="F56" i="22" s="1"/>
  <c r="D72" i="22"/>
  <c r="E72" i="22" s="1"/>
  <c r="F72" i="22" s="1"/>
  <c r="W72" i="22"/>
  <c r="V88" i="22"/>
  <c r="AH34" i="7"/>
  <c r="W112" i="22"/>
  <c r="D112" i="22"/>
  <c r="E112" i="22" s="1"/>
  <c r="F112" i="22" s="1"/>
  <c r="D120" i="22"/>
  <c r="E120" i="22" s="1"/>
  <c r="F120" i="22" s="1"/>
  <c r="W120" i="22"/>
  <c r="D144" i="22"/>
  <c r="E144" i="22" s="1"/>
  <c r="F144" i="22" s="1"/>
  <c r="W144" i="22"/>
  <c r="W152" i="22"/>
  <c r="D152" i="22"/>
  <c r="E152" i="22" s="1"/>
  <c r="F152" i="22" s="1"/>
  <c r="W168" i="22"/>
  <c r="D168" i="22"/>
  <c r="E168" i="22" s="1"/>
  <c r="F168" i="22" s="1"/>
  <c r="D176" i="22"/>
  <c r="E176" i="22" s="1"/>
  <c r="F176" i="22" s="1"/>
  <c r="W176" i="22"/>
  <c r="D192" i="22"/>
  <c r="E192" i="22" s="1"/>
  <c r="F192" i="22" s="1"/>
  <c r="W192" i="22"/>
  <c r="D200" i="22"/>
  <c r="E200" i="22" s="1"/>
  <c r="F200" i="22" s="1"/>
  <c r="W200" i="22"/>
  <c r="D216" i="22"/>
  <c r="E216" i="22" s="1"/>
  <c r="F216" i="22" s="1"/>
  <c r="W216" i="22"/>
  <c r="W232" i="22"/>
  <c r="D232" i="22"/>
  <c r="E232" i="22" s="1"/>
  <c r="F232" i="22" s="1"/>
  <c r="D240" i="22"/>
  <c r="E240" i="22" s="1"/>
  <c r="F240" i="22" s="1"/>
  <c r="W240" i="22"/>
  <c r="D248" i="22"/>
  <c r="E248" i="22" s="1"/>
  <c r="F248" i="22" s="1"/>
  <c r="W248" i="22"/>
  <c r="D256" i="22"/>
  <c r="E256" i="22" s="1"/>
  <c r="F256" i="22" s="1"/>
  <c r="W256" i="22"/>
  <c r="AH40" i="7"/>
  <c r="V272" i="22"/>
  <c r="D280" i="22"/>
  <c r="E280" i="22" s="1"/>
  <c r="F280" i="22" s="1"/>
  <c r="W280" i="22"/>
  <c r="D288" i="22"/>
  <c r="E288" i="22" s="1"/>
  <c r="F288" i="22" s="1"/>
  <c r="H288" i="22" s="1"/>
  <c r="J288" i="22" s="1"/>
  <c r="W288" i="22"/>
  <c r="W296" i="22"/>
  <c r="D296" i="22"/>
  <c r="E296" i="22" s="1"/>
  <c r="F296" i="22" s="1"/>
  <c r="W328" i="22"/>
  <c r="D328" i="22"/>
  <c r="E328" i="22" s="1"/>
  <c r="F328" i="22" s="1"/>
  <c r="D344" i="22"/>
  <c r="E344" i="22" s="1"/>
  <c r="F344" i="22" s="1"/>
  <c r="W344" i="22"/>
  <c r="D352" i="22"/>
  <c r="E352" i="22" s="1"/>
  <c r="F352" i="22" s="1"/>
  <c r="W352" i="22"/>
  <c r="W360" i="22"/>
  <c r="D360" i="22"/>
  <c r="E360" i="22" s="1"/>
  <c r="F360" i="22" s="1"/>
  <c r="D376" i="22"/>
  <c r="E376" i="22" s="1"/>
  <c r="F376" i="22" s="1"/>
  <c r="W376" i="22"/>
  <c r="D63" i="6"/>
  <c r="W320" i="22"/>
  <c r="AE381" i="23"/>
  <c r="Q351" i="24"/>
  <c r="Q223" i="24"/>
  <c r="AE383" i="23"/>
  <c r="Q287" i="24"/>
  <c r="Q159" i="24"/>
  <c r="AE382" i="23"/>
  <c r="AJ7" i="18"/>
  <c r="Q377" i="24"/>
  <c r="Q319" i="24"/>
  <c r="Q255" i="24"/>
  <c r="Q191" i="24"/>
  <c r="Q127" i="24"/>
  <c r="AI11" i="23"/>
  <c r="AE11" i="24"/>
  <c r="I140" i="20"/>
  <c r="B140" i="6" s="1"/>
  <c r="BA140" i="6" s="1"/>
  <c r="J140" i="20"/>
  <c r="C140" i="6" s="1"/>
  <c r="J92" i="20"/>
  <c r="C92" i="6" s="1"/>
  <c r="I92" i="20"/>
  <c r="B92" i="6" s="1"/>
  <c r="BA92" i="6" s="1"/>
  <c r="D140" i="6"/>
  <c r="D92" i="6"/>
  <c r="J108" i="20"/>
  <c r="C108" i="6" s="1"/>
  <c r="I108" i="20"/>
  <c r="B108" i="6" s="1"/>
  <c r="BA108" i="6" s="1"/>
  <c r="D108" i="6" s="1"/>
  <c r="Q367" i="24"/>
  <c r="Q335" i="24"/>
  <c r="Q303" i="24"/>
  <c r="Q271" i="24"/>
  <c r="Q239" i="24"/>
  <c r="Q207" i="24"/>
  <c r="Q175" i="24"/>
  <c r="Q143" i="24"/>
  <c r="Q107" i="24"/>
  <c r="Q373" i="24"/>
  <c r="Q359" i="24"/>
  <c r="Q343" i="24"/>
  <c r="Q327" i="24"/>
  <c r="Q311" i="24"/>
  <c r="Q295" i="24"/>
  <c r="Q279" i="24"/>
  <c r="Q263" i="24"/>
  <c r="Q247" i="24"/>
  <c r="Q231" i="24"/>
  <c r="Q215" i="24"/>
  <c r="Q199" i="24"/>
  <c r="Q183" i="24"/>
  <c r="Q167" i="24"/>
  <c r="Q151" i="24"/>
  <c r="Q135" i="24"/>
  <c r="Q119" i="24"/>
  <c r="Q79" i="24"/>
  <c r="W75" i="22"/>
  <c r="Q379" i="24"/>
  <c r="Q12" i="25" s="1"/>
  <c r="Q375" i="24"/>
  <c r="Q371" i="24"/>
  <c r="Q363" i="24"/>
  <c r="Q355" i="24"/>
  <c r="Q347" i="24"/>
  <c r="Q339" i="24"/>
  <c r="Q331" i="24"/>
  <c r="Q323" i="24"/>
  <c r="Q315" i="24"/>
  <c r="Q307" i="24"/>
  <c r="Q299" i="24"/>
  <c r="Q291" i="24"/>
  <c r="Q283" i="24"/>
  <c r="Q275" i="24"/>
  <c r="Q267" i="24"/>
  <c r="Q259" i="24"/>
  <c r="Q251" i="24"/>
  <c r="Q243" i="24"/>
  <c r="Q235" i="24"/>
  <c r="Q227" i="24"/>
  <c r="Q219" i="24"/>
  <c r="Q211" i="24"/>
  <c r="Q203" i="24"/>
  <c r="Q195" i="24"/>
  <c r="Q187" i="24"/>
  <c r="Q179" i="24"/>
  <c r="Q171" i="24"/>
  <c r="Q163" i="24"/>
  <c r="Q155" i="24"/>
  <c r="Q147" i="24"/>
  <c r="Q139" i="24"/>
  <c r="Q131" i="24"/>
  <c r="Q123" i="24"/>
  <c r="Q115" i="24"/>
  <c r="Q95" i="24"/>
  <c r="Q63" i="24"/>
  <c r="Q47" i="24"/>
  <c r="Q111" i="24"/>
  <c r="Q103" i="24"/>
  <c r="Q87" i="24"/>
  <c r="Q71" i="24"/>
  <c r="Q55" i="24"/>
  <c r="Q38" i="24"/>
  <c r="Q99" i="24"/>
  <c r="Q91" i="24"/>
  <c r="Q83" i="24"/>
  <c r="Q75" i="24"/>
  <c r="Q67" i="24"/>
  <c r="Q59" i="24"/>
  <c r="Q51" i="24"/>
  <c r="Q43" i="24"/>
  <c r="Q19" i="24"/>
  <c r="Q24" i="24"/>
  <c r="Q28" i="24"/>
  <c r="Q32" i="24"/>
  <c r="Q36" i="24"/>
  <c r="Q40" i="24"/>
  <c r="Q42" i="24"/>
  <c r="Q44" i="24"/>
  <c r="Q46" i="24"/>
  <c r="Q48" i="24"/>
  <c r="Q50" i="24"/>
  <c r="Q52" i="24"/>
  <c r="Q54" i="24"/>
  <c r="Q56" i="24"/>
  <c r="Q58" i="24"/>
  <c r="Q60" i="24"/>
  <c r="Q62" i="24"/>
  <c r="Q64" i="24"/>
  <c r="Q66" i="24"/>
  <c r="Q68" i="24"/>
  <c r="Q70" i="24"/>
  <c r="Q72" i="24"/>
  <c r="Q74" i="24"/>
  <c r="Q76" i="24"/>
  <c r="Q78" i="24"/>
  <c r="Q80" i="24"/>
  <c r="Q82" i="24"/>
  <c r="Q84" i="24"/>
  <c r="Q86" i="24"/>
  <c r="Q88" i="24"/>
  <c r="Q90" i="24"/>
  <c r="Q92" i="24"/>
  <c r="Q94" i="24"/>
  <c r="Q96" i="24"/>
  <c r="Q98" i="24"/>
  <c r="Q100" i="24"/>
  <c r="Q102" i="24"/>
  <c r="Q104" i="24"/>
  <c r="Q106" i="24"/>
  <c r="Q108" i="24"/>
  <c r="Q110" i="24"/>
  <c r="Q112" i="24"/>
  <c r="Q114" i="24"/>
  <c r="Q116" i="24"/>
  <c r="Q118" i="24"/>
  <c r="Q120" i="24"/>
  <c r="Q122" i="24"/>
  <c r="Q124" i="24"/>
  <c r="Q126" i="24"/>
  <c r="Q128" i="24"/>
  <c r="Q130" i="24"/>
  <c r="Q132" i="24"/>
  <c r="Q134" i="24"/>
  <c r="Q136" i="24"/>
  <c r="Q138" i="24"/>
  <c r="Q140" i="24"/>
  <c r="Q142" i="24"/>
  <c r="Q144" i="24"/>
  <c r="Q146" i="24"/>
  <c r="Q148" i="24"/>
  <c r="Q150" i="24"/>
  <c r="Q152" i="24"/>
  <c r="Q154" i="24"/>
  <c r="Q156" i="24"/>
  <c r="Q158" i="24"/>
  <c r="Q160" i="24"/>
  <c r="Q162" i="24"/>
  <c r="Q164" i="24"/>
  <c r="Q166" i="24"/>
  <c r="Q168" i="24"/>
  <c r="Q170" i="24"/>
  <c r="Q172" i="24"/>
  <c r="Q174" i="24"/>
  <c r="Q176" i="24"/>
  <c r="Q178" i="24"/>
  <c r="Q180" i="24"/>
  <c r="Q182" i="24"/>
  <c r="Q184" i="24"/>
  <c r="Q186" i="24"/>
  <c r="Q188" i="24"/>
  <c r="Q190" i="24"/>
  <c r="Q192" i="24"/>
  <c r="Q194" i="24"/>
  <c r="Q196" i="24"/>
  <c r="Q198" i="24"/>
  <c r="Q200" i="24"/>
  <c r="Q202" i="24"/>
  <c r="Q204" i="24"/>
  <c r="Q206" i="24"/>
  <c r="Q208" i="24"/>
  <c r="Q210" i="24"/>
  <c r="Q212" i="24"/>
  <c r="Q214" i="24"/>
  <c r="Q216" i="24"/>
  <c r="Q218" i="24"/>
  <c r="Q220" i="24"/>
  <c r="Q222" i="24"/>
  <c r="Q224" i="24"/>
  <c r="Q226" i="24"/>
  <c r="Q228" i="24"/>
  <c r="Q230" i="24"/>
  <c r="Q232" i="24"/>
  <c r="Q234" i="24"/>
  <c r="Q236" i="24"/>
  <c r="Q238" i="24"/>
  <c r="Q240" i="24"/>
  <c r="Q242" i="24"/>
  <c r="Q244" i="24"/>
  <c r="Q246" i="24"/>
  <c r="Q248" i="24"/>
  <c r="Q250" i="24"/>
  <c r="Q252" i="24"/>
  <c r="Q254" i="24"/>
  <c r="Q256" i="24"/>
  <c r="Q258" i="24"/>
  <c r="Q260" i="24"/>
  <c r="Q262" i="24"/>
  <c r="Q264" i="24"/>
  <c r="Q266" i="24"/>
  <c r="Q268" i="24"/>
  <c r="Q270" i="24"/>
  <c r="Q272" i="24"/>
  <c r="Q274" i="24"/>
  <c r="Q276" i="24"/>
  <c r="Q278" i="24"/>
  <c r="Q280" i="24"/>
  <c r="Q282" i="24"/>
  <c r="Q284" i="24"/>
  <c r="Q286" i="24"/>
  <c r="Q288" i="24"/>
  <c r="Q290" i="24"/>
  <c r="Q292" i="24"/>
  <c r="Q294" i="24"/>
  <c r="Q296" i="24"/>
  <c r="Q298" i="24"/>
  <c r="Q300" i="24"/>
  <c r="Q302" i="24"/>
  <c r="Q304" i="24"/>
  <c r="Q306" i="24"/>
  <c r="Q308" i="24"/>
  <c r="Q310" i="24"/>
  <c r="Q312" i="24"/>
  <c r="Q314" i="24"/>
  <c r="Q316" i="24"/>
  <c r="Q318" i="24"/>
  <c r="Q320" i="24"/>
  <c r="Q322" i="24"/>
  <c r="Q324" i="24"/>
  <c r="Q326" i="24"/>
  <c r="Q328" i="24"/>
  <c r="Q330" i="24"/>
  <c r="Q332" i="24"/>
  <c r="Q334" i="24"/>
  <c r="Q336" i="24"/>
  <c r="Q338" i="24"/>
  <c r="Q340" i="24"/>
  <c r="Q342" i="24"/>
  <c r="Q344" i="24"/>
  <c r="Q346" i="24"/>
  <c r="Q348" i="24"/>
  <c r="Q350" i="24"/>
  <c r="Q352" i="24"/>
  <c r="Q354" i="24"/>
  <c r="Q356" i="24"/>
  <c r="Q358" i="24"/>
  <c r="Q360" i="24"/>
  <c r="Q362" i="24"/>
  <c r="Q364" i="24"/>
  <c r="Q366" i="24"/>
  <c r="Q368" i="24"/>
  <c r="Q370" i="24"/>
  <c r="Q378" i="24"/>
  <c r="Q376" i="24"/>
  <c r="Q374" i="24"/>
  <c r="Q372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9" i="24"/>
  <c r="Q45" i="24"/>
  <c r="Q41" i="24"/>
  <c r="Q34" i="24"/>
  <c r="Q26" i="24"/>
  <c r="Q39" i="24"/>
  <c r="Q37" i="24"/>
  <c r="Q35" i="24"/>
  <c r="Q33" i="24"/>
  <c r="Q31" i="24"/>
  <c r="Q29" i="24"/>
  <c r="Q27" i="24"/>
  <c r="Q25" i="24"/>
  <c r="Q23" i="24"/>
  <c r="Q17" i="24"/>
  <c r="Q18" i="24"/>
  <c r="F67" i="19"/>
  <c r="Q22" i="24"/>
  <c r="Q20" i="24"/>
  <c r="Q15" i="24"/>
  <c r="Q16" i="24"/>
  <c r="AA309" i="22"/>
  <c r="Z309" i="22" s="1"/>
  <c r="Y309" i="22" s="1"/>
  <c r="G309" i="22"/>
  <c r="CC309" i="6" s="1"/>
  <c r="H309" i="22"/>
  <c r="G341" i="22"/>
  <c r="CC341" i="6" s="1"/>
  <c r="AA341" i="22"/>
  <c r="Z341" i="22" s="1"/>
  <c r="Y341" i="22" s="1"/>
  <c r="H341" i="22"/>
  <c r="G357" i="22"/>
  <c r="CC357" i="6" s="1"/>
  <c r="AA357" i="22"/>
  <c r="Z357" i="22" s="1"/>
  <c r="Y357" i="22" s="1"/>
  <c r="G237" i="22"/>
  <c r="CC237" i="6" s="1"/>
  <c r="H237" i="22"/>
  <c r="AA237" i="22"/>
  <c r="Z237" i="22" s="1"/>
  <c r="Y237" i="22" s="1"/>
  <c r="H245" i="22"/>
  <c r="G245" i="22"/>
  <c r="CC245" i="6" s="1"/>
  <c r="AA245" i="22"/>
  <c r="Z245" i="22" s="1"/>
  <c r="Y245" i="22" s="1"/>
  <c r="G317" i="22"/>
  <c r="CC317" i="6" s="1"/>
  <c r="H317" i="22"/>
  <c r="AA317" i="22"/>
  <c r="Z317" i="22" s="1"/>
  <c r="Y317" i="22" s="1"/>
  <c r="G361" i="22"/>
  <c r="CC361" i="6" s="1"/>
  <c r="AA361" i="22"/>
  <c r="Z361" i="22" s="1"/>
  <c r="Y361" i="22" s="1"/>
  <c r="H361" i="22"/>
  <c r="H365" i="22"/>
  <c r="AA365" i="22"/>
  <c r="Z365" i="22" s="1"/>
  <c r="Y365" i="22" s="1"/>
  <c r="G365" i="22"/>
  <c r="CC365" i="6" s="1"/>
  <c r="G118" i="22"/>
  <c r="CC118" i="6" s="1"/>
  <c r="H118" i="22"/>
  <c r="AA118" i="22"/>
  <c r="Z118" i="22" s="1"/>
  <c r="Y118" i="22" s="1"/>
  <c r="G158" i="22"/>
  <c r="CC158" i="6" s="1"/>
  <c r="H158" i="22"/>
  <c r="AA158" i="22"/>
  <c r="Z158" i="22" s="1"/>
  <c r="Y158" i="22" s="1"/>
  <c r="D166" i="22"/>
  <c r="E166" i="22" s="1"/>
  <c r="F166" i="22" s="1"/>
  <c r="W166" i="22"/>
  <c r="G202" i="22"/>
  <c r="CC202" i="6" s="1"/>
  <c r="H202" i="22"/>
  <c r="AA202" i="22"/>
  <c r="Z202" i="22" s="1"/>
  <c r="Y202" i="22" s="1"/>
  <c r="G234" i="22"/>
  <c r="CC234" i="6" s="1"/>
  <c r="AA234" i="22"/>
  <c r="Z234" i="22" s="1"/>
  <c r="Y234" i="22" s="1"/>
  <c r="AA374" i="22"/>
  <c r="Z374" i="22" s="1"/>
  <c r="Y374" i="22" s="1"/>
  <c r="G374" i="22"/>
  <c r="CC374" i="6" s="1"/>
  <c r="H374" i="22"/>
  <c r="G95" i="22"/>
  <c r="CC95" i="6" s="1"/>
  <c r="AA95" i="22"/>
  <c r="Z95" i="22" s="1"/>
  <c r="Y95" i="22" s="1"/>
  <c r="AA103" i="22"/>
  <c r="Z103" i="22" s="1"/>
  <c r="Y103" i="22" s="1"/>
  <c r="H103" i="22"/>
  <c r="G103" i="22"/>
  <c r="CC103" i="6" s="1"/>
  <c r="AA111" i="22"/>
  <c r="Z111" i="22" s="1"/>
  <c r="Y111" i="22" s="1"/>
  <c r="G111" i="22"/>
  <c r="CC111" i="6" s="1"/>
  <c r="AA315" i="22"/>
  <c r="Z315" i="22" s="1"/>
  <c r="Y315" i="22" s="1"/>
  <c r="G315" i="22"/>
  <c r="CC315" i="6" s="1"/>
  <c r="H315" i="22"/>
  <c r="AA156" i="22"/>
  <c r="Z156" i="22" s="1"/>
  <c r="Y156" i="22" s="1"/>
  <c r="H156" i="22"/>
  <c r="G156" i="22"/>
  <c r="CC156" i="6" s="1"/>
  <c r="AA300" i="22"/>
  <c r="Z300" i="22" s="1"/>
  <c r="Y300" i="22" s="1"/>
  <c r="G300" i="22"/>
  <c r="CC300" i="6" s="1"/>
  <c r="AA121" i="22"/>
  <c r="Z121" i="22" s="1"/>
  <c r="Y121" i="22" s="1"/>
  <c r="G121" i="22"/>
  <c r="CC121" i="6" s="1"/>
  <c r="H121" i="22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AA132" i="22"/>
  <c r="Z132" i="22" s="1"/>
  <c r="Y132" i="22" s="1"/>
  <c r="H132" i="22"/>
  <c r="G132" i="22"/>
  <c r="CC132" i="6" s="1"/>
  <c r="D196" i="22"/>
  <c r="E196" i="22" s="1"/>
  <c r="F196" i="22" s="1"/>
  <c r="W196" i="22"/>
  <c r="AA268" i="22"/>
  <c r="Z268" i="22" s="1"/>
  <c r="Y268" i="22" s="1"/>
  <c r="G268" i="22"/>
  <c r="CC268" i="6" s="1"/>
  <c r="G336" i="22"/>
  <c r="CC336" i="6" s="1"/>
  <c r="AA336" i="22"/>
  <c r="Z336" i="22" s="1"/>
  <c r="Y336" i="22" s="1"/>
  <c r="H336" i="22"/>
  <c r="W149" i="22"/>
  <c r="D149" i="22"/>
  <c r="E149" i="22" s="1"/>
  <c r="F149" i="22" s="1"/>
  <c r="AA342" i="22"/>
  <c r="Z342" i="22" s="1"/>
  <c r="Y342" i="22" s="1"/>
  <c r="G342" i="22"/>
  <c r="CC342" i="6" s="1"/>
  <c r="H342" i="22"/>
  <c r="AA131" i="22"/>
  <c r="Z131" i="22" s="1"/>
  <c r="Y131" i="22" s="1"/>
  <c r="G131" i="22"/>
  <c r="CC131" i="6" s="1"/>
  <c r="AA271" i="22"/>
  <c r="Z271" i="22" s="1"/>
  <c r="Y271" i="22" s="1"/>
  <c r="G271" i="22"/>
  <c r="CC271" i="6" s="1"/>
  <c r="G276" i="22"/>
  <c r="CC276" i="6" s="1"/>
  <c r="H276" i="22"/>
  <c r="AA276" i="22"/>
  <c r="Z276" i="22" s="1"/>
  <c r="Y276" i="22" s="1"/>
  <c r="G364" i="22"/>
  <c r="CC364" i="6" s="1"/>
  <c r="H364" i="22"/>
  <c r="AA364" i="22"/>
  <c r="Z364" i="22" s="1"/>
  <c r="Y364" i="22" s="1"/>
  <c r="AA45" i="22"/>
  <c r="Z45" i="22" s="1"/>
  <c r="Y45" i="22" s="1"/>
  <c r="G45" i="22"/>
  <c r="CC45" i="6" s="1"/>
  <c r="G101" i="22"/>
  <c r="CC101" i="6" s="1"/>
  <c r="H101" i="22"/>
  <c r="AA101" i="22"/>
  <c r="Z101" i="22" s="1"/>
  <c r="Y101" i="22" s="1"/>
  <c r="G125" i="22"/>
  <c r="CC125" i="6" s="1"/>
  <c r="H125" i="22"/>
  <c r="AA125" i="22"/>
  <c r="Z125" i="22" s="1"/>
  <c r="Y125" i="22" s="1"/>
  <c r="W349" i="22"/>
  <c r="D349" i="22"/>
  <c r="E349" i="22" s="1"/>
  <c r="F349" i="22" s="1"/>
  <c r="G86" i="22"/>
  <c r="CC86" i="6" s="1"/>
  <c r="AA86" i="22"/>
  <c r="Z86" i="22" s="1"/>
  <c r="Y86" i="22" s="1"/>
  <c r="AA142" i="22"/>
  <c r="Z142" i="22" s="1"/>
  <c r="Y142" i="22" s="1"/>
  <c r="H142" i="22"/>
  <c r="G142" i="22"/>
  <c r="CC142" i="6" s="1"/>
  <c r="AA274" i="22"/>
  <c r="Z274" i="22" s="1"/>
  <c r="Y274" i="22" s="1"/>
  <c r="H274" i="22"/>
  <c r="G274" i="22"/>
  <c r="CC274" i="6" s="1"/>
  <c r="AA55" i="22"/>
  <c r="Z55" i="22" s="1"/>
  <c r="Y55" i="22" s="1"/>
  <c r="H55" i="22"/>
  <c r="G55" i="22"/>
  <c r="CC55" i="6" s="1"/>
  <c r="W135" i="22"/>
  <c r="D135" i="22"/>
  <c r="E135" i="22" s="1"/>
  <c r="F135" i="22" s="1"/>
  <c r="AA203" i="22"/>
  <c r="Z203" i="22" s="1"/>
  <c r="Y203" i="22" s="1"/>
  <c r="G203" i="22"/>
  <c r="CC203" i="6" s="1"/>
  <c r="G28" i="22"/>
  <c r="CC28" i="6" s="1"/>
  <c r="H28" i="22"/>
  <c r="AA28" i="22"/>
  <c r="Z28" i="22" s="1"/>
  <c r="Y28" i="22" s="1"/>
  <c r="AA164" i="22"/>
  <c r="Z164" i="22" s="1"/>
  <c r="Y164" i="22" s="1"/>
  <c r="G164" i="22"/>
  <c r="CC164" i="6" s="1"/>
  <c r="H164" i="22"/>
  <c r="AA217" i="22"/>
  <c r="Z217" i="22" s="1"/>
  <c r="Y217" i="22" s="1"/>
  <c r="G217" i="22"/>
  <c r="CC217" i="6" s="1"/>
  <c r="H217" i="22"/>
  <c r="G297" i="22"/>
  <c r="CC297" i="6" s="1"/>
  <c r="H297" i="22"/>
  <c r="AA297" i="22"/>
  <c r="Z297" i="22" s="1"/>
  <c r="Y297" i="22" s="1"/>
  <c r="W258" i="22"/>
  <c r="D258" i="22"/>
  <c r="E258" i="22" s="1"/>
  <c r="F258" i="22" s="1"/>
  <c r="G286" i="22"/>
  <c r="CC286" i="6" s="1"/>
  <c r="H286" i="22"/>
  <c r="AA286" i="22"/>
  <c r="Z286" i="22" s="1"/>
  <c r="Y286" i="22" s="1"/>
  <c r="AA326" i="22"/>
  <c r="Z326" i="22" s="1"/>
  <c r="Y326" i="22" s="1"/>
  <c r="G326" i="22"/>
  <c r="CC326" i="6" s="1"/>
  <c r="H326" i="22"/>
  <c r="G330" i="22"/>
  <c r="CC330" i="6" s="1"/>
  <c r="AA330" i="22"/>
  <c r="Z330" i="22" s="1"/>
  <c r="Y330" i="22" s="1"/>
  <c r="H330" i="22"/>
  <c r="G378" i="22"/>
  <c r="CC378" i="6" s="1"/>
  <c r="H378" i="22"/>
  <c r="AA378" i="22"/>
  <c r="Z378" i="22" s="1"/>
  <c r="Y378" i="22" s="1"/>
  <c r="AA16" i="22"/>
  <c r="Z16" i="22" s="1"/>
  <c r="Y16" i="22" s="1"/>
  <c r="G16" i="22"/>
  <c r="CC16" i="6" s="1"/>
  <c r="H16" i="22"/>
  <c r="AA27" i="22"/>
  <c r="Z27" i="22" s="1"/>
  <c r="Y27" i="22" s="1"/>
  <c r="G27" i="22"/>
  <c r="CC27" i="6" s="1"/>
  <c r="H27" i="22"/>
  <c r="AA75" i="22"/>
  <c r="Z75" i="22" s="1"/>
  <c r="Y75" i="22" s="1"/>
  <c r="G75" i="22"/>
  <c r="CC75" i="6" s="1"/>
  <c r="H75" i="22"/>
  <c r="AA167" i="22"/>
  <c r="Z167" i="22" s="1"/>
  <c r="Y167" i="22" s="1"/>
  <c r="G167" i="22"/>
  <c r="CC167" i="6" s="1"/>
  <c r="H167" i="22"/>
  <c r="G179" i="22"/>
  <c r="CC179" i="6" s="1"/>
  <c r="AA179" i="22"/>
  <c r="Z179" i="22" s="1"/>
  <c r="Y179" i="22" s="1"/>
  <c r="W227" i="22"/>
  <c r="D227" i="22"/>
  <c r="E227" i="22" s="1"/>
  <c r="F227" i="22" s="1"/>
  <c r="G351" i="22"/>
  <c r="CC351" i="6" s="1"/>
  <c r="H351" i="22"/>
  <c r="AA351" i="22"/>
  <c r="Z351" i="22" s="1"/>
  <c r="Y351" i="22" s="1"/>
  <c r="B66" i="19"/>
  <c r="AA184" i="22"/>
  <c r="Z184" i="22" s="1"/>
  <c r="Y184" i="22" s="1"/>
  <c r="G184" i="22"/>
  <c r="CC184" i="6" s="1"/>
  <c r="H184" i="22"/>
  <c r="AA264" i="22"/>
  <c r="Z264" i="22" s="1"/>
  <c r="Y264" i="22" s="1"/>
  <c r="G264" i="22"/>
  <c r="CC264" i="6" s="1"/>
  <c r="H264" i="22"/>
  <c r="G356" i="22"/>
  <c r="CC356" i="6" s="1"/>
  <c r="AA356" i="22"/>
  <c r="Z356" i="22" s="1"/>
  <c r="Y356" i="22" s="1"/>
  <c r="G85" i="22"/>
  <c r="CC85" i="6" s="1"/>
  <c r="AA85" i="22"/>
  <c r="Z85" i="22" s="1"/>
  <c r="Y85" i="22" s="1"/>
  <c r="AA89" i="22"/>
  <c r="Z89" i="22" s="1"/>
  <c r="Y89" i="22" s="1"/>
  <c r="G89" i="22"/>
  <c r="CC89" i="6" s="1"/>
  <c r="D105" i="22"/>
  <c r="E105" i="22" s="1"/>
  <c r="F105" i="22" s="1"/>
  <c r="W105" i="22"/>
  <c r="AA113" i="22"/>
  <c r="Z113" i="22" s="1"/>
  <c r="Y113" i="22" s="1"/>
  <c r="H113" i="22"/>
  <c r="G113" i="22"/>
  <c r="CC113" i="6" s="1"/>
  <c r="E15" i="18"/>
  <c r="G319" i="22"/>
  <c r="CC319" i="6" s="1"/>
  <c r="H319" i="22"/>
  <c r="AA319" i="22"/>
  <c r="Z319" i="22" s="1"/>
  <c r="Y319" i="22" s="1"/>
  <c r="AA172" i="22"/>
  <c r="Z172" i="22" s="1"/>
  <c r="Y172" i="22" s="1"/>
  <c r="H172" i="22"/>
  <c r="G172" i="22"/>
  <c r="CC172" i="6" s="1"/>
  <c r="G244" i="22"/>
  <c r="CC244" i="6" s="1"/>
  <c r="H244" i="22"/>
  <c r="AA244" i="22"/>
  <c r="Z244" i="22" s="1"/>
  <c r="Y244" i="22" s="1"/>
  <c r="G320" i="22"/>
  <c r="CC320" i="6" s="1"/>
  <c r="AA320" i="22"/>
  <c r="Z320" i="22" s="1"/>
  <c r="Y320" i="22" s="1"/>
  <c r="H73" i="22"/>
  <c r="AA73" i="22"/>
  <c r="Z73" i="22" s="1"/>
  <c r="Y73" i="22" s="1"/>
  <c r="G73" i="22"/>
  <c r="CC73" i="6" s="1"/>
  <c r="G193" i="22"/>
  <c r="CC193" i="6" s="1"/>
  <c r="AA193" i="22"/>
  <c r="Z193" i="22" s="1"/>
  <c r="Y193" i="22" s="1"/>
  <c r="AA257" i="22"/>
  <c r="Z257" i="22" s="1"/>
  <c r="Y257" i="22" s="1"/>
  <c r="H257" i="22"/>
  <c r="G257" i="22"/>
  <c r="CC257" i="6" s="1"/>
  <c r="G90" i="22"/>
  <c r="CC90" i="6" s="1"/>
  <c r="AA90" i="22"/>
  <c r="Z90" i="22" s="1"/>
  <c r="Y90" i="22" s="1"/>
  <c r="H90" i="22"/>
  <c r="G114" i="22"/>
  <c r="CC114" i="6" s="1"/>
  <c r="AA114" i="22"/>
  <c r="Z114" i="22" s="1"/>
  <c r="Y114" i="22" s="1"/>
  <c r="H114" i="22"/>
  <c r="G146" i="22"/>
  <c r="CC146" i="6" s="1"/>
  <c r="H146" i="22"/>
  <c r="AA146" i="22"/>
  <c r="Z146" i="22" s="1"/>
  <c r="Y146" i="22" s="1"/>
  <c r="AA154" i="22"/>
  <c r="Z154" i="22" s="1"/>
  <c r="Y154" i="22" s="1"/>
  <c r="H154" i="22"/>
  <c r="G154" i="22"/>
  <c r="CC154" i="6" s="1"/>
  <c r="AA194" i="22"/>
  <c r="Z194" i="22" s="1"/>
  <c r="Y194" i="22" s="1"/>
  <c r="G194" i="22"/>
  <c r="CC194" i="6" s="1"/>
  <c r="H194" i="22"/>
  <c r="G246" i="22"/>
  <c r="CC246" i="6" s="1"/>
  <c r="H246" i="22"/>
  <c r="AA246" i="22"/>
  <c r="Z246" i="22" s="1"/>
  <c r="Y246" i="22" s="1"/>
  <c r="H314" i="22"/>
  <c r="AA314" i="22"/>
  <c r="Z314" i="22" s="1"/>
  <c r="Y314" i="22" s="1"/>
  <c r="G314" i="22"/>
  <c r="CC314" i="6" s="1"/>
  <c r="G371" i="22"/>
  <c r="CC371" i="6" s="1"/>
  <c r="AA371" i="22"/>
  <c r="Z371" i="22" s="1"/>
  <c r="Y371" i="22" s="1"/>
  <c r="AA116" i="22"/>
  <c r="Z116" i="22" s="1"/>
  <c r="Y116" i="22" s="1"/>
  <c r="H116" i="22"/>
  <c r="G116" i="22"/>
  <c r="CC116" i="6" s="1"/>
  <c r="G145" i="22"/>
  <c r="CC145" i="6" s="1"/>
  <c r="AA145" i="22"/>
  <c r="Z145" i="22" s="1"/>
  <c r="Y145" i="22" s="1"/>
  <c r="G261" i="22"/>
  <c r="CC261" i="6" s="1"/>
  <c r="AA261" i="22"/>
  <c r="Z261" i="22" s="1"/>
  <c r="Y261" i="22" s="1"/>
  <c r="H261" i="22"/>
  <c r="G273" i="22"/>
  <c r="CC273" i="6" s="1"/>
  <c r="H273" i="22"/>
  <c r="AA273" i="22"/>
  <c r="Z273" i="22" s="1"/>
  <c r="Y273" i="22" s="1"/>
  <c r="H198" i="22"/>
  <c r="AA198" i="22"/>
  <c r="Z198" i="22" s="1"/>
  <c r="Y198" i="22" s="1"/>
  <c r="G198" i="22"/>
  <c r="CC198" i="6" s="1"/>
  <c r="AA19" i="22"/>
  <c r="Z19" i="22" s="1"/>
  <c r="Y19" i="22" s="1"/>
  <c r="G19" i="22"/>
  <c r="CC19" i="6" s="1"/>
  <c r="H19" i="22"/>
  <c r="G295" i="22"/>
  <c r="CC295" i="6" s="1"/>
  <c r="AA295" i="22"/>
  <c r="Z295" i="22" s="1"/>
  <c r="Y295" i="22" s="1"/>
  <c r="AA224" i="22"/>
  <c r="Z224" i="22" s="1"/>
  <c r="Y224" i="22" s="1"/>
  <c r="H224" i="22"/>
  <c r="G224" i="22"/>
  <c r="CC224" i="6" s="1"/>
  <c r="G308" i="22"/>
  <c r="CC308" i="6" s="1"/>
  <c r="AA308" i="22"/>
  <c r="Z308" i="22" s="1"/>
  <c r="Y308" i="22" s="1"/>
  <c r="I68" i="20" l="1"/>
  <c r="B68" i="6" s="1"/>
  <c r="BA68" i="6" s="1"/>
  <c r="J68" i="20"/>
  <c r="C68" i="6" s="1"/>
  <c r="I86" i="20"/>
  <c r="J86" i="20"/>
  <c r="C86" i="6" s="1"/>
  <c r="AB4" i="6"/>
  <c r="H145" i="22"/>
  <c r="I145" i="22" s="1"/>
  <c r="B145" i="6"/>
  <c r="BA145" i="6" s="1"/>
  <c r="D145" i="6" s="1"/>
  <c r="H111" i="22"/>
  <c r="I111" i="22" s="1"/>
  <c r="B111" i="6"/>
  <c r="BA111" i="6" s="1"/>
  <c r="D111" i="6" s="1"/>
  <c r="H371" i="22"/>
  <c r="I371" i="22" s="1"/>
  <c r="B371" i="6"/>
  <c r="BA371" i="6" s="1"/>
  <c r="D371" i="6" s="1"/>
  <c r="H123" i="22"/>
  <c r="J123" i="22" s="1"/>
  <c r="B123" i="6"/>
  <c r="BA123" i="6" s="1"/>
  <c r="D123" i="6" s="1"/>
  <c r="H295" i="22"/>
  <c r="J295" i="22" s="1"/>
  <c r="B295" i="6"/>
  <c r="BA295" i="6" s="1"/>
  <c r="H89" i="22"/>
  <c r="I89" i="22" s="1"/>
  <c r="B89" i="6"/>
  <c r="BA89" i="6" s="1"/>
  <c r="D89" i="6" s="1"/>
  <c r="D35" i="6"/>
  <c r="D283" i="6"/>
  <c r="H179" i="22"/>
  <c r="J179" i="22" s="1"/>
  <c r="B179" i="6"/>
  <c r="BA179" i="6" s="1"/>
  <c r="D179" i="6" s="1"/>
  <c r="D211" i="6"/>
  <c r="H131" i="22"/>
  <c r="B131" i="6"/>
  <c r="BA131" i="6" s="1"/>
  <c r="D131" i="6" s="1"/>
  <c r="H193" i="22"/>
  <c r="B193" i="6"/>
  <c r="BA193" i="6" s="1"/>
  <c r="D193" i="6" s="1"/>
  <c r="H85" i="22"/>
  <c r="B85" i="6"/>
  <c r="BA85" i="6" s="1"/>
  <c r="D254" i="6"/>
  <c r="AE4" i="6"/>
  <c r="H308" i="22"/>
  <c r="B308" i="6"/>
  <c r="BA308" i="6" s="1"/>
  <c r="D308" i="6" s="1"/>
  <c r="H271" i="22"/>
  <c r="B271" i="6"/>
  <c r="BA271" i="6" s="1"/>
  <c r="D271" i="6" s="1"/>
  <c r="H137" i="22"/>
  <c r="B137" i="6"/>
  <c r="BA137" i="6" s="1"/>
  <c r="D137" i="6" s="1"/>
  <c r="D143" i="6"/>
  <c r="W4" i="6"/>
  <c r="H95" i="22"/>
  <c r="B95" i="6"/>
  <c r="BA95" i="6" s="1"/>
  <c r="D95" i="6" s="1"/>
  <c r="H357" i="22"/>
  <c r="I357" i="22" s="1"/>
  <c r="B357" i="6"/>
  <c r="BA357" i="6" s="1"/>
  <c r="D357" i="6" s="1"/>
  <c r="H45" i="22"/>
  <c r="I45" i="22" s="1"/>
  <c r="B45" i="6"/>
  <c r="BA45" i="6" s="1"/>
  <c r="H234" i="22"/>
  <c r="J234" i="22" s="1"/>
  <c r="B234" i="6"/>
  <c r="BA234" i="6" s="1"/>
  <c r="D234" i="6" s="1"/>
  <c r="H91" i="22"/>
  <c r="J91" i="22" s="1"/>
  <c r="B91" i="6"/>
  <c r="BA91" i="6" s="1"/>
  <c r="D91" i="6" s="1"/>
  <c r="H203" i="22"/>
  <c r="I203" i="22" s="1"/>
  <c r="B203" i="6"/>
  <c r="BA203" i="6" s="1"/>
  <c r="AK4" i="6"/>
  <c r="H268" i="22"/>
  <c r="B268" i="6"/>
  <c r="BA268" i="6" s="1"/>
  <c r="D268" i="6" s="1"/>
  <c r="AC4" i="6"/>
  <c r="Q383" i="24"/>
  <c r="AA128" i="22"/>
  <c r="Z128" i="22" s="1"/>
  <c r="Y128" i="22" s="1"/>
  <c r="H128" i="22"/>
  <c r="I128" i="22" s="1"/>
  <c r="H84" i="22"/>
  <c r="J84" i="22" s="1"/>
  <c r="D119" i="22"/>
  <c r="E119" i="22" s="1"/>
  <c r="F119" i="22" s="1"/>
  <c r="AA119" i="22" s="1"/>
  <c r="Z119" i="22" s="1"/>
  <c r="Y119" i="22" s="1"/>
  <c r="G130" i="22"/>
  <c r="CC130" i="6" s="1"/>
  <c r="E67" i="19"/>
  <c r="D29" i="22"/>
  <c r="E29" i="22" s="1"/>
  <c r="F29" i="22" s="1"/>
  <c r="G29" i="22" s="1"/>
  <c r="CC29" i="6" s="1"/>
  <c r="H228" i="22"/>
  <c r="I228" i="22" s="1"/>
  <c r="AA123" i="22"/>
  <c r="Z123" i="22" s="1"/>
  <c r="Y123" i="22" s="1"/>
  <c r="N65" i="19"/>
  <c r="AA46" i="22"/>
  <c r="Z46" i="22" s="1"/>
  <c r="Y46" i="22" s="1"/>
  <c r="AA303" i="22"/>
  <c r="Z303" i="22" s="1"/>
  <c r="Y303" i="22" s="1"/>
  <c r="H108" i="22"/>
  <c r="I108" i="22" s="1"/>
  <c r="H67" i="19"/>
  <c r="H99" i="22"/>
  <c r="J99" i="22" s="1"/>
  <c r="H57" i="22"/>
  <c r="J57" i="22" s="1"/>
  <c r="AA80" i="22"/>
  <c r="Z80" i="22" s="1"/>
  <c r="Y80" i="22" s="1"/>
  <c r="AA136" i="22"/>
  <c r="Z136" i="22" s="1"/>
  <c r="Y136" i="22" s="1"/>
  <c r="J38" i="19"/>
  <c r="AF383" i="20"/>
  <c r="AD15" i="20"/>
  <c r="AF382" i="20"/>
  <c r="AF381" i="20"/>
  <c r="G189" i="22"/>
  <c r="CC189" i="6" s="1"/>
  <c r="H51" i="22"/>
  <c r="J51" i="22" s="1"/>
  <c r="H136" i="22"/>
  <c r="J136" i="22" s="1"/>
  <c r="H368" i="22"/>
  <c r="I368" i="22" s="1"/>
  <c r="AA52" i="22"/>
  <c r="Z52" i="22" s="1"/>
  <c r="Y52" i="22" s="1"/>
  <c r="H96" i="22"/>
  <c r="I96" i="22" s="1"/>
  <c r="G211" i="22"/>
  <c r="CC211" i="6" s="1"/>
  <c r="AA51" i="22"/>
  <c r="Z51" i="22" s="1"/>
  <c r="Y51" i="22" s="1"/>
  <c r="H78" i="22"/>
  <c r="I78" i="22" s="1"/>
  <c r="H37" i="22"/>
  <c r="J37" i="22" s="1"/>
  <c r="AA335" i="22"/>
  <c r="Z335" i="22" s="1"/>
  <c r="Y335" i="22" s="1"/>
  <c r="G64" i="22"/>
  <c r="CC64" i="6" s="1"/>
  <c r="AA71" i="22"/>
  <c r="Z71" i="22" s="1"/>
  <c r="Y71" i="22" s="1"/>
  <c r="AA61" i="22"/>
  <c r="Z61" i="22" s="1"/>
  <c r="Y61" i="22" s="1"/>
  <c r="G163" i="22"/>
  <c r="CC163" i="6" s="1"/>
  <c r="G375" i="22"/>
  <c r="CC375" i="6" s="1"/>
  <c r="G187" i="22"/>
  <c r="CC187" i="6" s="1"/>
  <c r="AA91" i="22"/>
  <c r="Z91" i="22" s="1"/>
  <c r="Y91" i="22" s="1"/>
  <c r="AA350" i="22"/>
  <c r="Z350" i="22" s="1"/>
  <c r="Y350" i="22" s="1"/>
  <c r="AA190" i="22"/>
  <c r="Z190" i="22" s="1"/>
  <c r="Y190" i="22" s="1"/>
  <c r="H130" i="22"/>
  <c r="J130" i="22" s="1"/>
  <c r="H104" i="22"/>
  <c r="I104" i="22" s="1"/>
  <c r="G236" i="22"/>
  <c r="CC236" i="6" s="1"/>
  <c r="H64" i="22"/>
  <c r="I64" i="22" s="1"/>
  <c r="H331" i="22"/>
  <c r="J331" i="22" s="1"/>
  <c r="G52" i="22"/>
  <c r="CC52" i="6" s="1"/>
  <c r="AA242" i="22"/>
  <c r="Z242" i="22" s="1"/>
  <c r="Y242" i="22" s="1"/>
  <c r="G150" i="22"/>
  <c r="CC150" i="6" s="1"/>
  <c r="AA189" i="22"/>
  <c r="Z189" i="22" s="1"/>
  <c r="Y189" i="22" s="1"/>
  <c r="AA96" i="22"/>
  <c r="Z96" i="22" s="1"/>
  <c r="Y96" i="22" s="1"/>
  <c r="G78" i="22"/>
  <c r="CC78" i="6" s="1"/>
  <c r="G37" i="22"/>
  <c r="CC37" i="6" s="1"/>
  <c r="G239" i="22"/>
  <c r="CC239" i="6" s="1"/>
  <c r="G139" i="22"/>
  <c r="CC139" i="6" s="1"/>
  <c r="G368" i="22"/>
  <c r="CC368" i="6" s="1"/>
  <c r="G209" i="22"/>
  <c r="CC209" i="6" s="1"/>
  <c r="AA169" i="22"/>
  <c r="Z169" i="22" s="1"/>
  <c r="Y169" i="22" s="1"/>
  <c r="AA304" i="22"/>
  <c r="Z304" i="22" s="1"/>
  <c r="Y304" i="22" s="1"/>
  <c r="H236" i="22"/>
  <c r="I236" i="22" s="1"/>
  <c r="G331" i="22"/>
  <c r="CC331" i="6" s="1"/>
  <c r="AA63" i="22"/>
  <c r="Z63" i="22" s="1"/>
  <c r="Y63" i="22" s="1"/>
  <c r="H30" i="22"/>
  <c r="I30" i="22" s="1"/>
  <c r="H335" i="22"/>
  <c r="J335" i="22" s="1"/>
  <c r="H211" i="22"/>
  <c r="J211" i="22" s="1"/>
  <c r="AA251" i="22"/>
  <c r="Z251" i="22" s="1"/>
  <c r="Y251" i="22" s="1"/>
  <c r="H226" i="22"/>
  <c r="J226" i="22" s="1"/>
  <c r="H178" i="22"/>
  <c r="I178" i="22" s="1"/>
  <c r="AA102" i="22"/>
  <c r="Z102" i="22" s="1"/>
  <c r="Y102" i="22" s="1"/>
  <c r="G208" i="22"/>
  <c r="CC208" i="6" s="1"/>
  <c r="AA269" i="22"/>
  <c r="Z269" i="22" s="1"/>
  <c r="Y269" i="22" s="1"/>
  <c r="I288" i="22"/>
  <c r="H124" i="22"/>
  <c r="I124" i="22" s="1"/>
  <c r="G230" i="22"/>
  <c r="CC230" i="6" s="1"/>
  <c r="H23" i="22"/>
  <c r="I23" i="22" s="1"/>
  <c r="G46" i="22"/>
  <c r="CC46" i="6" s="1"/>
  <c r="H312" i="22"/>
  <c r="J312" i="22" s="1"/>
  <c r="G68" i="22"/>
  <c r="CC68" i="6" s="1"/>
  <c r="G287" i="22"/>
  <c r="CC287" i="6" s="1"/>
  <c r="H79" i="22"/>
  <c r="I79" i="22" s="1"/>
  <c r="AA218" i="22"/>
  <c r="Z218" i="22" s="1"/>
  <c r="Y218" i="22" s="1"/>
  <c r="G190" i="22"/>
  <c r="CC190" i="6" s="1"/>
  <c r="H71" i="22"/>
  <c r="J71" i="22" s="1"/>
  <c r="AA178" i="22"/>
  <c r="Z178" i="22" s="1"/>
  <c r="Y178" i="22" s="1"/>
  <c r="G102" i="22"/>
  <c r="CC102" i="6" s="1"/>
  <c r="H61" i="22"/>
  <c r="I61" i="22" s="1"/>
  <c r="H160" i="22"/>
  <c r="J160" i="22" s="1"/>
  <c r="H269" i="22"/>
  <c r="J269" i="22" s="1"/>
  <c r="G137" i="22"/>
  <c r="CC137" i="6" s="1"/>
  <c r="G84" i="22"/>
  <c r="CC84" i="6" s="1"/>
  <c r="G87" i="22"/>
  <c r="CC87" i="6" s="1"/>
  <c r="AA110" i="22"/>
  <c r="Z110" i="22" s="1"/>
  <c r="Y110" i="22" s="1"/>
  <c r="H375" i="22"/>
  <c r="I375" i="22" s="1"/>
  <c r="AA230" i="22"/>
  <c r="Z230" i="22" s="1"/>
  <c r="Y230" i="22" s="1"/>
  <c r="G57" i="22"/>
  <c r="CC57" i="6" s="1"/>
  <c r="H76" i="22"/>
  <c r="I76" i="22" s="1"/>
  <c r="G312" i="22"/>
  <c r="CC312" i="6" s="1"/>
  <c r="H68" i="22"/>
  <c r="I68" i="22" s="1"/>
  <c r="H287" i="22"/>
  <c r="I287" i="22" s="1"/>
  <c r="G151" i="22"/>
  <c r="CC151" i="6" s="1"/>
  <c r="G99" i="22"/>
  <c r="CC99" i="6" s="1"/>
  <c r="H350" i="22"/>
  <c r="I350" i="22" s="1"/>
  <c r="H238" i="22"/>
  <c r="I238" i="22" s="1"/>
  <c r="H251" i="22"/>
  <c r="I251" i="22" s="1"/>
  <c r="H242" i="22"/>
  <c r="J242" i="22" s="1"/>
  <c r="G50" i="22"/>
  <c r="CC50" i="6" s="1"/>
  <c r="H80" i="22"/>
  <c r="I80" i="22" s="1"/>
  <c r="G33" i="22"/>
  <c r="CC33" i="6" s="1"/>
  <c r="G228" i="22"/>
  <c r="CC228" i="6" s="1"/>
  <c r="G323" i="22"/>
  <c r="CC323" i="6" s="1"/>
  <c r="H182" i="22"/>
  <c r="I182" i="22" s="1"/>
  <c r="H36" i="22"/>
  <c r="J36" i="22" s="1"/>
  <c r="AA30" i="22"/>
  <c r="Z30" i="22" s="1"/>
  <c r="Y30" i="22" s="1"/>
  <c r="AA160" i="22"/>
  <c r="Z160" i="22" s="1"/>
  <c r="Y160" i="22" s="1"/>
  <c r="H87" i="22"/>
  <c r="I87" i="22" s="1"/>
  <c r="H110" i="22"/>
  <c r="J110" i="22" s="1"/>
  <c r="H353" i="22"/>
  <c r="J353" i="22" s="1"/>
  <c r="AA124" i="22"/>
  <c r="Z124" i="22" s="1"/>
  <c r="Y124" i="22" s="1"/>
  <c r="W210" i="22"/>
  <c r="AA23" i="22"/>
  <c r="Z23" i="22" s="1"/>
  <c r="Y23" i="22" s="1"/>
  <c r="G76" i="22"/>
  <c r="CC76" i="6" s="1"/>
  <c r="H303" i="22"/>
  <c r="I303" i="22" s="1"/>
  <c r="H151" i="22"/>
  <c r="J151" i="22" s="1"/>
  <c r="AA79" i="22"/>
  <c r="Z79" i="22" s="1"/>
  <c r="Y79" i="22" s="1"/>
  <c r="AA238" i="22"/>
  <c r="Z238" i="22" s="1"/>
  <c r="Y238" i="22" s="1"/>
  <c r="H187" i="22"/>
  <c r="I187" i="22" s="1"/>
  <c r="H334" i="22"/>
  <c r="J334" i="22" s="1"/>
  <c r="AA92" i="22"/>
  <c r="Z92" i="22" s="1"/>
  <c r="Y92" i="22" s="1"/>
  <c r="G346" i="22"/>
  <c r="CC346" i="6" s="1"/>
  <c r="AA334" i="22"/>
  <c r="Z334" i="22" s="1"/>
  <c r="Y334" i="22" s="1"/>
  <c r="H59" i="22"/>
  <c r="J59" i="22" s="1"/>
  <c r="AA109" i="22"/>
  <c r="Z109" i="22" s="1"/>
  <c r="Y109" i="22" s="1"/>
  <c r="H323" i="22"/>
  <c r="I323" i="22" s="1"/>
  <c r="AA266" i="22"/>
  <c r="Z266" i="22" s="1"/>
  <c r="Y266" i="22" s="1"/>
  <c r="G182" i="22"/>
  <c r="CC182" i="6" s="1"/>
  <c r="G98" i="22"/>
  <c r="CC98" i="6" s="1"/>
  <c r="AA104" i="22"/>
  <c r="Z104" i="22" s="1"/>
  <c r="Y104" i="22" s="1"/>
  <c r="AA209" i="22"/>
  <c r="Z209" i="22" s="1"/>
  <c r="Y209" i="22" s="1"/>
  <c r="AA36" i="22"/>
  <c r="Z36" i="22" s="1"/>
  <c r="Y36" i="22" s="1"/>
  <c r="H337" i="22"/>
  <c r="I337" i="22" s="1"/>
  <c r="H129" i="22"/>
  <c r="J129" i="22" s="1"/>
  <c r="AA21" i="22"/>
  <c r="Z21" i="22" s="1"/>
  <c r="Y21" i="22" s="1"/>
  <c r="H239" i="22"/>
  <c r="I239" i="22" s="1"/>
  <c r="H304" i="22"/>
  <c r="I304" i="22" s="1"/>
  <c r="H346" i="22"/>
  <c r="I346" i="22" s="1"/>
  <c r="H150" i="22"/>
  <c r="I150" i="22" s="1"/>
  <c r="H50" i="22"/>
  <c r="I50" i="22" s="1"/>
  <c r="AA59" i="22"/>
  <c r="Z59" i="22" s="1"/>
  <c r="Y59" i="22" s="1"/>
  <c r="H109" i="22"/>
  <c r="I109" i="22" s="1"/>
  <c r="AA33" i="22"/>
  <c r="Z33" i="22" s="1"/>
  <c r="Y33" i="22" s="1"/>
  <c r="H266" i="22"/>
  <c r="I266" i="22" s="1"/>
  <c r="G161" i="22"/>
  <c r="CC161" i="6" s="1"/>
  <c r="H169" i="22"/>
  <c r="I169" i="22" s="1"/>
  <c r="H21" i="22"/>
  <c r="I21" i="22" s="1"/>
  <c r="H92" i="22"/>
  <c r="J92" i="22" s="1"/>
  <c r="H98" i="22"/>
  <c r="J98" i="22" s="1"/>
  <c r="AA337" i="22"/>
  <c r="Z337" i="22" s="1"/>
  <c r="Y337" i="22" s="1"/>
  <c r="AA129" i="22"/>
  <c r="Z129" i="22" s="1"/>
  <c r="Y129" i="22" s="1"/>
  <c r="H161" i="22"/>
  <c r="J161" i="22" s="1"/>
  <c r="H63" i="22"/>
  <c r="J63" i="22" s="1"/>
  <c r="I119" i="20"/>
  <c r="J119" i="20"/>
  <c r="C119" i="6" s="1"/>
  <c r="AA226" i="22"/>
  <c r="Z226" i="22" s="1"/>
  <c r="Y226" i="22" s="1"/>
  <c r="G353" i="22"/>
  <c r="CC353" i="6" s="1"/>
  <c r="G218" i="22"/>
  <c r="CC218" i="6" s="1"/>
  <c r="H344" i="22"/>
  <c r="AA344" i="22"/>
  <c r="Z344" i="22" s="1"/>
  <c r="Y344" i="22" s="1"/>
  <c r="G344" i="22"/>
  <c r="CC344" i="6" s="1"/>
  <c r="AA280" i="22"/>
  <c r="Z280" i="22" s="1"/>
  <c r="Y280" i="22" s="1"/>
  <c r="H280" i="22"/>
  <c r="G280" i="22"/>
  <c r="CC280" i="6" s="1"/>
  <c r="G256" i="22"/>
  <c r="CC256" i="6" s="1"/>
  <c r="H256" i="22"/>
  <c r="AA256" i="22"/>
  <c r="Z256" i="22" s="1"/>
  <c r="Y256" i="22" s="1"/>
  <c r="AA240" i="22"/>
  <c r="Z240" i="22" s="1"/>
  <c r="Y240" i="22" s="1"/>
  <c r="G240" i="22"/>
  <c r="CC240" i="6" s="1"/>
  <c r="AA200" i="22"/>
  <c r="Z200" i="22" s="1"/>
  <c r="Y200" i="22" s="1"/>
  <c r="G200" i="22"/>
  <c r="CC200" i="6" s="1"/>
  <c r="H200" i="22"/>
  <c r="AA176" i="22"/>
  <c r="Z176" i="22" s="1"/>
  <c r="Y176" i="22" s="1"/>
  <c r="H176" i="22"/>
  <c r="G176" i="22"/>
  <c r="CC176" i="6" s="1"/>
  <c r="H120" i="22"/>
  <c r="G120" i="22"/>
  <c r="CC120" i="6" s="1"/>
  <c r="AA120" i="22"/>
  <c r="Z120" i="22" s="1"/>
  <c r="Y120" i="22" s="1"/>
  <c r="D67" i="19"/>
  <c r="H72" i="22"/>
  <c r="G72" i="22"/>
  <c r="CC72" i="6" s="1"/>
  <c r="AA72" i="22"/>
  <c r="Z72" i="22" s="1"/>
  <c r="Y72" i="22" s="1"/>
  <c r="AA48" i="22"/>
  <c r="Z48" i="22" s="1"/>
  <c r="Y48" i="22" s="1"/>
  <c r="G48" i="22"/>
  <c r="CC48" i="6" s="1"/>
  <c r="H48" i="22"/>
  <c r="H40" i="22"/>
  <c r="G40" i="22"/>
  <c r="CC40" i="6" s="1"/>
  <c r="AA40" i="22"/>
  <c r="Z40" i="22" s="1"/>
  <c r="Y40" i="22" s="1"/>
  <c r="G32" i="22"/>
  <c r="CC32" i="6" s="1"/>
  <c r="AA32" i="22"/>
  <c r="Z32" i="22" s="1"/>
  <c r="Y32" i="22" s="1"/>
  <c r="H32" i="22"/>
  <c r="AA18" i="22"/>
  <c r="Z18" i="22" s="1"/>
  <c r="Y18" i="22" s="1"/>
  <c r="G18" i="22"/>
  <c r="CC18" i="6" s="1"/>
  <c r="H18" i="22"/>
  <c r="G367" i="22"/>
  <c r="CC367" i="6" s="1"/>
  <c r="AA367" i="22"/>
  <c r="Z367" i="22" s="1"/>
  <c r="Y367" i="22" s="1"/>
  <c r="H367" i="22"/>
  <c r="H359" i="22"/>
  <c r="AA359" i="22"/>
  <c r="Z359" i="22" s="1"/>
  <c r="Y359" i="22" s="1"/>
  <c r="G359" i="22"/>
  <c r="CC359" i="6" s="1"/>
  <c r="H343" i="22"/>
  <c r="AA343" i="22"/>
  <c r="Z343" i="22" s="1"/>
  <c r="Y343" i="22" s="1"/>
  <c r="G343" i="22"/>
  <c r="CC343" i="6" s="1"/>
  <c r="G327" i="22"/>
  <c r="CC327" i="6" s="1"/>
  <c r="AA327" i="22"/>
  <c r="Z327" i="22" s="1"/>
  <c r="Y327" i="22" s="1"/>
  <c r="H327" i="22"/>
  <c r="H255" i="22"/>
  <c r="AA255" i="22"/>
  <c r="Z255" i="22" s="1"/>
  <c r="Y255" i="22" s="1"/>
  <c r="G255" i="22"/>
  <c r="CC255" i="6" s="1"/>
  <c r="G247" i="22"/>
  <c r="CC247" i="6" s="1"/>
  <c r="H247" i="22"/>
  <c r="AA247" i="22"/>
  <c r="Z247" i="22" s="1"/>
  <c r="Y247" i="22" s="1"/>
  <c r="H231" i="22"/>
  <c r="G231" i="22"/>
  <c r="CC231" i="6" s="1"/>
  <c r="AA231" i="22"/>
  <c r="Z231" i="22" s="1"/>
  <c r="Y231" i="22" s="1"/>
  <c r="H215" i="22"/>
  <c r="AA215" i="22"/>
  <c r="Z215" i="22" s="1"/>
  <c r="Y215" i="22" s="1"/>
  <c r="G215" i="22"/>
  <c r="CC215" i="6" s="1"/>
  <c r="G207" i="22"/>
  <c r="CC207" i="6" s="1"/>
  <c r="H207" i="22"/>
  <c r="AA207" i="22"/>
  <c r="Z207" i="22" s="1"/>
  <c r="Y207" i="22" s="1"/>
  <c r="AA199" i="22"/>
  <c r="Z199" i="22" s="1"/>
  <c r="Y199" i="22" s="1"/>
  <c r="G199" i="22"/>
  <c r="CC199" i="6" s="1"/>
  <c r="H199" i="22"/>
  <c r="AA159" i="22"/>
  <c r="Z159" i="22" s="1"/>
  <c r="Y159" i="22" s="1"/>
  <c r="G159" i="22"/>
  <c r="CC159" i="6" s="1"/>
  <c r="H159" i="22"/>
  <c r="AA143" i="22"/>
  <c r="Z143" i="22" s="1"/>
  <c r="Y143" i="22" s="1"/>
  <c r="G143" i="22"/>
  <c r="CC143" i="6" s="1"/>
  <c r="H143" i="22"/>
  <c r="G127" i="22"/>
  <c r="CC127" i="6" s="1"/>
  <c r="AA127" i="22"/>
  <c r="Z127" i="22" s="1"/>
  <c r="Y127" i="22" s="1"/>
  <c r="H127" i="22"/>
  <c r="G47" i="22"/>
  <c r="CC47" i="6" s="1"/>
  <c r="H47" i="22"/>
  <c r="AA47" i="22"/>
  <c r="Z47" i="22" s="1"/>
  <c r="Y47" i="22" s="1"/>
  <c r="AA31" i="22"/>
  <c r="Z31" i="22" s="1"/>
  <c r="Y31" i="22" s="1"/>
  <c r="G31" i="22"/>
  <c r="CC31" i="6" s="1"/>
  <c r="H31" i="22"/>
  <c r="AA362" i="22"/>
  <c r="Z362" i="22" s="1"/>
  <c r="Y362" i="22" s="1"/>
  <c r="G362" i="22"/>
  <c r="CC362" i="6" s="1"/>
  <c r="H362" i="22"/>
  <c r="H354" i="22"/>
  <c r="AA354" i="22"/>
  <c r="Z354" i="22" s="1"/>
  <c r="Y354" i="22" s="1"/>
  <c r="G354" i="22"/>
  <c r="CC354" i="6" s="1"/>
  <c r="AA338" i="22"/>
  <c r="Z338" i="22" s="1"/>
  <c r="Y338" i="22" s="1"/>
  <c r="G338" i="22"/>
  <c r="CC338" i="6" s="1"/>
  <c r="H338" i="22"/>
  <c r="G322" i="22"/>
  <c r="CC322" i="6" s="1"/>
  <c r="H322" i="22"/>
  <c r="AA322" i="22"/>
  <c r="Z322" i="22" s="1"/>
  <c r="Y322" i="22" s="1"/>
  <c r="H282" i="22"/>
  <c r="AA282" i="22"/>
  <c r="Z282" i="22" s="1"/>
  <c r="Y282" i="22" s="1"/>
  <c r="G282" i="22"/>
  <c r="CC282" i="6" s="1"/>
  <c r="AA250" i="22"/>
  <c r="Z250" i="22" s="1"/>
  <c r="Y250" i="22" s="1"/>
  <c r="G250" i="22"/>
  <c r="CC250" i="6" s="1"/>
  <c r="H250" i="22"/>
  <c r="G186" i="22"/>
  <c r="CC186" i="6" s="1"/>
  <c r="AA186" i="22"/>
  <c r="Z186" i="22" s="1"/>
  <c r="Y186" i="22" s="1"/>
  <c r="H186" i="22"/>
  <c r="AA170" i="22"/>
  <c r="Z170" i="22" s="1"/>
  <c r="Y170" i="22" s="1"/>
  <c r="H170" i="22"/>
  <c r="G170" i="22"/>
  <c r="CC170" i="6" s="1"/>
  <c r="AA162" i="22"/>
  <c r="Z162" i="22" s="1"/>
  <c r="Y162" i="22" s="1"/>
  <c r="G162" i="22"/>
  <c r="CC162" i="6" s="1"/>
  <c r="H162" i="22"/>
  <c r="AA138" i="22"/>
  <c r="Z138" i="22" s="1"/>
  <c r="Y138" i="22" s="1"/>
  <c r="H138" i="22"/>
  <c r="G138" i="22"/>
  <c r="CC138" i="6" s="1"/>
  <c r="G74" i="22"/>
  <c r="CC74" i="6" s="1"/>
  <c r="AA74" i="22"/>
  <c r="Z74" i="22" s="1"/>
  <c r="Y74" i="22" s="1"/>
  <c r="G42" i="22"/>
  <c r="CC42" i="6" s="1"/>
  <c r="AA42" i="22"/>
  <c r="Z42" i="22" s="1"/>
  <c r="Y42" i="22" s="1"/>
  <c r="H42" i="22"/>
  <c r="H377" i="22"/>
  <c r="AA377" i="22"/>
  <c r="Z377" i="22" s="1"/>
  <c r="Y377" i="22" s="1"/>
  <c r="G377" i="22"/>
  <c r="CC377" i="6" s="1"/>
  <c r="AA345" i="22"/>
  <c r="Z345" i="22" s="1"/>
  <c r="Y345" i="22" s="1"/>
  <c r="G345" i="22"/>
  <c r="CC345" i="6" s="1"/>
  <c r="H345" i="22"/>
  <c r="H321" i="22"/>
  <c r="AA321" i="22"/>
  <c r="Z321" i="22" s="1"/>
  <c r="Y321" i="22" s="1"/>
  <c r="G321" i="22"/>
  <c r="CC321" i="6" s="1"/>
  <c r="G313" i="22"/>
  <c r="CC313" i="6" s="1"/>
  <c r="H313" i="22"/>
  <c r="AA313" i="22"/>
  <c r="Z313" i="22" s="1"/>
  <c r="Y313" i="22" s="1"/>
  <c r="G289" i="22"/>
  <c r="CC289" i="6" s="1"/>
  <c r="AA289" i="22"/>
  <c r="Z289" i="22" s="1"/>
  <c r="Y289" i="22" s="1"/>
  <c r="H289" i="22"/>
  <c r="G265" i="22"/>
  <c r="CC265" i="6" s="1"/>
  <c r="AA265" i="22"/>
  <c r="Z265" i="22" s="1"/>
  <c r="Y265" i="22" s="1"/>
  <c r="H265" i="22"/>
  <c r="AA249" i="22"/>
  <c r="Z249" i="22" s="1"/>
  <c r="Y249" i="22" s="1"/>
  <c r="G249" i="22"/>
  <c r="CC249" i="6" s="1"/>
  <c r="H249" i="22"/>
  <c r="I67" i="19"/>
  <c r="H233" i="22"/>
  <c r="AA233" i="22"/>
  <c r="Z233" i="22" s="1"/>
  <c r="Y233" i="22" s="1"/>
  <c r="G233" i="22"/>
  <c r="CC233" i="6" s="1"/>
  <c r="AA185" i="22"/>
  <c r="Z185" i="22" s="1"/>
  <c r="Y185" i="22" s="1"/>
  <c r="G185" i="22"/>
  <c r="CC185" i="6" s="1"/>
  <c r="H185" i="22"/>
  <c r="AA177" i="22"/>
  <c r="Z177" i="22" s="1"/>
  <c r="Y177" i="22" s="1"/>
  <c r="G177" i="22"/>
  <c r="CC177" i="6" s="1"/>
  <c r="H177" i="22"/>
  <c r="AA97" i="22"/>
  <c r="Z97" i="22" s="1"/>
  <c r="Y97" i="22" s="1"/>
  <c r="G97" i="22"/>
  <c r="CC97" i="6" s="1"/>
  <c r="H97" i="22"/>
  <c r="H49" i="22"/>
  <c r="AA49" i="22"/>
  <c r="Z49" i="22" s="1"/>
  <c r="Y49" i="22" s="1"/>
  <c r="G49" i="22"/>
  <c r="CC49" i="6" s="1"/>
  <c r="AA20" i="22"/>
  <c r="Z20" i="22" s="1"/>
  <c r="Y20" i="22" s="1"/>
  <c r="H20" i="22"/>
  <c r="G20" i="22"/>
  <c r="CC20" i="6" s="1"/>
  <c r="D379" i="18"/>
  <c r="B383" i="18"/>
  <c r="H9" i="18"/>
  <c r="B15" i="19" s="1"/>
  <c r="AJ6" i="18"/>
  <c r="AK6" i="18"/>
  <c r="B382" i="18"/>
  <c r="B381" i="18"/>
  <c r="I77" i="20"/>
  <c r="B77" i="6" s="1"/>
  <c r="BA77" i="6" s="1"/>
  <c r="J77" i="20"/>
  <c r="C77" i="6" s="1"/>
  <c r="J171" i="20"/>
  <c r="C171" i="6" s="1"/>
  <c r="I171" i="20"/>
  <c r="B171" i="6" s="1"/>
  <c r="BA171" i="6" s="1"/>
  <c r="I300" i="20"/>
  <c r="J300" i="20"/>
  <c r="C300" i="6" s="1"/>
  <c r="G372" i="22"/>
  <c r="CC372" i="6" s="1"/>
  <c r="AA372" i="22"/>
  <c r="Z372" i="22" s="1"/>
  <c r="Y372" i="22" s="1"/>
  <c r="H372" i="22"/>
  <c r="G348" i="22"/>
  <c r="CC348" i="6" s="1"/>
  <c r="AA348" i="22"/>
  <c r="Z348" i="22" s="1"/>
  <c r="Y348" i="22" s="1"/>
  <c r="H348" i="22"/>
  <c r="AA324" i="22"/>
  <c r="Z324" i="22" s="1"/>
  <c r="Y324" i="22" s="1"/>
  <c r="G324" i="22"/>
  <c r="CC324" i="6" s="1"/>
  <c r="H324" i="22"/>
  <c r="G292" i="22"/>
  <c r="CC292" i="6" s="1"/>
  <c r="AA292" i="22"/>
  <c r="Z292" i="22" s="1"/>
  <c r="Y292" i="22" s="1"/>
  <c r="H292" i="22"/>
  <c r="AA284" i="22"/>
  <c r="Z284" i="22" s="1"/>
  <c r="Y284" i="22" s="1"/>
  <c r="G284" i="22"/>
  <c r="CC284" i="6" s="1"/>
  <c r="H284" i="22"/>
  <c r="AA260" i="22"/>
  <c r="Z260" i="22" s="1"/>
  <c r="Y260" i="22" s="1"/>
  <c r="G260" i="22"/>
  <c r="CC260" i="6" s="1"/>
  <c r="H260" i="22"/>
  <c r="H252" i="22"/>
  <c r="AA252" i="22"/>
  <c r="Z252" i="22" s="1"/>
  <c r="Y252" i="22" s="1"/>
  <c r="G252" i="22"/>
  <c r="CC252" i="6" s="1"/>
  <c r="AA188" i="22"/>
  <c r="Z188" i="22" s="1"/>
  <c r="Y188" i="22" s="1"/>
  <c r="H188" i="22"/>
  <c r="G188" i="22"/>
  <c r="CC188" i="6" s="1"/>
  <c r="G67" i="19"/>
  <c r="AA140" i="22"/>
  <c r="Z140" i="22" s="1"/>
  <c r="Y140" i="22" s="1"/>
  <c r="G140" i="22"/>
  <c r="CC140" i="6" s="1"/>
  <c r="G108" i="22"/>
  <c r="CC108" i="6" s="1"/>
  <c r="AA108" i="22"/>
  <c r="Z108" i="22" s="1"/>
  <c r="Y108" i="22" s="1"/>
  <c r="H44" i="22"/>
  <c r="AA44" i="22"/>
  <c r="Z44" i="22" s="1"/>
  <c r="Y44" i="22" s="1"/>
  <c r="G44" i="22"/>
  <c r="CC44" i="6" s="1"/>
  <c r="AS16" i="7"/>
  <c r="H355" i="22"/>
  <c r="AA355" i="22"/>
  <c r="Z355" i="22" s="1"/>
  <c r="Y355" i="22" s="1"/>
  <c r="G355" i="22"/>
  <c r="CC355" i="6" s="1"/>
  <c r="G307" i="22"/>
  <c r="CC307" i="6" s="1"/>
  <c r="H307" i="22"/>
  <c r="AA307" i="22"/>
  <c r="Z307" i="22" s="1"/>
  <c r="Y307" i="22" s="1"/>
  <c r="AA291" i="22"/>
  <c r="Z291" i="22" s="1"/>
  <c r="Y291" i="22" s="1"/>
  <c r="H291" i="22"/>
  <c r="G291" i="22"/>
  <c r="CC291" i="6" s="1"/>
  <c r="AA275" i="22"/>
  <c r="Z275" i="22" s="1"/>
  <c r="Y275" i="22" s="1"/>
  <c r="G275" i="22"/>
  <c r="CC275" i="6" s="1"/>
  <c r="H275" i="22"/>
  <c r="G267" i="22"/>
  <c r="CC267" i="6" s="1"/>
  <c r="H267" i="22"/>
  <c r="AA267" i="22"/>
  <c r="Z267" i="22" s="1"/>
  <c r="Y267" i="22" s="1"/>
  <c r="AA243" i="22"/>
  <c r="Z243" i="22" s="1"/>
  <c r="Y243" i="22" s="1"/>
  <c r="G243" i="22"/>
  <c r="CC243" i="6" s="1"/>
  <c r="H243" i="22"/>
  <c r="H235" i="22"/>
  <c r="AA235" i="22"/>
  <c r="Z235" i="22" s="1"/>
  <c r="Y235" i="22" s="1"/>
  <c r="G235" i="22"/>
  <c r="CC235" i="6" s="1"/>
  <c r="G219" i="22"/>
  <c r="CC219" i="6" s="1"/>
  <c r="H219" i="22"/>
  <c r="AA219" i="22"/>
  <c r="Z219" i="22" s="1"/>
  <c r="Y219" i="22" s="1"/>
  <c r="G195" i="22"/>
  <c r="CC195" i="6" s="1"/>
  <c r="AA195" i="22"/>
  <c r="Z195" i="22" s="1"/>
  <c r="Y195" i="22" s="1"/>
  <c r="H195" i="22"/>
  <c r="AA171" i="22"/>
  <c r="Z171" i="22" s="1"/>
  <c r="Y171" i="22" s="1"/>
  <c r="G171" i="22"/>
  <c r="CC171" i="6" s="1"/>
  <c r="H171" i="22"/>
  <c r="G147" i="22"/>
  <c r="CC147" i="6" s="1"/>
  <c r="AA147" i="22"/>
  <c r="Z147" i="22" s="1"/>
  <c r="Y147" i="22" s="1"/>
  <c r="H147" i="22"/>
  <c r="G107" i="22"/>
  <c r="CC107" i="6" s="1"/>
  <c r="H107" i="22"/>
  <c r="AA107" i="22"/>
  <c r="Z107" i="22" s="1"/>
  <c r="Y107" i="22" s="1"/>
  <c r="AA83" i="22"/>
  <c r="Z83" i="22" s="1"/>
  <c r="Y83" i="22" s="1"/>
  <c r="H83" i="22"/>
  <c r="G83" i="22"/>
  <c r="CC83" i="6" s="1"/>
  <c r="AA67" i="22"/>
  <c r="Z67" i="22" s="1"/>
  <c r="Y67" i="22" s="1"/>
  <c r="G67" i="22"/>
  <c r="CC67" i="6" s="1"/>
  <c r="H67" i="22"/>
  <c r="H366" i="22"/>
  <c r="AA366" i="22"/>
  <c r="Z366" i="22" s="1"/>
  <c r="Y366" i="22" s="1"/>
  <c r="G366" i="22"/>
  <c r="CC366" i="6" s="1"/>
  <c r="AA358" i="22"/>
  <c r="Z358" i="22" s="1"/>
  <c r="Y358" i="22" s="1"/>
  <c r="G358" i="22"/>
  <c r="CC358" i="6" s="1"/>
  <c r="H358" i="22"/>
  <c r="H318" i="22"/>
  <c r="AA318" i="22"/>
  <c r="Z318" i="22" s="1"/>
  <c r="Y318" i="22" s="1"/>
  <c r="G318" i="22"/>
  <c r="CC318" i="6" s="1"/>
  <c r="K67" i="19"/>
  <c r="AA294" i="22"/>
  <c r="Z294" i="22" s="1"/>
  <c r="Y294" i="22" s="1"/>
  <c r="G294" i="22"/>
  <c r="CC294" i="6" s="1"/>
  <c r="H294" i="22"/>
  <c r="AA254" i="22"/>
  <c r="Z254" i="22" s="1"/>
  <c r="Y254" i="22" s="1"/>
  <c r="H254" i="22"/>
  <c r="G254" i="22"/>
  <c r="CC254" i="6" s="1"/>
  <c r="G174" i="22"/>
  <c r="CC174" i="6" s="1"/>
  <c r="AA174" i="22"/>
  <c r="Z174" i="22" s="1"/>
  <c r="Y174" i="22" s="1"/>
  <c r="H174" i="22"/>
  <c r="H62" i="22"/>
  <c r="AA62" i="22"/>
  <c r="Z62" i="22" s="1"/>
  <c r="Y62" i="22" s="1"/>
  <c r="G62" i="22"/>
  <c r="CC62" i="6" s="1"/>
  <c r="AA54" i="22"/>
  <c r="Z54" i="22" s="1"/>
  <c r="Y54" i="22" s="1"/>
  <c r="H54" i="22"/>
  <c r="G54" i="22"/>
  <c r="CC54" i="6" s="1"/>
  <c r="H38" i="22"/>
  <c r="AA38" i="22"/>
  <c r="Z38" i="22" s="1"/>
  <c r="Y38" i="22" s="1"/>
  <c r="G38" i="22"/>
  <c r="CC38" i="6" s="1"/>
  <c r="G373" i="22"/>
  <c r="CC373" i="6" s="1"/>
  <c r="H373" i="22"/>
  <c r="AA373" i="22"/>
  <c r="Z373" i="22" s="1"/>
  <c r="Y373" i="22" s="1"/>
  <c r="AA213" i="22"/>
  <c r="Z213" i="22" s="1"/>
  <c r="Y213" i="22" s="1"/>
  <c r="H213" i="22"/>
  <c r="G213" i="22"/>
  <c r="CC213" i="6" s="1"/>
  <c r="AA205" i="22"/>
  <c r="Z205" i="22" s="1"/>
  <c r="Y205" i="22" s="1"/>
  <c r="G205" i="22"/>
  <c r="CC205" i="6" s="1"/>
  <c r="H205" i="22"/>
  <c r="G165" i="22"/>
  <c r="CC165" i="6" s="1"/>
  <c r="AA165" i="22"/>
  <c r="Z165" i="22" s="1"/>
  <c r="Y165" i="22" s="1"/>
  <c r="H165" i="22"/>
  <c r="AA157" i="22"/>
  <c r="Z157" i="22" s="1"/>
  <c r="Y157" i="22" s="1"/>
  <c r="H157" i="22"/>
  <c r="G157" i="22"/>
  <c r="CC157" i="6" s="1"/>
  <c r="AA141" i="22"/>
  <c r="Z141" i="22" s="1"/>
  <c r="Y141" i="22" s="1"/>
  <c r="G141" i="22"/>
  <c r="CC141" i="6" s="1"/>
  <c r="H141" i="22"/>
  <c r="G133" i="22"/>
  <c r="CC133" i="6" s="1"/>
  <c r="H133" i="22"/>
  <c r="AA133" i="22"/>
  <c r="Z133" i="22" s="1"/>
  <c r="Y133" i="22" s="1"/>
  <c r="G117" i="22"/>
  <c r="CC117" i="6" s="1"/>
  <c r="AA117" i="22"/>
  <c r="Z117" i="22" s="1"/>
  <c r="Y117" i="22" s="1"/>
  <c r="H117" i="22"/>
  <c r="H93" i="22"/>
  <c r="AA93" i="22"/>
  <c r="Z93" i="22" s="1"/>
  <c r="Y93" i="22" s="1"/>
  <c r="G93" i="22"/>
  <c r="CC93" i="6" s="1"/>
  <c r="H77" i="22"/>
  <c r="AA77" i="22"/>
  <c r="Z77" i="22" s="1"/>
  <c r="Y77" i="22" s="1"/>
  <c r="G77" i="22"/>
  <c r="CC77" i="6" s="1"/>
  <c r="H69" i="22"/>
  <c r="AA69" i="22"/>
  <c r="Z69" i="22" s="1"/>
  <c r="Y69" i="22" s="1"/>
  <c r="G69" i="22"/>
  <c r="CC69" i="6" s="1"/>
  <c r="J320" i="20"/>
  <c r="C320" i="6" s="1"/>
  <c r="I320" i="20"/>
  <c r="H140" i="22"/>
  <c r="I140" i="22" s="1"/>
  <c r="AA360" i="22"/>
  <c r="Z360" i="22" s="1"/>
  <c r="Y360" i="22" s="1"/>
  <c r="H360" i="22"/>
  <c r="G360" i="22"/>
  <c r="CC360" i="6" s="1"/>
  <c r="G328" i="22"/>
  <c r="CC328" i="6" s="1"/>
  <c r="H328" i="22"/>
  <c r="AA328" i="22"/>
  <c r="Z328" i="22" s="1"/>
  <c r="Y328" i="22" s="1"/>
  <c r="AA296" i="22"/>
  <c r="Z296" i="22" s="1"/>
  <c r="Y296" i="22" s="1"/>
  <c r="G296" i="22"/>
  <c r="CC296" i="6" s="1"/>
  <c r="H296" i="22"/>
  <c r="J67" i="19"/>
  <c r="AA232" i="22"/>
  <c r="Z232" i="22" s="1"/>
  <c r="Y232" i="22" s="1"/>
  <c r="H232" i="22"/>
  <c r="G232" i="22"/>
  <c r="CC232" i="6" s="1"/>
  <c r="G168" i="22"/>
  <c r="CC168" i="6" s="1"/>
  <c r="AA168" i="22"/>
  <c r="Z168" i="22" s="1"/>
  <c r="Y168" i="22" s="1"/>
  <c r="H168" i="22"/>
  <c r="H152" i="22"/>
  <c r="AA152" i="22"/>
  <c r="Z152" i="22" s="1"/>
  <c r="Y152" i="22" s="1"/>
  <c r="G152" i="22"/>
  <c r="CC152" i="6" s="1"/>
  <c r="G112" i="22"/>
  <c r="CC112" i="6" s="1"/>
  <c r="H112" i="22"/>
  <c r="AA112" i="22"/>
  <c r="Z112" i="22" s="1"/>
  <c r="Y112" i="22" s="1"/>
  <c r="H56" i="22"/>
  <c r="AA56" i="22"/>
  <c r="Z56" i="22" s="1"/>
  <c r="Y56" i="22" s="1"/>
  <c r="G56" i="22"/>
  <c r="CC56" i="6" s="1"/>
  <c r="G24" i="22"/>
  <c r="CC24" i="6" s="1"/>
  <c r="AA24" i="22"/>
  <c r="Z24" i="22" s="1"/>
  <c r="Y24" i="22" s="1"/>
  <c r="H24" i="22"/>
  <c r="AA311" i="22"/>
  <c r="Z311" i="22" s="1"/>
  <c r="Y311" i="22" s="1"/>
  <c r="G311" i="22"/>
  <c r="CC311" i="6" s="1"/>
  <c r="H311" i="22"/>
  <c r="G279" i="22"/>
  <c r="CC279" i="6" s="1"/>
  <c r="AA279" i="22"/>
  <c r="Z279" i="22" s="1"/>
  <c r="Y279" i="22" s="1"/>
  <c r="H279" i="22"/>
  <c r="H263" i="22"/>
  <c r="G263" i="22"/>
  <c r="CC263" i="6" s="1"/>
  <c r="AA263" i="22"/>
  <c r="Z263" i="22" s="1"/>
  <c r="Y263" i="22" s="1"/>
  <c r="AA223" i="22"/>
  <c r="Z223" i="22" s="1"/>
  <c r="Y223" i="22" s="1"/>
  <c r="H223" i="22"/>
  <c r="G223" i="22"/>
  <c r="CC223" i="6" s="1"/>
  <c r="G191" i="22"/>
  <c r="CC191" i="6" s="1"/>
  <c r="AA191" i="22"/>
  <c r="Z191" i="22" s="1"/>
  <c r="Y191" i="22" s="1"/>
  <c r="H191" i="22"/>
  <c r="AA183" i="22"/>
  <c r="Z183" i="22" s="1"/>
  <c r="Y183" i="22" s="1"/>
  <c r="G183" i="22"/>
  <c r="CC183" i="6" s="1"/>
  <c r="H183" i="22"/>
  <c r="AA175" i="22"/>
  <c r="Z175" i="22" s="1"/>
  <c r="Y175" i="22" s="1"/>
  <c r="G175" i="22"/>
  <c r="CC175" i="6" s="1"/>
  <c r="H175" i="22"/>
  <c r="G39" i="22"/>
  <c r="CC39" i="6" s="1"/>
  <c r="H39" i="22"/>
  <c r="AA39" i="22"/>
  <c r="Z39" i="22" s="1"/>
  <c r="Y39" i="22" s="1"/>
  <c r="G22" i="22"/>
  <c r="CC22" i="6" s="1"/>
  <c r="AA22" i="22"/>
  <c r="Z22" i="22" s="1"/>
  <c r="Y22" i="22" s="1"/>
  <c r="H22" i="22"/>
  <c r="G370" i="22"/>
  <c r="CC370" i="6" s="1"/>
  <c r="AA370" i="22"/>
  <c r="Z370" i="22" s="1"/>
  <c r="Y370" i="22" s="1"/>
  <c r="H370" i="22"/>
  <c r="AA306" i="22"/>
  <c r="Z306" i="22" s="1"/>
  <c r="Y306" i="22" s="1"/>
  <c r="G306" i="22"/>
  <c r="CC306" i="6" s="1"/>
  <c r="H306" i="22"/>
  <c r="AA298" i="22"/>
  <c r="Z298" i="22" s="1"/>
  <c r="Y298" i="22" s="1"/>
  <c r="G298" i="22"/>
  <c r="CC298" i="6" s="1"/>
  <c r="H298" i="22"/>
  <c r="G290" i="22"/>
  <c r="CC290" i="6" s="1"/>
  <c r="H290" i="22"/>
  <c r="AA290" i="22"/>
  <c r="Z290" i="22" s="1"/>
  <c r="Y290" i="22" s="1"/>
  <c r="H122" i="22"/>
  <c r="G122" i="22"/>
  <c r="CC122" i="6" s="1"/>
  <c r="AA122" i="22"/>
  <c r="Z122" i="22" s="1"/>
  <c r="Y122" i="22" s="1"/>
  <c r="G106" i="22"/>
  <c r="CC106" i="6" s="1"/>
  <c r="AA106" i="22"/>
  <c r="Z106" i="22" s="1"/>
  <c r="Y106" i="22" s="1"/>
  <c r="G82" i="22"/>
  <c r="CC82" i="6" s="1"/>
  <c r="AA82" i="22"/>
  <c r="Z82" i="22" s="1"/>
  <c r="Y82" i="22" s="1"/>
  <c r="H82" i="22"/>
  <c r="G66" i="22"/>
  <c r="CC66" i="6" s="1"/>
  <c r="AA66" i="22"/>
  <c r="Z66" i="22" s="1"/>
  <c r="Y66" i="22" s="1"/>
  <c r="H66" i="22"/>
  <c r="G58" i="22"/>
  <c r="CC58" i="6" s="1"/>
  <c r="AA58" i="22"/>
  <c r="Z58" i="22" s="1"/>
  <c r="Y58" i="22" s="1"/>
  <c r="H58" i="22"/>
  <c r="G34" i="22"/>
  <c r="CC34" i="6" s="1"/>
  <c r="H34" i="22"/>
  <c r="AA34" i="22"/>
  <c r="Z34" i="22" s="1"/>
  <c r="Y34" i="22" s="1"/>
  <c r="G26" i="22"/>
  <c r="CC26" i="6" s="1"/>
  <c r="H26" i="22"/>
  <c r="AA26" i="22"/>
  <c r="Z26" i="22" s="1"/>
  <c r="Y26" i="22" s="1"/>
  <c r="H17" i="22"/>
  <c r="AA17" i="22"/>
  <c r="Z17" i="22" s="1"/>
  <c r="Y17" i="22" s="1"/>
  <c r="G17" i="22"/>
  <c r="CC17" i="6" s="1"/>
  <c r="G369" i="22"/>
  <c r="CC369" i="6" s="1"/>
  <c r="H369" i="22"/>
  <c r="AA369" i="22"/>
  <c r="Z369" i="22" s="1"/>
  <c r="Y369" i="22" s="1"/>
  <c r="G329" i="22"/>
  <c r="CC329" i="6" s="1"/>
  <c r="AA329" i="22"/>
  <c r="Z329" i="22" s="1"/>
  <c r="Y329" i="22" s="1"/>
  <c r="H329" i="22"/>
  <c r="H305" i="22"/>
  <c r="G305" i="22"/>
  <c r="CC305" i="6" s="1"/>
  <c r="AA305" i="22"/>
  <c r="Z305" i="22" s="1"/>
  <c r="Y305" i="22" s="1"/>
  <c r="AA281" i="22"/>
  <c r="Z281" i="22" s="1"/>
  <c r="Y281" i="22" s="1"/>
  <c r="G281" i="22"/>
  <c r="CC281" i="6" s="1"/>
  <c r="H281" i="22"/>
  <c r="H225" i="22"/>
  <c r="AA225" i="22"/>
  <c r="Z225" i="22" s="1"/>
  <c r="Y225" i="22" s="1"/>
  <c r="G225" i="22"/>
  <c r="CC225" i="6" s="1"/>
  <c r="G201" i="22"/>
  <c r="CC201" i="6" s="1"/>
  <c r="AA201" i="22"/>
  <c r="Z201" i="22" s="1"/>
  <c r="Y201" i="22" s="1"/>
  <c r="H201" i="22"/>
  <c r="G153" i="22"/>
  <c r="CC153" i="6" s="1"/>
  <c r="AA153" i="22"/>
  <c r="Z153" i="22" s="1"/>
  <c r="Y153" i="22" s="1"/>
  <c r="H153" i="22"/>
  <c r="AA81" i="22"/>
  <c r="Z81" i="22" s="1"/>
  <c r="Y81" i="22" s="1"/>
  <c r="G81" i="22"/>
  <c r="CC81" i="6" s="1"/>
  <c r="H81" i="22"/>
  <c r="AA65" i="22"/>
  <c r="Z65" i="22" s="1"/>
  <c r="Y65" i="22" s="1"/>
  <c r="H65" i="22"/>
  <c r="G65" i="22"/>
  <c r="CC65" i="6" s="1"/>
  <c r="AA41" i="22"/>
  <c r="Z41" i="22" s="1"/>
  <c r="Y41" i="22" s="1"/>
  <c r="H41" i="22"/>
  <c r="G41" i="22"/>
  <c r="CC41" i="6" s="1"/>
  <c r="AA25" i="22"/>
  <c r="Z25" i="22" s="1"/>
  <c r="Y25" i="22" s="1"/>
  <c r="H25" i="22"/>
  <c r="G25" i="22"/>
  <c r="CC25" i="6" s="1"/>
  <c r="I139" i="20"/>
  <c r="J139" i="20"/>
  <c r="C139" i="6" s="1"/>
  <c r="G38" i="19"/>
  <c r="D14" i="19"/>
  <c r="J352" i="20"/>
  <c r="C352" i="6" s="1"/>
  <c r="I352" i="20"/>
  <c r="B352" i="6" s="1"/>
  <c r="BA352" i="6" s="1"/>
  <c r="D352" i="6" s="1"/>
  <c r="G340" i="22"/>
  <c r="CC340" i="6" s="1"/>
  <c r="H340" i="22"/>
  <c r="AA340" i="22"/>
  <c r="Z340" i="22" s="1"/>
  <c r="Y340" i="22" s="1"/>
  <c r="AA332" i="22"/>
  <c r="Z332" i="22" s="1"/>
  <c r="Y332" i="22" s="1"/>
  <c r="G332" i="22"/>
  <c r="CC332" i="6" s="1"/>
  <c r="H332" i="22"/>
  <c r="G316" i="22"/>
  <c r="CC316" i="6" s="1"/>
  <c r="H316" i="22"/>
  <c r="AA316" i="22"/>
  <c r="Z316" i="22" s="1"/>
  <c r="Y316" i="22" s="1"/>
  <c r="G220" i="22"/>
  <c r="CC220" i="6" s="1"/>
  <c r="AA220" i="22"/>
  <c r="Z220" i="22" s="1"/>
  <c r="Y220" i="22" s="1"/>
  <c r="H220" i="22"/>
  <c r="G212" i="22"/>
  <c r="CC212" i="6" s="1"/>
  <c r="H212" i="22"/>
  <c r="AA212" i="22"/>
  <c r="Z212" i="22" s="1"/>
  <c r="Y212" i="22" s="1"/>
  <c r="AA204" i="22"/>
  <c r="Z204" i="22" s="1"/>
  <c r="Y204" i="22" s="1"/>
  <c r="G204" i="22"/>
  <c r="CC204" i="6" s="1"/>
  <c r="H204" i="22"/>
  <c r="G148" i="22"/>
  <c r="CC148" i="6" s="1"/>
  <c r="H148" i="22"/>
  <c r="AA148" i="22"/>
  <c r="Z148" i="22" s="1"/>
  <c r="Y148" i="22" s="1"/>
  <c r="G100" i="22"/>
  <c r="CC100" i="6" s="1"/>
  <c r="H100" i="22"/>
  <c r="AA100" i="22"/>
  <c r="Z100" i="22" s="1"/>
  <c r="Y100" i="22" s="1"/>
  <c r="C67" i="19"/>
  <c r="S15" i="22"/>
  <c r="T381" i="22"/>
  <c r="T382" i="22"/>
  <c r="T383" i="22"/>
  <c r="AG15" i="22"/>
  <c r="AH383" i="22"/>
  <c r="AH382" i="22"/>
  <c r="AH381" i="22"/>
  <c r="D41" i="19"/>
  <c r="V379" i="22"/>
  <c r="U10" i="23"/>
  <c r="AI152" i="23" s="1"/>
  <c r="AH152" i="23" s="1"/>
  <c r="AG152" i="23" s="1"/>
  <c r="AF152" i="23" s="1"/>
  <c r="AD152" i="23" s="1"/>
  <c r="W363" i="22"/>
  <c r="D363" i="22"/>
  <c r="E363" i="22" s="1"/>
  <c r="F363" i="22" s="1"/>
  <c r="AA347" i="22"/>
  <c r="Z347" i="22" s="1"/>
  <c r="Y347" i="22" s="1"/>
  <c r="G347" i="22"/>
  <c r="CC347" i="6" s="1"/>
  <c r="H347" i="22"/>
  <c r="G339" i="22"/>
  <c r="CC339" i="6" s="1"/>
  <c r="H339" i="22"/>
  <c r="AA339" i="22"/>
  <c r="Z339" i="22" s="1"/>
  <c r="Y339" i="22" s="1"/>
  <c r="H299" i="22"/>
  <c r="AA299" i="22"/>
  <c r="Z299" i="22" s="1"/>
  <c r="Y299" i="22" s="1"/>
  <c r="G299" i="22"/>
  <c r="CC299" i="6" s="1"/>
  <c r="AA283" i="22"/>
  <c r="Z283" i="22" s="1"/>
  <c r="Y283" i="22" s="1"/>
  <c r="G283" i="22"/>
  <c r="CC283" i="6" s="1"/>
  <c r="H283" i="22"/>
  <c r="AA259" i="22"/>
  <c r="Z259" i="22" s="1"/>
  <c r="Y259" i="22" s="1"/>
  <c r="H259" i="22"/>
  <c r="G259" i="22"/>
  <c r="CC259" i="6" s="1"/>
  <c r="G155" i="22"/>
  <c r="CC155" i="6" s="1"/>
  <c r="AA155" i="22"/>
  <c r="Z155" i="22" s="1"/>
  <c r="Y155" i="22" s="1"/>
  <c r="H155" i="22"/>
  <c r="AA115" i="22"/>
  <c r="Z115" i="22" s="1"/>
  <c r="Y115" i="22" s="1"/>
  <c r="G115" i="22"/>
  <c r="CC115" i="6" s="1"/>
  <c r="H115" i="22"/>
  <c r="H43" i="22"/>
  <c r="AA43" i="22"/>
  <c r="Z43" i="22" s="1"/>
  <c r="Y43" i="22" s="1"/>
  <c r="G43" i="22"/>
  <c r="CC43" i="6" s="1"/>
  <c r="G35" i="22"/>
  <c r="CC35" i="6" s="1"/>
  <c r="H35" i="22"/>
  <c r="AA35" i="22"/>
  <c r="Z35" i="22" s="1"/>
  <c r="Y35" i="22" s="1"/>
  <c r="H310" i="22"/>
  <c r="AA310" i="22"/>
  <c r="Z310" i="22" s="1"/>
  <c r="Y310" i="22" s="1"/>
  <c r="G310" i="22"/>
  <c r="CC310" i="6" s="1"/>
  <c r="H278" i="22"/>
  <c r="G278" i="22"/>
  <c r="CC278" i="6" s="1"/>
  <c r="AA278" i="22"/>
  <c r="Z278" i="22" s="1"/>
  <c r="Y278" i="22" s="1"/>
  <c r="AA270" i="22"/>
  <c r="Z270" i="22" s="1"/>
  <c r="Y270" i="22" s="1"/>
  <c r="G270" i="22"/>
  <c r="CC270" i="6" s="1"/>
  <c r="H270" i="22"/>
  <c r="G262" i="22"/>
  <c r="CC262" i="6" s="1"/>
  <c r="AA262" i="22"/>
  <c r="Z262" i="22" s="1"/>
  <c r="Y262" i="22" s="1"/>
  <c r="H262" i="22"/>
  <c r="G222" i="22"/>
  <c r="CC222" i="6" s="1"/>
  <c r="H222" i="22"/>
  <c r="AA222" i="22"/>
  <c r="Z222" i="22" s="1"/>
  <c r="Y222" i="22" s="1"/>
  <c r="H214" i="22"/>
  <c r="AA214" i="22"/>
  <c r="Z214" i="22" s="1"/>
  <c r="Y214" i="22" s="1"/>
  <c r="G214" i="22"/>
  <c r="CC214" i="6" s="1"/>
  <c r="G206" i="22"/>
  <c r="CC206" i="6" s="1"/>
  <c r="H206" i="22"/>
  <c r="AA206" i="22"/>
  <c r="Z206" i="22" s="1"/>
  <c r="Y206" i="22" s="1"/>
  <c r="H134" i="22"/>
  <c r="AA134" i="22"/>
  <c r="Z134" i="22" s="1"/>
  <c r="Y134" i="22" s="1"/>
  <c r="G134" i="22"/>
  <c r="CC134" i="6" s="1"/>
  <c r="G126" i="22"/>
  <c r="CC126" i="6" s="1"/>
  <c r="H126" i="22"/>
  <c r="AA126" i="22"/>
  <c r="Z126" i="22" s="1"/>
  <c r="Y126" i="22" s="1"/>
  <c r="G94" i="22"/>
  <c r="CC94" i="6" s="1"/>
  <c r="AA94" i="22"/>
  <c r="Z94" i="22" s="1"/>
  <c r="Y94" i="22" s="1"/>
  <c r="H94" i="22"/>
  <c r="AA70" i="22"/>
  <c r="Z70" i="22" s="1"/>
  <c r="Y70" i="22" s="1"/>
  <c r="G70" i="22"/>
  <c r="CC70" i="6" s="1"/>
  <c r="H70" i="22"/>
  <c r="L67" i="19"/>
  <c r="G325" i="22"/>
  <c r="CC325" i="6" s="1"/>
  <c r="AA325" i="22"/>
  <c r="Z325" i="22" s="1"/>
  <c r="Y325" i="22" s="1"/>
  <c r="H301" i="22"/>
  <c r="G301" i="22"/>
  <c r="CC301" i="6" s="1"/>
  <c r="AA301" i="22"/>
  <c r="Z301" i="22" s="1"/>
  <c r="Y301" i="22" s="1"/>
  <c r="AA293" i="22"/>
  <c r="Z293" i="22" s="1"/>
  <c r="Y293" i="22" s="1"/>
  <c r="G293" i="22"/>
  <c r="CC293" i="6" s="1"/>
  <c r="H293" i="22"/>
  <c r="H285" i="22"/>
  <c r="AA285" i="22"/>
  <c r="Z285" i="22" s="1"/>
  <c r="Y285" i="22" s="1"/>
  <c r="G285" i="22"/>
  <c r="CC285" i="6" s="1"/>
  <c r="H277" i="22"/>
  <c r="AA277" i="22"/>
  <c r="Z277" i="22" s="1"/>
  <c r="Y277" i="22" s="1"/>
  <c r="G277" i="22"/>
  <c r="CC277" i="6" s="1"/>
  <c r="AA253" i="22"/>
  <c r="Z253" i="22" s="1"/>
  <c r="Y253" i="22" s="1"/>
  <c r="G253" i="22"/>
  <c r="CC253" i="6" s="1"/>
  <c r="H253" i="22"/>
  <c r="G229" i="22"/>
  <c r="CC229" i="6" s="1"/>
  <c r="H229" i="22"/>
  <c r="AA229" i="22"/>
  <c r="Z229" i="22" s="1"/>
  <c r="Y229" i="22" s="1"/>
  <c r="H221" i="22"/>
  <c r="G221" i="22"/>
  <c r="CC221" i="6" s="1"/>
  <c r="AA221" i="22"/>
  <c r="Z221" i="22" s="1"/>
  <c r="Y221" i="22" s="1"/>
  <c r="G197" i="22"/>
  <c r="CC197" i="6" s="1"/>
  <c r="AA197" i="22"/>
  <c r="Z197" i="22" s="1"/>
  <c r="Y197" i="22" s="1"/>
  <c r="H197" i="22"/>
  <c r="AA181" i="22"/>
  <c r="Z181" i="22" s="1"/>
  <c r="Y181" i="22" s="1"/>
  <c r="H181" i="22"/>
  <c r="G181" i="22"/>
  <c r="CC181" i="6" s="1"/>
  <c r="G173" i="22"/>
  <c r="CC173" i="6" s="1"/>
  <c r="AA173" i="22"/>
  <c r="Z173" i="22" s="1"/>
  <c r="Y173" i="22" s="1"/>
  <c r="H173" i="22"/>
  <c r="G53" i="22"/>
  <c r="CC53" i="6" s="1"/>
  <c r="AA53" i="22"/>
  <c r="Z53" i="22" s="1"/>
  <c r="Y53" i="22" s="1"/>
  <c r="H53" i="22"/>
  <c r="V379" i="20"/>
  <c r="B379" i="20" s="1"/>
  <c r="D40" i="19"/>
  <c r="P382" i="20"/>
  <c r="P383" i="20"/>
  <c r="P381" i="20"/>
  <c r="W7" i="7"/>
  <c r="D7" i="6"/>
  <c r="J382" i="17"/>
  <c r="J381" i="17"/>
  <c r="J383" i="17"/>
  <c r="J325" i="20"/>
  <c r="C325" i="6" s="1"/>
  <c r="I325" i="20"/>
  <c r="J163" i="20"/>
  <c r="C163" i="6" s="1"/>
  <c r="I163" i="20"/>
  <c r="AA376" i="22"/>
  <c r="Z376" i="22" s="1"/>
  <c r="Y376" i="22" s="1"/>
  <c r="G376" i="22"/>
  <c r="CC376" i="6" s="1"/>
  <c r="H376" i="22"/>
  <c r="H352" i="22"/>
  <c r="AA352" i="22"/>
  <c r="Z352" i="22" s="1"/>
  <c r="Y352" i="22" s="1"/>
  <c r="G352" i="22"/>
  <c r="CC352" i="6" s="1"/>
  <c r="AA288" i="22"/>
  <c r="Z288" i="22" s="1"/>
  <c r="Y288" i="22" s="1"/>
  <c r="G288" i="22"/>
  <c r="CC288" i="6" s="1"/>
  <c r="G248" i="22"/>
  <c r="CC248" i="6" s="1"/>
  <c r="AA248" i="22"/>
  <c r="Z248" i="22" s="1"/>
  <c r="Y248" i="22" s="1"/>
  <c r="H248" i="22"/>
  <c r="H216" i="22"/>
  <c r="AA216" i="22"/>
  <c r="Z216" i="22" s="1"/>
  <c r="Y216" i="22" s="1"/>
  <c r="G216" i="22"/>
  <c r="CC216" i="6" s="1"/>
  <c r="H192" i="22"/>
  <c r="G192" i="22"/>
  <c r="CC192" i="6" s="1"/>
  <c r="AA192" i="22"/>
  <c r="Z192" i="22" s="1"/>
  <c r="Y192" i="22" s="1"/>
  <c r="G144" i="22"/>
  <c r="CC144" i="6" s="1"/>
  <c r="H144" i="22"/>
  <c r="AA144" i="22"/>
  <c r="Z144" i="22" s="1"/>
  <c r="Y144" i="22" s="1"/>
  <c r="Z382" i="17"/>
  <c r="Z9" i="17"/>
  <c r="Z383" i="17"/>
  <c r="Z381" i="17"/>
  <c r="AL7" i="17"/>
  <c r="Y15" i="17"/>
  <c r="I383" i="17"/>
  <c r="I382" i="17"/>
  <c r="I381" i="17"/>
  <c r="J356" i="20"/>
  <c r="C356" i="6" s="1"/>
  <c r="I356" i="20"/>
  <c r="I240" i="20"/>
  <c r="J240" i="20"/>
  <c r="C240" i="6" s="1"/>
  <c r="J208" i="20"/>
  <c r="C208" i="6" s="1"/>
  <c r="I208" i="20"/>
  <c r="H106" i="22"/>
  <c r="H74" i="22"/>
  <c r="AZ15" i="7"/>
  <c r="AI120" i="23"/>
  <c r="AH120" i="23" s="1"/>
  <c r="AG120" i="23" s="1"/>
  <c r="AF120" i="23" s="1"/>
  <c r="AD120" i="23" s="1"/>
  <c r="AI248" i="23"/>
  <c r="AH248" i="23" s="1"/>
  <c r="AG248" i="23" s="1"/>
  <c r="AF248" i="23" s="1"/>
  <c r="AD248" i="23" s="1"/>
  <c r="AI376" i="23"/>
  <c r="AH376" i="23" s="1"/>
  <c r="AG376" i="23" s="1"/>
  <c r="AF376" i="23" s="1"/>
  <c r="AD376" i="23" s="1"/>
  <c r="AI199" i="23"/>
  <c r="AH199" i="23" s="1"/>
  <c r="AG199" i="23" s="1"/>
  <c r="AF199" i="23" s="1"/>
  <c r="AD199" i="23" s="1"/>
  <c r="AI263" i="23"/>
  <c r="AH263" i="23" s="1"/>
  <c r="AG263" i="23" s="1"/>
  <c r="AF263" i="23" s="1"/>
  <c r="AD263" i="23" s="1"/>
  <c r="AI327" i="23"/>
  <c r="AH327" i="23" s="1"/>
  <c r="AG327" i="23" s="1"/>
  <c r="AF327" i="23" s="1"/>
  <c r="AD327" i="23" s="1"/>
  <c r="AK5" i="20"/>
  <c r="AJ5" i="20"/>
  <c r="AK7" i="18"/>
  <c r="Q381" i="24"/>
  <c r="Q382" i="24"/>
  <c r="J52" i="22"/>
  <c r="I52" i="22"/>
  <c r="I198" i="22"/>
  <c r="J198" i="22"/>
  <c r="I102" i="22"/>
  <c r="J102" i="22"/>
  <c r="J261" i="22"/>
  <c r="I261" i="22"/>
  <c r="J145" i="22"/>
  <c r="J116" i="22"/>
  <c r="I116" i="22"/>
  <c r="J371" i="22"/>
  <c r="J146" i="22"/>
  <c r="I146" i="22"/>
  <c r="J114" i="22"/>
  <c r="I114" i="22"/>
  <c r="J137" i="22"/>
  <c r="I137" i="22"/>
  <c r="J113" i="22"/>
  <c r="I113" i="22"/>
  <c r="J264" i="22"/>
  <c r="I264" i="22"/>
  <c r="I179" i="22"/>
  <c r="I167" i="22"/>
  <c r="J167" i="22"/>
  <c r="I123" i="22"/>
  <c r="J75" i="22"/>
  <c r="I75" i="22"/>
  <c r="J330" i="22"/>
  <c r="I330" i="22"/>
  <c r="I295" i="22"/>
  <c r="J19" i="22"/>
  <c r="I19" i="22"/>
  <c r="I314" i="22"/>
  <c r="J314" i="22"/>
  <c r="I246" i="22"/>
  <c r="J246" i="22"/>
  <c r="J194" i="22"/>
  <c r="I194" i="22"/>
  <c r="J154" i="22"/>
  <c r="I154" i="22"/>
  <c r="I90" i="22"/>
  <c r="J90" i="22"/>
  <c r="J257" i="22"/>
  <c r="I257" i="22"/>
  <c r="J193" i="22"/>
  <c r="I193" i="22"/>
  <c r="I73" i="22"/>
  <c r="J73" i="22"/>
  <c r="J172" i="22"/>
  <c r="I172" i="22"/>
  <c r="W15" i="20"/>
  <c r="D15" i="20"/>
  <c r="J89" i="22"/>
  <c r="J33" i="22"/>
  <c r="I33" i="22"/>
  <c r="J351" i="22"/>
  <c r="I351" i="22"/>
  <c r="AA227" i="22"/>
  <c r="Z227" i="22" s="1"/>
  <c r="Y227" i="22" s="1"/>
  <c r="G227" i="22"/>
  <c r="CC227" i="6" s="1"/>
  <c r="H227" i="22"/>
  <c r="J27" i="22"/>
  <c r="I27" i="22"/>
  <c r="I326" i="22"/>
  <c r="J326" i="22"/>
  <c r="I286" i="22"/>
  <c r="J286" i="22"/>
  <c r="G258" i="22"/>
  <c r="CC258" i="6" s="1"/>
  <c r="AA258" i="22"/>
  <c r="Z258" i="22" s="1"/>
  <c r="Y258" i="22" s="1"/>
  <c r="H258" i="22"/>
  <c r="J28" i="22"/>
  <c r="I28" i="22"/>
  <c r="J55" i="22"/>
  <c r="I55" i="22"/>
  <c r="I142" i="22"/>
  <c r="J142" i="22"/>
  <c r="G349" i="22"/>
  <c r="CC349" i="6" s="1"/>
  <c r="AA349" i="22"/>
  <c r="Z349" i="22" s="1"/>
  <c r="Y349" i="22" s="1"/>
  <c r="H349" i="22"/>
  <c r="I101" i="22"/>
  <c r="J101" i="22"/>
  <c r="J45" i="22"/>
  <c r="I364" i="22"/>
  <c r="J364" i="22"/>
  <c r="J271" i="22"/>
  <c r="I271" i="22"/>
  <c r="I342" i="22"/>
  <c r="J342" i="22"/>
  <c r="G210" i="22"/>
  <c r="CC210" i="6" s="1"/>
  <c r="AA210" i="22"/>
  <c r="Z210" i="22" s="1"/>
  <c r="Y210" i="22" s="1"/>
  <c r="H210" i="22"/>
  <c r="G149" i="22"/>
  <c r="CC149" i="6" s="1"/>
  <c r="H149" i="22"/>
  <c r="AA149" i="22"/>
  <c r="Z149" i="22" s="1"/>
  <c r="Y149" i="22" s="1"/>
  <c r="AE381" i="24"/>
  <c r="AE382" i="24"/>
  <c r="AE383" i="24"/>
  <c r="I46" i="22"/>
  <c r="J46" i="22"/>
  <c r="I121" i="22"/>
  <c r="J121" i="22"/>
  <c r="I156" i="22"/>
  <c r="J156" i="22"/>
  <c r="J111" i="22"/>
  <c r="J103" i="22"/>
  <c r="I103" i="22"/>
  <c r="I234" i="22"/>
  <c r="I218" i="22"/>
  <c r="J218" i="22"/>
  <c r="J202" i="22"/>
  <c r="I202" i="22"/>
  <c r="I365" i="22"/>
  <c r="J365" i="22"/>
  <c r="I341" i="22"/>
  <c r="J341" i="22"/>
  <c r="J308" i="22"/>
  <c r="I308" i="22"/>
  <c r="I224" i="22"/>
  <c r="J224" i="22"/>
  <c r="J273" i="22"/>
  <c r="I273" i="22"/>
  <c r="I189" i="22"/>
  <c r="J189" i="22"/>
  <c r="J244" i="22"/>
  <c r="I244" i="22"/>
  <c r="J319" i="22"/>
  <c r="I319" i="22"/>
  <c r="F15" i="18"/>
  <c r="H105" i="22"/>
  <c r="AA105" i="22"/>
  <c r="Z105" i="22" s="1"/>
  <c r="Y105" i="22" s="1"/>
  <c r="G105" i="22"/>
  <c r="CC105" i="6" s="1"/>
  <c r="I85" i="22"/>
  <c r="J85" i="22"/>
  <c r="I184" i="22"/>
  <c r="J184" i="22"/>
  <c r="I16" i="22"/>
  <c r="J16" i="22"/>
  <c r="J378" i="22"/>
  <c r="I378" i="22"/>
  <c r="J297" i="22"/>
  <c r="I297" i="22"/>
  <c r="J217" i="22"/>
  <c r="I217" i="22"/>
  <c r="I164" i="22"/>
  <c r="J164" i="22"/>
  <c r="J203" i="22"/>
  <c r="AA135" i="22"/>
  <c r="Z135" i="22" s="1"/>
  <c r="Y135" i="22" s="1"/>
  <c r="G135" i="22"/>
  <c r="CC135" i="6" s="1"/>
  <c r="H135" i="22"/>
  <c r="I274" i="22"/>
  <c r="J274" i="22"/>
  <c r="I209" i="22"/>
  <c r="J209" i="22"/>
  <c r="I125" i="22"/>
  <c r="J125" i="22"/>
  <c r="J276" i="22"/>
  <c r="I276" i="22"/>
  <c r="J131" i="22"/>
  <c r="I131" i="22"/>
  <c r="J230" i="22"/>
  <c r="I230" i="22"/>
  <c r="I336" i="22"/>
  <c r="J336" i="22"/>
  <c r="I268" i="22"/>
  <c r="J268" i="22"/>
  <c r="G196" i="22"/>
  <c r="CC196" i="6" s="1"/>
  <c r="H196" i="22"/>
  <c r="AA196" i="22"/>
  <c r="Z196" i="22" s="1"/>
  <c r="Y196" i="22" s="1"/>
  <c r="I132" i="22"/>
  <c r="J132" i="22"/>
  <c r="BE15" i="7"/>
  <c r="Q10" i="25"/>
  <c r="I315" i="22"/>
  <c r="J315" i="22"/>
  <c r="I95" i="22"/>
  <c r="J95" i="22"/>
  <c r="I91" i="22"/>
  <c r="J374" i="22"/>
  <c r="I374" i="22"/>
  <c r="I190" i="22"/>
  <c r="J190" i="22"/>
  <c r="G166" i="22"/>
  <c r="CC166" i="6" s="1"/>
  <c r="AA166" i="22"/>
  <c r="Z166" i="22" s="1"/>
  <c r="Y166" i="22" s="1"/>
  <c r="H166" i="22"/>
  <c r="I158" i="22"/>
  <c r="J158" i="22"/>
  <c r="J118" i="22"/>
  <c r="I118" i="22"/>
  <c r="J361" i="22"/>
  <c r="I361" i="22"/>
  <c r="I317" i="22"/>
  <c r="J317" i="22"/>
  <c r="J245" i="22"/>
  <c r="I245" i="22"/>
  <c r="J237" i="22"/>
  <c r="I237" i="22"/>
  <c r="J357" i="22"/>
  <c r="I309" i="22"/>
  <c r="J309" i="22"/>
  <c r="B86" i="6" l="1"/>
  <c r="BA86" i="6" s="1"/>
  <c r="D86" i="6" s="1"/>
  <c r="H86" i="22"/>
  <c r="D68" i="6"/>
  <c r="Q4" i="6"/>
  <c r="J128" i="22"/>
  <c r="Z4" i="6"/>
  <c r="H240" i="22"/>
  <c r="B240" i="6"/>
  <c r="BA240" i="6" s="1"/>
  <c r="H163" i="22"/>
  <c r="I163" i="22" s="1"/>
  <c r="B163" i="6"/>
  <c r="BA163" i="6" s="1"/>
  <c r="H325" i="22"/>
  <c r="B325" i="6"/>
  <c r="BA325" i="6" s="1"/>
  <c r="H300" i="22"/>
  <c r="I300" i="22" s="1"/>
  <c r="B300" i="6"/>
  <c r="BA300" i="6" s="1"/>
  <c r="D300" i="6" s="1"/>
  <c r="D77" i="6"/>
  <c r="R4" i="6"/>
  <c r="D203" i="6"/>
  <c r="D45" i="6"/>
  <c r="P4" i="6"/>
  <c r="AF4" i="6"/>
  <c r="D295" i="6"/>
  <c r="H208" i="22"/>
  <c r="I208" i="22" s="1"/>
  <c r="B208" i="6"/>
  <c r="BA208" i="6" s="1"/>
  <c r="D208" i="6" s="1"/>
  <c r="H356" i="22"/>
  <c r="I356" i="22" s="1"/>
  <c r="B356" i="6"/>
  <c r="BA356" i="6" s="1"/>
  <c r="H139" i="22"/>
  <c r="J139" i="22" s="1"/>
  <c r="B139" i="6"/>
  <c r="BA139" i="6" s="1"/>
  <c r="H320" i="22"/>
  <c r="I320" i="22" s="1"/>
  <c r="B320" i="6"/>
  <c r="BA320" i="6" s="1"/>
  <c r="D171" i="6"/>
  <c r="Y4" i="6"/>
  <c r="H119" i="22"/>
  <c r="I119" i="22" s="1"/>
  <c r="B119" i="6"/>
  <c r="BA119" i="6" s="1"/>
  <c r="D85" i="6"/>
  <c r="S4" i="6"/>
  <c r="T4" i="6"/>
  <c r="I84" i="22"/>
  <c r="AI359" i="23"/>
  <c r="AH359" i="23" s="1"/>
  <c r="AG359" i="23" s="1"/>
  <c r="AF359" i="23" s="1"/>
  <c r="AD359" i="23" s="1"/>
  <c r="AI295" i="23"/>
  <c r="AH295" i="23" s="1"/>
  <c r="AG295" i="23" s="1"/>
  <c r="AF295" i="23" s="1"/>
  <c r="AD295" i="23" s="1"/>
  <c r="AI231" i="23"/>
  <c r="AH231" i="23" s="1"/>
  <c r="AG231" i="23" s="1"/>
  <c r="AF231" i="23" s="1"/>
  <c r="AD231" i="23" s="1"/>
  <c r="AI165" i="23"/>
  <c r="AH165" i="23" s="1"/>
  <c r="AG165" i="23" s="1"/>
  <c r="AF165" i="23" s="1"/>
  <c r="AD165" i="23" s="1"/>
  <c r="AI312" i="23"/>
  <c r="AH312" i="23" s="1"/>
  <c r="AG312" i="23" s="1"/>
  <c r="AF312" i="23" s="1"/>
  <c r="AD312" i="23" s="1"/>
  <c r="AI184" i="23"/>
  <c r="AH184" i="23" s="1"/>
  <c r="AG184" i="23" s="1"/>
  <c r="AF184" i="23" s="1"/>
  <c r="AD184" i="23" s="1"/>
  <c r="AI375" i="23"/>
  <c r="AH375" i="23" s="1"/>
  <c r="AG375" i="23" s="1"/>
  <c r="AF375" i="23" s="1"/>
  <c r="AD375" i="23" s="1"/>
  <c r="AI343" i="23"/>
  <c r="AH343" i="23" s="1"/>
  <c r="AG343" i="23" s="1"/>
  <c r="AF343" i="23" s="1"/>
  <c r="AD343" i="23" s="1"/>
  <c r="AI311" i="23"/>
  <c r="AH311" i="23" s="1"/>
  <c r="AG311" i="23" s="1"/>
  <c r="AF311" i="23" s="1"/>
  <c r="AD311" i="23" s="1"/>
  <c r="AI279" i="23"/>
  <c r="AH279" i="23" s="1"/>
  <c r="AG279" i="23" s="1"/>
  <c r="AF279" i="23" s="1"/>
  <c r="AD279" i="23" s="1"/>
  <c r="AI247" i="23"/>
  <c r="AH247" i="23" s="1"/>
  <c r="AG247" i="23" s="1"/>
  <c r="AF247" i="23" s="1"/>
  <c r="AD247" i="23" s="1"/>
  <c r="AI215" i="23"/>
  <c r="AH215" i="23" s="1"/>
  <c r="AG215" i="23" s="1"/>
  <c r="AF215" i="23" s="1"/>
  <c r="AD215" i="23" s="1"/>
  <c r="AI183" i="23"/>
  <c r="AH183" i="23" s="1"/>
  <c r="AG183" i="23" s="1"/>
  <c r="AF183" i="23" s="1"/>
  <c r="AD183" i="23" s="1"/>
  <c r="AI133" i="23"/>
  <c r="AH133" i="23" s="1"/>
  <c r="AG133" i="23" s="1"/>
  <c r="AF133" i="23" s="1"/>
  <c r="AD133" i="23" s="1"/>
  <c r="AI344" i="23"/>
  <c r="AH344" i="23" s="1"/>
  <c r="AG344" i="23" s="1"/>
  <c r="AF344" i="23" s="1"/>
  <c r="AD344" i="23" s="1"/>
  <c r="AI280" i="23"/>
  <c r="AH280" i="23" s="1"/>
  <c r="AG280" i="23" s="1"/>
  <c r="AF280" i="23" s="1"/>
  <c r="AD280" i="23" s="1"/>
  <c r="AI216" i="23"/>
  <c r="AH216" i="23" s="1"/>
  <c r="AG216" i="23" s="1"/>
  <c r="AF216" i="23" s="1"/>
  <c r="AD216" i="23" s="1"/>
  <c r="I57" i="22"/>
  <c r="I136" i="22"/>
  <c r="G119" i="22"/>
  <c r="CC119" i="6" s="1"/>
  <c r="AA29" i="22"/>
  <c r="Z29" i="22" s="1"/>
  <c r="Y29" i="22" s="1"/>
  <c r="J228" i="22"/>
  <c r="J78" i="22"/>
  <c r="I331" i="22"/>
  <c r="H29" i="22"/>
  <c r="J29" i="22" s="1"/>
  <c r="J140" i="22"/>
  <c r="I99" i="22"/>
  <c r="I160" i="22"/>
  <c r="J368" i="22"/>
  <c r="AI367" i="23"/>
  <c r="AH367" i="23" s="1"/>
  <c r="AG367" i="23" s="1"/>
  <c r="AF367" i="23" s="1"/>
  <c r="AD367" i="23" s="1"/>
  <c r="AI351" i="23"/>
  <c r="AH351" i="23" s="1"/>
  <c r="AG351" i="23" s="1"/>
  <c r="AF351" i="23" s="1"/>
  <c r="AD351" i="23" s="1"/>
  <c r="AI335" i="23"/>
  <c r="AH335" i="23" s="1"/>
  <c r="AG335" i="23" s="1"/>
  <c r="AF335" i="23" s="1"/>
  <c r="AD335" i="23" s="1"/>
  <c r="AI319" i="23"/>
  <c r="AH319" i="23" s="1"/>
  <c r="AG319" i="23" s="1"/>
  <c r="AF319" i="23" s="1"/>
  <c r="AD319" i="23" s="1"/>
  <c r="AI303" i="23"/>
  <c r="AH303" i="23" s="1"/>
  <c r="AG303" i="23" s="1"/>
  <c r="AF303" i="23" s="1"/>
  <c r="AD303" i="23" s="1"/>
  <c r="AI287" i="23"/>
  <c r="AH287" i="23" s="1"/>
  <c r="AG287" i="23" s="1"/>
  <c r="AF287" i="23" s="1"/>
  <c r="AD287" i="23" s="1"/>
  <c r="AI271" i="23"/>
  <c r="AH271" i="23" s="1"/>
  <c r="AG271" i="23" s="1"/>
  <c r="AF271" i="23" s="1"/>
  <c r="AD271" i="23" s="1"/>
  <c r="AI255" i="23"/>
  <c r="AH255" i="23" s="1"/>
  <c r="AG255" i="23" s="1"/>
  <c r="AF255" i="23" s="1"/>
  <c r="AD255" i="23" s="1"/>
  <c r="AI239" i="23"/>
  <c r="AH239" i="23" s="1"/>
  <c r="AG239" i="23" s="1"/>
  <c r="AF239" i="23" s="1"/>
  <c r="AD239" i="23" s="1"/>
  <c r="AI223" i="23"/>
  <c r="AH223" i="23" s="1"/>
  <c r="AG223" i="23" s="1"/>
  <c r="AF223" i="23" s="1"/>
  <c r="AD223" i="23" s="1"/>
  <c r="AI207" i="23"/>
  <c r="AH207" i="23" s="1"/>
  <c r="AG207" i="23" s="1"/>
  <c r="AF207" i="23" s="1"/>
  <c r="AD207" i="23" s="1"/>
  <c r="AI191" i="23"/>
  <c r="AH191" i="23" s="1"/>
  <c r="AG191" i="23" s="1"/>
  <c r="AF191" i="23" s="1"/>
  <c r="AD191" i="23" s="1"/>
  <c r="AI175" i="23"/>
  <c r="AH175" i="23" s="1"/>
  <c r="AG175" i="23" s="1"/>
  <c r="AF175" i="23" s="1"/>
  <c r="AD175" i="23" s="1"/>
  <c r="AI149" i="23"/>
  <c r="AH149" i="23" s="1"/>
  <c r="AG149" i="23" s="1"/>
  <c r="AF149" i="23" s="1"/>
  <c r="AD149" i="23" s="1"/>
  <c r="AI117" i="23"/>
  <c r="AH117" i="23" s="1"/>
  <c r="AG117" i="23" s="1"/>
  <c r="AF117" i="23" s="1"/>
  <c r="AD117" i="23" s="1"/>
  <c r="AI360" i="23"/>
  <c r="AH360" i="23" s="1"/>
  <c r="AG360" i="23" s="1"/>
  <c r="AF360" i="23" s="1"/>
  <c r="AD360" i="23" s="1"/>
  <c r="AI328" i="23"/>
  <c r="AH328" i="23" s="1"/>
  <c r="AG328" i="23" s="1"/>
  <c r="AF328" i="23" s="1"/>
  <c r="AD328" i="23" s="1"/>
  <c r="AI296" i="23"/>
  <c r="AH296" i="23" s="1"/>
  <c r="AG296" i="23" s="1"/>
  <c r="AF296" i="23" s="1"/>
  <c r="AD296" i="23" s="1"/>
  <c r="AI264" i="23"/>
  <c r="AH264" i="23" s="1"/>
  <c r="AG264" i="23" s="1"/>
  <c r="AF264" i="23" s="1"/>
  <c r="AD264" i="23" s="1"/>
  <c r="AI232" i="23"/>
  <c r="AH232" i="23" s="1"/>
  <c r="AG232" i="23" s="1"/>
  <c r="AF232" i="23" s="1"/>
  <c r="AD232" i="23" s="1"/>
  <c r="AI200" i="23"/>
  <c r="AH200" i="23" s="1"/>
  <c r="AG200" i="23" s="1"/>
  <c r="AF200" i="23" s="1"/>
  <c r="AD200" i="23" s="1"/>
  <c r="AI168" i="23"/>
  <c r="AH168" i="23" s="1"/>
  <c r="AG168" i="23" s="1"/>
  <c r="AF168" i="23" s="1"/>
  <c r="AD168" i="23" s="1"/>
  <c r="AI136" i="23"/>
  <c r="AH136" i="23" s="1"/>
  <c r="AG136" i="23" s="1"/>
  <c r="AF136" i="23" s="1"/>
  <c r="AD136" i="23" s="1"/>
  <c r="AI104" i="23"/>
  <c r="AH104" i="23" s="1"/>
  <c r="I71" i="22"/>
  <c r="J238" i="22"/>
  <c r="I51" i="22"/>
  <c r="J182" i="22"/>
  <c r="J266" i="22"/>
  <c r="I37" i="22"/>
  <c r="AI379" i="23"/>
  <c r="AI12" i="24" s="1"/>
  <c r="AI371" i="23"/>
  <c r="AH371" i="23" s="1"/>
  <c r="AG371" i="23" s="1"/>
  <c r="AF371" i="23" s="1"/>
  <c r="AD371" i="23" s="1"/>
  <c r="AI363" i="23"/>
  <c r="AH363" i="23" s="1"/>
  <c r="AG363" i="23" s="1"/>
  <c r="AF363" i="23" s="1"/>
  <c r="AD363" i="23" s="1"/>
  <c r="AI355" i="23"/>
  <c r="AH355" i="23" s="1"/>
  <c r="AG355" i="23" s="1"/>
  <c r="AF355" i="23" s="1"/>
  <c r="AD355" i="23" s="1"/>
  <c r="AI347" i="23"/>
  <c r="AH347" i="23" s="1"/>
  <c r="AG347" i="23" s="1"/>
  <c r="AF347" i="23" s="1"/>
  <c r="AD347" i="23" s="1"/>
  <c r="AI339" i="23"/>
  <c r="AH339" i="23" s="1"/>
  <c r="AG339" i="23" s="1"/>
  <c r="AF339" i="23" s="1"/>
  <c r="AD339" i="23" s="1"/>
  <c r="AI331" i="23"/>
  <c r="AH331" i="23" s="1"/>
  <c r="AG331" i="23" s="1"/>
  <c r="AF331" i="23" s="1"/>
  <c r="AD331" i="23" s="1"/>
  <c r="AI323" i="23"/>
  <c r="AH323" i="23" s="1"/>
  <c r="AG323" i="23" s="1"/>
  <c r="AF323" i="23" s="1"/>
  <c r="AD323" i="23" s="1"/>
  <c r="AI315" i="23"/>
  <c r="AH315" i="23" s="1"/>
  <c r="AG315" i="23" s="1"/>
  <c r="AF315" i="23" s="1"/>
  <c r="AD315" i="23" s="1"/>
  <c r="AI307" i="23"/>
  <c r="AH307" i="23" s="1"/>
  <c r="AG307" i="23" s="1"/>
  <c r="AF307" i="23" s="1"/>
  <c r="AD307" i="23" s="1"/>
  <c r="AI299" i="23"/>
  <c r="AH299" i="23" s="1"/>
  <c r="AG299" i="23" s="1"/>
  <c r="AF299" i="23" s="1"/>
  <c r="AD299" i="23" s="1"/>
  <c r="AI291" i="23"/>
  <c r="AH291" i="23" s="1"/>
  <c r="AG291" i="23" s="1"/>
  <c r="AF291" i="23" s="1"/>
  <c r="AD291" i="23" s="1"/>
  <c r="AI283" i="23"/>
  <c r="AH283" i="23" s="1"/>
  <c r="AG283" i="23" s="1"/>
  <c r="AF283" i="23" s="1"/>
  <c r="AD283" i="23" s="1"/>
  <c r="AI275" i="23"/>
  <c r="AH275" i="23" s="1"/>
  <c r="AG275" i="23" s="1"/>
  <c r="AF275" i="23" s="1"/>
  <c r="AD275" i="23" s="1"/>
  <c r="AI267" i="23"/>
  <c r="AH267" i="23" s="1"/>
  <c r="AG267" i="23" s="1"/>
  <c r="AF267" i="23" s="1"/>
  <c r="AD267" i="23" s="1"/>
  <c r="AI259" i="23"/>
  <c r="AH259" i="23" s="1"/>
  <c r="AG259" i="23" s="1"/>
  <c r="AF259" i="23" s="1"/>
  <c r="AD259" i="23" s="1"/>
  <c r="AI251" i="23"/>
  <c r="AH251" i="23" s="1"/>
  <c r="AG251" i="23" s="1"/>
  <c r="AF251" i="23" s="1"/>
  <c r="AD251" i="23" s="1"/>
  <c r="AI243" i="23"/>
  <c r="AH243" i="23" s="1"/>
  <c r="AG243" i="23" s="1"/>
  <c r="AF243" i="23" s="1"/>
  <c r="AD243" i="23" s="1"/>
  <c r="AI235" i="23"/>
  <c r="AH235" i="23" s="1"/>
  <c r="AG235" i="23" s="1"/>
  <c r="AF235" i="23" s="1"/>
  <c r="AD235" i="23" s="1"/>
  <c r="AI227" i="23"/>
  <c r="AH227" i="23" s="1"/>
  <c r="AG227" i="23" s="1"/>
  <c r="AF227" i="23" s="1"/>
  <c r="AD227" i="23" s="1"/>
  <c r="AI219" i="23"/>
  <c r="AH219" i="23" s="1"/>
  <c r="AG219" i="23" s="1"/>
  <c r="AF219" i="23" s="1"/>
  <c r="AD219" i="23" s="1"/>
  <c r="AI211" i="23"/>
  <c r="AH211" i="23" s="1"/>
  <c r="AG211" i="23" s="1"/>
  <c r="AF211" i="23" s="1"/>
  <c r="AD211" i="23" s="1"/>
  <c r="AI203" i="23"/>
  <c r="AH203" i="23" s="1"/>
  <c r="AG203" i="23" s="1"/>
  <c r="AF203" i="23" s="1"/>
  <c r="AD203" i="23" s="1"/>
  <c r="AI195" i="23"/>
  <c r="AH195" i="23" s="1"/>
  <c r="AG195" i="23" s="1"/>
  <c r="AF195" i="23" s="1"/>
  <c r="AD195" i="23" s="1"/>
  <c r="AI187" i="23"/>
  <c r="AH187" i="23" s="1"/>
  <c r="AG187" i="23" s="1"/>
  <c r="AF187" i="23" s="1"/>
  <c r="AD187" i="23" s="1"/>
  <c r="AI179" i="23"/>
  <c r="AH179" i="23" s="1"/>
  <c r="AG179" i="23" s="1"/>
  <c r="AF179" i="23" s="1"/>
  <c r="AD179" i="23" s="1"/>
  <c r="AI171" i="23"/>
  <c r="AH171" i="23" s="1"/>
  <c r="AG171" i="23" s="1"/>
  <c r="AF171" i="23" s="1"/>
  <c r="AD171" i="23" s="1"/>
  <c r="AI157" i="23"/>
  <c r="AH157" i="23" s="1"/>
  <c r="AG157" i="23" s="1"/>
  <c r="AF157" i="23" s="1"/>
  <c r="AD157" i="23" s="1"/>
  <c r="AI141" i="23"/>
  <c r="AH141" i="23" s="1"/>
  <c r="AG141" i="23" s="1"/>
  <c r="AF141" i="23" s="1"/>
  <c r="AD141" i="23" s="1"/>
  <c r="AI125" i="23"/>
  <c r="AH125" i="23" s="1"/>
  <c r="AG125" i="23" s="1"/>
  <c r="AF125" i="23" s="1"/>
  <c r="AD125" i="23" s="1"/>
  <c r="AI109" i="23"/>
  <c r="AH109" i="23" s="1"/>
  <c r="AG109" i="23" s="1"/>
  <c r="AF109" i="23" s="1"/>
  <c r="AD109" i="23" s="1"/>
  <c r="AI368" i="23"/>
  <c r="AH368" i="23" s="1"/>
  <c r="AG368" i="23" s="1"/>
  <c r="AF368" i="23" s="1"/>
  <c r="AD368" i="23" s="1"/>
  <c r="AI352" i="23"/>
  <c r="AH352" i="23" s="1"/>
  <c r="AG352" i="23" s="1"/>
  <c r="AF352" i="23" s="1"/>
  <c r="AD352" i="23" s="1"/>
  <c r="AI336" i="23"/>
  <c r="AH336" i="23" s="1"/>
  <c r="AG336" i="23" s="1"/>
  <c r="AF336" i="23" s="1"/>
  <c r="AD336" i="23" s="1"/>
  <c r="AI320" i="23"/>
  <c r="AH320" i="23" s="1"/>
  <c r="AG320" i="23" s="1"/>
  <c r="AF320" i="23" s="1"/>
  <c r="AD320" i="23" s="1"/>
  <c r="AI304" i="23"/>
  <c r="AH304" i="23" s="1"/>
  <c r="AG304" i="23" s="1"/>
  <c r="AF304" i="23" s="1"/>
  <c r="AD304" i="23" s="1"/>
  <c r="AI288" i="23"/>
  <c r="AH288" i="23" s="1"/>
  <c r="AG288" i="23" s="1"/>
  <c r="AF288" i="23" s="1"/>
  <c r="AD288" i="23" s="1"/>
  <c r="AI272" i="23"/>
  <c r="AH272" i="23" s="1"/>
  <c r="AG272" i="23" s="1"/>
  <c r="AF272" i="23" s="1"/>
  <c r="AD272" i="23" s="1"/>
  <c r="AI256" i="23"/>
  <c r="AH256" i="23" s="1"/>
  <c r="AG256" i="23" s="1"/>
  <c r="AF256" i="23" s="1"/>
  <c r="AD256" i="23" s="1"/>
  <c r="AI240" i="23"/>
  <c r="AH240" i="23" s="1"/>
  <c r="AG240" i="23" s="1"/>
  <c r="AF240" i="23" s="1"/>
  <c r="AD240" i="23" s="1"/>
  <c r="AI224" i="23"/>
  <c r="AH224" i="23" s="1"/>
  <c r="AG224" i="23" s="1"/>
  <c r="AF224" i="23" s="1"/>
  <c r="AD224" i="23" s="1"/>
  <c r="AI208" i="23"/>
  <c r="AH208" i="23" s="1"/>
  <c r="AG208" i="23" s="1"/>
  <c r="AF208" i="23" s="1"/>
  <c r="AD208" i="23" s="1"/>
  <c r="AI192" i="23"/>
  <c r="AH192" i="23" s="1"/>
  <c r="AG192" i="23" s="1"/>
  <c r="AF192" i="23" s="1"/>
  <c r="AD192" i="23" s="1"/>
  <c r="AI176" i="23"/>
  <c r="AH176" i="23" s="1"/>
  <c r="AG176" i="23" s="1"/>
  <c r="AF176" i="23" s="1"/>
  <c r="AD176" i="23" s="1"/>
  <c r="AI160" i="23"/>
  <c r="AH160" i="23" s="1"/>
  <c r="AG160" i="23" s="1"/>
  <c r="AF160" i="23" s="1"/>
  <c r="AD160" i="23" s="1"/>
  <c r="AI144" i="23"/>
  <c r="AH144" i="23" s="1"/>
  <c r="AG144" i="23" s="1"/>
  <c r="AF144" i="23" s="1"/>
  <c r="AD144" i="23" s="1"/>
  <c r="AI128" i="23"/>
  <c r="AH128" i="23" s="1"/>
  <c r="AG128" i="23" s="1"/>
  <c r="AF128" i="23" s="1"/>
  <c r="AD128" i="23" s="1"/>
  <c r="AI112" i="23"/>
  <c r="AH112" i="23" s="1"/>
  <c r="AG112" i="23" s="1"/>
  <c r="AF112" i="23" s="1"/>
  <c r="AD112" i="23" s="1"/>
  <c r="J108" i="22"/>
  <c r="E14" i="19"/>
  <c r="AD382" i="20"/>
  <c r="AD383" i="20"/>
  <c r="AD381" i="20"/>
  <c r="J169" i="22"/>
  <c r="J104" i="22"/>
  <c r="I92" i="22"/>
  <c r="J96" i="22"/>
  <c r="I130" i="22"/>
  <c r="J287" i="22"/>
  <c r="I312" i="22"/>
  <c r="J23" i="22"/>
  <c r="J109" i="22"/>
  <c r="I242" i="22"/>
  <c r="J124" i="22"/>
  <c r="I211" i="22"/>
  <c r="I226" i="22"/>
  <c r="I151" i="22"/>
  <c r="I129" i="22"/>
  <c r="J323" i="22"/>
  <c r="I59" i="22"/>
  <c r="J50" i="22"/>
  <c r="I334" i="22"/>
  <c r="J30" i="22"/>
  <c r="J64" i="22"/>
  <c r="J375" i="22"/>
  <c r="I353" i="22"/>
  <c r="J87" i="22"/>
  <c r="J239" i="22"/>
  <c r="J80" i="22"/>
  <c r="J346" i="22"/>
  <c r="I110" i="22"/>
  <c r="I161" i="22"/>
  <c r="J350" i="22"/>
  <c r="J251" i="22"/>
  <c r="J236" i="22"/>
  <c r="I335" i="22"/>
  <c r="J68" i="22"/>
  <c r="J76" i="22"/>
  <c r="I269" i="22"/>
  <c r="J79" i="22"/>
  <c r="J178" i="22"/>
  <c r="J21" i="22"/>
  <c r="J61" i="22"/>
  <c r="J187" i="22"/>
  <c r="I36" i="22"/>
  <c r="J303" i="22"/>
  <c r="J304" i="22"/>
  <c r="I98" i="22"/>
  <c r="I63" i="22"/>
  <c r="J337" i="22"/>
  <c r="J150" i="22"/>
  <c r="J356" i="22"/>
  <c r="J300" i="22"/>
  <c r="I139" i="22"/>
  <c r="J163" i="22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I334" i="23"/>
  <c r="AH334" i="23" s="1"/>
  <c r="AG334" i="23" s="1"/>
  <c r="AF334" i="23" s="1"/>
  <c r="AD334" i="23" s="1"/>
  <c r="AI338" i="23"/>
  <c r="AH338" i="23" s="1"/>
  <c r="AG338" i="23" s="1"/>
  <c r="AF338" i="23" s="1"/>
  <c r="AD338" i="23" s="1"/>
  <c r="AI342" i="23"/>
  <c r="AH342" i="23" s="1"/>
  <c r="AG342" i="23" s="1"/>
  <c r="AF342" i="23" s="1"/>
  <c r="AD342" i="23" s="1"/>
  <c r="AI346" i="23"/>
  <c r="AH346" i="23" s="1"/>
  <c r="AG346" i="23" s="1"/>
  <c r="AF346" i="23" s="1"/>
  <c r="AD346" i="23" s="1"/>
  <c r="AI350" i="23"/>
  <c r="AH350" i="23" s="1"/>
  <c r="AG350" i="23" s="1"/>
  <c r="AF350" i="23" s="1"/>
  <c r="AD350" i="23" s="1"/>
  <c r="AI354" i="23"/>
  <c r="AH354" i="23" s="1"/>
  <c r="AG354" i="23" s="1"/>
  <c r="AF354" i="23" s="1"/>
  <c r="AD354" i="23" s="1"/>
  <c r="AI358" i="23"/>
  <c r="AH358" i="23" s="1"/>
  <c r="AG358" i="23" s="1"/>
  <c r="AF358" i="23" s="1"/>
  <c r="AD358" i="23" s="1"/>
  <c r="AI362" i="23"/>
  <c r="AH362" i="23" s="1"/>
  <c r="AG362" i="23" s="1"/>
  <c r="AF362" i="23" s="1"/>
  <c r="AD362" i="23" s="1"/>
  <c r="AI366" i="23"/>
  <c r="AH366" i="23" s="1"/>
  <c r="AG366" i="23" s="1"/>
  <c r="AF366" i="23" s="1"/>
  <c r="AD366" i="23" s="1"/>
  <c r="AI370" i="23"/>
  <c r="AH370" i="23" s="1"/>
  <c r="AG370" i="23" s="1"/>
  <c r="AF370" i="23" s="1"/>
  <c r="AD370" i="23" s="1"/>
  <c r="AI374" i="23"/>
  <c r="AH374" i="23" s="1"/>
  <c r="AG374" i="23" s="1"/>
  <c r="AF374" i="23" s="1"/>
  <c r="AD374" i="23" s="1"/>
  <c r="AI378" i="23"/>
  <c r="AH378" i="23" s="1"/>
  <c r="AG378" i="23" s="1"/>
  <c r="AF378" i="23" s="1"/>
  <c r="AD378" i="23" s="1"/>
  <c r="AI107" i="23"/>
  <c r="AH107" i="23" s="1"/>
  <c r="AG107" i="23" s="1"/>
  <c r="AF107" i="23" s="1"/>
  <c r="AD107" i="23" s="1"/>
  <c r="AI111" i="23"/>
  <c r="AH111" i="23" s="1"/>
  <c r="AG111" i="23" s="1"/>
  <c r="AF111" i="23" s="1"/>
  <c r="AD111" i="23" s="1"/>
  <c r="AI115" i="23"/>
  <c r="AH115" i="23" s="1"/>
  <c r="AG115" i="23" s="1"/>
  <c r="AF115" i="23" s="1"/>
  <c r="AD115" i="23" s="1"/>
  <c r="AI119" i="23"/>
  <c r="AH119" i="23" s="1"/>
  <c r="AG119" i="23" s="1"/>
  <c r="AF119" i="23" s="1"/>
  <c r="AD119" i="23" s="1"/>
  <c r="AI123" i="23"/>
  <c r="AH123" i="23" s="1"/>
  <c r="AG123" i="23" s="1"/>
  <c r="AF123" i="23" s="1"/>
  <c r="AD123" i="23" s="1"/>
  <c r="AI127" i="23"/>
  <c r="AH127" i="23" s="1"/>
  <c r="AG127" i="23" s="1"/>
  <c r="AF127" i="23" s="1"/>
  <c r="AD127" i="23" s="1"/>
  <c r="AI131" i="23"/>
  <c r="AH131" i="23" s="1"/>
  <c r="AG131" i="23" s="1"/>
  <c r="AF131" i="23" s="1"/>
  <c r="AD131" i="23" s="1"/>
  <c r="AI135" i="23"/>
  <c r="AH135" i="23" s="1"/>
  <c r="AG135" i="23" s="1"/>
  <c r="AF135" i="23" s="1"/>
  <c r="AD135" i="23" s="1"/>
  <c r="AI139" i="23"/>
  <c r="AH139" i="23" s="1"/>
  <c r="AG139" i="23" s="1"/>
  <c r="AF139" i="23" s="1"/>
  <c r="AD139" i="23" s="1"/>
  <c r="AI143" i="23"/>
  <c r="AH143" i="23" s="1"/>
  <c r="AG143" i="23" s="1"/>
  <c r="AF143" i="23" s="1"/>
  <c r="AD143" i="23" s="1"/>
  <c r="AI147" i="23"/>
  <c r="AH147" i="23" s="1"/>
  <c r="AG147" i="23" s="1"/>
  <c r="AF147" i="23" s="1"/>
  <c r="AD147" i="23" s="1"/>
  <c r="AI151" i="23"/>
  <c r="AH151" i="23" s="1"/>
  <c r="AG151" i="23" s="1"/>
  <c r="AF151" i="23" s="1"/>
  <c r="AD151" i="23" s="1"/>
  <c r="AI155" i="23"/>
  <c r="AH155" i="23" s="1"/>
  <c r="AG155" i="23" s="1"/>
  <c r="AF155" i="23" s="1"/>
  <c r="AD155" i="23" s="1"/>
  <c r="AI159" i="23"/>
  <c r="AH159" i="23" s="1"/>
  <c r="AG159" i="23" s="1"/>
  <c r="AF159" i="23" s="1"/>
  <c r="AD159" i="23" s="1"/>
  <c r="AI163" i="23"/>
  <c r="AH163" i="23" s="1"/>
  <c r="AG163" i="23" s="1"/>
  <c r="AF163" i="23" s="1"/>
  <c r="AD163" i="23" s="1"/>
  <c r="AI167" i="23"/>
  <c r="AH167" i="23" s="1"/>
  <c r="AG167" i="23" s="1"/>
  <c r="AF167" i="23" s="1"/>
  <c r="AD167" i="23" s="1"/>
  <c r="AI377" i="23"/>
  <c r="AH377" i="23" s="1"/>
  <c r="AG377" i="23" s="1"/>
  <c r="AF377" i="23" s="1"/>
  <c r="AD377" i="23" s="1"/>
  <c r="AI373" i="23"/>
  <c r="AH373" i="23" s="1"/>
  <c r="AG373" i="23" s="1"/>
  <c r="AF373" i="23" s="1"/>
  <c r="AD373" i="23" s="1"/>
  <c r="AI369" i="23"/>
  <c r="AH369" i="23" s="1"/>
  <c r="AG369" i="23" s="1"/>
  <c r="AF369" i="23" s="1"/>
  <c r="AD369" i="23" s="1"/>
  <c r="AI365" i="23"/>
  <c r="AH365" i="23" s="1"/>
  <c r="AG365" i="23" s="1"/>
  <c r="AF365" i="23" s="1"/>
  <c r="AD365" i="23" s="1"/>
  <c r="AI361" i="23"/>
  <c r="AH361" i="23" s="1"/>
  <c r="AG361" i="23" s="1"/>
  <c r="AF361" i="23" s="1"/>
  <c r="AD361" i="23" s="1"/>
  <c r="AI357" i="23"/>
  <c r="AH357" i="23" s="1"/>
  <c r="AG357" i="23" s="1"/>
  <c r="AF357" i="23" s="1"/>
  <c r="AD357" i="23" s="1"/>
  <c r="AI353" i="23"/>
  <c r="AH353" i="23" s="1"/>
  <c r="AG353" i="23" s="1"/>
  <c r="AF353" i="23" s="1"/>
  <c r="AD353" i="23" s="1"/>
  <c r="AI349" i="23"/>
  <c r="AH349" i="23" s="1"/>
  <c r="AG349" i="23" s="1"/>
  <c r="AF349" i="23" s="1"/>
  <c r="AD349" i="23" s="1"/>
  <c r="AI345" i="23"/>
  <c r="AH345" i="23" s="1"/>
  <c r="AG345" i="23" s="1"/>
  <c r="AF345" i="23" s="1"/>
  <c r="AD345" i="23" s="1"/>
  <c r="AI341" i="23"/>
  <c r="AH341" i="23" s="1"/>
  <c r="AG341" i="23" s="1"/>
  <c r="AF341" i="23" s="1"/>
  <c r="AD341" i="23" s="1"/>
  <c r="AI337" i="23"/>
  <c r="AH337" i="23" s="1"/>
  <c r="AG337" i="23" s="1"/>
  <c r="AF337" i="23" s="1"/>
  <c r="AD337" i="23" s="1"/>
  <c r="AI333" i="23"/>
  <c r="AH333" i="23" s="1"/>
  <c r="AG333" i="23" s="1"/>
  <c r="AF333" i="23" s="1"/>
  <c r="AD333" i="23" s="1"/>
  <c r="AI329" i="23"/>
  <c r="AH329" i="23" s="1"/>
  <c r="AG329" i="23" s="1"/>
  <c r="AF329" i="23" s="1"/>
  <c r="AD329" i="23" s="1"/>
  <c r="AI325" i="23"/>
  <c r="AH325" i="23" s="1"/>
  <c r="AG325" i="23" s="1"/>
  <c r="AF325" i="23" s="1"/>
  <c r="AD325" i="23" s="1"/>
  <c r="AI321" i="23"/>
  <c r="AH321" i="23" s="1"/>
  <c r="AG321" i="23" s="1"/>
  <c r="AF321" i="23" s="1"/>
  <c r="AD321" i="23" s="1"/>
  <c r="AI317" i="23"/>
  <c r="AH317" i="23" s="1"/>
  <c r="AG317" i="23" s="1"/>
  <c r="AF317" i="23" s="1"/>
  <c r="AD317" i="23" s="1"/>
  <c r="AI313" i="23"/>
  <c r="AH313" i="23" s="1"/>
  <c r="AG313" i="23" s="1"/>
  <c r="AF313" i="23" s="1"/>
  <c r="AD313" i="23" s="1"/>
  <c r="AI309" i="23"/>
  <c r="AH309" i="23" s="1"/>
  <c r="AG309" i="23" s="1"/>
  <c r="AF309" i="23" s="1"/>
  <c r="AD309" i="23" s="1"/>
  <c r="AI305" i="23"/>
  <c r="AH305" i="23" s="1"/>
  <c r="AG305" i="23" s="1"/>
  <c r="AF305" i="23" s="1"/>
  <c r="AD305" i="23" s="1"/>
  <c r="AI301" i="23"/>
  <c r="AH301" i="23" s="1"/>
  <c r="AG301" i="23" s="1"/>
  <c r="AF301" i="23" s="1"/>
  <c r="AD301" i="23" s="1"/>
  <c r="AI297" i="23"/>
  <c r="AH297" i="23" s="1"/>
  <c r="AG297" i="23" s="1"/>
  <c r="AF297" i="23" s="1"/>
  <c r="AD297" i="23" s="1"/>
  <c r="AI293" i="23"/>
  <c r="AH293" i="23" s="1"/>
  <c r="AG293" i="23" s="1"/>
  <c r="AF293" i="23" s="1"/>
  <c r="AD293" i="23" s="1"/>
  <c r="AI289" i="23"/>
  <c r="AH289" i="23" s="1"/>
  <c r="AG289" i="23" s="1"/>
  <c r="AF289" i="23" s="1"/>
  <c r="AD289" i="23" s="1"/>
  <c r="AI285" i="23"/>
  <c r="AH285" i="23" s="1"/>
  <c r="AG285" i="23" s="1"/>
  <c r="AF285" i="23" s="1"/>
  <c r="AD285" i="23" s="1"/>
  <c r="AI281" i="23"/>
  <c r="AH281" i="23" s="1"/>
  <c r="AG281" i="23" s="1"/>
  <c r="AF281" i="23" s="1"/>
  <c r="AD281" i="23" s="1"/>
  <c r="AI277" i="23"/>
  <c r="AH277" i="23" s="1"/>
  <c r="AG277" i="23" s="1"/>
  <c r="AF277" i="23" s="1"/>
  <c r="AD277" i="23" s="1"/>
  <c r="AI273" i="23"/>
  <c r="AH273" i="23" s="1"/>
  <c r="AG273" i="23" s="1"/>
  <c r="AF273" i="23" s="1"/>
  <c r="AD273" i="23" s="1"/>
  <c r="AI269" i="23"/>
  <c r="AH269" i="23" s="1"/>
  <c r="AG269" i="23" s="1"/>
  <c r="AF269" i="23" s="1"/>
  <c r="AD269" i="23" s="1"/>
  <c r="AI265" i="23"/>
  <c r="AH265" i="23" s="1"/>
  <c r="AG265" i="23" s="1"/>
  <c r="AF265" i="23" s="1"/>
  <c r="AD265" i="23" s="1"/>
  <c r="AI261" i="23"/>
  <c r="AH261" i="23" s="1"/>
  <c r="AG261" i="23" s="1"/>
  <c r="AF261" i="23" s="1"/>
  <c r="AD261" i="23" s="1"/>
  <c r="AI257" i="23"/>
  <c r="AH257" i="23" s="1"/>
  <c r="AG257" i="23" s="1"/>
  <c r="AF257" i="23" s="1"/>
  <c r="AD257" i="23" s="1"/>
  <c r="AI253" i="23"/>
  <c r="AH253" i="23" s="1"/>
  <c r="AG253" i="23" s="1"/>
  <c r="AF253" i="23" s="1"/>
  <c r="AD253" i="23" s="1"/>
  <c r="AI249" i="23"/>
  <c r="AH249" i="23" s="1"/>
  <c r="AG249" i="23" s="1"/>
  <c r="AF249" i="23" s="1"/>
  <c r="AD249" i="23" s="1"/>
  <c r="AI245" i="23"/>
  <c r="AH245" i="23" s="1"/>
  <c r="AG245" i="23" s="1"/>
  <c r="AF245" i="23" s="1"/>
  <c r="AD245" i="23" s="1"/>
  <c r="AI241" i="23"/>
  <c r="AH241" i="23" s="1"/>
  <c r="AG241" i="23" s="1"/>
  <c r="AF241" i="23" s="1"/>
  <c r="AD241" i="23" s="1"/>
  <c r="AI237" i="23"/>
  <c r="AH237" i="23" s="1"/>
  <c r="AG237" i="23" s="1"/>
  <c r="AF237" i="23" s="1"/>
  <c r="AD237" i="23" s="1"/>
  <c r="AI233" i="23"/>
  <c r="AH233" i="23" s="1"/>
  <c r="AG233" i="23" s="1"/>
  <c r="AF233" i="23" s="1"/>
  <c r="AD233" i="23" s="1"/>
  <c r="AI229" i="23"/>
  <c r="AH229" i="23" s="1"/>
  <c r="AG229" i="23" s="1"/>
  <c r="AF229" i="23" s="1"/>
  <c r="AD229" i="23" s="1"/>
  <c r="AI225" i="23"/>
  <c r="AH225" i="23" s="1"/>
  <c r="AG225" i="23" s="1"/>
  <c r="AF225" i="23" s="1"/>
  <c r="AD225" i="23" s="1"/>
  <c r="AI221" i="23"/>
  <c r="AH221" i="23" s="1"/>
  <c r="AG221" i="23" s="1"/>
  <c r="AF221" i="23" s="1"/>
  <c r="AD221" i="23" s="1"/>
  <c r="AI217" i="23"/>
  <c r="AH217" i="23" s="1"/>
  <c r="AG217" i="23" s="1"/>
  <c r="AF217" i="23" s="1"/>
  <c r="AD217" i="23" s="1"/>
  <c r="AI213" i="23"/>
  <c r="AH213" i="23" s="1"/>
  <c r="AG213" i="23" s="1"/>
  <c r="AF213" i="23" s="1"/>
  <c r="AD213" i="23" s="1"/>
  <c r="AI209" i="23"/>
  <c r="AH209" i="23" s="1"/>
  <c r="AG209" i="23" s="1"/>
  <c r="AF209" i="23" s="1"/>
  <c r="AD209" i="23" s="1"/>
  <c r="AI205" i="23"/>
  <c r="AH205" i="23" s="1"/>
  <c r="AG205" i="23" s="1"/>
  <c r="AF205" i="23" s="1"/>
  <c r="AD205" i="23" s="1"/>
  <c r="AI201" i="23"/>
  <c r="AH201" i="23" s="1"/>
  <c r="AG201" i="23" s="1"/>
  <c r="AF201" i="23" s="1"/>
  <c r="AD201" i="23" s="1"/>
  <c r="AI197" i="23"/>
  <c r="AH197" i="23" s="1"/>
  <c r="AG197" i="23" s="1"/>
  <c r="AF197" i="23" s="1"/>
  <c r="AD197" i="23" s="1"/>
  <c r="AI193" i="23"/>
  <c r="AH193" i="23" s="1"/>
  <c r="AG193" i="23" s="1"/>
  <c r="AF193" i="23" s="1"/>
  <c r="AD193" i="23" s="1"/>
  <c r="AI189" i="23"/>
  <c r="AH189" i="23" s="1"/>
  <c r="AG189" i="23" s="1"/>
  <c r="AF189" i="23" s="1"/>
  <c r="AD189" i="23" s="1"/>
  <c r="AI185" i="23"/>
  <c r="AH185" i="23" s="1"/>
  <c r="AG185" i="23" s="1"/>
  <c r="AF185" i="23" s="1"/>
  <c r="AD185" i="23" s="1"/>
  <c r="AI181" i="23"/>
  <c r="AH181" i="23" s="1"/>
  <c r="AG181" i="23" s="1"/>
  <c r="AF181" i="23" s="1"/>
  <c r="AD181" i="23" s="1"/>
  <c r="AI177" i="23"/>
  <c r="AH177" i="23" s="1"/>
  <c r="AG177" i="23" s="1"/>
  <c r="AF177" i="23" s="1"/>
  <c r="AD177" i="23" s="1"/>
  <c r="AI173" i="23"/>
  <c r="AH173" i="23" s="1"/>
  <c r="AG173" i="23" s="1"/>
  <c r="AF173" i="23" s="1"/>
  <c r="AD173" i="23" s="1"/>
  <c r="AI169" i="23"/>
  <c r="AH169" i="23" s="1"/>
  <c r="AG169" i="23" s="1"/>
  <c r="AF169" i="23" s="1"/>
  <c r="AD169" i="23" s="1"/>
  <c r="AI161" i="23"/>
  <c r="AH161" i="23" s="1"/>
  <c r="AG161" i="23" s="1"/>
  <c r="AF161" i="23" s="1"/>
  <c r="AD161" i="23" s="1"/>
  <c r="AI153" i="23"/>
  <c r="AH153" i="23" s="1"/>
  <c r="AG153" i="23" s="1"/>
  <c r="AF153" i="23" s="1"/>
  <c r="AD153" i="23" s="1"/>
  <c r="AI145" i="23"/>
  <c r="AH145" i="23" s="1"/>
  <c r="AG145" i="23" s="1"/>
  <c r="AF145" i="23" s="1"/>
  <c r="AD145" i="23" s="1"/>
  <c r="AI137" i="23"/>
  <c r="AH137" i="23" s="1"/>
  <c r="AG137" i="23" s="1"/>
  <c r="AF137" i="23" s="1"/>
  <c r="AD137" i="23" s="1"/>
  <c r="AI129" i="23"/>
  <c r="AH129" i="23" s="1"/>
  <c r="AG129" i="23" s="1"/>
  <c r="AF129" i="23" s="1"/>
  <c r="AD129" i="23" s="1"/>
  <c r="AI121" i="23"/>
  <c r="AH121" i="23" s="1"/>
  <c r="AG121" i="23" s="1"/>
  <c r="AF121" i="23" s="1"/>
  <c r="AD121" i="23" s="1"/>
  <c r="AI113" i="23"/>
  <c r="AH113" i="23" s="1"/>
  <c r="AG113" i="23" s="1"/>
  <c r="AF113" i="23" s="1"/>
  <c r="AD113" i="23" s="1"/>
  <c r="AI105" i="23"/>
  <c r="AH105" i="23" s="1"/>
  <c r="AG105" i="23" s="1"/>
  <c r="AF105" i="23" s="1"/>
  <c r="AD105" i="23" s="1"/>
  <c r="AI372" i="23"/>
  <c r="AH372" i="23" s="1"/>
  <c r="AG372" i="23" s="1"/>
  <c r="AF372" i="23" s="1"/>
  <c r="AD372" i="23" s="1"/>
  <c r="AI364" i="23"/>
  <c r="AH364" i="23" s="1"/>
  <c r="AG364" i="23" s="1"/>
  <c r="AF364" i="23" s="1"/>
  <c r="AD364" i="23" s="1"/>
  <c r="AI356" i="23"/>
  <c r="AH356" i="23" s="1"/>
  <c r="AG356" i="23" s="1"/>
  <c r="AF356" i="23" s="1"/>
  <c r="AD356" i="23" s="1"/>
  <c r="AI348" i="23"/>
  <c r="AH348" i="23" s="1"/>
  <c r="AG348" i="23" s="1"/>
  <c r="AF348" i="23" s="1"/>
  <c r="AD348" i="23" s="1"/>
  <c r="AI340" i="23"/>
  <c r="AH340" i="23" s="1"/>
  <c r="AG340" i="23" s="1"/>
  <c r="AF340" i="23" s="1"/>
  <c r="AD340" i="23" s="1"/>
  <c r="AI332" i="23"/>
  <c r="AH332" i="23" s="1"/>
  <c r="AG332" i="23" s="1"/>
  <c r="AF332" i="23" s="1"/>
  <c r="AD332" i="23" s="1"/>
  <c r="AI324" i="23"/>
  <c r="AH324" i="23" s="1"/>
  <c r="AG324" i="23" s="1"/>
  <c r="AF324" i="23" s="1"/>
  <c r="AD324" i="23" s="1"/>
  <c r="AI316" i="23"/>
  <c r="AH316" i="23" s="1"/>
  <c r="AG316" i="23" s="1"/>
  <c r="AF316" i="23" s="1"/>
  <c r="AD316" i="23" s="1"/>
  <c r="AI308" i="23"/>
  <c r="AH308" i="23" s="1"/>
  <c r="AG308" i="23" s="1"/>
  <c r="AF308" i="23" s="1"/>
  <c r="AD308" i="23" s="1"/>
  <c r="AI300" i="23"/>
  <c r="AH300" i="23" s="1"/>
  <c r="AG300" i="23" s="1"/>
  <c r="AF300" i="23" s="1"/>
  <c r="AD300" i="23" s="1"/>
  <c r="AI292" i="23"/>
  <c r="AH292" i="23" s="1"/>
  <c r="AG292" i="23" s="1"/>
  <c r="AF292" i="23" s="1"/>
  <c r="AD292" i="23" s="1"/>
  <c r="AI284" i="23"/>
  <c r="AH284" i="23" s="1"/>
  <c r="AG284" i="23" s="1"/>
  <c r="AF284" i="23" s="1"/>
  <c r="AD284" i="23" s="1"/>
  <c r="AI276" i="23"/>
  <c r="AH276" i="23" s="1"/>
  <c r="AG276" i="23" s="1"/>
  <c r="AF276" i="23" s="1"/>
  <c r="AD276" i="23" s="1"/>
  <c r="AI268" i="23"/>
  <c r="AH268" i="23" s="1"/>
  <c r="AG268" i="23" s="1"/>
  <c r="AF268" i="23" s="1"/>
  <c r="AD268" i="23" s="1"/>
  <c r="AI260" i="23"/>
  <c r="AH260" i="23" s="1"/>
  <c r="AG260" i="23" s="1"/>
  <c r="AF260" i="23" s="1"/>
  <c r="AD260" i="23" s="1"/>
  <c r="AI252" i="23"/>
  <c r="AH252" i="23" s="1"/>
  <c r="AG252" i="23" s="1"/>
  <c r="AF252" i="23" s="1"/>
  <c r="AD252" i="23" s="1"/>
  <c r="AI244" i="23"/>
  <c r="AH244" i="23" s="1"/>
  <c r="AG244" i="23" s="1"/>
  <c r="AF244" i="23" s="1"/>
  <c r="AD244" i="23" s="1"/>
  <c r="AI236" i="23"/>
  <c r="AH236" i="23" s="1"/>
  <c r="AG236" i="23" s="1"/>
  <c r="AF236" i="23" s="1"/>
  <c r="AD236" i="23" s="1"/>
  <c r="AI228" i="23"/>
  <c r="AH228" i="23" s="1"/>
  <c r="AG228" i="23" s="1"/>
  <c r="AF228" i="23" s="1"/>
  <c r="AD228" i="23" s="1"/>
  <c r="AI220" i="23"/>
  <c r="AH220" i="23" s="1"/>
  <c r="AG220" i="23" s="1"/>
  <c r="AF220" i="23" s="1"/>
  <c r="AD220" i="23" s="1"/>
  <c r="AI212" i="23"/>
  <c r="AH212" i="23" s="1"/>
  <c r="AG212" i="23" s="1"/>
  <c r="AF212" i="23" s="1"/>
  <c r="AD212" i="23" s="1"/>
  <c r="AI204" i="23"/>
  <c r="AH204" i="23" s="1"/>
  <c r="AG204" i="23" s="1"/>
  <c r="AF204" i="23" s="1"/>
  <c r="AD204" i="23" s="1"/>
  <c r="AI196" i="23"/>
  <c r="AH196" i="23" s="1"/>
  <c r="AG196" i="23" s="1"/>
  <c r="AF196" i="23" s="1"/>
  <c r="AD196" i="23" s="1"/>
  <c r="AI188" i="23"/>
  <c r="AH188" i="23" s="1"/>
  <c r="AG188" i="23" s="1"/>
  <c r="AF188" i="23" s="1"/>
  <c r="AD188" i="23" s="1"/>
  <c r="AI180" i="23"/>
  <c r="AH180" i="23" s="1"/>
  <c r="AG180" i="23" s="1"/>
  <c r="AF180" i="23" s="1"/>
  <c r="AD180" i="23" s="1"/>
  <c r="AI172" i="23"/>
  <c r="AH172" i="23" s="1"/>
  <c r="AG172" i="23" s="1"/>
  <c r="AF172" i="23" s="1"/>
  <c r="AD172" i="23" s="1"/>
  <c r="AI164" i="23"/>
  <c r="AH164" i="23" s="1"/>
  <c r="AG164" i="23" s="1"/>
  <c r="AF164" i="23" s="1"/>
  <c r="AD164" i="23" s="1"/>
  <c r="AI156" i="23"/>
  <c r="AH156" i="23" s="1"/>
  <c r="AG156" i="23" s="1"/>
  <c r="AF156" i="23" s="1"/>
  <c r="AD156" i="23" s="1"/>
  <c r="AI148" i="23"/>
  <c r="AH148" i="23" s="1"/>
  <c r="AG148" i="23" s="1"/>
  <c r="AF148" i="23" s="1"/>
  <c r="AD148" i="23" s="1"/>
  <c r="AI140" i="23"/>
  <c r="AH140" i="23" s="1"/>
  <c r="AG140" i="23" s="1"/>
  <c r="AF140" i="23" s="1"/>
  <c r="AD140" i="23" s="1"/>
  <c r="AI132" i="23"/>
  <c r="AH132" i="23" s="1"/>
  <c r="AG132" i="23" s="1"/>
  <c r="AF132" i="23" s="1"/>
  <c r="AD132" i="23" s="1"/>
  <c r="AI124" i="23"/>
  <c r="AH124" i="23" s="1"/>
  <c r="AG124" i="23" s="1"/>
  <c r="AF124" i="23" s="1"/>
  <c r="AD124" i="23" s="1"/>
  <c r="AI116" i="23"/>
  <c r="AH116" i="23" s="1"/>
  <c r="AG116" i="23" s="1"/>
  <c r="AF116" i="23" s="1"/>
  <c r="AD116" i="23" s="1"/>
  <c r="AI108" i="23"/>
  <c r="AH108" i="23" s="1"/>
  <c r="AG108" i="23" s="1"/>
  <c r="AF108" i="23" s="1"/>
  <c r="AD108" i="23" s="1"/>
  <c r="J240" i="22"/>
  <c r="I240" i="22"/>
  <c r="I325" i="22"/>
  <c r="J325" i="22"/>
  <c r="J106" i="22"/>
  <c r="I106" i="22"/>
  <c r="Y382" i="17"/>
  <c r="AL5" i="17"/>
  <c r="AL11" i="17" s="1"/>
  <c r="Y381" i="17"/>
  <c r="AM6" i="17"/>
  <c r="AM12" i="17" s="1"/>
  <c r="X9" i="17"/>
  <c r="Y383" i="17"/>
  <c r="J216" i="22"/>
  <c r="I216" i="22"/>
  <c r="I352" i="22"/>
  <c r="J352" i="22"/>
  <c r="J53" i="22"/>
  <c r="I53" i="22"/>
  <c r="J221" i="22"/>
  <c r="I221" i="22"/>
  <c r="J229" i="22"/>
  <c r="I229" i="22"/>
  <c r="J253" i="22"/>
  <c r="I253" i="22"/>
  <c r="J285" i="22"/>
  <c r="I285" i="22"/>
  <c r="I301" i="22"/>
  <c r="J301" i="22"/>
  <c r="I70" i="22"/>
  <c r="J70" i="22"/>
  <c r="J270" i="22"/>
  <c r="I270" i="22"/>
  <c r="I310" i="22"/>
  <c r="J310" i="22"/>
  <c r="I35" i="22"/>
  <c r="J35" i="22"/>
  <c r="I43" i="22"/>
  <c r="J43" i="22"/>
  <c r="I155" i="22"/>
  <c r="J155" i="22"/>
  <c r="I259" i="22"/>
  <c r="J259" i="22"/>
  <c r="I283" i="22"/>
  <c r="J283" i="22"/>
  <c r="G363" i="22"/>
  <c r="CC363" i="6" s="1"/>
  <c r="H363" i="22"/>
  <c r="AA363" i="22"/>
  <c r="Z363" i="22" s="1"/>
  <c r="Y363" i="22" s="1"/>
  <c r="U15" i="23"/>
  <c r="U31" i="23"/>
  <c r="T31" i="23" s="1"/>
  <c r="S31" i="23" s="1"/>
  <c r="R31" i="23" s="1"/>
  <c r="P31" i="23" s="1"/>
  <c r="V31" i="23" s="1"/>
  <c r="U39" i="23"/>
  <c r="T39" i="23" s="1"/>
  <c r="S39" i="23" s="1"/>
  <c r="R39" i="23" s="1"/>
  <c r="P39" i="23" s="1"/>
  <c r="V39" i="23" s="1"/>
  <c r="U47" i="23"/>
  <c r="T47" i="23" s="1"/>
  <c r="S47" i="23" s="1"/>
  <c r="R47" i="23" s="1"/>
  <c r="P47" i="23" s="1"/>
  <c r="V47" i="23" s="1"/>
  <c r="U55" i="23"/>
  <c r="T55" i="23" s="1"/>
  <c r="S55" i="23" s="1"/>
  <c r="R55" i="23" s="1"/>
  <c r="P55" i="23" s="1"/>
  <c r="V55" i="23" s="1"/>
  <c r="U63" i="23"/>
  <c r="T63" i="23" s="1"/>
  <c r="S63" i="23" s="1"/>
  <c r="R63" i="23" s="1"/>
  <c r="P63" i="23" s="1"/>
  <c r="V63" i="23" s="1"/>
  <c r="U71" i="23"/>
  <c r="T71" i="23" s="1"/>
  <c r="S71" i="23" s="1"/>
  <c r="R71" i="23" s="1"/>
  <c r="P71" i="23" s="1"/>
  <c r="V71" i="23" s="1"/>
  <c r="U79" i="23"/>
  <c r="T79" i="23" s="1"/>
  <c r="S79" i="23" s="1"/>
  <c r="R79" i="23" s="1"/>
  <c r="P79" i="23" s="1"/>
  <c r="V79" i="23" s="1"/>
  <c r="U87" i="23"/>
  <c r="T87" i="23" s="1"/>
  <c r="S87" i="23" s="1"/>
  <c r="R87" i="23" s="1"/>
  <c r="P87" i="23" s="1"/>
  <c r="V87" i="23" s="1"/>
  <c r="U95" i="23"/>
  <c r="T95" i="23" s="1"/>
  <c r="S95" i="23" s="1"/>
  <c r="R95" i="23" s="1"/>
  <c r="P95" i="23" s="1"/>
  <c r="V95" i="23" s="1"/>
  <c r="U103" i="23"/>
  <c r="T103" i="23" s="1"/>
  <c r="S103" i="23" s="1"/>
  <c r="R103" i="23" s="1"/>
  <c r="P103" i="23" s="1"/>
  <c r="V103" i="23" s="1"/>
  <c r="U111" i="23"/>
  <c r="T111" i="23" s="1"/>
  <c r="S111" i="23" s="1"/>
  <c r="R111" i="23" s="1"/>
  <c r="P111" i="23" s="1"/>
  <c r="V111" i="23" s="1"/>
  <c r="U119" i="23"/>
  <c r="T119" i="23" s="1"/>
  <c r="S119" i="23" s="1"/>
  <c r="R119" i="23" s="1"/>
  <c r="P119" i="23" s="1"/>
  <c r="U127" i="23"/>
  <c r="T127" i="23" s="1"/>
  <c r="S127" i="23" s="1"/>
  <c r="R127" i="23" s="1"/>
  <c r="P127" i="23" s="1"/>
  <c r="V127" i="23" s="1"/>
  <c r="U131" i="23"/>
  <c r="T131" i="23" s="1"/>
  <c r="S131" i="23" s="1"/>
  <c r="R131" i="23" s="1"/>
  <c r="P131" i="23" s="1"/>
  <c r="V131" i="23" s="1"/>
  <c r="U139" i="23"/>
  <c r="T139" i="23" s="1"/>
  <c r="S139" i="23" s="1"/>
  <c r="R139" i="23" s="1"/>
  <c r="P139" i="23" s="1"/>
  <c r="V139" i="23" s="1"/>
  <c r="U147" i="23"/>
  <c r="T147" i="23" s="1"/>
  <c r="S147" i="23" s="1"/>
  <c r="R147" i="23" s="1"/>
  <c r="P147" i="23" s="1"/>
  <c r="V147" i="23" s="1"/>
  <c r="U155" i="23"/>
  <c r="T155" i="23" s="1"/>
  <c r="S155" i="23" s="1"/>
  <c r="R155" i="23" s="1"/>
  <c r="P155" i="23" s="1"/>
  <c r="V155" i="23" s="1"/>
  <c r="U163" i="23"/>
  <c r="T163" i="23" s="1"/>
  <c r="S163" i="23" s="1"/>
  <c r="R163" i="23" s="1"/>
  <c r="P163" i="23" s="1"/>
  <c r="V163" i="23" s="1"/>
  <c r="U171" i="23"/>
  <c r="T171" i="23" s="1"/>
  <c r="S171" i="23" s="1"/>
  <c r="R171" i="23" s="1"/>
  <c r="P171" i="23" s="1"/>
  <c r="V171" i="23" s="1"/>
  <c r="U179" i="23"/>
  <c r="T179" i="23" s="1"/>
  <c r="S179" i="23" s="1"/>
  <c r="R179" i="23" s="1"/>
  <c r="P179" i="23" s="1"/>
  <c r="V179" i="23" s="1"/>
  <c r="AU16" i="7"/>
  <c r="U17" i="23"/>
  <c r="T17" i="23" s="1"/>
  <c r="S17" i="23" s="1"/>
  <c r="R17" i="23" s="1"/>
  <c r="P17" i="23" s="1"/>
  <c r="V17" i="23" s="1"/>
  <c r="U21" i="23"/>
  <c r="T21" i="23" s="1"/>
  <c r="S21" i="23" s="1"/>
  <c r="R21" i="23" s="1"/>
  <c r="P21" i="23" s="1"/>
  <c r="V21" i="23" s="1"/>
  <c r="U27" i="23"/>
  <c r="T27" i="23" s="1"/>
  <c r="S27" i="23" s="1"/>
  <c r="R27" i="23" s="1"/>
  <c r="P27" i="23" s="1"/>
  <c r="V27" i="23" s="1"/>
  <c r="U35" i="23"/>
  <c r="T35" i="23" s="1"/>
  <c r="S35" i="23" s="1"/>
  <c r="R35" i="23" s="1"/>
  <c r="P35" i="23" s="1"/>
  <c r="V35" i="23" s="1"/>
  <c r="U43" i="23"/>
  <c r="T43" i="23" s="1"/>
  <c r="S43" i="23" s="1"/>
  <c r="R43" i="23" s="1"/>
  <c r="P43" i="23" s="1"/>
  <c r="V43" i="23" s="1"/>
  <c r="U51" i="23"/>
  <c r="T51" i="23" s="1"/>
  <c r="S51" i="23" s="1"/>
  <c r="R51" i="23" s="1"/>
  <c r="P51" i="23" s="1"/>
  <c r="V51" i="23" s="1"/>
  <c r="U59" i="23"/>
  <c r="T59" i="23" s="1"/>
  <c r="S59" i="23" s="1"/>
  <c r="R59" i="23" s="1"/>
  <c r="P59" i="23" s="1"/>
  <c r="V59" i="23" s="1"/>
  <c r="U67" i="23"/>
  <c r="T67" i="23" s="1"/>
  <c r="S67" i="23" s="1"/>
  <c r="R67" i="23" s="1"/>
  <c r="P67" i="23" s="1"/>
  <c r="V67" i="23" s="1"/>
  <c r="U75" i="23"/>
  <c r="T75" i="23" s="1"/>
  <c r="S75" i="23" s="1"/>
  <c r="R75" i="23" s="1"/>
  <c r="P75" i="23" s="1"/>
  <c r="V75" i="23" s="1"/>
  <c r="U83" i="23"/>
  <c r="T83" i="23" s="1"/>
  <c r="S83" i="23" s="1"/>
  <c r="R83" i="23" s="1"/>
  <c r="P83" i="23" s="1"/>
  <c r="V83" i="23" s="1"/>
  <c r="U91" i="23"/>
  <c r="T91" i="23" s="1"/>
  <c r="S91" i="23" s="1"/>
  <c r="R91" i="23" s="1"/>
  <c r="P91" i="23" s="1"/>
  <c r="V91" i="23" s="1"/>
  <c r="U99" i="23"/>
  <c r="T99" i="23" s="1"/>
  <c r="S99" i="23" s="1"/>
  <c r="R99" i="23" s="1"/>
  <c r="P99" i="23" s="1"/>
  <c r="V99" i="23" s="1"/>
  <c r="U107" i="23"/>
  <c r="T107" i="23" s="1"/>
  <c r="S107" i="23" s="1"/>
  <c r="R107" i="23" s="1"/>
  <c r="P107" i="23" s="1"/>
  <c r="V107" i="23" s="1"/>
  <c r="U115" i="23"/>
  <c r="T115" i="23" s="1"/>
  <c r="S115" i="23" s="1"/>
  <c r="R115" i="23" s="1"/>
  <c r="P115" i="23" s="1"/>
  <c r="V115" i="23" s="1"/>
  <c r="U123" i="23"/>
  <c r="T123" i="23" s="1"/>
  <c r="S123" i="23" s="1"/>
  <c r="R123" i="23" s="1"/>
  <c r="P123" i="23" s="1"/>
  <c r="V123" i="23" s="1"/>
  <c r="U135" i="23"/>
  <c r="T135" i="23" s="1"/>
  <c r="S135" i="23" s="1"/>
  <c r="R135" i="23" s="1"/>
  <c r="P135" i="23" s="1"/>
  <c r="V135" i="23" s="1"/>
  <c r="W135" i="23" s="1"/>
  <c r="U143" i="23"/>
  <c r="T143" i="23" s="1"/>
  <c r="S143" i="23" s="1"/>
  <c r="R143" i="23" s="1"/>
  <c r="P143" i="23" s="1"/>
  <c r="V143" i="23" s="1"/>
  <c r="U151" i="23"/>
  <c r="T151" i="23" s="1"/>
  <c r="S151" i="23" s="1"/>
  <c r="R151" i="23" s="1"/>
  <c r="P151" i="23" s="1"/>
  <c r="V151" i="23" s="1"/>
  <c r="U159" i="23"/>
  <c r="T159" i="23" s="1"/>
  <c r="S159" i="23" s="1"/>
  <c r="R159" i="23" s="1"/>
  <c r="P159" i="23" s="1"/>
  <c r="V159" i="23" s="1"/>
  <c r="U167" i="23"/>
  <c r="T167" i="23" s="1"/>
  <c r="S167" i="23" s="1"/>
  <c r="R167" i="23" s="1"/>
  <c r="P167" i="23" s="1"/>
  <c r="V167" i="23" s="1"/>
  <c r="U175" i="23"/>
  <c r="T175" i="23" s="1"/>
  <c r="S175" i="23" s="1"/>
  <c r="R175" i="23" s="1"/>
  <c r="P175" i="23" s="1"/>
  <c r="V175" i="23" s="1"/>
  <c r="U183" i="23"/>
  <c r="T183" i="23" s="1"/>
  <c r="S183" i="23" s="1"/>
  <c r="R183" i="23" s="1"/>
  <c r="P183" i="23" s="1"/>
  <c r="V183" i="23" s="1"/>
  <c r="AG382" i="22"/>
  <c r="AG381" i="22"/>
  <c r="AG383" i="22"/>
  <c r="AF15" i="22"/>
  <c r="S383" i="22"/>
  <c r="R15" i="22"/>
  <c r="S382" i="22"/>
  <c r="S381" i="22"/>
  <c r="W60" i="22"/>
  <c r="D60" i="22"/>
  <c r="E60" i="22" s="1"/>
  <c r="F60" i="22" s="1"/>
  <c r="J100" i="22"/>
  <c r="I100" i="22"/>
  <c r="I25" i="22"/>
  <c r="J25" i="22"/>
  <c r="J65" i="22"/>
  <c r="I65" i="22"/>
  <c r="I81" i="22"/>
  <c r="J81" i="22"/>
  <c r="I201" i="22"/>
  <c r="J201" i="22"/>
  <c r="I281" i="22"/>
  <c r="J281" i="22"/>
  <c r="I329" i="22"/>
  <c r="J329" i="22"/>
  <c r="I369" i="22"/>
  <c r="J369" i="22"/>
  <c r="I17" i="22"/>
  <c r="J17" i="22"/>
  <c r="J26" i="22"/>
  <c r="I26" i="22"/>
  <c r="I66" i="22"/>
  <c r="J66" i="22"/>
  <c r="I122" i="22"/>
  <c r="J122" i="22"/>
  <c r="J290" i="22"/>
  <c r="I290" i="22"/>
  <c r="J298" i="22"/>
  <c r="I298" i="22"/>
  <c r="I370" i="22"/>
  <c r="J370" i="22"/>
  <c r="J183" i="22"/>
  <c r="I183" i="22"/>
  <c r="J279" i="22"/>
  <c r="I279" i="22"/>
  <c r="I24" i="22"/>
  <c r="J24" i="22"/>
  <c r="I168" i="22"/>
  <c r="J168" i="22"/>
  <c r="J232" i="22"/>
  <c r="I232" i="22"/>
  <c r="J296" i="22"/>
  <c r="I296" i="22"/>
  <c r="I328" i="22"/>
  <c r="J328" i="22"/>
  <c r="U16" i="23"/>
  <c r="T16" i="23" s="1"/>
  <c r="S16" i="23" s="1"/>
  <c r="R16" i="23" s="1"/>
  <c r="P16" i="23" s="1"/>
  <c r="V16" i="23" s="1"/>
  <c r="U29" i="23"/>
  <c r="T29" i="23" s="1"/>
  <c r="S29" i="23" s="1"/>
  <c r="R29" i="23" s="1"/>
  <c r="P29" i="23" s="1"/>
  <c r="U37" i="23"/>
  <c r="T37" i="23" s="1"/>
  <c r="S37" i="23" s="1"/>
  <c r="R37" i="23" s="1"/>
  <c r="P37" i="23" s="1"/>
  <c r="V37" i="23" s="1"/>
  <c r="U45" i="23"/>
  <c r="T45" i="23" s="1"/>
  <c r="S45" i="23" s="1"/>
  <c r="R45" i="23" s="1"/>
  <c r="P45" i="23" s="1"/>
  <c r="V45" i="23" s="1"/>
  <c r="U53" i="23"/>
  <c r="T53" i="23" s="1"/>
  <c r="S53" i="23" s="1"/>
  <c r="R53" i="23" s="1"/>
  <c r="P53" i="23" s="1"/>
  <c r="V53" i="23" s="1"/>
  <c r="U61" i="23"/>
  <c r="T61" i="23" s="1"/>
  <c r="S61" i="23" s="1"/>
  <c r="R61" i="23" s="1"/>
  <c r="P61" i="23" s="1"/>
  <c r="V61" i="23" s="1"/>
  <c r="U69" i="23"/>
  <c r="T69" i="23" s="1"/>
  <c r="S69" i="23" s="1"/>
  <c r="R69" i="23" s="1"/>
  <c r="P69" i="23" s="1"/>
  <c r="V69" i="23" s="1"/>
  <c r="U77" i="23"/>
  <c r="T77" i="23" s="1"/>
  <c r="S77" i="23" s="1"/>
  <c r="R77" i="23" s="1"/>
  <c r="P77" i="23" s="1"/>
  <c r="V77" i="23" s="1"/>
  <c r="U85" i="23"/>
  <c r="T85" i="23" s="1"/>
  <c r="S85" i="23" s="1"/>
  <c r="R85" i="23" s="1"/>
  <c r="P85" i="23" s="1"/>
  <c r="V85" i="23" s="1"/>
  <c r="U93" i="23"/>
  <c r="T93" i="23" s="1"/>
  <c r="S93" i="23" s="1"/>
  <c r="R93" i="23" s="1"/>
  <c r="P93" i="23" s="1"/>
  <c r="V93" i="23" s="1"/>
  <c r="U101" i="23"/>
  <c r="T101" i="23" s="1"/>
  <c r="S101" i="23" s="1"/>
  <c r="R101" i="23" s="1"/>
  <c r="P101" i="23" s="1"/>
  <c r="V101" i="23" s="1"/>
  <c r="U109" i="23"/>
  <c r="T109" i="23" s="1"/>
  <c r="S109" i="23" s="1"/>
  <c r="R109" i="23" s="1"/>
  <c r="P109" i="23" s="1"/>
  <c r="V109" i="23" s="1"/>
  <c r="U117" i="23"/>
  <c r="T117" i="23" s="1"/>
  <c r="S117" i="23" s="1"/>
  <c r="R117" i="23" s="1"/>
  <c r="P117" i="23" s="1"/>
  <c r="V117" i="23" s="1"/>
  <c r="U125" i="23"/>
  <c r="T125" i="23" s="1"/>
  <c r="S125" i="23" s="1"/>
  <c r="R125" i="23" s="1"/>
  <c r="P125" i="23" s="1"/>
  <c r="V125" i="23" s="1"/>
  <c r="U133" i="23"/>
  <c r="T133" i="23" s="1"/>
  <c r="S133" i="23" s="1"/>
  <c r="R133" i="23" s="1"/>
  <c r="P133" i="23" s="1"/>
  <c r="V133" i="23" s="1"/>
  <c r="U141" i="23"/>
  <c r="T141" i="23" s="1"/>
  <c r="S141" i="23" s="1"/>
  <c r="R141" i="23" s="1"/>
  <c r="P141" i="23" s="1"/>
  <c r="V141" i="23" s="1"/>
  <c r="U149" i="23"/>
  <c r="T149" i="23" s="1"/>
  <c r="S149" i="23" s="1"/>
  <c r="R149" i="23" s="1"/>
  <c r="P149" i="23" s="1"/>
  <c r="U157" i="23"/>
  <c r="T157" i="23" s="1"/>
  <c r="S157" i="23" s="1"/>
  <c r="R157" i="23" s="1"/>
  <c r="P157" i="23" s="1"/>
  <c r="V157" i="23" s="1"/>
  <c r="U165" i="23"/>
  <c r="T165" i="23" s="1"/>
  <c r="S165" i="23" s="1"/>
  <c r="R165" i="23" s="1"/>
  <c r="P165" i="23" s="1"/>
  <c r="V165" i="23" s="1"/>
  <c r="U173" i="23"/>
  <c r="T173" i="23" s="1"/>
  <c r="S173" i="23" s="1"/>
  <c r="R173" i="23" s="1"/>
  <c r="P173" i="23" s="1"/>
  <c r="V173" i="23" s="1"/>
  <c r="U181" i="23"/>
  <c r="T181" i="23" s="1"/>
  <c r="S181" i="23" s="1"/>
  <c r="R181" i="23" s="1"/>
  <c r="P181" i="23" s="1"/>
  <c r="V181" i="23" s="1"/>
  <c r="J69" i="22"/>
  <c r="I69" i="22"/>
  <c r="J93" i="22"/>
  <c r="I93" i="22"/>
  <c r="I205" i="22"/>
  <c r="J205" i="22"/>
  <c r="J213" i="22"/>
  <c r="I213" i="22"/>
  <c r="J174" i="22"/>
  <c r="I174" i="22"/>
  <c r="I254" i="22"/>
  <c r="J254" i="22"/>
  <c r="I294" i="22"/>
  <c r="J294" i="22"/>
  <c r="D302" i="22"/>
  <c r="E302" i="22" s="1"/>
  <c r="F302" i="22" s="1"/>
  <c r="W302" i="22"/>
  <c r="I358" i="22"/>
  <c r="J358" i="22"/>
  <c r="I67" i="22"/>
  <c r="J67" i="22"/>
  <c r="J83" i="22"/>
  <c r="I83" i="22"/>
  <c r="J171" i="22"/>
  <c r="I171" i="22"/>
  <c r="J243" i="22"/>
  <c r="I243" i="22"/>
  <c r="I267" i="22"/>
  <c r="J267" i="22"/>
  <c r="J275" i="22"/>
  <c r="I275" i="22"/>
  <c r="J291" i="22"/>
  <c r="I291" i="22"/>
  <c r="U378" i="23"/>
  <c r="T378" i="23" s="1"/>
  <c r="S378" i="23" s="1"/>
  <c r="R378" i="23" s="1"/>
  <c r="P378" i="23" s="1"/>
  <c r="V378" i="23" s="1"/>
  <c r="U374" i="23"/>
  <c r="T374" i="23" s="1"/>
  <c r="S374" i="23" s="1"/>
  <c r="R374" i="23" s="1"/>
  <c r="P374" i="23" s="1"/>
  <c r="V374" i="23" s="1"/>
  <c r="U370" i="23"/>
  <c r="T370" i="23" s="1"/>
  <c r="S370" i="23" s="1"/>
  <c r="R370" i="23" s="1"/>
  <c r="P370" i="23" s="1"/>
  <c r="V370" i="23" s="1"/>
  <c r="U366" i="23"/>
  <c r="T366" i="23" s="1"/>
  <c r="S366" i="23" s="1"/>
  <c r="R366" i="23" s="1"/>
  <c r="P366" i="23" s="1"/>
  <c r="V366" i="23" s="1"/>
  <c r="U362" i="23"/>
  <c r="T362" i="23" s="1"/>
  <c r="S362" i="23" s="1"/>
  <c r="R362" i="23" s="1"/>
  <c r="P362" i="23" s="1"/>
  <c r="V362" i="23" s="1"/>
  <c r="U358" i="23"/>
  <c r="T358" i="23" s="1"/>
  <c r="S358" i="23" s="1"/>
  <c r="R358" i="23" s="1"/>
  <c r="P358" i="23" s="1"/>
  <c r="V358" i="23" s="1"/>
  <c r="U354" i="23"/>
  <c r="T354" i="23" s="1"/>
  <c r="S354" i="23" s="1"/>
  <c r="R354" i="23" s="1"/>
  <c r="P354" i="23" s="1"/>
  <c r="V354" i="23" s="1"/>
  <c r="U350" i="23"/>
  <c r="T350" i="23" s="1"/>
  <c r="S350" i="23" s="1"/>
  <c r="R350" i="23" s="1"/>
  <c r="P350" i="23" s="1"/>
  <c r="V350" i="23" s="1"/>
  <c r="U346" i="23"/>
  <c r="T346" i="23" s="1"/>
  <c r="S346" i="23" s="1"/>
  <c r="R346" i="23" s="1"/>
  <c r="P346" i="23" s="1"/>
  <c r="V346" i="23" s="1"/>
  <c r="U342" i="23"/>
  <c r="T342" i="23" s="1"/>
  <c r="S342" i="23" s="1"/>
  <c r="R342" i="23" s="1"/>
  <c r="P342" i="23" s="1"/>
  <c r="V342" i="23" s="1"/>
  <c r="U338" i="23"/>
  <c r="T338" i="23" s="1"/>
  <c r="S338" i="23" s="1"/>
  <c r="R338" i="23" s="1"/>
  <c r="P338" i="23" s="1"/>
  <c r="V338" i="23" s="1"/>
  <c r="U334" i="23"/>
  <c r="T334" i="23" s="1"/>
  <c r="S334" i="23" s="1"/>
  <c r="R334" i="23" s="1"/>
  <c r="P334" i="23" s="1"/>
  <c r="V334" i="23" s="1"/>
  <c r="U330" i="23"/>
  <c r="T330" i="23" s="1"/>
  <c r="S330" i="23" s="1"/>
  <c r="R330" i="23" s="1"/>
  <c r="P330" i="23" s="1"/>
  <c r="V330" i="23" s="1"/>
  <c r="U326" i="23"/>
  <c r="T326" i="23" s="1"/>
  <c r="S326" i="23" s="1"/>
  <c r="R326" i="23" s="1"/>
  <c r="P326" i="23" s="1"/>
  <c r="V326" i="23" s="1"/>
  <c r="U322" i="23"/>
  <c r="T322" i="23" s="1"/>
  <c r="S322" i="23" s="1"/>
  <c r="R322" i="23" s="1"/>
  <c r="P322" i="23" s="1"/>
  <c r="V322" i="23" s="1"/>
  <c r="U318" i="23"/>
  <c r="T318" i="23" s="1"/>
  <c r="S318" i="23" s="1"/>
  <c r="R318" i="23" s="1"/>
  <c r="P318" i="23" s="1"/>
  <c r="V318" i="23" s="1"/>
  <c r="U314" i="23"/>
  <c r="T314" i="23" s="1"/>
  <c r="S314" i="23" s="1"/>
  <c r="R314" i="23" s="1"/>
  <c r="P314" i="23" s="1"/>
  <c r="V314" i="23" s="1"/>
  <c r="U310" i="23"/>
  <c r="T310" i="23" s="1"/>
  <c r="S310" i="23" s="1"/>
  <c r="R310" i="23" s="1"/>
  <c r="P310" i="23" s="1"/>
  <c r="V310" i="23" s="1"/>
  <c r="U306" i="23"/>
  <c r="T306" i="23" s="1"/>
  <c r="S306" i="23" s="1"/>
  <c r="R306" i="23" s="1"/>
  <c r="P306" i="23" s="1"/>
  <c r="V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U294" i="23"/>
  <c r="T294" i="23" s="1"/>
  <c r="S294" i="23" s="1"/>
  <c r="R294" i="23" s="1"/>
  <c r="P294" i="23" s="1"/>
  <c r="V294" i="23" s="1"/>
  <c r="U290" i="23"/>
  <c r="T290" i="23" s="1"/>
  <c r="S290" i="23" s="1"/>
  <c r="R290" i="23" s="1"/>
  <c r="P290" i="23" s="1"/>
  <c r="V290" i="23" s="1"/>
  <c r="U286" i="23"/>
  <c r="T286" i="23" s="1"/>
  <c r="S286" i="23" s="1"/>
  <c r="R286" i="23" s="1"/>
  <c r="P286" i="23" s="1"/>
  <c r="V286" i="23" s="1"/>
  <c r="U282" i="23"/>
  <c r="T282" i="23" s="1"/>
  <c r="S282" i="23" s="1"/>
  <c r="R282" i="23" s="1"/>
  <c r="P282" i="23" s="1"/>
  <c r="V282" i="23" s="1"/>
  <c r="U278" i="23"/>
  <c r="T278" i="23" s="1"/>
  <c r="S278" i="23" s="1"/>
  <c r="R278" i="23" s="1"/>
  <c r="P278" i="23" s="1"/>
  <c r="V278" i="23" s="1"/>
  <c r="U274" i="23"/>
  <c r="T274" i="23" s="1"/>
  <c r="S274" i="23" s="1"/>
  <c r="R274" i="23" s="1"/>
  <c r="P274" i="23" s="1"/>
  <c r="V274" i="23" s="1"/>
  <c r="U270" i="23"/>
  <c r="T270" i="23" s="1"/>
  <c r="S270" i="23" s="1"/>
  <c r="R270" i="23" s="1"/>
  <c r="P270" i="23" s="1"/>
  <c r="V270" i="23" s="1"/>
  <c r="U266" i="23"/>
  <c r="T266" i="23" s="1"/>
  <c r="S266" i="23" s="1"/>
  <c r="R266" i="23" s="1"/>
  <c r="P266" i="23" s="1"/>
  <c r="V266" i="23" s="1"/>
  <c r="U262" i="23"/>
  <c r="T262" i="23" s="1"/>
  <c r="S262" i="23" s="1"/>
  <c r="R262" i="23" s="1"/>
  <c r="P262" i="23" s="1"/>
  <c r="V262" i="23" s="1"/>
  <c r="U258" i="23"/>
  <c r="T258" i="23" s="1"/>
  <c r="S258" i="23" s="1"/>
  <c r="R258" i="23" s="1"/>
  <c r="P258" i="23" s="1"/>
  <c r="V258" i="23" s="1"/>
  <c r="D258" i="23" s="1"/>
  <c r="E258" i="23" s="1"/>
  <c r="F258" i="23" s="1"/>
  <c r="U254" i="23"/>
  <c r="T254" i="23" s="1"/>
  <c r="S254" i="23" s="1"/>
  <c r="R254" i="23" s="1"/>
  <c r="P254" i="23" s="1"/>
  <c r="V254" i="23" s="1"/>
  <c r="U250" i="23"/>
  <c r="T250" i="23" s="1"/>
  <c r="S250" i="23" s="1"/>
  <c r="R250" i="23" s="1"/>
  <c r="P250" i="23" s="1"/>
  <c r="V250" i="23" s="1"/>
  <c r="U246" i="23"/>
  <c r="T246" i="23" s="1"/>
  <c r="S246" i="23" s="1"/>
  <c r="R246" i="23" s="1"/>
  <c r="P246" i="23" s="1"/>
  <c r="V246" i="23" s="1"/>
  <c r="U242" i="23"/>
  <c r="T242" i="23" s="1"/>
  <c r="S242" i="23" s="1"/>
  <c r="R242" i="23" s="1"/>
  <c r="P242" i="23" s="1"/>
  <c r="V242" i="23" s="1"/>
  <c r="U238" i="23"/>
  <c r="T238" i="23" s="1"/>
  <c r="S238" i="23" s="1"/>
  <c r="R238" i="23" s="1"/>
  <c r="P238" i="23" s="1"/>
  <c r="V238" i="23" s="1"/>
  <c r="U234" i="23"/>
  <c r="T234" i="23" s="1"/>
  <c r="S234" i="23" s="1"/>
  <c r="R234" i="23" s="1"/>
  <c r="P234" i="23" s="1"/>
  <c r="V234" i="23" s="1"/>
  <c r="U230" i="23"/>
  <c r="T230" i="23" s="1"/>
  <c r="S230" i="23" s="1"/>
  <c r="R230" i="23" s="1"/>
  <c r="P230" i="23" s="1"/>
  <c r="V230" i="23" s="1"/>
  <c r="U226" i="23"/>
  <c r="T226" i="23" s="1"/>
  <c r="S226" i="23" s="1"/>
  <c r="R226" i="23" s="1"/>
  <c r="P226" i="23" s="1"/>
  <c r="V226" i="23" s="1"/>
  <c r="U222" i="23"/>
  <c r="T222" i="23" s="1"/>
  <c r="S222" i="23" s="1"/>
  <c r="R222" i="23" s="1"/>
  <c r="P222" i="23" s="1"/>
  <c r="V222" i="23" s="1"/>
  <c r="U218" i="23"/>
  <c r="T218" i="23" s="1"/>
  <c r="S218" i="23" s="1"/>
  <c r="R218" i="23" s="1"/>
  <c r="P218" i="23" s="1"/>
  <c r="V218" i="23" s="1"/>
  <c r="U214" i="23"/>
  <c r="T214" i="23" s="1"/>
  <c r="S214" i="23" s="1"/>
  <c r="R214" i="23" s="1"/>
  <c r="P214" i="23" s="1"/>
  <c r="V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U202" i="23"/>
  <c r="T202" i="23" s="1"/>
  <c r="S202" i="23" s="1"/>
  <c r="R202" i="23" s="1"/>
  <c r="P202" i="23" s="1"/>
  <c r="V202" i="23" s="1"/>
  <c r="U198" i="23"/>
  <c r="T198" i="23" s="1"/>
  <c r="S198" i="23" s="1"/>
  <c r="R198" i="23" s="1"/>
  <c r="P198" i="23" s="1"/>
  <c r="V198" i="23" s="1"/>
  <c r="U194" i="23"/>
  <c r="T194" i="23" s="1"/>
  <c r="S194" i="23" s="1"/>
  <c r="R194" i="23" s="1"/>
  <c r="P194" i="23" s="1"/>
  <c r="V194" i="23" s="1"/>
  <c r="U190" i="23"/>
  <c r="T190" i="23" s="1"/>
  <c r="S190" i="23" s="1"/>
  <c r="R190" i="23" s="1"/>
  <c r="P190" i="23" s="1"/>
  <c r="V190" i="23" s="1"/>
  <c r="U186" i="23"/>
  <c r="T186" i="23" s="1"/>
  <c r="S186" i="23" s="1"/>
  <c r="R186" i="23" s="1"/>
  <c r="P186" i="23" s="1"/>
  <c r="V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U164" i="23"/>
  <c r="T164" i="23" s="1"/>
  <c r="S164" i="23" s="1"/>
  <c r="R164" i="23" s="1"/>
  <c r="P164" i="23" s="1"/>
  <c r="V164" i="23" s="1"/>
  <c r="U156" i="23"/>
  <c r="T156" i="23" s="1"/>
  <c r="S156" i="23" s="1"/>
  <c r="R156" i="23" s="1"/>
  <c r="P156" i="23" s="1"/>
  <c r="V156" i="23" s="1"/>
  <c r="U148" i="23"/>
  <c r="T148" i="23" s="1"/>
  <c r="S148" i="23" s="1"/>
  <c r="R148" i="23" s="1"/>
  <c r="P148" i="23" s="1"/>
  <c r="V148" i="23" s="1"/>
  <c r="U140" i="23"/>
  <c r="T140" i="23" s="1"/>
  <c r="S140" i="23" s="1"/>
  <c r="R140" i="23" s="1"/>
  <c r="P140" i="23" s="1"/>
  <c r="V140" i="23" s="1"/>
  <c r="U132" i="23"/>
  <c r="T132" i="23" s="1"/>
  <c r="S132" i="23" s="1"/>
  <c r="R132" i="23" s="1"/>
  <c r="P132" i="23" s="1"/>
  <c r="V132" i="23" s="1"/>
  <c r="U124" i="23"/>
  <c r="T124" i="23" s="1"/>
  <c r="S124" i="23" s="1"/>
  <c r="R124" i="23" s="1"/>
  <c r="P124" i="23" s="1"/>
  <c r="V124" i="23" s="1"/>
  <c r="U116" i="23"/>
  <c r="T116" i="23" s="1"/>
  <c r="S116" i="23" s="1"/>
  <c r="R116" i="23" s="1"/>
  <c r="P116" i="23" s="1"/>
  <c r="V116" i="23" s="1"/>
  <c r="U108" i="23"/>
  <c r="T108" i="23" s="1"/>
  <c r="S108" i="23" s="1"/>
  <c r="R108" i="23" s="1"/>
  <c r="P108" i="23" s="1"/>
  <c r="V108" i="23" s="1"/>
  <c r="U100" i="23"/>
  <c r="T100" i="23" s="1"/>
  <c r="S100" i="23" s="1"/>
  <c r="R100" i="23" s="1"/>
  <c r="P100" i="23" s="1"/>
  <c r="V100" i="23" s="1"/>
  <c r="U92" i="23"/>
  <c r="T92" i="23" s="1"/>
  <c r="S92" i="23" s="1"/>
  <c r="R92" i="23" s="1"/>
  <c r="P92" i="23" s="1"/>
  <c r="V92" i="23" s="1"/>
  <c r="U84" i="23"/>
  <c r="T84" i="23" s="1"/>
  <c r="S84" i="23" s="1"/>
  <c r="R84" i="23" s="1"/>
  <c r="P84" i="23" s="1"/>
  <c r="V84" i="23" s="1"/>
  <c r="U76" i="23"/>
  <c r="T76" i="23" s="1"/>
  <c r="S76" i="23" s="1"/>
  <c r="R76" i="23" s="1"/>
  <c r="P76" i="23" s="1"/>
  <c r="V76" i="23" s="1"/>
  <c r="U68" i="23"/>
  <c r="T68" i="23" s="1"/>
  <c r="S68" i="23" s="1"/>
  <c r="R68" i="23" s="1"/>
  <c r="P68" i="23" s="1"/>
  <c r="V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U44" i="23"/>
  <c r="T44" i="23" s="1"/>
  <c r="S44" i="23" s="1"/>
  <c r="R44" i="23" s="1"/>
  <c r="P44" i="23" s="1"/>
  <c r="V44" i="23" s="1"/>
  <c r="U36" i="23"/>
  <c r="T36" i="23" s="1"/>
  <c r="S36" i="23" s="1"/>
  <c r="R36" i="23" s="1"/>
  <c r="P36" i="23" s="1"/>
  <c r="V36" i="23" s="1"/>
  <c r="U28" i="23"/>
  <c r="T28" i="23" s="1"/>
  <c r="S28" i="23" s="1"/>
  <c r="R28" i="23" s="1"/>
  <c r="P28" i="23" s="1"/>
  <c r="V28" i="23" s="1"/>
  <c r="U19" i="23"/>
  <c r="T19" i="23" s="1"/>
  <c r="S19" i="23" s="1"/>
  <c r="R19" i="23" s="1"/>
  <c r="P19" i="23" s="1"/>
  <c r="V19" i="23" s="1"/>
  <c r="U379" i="23"/>
  <c r="U375" i="23"/>
  <c r="T375" i="23" s="1"/>
  <c r="S375" i="23" s="1"/>
  <c r="R375" i="23" s="1"/>
  <c r="P375" i="23" s="1"/>
  <c r="V375" i="23" s="1"/>
  <c r="U371" i="23"/>
  <c r="T371" i="23" s="1"/>
  <c r="S371" i="23" s="1"/>
  <c r="R371" i="23" s="1"/>
  <c r="P371" i="23" s="1"/>
  <c r="V371" i="23" s="1"/>
  <c r="U367" i="23"/>
  <c r="T367" i="23" s="1"/>
  <c r="S367" i="23" s="1"/>
  <c r="R367" i="23" s="1"/>
  <c r="P367" i="23" s="1"/>
  <c r="V367" i="23" s="1"/>
  <c r="U363" i="23"/>
  <c r="T363" i="23" s="1"/>
  <c r="S363" i="23" s="1"/>
  <c r="R363" i="23" s="1"/>
  <c r="P363" i="23" s="1"/>
  <c r="U359" i="23"/>
  <c r="T359" i="23" s="1"/>
  <c r="S359" i="23" s="1"/>
  <c r="R359" i="23" s="1"/>
  <c r="P359" i="23" s="1"/>
  <c r="V359" i="23" s="1"/>
  <c r="U355" i="23"/>
  <c r="T355" i="23" s="1"/>
  <c r="S355" i="23" s="1"/>
  <c r="R355" i="23" s="1"/>
  <c r="P355" i="23" s="1"/>
  <c r="V355" i="23" s="1"/>
  <c r="U351" i="23"/>
  <c r="T351" i="23" s="1"/>
  <c r="S351" i="23" s="1"/>
  <c r="R351" i="23" s="1"/>
  <c r="P351" i="23" s="1"/>
  <c r="V351" i="23" s="1"/>
  <c r="U347" i="23"/>
  <c r="T347" i="23" s="1"/>
  <c r="S347" i="23" s="1"/>
  <c r="R347" i="23" s="1"/>
  <c r="P347" i="23" s="1"/>
  <c r="V347" i="23" s="1"/>
  <c r="U343" i="23"/>
  <c r="T343" i="23" s="1"/>
  <c r="S343" i="23" s="1"/>
  <c r="R343" i="23" s="1"/>
  <c r="P343" i="23" s="1"/>
  <c r="V343" i="23" s="1"/>
  <c r="U339" i="23"/>
  <c r="T339" i="23" s="1"/>
  <c r="S339" i="23" s="1"/>
  <c r="R339" i="23" s="1"/>
  <c r="P339" i="23" s="1"/>
  <c r="V339" i="23" s="1"/>
  <c r="U335" i="23"/>
  <c r="T335" i="23" s="1"/>
  <c r="S335" i="23" s="1"/>
  <c r="R335" i="23" s="1"/>
  <c r="P335" i="23" s="1"/>
  <c r="V335" i="23" s="1"/>
  <c r="U331" i="23"/>
  <c r="T331" i="23" s="1"/>
  <c r="S331" i="23" s="1"/>
  <c r="R331" i="23" s="1"/>
  <c r="P331" i="23" s="1"/>
  <c r="V331" i="23" s="1"/>
  <c r="U327" i="23"/>
  <c r="T327" i="23" s="1"/>
  <c r="S327" i="23" s="1"/>
  <c r="R327" i="23" s="1"/>
  <c r="P327" i="23" s="1"/>
  <c r="V327" i="23" s="1"/>
  <c r="U323" i="23"/>
  <c r="T323" i="23" s="1"/>
  <c r="S323" i="23" s="1"/>
  <c r="R323" i="23" s="1"/>
  <c r="P323" i="23" s="1"/>
  <c r="V323" i="23" s="1"/>
  <c r="U319" i="23"/>
  <c r="T319" i="23" s="1"/>
  <c r="S319" i="23" s="1"/>
  <c r="R319" i="23" s="1"/>
  <c r="P319" i="23" s="1"/>
  <c r="V319" i="23" s="1"/>
  <c r="D319" i="23" s="1"/>
  <c r="E319" i="23" s="1"/>
  <c r="F319" i="23" s="1"/>
  <c r="U315" i="23"/>
  <c r="T315" i="23" s="1"/>
  <c r="S315" i="23" s="1"/>
  <c r="R315" i="23" s="1"/>
  <c r="P315" i="23" s="1"/>
  <c r="V315" i="23" s="1"/>
  <c r="U311" i="23"/>
  <c r="T311" i="23" s="1"/>
  <c r="S311" i="23" s="1"/>
  <c r="R311" i="23" s="1"/>
  <c r="P311" i="23" s="1"/>
  <c r="V311" i="23" s="1"/>
  <c r="U307" i="23"/>
  <c r="T307" i="23" s="1"/>
  <c r="S307" i="23" s="1"/>
  <c r="R307" i="23" s="1"/>
  <c r="P307" i="23" s="1"/>
  <c r="V307" i="23" s="1"/>
  <c r="U303" i="23"/>
  <c r="T303" i="23" s="1"/>
  <c r="S303" i="23" s="1"/>
  <c r="R303" i="23" s="1"/>
  <c r="P303" i="23" s="1"/>
  <c r="V303" i="23" s="1"/>
  <c r="U299" i="23"/>
  <c r="T299" i="23" s="1"/>
  <c r="S299" i="23" s="1"/>
  <c r="R299" i="23" s="1"/>
  <c r="P299" i="23" s="1"/>
  <c r="V299" i="23" s="1"/>
  <c r="U295" i="23"/>
  <c r="T295" i="23" s="1"/>
  <c r="S295" i="23" s="1"/>
  <c r="R295" i="23" s="1"/>
  <c r="P295" i="23" s="1"/>
  <c r="V295" i="23" s="1"/>
  <c r="U291" i="23"/>
  <c r="T291" i="23" s="1"/>
  <c r="S291" i="23" s="1"/>
  <c r="R291" i="23" s="1"/>
  <c r="P291" i="23" s="1"/>
  <c r="V291" i="23" s="1"/>
  <c r="U287" i="23"/>
  <c r="T287" i="23" s="1"/>
  <c r="S287" i="23" s="1"/>
  <c r="R287" i="23" s="1"/>
  <c r="P287" i="23" s="1"/>
  <c r="V287" i="23" s="1"/>
  <c r="U283" i="23"/>
  <c r="T283" i="23" s="1"/>
  <c r="S283" i="23" s="1"/>
  <c r="R283" i="23" s="1"/>
  <c r="P283" i="23" s="1"/>
  <c r="V283" i="23" s="1"/>
  <c r="U279" i="23"/>
  <c r="T279" i="23" s="1"/>
  <c r="S279" i="23" s="1"/>
  <c r="R279" i="23" s="1"/>
  <c r="P279" i="23" s="1"/>
  <c r="V279" i="23" s="1"/>
  <c r="U275" i="23"/>
  <c r="T275" i="23" s="1"/>
  <c r="S275" i="23" s="1"/>
  <c r="R275" i="23" s="1"/>
  <c r="P275" i="23" s="1"/>
  <c r="V275" i="23" s="1"/>
  <c r="U271" i="23"/>
  <c r="T271" i="23" s="1"/>
  <c r="S271" i="23" s="1"/>
  <c r="R271" i="23" s="1"/>
  <c r="P271" i="23" s="1"/>
  <c r="V271" i="23" s="1"/>
  <c r="U267" i="23"/>
  <c r="T267" i="23" s="1"/>
  <c r="S267" i="23" s="1"/>
  <c r="R267" i="23" s="1"/>
  <c r="P267" i="23" s="1"/>
  <c r="V267" i="23" s="1"/>
  <c r="U263" i="23"/>
  <c r="T263" i="23" s="1"/>
  <c r="S263" i="23" s="1"/>
  <c r="R263" i="23" s="1"/>
  <c r="P263" i="23" s="1"/>
  <c r="V263" i="23" s="1"/>
  <c r="U259" i="23"/>
  <c r="T259" i="23" s="1"/>
  <c r="S259" i="23" s="1"/>
  <c r="R259" i="23" s="1"/>
  <c r="P259" i="23" s="1"/>
  <c r="V259" i="23" s="1"/>
  <c r="U255" i="23"/>
  <c r="T255" i="23" s="1"/>
  <c r="S255" i="23" s="1"/>
  <c r="R255" i="23" s="1"/>
  <c r="P255" i="23" s="1"/>
  <c r="V255" i="23" s="1"/>
  <c r="U251" i="23"/>
  <c r="T251" i="23" s="1"/>
  <c r="S251" i="23" s="1"/>
  <c r="R251" i="23" s="1"/>
  <c r="P251" i="23" s="1"/>
  <c r="V251" i="23" s="1"/>
  <c r="U247" i="23"/>
  <c r="T247" i="23" s="1"/>
  <c r="S247" i="23" s="1"/>
  <c r="R247" i="23" s="1"/>
  <c r="P247" i="23" s="1"/>
  <c r="V247" i="23" s="1"/>
  <c r="U243" i="23"/>
  <c r="T243" i="23" s="1"/>
  <c r="S243" i="23" s="1"/>
  <c r="R243" i="23" s="1"/>
  <c r="P243" i="23" s="1"/>
  <c r="V243" i="23" s="1"/>
  <c r="U239" i="23"/>
  <c r="T239" i="23" s="1"/>
  <c r="S239" i="23" s="1"/>
  <c r="R239" i="23" s="1"/>
  <c r="P239" i="23" s="1"/>
  <c r="V239" i="23" s="1"/>
  <c r="U235" i="23"/>
  <c r="T235" i="23" s="1"/>
  <c r="S235" i="23" s="1"/>
  <c r="R235" i="23" s="1"/>
  <c r="P235" i="23" s="1"/>
  <c r="V235" i="23" s="1"/>
  <c r="U231" i="23"/>
  <c r="T231" i="23" s="1"/>
  <c r="S231" i="23" s="1"/>
  <c r="R231" i="23" s="1"/>
  <c r="P231" i="23" s="1"/>
  <c r="V231" i="23" s="1"/>
  <c r="U227" i="23"/>
  <c r="T227" i="23" s="1"/>
  <c r="S227" i="23" s="1"/>
  <c r="R227" i="23" s="1"/>
  <c r="P227" i="23" s="1"/>
  <c r="V227" i="23" s="1"/>
  <c r="U223" i="23"/>
  <c r="T223" i="23" s="1"/>
  <c r="S223" i="23" s="1"/>
  <c r="R223" i="23" s="1"/>
  <c r="P223" i="23" s="1"/>
  <c r="V223" i="23" s="1"/>
  <c r="U219" i="23"/>
  <c r="T219" i="23" s="1"/>
  <c r="S219" i="23" s="1"/>
  <c r="R219" i="23" s="1"/>
  <c r="P219" i="23" s="1"/>
  <c r="V219" i="23" s="1"/>
  <c r="U215" i="23"/>
  <c r="T215" i="23" s="1"/>
  <c r="S215" i="23" s="1"/>
  <c r="R215" i="23" s="1"/>
  <c r="P215" i="23" s="1"/>
  <c r="V215" i="23" s="1"/>
  <c r="U211" i="23"/>
  <c r="T211" i="23" s="1"/>
  <c r="S211" i="23" s="1"/>
  <c r="R211" i="23" s="1"/>
  <c r="P211" i="23" s="1"/>
  <c r="V211" i="23" s="1"/>
  <c r="U207" i="23"/>
  <c r="T207" i="23" s="1"/>
  <c r="S207" i="23" s="1"/>
  <c r="R207" i="23" s="1"/>
  <c r="P207" i="23" s="1"/>
  <c r="V207" i="23" s="1"/>
  <c r="U203" i="23"/>
  <c r="T203" i="23" s="1"/>
  <c r="S203" i="23" s="1"/>
  <c r="R203" i="23" s="1"/>
  <c r="P203" i="23" s="1"/>
  <c r="V203" i="23" s="1"/>
  <c r="U199" i="23"/>
  <c r="T199" i="23" s="1"/>
  <c r="S199" i="23" s="1"/>
  <c r="R199" i="23" s="1"/>
  <c r="P199" i="23" s="1"/>
  <c r="V199" i="23" s="1"/>
  <c r="U195" i="23"/>
  <c r="T195" i="23" s="1"/>
  <c r="S195" i="23" s="1"/>
  <c r="R195" i="23" s="1"/>
  <c r="P195" i="23" s="1"/>
  <c r="V195" i="23" s="1"/>
  <c r="U191" i="23"/>
  <c r="T191" i="23" s="1"/>
  <c r="S191" i="23" s="1"/>
  <c r="R191" i="23" s="1"/>
  <c r="P191" i="23" s="1"/>
  <c r="V191" i="23" s="1"/>
  <c r="U187" i="23"/>
  <c r="T187" i="23" s="1"/>
  <c r="S187" i="23" s="1"/>
  <c r="R187" i="23" s="1"/>
  <c r="P187" i="23" s="1"/>
  <c r="V187" i="23" s="1"/>
  <c r="U182" i="23"/>
  <c r="T182" i="23" s="1"/>
  <c r="S182" i="23" s="1"/>
  <c r="R182" i="23" s="1"/>
  <c r="P182" i="23" s="1"/>
  <c r="V182" i="23" s="1"/>
  <c r="U174" i="23"/>
  <c r="T174" i="23" s="1"/>
  <c r="S174" i="23" s="1"/>
  <c r="R174" i="23" s="1"/>
  <c r="P174" i="23" s="1"/>
  <c r="V174" i="23" s="1"/>
  <c r="U166" i="23"/>
  <c r="T166" i="23" s="1"/>
  <c r="S166" i="23" s="1"/>
  <c r="R166" i="23" s="1"/>
  <c r="P166" i="23" s="1"/>
  <c r="V166" i="23" s="1"/>
  <c r="D166" i="23" s="1"/>
  <c r="E166" i="23" s="1"/>
  <c r="F166" i="23" s="1"/>
  <c r="U158" i="23"/>
  <c r="T158" i="23" s="1"/>
  <c r="S158" i="23" s="1"/>
  <c r="R158" i="23" s="1"/>
  <c r="P158" i="23" s="1"/>
  <c r="V158" i="23" s="1"/>
  <c r="U150" i="23"/>
  <c r="T150" i="23" s="1"/>
  <c r="S150" i="23" s="1"/>
  <c r="R150" i="23" s="1"/>
  <c r="P150" i="23" s="1"/>
  <c r="V150" i="23" s="1"/>
  <c r="U142" i="23"/>
  <c r="T142" i="23" s="1"/>
  <c r="S142" i="23" s="1"/>
  <c r="R142" i="23" s="1"/>
  <c r="P142" i="23" s="1"/>
  <c r="V142" i="23" s="1"/>
  <c r="U134" i="23"/>
  <c r="T134" i="23" s="1"/>
  <c r="S134" i="23" s="1"/>
  <c r="R134" i="23" s="1"/>
  <c r="P134" i="23" s="1"/>
  <c r="V134" i="23" s="1"/>
  <c r="U126" i="23"/>
  <c r="T126" i="23" s="1"/>
  <c r="S126" i="23" s="1"/>
  <c r="R126" i="23" s="1"/>
  <c r="P126" i="23" s="1"/>
  <c r="V126" i="23" s="1"/>
  <c r="U118" i="23"/>
  <c r="T118" i="23" s="1"/>
  <c r="S118" i="23" s="1"/>
  <c r="R118" i="23" s="1"/>
  <c r="P118" i="23" s="1"/>
  <c r="V118" i="23" s="1"/>
  <c r="U110" i="23"/>
  <c r="T110" i="23" s="1"/>
  <c r="S110" i="23" s="1"/>
  <c r="R110" i="23" s="1"/>
  <c r="P110" i="23" s="1"/>
  <c r="V110" i="23" s="1"/>
  <c r="U102" i="23"/>
  <c r="T102" i="23" s="1"/>
  <c r="S102" i="23" s="1"/>
  <c r="R102" i="23" s="1"/>
  <c r="P102" i="23" s="1"/>
  <c r="V102" i="23" s="1"/>
  <c r="U94" i="23"/>
  <c r="T94" i="23" s="1"/>
  <c r="S94" i="23" s="1"/>
  <c r="R94" i="23" s="1"/>
  <c r="P94" i="23" s="1"/>
  <c r="V94" i="23" s="1"/>
  <c r="U86" i="23"/>
  <c r="T86" i="23" s="1"/>
  <c r="S86" i="23" s="1"/>
  <c r="R86" i="23" s="1"/>
  <c r="P86" i="23" s="1"/>
  <c r="V86" i="23" s="1"/>
  <c r="U78" i="23"/>
  <c r="T78" i="23" s="1"/>
  <c r="S78" i="23" s="1"/>
  <c r="R78" i="23" s="1"/>
  <c r="P78" i="23" s="1"/>
  <c r="V78" i="23" s="1"/>
  <c r="U70" i="23"/>
  <c r="T70" i="23" s="1"/>
  <c r="S70" i="23" s="1"/>
  <c r="R70" i="23" s="1"/>
  <c r="P70" i="23" s="1"/>
  <c r="V70" i="23" s="1"/>
  <c r="U62" i="23"/>
  <c r="T62" i="23" s="1"/>
  <c r="S62" i="23" s="1"/>
  <c r="R62" i="23" s="1"/>
  <c r="P62" i="23" s="1"/>
  <c r="V62" i="23" s="1"/>
  <c r="U54" i="23"/>
  <c r="T54" i="23" s="1"/>
  <c r="S54" i="23" s="1"/>
  <c r="R54" i="23" s="1"/>
  <c r="P54" i="23" s="1"/>
  <c r="V54" i="23" s="1"/>
  <c r="U46" i="23"/>
  <c r="T46" i="23" s="1"/>
  <c r="S46" i="23" s="1"/>
  <c r="R46" i="23" s="1"/>
  <c r="P46" i="23" s="1"/>
  <c r="V46" i="23" s="1"/>
  <c r="W46" i="23" s="1"/>
  <c r="U38" i="23"/>
  <c r="T38" i="23" s="1"/>
  <c r="S38" i="23" s="1"/>
  <c r="R38" i="23" s="1"/>
  <c r="P38" i="23" s="1"/>
  <c r="V38" i="23" s="1"/>
  <c r="U30" i="23"/>
  <c r="T30" i="23" s="1"/>
  <c r="S30" i="23" s="1"/>
  <c r="R30" i="23" s="1"/>
  <c r="P30" i="23" s="1"/>
  <c r="V30" i="23" s="1"/>
  <c r="U20" i="23"/>
  <c r="T20" i="23" s="1"/>
  <c r="S20" i="23" s="1"/>
  <c r="R20" i="23" s="1"/>
  <c r="P20" i="23" s="1"/>
  <c r="V20" i="23" s="1"/>
  <c r="U23" i="23"/>
  <c r="T23" i="23" s="1"/>
  <c r="S23" i="23" s="1"/>
  <c r="R23" i="23" s="1"/>
  <c r="P23" i="23" s="1"/>
  <c r="V23" i="23" s="1"/>
  <c r="AI99" i="23"/>
  <c r="AH99" i="23" s="1"/>
  <c r="AG99" i="23" s="1"/>
  <c r="AF99" i="23" s="1"/>
  <c r="AD99" i="23" s="1"/>
  <c r="AI91" i="23"/>
  <c r="AH91" i="23" s="1"/>
  <c r="AG91" i="23" s="1"/>
  <c r="AF91" i="23" s="1"/>
  <c r="AD91" i="23" s="1"/>
  <c r="AI83" i="23"/>
  <c r="AH83" i="23" s="1"/>
  <c r="AG83" i="23" s="1"/>
  <c r="AF83" i="23" s="1"/>
  <c r="AD83" i="23" s="1"/>
  <c r="AI75" i="23"/>
  <c r="AH75" i="23" s="1"/>
  <c r="AG75" i="23" s="1"/>
  <c r="AF75" i="23" s="1"/>
  <c r="AD75" i="23" s="1"/>
  <c r="AI67" i="23"/>
  <c r="AH67" i="23" s="1"/>
  <c r="AG67" i="23" s="1"/>
  <c r="AF67" i="23" s="1"/>
  <c r="AD67" i="23" s="1"/>
  <c r="AI59" i="23"/>
  <c r="AH59" i="23" s="1"/>
  <c r="AG59" i="23" s="1"/>
  <c r="AF59" i="23" s="1"/>
  <c r="AD59" i="23" s="1"/>
  <c r="AI51" i="23"/>
  <c r="AH51" i="23" s="1"/>
  <c r="AG51" i="23" s="1"/>
  <c r="AF51" i="23" s="1"/>
  <c r="AD51" i="23" s="1"/>
  <c r="AI43" i="23"/>
  <c r="AH43" i="23" s="1"/>
  <c r="AG43" i="23" s="1"/>
  <c r="AF43" i="23" s="1"/>
  <c r="AD43" i="23" s="1"/>
  <c r="AI35" i="23"/>
  <c r="AH35" i="23" s="1"/>
  <c r="AG35" i="23" s="1"/>
  <c r="AF35" i="23" s="1"/>
  <c r="AD35" i="23" s="1"/>
  <c r="AI27" i="23"/>
  <c r="AH27" i="23" s="1"/>
  <c r="AG27" i="23" s="1"/>
  <c r="AF27" i="23" s="1"/>
  <c r="AD27" i="23" s="1"/>
  <c r="AI17" i="23"/>
  <c r="AH17" i="23" s="1"/>
  <c r="AG17" i="23" s="1"/>
  <c r="AF17" i="23" s="1"/>
  <c r="AD17" i="23" s="1"/>
  <c r="AI102" i="23"/>
  <c r="AH102" i="23" s="1"/>
  <c r="AG102" i="23" s="1"/>
  <c r="AF102" i="23" s="1"/>
  <c r="AD102" i="23" s="1"/>
  <c r="AI98" i="23"/>
  <c r="AH98" i="23" s="1"/>
  <c r="AG98" i="23" s="1"/>
  <c r="AF98" i="23" s="1"/>
  <c r="AD98" i="23" s="1"/>
  <c r="AI94" i="23"/>
  <c r="AH94" i="23" s="1"/>
  <c r="AG94" i="23" s="1"/>
  <c r="AF94" i="23" s="1"/>
  <c r="AD94" i="23" s="1"/>
  <c r="AI90" i="23"/>
  <c r="AH90" i="23" s="1"/>
  <c r="AG90" i="23" s="1"/>
  <c r="AF90" i="23" s="1"/>
  <c r="AD90" i="23" s="1"/>
  <c r="AI86" i="23"/>
  <c r="AH86" i="23" s="1"/>
  <c r="AG86" i="23" s="1"/>
  <c r="AF86" i="23" s="1"/>
  <c r="AD86" i="23" s="1"/>
  <c r="AI82" i="23"/>
  <c r="AH82" i="23" s="1"/>
  <c r="AG82" i="23" s="1"/>
  <c r="AF82" i="23" s="1"/>
  <c r="AD82" i="23" s="1"/>
  <c r="AI78" i="23"/>
  <c r="AH78" i="23" s="1"/>
  <c r="AG78" i="23" s="1"/>
  <c r="AF78" i="23" s="1"/>
  <c r="AD78" i="23" s="1"/>
  <c r="AI74" i="23"/>
  <c r="AH74" i="23" s="1"/>
  <c r="AG74" i="23" s="1"/>
  <c r="AF74" i="23" s="1"/>
  <c r="AD74" i="23" s="1"/>
  <c r="AI70" i="23"/>
  <c r="AH70" i="23" s="1"/>
  <c r="AG70" i="23" s="1"/>
  <c r="AF70" i="23" s="1"/>
  <c r="AD70" i="23" s="1"/>
  <c r="AI66" i="23"/>
  <c r="AH66" i="23" s="1"/>
  <c r="AG66" i="23" s="1"/>
  <c r="AF66" i="23" s="1"/>
  <c r="AD66" i="23" s="1"/>
  <c r="AI62" i="23"/>
  <c r="AH62" i="23" s="1"/>
  <c r="AG62" i="23" s="1"/>
  <c r="AF62" i="23" s="1"/>
  <c r="AD62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AI101" i="23"/>
  <c r="AH101" i="23" s="1"/>
  <c r="AG101" i="23" s="1"/>
  <c r="AF101" i="23" s="1"/>
  <c r="AD101" i="23" s="1"/>
  <c r="AI93" i="23"/>
  <c r="AH93" i="23" s="1"/>
  <c r="AG93" i="23" s="1"/>
  <c r="AF93" i="23" s="1"/>
  <c r="AD93" i="23" s="1"/>
  <c r="AI85" i="23"/>
  <c r="AH85" i="23" s="1"/>
  <c r="AG85" i="23" s="1"/>
  <c r="AF85" i="23" s="1"/>
  <c r="AD85" i="23" s="1"/>
  <c r="AI77" i="23"/>
  <c r="AH77" i="23" s="1"/>
  <c r="AG77" i="23" s="1"/>
  <c r="AF77" i="23" s="1"/>
  <c r="AD77" i="23" s="1"/>
  <c r="AI69" i="23"/>
  <c r="AH69" i="23" s="1"/>
  <c r="AG69" i="23" s="1"/>
  <c r="AF69" i="23" s="1"/>
  <c r="AD69" i="23" s="1"/>
  <c r="AI61" i="23"/>
  <c r="AH61" i="23" s="1"/>
  <c r="AG61" i="23" s="1"/>
  <c r="AF61" i="23" s="1"/>
  <c r="AD61" i="23" s="1"/>
  <c r="AI53" i="23"/>
  <c r="AH53" i="23" s="1"/>
  <c r="AG53" i="23" s="1"/>
  <c r="AF53" i="23" s="1"/>
  <c r="AD53" i="23" s="1"/>
  <c r="AI45" i="23"/>
  <c r="AH45" i="23" s="1"/>
  <c r="AG45" i="23" s="1"/>
  <c r="AF45" i="23" s="1"/>
  <c r="AD45" i="23" s="1"/>
  <c r="AI37" i="23"/>
  <c r="AH37" i="23" s="1"/>
  <c r="AG37" i="23" s="1"/>
  <c r="AF37" i="23" s="1"/>
  <c r="AD37" i="23" s="1"/>
  <c r="AI29" i="23"/>
  <c r="AH29" i="23" s="1"/>
  <c r="AG29" i="23" s="1"/>
  <c r="AF29" i="23" s="1"/>
  <c r="AD29" i="23" s="1"/>
  <c r="AI21" i="23"/>
  <c r="AH21" i="23" s="1"/>
  <c r="AG21" i="23" s="1"/>
  <c r="AF21" i="23" s="1"/>
  <c r="AD21" i="23" s="1"/>
  <c r="J44" i="22"/>
  <c r="I44" i="22"/>
  <c r="W180" i="22"/>
  <c r="D180" i="22"/>
  <c r="E180" i="22" s="1"/>
  <c r="F180" i="22" s="1"/>
  <c r="J188" i="22"/>
  <c r="I188" i="22"/>
  <c r="J252" i="22"/>
  <c r="I252" i="22"/>
  <c r="J284" i="22"/>
  <c r="I284" i="22"/>
  <c r="J324" i="22"/>
  <c r="I324" i="22"/>
  <c r="I372" i="22"/>
  <c r="J372" i="22"/>
  <c r="E379" i="18"/>
  <c r="AJ9" i="18" s="1"/>
  <c r="AJ11" i="18" s="1"/>
  <c r="AJ8" i="18"/>
  <c r="D383" i="18"/>
  <c r="D9" i="18"/>
  <c r="D11" i="18" s="1"/>
  <c r="E39" i="19" s="1"/>
  <c r="D381" i="18"/>
  <c r="D382" i="18"/>
  <c r="I20" i="22"/>
  <c r="J20" i="22"/>
  <c r="J49" i="22"/>
  <c r="I49" i="22"/>
  <c r="J177" i="22"/>
  <c r="I177" i="22"/>
  <c r="I233" i="22"/>
  <c r="J233" i="22"/>
  <c r="D241" i="22"/>
  <c r="E241" i="22" s="1"/>
  <c r="F241" i="22" s="1"/>
  <c r="W241" i="22"/>
  <c r="J265" i="22"/>
  <c r="I265" i="22"/>
  <c r="J345" i="22"/>
  <c r="I345" i="22"/>
  <c r="I42" i="22"/>
  <c r="J42" i="22"/>
  <c r="I138" i="22"/>
  <c r="J138" i="22"/>
  <c r="J162" i="22"/>
  <c r="I162" i="22"/>
  <c r="J170" i="22"/>
  <c r="I170" i="22"/>
  <c r="I186" i="22"/>
  <c r="J186" i="22"/>
  <c r="J282" i="22"/>
  <c r="I282" i="22"/>
  <c r="I322" i="22"/>
  <c r="J322" i="22"/>
  <c r="I338" i="22"/>
  <c r="J338" i="22"/>
  <c r="J362" i="22"/>
  <c r="I362" i="22"/>
  <c r="I143" i="22"/>
  <c r="J143" i="22"/>
  <c r="J199" i="22"/>
  <c r="I199" i="22"/>
  <c r="J207" i="22"/>
  <c r="I207" i="22"/>
  <c r="I215" i="22"/>
  <c r="J215" i="22"/>
  <c r="J327" i="22"/>
  <c r="I327" i="22"/>
  <c r="J359" i="22"/>
  <c r="I359" i="22"/>
  <c r="J18" i="22"/>
  <c r="I18" i="22"/>
  <c r="J40" i="22"/>
  <c r="I40" i="22"/>
  <c r="I72" i="22"/>
  <c r="J72" i="22"/>
  <c r="W88" i="22"/>
  <c r="D88" i="22"/>
  <c r="E88" i="22" s="1"/>
  <c r="F88" i="22" s="1"/>
  <c r="I256" i="22"/>
  <c r="J256" i="22"/>
  <c r="J74" i="22"/>
  <c r="I74" i="22"/>
  <c r="I144" i="22"/>
  <c r="J144" i="22"/>
  <c r="J192" i="22"/>
  <c r="I192" i="22"/>
  <c r="I248" i="22"/>
  <c r="J248" i="22"/>
  <c r="J376" i="22"/>
  <c r="I376" i="22"/>
  <c r="M66" i="19"/>
  <c r="N66" i="19" s="1"/>
  <c r="V380" i="20"/>
  <c r="J173" i="22"/>
  <c r="I173" i="22"/>
  <c r="J181" i="22"/>
  <c r="I181" i="22"/>
  <c r="I197" i="22"/>
  <c r="J197" i="22"/>
  <c r="I277" i="22"/>
  <c r="J277" i="22"/>
  <c r="J293" i="22"/>
  <c r="I293" i="22"/>
  <c r="D333" i="22"/>
  <c r="E333" i="22" s="1"/>
  <c r="F333" i="22" s="1"/>
  <c r="W333" i="22"/>
  <c r="J94" i="22"/>
  <c r="I94" i="22"/>
  <c r="J126" i="22"/>
  <c r="I126" i="22"/>
  <c r="I134" i="22"/>
  <c r="J134" i="22"/>
  <c r="J206" i="22"/>
  <c r="I206" i="22"/>
  <c r="I214" i="22"/>
  <c r="J214" i="22"/>
  <c r="I222" i="22"/>
  <c r="J222" i="22"/>
  <c r="J262" i="22"/>
  <c r="I262" i="22"/>
  <c r="I278" i="22"/>
  <c r="J278" i="22"/>
  <c r="I115" i="22"/>
  <c r="J115" i="22"/>
  <c r="I299" i="22"/>
  <c r="J299" i="22"/>
  <c r="J339" i="22"/>
  <c r="I339" i="22"/>
  <c r="J347" i="22"/>
  <c r="I347" i="22"/>
  <c r="M67" i="19"/>
  <c r="J148" i="22"/>
  <c r="I148" i="22"/>
  <c r="J204" i="22"/>
  <c r="I204" i="22"/>
  <c r="I212" i="22"/>
  <c r="J212" i="22"/>
  <c r="I220" i="22"/>
  <c r="J220" i="22"/>
  <c r="J316" i="22"/>
  <c r="I316" i="22"/>
  <c r="J332" i="22"/>
  <c r="I332" i="22"/>
  <c r="J340" i="22"/>
  <c r="I340" i="22"/>
  <c r="I41" i="22"/>
  <c r="J41" i="22"/>
  <c r="J153" i="22"/>
  <c r="I153" i="22"/>
  <c r="I225" i="22"/>
  <c r="J225" i="22"/>
  <c r="I305" i="22"/>
  <c r="J305" i="22"/>
  <c r="I34" i="22"/>
  <c r="J34" i="22"/>
  <c r="J58" i="22"/>
  <c r="I58" i="22"/>
  <c r="J82" i="22"/>
  <c r="I82" i="22"/>
  <c r="J306" i="22"/>
  <c r="I306" i="22"/>
  <c r="I22" i="22"/>
  <c r="J22" i="22"/>
  <c r="J39" i="22"/>
  <c r="I39" i="22"/>
  <c r="I175" i="22"/>
  <c r="J175" i="22"/>
  <c r="I191" i="22"/>
  <c r="J191" i="22"/>
  <c r="I223" i="22"/>
  <c r="J223" i="22"/>
  <c r="I263" i="22"/>
  <c r="J263" i="22"/>
  <c r="J311" i="22"/>
  <c r="I311" i="22"/>
  <c r="I56" i="22"/>
  <c r="J56" i="22"/>
  <c r="J112" i="22"/>
  <c r="I112" i="22"/>
  <c r="I152" i="22"/>
  <c r="J152" i="22"/>
  <c r="W272" i="22"/>
  <c r="D272" i="22"/>
  <c r="E272" i="22" s="1"/>
  <c r="F272" i="22" s="1"/>
  <c r="J360" i="22"/>
  <c r="I360" i="22"/>
  <c r="U22" i="23"/>
  <c r="T22" i="23" s="1"/>
  <c r="S22" i="23" s="1"/>
  <c r="R22" i="23" s="1"/>
  <c r="P22" i="23" s="1"/>
  <c r="V22" i="23" s="1"/>
  <c r="U25" i="23"/>
  <c r="T25" i="23" s="1"/>
  <c r="S25" i="23" s="1"/>
  <c r="R25" i="23" s="1"/>
  <c r="P25" i="23" s="1"/>
  <c r="V25" i="23" s="1"/>
  <c r="U33" i="23"/>
  <c r="T33" i="23" s="1"/>
  <c r="S33" i="23" s="1"/>
  <c r="R33" i="23" s="1"/>
  <c r="P33" i="23" s="1"/>
  <c r="V33" i="23" s="1"/>
  <c r="U41" i="23"/>
  <c r="T41" i="23" s="1"/>
  <c r="S41" i="23" s="1"/>
  <c r="R41" i="23" s="1"/>
  <c r="P41" i="23" s="1"/>
  <c r="V41" i="23" s="1"/>
  <c r="U49" i="23"/>
  <c r="T49" i="23" s="1"/>
  <c r="S49" i="23" s="1"/>
  <c r="R49" i="23" s="1"/>
  <c r="P49" i="23" s="1"/>
  <c r="V49" i="23" s="1"/>
  <c r="U57" i="23"/>
  <c r="T57" i="23" s="1"/>
  <c r="S57" i="23" s="1"/>
  <c r="R57" i="23" s="1"/>
  <c r="P57" i="23" s="1"/>
  <c r="V57" i="23" s="1"/>
  <c r="U65" i="23"/>
  <c r="T65" i="23" s="1"/>
  <c r="S65" i="23" s="1"/>
  <c r="R65" i="23" s="1"/>
  <c r="P65" i="23" s="1"/>
  <c r="V65" i="23" s="1"/>
  <c r="U73" i="23"/>
  <c r="T73" i="23" s="1"/>
  <c r="S73" i="23" s="1"/>
  <c r="R73" i="23" s="1"/>
  <c r="P73" i="23" s="1"/>
  <c r="V73" i="23" s="1"/>
  <c r="U81" i="23"/>
  <c r="T81" i="23" s="1"/>
  <c r="S81" i="23" s="1"/>
  <c r="R81" i="23" s="1"/>
  <c r="P81" i="23" s="1"/>
  <c r="V81" i="23" s="1"/>
  <c r="U89" i="23"/>
  <c r="T89" i="23" s="1"/>
  <c r="S89" i="23" s="1"/>
  <c r="R89" i="23" s="1"/>
  <c r="P89" i="23" s="1"/>
  <c r="V89" i="23" s="1"/>
  <c r="U97" i="23"/>
  <c r="T97" i="23" s="1"/>
  <c r="S97" i="23" s="1"/>
  <c r="R97" i="23" s="1"/>
  <c r="P97" i="23" s="1"/>
  <c r="V97" i="23" s="1"/>
  <c r="U105" i="23"/>
  <c r="T105" i="23" s="1"/>
  <c r="S105" i="23" s="1"/>
  <c r="R105" i="23" s="1"/>
  <c r="P105" i="23" s="1"/>
  <c r="V105" i="23" s="1"/>
  <c r="U113" i="23"/>
  <c r="T113" i="23" s="1"/>
  <c r="S113" i="23" s="1"/>
  <c r="R113" i="23" s="1"/>
  <c r="P113" i="23" s="1"/>
  <c r="V113" i="23" s="1"/>
  <c r="U121" i="23"/>
  <c r="T121" i="23" s="1"/>
  <c r="S121" i="23" s="1"/>
  <c r="R121" i="23" s="1"/>
  <c r="P121" i="23" s="1"/>
  <c r="V121" i="23" s="1"/>
  <c r="U129" i="23"/>
  <c r="T129" i="23" s="1"/>
  <c r="S129" i="23" s="1"/>
  <c r="R129" i="23" s="1"/>
  <c r="P129" i="23" s="1"/>
  <c r="V129" i="23" s="1"/>
  <c r="U137" i="23"/>
  <c r="T137" i="23" s="1"/>
  <c r="S137" i="23" s="1"/>
  <c r="R137" i="23" s="1"/>
  <c r="P137" i="23" s="1"/>
  <c r="V137" i="23" s="1"/>
  <c r="U145" i="23"/>
  <c r="T145" i="23" s="1"/>
  <c r="S145" i="23" s="1"/>
  <c r="R145" i="23" s="1"/>
  <c r="P145" i="23" s="1"/>
  <c r="V145" i="23" s="1"/>
  <c r="U153" i="23"/>
  <c r="T153" i="23" s="1"/>
  <c r="S153" i="23" s="1"/>
  <c r="R153" i="23" s="1"/>
  <c r="P153" i="23" s="1"/>
  <c r="V153" i="23" s="1"/>
  <c r="U161" i="23"/>
  <c r="T161" i="23" s="1"/>
  <c r="S161" i="23" s="1"/>
  <c r="R161" i="23" s="1"/>
  <c r="P161" i="23" s="1"/>
  <c r="V161" i="23" s="1"/>
  <c r="U169" i="23"/>
  <c r="T169" i="23" s="1"/>
  <c r="S169" i="23" s="1"/>
  <c r="R169" i="23" s="1"/>
  <c r="P169" i="23" s="1"/>
  <c r="V169" i="23" s="1"/>
  <c r="U177" i="23"/>
  <c r="T177" i="23" s="1"/>
  <c r="S177" i="23" s="1"/>
  <c r="R177" i="23" s="1"/>
  <c r="P177" i="23" s="1"/>
  <c r="V177" i="23" s="1"/>
  <c r="I77" i="22"/>
  <c r="J77" i="22"/>
  <c r="J117" i="22"/>
  <c r="I117" i="22"/>
  <c r="J133" i="22"/>
  <c r="I133" i="22"/>
  <c r="I141" i="22"/>
  <c r="J141" i="22"/>
  <c r="I157" i="22"/>
  <c r="J157" i="22"/>
  <c r="J165" i="22"/>
  <c r="I165" i="22"/>
  <c r="I373" i="22"/>
  <c r="J373" i="22"/>
  <c r="I38" i="22"/>
  <c r="J38" i="22"/>
  <c r="J54" i="22"/>
  <c r="I54" i="22"/>
  <c r="I62" i="22"/>
  <c r="J62" i="22"/>
  <c r="I318" i="22"/>
  <c r="J318" i="22"/>
  <c r="J366" i="22"/>
  <c r="I366" i="22"/>
  <c r="I107" i="22"/>
  <c r="J107" i="22"/>
  <c r="I147" i="22"/>
  <c r="J147" i="22"/>
  <c r="I195" i="22"/>
  <c r="J195" i="22"/>
  <c r="I219" i="22"/>
  <c r="J219" i="22"/>
  <c r="I235" i="22"/>
  <c r="J235" i="22"/>
  <c r="I307" i="22"/>
  <c r="J307" i="22"/>
  <c r="I355" i="22"/>
  <c r="J355" i="22"/>
  <c r="U376" i="23"/>
  <c r="T376" i="23" s="1"/>
  <c r="S376" i="23" s="1"/>
  <c r="R376" i="23" s="1"/>
  <c r="P376" i="23" s="1"/>
  <c r="V376" i="23" s="1"/>
  <c r="U372" i="23"/>
  <c r="T372" i="23" s="1"/>
  <c r="S372" i="23" s="1"/>
  <c r="R372" i="23" s="1"/>
  <c r="P372" i="23" s="1"/>
  <c r="V372" i="23" s="1"/>
  <c r="U368" i="23"/>
  <c r="T368" i="23" s="1"/>
  <c r="S368" i="23" s="1"/>
  <c r="R368" i="23" s="1"/>
  <c r="P368" i="23" s="1"/>
  <c r="V368" i="23" s="1"/>
  <c r="U364" i="23"/>
  <c r="T364" i="23" s="1"/>
  <c r="S364" i="23" s="1"/>
  <c r="R364" i="23" s="1"/>
  <c r="P364" i="23" s="1"/>
  <c r="V364" i="23" s="1"/>
  <c r="U360" i="23"/>
  <c r="T360" i="23" s="1"/>
  <c r="S360" i="23" s="1"/>
  <c r="R360" i="23" s="1"/>
  <c r="P360" i="23" s="1"/>
  <c r="V360" i="23" s="1"/>
  <c r="U356" i="23"/>
  <c r="T356" i="23" s="1"/>
  <c r="S356" i="23" s="1"/>
  <c r="R356" i="23" s="1"/>
  <c r="P356" i="23" s="1"/>
  <c r="V356" i="23" s="1"/>
  <c r="U352" i="23"/>
  <c r="T352" i="23" s="1"/>
  <c r="S352" i="23" s="1"/>
  <c r="R352" i="23" s="1"/>
  <c r="P352" i="23" s="1"/>
  <c r="V352" i="23" s="1"/>
  <c r="U348" i="23"/>
  <c r="T348" i="23" s="1"/>
  <c r="S348" i="23" s="1"/>
  <c r="R348" i="23" s="1"/>
  <c r="P348" i="23" s="1"/>
  <c r="V348" i="23" s="1"/>
  <c r="U344" i="23"/>
  <c r="T344" i="23" s="1"/>
  <c r="S344" i="23" s="1"/>
  <c r="R344" i="23" s="1"/>
  <c r="P344" i="23" s="1"/>
  <c r="V344" i="23" s="1"/>
  <c r="U340" i="23"/>
  <c r="T340" i="23" s="1"/>
  <c r="S340" i="23" s="1"/>
  <c r="R340" i="23" s="1"/>
  <c r="P340" i="23" s="1"/>
  <c r="V340" i="23" s="1"/>
  <c r="U336" i="23"/>
  <c r="T336" i="23" s="1"/>
  <c r="S336" i="23" s="1"/>
  <c r="R336" i="23" s="1"/>
  <c r="P336" i="23" s="1"/>
  <c r="V336" i="23" s="1"/>
  <c r="U332" i="23"/>
  <c r="T332" i="23" s="1"/>
  <c r="S332" i="23" s="1"/>
  <c r="R332" i="23" s="1"/>
  <c r="P332" i="23" s="1"/>
  <c r="V332" i="23" s="1"/>
  <c r="U328" i="23"/>
  <c r="T328" i="23" s="1"/>
  <c r="S328" i="23" s="1"/>
  <c r="R328" i="23" s="1"/>
  <c r="P328" i="23" s="1"/>
  <c r="V328" i="23" s="1"/>
  <c r="U324" i="23"/>
  <c r="T324" i="23" s="1"/>
  <c r="S324" i="23" s="1"/>
  <c r="R324" i="23" s="1"/>
  <c r="P324" i="23" s="1"/>
  <c r="V324" i="23" s="1"/>
  <c r="U320" i="23"/>
  <c r="T320" i="23" s="1"/>
  <c r="S320" i="23" s="1"/>
  <c r="R320" i="23" s="1"/>
  <c r="P320" i="23" s="1"/>
  <c r="V320" i="23" s="1"/>
  <c r="U316" i="23"/>
  <c r="T316" i="23" s="1"/>
  <c r="S316" i="23" s="1"/>
  <c r="R316" i="23" s="1"/>
  <c r="P316" i="23" s="1"/>
  <c r="V316" i="23" s="1"/>
  <c r="U312" i="23"/>
  <c r="T312" i="23" s="1"/>
  <c r="S312" i="23" s="1"/>
  <c r="R312" i="23" s="1"/>
  <c r="P312" i="23" s="1"/>
  <c r="V312" i="23" s="1"/>
  <c r="U308" i="23"/>
  <c r="T308" i="23" s="1"/>
  <c r="S308" i="23" s="1"/>
  <c r="R308" i="23" s="1"/>
  <c r="P308" i="23" s="1"/>
  <c r="V308" i="23" s="1"/>
  <c r="U304" i="23"/>
  <c r="T304" i="23" s="1"/>
  <c r="S304" i="23" s="1"/>
  <c r="R304" i="23" s="1"/>
  <c r="P304" i="23" s="1"/>
  <c r="V304" i="23" s="1"/>
  <c r="U300" i="23"/>
  <c r="T300" i="23" s="1"/>
  <c r="S300" i="23" s="1"/>
  <c r="R300" i="23" s="1"/>
  <c r="P300" i="23" s="1"/>
  <c r="V300" i="23" s="1"/>
  <c r="U296" i="23"/>
  <c r="T296" i="23" s="1"/>
  <c r="S296" i="23" s="1"/>
  <c r="R296" i="23" s="1"/>
  <c r="P296" i="23" s="1"/>
  <c r="V296" i="23" s="1"/>
  <c r="U292" i="23"/>
  <c r="T292" i="23" s="1"/>
  <c r="S292" i="23" s="1"/>
  <c r="R292" i="23" s="1"/>
  <c r="P292" i="23" s="1"/>
  <c r="V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U280" i="23"/>
  <c r="T280" i="23" s="1"/>
  <c r="S280" i="23" s="1"/>
  <c r="R280" i="23" s="1"/>
  <c r="P280" i="23" s="1"/>
  <c r="V280" i="23" s="1"/>
  <c r="U276" i="23"/>
  <c r="T276" i="23" s="1"/>
  <c r="S276" i="23" s="1"/>
  <c r="R276" i="23" s="1"/>
  <c r="P276" i="23" s="1"/>
  <c r="V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U264" i="23"/>
  <c r="T264" i="23" s="1"/>
  <c r="S264" i="23" s="1"/>
  <c r="R264" i="23" s="1"/>
  <c r="P264" i="23" s="1"/>
  <c r="V264" i="23" s="1"/>
  <c r="U260" i="23"/>
  <c r="T260" i="23" s="1"/>
  <c r="S260" i="23" s="1"/>
  <c r="R260" i="23" s="1"/>
  <c r="P260" i="23" s="1"/>
  <c r="V260" i="23" s="1"/>
  <c r="U256" i="23"/>
  <c r="T256" i="23" s="1"/>
  <c r="S256" i="23" s="1"/>
  <c r="R256" i="23" s="1"/>
  <c r="P256" i="23" s="1"/>
  <c r="V256" i="23" s="1"/>
  <c r="U252" i="23"/>
  <c r="T252" i="23" s="1"/>
  <c r="S252" i="23" s="1"/>
  <c r="R252" i="23" s="1"/>
  <c r="P252" i="23" s="1"/>
  <c r="V252" i="23" s="1"/>
  <c r="U248" i="23"/>
  <c r="T248" i="23" s="1"/>
  <c r="S248" i="23" s="1"/>
  <c r="R248" i="23" s="1"/>
  <c r="P248" i="23" s="1"/>
  <c r="V248" i="23" s="1"/>
  <c r="U244" i="23"/>
  <c r="T244" i="23" s="1"/>
  <c r="S244" i="23" s="1"/>
  <c r="R244" i="23" s="1"/>
  <c r="P244" i="23" s="1"/>
  <c r="V244" i="23" s="1"/>
  <c r="U240" i="23"/>
  <c r="T240" i="23" s="1"/>
  <c r="S240" i="23" s="1"/>
  <c r="R240" i="23" s="1"/>
  <c r="P240" i="23" s="1"/>
  <c r="V240" i="23" s="1"/>
  <c r="U236" i="23"/>
  <c r="T236" i="23" s="1"/>
  <c r="S236" i="23" s="1"/>
  <c r="R236" i="23" s="1"/>
  <c r="P236" i="23" s="1"/>
  <c r="V236" i="23" s="1"/>
  <c r="U232" i="23"/>
  <c r="T232" i="23" s="1"/>
  <c r="S232" i="23" s="1"/>
  <c r="R232" i="23" s="1"/>
  <c r="P232" i="23" s="1"/>
  <c r="V232" i="23" s="1"/>
  <c r="U228" i="23"/>
  <c r="T228" i="23" s="1"/>
  <c r="S228" i="23" s="1"/>
  <c r="R228" i="23" s="1"/>
  <c r="P228" i="23" s="1"/>
  <c r="V228" i="23" s="1"/>
  <c r="U224" i="23"/>
  <c r="T224" i="23" s="1"/>
  <c r="S224" i="23" s="1"/>
  <c r="R224" i="23" s="1"/>
  <c r="P224" i="23" s="1"/>
  <c r="V224" i="23" s="1"/>
  <c r="U220" i="23"/>
  <c r="T220" i="23" s="1"/>
  <c r="S220" i="23" s="1"/>
  <c r="R220" i="23" s="1"/>
  <c r="P220" i="23" s="1"/>
  <c r="V220" i="23" s="1"/>
  <c r="U216" i="23"/>
  <c r="T216" i="23" s="1"/>
  <c r="S216" i="23" s="1"/>
  <c r="R216" i="23" s="1"/>
  <c r="P216" i="23" s="1"/>
  <c r="V216" i="23" s="1"/>
  <c r="U212" i="23"/>
  <c r="T212" i="23" s="1"/>
  <c r="S212" i="23" s="1"/>
  <c r="R212" i="23" s="1"/>
  <c r="P212" i="23" s="1"/>
  <c r="V212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76" i="23"/>
  <c r="T176" i="23" s="1"/>
  <c r="S176" i="23" s="1"/>
  <c r="R176" i="23" s="1"/>
  <c r="P176" i="23" s="1"/>
  <c r="V176" i="23" s="1"/>
  <c r="U168" i="23"/>
  <c r="T168" i="23" s="1"/>
  <c r="S168" i="23" s="1"/>
  <c r="R168" i="23" s="1"/>
  <c r="P168" i="23" s="1"/>
  <c r="V168" i="23" s="1"/>
  <c r="U160" i="23"/>
  <c r="T160" i="23" s="1"/>
  <c r="S160" i="23" s="1"/>
  <c r="R160" i="23" s="1"/>
  <c r="P160" i="23" s="1"/>
  <c r="V160" i="23" s="1"/>
  <c r="U152" i="23"/>
  <c r="T152" i="23" s="1"/>
  <c r="S152" i="23" s="1"/>
  <c r="R152" i="23" s="1"/>
  <c r="P152" i="23" s="1"/>
  <c r="V152" i="23" s="1"/>
  <c r="U144" i="23"/>
  <c r="T144" i="23" s="1"/>
  <c r="S144" i="23" s="1"/>
  <c r="R144" i="23" s="1"/>
  <c r="P144" i="23" s="1"/>
  <c r="V144" i="23" s="1"/>
  <c r="U136" i="23"/>
  <c r="T136" i="23" s="1"/>
  <c r="S136" i="23" s="1"/>
  <c r="R136" i="23" s="1"/>
  <c r="P136" i="23" s="1"/>
  <c r="V136" i="23" s="1"/>
  <c r="U128" i="23"/>
  <c r="T128" i="23" s="1"/>
  <c r="S128" i="23" s="1"/>
  <c r="R128" i="23" s="1"/>
  <c r="P128" i="23" s="1"/>
  <c r="V128" i="23" s="1"/>
  <c r="U120" i="23"/>
  <c r="T120" i="23" s="1"/>
  <c r="S120" i="23" s="1"/>
  <c r="R120" i="23" s="1"/>
  <c r="P120" i="23" s="1"/>
  <c r="V120" i="23" s="1"/>
  <c r="U112" i="23"/>
  <c r="T112" i="23" s="1"/>
  <c r="S112" i="23" s="1"/>
  <c r="R112" i="23" s="1"/>
  <c r="P112" i="23" s="1"/>
  <c r="V112" i="23" s="1"/>
  <c r="U104" i="23"/>
  <c r="T104" i="23" s="1"/>
  <c r="S104" i="23" s="1"/>
  <c r="R104" i="23" s="1"/>
  <c r="P104" i="23" s="1"/>
  <c r="V104" i="23" s="1"/>
  <c r="U96" i="23"/>
  <c r="T96" i="23" s="1"/>
  <c r="S96" i="23" s="1"/>
  <c r="R96" i="23" s="1"/>
  <c r="P96" i="23" s="1"/>
  <c r="V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U72" i="23"/>
  <c r="T72" i="23" s="1"/>
  <c r="S72" i="23" s="1"/>
  <c r="R72" i="23" s="1"/>
  <c r="P72" i="23" s="1"/>
  <c r="V72" i="23" s="1"/>
  <c r="U64" i="23"/>
  <c r="T64" i="23" s="1"/>
  <c r="S64" i="23" s="1"/>
  <c r="R64" i="23" s="1"/>
  <c r="P64" i="23" s="1"/>
  <c r="V64" i="23" s="1"/>
  <c r="U56" i="23"/>
  <c r="T56" i="23" s="1"/>
  <c r="S56" i="23" s="1"/>
  <c r="R56" i="23" s="1"/>
  <c r="P56" i="23" s="1"/>
  <c r="V56" i="23" s="1"/>
  <c r="U48" i="23"/>
  <c r="T48" i="23" s="1"/>
  <c r="S48" i="23" s="1"/>
  <c r="R48" i="23" s="1"/>
  <c r="P48" i="23" s="1"/>
  <c r="V48" i="23" s="1"/>
  <c r="U40" i="23"/>
  <c r="T40" i="23" s="1"/>
  <c r="S40" i="23" s="1"/>
  <c r="R40" i="23" s="1"/>
  <c r="P40" i="23" s="1"/>
  <c r="V40" i="23" s="1"/>
  <c r="U32" i="23"/>
  <c r="T32" i="23" s="1"/>
  <c r="S32" i="23" s="1"/>
  <c r="R32" i="23" s="1"/>
  <c r="P32" i="23" s="1"/>
  <c r="V32" i="23" s="1"/>
  <c r="U24" i="23"/>
  <c r="T24" i="23" s="1"/>
  <c r="S24" i="23" s="1"/>
  <c r="R24" i="23" s="1"/>
  <c r="P24" i="23" s="1"/>
  <c r="V24" i="23" s="1"/>
  <c r="U18" i="23"/>
  <c r="T18" i="23" s="1"/>
  <c r="S18" i="23" s="1"/>
  <c r="R18" i="23" s="1"/>
  <c r="P18" i="23" s="1"/>
  <c r="V18" i="23" s="1"/>
  <c r="U377" i="23"/>
  <c r="T377" i="23" s="1"/>
  <c r="S377" i="23" s="1"/>
  <c r="R377" i="23" s="1"/>
  <c r="P377" i="23" s="1"/>
  <c r="V377" i="23" s="1"/>
  <c r="U373" i="23"/>
  <c r="T373" i="23" s="1"/>
  <c r="S373" i="23" s="1"/>
  <c r="R373" i="23" s="1"/>
  <c r="P373" i="23" s="1"/>
  <c r="V373" i="23" s="1"/>
  <c r="U369" i="23"/>
  <c r="T369" i="23" s="1"/>
  <c r="S369" i="23" s="1"/>
  <c r="R369" i="23" s="1"/>
  <c r="P369" i="23" s="1"/>
  <c r="V369" i="23" s="1"/>
  <c r="U365" i="23"/>
  <c r="T365" i="23" s="1"/>
  <c r="S365" i="23" s="1"/>
  <c r="R365" i="23" s="1"/>
  <c r="P365" i="23" s="1"/>
  <c r="V365" i="23" s="1"/>
  <c r="U361" i="23"/>
  <c r="T361" i="23" s="1"/>
  <c r="S361" i="23" s="1"/>
  <c r="R361" i="23" s="1"/>
  <c r="P361" i="23" s="1"/>
  <c r="V361" i="23" s="1"/>
  <c r="U357" i="23"/>
  <c r="T357" i="23" s="1"/>
  <c r="S357" i="23" s="1"/>
  <c r="R357" i="23" s="1"/>
  <c r="P357" i="23" s="1"/>
  <c r="V357" i="23" s="1"/>
  <c r="U353" i="23"/>
  <c r="T353" i="23" s="1"/>
  <c r="S353" i="23" s="1"/>
  <c r="R353" i="23" s="1"/>
  <c r="P353" i="23" s="1"/>
  <c r="V353" i="23" s="1"/>
  <c r="U349" i="23"/>
  <c r="T349" i="23" s="1"/>
  <c r="S349" i="23" s="1"/>
  <c r="R349" i="23" s="1"/>
  <c r="P349" i="23" s="1"/>
  <c r="V349" i="23" s="1"/>
  <c r="U345" i="23"/>
  <c r="T345" i="23" s="1"/>
  <c r="S345" i="23" s="1"/>
  <c r="R345" i="23" s="1"/>
  <c r="P345" i="23" s="1"/>
  <c r="V345" i="23" s="1"/>
  <c r="U341" i="23"/>
  <c r="T341" i="23" s="1"/>
  <c r="S341" i="23" s="1"/>
  <c r="R341" i="23" s="1"/>
  <c r="P341" i="23" s="1"/>
  <c r="V341" i="23" s="1"/>
  <c r="U337" i="23"/>
  <c r="T337" i="23" s="1"/>
  <c r="S337" i="23" s="1"/>
  <c r="R337" i="23" s="1"/>
  <c r="P337" i="23" s="1"/>
  <c r="V337" i="23" s="1"/>
  <c r="U333" i="23"/>
  <c r="T333" i="23" s="1"/>
  <c r="S333" i="23" s="1"/>
  <c r="R333" i="23" s="1"/>
  <c r="P333" i="23" s="1"/>
  <c r="U329" i="23"/>
  <c r="T329" i="23" s="1"/>
  <c r="S329" i="23" s="1"/>
  <c r="R329" i="23" s="1"/>
  <c r="P329" i="23" s="1"/>
  <c r="V329" i="23" s="1"/>
  <c r="U325" i="23"/>
  <c r="T325" i="23" s="1"/>
  <c r="S325" i="23" s="1"/>
  <c r="R325" i="23" s="1"/>
  <c r="P325" i="23" s="1"/>
  <c r="V325" i="23" s="1"/>
  <c r="U321" i="23"/>
  <c r="T321" i="23" s="1"/>
  <c r="S321" i="23" s="1"/>
  <c r="R321" i="23" s="1"/>
  <c r="P321" i="23" s="1"/>
  <c r="V321" i="23" s="1"/>
  <c r="U317" i="23"/>
  <c r="T317" i="23" s="1"/>
  <c r="S317" i="23" s="1"/>
  <c r="R317" i="23" s="1"/>
  <c r="P317" i="23" s="1"/>
  <c r="V317" i="23" s="1"/>
  <c r="U313" i="23"/>
  <c r="T313" i="23" s="1"/>
  <c r="S313" i="23" s="1"/>
  <c r="R313" i="23" s="1"/>
  <c r="P313" i="23" s="1"/>
  <c r="V313" i="23" s="1"/>
  <c r="U309" i="23"/>
  <c r="T309" i="23" s="1"/>
  <c r="S309" i="23" s="1"/>
  <c r="R309" i="23" s="1"/>
  <c r="P309" i="23" s="1"/>
  <c r="V309" i="23" s="1"/>
  <c r="U305" i="23"/>
  <c r="T305" i="23" s="1"/>
  <c r="S305" i="23" s="1"/>
  <c r="R305" i="23" s="1"/>
  <c r="P305" i="23" s="1"/>
  <c r="V305" i="23" s="1"/>
  <c r="U301" i="23"/>
  <c r="T301" i="23" s="1"/>
  <c r="S301" i="23" s="1"/>
  <c r="R301" i="23" s="1"/>
  <c r="P301" i="23" s="1"/>
  <c r="V301" i="23" s="1"/>
  <c r="U297" i="23"/>
  <c r="T297" i="23" s="1"/>
  <c r="S297" i="23" s="1"/>
  <c r="R297" i="23" s="1"/>
  <c r="P297" i="23" s="1"/>
  <c r="V297" i="23" s="1"/>
  <c r="U293" i="23"/>
  <c r="T293" i="23" s="1"/>
  <c r="S293" i="23" s="1"/>
  <c r="R293" i="23" s="1"/>
  <c r="P293" i="23" s="1"/>
  <c r="V293" i="23" s="1"/>
  <c r="U289" i="23"/>
  <c r="T289" i="23" s="1"/>
  <c r="S289" i="23" s="1"/>
  <c r="R289" i="23" s="1"/>
  <c r="P289" i="23" s="1"/>
  <c r="V289" i="23" s="1"/>
  <c r="U285" i="23"/>
  <c r="T285" i="23" s="1"/>
  <c r="S285" i="23" s="1"/>
  <c r="R285" i="23" s="1"/>
  <c r="P285" i="23" s="1"/>
  <c r="V285" i="23" s="1"/>
  <c r="U281" i="23"/>
  <c r="T281" i="23" s="1"/>
  <c r="S281" i="23" s="1"/>
  <c r="R281" i="23" s="1"/>
  <c r="P281" i="23" s="1"/>
  <c r="V281" i="23" s="1"/>
  <c r="U277" i="23"/>
  <c r="T277" i="23" s="1"/>
  <c r="S277" i="23" s="1"/>
  <c r="R277" i="23" s="1"/>
  <c r="P277" i="23" s="1"/>
  <c r="V277" i="23" s="1"/>
  <c r="U273" i="23"/>
  <c r="T273" i="23" s="1"/>
  <c r="S273" i="23" s="1"/>
  <c r="R273" i="23" s="1"/>
  <c r="P273" i="23" s="1"/>
  <c r="V273" i="23" s="1"/>
  <c r="U269" i="23"/>
  <c r="T269" i="23" s="1"/>
  <c r="S269" i="23" s="1"/>
  <c r="R269" i="23" s="1"/>
  <c r="P269" i="23" s="1"/>
  <c r="V269" i="23" s="1"/>
  <c r="U265" i="23"/>
  <c r="T265" i="23" s="1"/>
  <c r="S265" i="23" s="1"/>
  <c r="R265" i="23" s="1"/>
  <c r="P265" i="23" s="1"/>
  <c r="V265" i="23" s="1"/>
  <c r="U261" i="23"/>
  <c r="T261" i="23" s="1"/>
  <c r="S261" i="23" s="1"/>
  <c r="R261" i="23" s="1"/>
  <c r="P261" i="23" s="1"/>
  <c r="V261" i="23" s="1"/>
  <c r="U257" i="23"/>
  <c r="T257" i="23" s="1"/>
  <c r="S257" i="23" s="1"/>
  <c r="R257" i="23" s="1"/>
  <c r="P257" i="23" s="1"/>
  <c r="V257" i="23" s="1"/>
  <c r="U253" i="23"/>
  <c r="T253" i="23" s="1"/>
  <c r="S253" i="23" s="1"/>
  <c r="R253" i="23" s="1"/>
  <c r="P253" i="23" s="1"/>
  <c r="V253" i="23" s="1"/>
  <c r="U249" i="23"/>
  <c r="T249" i="23" s="1"/>
  <c r="S249" i="23" s="1"/>
  <c r="R249" i="23" s="1"/>
  <c r="P249" i="23" s="1"/>
  <c r="V249" i="23" s="1"/>
  <c r="U245" i="23"/>
  <c r="T245" i="23" s="1"/>
  <c r="S245" i="23" s="1"/>
  <c r="R245" i="23" s="1"/>
  <c r="P245" i="23" s="1"/>
  <c r="V245" i="23" s="1"/>
  <c r="U241" i="23"/>
  <c r="T241" i="23" s="1"/>
  <c r="S241" i="23" s="1"/>
  <c r="R241" i="23" s="1"/>
  <c r="P241" i="23" s="1"/>
  <c r="U237" i="23"/>
  <c r="T237" i="23" s="1"/>
  <c r="S237" i="23" s="1"/>
  <c r="R237" i="23" s="1"/>
  <c r="P237" i="23" s="1"/>
  <c r="V237" i="23" s="1"/>
  <c r="U233" i="23"/>
  <c r="T233" i="23" s="1"/>
  <c r="S233" i="23" s="1"/>
  <c r="R233" i="23" s="1"/>
  <c r="P233" i="23" s="1"/>
  <c r="V233" i="23" s="1"/>
  <c r="U229" i="23"/>
  <c r="T229" i="23" s="1"/>
  <c r="S229" i="23" s="1"/>
  <c r="R229" i="23" s="1"/>
  <c r="P229" i="23" s="1"/>
  <c r="V229" i="23" s="1"/>
  <c r="U225" i="23"/>
  <c r="T225" i="23" s="1"/>
  <c r="S225" i="23" s="1"/>
  <c r="R225" i="23" s="1"/>
  <c r="P225" i="23" s="1"/>
  <c r="V225" i="23" s="1"/>
  <c r="U221" i="23"/>
  <c r="T221" i="23" s="1"/>
  <c r="S221" i="23" s="1"/>
  <c r="R221" i="23" s="1"/>
  <c r="P221" i="23" s="1"/>
  <c r="V221" i="23" s="1"/>
  <c r="U217" i="23"/>
  <c r="T217" i="23" s="1"/>
  <c r="S217" i="23" s="1"/>
  <c r="R217" i="23" s="1"/>
  <c r="P217" i="23" s="1"/>
  <c r="V217" i="23" s="1"/>
  <c r="U213" i="23"/>
  <c r="T213" i="23" s="1"/>
  <c r="S213" i="23" s="1"/>
  <c r="R213" i="23" s="1"/>
  <c r="P213" i="23" s="1"/>
  <c r="V213" i="23" s="1"/>
  <c r="U209" i="23"/>
  <c r="T209" i="23" s="1"/>
  <c r="S209" i="23" s="1"/>
  <c r="R209" i="23" s="1"/>
  <c r="P209" i="23" s="1"/>
  <c r="V209" i="23" s="1"/>
  <c r="U205" i="23"/>
  <c r="T205" i="23" s="1"/>
  <c r="S205" i="23" s="1"/>
  <c r="R205" i="23" s="1"/>
  <c r="P205" i="23" s="1"/>
  <c r="V205" i="23" s="1"/>
  <c r="U201" i="23"/>
  <c r="T201" i="23" s="1"/>
  <c r="S201" i="23" s="1"/>
  <c r="R201" i="23" s="1"/>
  <c r="P201" i="23" s="1"/>
  <c r="V201" i="23" s="1"/>
  <c r="U197" i="23"/>
  <c r="T197" i="23" s="1"/>
  <c r="S197" i="23" s="1"/>
  <c r="R197" i="23" s="1"/>
  <c r="P197" i="23" s="1"/>
  <c r="V197" i="23" s="1"/>
  <c r="U193" i="23"/>
  <c r="T193" i="23" s="1"/>
  <c r="S193" i="23" s="1"/>
  <c r="R193" i="23" s="1"/>
  <c r="P193" i="23" s="1"/>
  <c r="V193" i="23" s="1"/>
  <c r="U189" i="23"/>
  <c r="T189" i="23" s="1"/>
  <c r="S189" i="23" s="1"/>
  <c r="R189" i="23" s="1"/>
  <c r="P189" i="23" s="1"/>
  <c r="V189" i="23" s="1"/>
  <c r="U185" i="23"/>
  <c r="T185" i="23" s="1"/>
  <c r="S185" i="23" s="1"/>
  <c r="R185" i="23" s="1"/>
  <c r="P185" i="23" s="1"/>
  <c r="V185" i="23" s="1"/>
  <c r="U178" i="23"/>
  <c r="T178" i="23" s="1"/>
  <c r="S178" i="23" s="1"/>
  <c r="R178" i="23" s="1"/>
  <c r="P178" i="23" s="1"/>
  <c r="V178" i="23" s="1"/>
  <c r="U170" i="23"/>
  <c r="T170" i="23" s="1"/>
  <c r="S170" i="23" s="1"/>
  <c r="R170" i="23" s="1"/>
  <c r="P170" i="23" s="1"/>
  <c r="V170" i="23" s="1"/>
  <c r="U162" i="23"/>
  <c r="T162" i="23" s="1"/>
  <c r="S162" i="23" s="1"/>
  <c r="R162" i="23" s="1"/>
  <c r="P162" i="23" s="1"/>
  <c r="V162" i="23" s="1"/>
  <c r="U154" i="23"/>
  <c r="T154" i="23" s="1"/>
  <c r="S154" i="23" s="1"/>
  <c r="R154" i="23" s="1"/>
  <c r="P154" i="23" s="1"/>
  <c r="V154" i="23" s="1"/>
  <c r="U146" i="23"/>
  <c r="T146" i="23" s="1"/>
  <c r="S146" i="23" s="1"/>
  <c r="R146" i="23" s="1"/>
  <c r="P146" i="23" s="1"/>
  <c r="V146" i="23" s="1"/>
  <c r="U138" i="23"/>
  <c r="T138" i="23" s="1"/>
  <c r="S138" i="23" s="1"/>
  <c r="R138" i="23" s="1"/>
  <c r="P138" i="23" s="1"/>
  <c r="V138" i="23" s="1"/>
  <c r="U130" i="23"/>
  <c r="T130" i="23" s="1"/>
  <c r="S130" i="23" s="1"/>
  <c r="R130" i="23" s="1"/>
  <c r="P130" i="23" s="1"/>
  <c r="V130" i="23" s="1"/>
  <c r="U122" i="23"/>
  <c r="T122" i="23" s="1"/>
  <c r="S122" i="23" s="1"/>
  <c r="R122" i="23" s="1"/>
  <c r="P122" i="23" s="1"/>
  <c r="V122" i="23" s="1"/>
  <c r="U114" i="23"/>
  <c r="T114" i="23" s="1"/>
  <c r="S114" i="23" s="1"/>
  <c r="R114" i="23" s="1"/>
  <c r="P114" i="23" s="1"/>
  <c r="V114" i="23" s="1"/>
  <c r="U106" i="23"/>
  <c r="T106" i="23" s="1"/>
  <c r="S106" i="23" s="1"/>
  <c r="R106" i="23" s="1"/>
  <c r="P106" i="23" s="1"/>
  <c r="V106" i="23" s="1"/>
  <c r="U98" i="23"/>
  <c r="T98" i="23" s="1"/>
  <c r="S98" i="23" s="1"/>
  <c r="R98" i="23" s="1"/>
  <c r="P98" i="23" s="1"/>
  <c r="V98" i="23" s="1"/>
  <c r="U90" i="23"/>
  <c r="T90" i="23" s="1"/>
  <c r="S90" i="23" s="1"/>
  <c r="R90" i="23" s="1"/>
  <c r="P90" i="23" s="1"/>
  <c r="V90" i="23" s="1"/>
  <c r="U82" i="23"/>
  <c r="T82" i="23" s="1"/>
  <c r="S82" i="23" s="1"/>
  <c r="R82" i="23" s="1"/>
  <c r="P82" i="23" s="1"/>
  <c r="V82" i="23" s="1"/>
  <c r="U74" i="23"/>
  <c r="T74" i="23" s="1"/>
  <c r="S74" i="23" s="1"/>
  <c r="R74" i="23" s="1"/>
  <c r="P74" i="23" s="1"/>
  <c r="V74" i="23" s="1"/>
  <c r="U66" i="23"/>
  <c r="T66" i="23" s="1"/>
  <c r="S66" i="23" s="1"/>
  <c r="R66" i="23" s="1"/>
  <c r="P66" i="23" s="1"/>
  <c r="V66" i="23" s="1"/>
  <c r="U58" i="23"/>
  <c r="T58" i="23" s="1"/>
  <c r="S58" i="23" s="1"/>
  <c r="R58" i="23" s="1"/>
  <c r="P58" i="23" s="1"/>
  <c r="V58" i="23" s="1"/>
  <c r="U50" i="23"/>
  <c r="T50" i="23" s="1"/>
  <c r="S50" i="23" s="1"/>
  <c r="R50" i="23" s="1"/>
  <c r="P50" i="23" s="1"/>
  <c r="V50" i="23" s="1"/>
  <c r="U42" i="23"/>
  <c r="T42" i="23" s="1"/>
  <c r="S42" i="23" s="1"/>
  <c r="R42" i="23" s="1"/>
  <c r="P42" i="23" s="1"/>
  <c r="V42" i="23" s="1"/>
  <c r="U34" i="23"/>
  <c r="T34" i="23" s="1"/>
  <c r="S34" i="23" s="1"/>
  <c r="R34" i="23" s="1"/>
  <c r="P34" i="23" s="1"/>
  <c r="V34" i="23" s="1"/>
  <c r="U26" i="23"/>
  <c r="T26" i="23" s="1"/>
  <c r="S26" i="23" s="1"/>
  <c r="R26" i="23" s="1"/>
  <c r="P26" i="23" s="1"/>
  <c r="V26" i="23" s="1"/>
  <c r="AI103" i="23"/>
  <c r="AH103" i="23" s="1"/>
  <c r="AG103" i="23" s="1"/>
  <c r="AF103" i="23" s="1"/>
  <c r="AD103" i="23" s="1"/>
  <c r="AI95" i="23"/>
  <c r="AH95" i="23" s="1"/>
  <c r="AG95" i="23" s="1"/>
  <c r="AF95" i="23" s="1"/>
  <c r="AD95" i="23" s="1"/>
  <c r="AI87" i="23"/>
  <c r="AH87" i="23" s="1"/>
  <c r="AG87" i="23" s="1"/>
  <c r="AF87" i="23" s="1"/>
  <c r="AD87" i="23" s="1"/>
  <c r="AI79" i="23"/>
  <c r="AH79" i="23" s="1"/>
  <c r="AG79" i="23" s="1"/>
  <c r="AF79" i="23" s="1"/>
  <c r="AD79" i="23" s="1"/>
  <c r="AI71" i="23"/>
  <c r="AH71" i="23" s="1"/>
  <c r="AG71" i="23" s="1"/>
  <c r="AF71" i="23" s="1"/>
  <c r="AD71" i="23" s="1"/>
  <c r="AI63" i="23"/>
  <c r="AH63" i="23" s="1"/>
  <c r="AG63" i="23" s="1"/>
  <c r="AF63" i="23" s="1"/>
  <c r="AD63" i="23" s="1"/>
  <c r="AI55" i="23"/>
  <c r="AH55" i="23" s="1"/>
  <c r="AG55" i="23" s="1"/>
  <c r="AF55" i="23" s="1"/>
  <c r="AD55" i="23" s="1"/>
  <c r="AI47" i="23"/>
  <c r="AH47" i="23" s="1"/>
  <c r="AG47" i="23" s="1"/>
  <c r="AF47" i="23" s="1"/>
  <c r="AD47" i="23" s="1"/>
  <c r="AI39" i="23"/>
  <c r="AH39" i="23" s="1"/>
  <c r="AG39" i="23" s="1"/>
  <c r="AF39" i="23" s="1"/>
  <c r="AD39" i="23" s="1"/>
  <c r="AI31" i="23"/>
  <c r="AH31" i="23" s="1"/>
  <c r="AG31" i="23" s="1"/>
  <c r="AF31" i="23" s="1"/>
  <c r="AD31" i="23" s="1"/>
  <c r="AI19" i="23"/>
  <c r="AH19" i="23" s="1"/>
  <c r="AG19" i="23" s="1"/>
  <c r="AF19" i="23" s="1"/>
  <c r="AD19" i="23" s="1"/>
  <c r="AI20" i="23"/>
  <c r="AH20" i="23" s="1"/>
  <c r="AG20" i="23" s="1"/>
  <c r="AF20" i="23" s="1"/>
  <c r="AD20" i="23" s="1"/>
  <c r="AI100" i="23"/>
  <c r="AH100" i="23" s="1"/>
  <c r="AG100" i="23" s="1"/>
  <c r="AF100" i="23" s="1"/>
  <c r="AD100" i="23" s="1"/>
  <c r="AI96" i="23"/>
  <c r="AH96" i="23" s="1"/>
  <c r="AG96" i="23" s="1"/>
  <c r="AF96" i="23" s="1"/>
  <c r="AD96" i="23" s="1"/>
  <c r="AI92" i="23"/>
  <c r="AH92" i="23" s="1"/>
  <c r="AG92" i="23" s="1"/>
  <c r="AF92" i="23" s="1"/>
  <c r="AD92" i="23" s="1"/>
  <c r="AI88" i="23"/>
  <c r="AH88" i="23" s="1"/>
  <c r="AG88" i="23" s="1"/>
  <c r="AF88" i="23" s="1"/>
  <c r="AD88" i="23" s="1"/>
  <c r="AI84" i="23"/>
  <c r="AH84" i="23" s="1"/>
  <c r="AG84" i="23" s="1"/>
  <c r="AF84" i="23" s="1"/>
  <c r="AD84" i="23" s="1"/>
  <c r="AI80" i="23"/>
  <c r="AH80" i="23" s="1"/>
  <c r="AG80" i="23" s="1"/>
  <c r="AF80" i="23" s="1"/>
  <c r="AD80" i="23" s="1"/>
  <c r="AI76" i="23"/>
  <c r="AH76" i="23" s="1"/>
  <c r="AG76" i="23" s="1"/>
  <c r="AF76" i="23" s="1"/>
  <c r="AD76" i="23" s="1"/>
  <c r="AI72" i="23"/>
  <c r="AH72" i="23" s="1"/>
  <c r="AG72" i="23" s="1"/>
  <c r="AF72" i="23" s="1"/>
  <c r="AD72" i="23" s="1"/>
  <c r="AI68" i="23"/>
  <c r="AH68" i="23" s="1"/>
  <c r="AG68" i="23" s="1"/>
  <c r="AF68" i="23" s="1"/>
  <c r="AD68" i="23" s="1"/>
  <c r="AI64" i="23"/>
  <c r="AH64" i="23" s="1"/>
  <c r="AG64" i="23" s="1"/>
  <c r="AF64" i="23" s="1"/>
  <c r="AD64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AI97" i="23"/>
  <c r="AH97" i="23" s="1"/>
  <c r="AG97" i="23" s="1"/>
  <c r="AF97" i="23" s="1"/>
  <c r="AD97" i="23" s="1"/>
  <c r="AI89" i="23"/>
  <c r="AH89" i="23" s="1"/>
  <c r="AG89" i="23" s="1"/>
  <c r="AF89" i="23" s="1"/>
  <c r="AD89" i="23" s="1"/>
  <c r="AI81" i="23"/>
  <c r="AH81" i="23" s="1"/>
  <c r="AG81" i="23" s="1"/>
  <c r="AF81" i="23" s="1"/>
  <c r="AD81" i="23" s="1"/>
  <c r="AI73" i="23"/>
  <c r="AH73" i="23" s="1"/>
  <c r="AG73" i="23" s="1"/>
  <c r="AF73" i="23" s="1"/>
  <c r="AD73" i="23" s="1"/>
  <c r="AI65" i="23"/>
  <c r="AH65" i="23" s="1"/>
  <c r="AG65" i="23" s="1"/>
  <c r="AF65" i="23" s="1"/>
  <c r="AD65" i="23" s="1"/>
  <c r="AI57" i="23"/>
  <c r="AH57" i="23" s="1"/>
  <c r="AG57" i="23" s="1"/>
  <c r="AF57" i="23" s="1"/>
  <c r="AD57" i="23" s="1"/>
  <c r="AI49" i="23"/>
  <c r="AH49" i="23" s="1"/>
  <c r="AG49" i="23" s="1"/>
  <c r="AF49" i="23" s="1"/>
  <c r="AD49" i="23" s="1"/>
  <c r="AI41" i="23"/>
  <c r="AH41" i="23" s="1"/>
  <c r="AG41" i="23" s="1"/>
  <c r="AF41" i="23" s="1"/>
  <c r="AD41" i="23" s="1"/>
  <c r="AI33" i="23"/>
  <c r="AH33" i="23" s="1"/>
  <c r="AG33" i="23" s="1"/>
  <c r="AF33" i="23" s="1"/>
  <c r="AD33" i="23" s="1"/>
  <c r="AI25" i="23"/>
  <c r="AH25" i="23" s="1"/>
  <c r="AG25" i="23" s="1"/>
  <c r="AF25" i="23" s="1"/>
  <c r="AD25" i="23" s="1"/>
  <c r="AI18" i="23"/>
  <c r="AH18" i="23" s="1"/>
  <c r="AG18" i="23" s="1"/>
  <c r="AF18" i="23" s="1"/>
  <c r="AD18" i="23" s="1"/>
  <c r="I260" i="22"/>
  <c r="J260" i="22"/>
  <c r="J292" i="22"/>
  <c r="I292" i="22"/>
  <c r="J348" i="22"/>
  <c r="I348" i="22"/>
  <c r="I97" i="22"/>
  <c r="J97" i="22"/>
  <c r="J185" i="22"/>
  <c r="I185" i="22"/>
  <c r="I249" i="22"/>
  <c r="J249" i="22"/>
  <c r="J289" i="22"/>
  <c r="I289" i="22"/>
  <c r="J313" i="22"/>
  <c r="I313" i="22"/>
  <c r="I321" i="22"/>
  <c r="J321" i="22"/>
  <c r="I377" i="22"/>
  <c r="J377" i="22"/>
  <c r="I250" i="22"/>
  <c r="J250" i="22"/>
  <c r="J354" i="22"/>
  <c r="I354" i="22"/>
  <c r="J31" i="22"/>
  <c r="I31" i="22"/>
  <c r="I47" i="22"/>
  <c r="J47" i="22"/>
  <c r="J127" i="22"/>
  <c r="I127" i="22"/>
  <c r="J159" i="22"/>
  <c r="I159" i="22"/>
  <c r="I231" i="22"/>
  <c r="J231" i="22"/>
  <c r="J247" i="22"/>
  <c r="I247" i="22"/>
  <c r="I255" i="22"/>
  <c r="J255" i="22"/>
  <c r="J343" i="22"/>
  <c r="I343" i="22"/>
  <c r="I367" i="22"/>
  <c r="J367" i="22"/>
  <c r="I32" i="22"/>
  <c r="J32" i="22"/>
  <c r="I48" i="22"/>
  <c r="J48" i="22"/>
  <c r="I120" i="22"/>
  <c r="J120" i="22"/>
  <c r="I176" i="22"/>
  <c r="J176" i="22"/>
  <c r="J200" i="22"/>
  <c r="I200" i="22"/>
  <c r="J280" i="22"/>
  <c r="I280" i="22"/>
  <c r="J344" i="22"/>
  <c r="I344" i="22"/>
  <c r="Q16" i="25"/>
  <c r="AE11" i="25"/>
  <c r="AE367" i="25" s="1"/>
  <c r="AJ7" i="20"/>
  <c r="AH379" i="23"/>
  <c r="AG379" i="23" s="1"/>
  <c r="AF379" i="23" s="1"/>
  <c r="AD379" i="23" s="1"/>
  <c r="AI11" i="24"/>
  <c r="Q358" i="25"/>
  <c r="Q230" i="25"/>
  <c r="Q294" i="25"/>
  <c r="Q145" i="25"/>
  <c r="Q326" i="25"/>
  <c r="Q262" i="25"/>
  <c r="Q198" i="25"/>
  <c r="Q81" i="25"/>
  <c r="Q374" i="25"/>
  <c r="Q342" i="25"/>
  <c r="Q310" i="25"/>
  <c r="Q278" i="25"/>
  <c r="Q246" i="25"/>
  <c r="Q214" i="25"/>
  <c r="Q177" i="25"/>
  <c r="Q113" i="25"/>
  <c r="Q49" i="25"/>
  <c r="Q366" i="25"/>
  <c r="Q350" i="25"/>
  <c r="Q334" i="25"/>
  <c r="Q318" i="25"/>
  <c r="Q302" i="25"/>
  <c r="Q286" i="25"/>
  <c r="Q270" i="25"/>
  <c r="Q254" i="25"/>
  <c r="Q238" i="25"/>
  <c r="Q222" i="25"/>
  <c r="Q206" i="25"/>
  <c r="Q190" i="25"/>
  <c r="Q161" i="25"/>
  <c r="Q129" i="25"/>
  <c r="Q97" i="25"/>
  <c r="Q65" i="25"/>
  <c r="Q33" i="25"/>
  <c r="Q378" i="25"/>
  <c r="Q370" i="25"/>
  <c r="Q362" i="25"/>
  <c r="Q354" i="25"/>
  <c r="Q346" i="25"/>
  <c r="Q338" i="25"/>
  <c r="Q330" i="25"/>
  <c r="Q322" i="25"/>
  <c r="Q314" i="25"/>
  <c r="Q306" i="25"/>
  <c r="Q298" i="25"/>
  <c r="Q290" i="25"/>
  <c r="Q282" i="25"/>
  <c r="Q274" i="25"/>
  <c r="Q266" i="25"/>
  <c r="Q258" i="25"/>
  <c r="Q250" i="25"/>
  <c r="Q242" i="25"/>
  <c r="Q234" i="25"/>
  <c r="Q226" i="25"/>
  <c r="Q218" i="25"/>
  <c r="Q210" i="25"/>
  <c r="Q202" i="25"/>
  <c r="Q194" i="25"/>
  <c r="Q185" i="25"/>
  <c r="Q169" i="25"/>
  <c r="Q153" i="25"/>
  <c r="Q137" i="25"/>
  <c r="Q121" i="25"/>
  <c r="Q105" i="25"/>
  <c r="Q89" i="25"/>
  <c r="Q73" i="25"/>
  <c r="Q57" i="25"/>
  <c r="Q41" i="25"/>
  <c r="Q25" i="25"/>
  <c r="Q376" i="25"/>
  <c r="Q372" i="25"/>
  <c r="Q368" i="25"/>
  <c r="Q364" i="25"/>
  <c r="Q360" i="25"/>
  <c r="Q356" i="25"/>
  <c r="Q352" i="25"/>
  <c r="Q348" i="25"/>
  <c r="Q344" i="25"/>
  <c r="Q340" i="25"/>
  <c r="Q336" i="25"/>
  <c r="Q332" i="25"/>
  <c r="Q328" i="25"/>
  <c r="Q324" i="25"/>
  <c r="Q320" i="25"/>
  <c r="Q316" i="25"/>
  <c r="Q312" i="25"/>
  <c r="Q308" i="25"/>
  <c r="Q304" i="25"/>
  <c r="Q300" i="25"/>
  <c r="Q296" i="25"/>
  <c r="Q292" i="25"/>
  <c r="Q288" i="25"/>
  <c r="Q284" i="25"/>
  <c r="Q280" i="25"/>
  <c r="Q276" i="25"/>
  <c r="Q272" i="25"/>
  <c r="Q268" i="25"/>
  <c r="Q264" i="25"/>
  <c r="Q260" i="25"/>
  <c r="Q256" i="25"/>
  <c r="Q252" i="25"/>
  <c r="Q248" i="25"/>
  <c r="Q244" i="25"/>
  <c r="Q240" i="25"/>
  <c r="Q236" i="25"/>
  <c r="Q232" i="25"/>
  <c r="Q228" i="25"/>
  <c r="Q224" i="25"/>
  <c r="Q220" i="25"/>
  <c r="Q216" i="25"/>
  <c r="Q212" i="25"/>
  <c r="Q208" i="25"/>
  <c r="Q204" i="25"/>
  <c r="Q200" i="25"/>
  <c r="Q196" i="25"/>
  <c r="Q192" i="25"/>
  <c r="Q188" i="25"/>
  <c r="Q181" i="25"/>
  <c r="Q173" i="25"/>
  <c r="Q165" i="25"/>
  <c r="Q157" i="25"/>
  <c r="Q149" i="25"/>
  <c r="Q141" i="25"/>
  <c r="Q133" i="25"/>
  <c r="Q125" i="25"/>
  <c r="Q117" i="25"/>
  <c r="Q109" i="25"/>
  <c r="Q101" i="25"/>
  <c r="Q93" i="25"/>
  <c r="Q85" i="25"/>
  <c r="Q77" i="25"/>
  <c r="Q69" i="25"/>
  <c r="Q61" i="25"/>
  <c r="Q53" i="25"/>
  <c r="Q45" i="25"/>
  <c r="Q37" i="25"/>
  <c r="Q29" i="25"/>
  <c r="AK9" i="18"/>
  <c r="AK11" i="18" s="1"/>
  <c r="AM9" i="18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379" i="25"/>
  <c r="Q377" i="25"/>
  <c r="Q375" i="25"/>
  <c r="Q373" i="25"/>
  <c r="Q371" i="25"/>
  <c r="Q369" i="25"/>
  <c r="Q367" i="25"/>
  <c r="Q365" i="25"/>
  <c r="Q363" i="25"/>
  <c r="Q361" i="25"/>
  <c r="Q359" i="25"/>
  <c r="Q357" i="25"/>
  <c r="Q355" i="25"/>
  <c r="Q353" i="25"/>
  <c r="Q351" i="25"/>
  <c r="Q349" i="25"/>
  <c r="Q347" i="25"/>
  <c r="Q345" i="25"/>
  <c r="Q343" i="25"/>
  <c r="Q341" i="25"/>
  <c r="Q339" i="25"/>
  <c r="Q337" i="25"/>
  <c r="Q335" i="25"/>
  <c r="Q333" i="25"/>
  <c r="Q331" i="25"/>
  <c r="Q329" i="25"/>
  <c r="Q327" i="25"/>
  <c r="Q325" i="25"/>
  <c r="Q323" i="25"/>
  <c r="Q321" i="25"/>
  <c r="Q319" i="25"/>
  <c r="Q317" i="25"/>
  <c r="Q315" i="25"/>
  <c r="Q313" i="25"/>
  <c r="Q311" i="25"/>
  <c r="Q309" i="25"/>
  <c r="Q307" i="25"/>
  <c r="Q305" i="25"/>
  <c r="Q303" i="25"/>
  <c r="Q301" i="25"/>
  <c r="Q299" i="25"/>
  <c r="Q297" i="25"/>
  <c r="Q295" i="25"/>
  <c r="Q293" i="25"/>
  <c r="Q291" i="25"/>
  <c r="Q289" i="25"/>
  <c r="Q287" i="25"/>
  <c r="Q285" i="25"/>
  <c r="Q283" i="25"/>
  <c r="Q281" i="25"/>
  <c r="Q279" i="25"/>
  <c r="Q277" i="25"/>
  <c r="Q275" i="25"/>
  <c r="Q273" i="25"/>
  <c r="Q271" i="25"/>
  <c r="Q269" i="25"/>
  <c r="Q267" i="25"/>
  <c r="Q265" i="25"/>
  <c r="Q263" i="25"/>
  <c r="Q261" i="25"/>
  <c r="Q259" i="25"/>
  <c r="Q257" i="25"/>
  <c r="Q255" i="25"/>
  <c r="Q253" i="25"/>
  <c r="Q251" i="25"/>
  <c r="Q249" i="25"/>
  <c r="Q247" i="25"/>
  <c r="Q245" i="25"/>
  <c r="Q243" i="25"/>
  <c r="Q241" i="25"/>
  <c r="Q239" i="25"/>
  <c r="Q237" i="25"/>
  <c r="Q235" i="25"/>
  <c r="Q233" i="25"/>
  <c r="Q231" i="25"/>
  <c r="Q229" i="25"/>
  <c r="Q227" i="25"/>
  <c r="Q225" i="25"/>
  <c r="Q223" i="25"/>
  <c r="Q221" i="25"/>
  <c r="Q219" i="25"/>
  <c r="Q217" i="25"/>
  <c r="Q215" i="25"/>
  <c r="Q213" i="25"/>
  <c r="Q211" i="25"/>
  <c r="Q209" i="25"/>
  <c r="Q207" i="25"/>
  <c r="Q205" i="25"/>
  <c r="Q203" i="25"/>
  <c r="Q201" i="25"/>
  <c r="Q199" i="25"/>
  <c r="Q197" i="25"/>
  <c r="Q195" i="25"/>
  <c r="Q193" i="25"/>
  <c r="Q191" i="25"/>
  <c r="Q189" i="25"/>
  <c r="Q187" i="25"/>
  <c r="Q18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20" i="25"/>
  <c r="Q19" i="25"/>
  <c r="Q17" i="25"/>
  <c r="I166" i="22"/>
  <c r="J166" i="22"/>
  <c r="J196" i="22"/>
  <c r="I196" i="22"/>
  <c r="I135" i="22"/>
  <c r="J135" i="22"/>
  <c r="AF15" i="23"/>
  <c r="AE375" i="25"/>
  <c r="AE359" i="25"/>
  <c r="AE343" i="25"/>
  <c r="AE327" i="25"/>
  <c r="AE311" i="25"/>
  <c r="AE295" i="25"/>
  <c r="AE279" i="25"/>
  <c r="AE263" i="25"/>
  <c r="AE247" i="25"/>
  <c r="AE231" i="25"/>
  <c r="AE215" i="25"/>
  <c r="AE199" i="25"/>
  <c r="AE183" i="25"/>
  <c r="AE167" i="25"/>
  <c r="AE151" i="25"/>
  <c r="AE135" i="25"/>
  <c r="AE119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J349" i="22"/>
  <c r="I349" i="22"/>
  <c r="I227" i="22"/>
  <c r="J227" i="22"/>
  <c r="J119" i="22"/>
  <c r="J105" i="22"/>
  <c r="I105" i="22"/>
  <c r="AA15" i="18"/>
  <c r="H15" i="18"/>
  <c r="G15" i="18"/>
  <c r="CA15" i="6" s="1"/>
  <c r="AE376" i="25"/>
  <c r="AE368" i="25"/>
  <c r="AE360" i="25"/>
  <c r="AE352" i="25"/>
  <c r="AE344" i="25"/>
  <c r="AE336" i="25"/>
  <c r="AE328" i="25"/>
  <c r="AE320" i="25"/>
  <c r="AE312" i="25"/>
  <c r="AE304" i="25"/>
  <c r="AE296" i="25"/>
  <c r="AE288" i="25"/>
  <c r="AE280" i="25"/>
  <c r="AE272" i="25"/>
  <c r="AE264" i="25"/>
  <c r="AE256" i="25"/>
  <c r="AE248" i="25"/>
  <c r="AE240" i="25"/>
  <c r="AE232" i="25"/>
  <c r="AE224" i="25"/>
  <c r="AE216" i="25"/>
  <c r="AE208" i="25"/>
  <c r="AE200" i="25"/>
  <c r="AE192" i="25"/>
  <c r="AE184" i="25"/>
  <c r="AE176" i="25"/>
  <c r="AE168" i="25"/>
  <c r="AE160" i="25"/>
  <c r="AE152" i="25"/>
  <c r="AE144" i="25"/>
  <c r="AE136" i="25"/>
  <c r="AE128" i="25"/>
  <c r="AE120" i="25"/>
  <c r="AE112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I149" i="22"/>
  <c r="J149" i="22"/>
  <c r="J210" i="22"/>
  <c r="I210" i="22"/>
  <c r="I258" i="22"/>
  <c r="J258" i="22"/>
  <c r="E15" i="20"/>
  <c r="J86" i="22" l="1"/>
  <c r="I86" i="22"/>
  <c r="AA4" i="6"/>
  <c r="D325" i="6"/>
  <c r="AJ4" i="6"/>
  <c r="D163" i="6"/>
  <c r="X4" i="6"/>
  <c r="D240" i="6"/>
  <c r="AD4" i="6"/>
  <c r="J208" i="22"/>
  <c r="J320" i="22"/>
  <c r="U4" i="6"/>
  <c r="D119" i="6"/>
  <c r="D320" i="6"/>
  <c r="AI4" i="6"/>
  <c r="D139" i="6"/>
  <c r="V4" i="6"/>
  <c r="D356" i="6"/>
  <c r="AL4" i="6"/>
  <c r="AH4" i="6"/>
  <c r="I29" i="22"/>
  <c r="F14" i="19"/>
  <c r="W258" i="23"/>
  <c r="D46" i="23"/>
  <c r="E46" i="23" s="1"/>
  <c r="F46" i="23" s="1"/>
  <c r="G46" i="23" s="1"/>
  <c r="CD46" i="6" s="1"/>
  <c r="D135" i="23"/>
  <c r="E135" i="23" s="1"/>
  <c r="F135" i="23" s="1"/>
  <c r="AA135" i="23" s="1"/>
  <c r="Z135" i="23" s="1"/>
  <c r="Y135" i="23" s="1"/>
  <c r="W319" i="23"/>
  <c r="AI382" i="23"/>
  <c r="W166" i="23"/>
  <c r="AI381" i="23"/>
  <c r="AI383" i="23"/>
  <c r="D26" i="23"/>
  <c r="E26" i="23" s="1"/>
  <c r="F26" i="23" s="1"/>
  <c r="W26" i="23"/>
  <c r="W42" i="23"/>
  <c r="D42" i="23"/>
  <c r="E42" i="23" s="1"/>
  <c r="F42" i="23" s="1"/>
  <c r="W58" i="23"/>
  <c r="D58" i="23"/>
  <c r="E58" i="23" s="1"/>
  <c r="F58" i="23" s="1"/>
  <c r="D90" i="23"/>
  <c r="E90" i="23" s="1"/>
  <c r="F90" i="23" s="1"/>
  <c r="W90" i="23"/>
  <c r="D106" i="23"/>
  <c r="E106" i="23" s="1"/>
  <c r="F106" i="23" s="1"/>
  <c r="W106" i="23"/>
  <c r="W122" i="23"/>
  <c r="D122" i="23"/>
  <c r="E122" i="23" s="1"/>
  <c r="F122" i="23" s="1"/>
  <c r="D138" i="23"/>
  <c r="E138" i="23" s="1"/>
  <c r="F138" i="23" s="1"/>
  <c r="W138" i="23"/>
  <c r="D154" i="23"/>
  <c r="E154" i="23" s="1"/>
  <c r="F154" i="23" s="1"/>
  <c r="W154" i="23"/>
  <c r="D170" i="23"/>
  <c r="E170" i="23" s="1"/>
  <c r="F170" i="23" s="1"/>
  <c r="W170" i="23"/>
  <c r="W185" i="23"/>
  <c r="D185" i="23"/>
  <c r="E185" i="23" s="1"/>
  <c r="F185" i="23" s="1"/>
  <c r="W193" i="23"/>
  <c r="D193" i="23"/>
  <c r="E193" i="23" s="1"/>
  <c r="F193" i="23" s="1"/>
  <c r="D201" i="23"/>
  <c r="E201" i="23" s="1"/>
  <c r="F201" i="23" s="1"/>
  <c r="W201" i="23"/>
  <c r="W209" i="23"/>
  <c r="D209" i="23"/>
  <c r="E209" i="23" s="1"/>
  <c r="F209" i="23" s="1"/>
  <c r="D217" i="23"/>
  <c r="E217" i="23" s="1"/>
  <c r="F217" i="23" s="1"/>
  <c r="W217" i="23"/>
  <c r="W225" i="23"/>
  <c r="D225" i="23"/>
  <c r="E225" i="23" s="1"/>
  <c r="F225" i="23" s="1"/>
  <c r="W233" i="23"/>
  <c r="D233" i="23"/>
  <c r="E233" i="23" s="1"/>
  <c r="F233" i="23" s="1"/>
  <c r="V241" i="23"/>
  <c r="AH51" i="7"/>
  <c r="W249" i="23"/>
  <c r="D249" i="23"/>
  <c r="E249" i="23" s="1"/>
  <c r="F249" i="23" s="1"/>
  <c r="D257" i="23"/>
  <c r="E257" i="23" s="1"/>
  <c r="F257" i="23" s="1"/>
  <c r="W257" i="23"/>
  <c r="W265" i="23"/>
  <c r="D265" i="23"/>
  <c r="E265" i="23" s="1"/>
  <c r="F265" i="23" s="1"/>
  <c r="D273" i="23"/>
  <c r="E273" i="23" s="1"/>
  <c r="F273" i="23" s="1"/>
  <c r="W273" i="23"/>
  <c r="D281" i="23"/>
  <c r="E281" i="23" s="1"/>
  <c r="F281" i="23" s="1"/>
  <c r="W281" i="23"/>
  <c r="W289" i="23"/>
  <c r="D289" i="23"/>
  <c r="E289" i="23" s="1"/>
  <c r="F289" i="23" s="1"/>
  <c r="D297" i="23"/>
  <c r="E297" i="23" s="1"/>
  <c r="F297" i="23" s="1"/>
  <c r="W297" i="23"/>
  <c r="D305" i="23"/>
  <c r="E305" i="23" s="1"/>
  <c r="F305" i="23" s="1"/>
  <c r="W305" i="23"/>
  <c r="W313" i="23"/>
  <c r="D313" i="23"/>
  <c r="E313" i="23" s="1"/>
  <c r="F313" i="23" s="1"/>
  <c r="D321" i="23"/>
  <c r="E321" i="23" s="1"/>
  <c r="F321" i="23" s="1"/>
  <c r="W321" i="23"/>
  <c r="W329" i="23"/>
  <c r="D329" i="23"/>
  <c r="E329" i="23" s="1"/>
  <c r="F329" i="23" s="1"/>
  <c r="W337" i="23"/>
  <c r="D337" i="23"/>
  <c r="E337" i="23" s="1"/>
  <c r="F337" i="23" s="1"/>
  <c r="D345" i="23"/>
  <c r="E345" i="23" s="1"/>
  <c r="F345" i="23" s="1"/>
  <c r="W345" i="23"/>
  <c r="W353" i="23"/>
  <c r="D353" i="23"/>
  <c r="E353" i="23" s="1"/>
  <c r="F353" i="23" s="1"/>
  <c r="D361" i="23"/>
  <c r="E361" i="23" s="1"/>
  <c r="F361" i="23" s="1"/>
  <c r="W361" i="23"/>
  <c r="D369" i="23"/>
  <c r="E369" i="23" s="1"/>
  <c r="F369" i="23" s="1"/>
  <c r="W369" i="23"/>
  <c r="W377" i="23"/>
  <c r="D377" i="23"/>
  <c r="E377" i="23" s="1"/>
  <c r="F377" i="23" s="1"/>
  <c r="W24" i="23"/>
  <c r="D24" i="23"/>
  <c r="E24" i="23" s="1"/>
  <c r="F24" i="23" s="1"/>
  <c r="D40" i="23"/>
  <c r="E40" i="23" s="1"/>
  <c r="F40" i="23" s="1"/>
  <c r="W40" i="23"/>
  <c r="D56" i="23"/>
  <c r="E56" i="23" s="1"/>
  <c r="F56" i="23" s="1"/>
  <c r="W56" i="23"/>
  <c r="W72" i="23"/>
  <c r="D72" i="23"/>
  <c r="E72" i="23" s="1"/>
  <c r="F72" i="23" s="1"/>
  <c r="AH46" i="7"/>
  <c r="V88" i="23"/>
  <c r="W104" i="23"/>
  <c r="D104" i="23"/>
  <c r="E104" i="23" s="1"/>
  <c r="F104" i="23" s="1"/>
  <c r="D120" i="23"/>
  <c r="E120" i="23" s="1"/>
  <c r="F120" i="23" s="1"/>
  <c r="W120" i="23"/>
  <c r="D136" i="23"/>
  <c r="E136" i="23" s="1"/>
  <c r="F136" i="23" s="1"/>
  <c r="W136" i="23"/>
  <c r="W152" i="23"/>
  <c r="D152" i="23"/>
  <c r="E152" i="23" s="1"/>
  <c r="F152" i="23" s="1"/>
  <c r="D168" i="23"/>
  <c r="E168" i="23" s="1"/>
  <c r="F168" i="23" s="1"/>
  <c r="W168" i="23"/>
  <c r="W184" i="23"/>
  <c r="D184" i="23"/>
  <c r="E184" i="23" s="1"/>
  <c r="F184" i="23" s="1"/>
  <c r="W192" i="23"/>
  <c r="D192" i="23"/>
  <c r="E192" i="23" s="1"/>
  <c r="F192" i="23" s="1"/>
  <c r="W200" i="23"/>
  <c r="D200" i="23"/>
  <c r="E200" i="23" s="1"/>
  <c r="F200" i="23" s="1"/>
  <c r="D208" i="23"/>
  <c r="E208" i="23" s="1"/>
  <c r="F208" i="23" s="1"/>
  <c r="W208" i="23"/>
  <c r="W216" i="23"/>
  <c r="D216" i="23"/>
  <c r="E216" i="23" s="1"/>
  <c r="F216" i="23" s="1"/>
  <c r="W224" i="23"/>
  <c r="D224" i="23"/>
  <c r="E224" i="23" s="1"/>
  <c r="F224" i="23" s="1"/>
  <c r="W232" i="23"/>
  <c r="D232" i="23"/>
  <c r="E232" i="23" s="1"/>
  <c r="F232" i="23" s="1"/>
  <c r="D240" i="23"/>
  <c r="E240" i="23" s="1"/>
  <c r="F240" i="23" s="1"/>
  <c r="W240" i="23"/>
  <c r="D248" i="23"/>
  <c r="E248" i="23" s="1"/>
  <c r="F248" i="23" s="1"/>
  <c r="W248" i="23"/>
  <c r="D256" i="23"/>
  <c r="E256" i="23" s="1"/>
  <c r="F256" i="23" s="1"/>
  <c r="W256" i="23"/>
  <c r="D264" i="23"/>
  <c r="E264" i="23" s="1"/>
  <c r="F264" i="23" s="1"/>
  <c r="W264" i="23"/>
  <c r="V272" i="23"/>
  <c r="AH52" i="7"/>
  <c r="W280" i="23"/>
  <c r="D280" i="23"/>
  <c r="E280" i="23" s="1"/>
  <c r="F280" i="23" s="1"/>
  <c r="D296" i="23"/>
  <c r="E296" i="23" s="1"/>
  <c r="F296" i="23" s="1"/>
  <c r="W296" i="23"/>
  <c r="W304" i="23"/>
  <c r="D304" i="23"/>
  <c r="E304" i="23" s="1"/>
  <c r="F304" i="23" s="1"/>
  <c r="D312" i="23"/>
  <c r="E312" i="23" s="1"/>
  <c r="F312" i="23" s="1"/>
  <c r="W312" i="23"/>
  <c r="W320" i="23"/>
  <c r="D320" i="23"/>
  <c r="E320" i="23" s="1"/>
  <c r="F320" i="23" s="1"/>
  <c r="W328" i="23"/>
  <c r="D328" i="23"/>
  <c r="E328" i="23" s="1"/>
  <c r="F328" i="23" s="1"/>
  <c r="D336" i="23"/>
  <c r="E336" i="23" s="1"/>
  <c r="F336" i="23" s="1"/>
  <c r="W336" i="23"/>
  <c r="W344" i="23"/>
  <c r="D344" i="23"/>
  <c r="E344" i="23" s="1"/>
  <c r="F344" i="23" s="1"/>
  <c r="D352" i="23"/>
  <c r="E352" i="23" s="1"/>
  <c r="F352" i="23" s="1"/>
  <c r="W352" i="23"/>
  <c r="D360" i="23"/>
  <c r="E360" i="23" s="1"/>
  <c r="F360" i="23" s="1"/>
  <c r="W360" i="23"/>
  <c r="D368" i="23"/>
  <c r="E368" i="23" s="1"/>
  <c r="F368" i="23" s="1"/>
  <c r="W368" i="23"/>
  <c r="W376" i="23"/>
  <c r="D376" i="23"/>
  <c r="E376" i="23" s="1"/>
  <c r="F376" i="23" s="1"/>
  <c r="W169" i="23"/>
  <c r="D169" i="23"/>
  <c r="E169" i="23" s="1"/>
  <c r="F169" i="23" s="1"/>
  <c r="D153" i="23"/>
  <c r="E153" i="23" s="1"/>
  <c r="F153" i="23" s="1"/>
  <c r="W153" i="23"/>
  <c r="W137" i="23"/>
  <c r="D137" i="23"/>
  <c r="E137" i="23" s="1"/>
  <c r="F137" i="23" s="1"/>
  <c r="D121" i="23"/>
  <c r="E121" i="23" s="1"/>
  <c r="F121" i="23" s="1"/>
  <c r="W121" i="23"/>
  <c r="W105" i="23"/>
  <c r="D105" i="23"/>
  <c r="E105" i="23" s="1"/>
  <c r="F105" i="23" s="1"/>
  <c r="H105" i="23" s="1"/>
  <c r="I105" i="23" s="1"/>
  <c r="D89" i="23"/>
  <c r="E89" i="23" s="1"/>
  <c r="F89" i="23" s="1"/>
  <c r="W89" i="23"/>
  <c r="D73" i="23"/>
  <c r="E73" i="23" s="1"/>
  <c r="F73" i="23" s="1"/>
  <c r="W73" i="23"/>
  <c r="W57" i="23"/>
  <c r="D57" i="23"/>
  <c r="E57" i="23" s="1"/>
  <c r="F57" i="23" s="1"/>
  <c r="W41" i="23"/>
  <c r="D41" i="23"/>
  <c r="E41" i="23" s="1"/>
  <c r="F41" i="23" s="1"/>
  <c r="W25" i="23"/>
  <c r="D25" i="23"/>
  <c r="E25" i="23" s="1"/>
  <c r="F25" i="23" s="1"/>
  <c r="G272" i="22"/>
  <c r="CC272" i="6" s="1"/>
  <c r="AA272" i="22"/>
  <c r="Z272" i="22" s="1"/>
  <c r="Y272" i="22" s="1"/>
  <c r="H272" i="22"/>
  <c r="V381" i="20"/>
  <c r="V382" i="20"/>
  <c r="V383" i="20"/>
  <c r="W379" i="20"/>
  <c r="D379" i="20"/>
  <c r="B383" i="20"/>
  <c r="B381" i="20"/>
  <c r="B382" i="20"/>
  <c r="AJ6" i="20"/>
  <c r="H9" i="20"/>
  <c r="B16" i="19" s="1"/>
  <c r="B31" i="19" s="1"/>
  <c r="AK6" i="20"/>
  <c r="G241" i="22"/>
  <c r="CC241" i="6" s="1"/>
  <c r="AA241" i="22"/>
  <c r="Z241" i="22" s="1"/>
  <c r="Y241" i="22" s="1"/>
  <c r="H241" i="22"/>
  <c r="F379" i="18"/>
  <c r="AJ10" i="18"/>
  <c r="AJ12" i="18" s="1"/>
  <c r="AJ13" i="18" s="1"/>
  <c r="E383" i="18"/>
  <c r="E381" i="18"/>
  <c r="AK8" i="18"/>
  <c r="E382" i="18"/>
  <c r="E9" i="18"/>
  <c r="E11" i="18" s="1"/>
  <c r="D20" i="23"/>
  <c r="E20" i="23" s="1"/>
  <c r="F20" i="23" s="1"/>
  <c r="W20" i="23"/>
  <c r="W38" i="23"/>
  <c r="D38" i="23"/>
  <c r="E38" i="23" s="1"/>
  <c r="F38" i="23" s="1"/>
  <c r="D54" i="23"/>
  <c r="E54" i="23" s="1"/>
  <c r="F54" i="23" s="1"/>
  <c r="W54" i="23"/>
  <c r="W70" i="23"/>
  <c r="D70" i="23"/>
  <c r="E70" i="23" s="1"/>
  <c r="F70" i="23" s="1"/>
  <c r="W86" i="23"/>
  <c r="D86" i="23"/>
  <c r="E86" i="23" s="1"/>
  <c r="F86" i="23" s="1"/>
  <c r="W102" i="23"/>
  <c r="D102" i="23"/>
  <c r="E102" i="23" s="1"/>
  <c r="F102" i="23" s="1"/>
  <c r="D118" i="23"/>
  <c r="E118" i="23" s="1"/>
  <c r="F118" i="23" s="1"/>
  <c r="W118" i="23"/>
  <c r="W134" i="23"/>
  <c r="D134" i="23"/>
  <c r="E134" i="23" s="1"/>
  <c r="F134" i="23" s="1"/>
  <c r="W150" i="23"/>
  <c r="D150" i="23"/>
  <c r="E150" i="23" s="1"/>
  <c r="F150" i="23" s="1"/>
  <c r="W182" i="23"/>
  <c r="D182" i="23"/>
  <c r="E182" i="23" s="1"/>
  <c r="F182" i="23" s="1"/>
  <c r="D191" i="23"/>
  <c r="E191" i="23" s="1"/>
  <c r="F191" i="23" s="1"/>
  <c r="W191" i="23"/>
  <c r="D199" i="23"/>
  <c r="E199" i="23" s="1"/>
  <c r="F199" i="23" s="1"/>
  <c r="W199" i="23"/>
  <c r="W207" i="23"/>
  <c r="D207" i="23"/>
  <c r="E207" i="23" s="1"/>
  <c r="F207" i="23" s="1"/>
  <c r="W215" i="23"/>
  <c r="D215" i="23"/>
  <c r="E215" i="23" s="1"/>
  <c r="F215" i="23" s="1"/>
  <c r="D223" i="23"/>
  <c r="E223" i="23" s="1"/>
  <c r="F223" i="23" s="1"/>
  <c r="W223" i="23"/>
  <c r="W231" i="23"/>
  <c r="D231" i="23"/>
  <c r="E231" i="23" s="1"/>
  <c r="F231" i="23" s="1"/>
  <c r="D239" i="23"/>
  <c r="E239" i="23" s="1"/>
  <c r="F239" i="23" s="1"/>
  <c r="W239" i="23"/>
  <c r="W247" i="23"/>
  <c r="D247" i="23"/>
  <c r="E247" i="23" s="1"/>
  <c r="F247" i="23" s="1"/>
  <c r="D255" i="23"/>
  <c r="E255" i="23" s="1"/>
  <c r="F255" i="23" s="1"/>
  <c r="W255" i="23"/>
  <c r="D263" i="23"/>
  <c r="E263" i="23" s="1"/>
  <c r="F263" i="23" s="1"/>
  <c r="W263" i="23"/>
  <c r="W271" i="23"/>
  <c r="D271" i="23"/>
  <c r="E271" i="23" s="1"/>
  <c r="F271" i="23" s="1"/>
  <c r="D279" i="23"/>
  <c r="E279" i="23" s="1"/>
  <c r="F279" i="23" s="1"/>
  <c r="W279" i="23"/>
  <c r="D287" i="23"/>
  <c r="E287" i="23" s="1"/>
  <c r="F287" i="23" s="1"/>
  <c r="W287" i="23"/>
  <c r="D295" i="23"/>
  <c r="E295" i="23" s="1"/>
  <c r="F295" i="23" s="1"/>
  <c r="W295" i="23"/>
  <c r="D303" i="23"/>
  <c r="E303" i="23" s="1"/>
  <c r="F303" i="23" s="1"/>
  <c r="W303" i="23"/>
  <c r="D311" i="23"/>
  <c r="E311" i="23" s="1"/>
  <c r="F311" i="23" s="1"/>
  <c r="W311" i="23"/>
  <c r="D327" i="23"/>
  <c r="E327" i="23" s="1"/>
  <c r="F327" i="23" s="1"/>
  <c r="W327" i="23"/>
  <c r="D335" i="23"/>
  <c r="E335" i="23" s="1"/>
  <c r="F335" i="23" s="1"/>
  <c r="W335" i="23"/>
  <c r="W343" i="23"/>
  <c r="D343" i="23"/>
  <c r="E343" i="23" s="1"/>
  <c r="F343" i="23" s="1"/>
  <c r="D351" i="23"/>
  <c r="E351" i="23" s="1"/>
  <c r="F351" i="23" s="1"/>
  <c r="W351" i="23"/>
  <c r="D359" i="23"/>
  <c r="E359" i="23" s="1"/>
  <c r="F359" i="23" s="1"/>
  <c r="W359" i="23"/>
  <c r="W367" i="23"/>
  <c r="D367" i="23"/>
  <c r="E367" i="23" s="1"/>
  <c r="F367" i="23" s="1"/>
  <c r="D375" i="23"/>
  <c r="E375" i="23" s="1"/>
  <c r="F375" i="23" s="1"/>
  <c r="W375" i="23"/>
  <c r="W19" i="23"/>
  <c r="D19" i="23"/>
  <c r="E19" i="23" s="1"/>
  <c r="F19" i="23" s="1"/>
  <c r="D36" i="23"/>
  <c r="E36" i="23" s="1"/>
  <c r="F36" i="23" s="1"/>
  <c r="W36" i="23"/>
  <c r="D52" i="23"/>
  <c r="E52" i="23" s="1"/>
  <c r="F52" i="23" s="1"/>
  <c r="W52" i="23"/>
  <c r="D68" i="23"/>
  <c r="E68" i="23" s="1"/>
  <c r="F68" i="23" s="1"/>
  <c r="W68" i="23"/>
  <c r="W84" i="23"/>
  <c r="D84" i="23"/>
  <c r="E84" i="23" s="1"/>
  <c r="F84" i="23" s="1"/>
  <c r="D100" i="23"/>
  <c r="E100" i="23" s="1"/>
  <c r="F100" i="23" s="1"/>
  <c r="W100" i="23"/>
  <c r="D116" i="23"/>
  <c r="E116" i="23" s="1"/>
  <c r="F116" i="23" s="1"/>
  <c r="W116" i="23"/>
  <c r="W132" i="23"/>
  <c r="D132" i="23"/>
  <c r="E132" i="23" s="1"/>
  <c r="F132" i="23" s="1"/>
  <c r="D148" i="23"/>
  <c r="E148" i="23" s="1"/>
  <c r="F148" i="23" s="1"/>
  <c r="W148" i="23"/>
  <c r="D164" i="23"/>
  <c r="E164" i="23" s="1"/>
  <c r="F164" i="23" s="1"/>
  <c r="W164" i="23"/>
  <c r="V180" i="23"/>
  <c r="AH49" i="7"/>
  <c r="W190" i="23"/>
  <c r="D190" i="23"/>
  <c r="E190" i="23" s="1"/>
  <c r="F190" i="23" s="1"/>
  <c r="D198" i="23"/>
  <c r="E198" i="23" s="1"/>
  <c r="F198" i="23" s="1"/>
  <c r="W198" i="23"/>
  <c r="W206" i="23"/>
  <c r="D206" i="23"/>
  <c r="E206" i="23" s="1"/>
  <c r="F206" i="23" s="1"/>
  <c r="D214" i="23"/>
  <c r="E214" i="23" s="1"/>
  <c r="F214" i="23" s="1"/>
  <c r="W214" i="23"/>
  <c r="W222" i="23"/>
  <c r="D222" i="23"/>
  <c r="E222" i="23" s="1"/>
  <c r="F222" i="23" s="1"/>
  <c r="W230" i="23"/>
  <c r="D230" i="23"/>
  <c r="E230" i="23" s="1"/>
  <c r="F230" i="23" s="1"/>
  <c r="D238" i="23"/>
  <c r="E238" i="23" s="1"/>
  <c r="F238" i="23" s="1"/>
  <c r="W238" i="23"/>
  <c r="D246" i="23"/>
  <c r="E246" i="23" s="1"/>
  <c r="F246" i="23" s="1"/>
  <c r="W246" i="23"/>
  <c r="W254" i="23"/>
  <c r="D254" i="23"/>
  <c r="E254" i="23" s="1"/>
  <c r="F254" i="23" s="1"/>
  <c r="D262" i="23"/>
  <c r="E262" i="23" s="1"/>
  <c r="F262" i="23" s="1"/>
  <c r="W262" i="23"/>
  <c r="W270" i="23"/>
  <c r="D270" i="23"/>
  <c r="E270" i="23" s="1"/>
  <c r="F270" i="23" s="1"/>
  <c r="D278" i="23"/>
  <c r="E278" i="23" s="1"/>
  <c r="F278" i="23" s="1"/>
  <c r="W278" i="23"/>
  <c r="W286" i="23"/>
  <c r="D286" i="23"/>
  <c r="E286" i="23" s="1"/>
  <c r="F286" i="23" s="1"/>
  <c r="W294" i="23"/>
  <c r="D294" i="23"/>
  <c r="E294" i="23" s="1"/>
  <c r="F294" i="23" s="1"/>
  <c r="AH53" i="7"/>
  <c r="V302" i="23"/>
  <c r="W310" i="23"/>
  <c r="D310" i="23"/>
  <c r="E310" i="23" s="1"/>
  <c r="F310" i="23" s="1"/>
  <c r="D318" i="23"/>
  <c r="E318" i="23" s="1"/>
  <c r="F318" i="23" s="1"/>
  <c r="W318" i="23"/>
  <c r="D326" i="23"/>
  <c r="E326" i="23" s="1"/>
  <c r="F326" i="23" s="1"/>
  <c r="W326" i="23"/>
  <c r="D334" i="23"/>
  <c r="E334" i="23" s="1"/>
  <c r="F334" i="23" s="1"/>
  <c r="W334" i="23"/>
  <c r="D342" i="23"/>
  <c r="E342" i="23" s="1"/>
  <c r="F342" i="23" s="1"/>
  <c r="W342" i="23"/>
  <c r="D350" i="23"/>
  <c r="E350" i="23" s="1"/>
  <c r="F350" i="23" s="1"/>
  <c r="W350" i="23"/>
  <c r="D358" i="23"/>
  <c r="E358" i="23" s="1"/>
  <c r="F358" i="23" s="1"/>
  <c r="W358" i="23"/>
  <c r="W366" i="23"/>
  <c r="D366" i="23"/>
  <c r="E366" i="23" s="1"/>
  <c r="F366" i="23" s="1"/>
  <c r="D374" i="23"/>
  <c r="E374" i="23" s="1"/>
  <c r="F374" i="23" s="1"/>
  <c r="W374" i="23"/>
  <c r="D181" i="23"/>
  <c r="E181" i="23" s="1"/>
  <c r="F181" i="23" s="1"/>
  <c r="W181" i="23"/>
  <c r="W165" i="23"/>
  <c r="D165" i="23"/>
  <c r="E165" i="23" s="1"/>
  <c r="F165" i="23" s="1"/>
  <c r="V149" i="23"/>
  <c r="AH48" i="7"/>
  <c r="W133" i="23"/>
  <c r="D133" i="23"/>
  <c r="E133" i="23" s="1"/>
  <c r="F133" i="23" s="1"/>
  <c r="D117" i="23"/>
  <c r="E117" i="23" s="1"/>
  <c r="F117" i="23" s="1"/>
  <c r="W117" i="23"/>
  <c r="D101" i="23"/>
  <c r="E101" i="23" s="1"/>
  <c r="F101" i="23" s="1"/>
  <c r="W101" i="23"/>
  <c r="D85" i="23"/>
  <c r="E85" i="23" s="1"/>
  <c r="F85" i="23" s="1"/>
  <c r="W85" i="23"/>
  <c r="D69" i="23"/>
  <c r="E69" i="23" s="1"/>
  <c r="F69" i="23" s="1"/>
  <c r="W69" i="23"/>
  <c r="W53" i="23"/>
  <c r="D53" i="23"/>
  <c r="E53" i="23" s="1"/>
  <c r="F53" i="23" s="1"/>
  <c r="W37" i="23"/>
  <c r="D37" i="23"/>
  <c r="E37" i="23" s="1"/>
  <c r="F37" i="23" s="1"/>
  <c r="W16" i="23"/>
  <c r="D16" i="23"/>
  <c r="E16" i="23" s="1"/>
  <c r="F16" i="23" s="1"/>
  <c r="D175" i="23"/>
  <c r="E175" i="23" s="1"/>
  <c r="F175" i="23" s="1"/>
  <c r="W175" i="23"/>
  <c r="W159" i="23"/>
  <c r="D159" i="23"/>
  <c r="E159" i="23" s="1"/>
  <c r="F159" i="23" s="1"/>
  <c r="W143" i="23"/>
  <c r="D143" i="23"/>
  <c r="E143" i="23" s="1"/>
  <c r="F143" i="23" s="1"/>
  <c r="D123" i="23"/>
  <c r="E123" i="23" s="1"/>
  <c r="F123" i="23" s="1"/>
  <c r="W123" i="23"/>
  <c r="D107" i="23"/>
  <c r="E107" i="23" s="1"/>
  <c r="F107" i="23" s="1"/>
  <c r="W107" i="23"/>
  <c r="D91" i="23"/>
  <c r="E91" i="23" s="1"/>
  <c r="F91" i="23" s="1"/>
  <c r="W91" i="23"/>
  <c r="D75" i="23"/>
  <c r="E75" i="23" s="1"/>
  <c r="F75" i="23" s="1"/>
  <c r="W75" i="23"/>
  <c r="D59" i="23"/>
  <c r="E59" i="23" s="1"/>
  <c r="F59" i="23" s="1"/>
  <c r="W59" i="23"/>
  <c r="D43" i="23"/>
  <c r="E43" i="23" s="1"/>
  <c r="F43" i="23" s="1"/>
  <c r="W43" i="23"/>
  <c r="D27" i="23"/>
  <c r="E27" i="23" s="1"/>
  <c r="F27" i="23" s="1"/>
  <c r="W27" i="23"/>
  <c r="W17" i="23"/>
  <c r="D17" i="23"/>
  <c r="E17" i="23" s="1"/>
  <c r="F17" i="23" s="1"/>
  <c r="W179" i="23"/>
  <c r="D179" i="23"/>
  <c r="E179" i="23" s="1"/>
  <c r="F179" i="23" s="1"/>
  <c r="W163" i="23"/>
  <c r="D163" i="23"/>
  <c r="E163" i="23" s="1"/>
  <c r="F163" i="23" s="1"/>
  <c r="W147" i="23"/>
  <c r="D147" i="23"/>
  <c r="E147" i="23" s="1"/>
  <c r="F147" i="23" s="1"/>
  <c r="W131" i="23"/>
  <c r="D131" i="23"/>
  <c r="E131" i="23" s="1"/>
  <c r="F131" i="23" s="1"/>
  <c r="V119" i="23"/>
  <c r="AH47" i="7"/>
  <c r="D103" i="23"/>
  <c r="E103" i="23" s="1"/>
  <c r="F103" i="23" s="1"/>
  <c r="W103" i="23"/>
  <c r="W87" i="23"/>
  <c r="D87" i="23"/>
  <c r="E87" i="23" s="1"/>
  <c r="F87" i="23" s="1"/>
  <c r="D71" i="23"/>
  <c r="E71" i="23" s="1"/>
  <c r="F71" i="23" s="1"/>
  <c r="W71" i="23"/>
  <c r="D55" i="23"/>
  <c r="E55" i="23" s="1"/>
  <c r="F55" i="23" s="1"/>
  <c r="W55" i="23"/>
  <c r="W39" i="23"/>
  <c r="D39" i="23"/>
  <c r="E39" i="23" s="1"/>
  <c r="F39" i="23" s="1"/>
  <c r="T15" i="23"/>
  <c r="U383" i="23"/>
  <c r="U382" i="23"/>
  <c r="U381" i="23"/>
  <c r="I363" i="22"/>
  <c r="J363" i="22"/>
  <c r="AM13" i="17"/>
  <c r="AK4" i="17"/>
  <c r="R14" i="19" s="1"/>
  <c r="AL13" i="17"/>
  <c r="AJ3" i="17"/>
  <c r="O14" i="19" s="1"/>
  <c r="M14" i="19" s="1"/>
  <c r="W34" i="23"/>
  <c r="D34" i="23"/>
  <c r="E34" i="23" s="1"/>
  <c r="F34" i="23" s="1"/>
  <c r="D50" i="23"/>
  <c r="E50" i="23" s="1"/>
  <c r="F50" i="23" s="1"/>
  <c r="W50" i="23"/>
  <c r="D66" i="23"/>
  <c r="E66" i="23" s="1"/>
  <c r="F66" i="23" s="1"/>
  <c r="W66" i="23"/>
  <c r="D82" i="23"/>
  <c r="E82" i="23" s="1"/>
  <c r="F82" i="23" s="1"/>
  <c r="W82" i="23"/>
  <c r="W98" i="23"/>
  <c r="D98" i="23"/>
  <c r="E98" i="23" s="1"/>
  <c r="F98" i="23" s="1"/>
  <c r="D114" i="23"/>
  <c r="E114" i="23" s="1"/>
  <c r="F114" i="23" s="1"/>
  <c r="W114" i="23"/>
  <c r="W130" i="23"/>
  <c r="D130" i="23"/>
  <c r="E130" i="23" s="1"/>
  <c r="F130" i="23" s="1"/>
  <c r="W146" i="23"/>
  <c r="D146" i="23"/>
  <c r="E146" i="23" s="1"/>
  <c r="F146" i="23" s="1"/>
  <c r="D162" i="23"/>
  <c r="E162" i="23" s="1"/>
  <c r="F162" i="23" s="1"/>
  <c r="W162" i="23"/>
  <c r="D178" i="23"/>
  <c r="E178" i="23" s="1"/>
  <c r="F178" i="23" s="1"/>
  <c r="W178" i="23"/>
  <c r="D189" i="23"/>
  <c r="E189" i="23" s="1"/>
  <c r="F189" i="23" s="1"/>
  <c r="W189" i="23"/>
  <c r="D197" i="23"/>
  <c r="E197" i="23" s="1"/>
  <c r="F197" i="23" s="1"/>
  <c r="W197" i="23"/>
  <c r="D205" i="23"/>
  <c r="E205" i="23" s="1"/>
  <c r="F205" i="23" s="1"/>
  <c r="W205" i="23"/>
  <c r="D213" i="23"/>
  <c r="E213" i="23" s="1"/>
  <c r="F213" i="23" s="1"/>
  <c r="W213" i="23"/>
  <c r="W221" i="23"/>
  <c r="D221" i="23"/>
  <c r="E221" i="23" s="1"/>
  <c r="F221" i="23" s="1"/>
  <c r="W229" i="23"/>
  <c r="D229" i="23"/>
  <c r="E229" i="23" s="1"/>
  <c r="F229" i="23" s="1"/>
  <c r="D237" i="23"/>
  <c r="E237" i="23" s="1"/>
  <c r="F237" i="23" s="1"/>
  <c r="W237" i="23"/>
  <c r="W245" i="23"/>
  <c r="D245" i="23"/>
  <c r="E245" i="23" s="1"/>
  <c r="F245" i="23" s="1"/>
  <c r="W253" i="23"/>
  <c r="D253" i="23"/>
  <c r="E253" i="23" s="1"/>
  <c r="F253" i="23" s="1"/>
  <c r="W261" i="23"/>
  <c r="D261" i="23"/>
  <c r="E261" i="23" s="1"/>
  <c r="F261" i="23" s="1"/>
  <c r="W269" i="23"/>
  <c r="D269" i="23"/>
  <c r="E269" i="23" s="1"/>
  <c r="F269" i="23" s="1"/>
  <c r="D277" i="23"/>
  <c r="E277" i="23" s="1"/>
  <c r="F277" i="23" s="1"/>
  <c r="W277" i="23"/>
  <c r="W285" i="23"/>
  <c r="D285" i="23"/>
  <c r="E285" i="23" s="1"/>
  <c r="F285" i="23" s="1"/>
  <c r="W293" i="23"/>
  <c r="D293" i="23"/>
  <c r="E293" i="23" s="1"/>
  <c r="F293" i="23" s="1"/>
  <c r="W301" i="23"/>
  <c r="D301" i="23"/>
  <c r="E301" i="23" s="1"/>
  <c r="F301" i="23" s="1"/>
  <c r="D309" i="23"/>
  <c r="E309" i="23" s="1"/>
  <c r="F309" i="23" s="1"/>
  <c r="W309" i="23"/>
  <c r="D317" i="23"/>
  <c r="E317" i="23" s="1"/>
  <c r="F317" i="23" s="1"/>
  <c r="W317" i="23"/>
  <c r="D325" i="23"/>
  <c r="E325" i="23" s="1"/>
  <c r="F325" i="23" s="1"/>
  <c r="W325" i="23"/>
  <c r="V333" i="23"/>
  <c r="AH54" i="7"/>
  <c r="D341" i="23"/>
  <c r="E341" i="23" s="1"/>
  <c r="F341" i="23" s="1"/>
  <c r="W341" i="23"/>
  <c r="W349" i="23"/>
  <c r="D349" i="23"/>
  <c r="E349" i="23" s="1"/>
  <c r="F349" i="23" s="1"/>
  <c r="D357" i="23"/>
  <c r="E357" i="23" s="1"/>
  <c r="F357" i="23" s="1"/>
  <c r="W357" i="23"/>
  <c r="W365" i="23"/>
  <c r="D365" i="23"/>
  <c r="E365" i="23" s="1"/>
  <c r="F365" i="23" s="1"/>
  <c r="D373" i="23"/>
  <c r="E373" i="23" s="1"/>
  <c r="F373" i="23" s="1"/>
  <c r="W373" i="23"/>
  <c r="W18" i="23"/>
  <c r="D18" i="23"/>
  <c r="E18" i="23" s="1"/>
  <c r="F18" i="23" s="1"/>
  <c r="D32" i="23"/>
  <c r="E32" i="23" s="1"/>
  <c r="F32" i="23" s="1"/>
  <c r="W32" i="23"/>
  <c r="W48" i="23"/>
  <c r="D48" i="23"/>
  <c r="E48" i="23" s="1"/>
  <c r="F48" i="23" s="1"/>
  <c r="D64" i="23"/>
  <c r="E64" i="23" s="1"/>
  <c r="F64" i="23" s="1"/>
  <c r="W64" i="23"/>
  <c r="D80" i="23"/>
  <c r="E80" i="23" s="1"/>
  <c r="F80" i="23" s="1"/>
  <c r="W80" i="23"/>
  <c r="W96" i="23"/>
  <c r="D96" i="23"/>
  <c r="E96" i="23" s="1"/>
  <c r="F96" i="23" s="1"/>
  <c r="W112" i="23"/>
  <c r="D112" i="23"/>
  <c r="E112" i="23" s="1"/>
  <c r="F112" i="23" s="1"/>
  <c r="D128" i="23"/>
  <c r="E128" i="23" s="1"/>
  <c r="F128" i="23" s="1"/>
  <c r="W128" i="23"/>
  <c r="D144" i="23"/>
  <c r="E144" i="23" s="1"/>
  <c r="F144" i="23" s="1"/>
  <c r="W144" i="23"/>
  <c r="W160" i="23"/>
  <c r="D160" i="23"/>
  <c r="E160" i="23" s="1"/>
  <c r="F160" i="23" s="1"/>
  <c r="W176" i="23"/>
  <c r="D176" i="23"/>
  <c r="E176" i="23" s="1"/>
  <c r="F176" i="23" s="1"/>
  <c r="D188" i="23"/>
  <c r="E188" i="23" s="1"/>
  <c r="F188" i="23" s="1"/>
  <c r="W188" i="23"/>
  <c r="D196" i="23"/>
  <c r="E196" i="23" s="1"/>
  <c r="F196" i="23" s="1"/>
  <c r="H196" i="23" s="1"/>
  <c r="W196" i="23"/>
  <c r="W204" i="23"/>
  <c r="D204" i="23"/>
  <c r="E204" i="23" s="1"/>
  <c r="F204" i="23" s="1"/>
  <c r="W212" i="23"/>
  <c r="D212" i="23"/>
  <c r="E212" i="23" s="1"/>
  <c r="F212" i="23" s="1"/>
  <c r="W220" i="23"/>
  <c r="D220" i="23"/>
  <c r="E220" i="23" s="1"/>
  <c r="F220" i="23" s="1"/>
  <c r="D228" i="23"/>
  <c r="E228" i="23" s="1"/>
  <c r="F228" i="23" s="1"/>
  <c r="W228" i="23"/>
  <c r="D236" i="23"/>
  <c r="E236" i="23" s="1"/>
  <c r="F236" i="23" s="1"/>
  <c r="W236" i="23"/>
  <c r="W244" i="23"/>
  <c r="D244" i="23"/>
  <c r="E244" i="23" s="1"/>
  <c r="F244" i="23" s="1"/>
  <c r="D252" i="23"/>
  <c r="E252" i="23" s="1"/>
  <c r="F252" i="23" s="1"/>
  <c r="W252" i="23"/>
  <c r="W260" i="23"/>
  <c r="D260" i="23"/>
  <c r="E260" i="23" s="1"/>
  <c r="F260" i="23" s="1"/>
  <c r="D268" i="23"/>
  <c r="E268" i="23" s="1"/>
  <c r="F268" i="23" s="1"/>
  <c r="W268" i="23"/>
  <c r="D276" i="23"/>
  <c r="E276" i="23" s="1"/>
  <c r="F276" i="23" s="1"/>
  <c r="W276" i="23"/>
  <c r="W284" i="23"/>
  <c r="D284" i="23"/>
  <c r="E284" i="23" s="1"/>
  <c r="F284" i="23" s="1"/>
  <c r="D292" i="23"/>
  <c r="E292" i="23" s="1"/>
  <c r="F292" i="23" s="1"/>
  <c r="W292" i="23"/>
  <c r="D300" i="23"/>
  <c r="E300" i="23" s="1"/>
  <c r="F300" i="23" s="1"/>
  <c r="W300" i="23"/>
  <c r="W308" i="23"/>
  <c r="D308" i="23"/>
  <c r="E308" i="23" s="1"/>
  <c r="F308" i="23" s="1"/>
  <c r="D316" i="23"/>
  <c r="E316" i="23" s="1"/>
  <c r="F316" i="23" s="1"/>
  <c r="W316" i="23"/>
  <c r="W324" i="23"/>
  <c r="D324" i="23"/>
  <c r="E324" i="23" s="1"/>
  <c r="F324" i="23" s="1"/>
  <c r="W332" i="23"/>
  <c r="D332" i="23"/>
  <c r="E332" i="23" s="1"/>
  <c r="F332" i="23" s="1"/>
  <c r="D340" i="23"/>
  <c r="E340" i="23" s="1"/>
  <c r="F340" i="23" s="1"/>
  <c r="W340" i="23"/>
  <c r="W348" i="23"/>
  <c r="D348" i="23"/>
  <c r="E348" i="23" s="1"/>
  <c r="F348" i="23" s="1"/>
  <c r="W356" i="23"/>
  <c r="D356" i="23"/>
  <c r="E356" i="23" s="1"/>
  <c r="F356" i="23" s="1"/>
  <c r="D364" i="23"/>
  <c r="E364" i="23" s="1"/>
  <c r="F364" i="23" s="1"/>
  <c r="W364" i="23"/>
  <c r="D372" i="23"/>
  <c r="E372" i="23" s="1"/>
  <c r="F372" i="23" s="1"/>
  <c r="W372" i="23"/>
  <c r="W177" i="23"/>
  <c r="D177" i="23"/>
  <c r="E177" i="23" s="1"/>
  <c r="F177" i="23" s="1"/>
  <c r="W161" i="23"/>
  <c r="D161" i="23"/>
  <c r="E161" i="23" s="1"/>
  <c r="F161" i="23" s="1"/>
  <c r="W145" i="23"/>
  <c r="D145" i="23"/>
  <c r="E145" i="23" s="1"/>
  <c r="F145" i="23" s="1"/>
  <c r="W129" i="23"/>
  <c r="D129" i="23"/>
  <c r="E129" i="23" s="1"/>
  <c r="F129" i="23" s="1"/>
  <c r="D113" i="23"/>
  <c r="E113" i="23" s="1"/>
  <c r="F113" i="23" s="1"/>
  <c r="W113" i="23"/>
  <c r="W97" i="23"/>
  <c r="D97" i="23"/>
  <c r="E97" i="23" s="1"/>
  <c r="F97" i="23" s="1"/>
  <c r="D81" i="23"/>
  <c r="E81" i="23" s="1"/>
  <c r="F81" i="23" s="1"/>
  <c r="W81" i="23"/>
  <c r="W65" i="23"/>
  <c r="D65" i="23"/>
  <c r="E65" i="23" s="1"/>
  <c r="F65" i="23" s="1"/>
  <c r="D49" i="23"/>
  <c r="E49" i="23" s="1"/>
  <c r="F49" i="23" s="1"/>
  <c r="W49" i="23"/>
  <c r="D33" i="23"/>
  <c r="E33" i="23" s="1"/>
  <c r="F33" i="23" s="1"/>
  <c r="W33" i="23"/>
  <c r="D22" i="23"/>
  <c r="E22" i="23" s="1"/>
  <c r="F22" i="23" s="1"/>
  <c r="W22" i="23"/>
  <c r="W379" i="22"/>
  <c r="B380" i="22"/>
  <c r="D379" i="22"/>
  <c r="E379" i="22" s="1"/>
  <c r="F379" i="22" s="1"/>
  <c r="AA333" i="22"/>
  <c r="Z333" i="22" s="1"/>
  <c r="Y333" i="22" s="1"/>
  <c r="H333" i="22"/>
  <c r="G333" i="22"/>
  <c r="CC333" i="6" s="1"/>
  <c r="AA88" i="22"/>
  <c r="Z88" i="22" s="1"/>
  <c r="Y88" i="22" s="1"/>
  <c r="H88" i="22"/>
  <c r="G88" i="22"/>
  <c r="CC88" i="6" s="1"/>
  <c r="H180" i="22"/>
  <c r="G180" i="22"/>
  <c r="CC180" i="6" s="1"/>
  <c r="AA180" i="22"/>
  <c r="Z180" i="22" s="1"/>
  <c r="Y180" i="22" s="1"/>
  <c r="W23" i="23"/>
  <c r="D23" i="23"/>
  <c r="E23" i="23" s="1"/>
  <c r="F23" i="23" s="1"/>
  <c r="W30" i="23"/>
  <c r="D30" i="23"/>
  <c r="E30" i="23" s="1"/>
  <c r="F30" i="23" s="1"/>
  <c r="D62" i="23"/>
  <c r="E62" i="23" s="1"/>
  <c r="F62" i="23" s="1"/>
  <c r="W62" i="23"/>
  <c r="D78" i="23"/>
  <c r="E78" i="23" s="1"/>
  <c r="F78" i="23" s="1"/>
  <c r="W78" i="23"/>
  <c r="W94" i="23"/>
  <c r="D94" i="23"/>
  <c r="E94" i="23" s="1"/>
  <c r="F94" i="23" s="1"/>
  <c r="W110" i="23"/>
  <c r="D110" i="23"/>
  <c r="E110" i="23" s="1"/>
  <c r="F110" i="23" s="1"/>
  <c r="D126" i="23"/>
  <c r="E126" i="23" s="1"/>
  <c r="F126" i="23" s="1"/>
  <c r="W126" i="23"/>
  <c r="W142" i="23"/>
  <c r="D142" i="23"/>
  <c r="E142" i="23" s="1"/>
  <c r="F142" i="23" s="1"/>
  <c r="D158" i="23"/>
  <c r="E158" i="23" s="1"/>
  <c r="F158" i="23" s="1"/>
  <c r="W158" i="23"/>
  <c r="W174" i="23"/>
  <c r="D174" i="23"/>
  <c r="E174" i="23" s="1"/>
  <c r="F174" i="23" s="1"/>
  <c r="W187" i="23"/>
  <c r="D187" i="23"/>
  <c r="E187" i="23" s="1"/>
  <c r="F187" i="23" s="1"/>
  <c r="D195" i="23"/>
  <c r="E195" i="23" s="1"/>
  <c r="F195" i="23" s="1"/>
  <c r="W195" i="23"/>
  <c r="W203" i="23"/>
  <c r="D203" i="23"/>
  <c r="E203" i="23" s="1"/>
  <c r="F203" i="23" s="1"/>
  <c r="W211" i="23"/>
  <c r="D211" i="23"/>
  <c r="E211" i="23" s="1"/>
  <c r="F211" i="23" s="1"/>
  <c r="D219" i="23"/>
  <c r="E219" i="23" s="1"/>
  <c r="F219" i="23" s="1"/>
  <c r="W219" i="23"/>
  <c r="W227" i="23"/>
  <c r="D227" i="23"/>
  <c r="E227" i="23" s="1"/>
  <c r="F227" i="23" s="1"/>
  <c r="D235" i="23"/>
  <c r="E235" i="23" s="1"/>
  <c r="F235" i="23" s="1"/>
  <c r="W235" i="23"/>
  <c r="D243" i="23"/>
  <c r="E243" i="23" s="1"/>
  <c r="F243" i="23" s="1"/>
  <c r="W243" i="23"/>
  <c r="D251" i="23"/>
  <c r="E251" i="23" s="1"/>
  <c r="F251" i="23" s="1"/>
  <c r="W251" i="23"/>
  <c r="D259" i="23"/>
  <c r="E259" i="23" s="1"/>
  <c r="F259" i="23" s="1"/>
  <c r="W259" i="23"/>
  <c r="W267" i="23"/>
  <c r="D267" i="23"/>
  <c r="E267" i="23" s="1"/>
  <c r="F267" i="23" s="1"/>
  <c r="D275" i="23"/>
  <c r="E275" i="23" s="1"/>
  <c r="F275" i="23" s="1"/>
  <c r="W275" i="23"/>
  <c r="W283" i="23"/>
  <c r="D283" i="23"/>
  <c r="E283" i="23" s="1"/>
  <c r="F283" i="23" s="1"/>
  <c r="W291" i="23"/>
  <c r="D291" i="23"/>
  <c r="E291" i="23" s="1"/>
  <c r="F291" i="23" s="1"/>
  <c r="W299" i="23"/>
  <c r="D299" i="23"/>
  <c r="E299" i="23" s="1"/>
  <c r="F299" i="23" s="1"/>
  <c r="D307" i="23"/>
  <c r="E307" i="23" s="1"/>
  <c r="F307" i="23" s="1"/>
  <c r="W307" i="23"/>
  <c r="W315" i="23"/>
  <c r="D315" i="23"/>
  <c r="E315" i="23" s="1"/>
  <c r="F315" i="23" s="1"/>
  <c r="D323" i="23"/>
  <c r="E323" i="23" s="1"/>
  <c r="F323" i="23" s="1"/>
  <c r="W323" i="23"/>
  <c r="D331" i="23"/>
  <c r="E331" i="23" s="1"/>
  <c r="F331" i="23" s="1"/>
  <c r="W331" i="23"/>
  <c r="D339" i="23"/>
  <c r="E339" i="23" s="1"/>
  <c r="F339" i="23" s="1"/>
  <c r="W339" i="23"/>
  <c r="D347" i="23"/>
  <c r="E347" i="23" s="1"/>
  <c r="F347" i="23" s="1"/>
  <c r="W347" i="23"/>
  <c r="W355" i="23"/>
  <c r="D355" i="23"/>
  <c r="E355" i="23" s="1"/>
  <c r="F355" i="23" s="1"/>
  <c r="AH55" i="7"/>
  <c r="V363" i="23"/>
  <c r="W371" i="23"/>
  <c r="D371" i="23"/>
  <c r="E371" i="23" s="1"/>
  <c r="F371" i="23" s="1"/>
  <c r="T379" i="23"/>
  <c r="S379" i="23" s="1"/>
  <c r="R379" i="23" s="1"/>
  <c r="P379" i="23" s="1"/>
  <c r="U12" i="24"/>
  <c r="AT16" i="7"/>
  <c r="AZ11" i="7" s="1"/>
  <c r="U11" i="24" s="1"/>
  <c r="D28" i="23"/>
  <c r="E28" i="23" s="1"/>
  <c r="F28" i="23" s="1"/>
  <c r="W28" i="23"/>
  <c r="W44" i="23"/>
  <c r="D44" i="23"/>
  <c r="E44" i="23" s="1"/>
  <c r="F44" i="23" s="1"/>
  <c r="AH45" i="7"/>
  <c r="V60" i="23"/>
  <c r="D76" i="23"/>
  <c r="E76" i="23" s="1"/>
  <c r="F76" i="23" s="1"/>
  <c r="W76" i="23"/>
  <c r="D92" i="23"/>
  <c r="E92" i="23" s="1"/>
  <c r="F92" i="23" s="1"/>
  <c r="W92" i="23"/>
  <c r="W108" i="23"/>
  <c r="D108" i="23"/>
  <c r="E108" i="23" s="1"/>
  <c r="F108" i="23" s="1"/>
  <c r="D124" i="23"/>
  <c r="E124" i="23" s="1"/>
  <c r="F124" i="23" s="1"/>
  <c r="W124" i="23"/>
  <c r="W140" i="23"/>
  <c r="D140" i="23"/>
  <c r="E140" i="23" s="1"/>
  <c r="F140" i="23" s="1"/>
  <c r="W156" i="23"/>
  <c r="D156" i="23"/>
  <c r="E156" i="23" s="1"/>
  <c r="F156" i="23" s="1"/>
  <c r="W172" i="23"/>
  <c r="D172" i="23"/>
  <c r="E172" i="23" s="1"/>
  <c r="F172" i="23" s="1"/>
  <c r="W186" i="23"/>
  <c r="D186" i="23"/>
  <c r="E186" i="23" s="1"/>
  <c r="F186" i="23" s="1"/>
  <c r="W194" i="23"/>
  <c r="D194" i="23"/>
  <c r="E194" i="23" s="1"/>
  <c r="F194" i="23" s="1"/>
  <c r="D202" i="23"/>
  <c r="E202" i="23" s="1"/>
  <c r="F202" i="23" s="1"/>
  <c r="W202" i="23"/>
  <c r="V210" i="23"/>
  <c r="AH50" i="7"/>
  <c r="W218" i="23"/>
  <c r="D218" i="23"/>
  <c r="E218" i="23" s="1"/>
  <c r="F218" i="23" s="1"/>
  <c r="D226" i="23"/>
  <c r="E226" i="23" s="1"/>
  <c r="F226" i="23" s="1"/>
  <c r="W226" i="23"/>
  <c r="D234" i="23"/>
  <c r="E234" i="23" s="1"/>
  <c r="F234" i="23" s="1"/>
  <c r="W234" i="23"/>
  <c r="D242" i="23"/>
  <c r="E242" i="23" s="1"/>
  <c r="F242" i="23" s="1"/>
  <c r="W242" i="23"/>
  <c r="D250" i="23"/>
  <c r="E250" i="23" s="1"/>
  <c r="F250" i="23" s="1"/>
  <c r="W250" i="23"/>
  <c r="W266" i="23"/>
  <c r="D266" i="23"/>
  <c r="E266" i="23" s="1"/>
  <c r="F266" i="23" s="1"/>
  <c r="W274" i="23"/>
  <c r="D274" i="23"/>
  <c r="E274" i="23" s="1"/>
  <c r="F274" i="23" s="1"/>
  <c r="W282" i="23"/>
  <c r="D282" i="23"/>
  <c r="E282" i="23" s="1"/>
  <c r="F282" i="23" s="1"/>
  <c r="W290" i="23"/>
  <c r="D290" i="23"/>
  <c r="E290" i="23" s="1"/>
  <c r="F290" i="23" s="1"/>
  <c r="D298" i="23"/>
  <c r="E298" i="23" s="1"/>
  <c r="F298" i="23" s="1"/>
  <c r="W298" i="23"/>
  <c r="D306" i="23"/>
  <c r="E306" i="23" s="1"/>
  <c r="F306" i="23" s="1"/>
  <c r="W306" i="23"/>
  <c r="W314" i="23"/>
  <c r="D314" i="23"/>
  <c r="E314" i="23" s="1"/>
  <c r="F314" i="23" s="1"/>
  <c r="D322" i="23"/>
  <c r="E322" i="23" s="1"/>
  <c r="F322" i="23" s="1"/>
  <c r="W322" i="23"/>
  <c r="D330" i="23"/>
  <c r="E330" i="23" s="1"/>
  <c r="F330" i="23" s="1"/>
  <c r="W330" i="23"/>
  <c r="W338" i="23"/>
  <c r="D338" i="23"/>
  <c r="E338" i="23" s="1"/>
  <c r="F338" i="23" s="1"/>
  <c r="D346" i="23"/>
  <c r="E346" i="23" s="1"/>
  <c r="F346" i="23" s="1"/>
  <c r="W346" i="23"/>
  <c r="W354" i="23"/>
  <c r="D354" i="23"/>
  <c r="E354" i="23" s="1"/>
  <c r="F354" i="23" s="1"/>
  <c r="W362" i="23"/>
  <c r="D362" i="23"/>
  <c r="E362" i="23" s="1"/>
  <c r="F362" i="23" s="1"/>
  <c r="W370" i="23"/>
  <c r="D370" i="23"/>
  <c r="E370" i="23" s="1"/>
  <c r="F370" i="23" s="1"/>
  <c r="W378" i="23"/>
  <c r="D378" i="23"/>
  <c r="E378" i="23" s="1"/>
  <c r="F378" i="23" s="1"/>
  <c r="H302" i="22"/>
  <c r="G302" i="22"/>
  <c r="CC302" i="6" s="1"/>
  <c r="AA302" i="22"/>
  <c r="Z302" i="22" s="1"/>
  <c r="Y302" i="22" s="1"/>
  <c r="W173" i="23"/>
  <c r="D173" i="23"/>
  <c r="E173" i="23" s="1"/>
  <c r="F173" i="23" s="1"/>
  <c r="D157" i="23"/>
  <c r="E157" i="23" s="1"/>
  <c r="F157" i="23" s="1"/>
  <c r="W157" i="23"/>
  <c r="D141" i="23"/>
  <c r="E141" i="23" s="1"/>
  <c r="F141" i="23" s="1"/>
  <c r="W141" i="23"/>
  <c r="W125" i="23"/>
  <c r="D125" i="23"/>
  <c r="E125" i="23" s="1"/>
  <c r="F125" i="23" s="1"/>
  <c r="W109" i="23"/>
  <c r="D109" i="23"/>
  <c r="E109" i="23" s="1"/>
  <c r="F109" i="23" s="1"/>
  <c r="D93" i="23"/>
  <c r="E93" i="23" s="1"/>
  <c r="F93" i="23" s="1"/>
  <c r="W93" i="23"/>
  <c r="D77" i="23"/>
  <c r="E77" i="23" s="1"/>
  <c r="F77" i="23" s="1"/>
  <c r="W77" i="23"/>
  <c r="W61" i="23"/>
  <c r="D61" i="23"/>
  <c r="E61" i="23" s="1"/>
  <c r="F61" i="23" s="1"/>
  <c r="W45" i="23"/>
  <c r="D45" i="23"/>
  <c r="E45" i="23" s="1"/>
  <c r="F45" i="23" s="1"/>
  <c r="V29" i="23"/>
  <c r="AH44" i="7"/>
  <c r="G60" i="22"/>
  <c r="CC60" i="6" s="1"/>
  <c r="H60" i="22"/>
  <c r="AA60" i="22"/>
  <c r="Z60" i="22" s="1"/>
  <c r="Y60" i="22" s="1"/>
  <c r="R382" i="22"/>
  <c r="P15" i="22"/>
  <c r="R381" i="22"/>
  <c r="R383" i="22"/>
  <c r="AF382" i="22"/>
  <c r="AD15" i="22"/>
  <c r="AF381" i="22"/>
  <c r="AF383" i="22"/>
  <c r="D183" i="23"/>
  <c r="E183" i="23" s="1"/>
  <c r="F183" i="23" s="1"/>
  <c r="W183" i="23"/>
  <c r="D167" i="23"/>
  <c r="E167" i="23" s="1"/>
  <c r="F167" i="23" s="1"/>
  <c r="W167" i="23"/>
  <c r="D151" i="23"/>
  <c r="E151" i="23" s="1"/>
  <c r="F151" i="23" s="1"/>
  <c r="W151" i="23"/>
  <c r="D115" i="23"/>
  <c r="E115" i="23" s="1"/>
  <c r="F115" i="23" s="1"/>
  <c r="W115" i="23"/>
  <c r="W99" i="23"/>
  <c r="D99" i="23"/>
  <c r="E99" i="23" s="1"/>
  <c r="F99" i="23" s="1"/>
  <c r="W83" i="23"/>
  <c r="D83" i="23"/>
  <c r="E83" i="23" s="1"/>
  <c r="F83" i="23" s="1"/>
  <c r="W67" i="23"/>
  <c r="D67" i="23"/>
  <c r="E67" i="23" s="1"/>
  <c r="F67" i="23" s="1"/>
  <c r="W51" i="23"/>
  <c r="D51" i="23"/>
  <c r="E51" i="23" s="1"/>
  <c r="F51" i="23" s="1"/>
  <c r="D35" i="23"/>
  <c r="E35" i="23" s="1"/>
  <c r="F35" i="23" s="1"/>
  <c r="W35" i="23"/>
  <c r="W21" i="23"/>
  <c r="D21" i="23"/>
  <c r="E21" i="23" s="1"/>
  <c r="F21" i="23" s="1"/>
  <c r="D171" i="23"/>
  <c r="E171" i="23" s="1"/>
  <c r="F171" i="23" s="1"/>
  <c r="W171" i="23"/>
  <c r="W155" i="23"/>
  <c r="D155" i="23"/>
  <c r="E155" i="23" s="1"/>
  <c r="F155" i="23" s="1"/>
  <c r="D139" i="23"/>
  <c r="E139" i="23" s="1"/>
  <c r="F139" i="23" s="1"/>
  <c r="W139" i="23"/>
  <c r="W127" i="23"/>
  <c r="D127" i="23"/>
  <c r="E127" i="23" s="1"/>
  <c r="F127" i="23" s="1"/>
  <c r="W111" i="23"/>
  <c r="D111" i="23"/>
  <c r="E111" i="23" s="1"/>
  <c r="F111" i="23" s="1"/>
  <c r="D95" i="23"/>
  <c r="E95" i="23" s="1"/>
  <c r="F95" i="23" s="1"/>
  <c r="W95" i="23"/>
  <c r="D79" i="23"/>
  <c r="E79" i="23" s="1"/>
  <c r="F79" i="23" s="1"/>
  <c r="W79" i="23"/>
  <c r="W63" i="23"/>
  <c r="D63" i="23"/>
  <c r="E63" i="23" s="1"/>
  <c r="F63" i="23" s="1"/>
  <c r="D47" i="23"/>
  <c r="E47" i="23" s="1"/>
  <c r="F47" i="23" s="1"/>
  <c r="W47" i="23"/>
  <c r="W31" i="23"/>
  <c r="D31" i="23"/>
  <c r="E31" i="23" s="1"/>
  <c r="F31" i="23" s="1"/>
  <c r="Z11" i="17"/>
  <c r="Z5" i="17" s="1"/>
  <c r="H14" i="19" s="1"/>
  <c r="AA11" i="17"/>
  <c r="AA5" i="17" s="1"/>
  <c r="I14" i="19" s="1"/>
  <c r="Y11" i="17"/>
  <c r="J14" i="19"/>
  <c r="AE108" i="25"/>
  <c r="AE116" i="25"/>
  <c r="AE124" i="25"/>
  <c r="AE132" i="25"/>
  <c r="AE140" i="25"/>
  <c r="AE148" i="25"/>
  <c r="AE156" i="25"/>
  <c r="AE164" i="25"/>
  <c r="AE172" i="25"/>
  <c r="AE180" i="25"/>
  <c r="AE188" i="25"/>
  <c r="AE196" i="25"/>
  <c r="AE204" i="25"/>
  <c r="AE212" i="25"/>
  <c r="AE220" i="25"/>
  <c r="AE228" i="25"/>
  <c r="AE236" i="25"/>
  <c r="AE244" i="25"/>
  <c r="AE252" i="25"/>
  <c r="AE260" i="25"/>
  <c r="AE268" i="25"/>
  <c r="AE276" i="25"/>
  <c r="AE284" i="25"/>
  <c r="AE292" i="25"/>
  <c r="AE300" i="25"/>
  <c r="AE308" i="25"/>
  <c r="AE316" i="25"/>
  <c r="AE324" i="25"/>
  <c r="AE332" i="25"/>
  <c r="AE340" i="25"/>
  <c r="AE348" i="25"/>
  <c r="AE356" i="25"/>
  <c r="AE364" i="25"/>
  <c r="AE372" i="25"/>
  <c r="AE111" i="25"/>
  <c r="AE127" i="25"/>
  <c r="AE143" i="25"/>
  <c r="AE159" i="25"/>
  <c r="AE175" i="25"/>
  <c r="AE191" i="25"/>
  <c r="AE207" i="25"/>
  <c r="AE223" i="25"/>
  <c r="AE239" i="25"/>
  <c r="AE255" i="25"/>
  <c r="AE271" i="25"/>
  <c r="AE287" i="25"/>
  <c r="AE303" i="25"/>
  <c r="AE319" i="25"/>
  <c r="AE335" i="25"/>
  <c r="AE351" i="25"/>
  <c r="AE377" i="25"/>
  <c r="AE373" i="25"/>
  <c r="AE369" i="25"/>
  <c r="AE365" i="25"/>
  <c r="AE361" i="25"/>
  <c r="AE357" i="25"/>
  <c r="AE353" i="25"/>
  <c r="AE349" i="25"/>
  <c r="AE345" i="25"/>
  <c r="AE341" i="25"/>
  <c r="AE337" i="25"/>
  <c r="AE333" i="25"/>
  <c r="AE329" i="25"/>
  <c r="AE325" i="25"/>
  <c r="AE321" i="25"/>
  <c r="AE317" i="25"/>
  <c r="AE313" i="25"/>
  <c r="AE309" i="25"/>
  <c r="AE305" i="25"/>
  <c r="AE301" i="25"/>
  <c r="AE297" i="25"/>
  <c r="AE293" i="25"/>
  <c r="AE289" i="25"/>
  <c r="AE285" i="25"/>
  <c r="AE281" i="25"/>
  <c r="AE277" i="25"/>
  <c r="AE273" i="25"/>
  <c r="AE269" i="25"/>
  <c r="AE265" i="25"/>
  <c r="AE261" i="25"/>
  <c r="AE257" i="25"/>
  <c r="AE253" i="25"/>
  <c r="AE249" i="25"/>
  <c r="AE245" i="25"/>
  <c r="AE241" i="25"/>
  <c r="AE237" i="25"/>
  <c r="AE233" i="25"/>
  <c r="AE229" i="25"/>
  <c r="AE225" i="25"/>
  <c r="AE221" i="25"/>
  <c r="AE217" i="25"/>
  <c r="AE213" i="25"/>
  <c r="AE209" i="25"/>
  <c r="AE205" i="25"/>
  <c r="AE201" i="25"/>
  <c r="AE197" i="25"/>
  <c r="AE193" i="25"/>
  <c r="AE189" i="25"/>
  <c r="AE185" i="25"/>
  <c r="AE181" i="25"/>
  <c r="AE177" i="25"/>
  <c r="AE173" i="25"/>
  <c r="AE169" i="25"/>
  <c r="AE165" i="25"/>
  <c r="AE161" i="25"/>
  <c r="AE157" i="25"/>
  <c r="AE153" i="25"/>
  <c r="AE149" i="25"/>
  <c r="AE145" i="25"/>
  <c r="AE141" i="25"/>
  <c r="AE137" i="25"/>
  <c r="AE133" i="25"/>
  <c r="AE129" i="25"/>
  <c r="AE125" i="25"/>
  <c r="AE121" i="25"/>
  <c r="AE117" i="25"/>
  <c r="AE113" i="25"/>
  <c r="AE109" i="25"/>
  <c r="AE105" i="25"/>
  <c r="AE106" i="25"/>
  <c r="AE110" i="25"/>
  <c r="AE114" i="25"/>
  <c r="AE118" i="25"/>
  <c r="AE122" i="25"/>
  <c r="AE126" i="25"/>
  <c r="AE130" i="25"/>
  <c r="AE134" i="25"/>
  <c r="AE138" i="25"/>
  <c r="AE142" i="25"/>
  <c r="AE146" i="25"/>
  <c r="AE150" i="25"/>
  <c r="AE154" i="25"/>
  <c r="AE158" i="25"/>
  <c r="AE162" i="25"/>
  <c r="AE166" i="25"/>
  <c r="AE170" i="25"/>
  <c r="AE174" i="25"/>
  <c r="AE178" i="25"/>
  <c r="AE182" i="25"/>
  <c r="AE186" i="25"/>
  <c r="AE190" i="25"/>
  <c r="AE194" i="25"/>
  <c r="AE198" i="25"/>
  <c r="AE202" i="25"/>
  <c r="AE206" i="25"/>
  <c r="AE210" i="25"/>
  <c r="AE214" i="25"/>
  <c r="AE218" i="25"/>
  <c r="AE222" i="25"/>
  <c r="AE226" i="25"/>
  <c r="AE230" i="25"/>
  <c r="AE234" i="25"/>
  <c r="AE238" i="25"/>
  <c r="AE242" i="25"/>
  <c r="AE246" i="25"/>
  <c r="AE250" i="25"/>
  <c r="AE254" i="25"/>
  <c r="AE258" i="25"/>
  <c r="AE262" i="25"/>
  <c r="AE266" i="25"/>
  <c r="AE270" i="25"/>
  <c r="AE274" i="25"/>
  <c r="AE278" i="25"/>
  <c r="AE282" i="25"/>
  <c r="AE286" i="25"/>
  <c r="AE290" i="25"/>
  <c r="AE294" i="25"/>
  <c r="AE298" i="25"/>
  <c r="AE302" i="25"/>
  <c r="AE306" i="25"/>
  <c r="AE310" i="25"/>
  <c r="AE314" i="25"/>
  <c r="AE318" i="25"/>
  <c r="AE322" i="25"/>
  <c r="AE326" i="25"/>
  <c r="AE330" i="25"/>
  <c r="AE334" i="25"/>
  <c r="AE338" i="25"/>
  <c r="AE342" i="25"/>
  <c r="AE346" i="25"/>
  <c r="AE350" i="25"/>
  <c r="AE354" i="25"/>
  <c r="AE358" i="25"/>
  <c r="AE362" i="25"/>
  <c r="AE366" i="25"/>
  <c r="AE370" i="25"/>
  <c r="AE374" i="25"/>
  <c r="AE378" i="25"/>
  <c r="AE107" i="25"/>
  <c r="AE115" i="25"/>
  <c r="AE123" i="25"/>
  <c r="AE131" i="25"/>
  <c r="AE139" i="25"/>
  <c r="AE147" i="25"/>
  <c r="AE155" i="25"/>
  <c r="AE163" i="25"/>
  <c r="AE171" i="25"/>
  <c r="AE179" i="25"/>
  <c r="AE187" i="25"/>
  <c r="AE195" i="25"/>
  <c r="AE203" i="25"/>
  <c r="AE211" i="25"/>
  <c r="AE219" i="25"/>
  <c r="AE227" i="25"/>
  <c r="AE235" i="25"/>
  <c r="AE243" i="25"/>
  <c r="AE251" i="25"/>
  <c r="AE259" i="25"/>
  <c r="AE267" i="25"/>
  <c r="AE275" i="25"/>
  <c r="AE283" i="25"/>
  <c r="AE291" i="25"/>
  <c r="AE299" i="25"/>
  <c r="AE307" i="25"/>
  <c r="AE315" i="25"/>
  <c r="AE323" i="25"/>
  <c r="AE331" i="25"/>
  <c r="AE339" i="25"/>
  <c r="AE347" i="25"/>
  <c r="AE355" i="25"/>
  <c r="AE363" i="25"/>
  <c r="AE371" i="25"/>
  <c r="AE379" i="25"/>
  <c r="BF15" i="7"/>
  <c r="AK7" i="20"/>
  <c r="AJ9" i="20"/>
  <c r="AJ11" i="20" s="1"/>
  <c r="AG104" i="23"/>
  <c r="AH381" i="23"/>
  <c r="AH383" i="23"/>
  <c r="AH382" i="23"/>
  <c r="H258" i="23"/>
  <c r="J258" i="23" s="1"/>
  <c r="Q382" i="25"/>
  <c r="Q383" i="25"/>
  <c r="Q381" i="25"/>
  <c r="AM7" i="18"/>
  <c r="F15" i="20"/>
  <c r="J15" i="18"/>
  <c r="I15" i="18"/>
  <c r="Z15" i="18"/>
  <c r="AA166" i="23"/>
  <c r="Z166" i="23" s="1"/>
  <c r="Y166" i="23" s="1"/>
  <c r="H166" i="23"/>
  <c r="G166" i="23"/>
  <c r="CD166" i="6" s="1"/>
  <c r="AA46" i="23"/>
  <c r="Z46" i="23" s="1"/>
  <c r="Y46" i="23" s="1"/>
  <c r="G258" i="23"/>
  <c r="CD258" i="6" s="1"/>
  <c r="AA258" i="23"/>
  <c r="Z258" i="23" s="1"/>
  <c r="Y258" i="23" s="1"/>
  <c r="AD15" i="23"/>
  <c r="AA319" i="23"/>
  <c r="Z319" i="23" s="1"/>
  <c r="Y319" i="23" s="1"/>
  <c r="H319" i="23"/>
  <c r="G319" i="23"/>
  <c r="CD319" i="6" s="1"/>
  <c r="AE383" i="25" l="1"/>
  <c r="H38" i="19"/>
  <c r="J105" i="23"/>
  <c r="I38" i="19"/>
  <c r="U10" i="24"/>
  <c r="AI114" i="24" s="1"/>
  <c r="AH114" i="24" s="1"/>
  <c r="AG114" i="24" s="1"/>
  <c r="AF114" i="24" s="1"/>
  <c r="AD114" i="24" s="1"/>
  <c r="H46" i="23"/>
  <c r="I46" i="23" s="1"/>
  <c r="H135" i="23"/>
  <c r="J135" i="23" s="1"/>
  <c r="G135" i="23"/>
  <c r="CD135" i="6" s="1"/>
  <c r="AI106" i="24"/>
  <c r="AH106" i="24" s="1"/>
  <c r="AG106" i="24" s="1"/>
  <c r="AF106" i="24" s="1"/>
  <c r="AD106" i="24" s="1"/>
  <c r="I196" i="23"/>
  <c r="J196" i="23"/>
  <c r="AA47" i="23"/>
  <c r="Z47" i="23" s="1"/>
  <c r="Y47" i="23" s="1"/>
  <c r="G47" i="23"/>
  <c r="CD47" i="6" s="1"/>
  <c r="H47" i="23"/>
  <c r="H79" i="23"/>
  <c r="AA79" i="23"/>
  <c r="Z79" i="23" s="1"/>
  <c r="Y79" i="23" s="1"/>
  <c r="G79" i="23"/>
  <c r="CD79" i="6" s="1"/>
  <c r="AA95" i="23"/>
  <c r="Z95" i="23" s="1"/>
  <c r="Y95" i="23" s="1"/>
  <c r="G95" i="23"/>
  <c r="CD95" i="6" s="1"/>
  <c r="H95" i="23"/>
  <c r="G139" i="23"/>
  <c r="CD139" i="6" s="1"/>
  <c r="AA139" i="23"/>
  <c r="Z139" i="23" s="1"/>
  <c r="Y139" i="23" s="1"/>
  <c r="H139" i="23"/>
  <c r="G171" i="23"/>
  <c r="CD171" i="6" s="1"/>
  <c r="AA171" i="23"/>
  <c r="Z171" i="23" s="1"/>
  <c r="Y171" i="23" s="1"/>
  <c r="H171" i="23"/>
  <c r="G35" i="23"/>
  <c r="CD35" i="6" s="1"/>
  <c r="AA35" i="23"/>
  <c r="Z35" i="23" s="1"/>
  <c r="Y35" i="23" s="1"/>
  <c r="H35" i="23"/>
  <c r="AA115" i="23"/>
  <c r="Z115" i="23" s="1"/>
  <c r="Y115" i="23" s="1"/>
  <c r="H115" i="23"/>
  <c r="G115" i="23"/>
  <c r="CD115" i="6" s="1"/>
  <c r="G151" i="23"/>
  <c r="CD151" i="6" s="1"/>
  <c r="AA151" i="23"/>
  <c r="Z151" i="23" s="1"/>
  <c r="Y151" i="23" s="1"/>
  <c r="H151" i="23"/>
  <c r="H167" i="23"/>
  <c r="G167" i="23"/>
  <c r="CD167" i="6" s="1"/>
  <c r="AA167" i="23"/>
  <c r="Z167" i="23" s="1"/>
  <c r="Y167" i="23" s="1"/>
  <c r="H183" i="23"/>
  <c r="G183" i="23"/>
  <c r="CD183" i="6" s="1"/>
  <c r="AA183" i="23"/>
  <c r="Z183" i="23" s="1"/>
  <c r="Y183" i="23" s="1"/>
  <c r="I60" i="22"/>
  <c r="J60" i="22"/>
  <c r="AA45" i="23"/>
  <c r="Z45" i="23" s="1"/>
  <c r="Y45" i="23" s="1"/>
  <c r="G45" i="23"/>
  <c r="CD45" i="6" s="1"/>
  <c r="H45" i="23"/>
  <c r="AA61" i="23"/>
  <c r="Z61" i="23" s="1"/>
  <c r="Y61" i="23" s="1"/>
  <c r="G61" i="23"/>
  <c r="CD61" i="6" s="1"/>
  <c r="H61" i="23"/>
  <c r="G109" i="23"/>
  <c r="CD109" i="6" s="1"/>
  <c r="AA109" i="23"/>
  <c r="Z109" i="23" s="1"/>
  <c r="Y109" i="23" s="1"/>
  <c r="H109" i="23"/>
  <c r="H125" i="23"/>
  <c r="G125" i="23"/>
  <c r="CD125" i="6" s="1"/>
  <c r="AA125" i="23"/>
  <c r="Z125" i="23" s="1"/>
  <c r="Y125" i="23" s="1"/>
  <c r="G173" i="23"/>
  <c r="CD173" i="6" s="1"/>
  <c r="H173" i="23"/>
  <c r="AA173" i="23"/>
  <c r="Z173" i="23" s="1"/>
  <c r="Y173" i="23" s="1"/>
  <c r="I302" i="22"/>
  <c r="J302" i="22"/>
  <c r="G346" i="23"/>
  <c r="CD346" i="6" s="1"/>
  <c r="AA346" i="23"/>
  <c r="Z346" i="23" s="1"/>
  <c r="Y346" i="23" s="1"/>
  <c r="H346" i="23"/>
  <c r="G330" i="23"/>
  <c r="CD330" i="6" s="1"/>
  <c r="H330" i="23"/>
  <c r="AA330" i="23"/>
  <c r="Z330" i="23" s="1"/>
  <c r="Y330" i="23" s="1"/>
  <c r="H322" i="23"/>
  <c r="G322" i="23"/>
  <c r="CD322" i="6" s="1"/>
  <c r="AA322" i="23"/>
  <c r="Z322" i="23" s="1"/>
  <c r="Y322" i="23" s="1"/>
  <c r="G306" i="23"/>
  <c r="CD306" i="6" s="1"/>
  <c r="H306" i="23"/>
  <c r="AA306" i="23"/>
  <c r="Z306" i="23" s="1"/>
  <c r="Y306" i="23" s="1"/>
  <c r="H298" i="23"/>
  <c r="AA298" i="23"/>
  <c r="Z298" i="23" s="1"/>
  <c r="Y298" i="23" s="1"/>
  <c r="G298" i="23"/>
  <c r="CD298" i="6" s="1"/>
  <c r="AA250" i="23"/>
  <c r="Z250" i="23" s="1"/>
  <c r="Y250" i="23" s="1"/>
  <c r="G250" i="23"/>
  <c r="CD250" i="6" s="1"/>
  <c r="H250" i="23"/>
  <c r="G242" i="23"/>
  <c r="CD242" i="6" s="1"/>
  <c r="AA242" i="23"/>
  <c r="Z242" i="23" s="1"/>
  <c r="Y242" i="23" s="1"/>
  <c r="H242" i="23"/>
  <c r="AA234" i="23"/>
  <c r="Z234" i="23" s="1"/>
  <c r="Y234" i="23" s="1"/>
  <c r="G234" i="23"/>
  <c r="CD234" i="6" s="1"/>
  <c r="H234" i="23"/>
  <c r="AA226" i="23"/>
  <c r="Z226" i="23" s="1"/>
  <c r="Y226" i="23" s="1"/>
  <c r="H226" i="23"/>
  <c r="G226" i="23"/>
  <c r="CD226" i="6" s="1"/>
  <c r="H68" i="19"/>
  <c r="G202" i="23"/>
  <c r="CD202" i="6" s="1"/>
  <c r="H202" i="23"/>
  <c r="AA202" i="23"/>
  <c r="Z202" i="23" s="1"/>
  <c r="Y202" i="23" s="1"/>
  <c r="G124" i="23"/>
  <c r="CD124" i="6" s="1"/>
  <c r="H124" i="23"/>
  <c r="AA124" i="23"/>
  <c r="Z124" i="23" s="1"/>
  <c r="Y124" i="23" s="1"/>
  <c r="G92" i="23"/>
  <c r="CD92" i="6" s="1"/>
  <c r="AA92" i="23"/>
  <c r="Z92" i="23" s="1"/>
  <c r="Y92" i="23" s="1"/>
  <c r="H92" i="23"/>
  <c r="G76" i="23"/>
  <c r="CD76" i="6" s="1"/>
  <c r="AA76" i="23"/>
  <c r="Z76" i="23" s="1"/>
  <c r="Y76" i="23" s="1"/>
  <c r="H76" i="23"/>
  <c r="H28" i="23"/>
  <c r="G28" i="23"/>
  <c r="CD28" i="6" s="1"/>
  <c r="AA28" i="23"/>
  <c r="Z28" i="23" s="1"/>
  <c r="Y28" i="23" s="1"/>
  <c r="AY16" i="7"/>
  <c r="U145" i="24"/>
  <c r="T145" i="24" s="1"/>
  <c r="S145" i="24" s="1"/>
  <c r="R145" i="24" s="1"/>
  <c r="P145" i="24" s="1"/>
  <c r="V145" i="24" s="1"/>
  <c r="U226" i="24"/>
  <c r="T226" i="24" s="1"/>
  <c r="S226" i="24" s="1"/>
  <c r="R226" i="24" s="1"/>
  <c r="P226" i="24" s="1"/>
  <c r="V226" i="24" s="1"/>
  <c r="U290" i="24"/>
  <c r="T290" i="24" s="1"/>
  <c r="S290" i="24" s="1"/>
  <c r="R290" i="24" s="1"/>
  <c r="P290" i="24" s="1"/>
  <c r="V290" i="24" s="1"/>
  <c r="U354" i="24"/>
  <c r="T354" i="24" s="1"/>
  <c r="S354" i="24" s="1"/>
  <c r="R354" i="24" s="1"/>
  <c r="P354" i="24" s="1"/>
  <c r="V354" i="24" s="1"/>
  <c r="U89" i="24"/>
  <c r="T89" i="24" s="1"/>
  <c r="S89" i="24" s="1"/>
  <c r="R89" i="24" s="1"/>
  <c r="P89" i="24" s="1"/>
  <c r="V89" i="24" s="1"/>
  <c r="U198" i="24"/>
  <c r="T198" i="24" s="1"/>
  <c r="S198" i="24" s="1"/>
  <c r="R198" i="24" s="1"/>
  <c r="P198" i="24" s="1"/>
  <c r="V198" i="24" s="1"/>
  <c r="U262" i="24"/>
  <c r="T262" i="24" s="1"/>
  <c r="S262" i="24" s="1"/>
  <c r="R262" i="24" s="1"/>
  <c r="P262" i="24" s="1"/>
  <c r="V262" i="24" s="1"/>
  <c r="U326" i="24"/>
  <c r="T326" i="24" s="1"/>
  <c r="S326" i="24" s="1"/>
  <c r="R326" i="24" s="1"/>
  <c r="P326" i="24" s="1"/>
  <c r="V326" i="24" s="1"/>
  <c r="U364" i="24"/>
  <c r="T364" i="24" s="1"/>
  <c r="S364" i="24" s="1"/>
  <c r="R364" i="24" s="1"/>
  <c r="P364" i="24" s="1"/>
  <c r="V364" i="24" s="1"/>
  <c r="U300" i="24"/>
  <c r="T300" i="24" s="1"/>
  <c r="S300" i="24" s="1"/>
  <c r="R300" i="24" s="1"/>
  <c r="P300" i="24" s="1"/>
  <c r="V300" i="24" s="1"/>
  <c r="U236" i="24"/>
  <c r="T236" i="24" s="1"/>
  <c r="S236" i="24" s="1"/>
  <c r="R236" i="24" s="1"/>
  <c r="P236" i="24" s="1"/>
  <c r="V236" i="24" s="1"/>
  <c r="U165" i="24"/>
  <c r="T165" i="24" s="1"/>
  <c r="S165" i="24" s="1"/>
  <c r="R165" i="24" s="1"/>
  <c r="P165" i="24" s="1"/>
  <c r="V165" i="24" s="1"/>
  <c r="U37" i="24"/>
  <c r="T37" i="24" s="1"/>
  <c r="S37" i="24" s="1"/>
  <c r="R37" i="24" s="1"/>
  <c r="P37" i="24" s="1"/>
  <c r="V37" i="24" s="1"/>
  <c r="U42" i="24"/>
  <c r="T42" i="24" s="1"/>
  <c r="S42" i="24" s="1"/>
  <c r="R42" i="24" s="1"/>
  <c r="P42" i="24" s="1"/>
  <c r="V42" i="24" s="1"/>
  <c r="U74" i="24"/>
  <c r="T74" i="24" s="1"/>
  <c r="S74" i="24" s="1"/>
  <c r="R74" i="24" s="1"/>
  <c r="P74" i="24" s="1"/>
  <c r="V74" i="24" s="1"/>
  <c r="W74" i="24" s="1"/>
  <c r="U106" i="24"/>
  <c r="T106" i="24" s="1"/>
  <c r="S106" i="24" s="1"/>
  <c r="R106" i="24" s="1"/>
  <c r="P106" i="24" s="1"/>
  <c r="V106" i="24" s="1"/>
  <c r="U138" i="24"/>
  <c r="T138" i="24" s="1"/>
  <c r="S138" i="24" s="1"/>
  <c r="R138" i="24" s="1"/>
  <c r="P138" i="24" s="1"/>
  <c r="V138" i="24" s="1"/>
  <c r="U170" i="24"/>
  <c r="T170" i="24" s="1"/>
  <c r="S170" i="24" s="1"/>
  <c r="R170" i="24" s="1"/>
  <c r="P170" i="24" s="1"/>
  <c r="V170" i="24" s="1"/>
  <c r="U357" i="24"/>
  <c r="T357" i="24" s="1"/>
  <c r="S357" i="24" s="1"/>
  <c r="R357" i="24" s="1"/>
  <c r="P357" i="24" s="1"/>
  <c r="V357" i="24" s="1"/>
  <c r="U325" i="24"/>
  <c r="T325" i="24" s="1"/>
  <c r="S325" i="24" s="1"/>
  <c r="R325" i="24" s="1"/>
  <c r="P325" i="24" s="1"/>
  <c r="V325" i="24" s="1"/>
  <c r="U297" i="24"/>
  <c r="T297" i="24" s="1"/>
  <c r="S297" i="24" s="1"/>
  <c r="R297" i="24" s="1"/>
  <c r="P297" i="24" s="1"/>
  <c r="V297" i="24" s="1"/>
  <c r="U281" i="24"/>
  <c r="T281" i="24" s="1"/>
  <c r="S281" i="24" s="1"/>
  <c r="R281" i="24" s="1"/>
  <c r="P281" i="24" s="1"/>
  <c r="V281" i="24" s="1"/>
  <c r="U265" i="24"/>
  <c r="T265" i="24" s="1"/>
  <c r="S265" i="24" s="1"/>
  <c r="R265" i="24" s="1"/>
  <c r="P265" i="24" s="1"/>
  <c r="V265" i="24" s="1"/>
  <c r="U249" i="24"/>
  <c r="T249" i="24" s="1"/>
  <c r="S249" i="24" s="1"/>
  <c r="R249" i="24" s="1"/>
  <c r="P249" i="24" s="1"/>
  <c r="V249" i="24" s="1"/>
  <c r="U233" i="24"/>
  <c r="T233" i="24" s="1"/>
  <c r="S233" i="24" s="1"/>
  <c r="R233" i="24" s="1"/>
  <c r="P233" i="24" s="1"/>
  <c r="V233" i="24" s="1"/>
  <c r="U217" i="24"/>
  <c r="T217" i="24" s="1"/>
  <c r="S217" i="24" s="1"/>
  <c r="R217" i="24" s="1"/>
  <c r="P217" i="24" s="1"/>
  <c r="V217" i="24" s="1"/>
  <c r="U201" i="24"/>
  <c r="T201" i="24" s="1"/>
  <c r="S201" i="24" s="1"/>
  <c r="R201" i="24" s="1"/>
  <c r="P201" i="24" s="1"/>
  <c r="V201" i="24" s="1"/>
  <c r="U185" i="24"/>
  <c r="T185" i="24" s="1"/>
  <c r="S185" i="24" s="1"/>
  <c r="R185" i="24" s="1"/>
  <c r="P185" i="24" s="1"/>
  <c r="V185" i="24" s="1"/>
  <c r="U159" i="24"/>
  <c r="T159" i="24" s="1"/>
  <c r="S159" i="24" s="1"/>
  <c r="R159" i="24" s="1"/>
  <c r="P159" i="24" s="1"/>
  <c r="V159" i="24" s="1"/>
  <c r="U127" i="24"/>
  <c r="T127" i="24" s="1"/>
  <c r="S127" i="24" s="1"/>
  <c r="R127" i="24" s="1"/>
  <c r="P127" i="24" s="1"/>
  <c r="V127" i="24" s="1"/>
  <c r="U95" i="24"/>
  <c r="T95" i="24" s="1"/>
  <c r="S95" i="24" s="1"/>
  <c r="R95" i="24" s="1"/>
  <c r="P95" i="24" s="1"/>
  <c r="V95" i="24" s="1"/>
  <c r="U63" i="24"/>
  <c r="T63" i="24" s="1"/>
  <c r="S63" i="24" s="1"/>
  <c r="R63" i="24" s="1"/>
  <c r="P63" i="24" s="1"/>
  <c r="V63" i="24" s="1"/>
  <c r="U31" i="24"/>
  <c r="T31" i="24" s="1"/>
  <c r="S31" i="24" s="1"/>
  <c r="R31" i="24" s="1"/>
  <c r="P31" i="24" s="1"/>
  <c r="V31" i="24" s="1"/>
  <c r="U368" i="24"/>
  <c r="T368" i="24" s="1"/>
  <c r="S368" i="24" s="1"/>
  <c r="R368" i="24" s="1"/>
  <c r="P368" i="24" s="1"/>
  <c r="V368" i="24" s="1"/>
  <c r="U336" i="24"/>
  <c r="T336" i="24" s="1"/>
  <c r="S336" i="24" s="1"/>
  <c r="R336" i="24" s="1"/>
  <c r="P336" i="24" s="1"/>
  <c r="V336" i="24" s="1"/>
  <c r="U304" i="24"/>
  <c r="T304" i="24" s="1"/>
  <c r="S304" i="24" s="1"/>
  <c r="R304" i="24" s="1"/>
  <c r="P304" i="24" s="1"/>
  <c r="V304" i="24" s="1"/>
  <c r="U272" i="24"/>
  <c r="T272" i="24" s="1"/>
  <c r="S272" i="24" s="1"/>
  <c r="R272" i="24" s="1"/>
  <c r="P272" i="24" s="1"/>
  <c r="U240" i="24"/>
  <c r="T240" i="24" s="1"/>
  <c r="S240" i="24" s="1"/>
  <c r="R240" i="24" s="1"/>
  <c r="P240" i="24" s="1"/>
  <c r="V240" i="24" s="1"/>
  <c r="U208" i="24"/>
  <c r="T208" i="24" s="1"/>
  <c r="S208" i="24" s="1"/>
  <c r="R208" i="24" s="1"/>
  <c r="P208" i="24" s="1"/>
  <c r="V208" i="24" s="1"/>
  <c r="U173" i="24"/>
  <c r="T173" i="24" s="1"/>
  <c r="S173" i="24" s="1"/>
  <c r="R173" i="24" s="1"/>
  <c r="P173" i="24" s="1"/>
  <c r="V173" i="24" s="1"/>
  <c r="U109" i="24"/>
  <c r="T109" i="24" s="1"/>
  <c r="S109" i="24" s="1"/>
  <c r="R109" i="24" s="1"/>
  <c r="P109" i="24" s="1"/>
  <c r="V109" i="24" s="1"/>
  <c r="U45" i="24"/>
  <c r="T45" i="24" s="1"/>
  <c r="S45" i="24" s="1"/>
  <c r="R45" i="24" s="1"/>
  <c r="P45" i="24" s="1"/>
  <c r="V45" i="24" s="1"/>
  <c r="U25" i="24"/>
  <c r="T25" i="24" s="1"/>
  <c r="S25" i="24" s="1"/>
  <c r="R25" i="24" s="1"/>
  <c r="P25" i="24" s="1"/>
  <c r="V25" i="24" s="1"/>
  <c r="U40" i="24"/>
  <c r="T40" i="24" s="1"/>
  <c r="S40" i="24" s="1"/>
  <c r="R40" i="24" s="1"/>
  <c r="P40" i="24" s="1"/>
  <c r="V40" i="24" s="1"/>
  <c r="U56" i="24"/>
  <c r="T56" i="24" s="1"/>
  <c r="S56" i="24" s="1"/>
  <c r="R56" i="24" s="1"/>
  <c r="P56" i="24" s="1"/>
  <c r="V56" i="24" s="1"/>
  <c r="U72" i="24"/>
  <c r="T72" i="24" s="1"/>
  <c r="S72" i="24" s="1"/>
  <c r="R72" i="24" s="1"/>
  <c r="P72" i="24" s="1"/>
  <c r="V72" i="24" s="1"/>
  <c r="U88" i="24"/>
  <c r="T88" i="24" s="1"/>
  <c r="S88" i="24" s="1"/>
  <c r="R88" i="24" s="1"/>
  <c r="P88" i="24" s="1"/>
  <c r="U104" i="24"/>
  <c r="T104" i="24" s="1"/>
  <c r="S104" i="24" s="1"/>
  <c r="R104" i="24" s="1"/>
  <c r="P104" i="24" s="1"/>
  <c r="V104" i="24" s="1"/>
  <c r="U120" i="24"/>
  <c r="T120" i="24" s="1"/>
  <c r="S120" i="24" s="1"/>
  <c r="R120" i="24" s="1"/>
  <c r="P120" i="24" s="1"/>
  <c r="V120" i="24" s="1"/>
  <c r="U136" i="24"/>
  <c r="T136" i="24" s="1"/>
  <c r="S136" i="24" s="1"/>
  <c r="R136" i="24" s="1"/>
  <c r="P136" i="24" s="1"/>
  <c r="V136" i="24" s="1"/>
  <c r="U152" i="24"/>
  <c r="T152" i="24" s="1"/>
  <c r="S152" i="24" s="1"/>
  <c r="R152" i="24" s="1"/>
  <c r="P152" i="24" s="1"/>
  <c r="V152" i="24" s="1"/>
  <c r="U168" i="24"/>
  <c r="T168" i="24" s="1"/>
  <c r="S168" i="24" s="1"/>
  <c r="R168" i="24" s="1"/>
  <c r="P168" i="24" s="1"/>
  <c r="V168" i="24" s="1"/>
  <c r="U375" i="24"/>
  <c r="T375" i="24" s="1"/>
  <c r="S375" i="24" s="1"/>
  <c r="R375" i="24" s="1"/>
  <c r="P375" i="24" s="1"/>
  <c r="V375" i="24" s="1"/>
  <c r="U359" i="24"/>
  <c r="T359" i="24" s="1"/>
  <c r="S359" i="24" s="1"/>
  <c r="R359" i="24" s="1"/>
  <c r="P359" i="24" s="1"/>
  <c r="V359" i="24" s="1"/>
  <c r="U343" i="24"/>
  <c r="T343" i="24" s="1"/>
  <c r="S343" i="24" s="1"/>
  <c r="R343" i="24" s="1"/>
  <c r="P343" i="24" s="1"/>
  <c r="V343" i="24" s="1"/>
  <c r="U327" i="24"/>
  <c r="T327" i="24" s="1"/>
  <c r="S327" i="24" s="1"/>
  <c r="R327" i="24" s="1"/>
  <c r="P327" i="24" s="1"/>
  <c r="V327" i="24" s="1"/>
  <c r="U311" i="24"/>
  <c r="T311" i="24" s="1"/>
  <c r="S311" i="24" s="1"/>
  <c r="R311" i="24" s="1"/>
  <c r="P311" i="24" s="1"/>
  <c r="V311" i="24" s="1"/>
  <c r="U295" i="24"/>
  <c r="T295" i="24" s="1"/>
  <c r="S295" i="24" s="1"/>
  <c r="R295" i="24" s="1"/>
  <c r="P295" i="24" s="1"/>
  <c r="V295" i="24" s="1"/>
  <c r="U279" i="24"/>
  <c r="T279" i="24" s="1"/>
  <c r="S279" i="24" s="1"/>
  <c r="R279" i="24" s="1"/>
  <c r="P279" i="24" s="1"/>
  <c r="V279" i="24" s="1"/>
  <c r="U263" i="24"/>
  <c r="T263" i="24" s="1"/>
  <c r="S263" i="24" s="1"/>
  <c r="R263" i="24" s="1"/>
  <c r="P263" i="24" s="1"/>
  <c r="V263" i="24" s="1"/>
  <c r="U247" i="24"/>
  <c r="T247" i="24" s="1"/>
  <c r="S247" i="24" s="1"/>
  <c r="R247" i="24" s="1"/>
  <c r="P247" i="24" s="1"/>
  <c r="V247" i="24" s="1"/>
  <c r="U231" i="24"/>
  <c r="T231" i="24" s="1"/>
  <c r="S231" i="24" s="1"/>
  <c r="R231" i="24" s="1"/>
  <c r="P231" i="24" s="1"/>
  <c r="V231" i="24" s="1"/>
  <c r="U215" i="24"/>
  <c r="T215" i="24" s="1"/>
  <c r="S215" i="24" s="1"/>
  <c r="R215" i="24" s="1"/>
  <c r="P215" i="24" s="1"/>
  <c r="V215" i="24" s="1"/>
  <c r="U199" i="24"/>
  <c r="T199" i="24" s="1"/>
  <c r="S199" i="24" s="1"/>
  <c r="R199" i="24" s="1"/>
  <c r="P199" i="24" s="1"/>
  <c r="V199" i="24" s="1"/>
  <c r="U183" i="24"/>
  <c r="T183" i="24" s="1"/>
  <c r="S183" i="24" s="1"/>
  <c r="R183" i="24" s="1"/>
  <c r="P183" i="24" s="1"/>
  <c r="V183" i="24" s="1"/>
  <c r="U155" i="24"/>
  <c r="T155" i="24" s="1"/>
  <c r="S155" i="24" s="1"/>
  <c r="R155" i="24" s="1"/>
  <c r="P155" i="24" s="1"/>
  <c r="V155" i="24" s="1"/>
  <c r="U123" i="24"/>
  <c r="T123" i="24" s="1"/>
  <c r="S123" i="24" s="1"/>
  <c r="R123" i="24" s="1"/>
  <c r="P123" i="24" s="1"/>
  <c r="V123" i="24" s="1"/>
  <c r="U91" i="24"/>
  <c r="T91" i="24" s="1"/>
  <c r="S91" i="24" s="1"/>
  <c r="R91" i="24" s="1"/>
  <c r="P91" i="24" s="1"/>
  <c r="V91" i="24" s="1"/>
  <c r="U59" i="24"/>
  <c r="T59" i="24" s="1"/>
  <c r="S59" i="24" s="1"/>
  <c r="R59" i="24" s="1"/>
  <c r="P59" i="24" s="1"/>
  <c r="V59" i="24" s="1"/>
  <c r="U27" i="24"/>
  <c r="T27" i="24" s="1"/>
  <c r="S27" i="24" s="1"/>
  <c r="R27" i="24" s="1"/>
  <c r="P27" i="24" s="1"/>
  <c r="V27" i="24" s="1"/>
  <c r="G371" i="23"/>
  <c r="CD371" i="6" s="1"/>
  <c r="AA371" i="23"/>
  <c r="Z371" i="23" s="1"/>
  <c r="Y371" i="23" s="1"/>
  <c r="H371" i="23"/>
  <c r="W363" i="23"/>
  <c r="D363" i="23"/>
  <c r="E363" i="23" s="1"/>
  <c r="F363" i="23" s="1"/>
  <c r="H355" i="23"/>
  <c r="G355" i="23"/>
  <c r="CD355" i="6" s="1"/>
  <c r="AA355" i="23"/>
  <c r="Z355" i="23" s="1"/>
  <c r="Y355" i="23" s="1"/>
  <c r="G315" i="23"/>
  <c r="CD315" i="6" s="1"/>
  <c r="AA315" i="23"/>
  <c r="Z315" i="23" s="1"/>
  <c r="Y315" i="23" s="1"/>
  <c r="H315" i="23"/>
  <c r="H299" i="23"/>
  <c r="G299" i="23"/>
  <c r="CD299" i="6" s="1"/>
  <c r="AA299" i="23"/>
  <c r="Z299" i="23" s="1"/>
  <c r="Y299" i="23" s="1"/>
  <c r="H291" i="23"/>
  <c r="G291" i="23"/>
  <c r="CD291" i="6" s="1"/>
  <c r="AA291" i="23"/>
  <c r="Z291" i="23" s="1"/>
  <c r="Y291" i="23" s="1"/>
  <c r="AA283" i="23"/>
  <c r="Z283" i="23" s="1"/>
  <c r="Y283" i="23" s="1"/>
  <c r="H283" i="23"/>
  <c r="G283" i="23"/>
  <c r="CD283" i="6" s="1"/>
  <c r="G267" i="23"/>
  <c r="CD267" i="6" s="1"/>
  <c r="H267" i="23"/>
  <c r="AA267" i="23"/>
  <c r="Z267" i="23" s="1"/>
  <c r="Y267" i="23" s="1"/>
  <c r="G227" i="23"/>
  <c r="CD227" i="6" s="1"/>
  <c r="AA227" i="23"/>
  <c r="Z227" i="23" s="1"/>
  <c r="Y227" i="23" s="1"/>
  <c r="G211" i="23"/>
  <c r="CD211" i="6" s="1"/>
  <c r="H211" i="23"/>
  <c r="AA211" i="23"/>
  <c r="Z211" i="23" s="1"/>
  <c r="Y211" i="23" s="1"/>
  <c r="AA203" i="23"/>
  <c r="Z203" i="23" s="1"/>
  <c r="Y203" i="23" s="1"/>
  <c r="G203" i="23"/>
  <c r="CD203" i="6" s="1"/>
  <c r="H203" i="23"/>
  <c r="AA187" i="23"/>
  <c r="Z187" i="23" s="1"/>
  <c r="Y187" i="23" s="1"/>
  <c r="G187" i="23"/>
  <c r="CD187" i="6" s="1"/>
  <c r="H187" i="23"/>
  <c r="G174" i="23"/>
  <c r="CD174" i="6" s="1"/>
  <c r="AA174" i="23"/>
  <c r="Z174" i="23" s="1"/>
  <c r="Y174" i="23" s="1"/>
  <c r="H174" i="23"/>
  <c r="H142" i="23"/>
  <c r="AA142" i="23"/>
  <c r="Z142" i="23" s="1"/>
  <c r="Y142" i="23" s="1"/>
  <c r="G142" i="23"/>
  <c r="CD142" i="6" s="1"/>
  <c r="H110" i="23"/>
  <c r="G110" i="23"/>
  <c r="CD110" i="6" s="1"/>
  <c r="AA110" i="23"/>
  <c r="Z110" i="23" s="1"/>
  <c r="Y110" i="23" s="1"/>
  <c r="G94" i="23"/>
  <c r="CD94" i="6" s="1"/>
  <c r="AA94" i="23"/>
  <c r="Z94" i="23" s="1"/>
  <c r="Y94" i="23" s="1"/>
  <c r="H94" i="23"/>
  <c r="G30" i="23"/>
  <c r="CD30" i="6" s="1"/>
  <c r="AA30" i="23"/>
  <c r="Z30" i="23" s="1"/>
  <c r="Y30" i="23" s="1"/>
  <c r="H30" i="23"/>
  <c r="G23" i="23"/>
  <c r="CD23" i="6" s="1"/>
  <c r="H23" i="23"/>
  <c r="AA23" i="23"/>
  <c r="Z23" i="23" s="1"/>
  <c r="Y23" i="23" s="1"/>
  <c r="J180" i="22"/>
  <c r="I180" i="22"/>
  <c r="J88" i="22"/>
  <c r="I88" i="22"/>
  <c r="D380" i="22"/>
  <c r="E380" i="22" s="1"/>
  <c r="F380" i="22" s="1"/>
  <c r="W380" i="22"/>
  <c r="G65" i="23"/>
  <c r="CD65" i="6" s="1"/>
  <c r="AA65" i="23"/>
  <c r="Z65" i="23" s="1"/>
  <c r="Y65" i="23" s="1"/>
  <c r="H65" i="23"/>
  <c r="AA97" i="23"/>
  <c r="Z97" i="23" s="1"/>
  <c r="Y97" i="23" s="1"/>
  <c r="H97" i="23"/>
  <c r="G97" i="23"/>
  <c r="CD97" i="6" s="1"/>
  <c r="AA129" i="23"/>
  <c r="Z129" i="23" s="1"/>
  <c r="Y129" i="23" s="1"/>
  <c r="G129" i="23"/>
  <c r="CD129" i="6" s="1"/>
  <c r="H129" i="23"/>
  <c r="H145" i="23"/>
  <c r="AA145" i="23"/>
  <c r="Z145" i="23" s="1"/>
  <c r="Y145" i="23" s="1"/>
  <c r="G145" i="23"/>
  <c r="CD145" i="6" s="1"/>
  <c r="AA161" i="23"/>
  <c r="Z161" i="23" s="1"/>
  <c r="Y161" i="23" s="1"/>
  <c r="G161" i="23"/>
  <c r="CD161" i="6" s="1"/>
  <c r="H161" i="23"/>
  <c r="G177" i="23"/>
  <c r="CD177" i="6" s="1"/>
  <c r="AA177" i="23"/>
  <c r="Z177" i="23" s="1"/>
  <c r="Y177" i="23" s="1"/>
  <c r="H177" i="23"/>
  <c r="AA356" i="23"/>
  <c r="Z356" i="23" s="1"/>
  <c r="Y356" i="23" s="1"/>
  <c r="G356" i="23"/>
  <c r="CD356" i="6" s="1"/>
  <c r="H356" i="23"/>
  <c r="G348" i="23"/>
  <c r="CD348" i="6" s="1"/>
  <c r="AA348" i="23"/>
  <c r="Z348" i="23" s="1"/>
  <c r="Y348" i="23" s="1"/>
  <c r="H348" i="23"/>
  <c r="H332" i="23"/>
  <c r="G332" i="23"/>
  <c r="CD332" i="6" s="1"/>
  <c r="AA332" i="23"/>
  <c r="Z332" i="23" s="1"/>
  <c r="Y332" i="23" s="1"/>
  <c r="AA324" i="23"/>
  <c r="Z324" i="23" s="1"/>
  <c r="Y324" i="23" s="1"/>
  <c r="H324" i="23"/>
  <c r="G324" i="23"/>
  <c r="CD324" i="6" s="1"/>
  <c r="AA308" i="23"/>
  <c r="Z308" i="23" s="1"/>
  <c r="Y308" i="23" s="1"/>
  <c r="H308" i="23"/>
  <c r="G308" i="23"/>
  <c r="CD308" i="6" s="1"/>
  <c r="G284" i="23"/>
  <c r="CD284" i="6" s="1"/>
  <c r="H284" i="23"/>
  <c r="AA284" i="23"/>
  <c r="Z284" i="23" s="1"/>
  <c r="Y284" i="23" s="1"/>
  <c r="H260" i="23"/>
  <c r="G260" i="23"/>
  <c r="CD260" i="6" s="1"/>
  <c r="AA260" i="23"/>
  <c r="Z260" i="23" s="1"/>
  <c r="Y260" i="23" s="1"/>
  <c r="AA244" i="23"/>
  <c r="Z244" i="23" s="1"/>
  <c r="Y244" i="23" s="1"/>
  <c r="G244" i="23"/>
  <c r="CD244" i="6" s="1"/>
  <c r="H244" i="23"/>
  <c r="AA220" i="23"/>
  <c r="Z220" i="23" s="1"/>
  <c r="Y220" i="23" s="1"/>
  <c r="H220" i="23"/>
  <c r="G220" i="23"/>
  <c r="CD220" i="6" s="1"/>
  <c r="G212" i="23"/>
  <c r="CD212" i="6" s="1"/>
  <c r="AA212" i="23"/>
  <c r="Z212" i="23" s="1"/>
  <c r="Y212" i="23" s="1"/>
  <c r="H212" i="23"/>
  <c r="G204" i="23"/>
  <c r="CD204" i="6" s="1"/>
  <c r="AA204" i="23"/>
  <c r="Z204" i="23" s="1"/>
  <c r="Y204" i="23" s="1"/>
  <c r="H204" i="23"/>
  <c r="H176" i="23"/>
  <c r="AA176" i="23"/>
  <c r="Z176" i="23" s="1"/>
  <c r="Y176" i="23" s="1"/>
  <c r="G176" i="23"/>
  <c r="CD176" i="6" s="1"/>
  <c r="AA160" i="23"/>
  <c r="Z160" i="23" s="1"/>
  <c r="Y160" i="23" s="1"/>
  <c r="G160" i="23"/>
  <c r="CD160" i="6" s="1"/>
  <c r="H160" i="23"/>
  <c r="H112" i="23"/>
  <c r="G112" i="23"/>
  <c r="CD112" i="6" s="1"/>
  <c r="AA112" i="23"/>
  <c r="Z112" i="23" s="1"/>
  <c r="Y112" i="23" s="1"/>
  <c r="G96" i="23"/>
  <c r="CD96" i="6" s="1"/>
  <c r="AA96" i="23"/>
  <c r="Z96" i="23" s="1"/>
  <c r="Y96" i="23" s="1"/>
  <c r="H96" i="23"/>
  <c r="H48" i="23"/>
  <c r="G48" i="23"/>
  <c r="CD48" i="6" s="1"/>
  <c r="AA48" i="23"/>
  <c r="Z48" i="23" s="1"/>
  <c r="Y48" i="23" s="1"/>
  <c r="AA18" i="23"/>
  <c r="Z18" i="23" s="1"/>
  <c r="Y18" i="23" s="1"/>
  <c r="G18" i="23"/>
  <c r="CD18" i="6" s="1"/>
  <c r="H18" i="23"/>
  <c r="G365" i="23"/>
  <c r="CD365" i="6" s="1"/>
  <c r="AA365" i="23"/>
  <c r="Z365" i="23" s="1"/>
  <c r="Y365" i="23" s="1"/>
  <c r="H365" i="23"/>
  <c r="AA349" i="23"/>
  <c r="Z349" i="23" s="1"/>
  <c r="Y349" i="23" s="1"/>
  <c r="G349" i="23"/>
  <c r="CD349" i="6" s="1"/>
  <c r="H301" i="23"/>
  <c r="G301" i="23"/>
  <c r="CD301" i="6" s="1"/>
  <c r="AA301" i="23"/>
  <c r="Z301" i="23" s="1"/>
  <c r="Y301" i="23" s="1"/>
  <c r="AA293" i="23"/>
  <c r="Z293" i="23" s="1"/>
  <c r="Y293" i="23" s="1"/>
  <c r="H293" i="23"/>
  <c r="G293" i="23"/>
  <c r="CD293" i="6" s="1"/>
  <c r="H285" i="23"/>
  <c r="AA285" i="23"/>
  <c r="Z285" i="23" s="1"/>
  <c r="Y285" i="23" s="1"/>
  <c r="G285" i="23"/>
  <c r="CD285" i="6" s="1"/>
  <c r="G269" i="23"/>
  <c r="CD269" i="6" s="1"/>
  <c r="H269" i="23"/>
  <c r="AA269" i="23"/>
  <c r="Z269" i="23" s="1"/>
  <c r="Y269" i="23" s="1"/>
  <c r="G261" i="23"/>
  <c r="CD261" i="6" s="1"/>
  <c r="AA261" i="23"/>
  <c r="Z261" i="23" s="1"/>
  <c r="Y261" i="23" s="1"/>
  <c r="H261" i="23"/>
  <c r="G253" i="23"/>
  <c r="CD253" i="6" s="1"/>
  <c r="AA253" i="23"/>
  <c r="Z253" i="23" s="1"/>
  <c r="Y253" i="23" s="1"/>
  <c r="H253" i="23"/>
  <c r="G245" i="23"/>
  <c r="CD245" i="6" s="1"/>
  <c r="H245" i="23"/>
  <c r="AA245" i="23"/>
  <c r="Z245" i="23" s="1"/>
  <c r="Y245" i="23" s="1"/>
  <c r="G229" i="23"/>
  <c r="CD229" i="6" s="1"/>
  <c r="AA229" i="23"/>
  <c r="Z229" i="23" s="1"/>
  <c r="Y229" i="23" s="1"/>
  <c r="H229" i="23"/>
  <c r="AA221" i="23"/>
  <c r="Z221" i="23" s="1"/>
  <c r="Y221" i="23" s="1"/>
  <c r="H221" i="23"/>
  <c r="G221" i="23"/>
  <c r="CD221" i="6" s="1"/>
  <c r="G146" i="23"/>
  <c r="CD146" i="6" s="1"/>
  <c r="H146" i="23"/>
  <c r="AA146" i="23"/>
  <c r="Z146" i="23" s="1"/>
  <c r="Y146" i="23" s="1"/>
  <c r="G130" i="23"/>
  <c r="CD130" i="6" s="1"/>
  <c r="AA130" i="23"/>
  <c r="Z130" i="23" s="1"/>
  <c r="Y130" i="23" s="1"/>
  <c r="H130" i="23"/>
  <c r="H98" i="23"/>
  <c r="AA98" i="23"/>
  <c r="Z98" i="23" s="1"/>
  <c r="Y98" i="23" s="1"/>
  <c r="G98" i="23"/>
  <c r="CD98" i="6" s="1"/>
  <c r="H34" i="23"/>
  <c r="AA34" i="23"/>
  <c r="Z34" i="23" s="1"/>
  <c r="Y34" i="23" s="1"/>
  <c r="G34" i="23"/>
  <c r="CD34" i="6" s="1"/>
  <c r="H349" i="23"/>
  <c r="H39" i="23"/>
  <c r="G39" i="23"/>
  <c r="CD39" i="6" s="1"/>
  <c r="AA39" i="23"/>
  <c r="Z39" i="23" s="1"/>
  <c r="Y39" i="23" s="1"/>
  <c r="AA87" i="23"/>
  <c r="Z87" i="23" s="1"/>
  <c r="Y87" i="23" s="1"/>
  <c r="G87" i="23"/>
  <c r="CD87" i="6" s="1"/>
  <c r="H87" i="23"/>
  <c r="AA131" i="23"/>
  <c r="Z131" i="23" s="1"/>
  <c r="Y131" i="23" s="1"/>
  <c r="G131" i="23"/>
  <c r="CD131" i="6" s="1"/>
  <c r="H131" i="23"/>
  <c r="G147" i="23"/>
  <c r="CD147" i="6" s="1"/>
  <c r="H147" i="23"/>
  <c r="AA147" i="23"/>
  <c r="Z147" i="23" s="1"/>
  <c r="Y147" i="23" s="1"/>
  <c r="H163" i="23"/>
  <c r="G163" i="23"/>
  <c r="CD163" i="6" s="1"/>
  <c r="AA163" i="23"/>
  <c r="Z163" i="23" s="1"/>
  <c r="Y163" i="23" s="1"/>
  <c r="G179" i="23"/>
  <c r="CD179" i="6" s="1"/>
  <c r="AA179" i="23"/>
  <c r="Z179" i="23" s="1"/>
  <c r="Y179" i="23" s="1"/>
  <c r="H179" i="23"/>
  <c r="G17" i="23"/>
  <c r="CD17" i="6" s="1"/>
  <c r="AA17" i="23"/>
  <c r="Z17" i="23" s="1"/>
  <c r="Y17" i="23" s="1"/>
  <c r="H17" i="23"/>
  <c r="H143" i="23"/>
  <c r="G143" i="23"/>
  <c r="CD143" i="6" s="1"/>
  <c r="AA143" i="23"/>
  <c r="Z143" i="23" s="1"/>
  <c r="Y143" i="23" s="1"/>
  <c r="H159" i="23"/>
  <c r="G159" i="23"/>
  <c r="CD159" i="6" s="1"/>
  <c r="AA159" i="23"/>
  <c r="Z159" i="23" s="1"/>
  <c r="Y159" i="23" s="1"/>
  <c r="AA16" i="23"/>
  <c r="Z16" i="23" s="1"/>
  <c r="Y16" i="23" s="1"/>
  <c r="G16" i="23"/>
  <c r="CD16" i="6" s="1"/>
  <c r="H16" i="23"/>
  <c r="AA37" i="23"/>
  <c r="Z37" i="23" s="1"/>
  <c r="Y37" i="23" s="1"/>
  <c r="H37" i="23"/>
  <c r="G37" i="23"/>
  <c r="CD37" i="6" s="1"/>
  <c r="H53" i="23"/>
  <c r="AA53" i="23"/>
  <c r="Z53" i="23" s="1"/>
  <c r="Y53" i="23" s="1"/>
  <c r="G53" i="23"/>
  <c r="CD53" i="6" s="1"/>
  <c r="AA133" i="23"/>
  <c r="Z133" i="23" s="1"/>
  <c r="Y133" i="23" s="1"/>
  <c r="G133" i="23"/>
  <c r="CD133" i="6" s="1"/>
  <c r="H133" i="23"/>
  <c r="G165" i="23"/>
  <c r="CD165" i="6" s="1"/>
  <c r="H165" i="23"/>
  <c r="AA165" i="23"/>
  <c r="Z165" i="23" s="1"/>
  <c r="Y165" i="23" s="1"/>
  <c r="AA366" i="23"/>
  <c r="Z366" i="23" s="1"/>
  <c r="Y366" i="23" s="1"/>
  <c r="G366" i="23"/>
  <c r="CD366" i="6" s="1"/>
  <c r="H366" i="23"/>
  <c r="G310" i="23"/>
  <c r="CD310" i="6" s="1"/>
  <c r="AA310" i="23"/>
  <c r="Z310" i="23" s="1"/>
  <c r="Y310" i="23" s="1"/>
  <c r="H310" i="23"/>
  <c r="D302" i="23"/>
  <c r="E302" i="23" s="1"/>
  <c r="F302" i="23" s="1"/>
  <c r="W302" i="23"/>
  <c r="G294" i="23"/>
  <c r="CD294" i="6" s="1"/>
  <c r="AA294" i="23"/>
  <c r="Z294" i="23" s="1"/>
  <c r="Y294" i="23" s="1"/>
  <c r="H294" i="23"/>
  <c r="G286" i="23"/>
  <c r="CD286" i="6" s="1"/>
  <c r="AA286" i="23"/>
  <c r="Z286" i="23" s="1"/>
  <c r="Y286" i="23" s="1"/>
  <c r="H286" i="23"/>
  <c r="G270" i="23"/>
  <c r="CD270" i="6" s="1"/>
  <c r="H270" i="23"/>
  <c r="AA270" i="23"/>
  <c r="Z270" i="23" s="1"/>
  <c r="Y270" i="23" s="1"/>
  <c r="AA254" i="23"/>
  <c r="Z254" i="23" s="1"/>
  <c r="Y254" i="23" s="1"/>
  <c r="G254" i="23"/>
  <c r="CD254" i="6" s="1"/>
  <c r="H254" i="23"/>
  <c r="G230" i="23"/>
  <c r="CD230" i="6" s="1"/>
  <c r="AA230" i="23"/>
  <c r="Z230" i="23" s="1"/>
  <c r="Y230" i="23" s="1"/>
  <c r="H230" i="23"/>
  <c r="G222" i="23"/>
  <c r="CD222" i="6" s="1"/>
  <c r="AA222" i="23"/>
  <c r="Z222" i="23" s="1"/>
  <c r="Y222" i="23" s="1"/>
  <c r="H222" i="23"/>
  <c r="AA206" i="23"/>
  <c r="Z206" i="23" s="1"/>
  <c r="Y206" i="23" s="1"/>
  <c r="G206" i="23"/>
  <c r="CD206" i="6" s="1"/>
  <c r="H206" i="23"/>
  <c r="AA190" i="23"/>
  <c r="Z190" i="23" s="1"/>
  <c r="Y190" i="23" s="1"/>
  <c r="H190" i="23"/>
  <c r="G190" i="23"/>
  <c r="CD190" i="6" s="1"/>
  <c r="G132" i="23"/>
  <c r="CD132" i="6" s="1"/>
  <c r="AA132" i="23"/>
  <c r="Z132" i="23" s="1"/>
  <c r="Y132" i="23" s="1"/>
  <c r="H132" i="23"/>
  <c r="AA84" i="23"/>
  <c r="Z84" i="23" s="1"/>
  <c r="Y84" i="23" s="1"/>
  <c r="G84" i="23"/>
  <c r="CD84" i="6" s="1"/>
  <c r="H84" i="23"/>
  <c r="G19" i="23"/>
  <c r="CD19" i="6" s="1"/>
  <c r="H19" i="23"/>
  <c r="AA19" i="23"/>
  <c r="Z19" i="23" s="1"/>
  <c r="Y19" i="23" s="1"/>
  <c r="AA367" i="23"/>
  <c r="Z367" i="23" s="1"/>
  <c r="Y367" i="23" s="1"/>
  <c r="G367" i="23"/>
  <c r="CD367" i="6" s="1"/>
  <c r="H367" i="23"/>
  <c r="AA343" i="23"/>
  <c r="Z343" i="23" s="1"/>
  <c r="Y343" i="23" s="1"/>
  <c r="G343" i="23"/>
  <c r="CD343" i="6" s="1"/>
  <c r="H343" i="23"/>
  <c r="H271" i="23"/>
  <c r="AA271" i="23"/>
  <c r="Z271" i="23" s="1"/>
  <c r="Y271" i="23" s="1"/>
  <c r="G271" i="23"/>
  <c r="CD271" i="6" s="1"/>
  <c r="G247" i="23"/>
  <c r="CD247" i="6" s="1"/>
  <c r="AA247" i="23"/>
  <c r="Z247" i="23" s="1"/>
  <c r="Y247" i="23" s="1"/>
  <c r="H247" i="23"/>
  <c r="AA231" i="23"/>
  <c r="Z231" i="23" s="1"/>
  <c r="Y231" i="23" s="1"/>
  <c r="H231" i="23"/>
  <c r="G231" i="23"/>
  <c r="CD231" i="6" s="1"/>
  <c r="G215" i="23"/>
  <c r="CD215" i="6" s="1"/>
  <c r="AA215" i="23"/>
  <c r="Z215" i="23" s="1"/>
  <c r="Y215" i="23" s="1"/>
  <c r="H215" i="23"/>
  <c r="G207" i="23"/>
  <c r="CD207" i="6" s="1"/>
  <c r="H207" i="23"/>
  <c r="AA207" i="23"/>
  <c r="Z207" i="23" s="1"/>
  <c r="Y207" i="23" s="1"/>
  <c r="AA182" i="23"/>
  <c r="Z182" i="23" s="1"/>
  <c r="Y182" i="23" s="1"/>
  <c r="G182" i="23"/>
  <c r="CD182" i="6" s="1"/>
  <c r="H182" i="23"/>
  <c r="H150" i="23"/>
  <c r="G150" i="23"/>
  <c r="CD150" i="6" s="1"/>
  <c r="AA150" i="23"/>
  <c r="Z150" i="23" s="1"/>
  <c r="Y150" i="23" s="1"/>
  <c r="G134" i="23"/>
  <c r="CD134" i="6" s="1"/>
  <c r="H134" i="23"/>
  <c r="AA134" i="23"/>
  <c r="Z134" i="23" s="1"/>
  <c r="Y134" i="23" s="1"/>
  <c r="AA102" i="23"/>
  <c r="Z102" i="23" s="1"/>
  <c r="Y102" i="23" s="1"/>
  <c r="G102" i="23"/>
  <c r="CD102" i="6" s="1"/>
  <c r="H102" i="23"/>
  <c r="G86" i="23"/>
  <c r="CD86" i="6" s="1"/>
  <c r="AA86" i="23"/>
  <c r="Z86" i="23" s="1"/>
  <c r="Y86" i="23" s="1"/>
  <c r="H86" i="23"/>
  <c r="G70" i="23"/>
  <c r="CD70" i="6" s="1"/>
  <c r="AA70" i="23"/>
  <c r="Z70" i="23" s="1"/>
  <c r="Y70" i="23" s="1"/>
  <c r="H70" i="23"/>
  <c r="AA38" i="23"/>
  <c r="Z38" i="23" s="1"/>
  <c r="Y38" i="23" s="1"/>
  <c r="G38" i="23"/>
  <c r="CD38" i="6" s="1"/>
  <c r="H38" i="23"/>
  <c r="F39" i="19"/>
  <c r="C15" i="19"/>
  <c r="G379" i="18"/>
  <c r="CA379" i="6" s="1"/>
  <c r="H379" i="18"/>
  <c r="AA379" i="18"/>
  <c r="AL9" i="18" s="1"/>
  <c r="F383" i="18"/>
  <c r="AM10" i="18"/>
  <c r="AK10" i="18"/>
  <c r="AK12" i="18" s="1"/>
  <c r="AK13" i="18" s="1"/>
  <c r="F9" i="18"/>
  <c r="F382" i="18"/>
  <c r="F381" i="18"/>
  <c r="E379" i="20"/>
  <c r="AJ8" i="20"/>
  <c r="D9" i="20"/>
  <c r="D11" i="20" s="1"/>
  <c r="D383" i="20"/>
  <c r="D381" i="20"/>
  <c r="D382" i="20"/>
  <c r="G25" i="23"/>
  <c r="CD25" i="6" s="1"/>
  <c r="AA25" i="23"/>
  <c r="Z25" i="23" s="1"/>
  <c r="Y25" i="23" s="1"/>
  <c r="H25" i="23"/>
  <c r="H41" i="23"/>
  <c r="AA41" i="23"/>
  <c r="Z41" i="23" s="1"/>
  <c r="Y41" i="23" s="1"/>
  <c r="G41" i="23"/>
  <c r="CD41" i="6" s="1"/>
  <c r="H57" i="23"/>
  <c r="G57" i="23"/>
  <c r="CD57" i="6" s="1"/>
  <c r="AA57" i="23"/>
  <c r="Z57" i="23" s="1"/>
  <c r="Y57" i="23" s="1"/>
  <c r="AA105" i="23"/>
  <c r="Z105" i="23" s="1"/>
  <c r="Y105" i="23" s="1"/>
  <c r="G105" i="23"/>
  <c r="CD105" i="6" s="1"/>
  <c r="G137" i="23"/>
  <c r="CD137" i="6" s="1"/>
  <c r="H137" i="23"/>
  <c r="AA137" i="23"/>
  <c r="Z137" i="23" s="1"/>
  <c r="Y137" i="23" s="1"/>
  <c r="H169" i="23"/>
  <c r="G169" i="23"/>
  <c r="CD169" i="6" s="1"/>
  <c r="AA169" i="23"/>
  <c r="Z169" i="23" s="1"/>
  <c r="Y169" i="23" s="1"/>
  <c r="G376" i="23"/>
  <c r="CD376" i="6" s="1"/>
  <c r="H376" i="23"/>
  <c r="AA376" i="23"/>
  <c r="Z376" i="23" s="1"/>
  <c r="Y376" i="23" s="1"/>
  <c r="H344" i="23"/>
  <c r="G344" i="23"/>
  <c r="CD344" i="6" s="1"/>
  <c r="AA344" i="23"/>
  <c r="Z344" i="23" s="1"/>
  <c r="Y344" i="23" s="1"/>
  <c r="H328" i="23"/>
  <c r="AA328" i="23"/>
  <c r="Z328" i="23" s="1"/>
  <c r="Y328" i="23" s="1"/>
  <c r="G328" i="23"/>
  <c r="CD328" i="6" s="1"/>
  <c r="AA320" i="23"/>
  <c r="Z320" i="23" s="1"/>
  <c r="Y320" i="23" s="1"/>
  <c r="H320" i="23"/>
  <c r="G320" i="23"/>
  <c r="CD320" i="6" s="1"/>
  <c r="G304" i="23"/>
  <c r="CD304" i="6" s="1"/>
  <c r="H304" i="23"/>
  <c r="AA304" i="23"/>
  <c r="Z304" i="23" s="1"/>
  <c r="Y304" i="23" s="1"/>
  <c r="K68" i="19"/>
  <c r="AA280" i="23"/>
  <c r="Z280" i="23" s="1"/>
  <c r="Y280" i="23" s="1"/>
  <c r="G280" i="23"/>
  <c r="CD280" i="6" s="1"/>
  <c r="H280" i="23"/>
  <c r="H232" i="23"/>
  <c r="AA232" i="23"/>
  <c r="Z232" i="23" s="1"/>
  <c r="Y232" i="23" s="1"/>
  <c r="G232" i="23"/>
  <c r="CD232" i="6" s="1"/>
  <c r="AA224" i="23"/>
  <c r="Z224" i="23" s="1"/>
  <c r="Y224" i="23" s="1"/>
  <c r="G224" i="23"/>
  <c r="CD224" i="6" s="1"/>
  <c r="H224" i="23"/>
  <c r="G216" i="23"/>
  <c r="CD216" i="6" s="1"/>
  <c r="AA216" i="23"/>
  <c r="Z216" i="23" s="1"/>
  <c r="Y216" i="23" s="1"/>
  <c r="H216" i="23"/>
  <c r="H200" i="23"/>
  <c r="G200" i="23"/>
  <c r="CD200" i="6" s="1"/>
  <c r="AA200" i="23"/>
  <c r="Z200" i="23" s="1"/>
  <c r="Y200" i="23" s="1"/>
  <c r="H192" i="23"/>
  <c r="G192" i="23"/>
  <c r="CD192" i="6" s="1"/>
  <c r="AA192" i="23"/>
  <c r="Z192" i="23" s="1"/>
  <c r="Y192" i="23" s="1"/>
  <c r="AA184" i="23"/>
  <c r="Z184" i="23" s="1"/>
  <c r="Y184" i="23" s="1"/>
  <c r="G184" i="23"/>
  <c r="CD184" i="6" s="1"/>
  <c r="H184" i="23"/>
  <c r="G152" i="23"/>
  <c r="CD152" i="6" s="1"/>
  <c r="AA152" i="23"/>
  <c r="Z152" i="23" s="1"/>
  <c r="Y152" i="23" s="1"/>
  <c r="H152" i="23"/>
  <c r="H104" i="23"/>
  <c r="G104" i="23"/>
  <c r="CD104" i="6" s="1"/>
  <c r="D88" i="23"/>
  <c r="E88" i="23" s="1"/>
  <c r="F88" i="23" s="1"/>
  <c r="W88" i="23"/>
  <c r="AA72" i="23"/>
  <c r="Z72" i="23" s="1"/>
  <c r="Y72" i="23" s="1"/>
  <c r="G72" i="23"/>
  <c r="CD72" i="6" s="1"/>
  <c r="H72" i="23"/>
  <c r="H24" i="23"/>
  <c r="G24" i="23"/>
  <c r="CD24" i="6" s="1"/>
  <c r="AA24" i="23"/>
  <c r="Z24" i="23" s="1"/>
  <c r="Y24" i="23" s="1"/>
  <c r="AA377" i="23"/>
  <c r="Z377" i="23" s="1"/>
  <c r="Y377" i="23" s="1"/>
  <c r="G377" i="23"/>
  <c r="CD377" i="6" s="1"/>
  <c r="H377" i="23"/>
  <c r="AA353" i="23"/>
  <c r="Z353" i="23" s="1"/>
  <c r="Y353" i="23" s="1"/>
  <c r="G353" i="23"/>
  <c r="CD353" i="6" s="1"/>
  <c r="H353" i="23"/>
  <c r="G337" i="23"/>
  <c r="CD337" i="6" s="1"/>
  <c r="H337" i="23"/>
  <c r="AA337" i="23"/>
  <c r="Z337" i="23" s="1"/>
  <c r="Y337" i="23" s="1"/>
  <c r="G329" i="23"/>
  <c r="CD329" i="6" s="1"/>
  <c r="H329" i="23"/>
  <c r="AA329" i="23"/>
  <c r="Z329" i="23" s="1"/>
  <c r="Y329" i="23" s="1"/>
  <c r="G313" i="23"/>
  <c r="CD313" i="6" s="1"/>
  <c r="H313" i="23"/>
  <c r="AA313" i="23"/>
  <c r="Z313" i="23" s="1"/>
  <c r="Y313" i="23" s="1"/>
  <c r="G289" i="23"/>
  <c r="CD289" i="6" s="1"/>
  <c r="H289" i="23"/>
  <c r="AA289" i="23"/>
  <c r="Z289" i="23" s="1"/>
  <c r="Y289" i="23" s="1"/>
  <c r="G265" i="23"/>
  <c r="CD265" i="6" s="1"/>
  <c r="AA265" i="23"/>
  <c r="Z265" i="23" s="1"/>
  <c r="Y265" i="23" s="1"/>
  <c r="H265" i="23"/>
  <c r="G249" i="23"/>
  <c r="CD249" i="6" s="1"/>
  <c r="AA249" i="23"/>
  <c r="Z249" i="23" s="1"/>
  <c r="Y249" i="23" s="1"/>
  <c r="H249" i="23"/>
  <c r="AA233" i="23"/>
  <c r="Z233" i="23" s="1"/>
  <c r="Y233" i="23" s="1"/>
  <c r="G233" i="23"/>
  <c r="CD233" i="6" s="1"/>
  <c r="H233" i="23"/>
  <c r="G225" i="23"/>
  <c r="CD225" i="6" s="1"/>
  <c r="H225" i="23"/>
  <c r="AA225" i="23"/>
  <c r="Z225" i="23" s="1"/>
  <c r="Y225" i="23" s="1"/>
  <c r="G209" i="23"/>
  <c r="CD209" i="6" s="1"/>
  <c r="AA209" i="23"/>
  <c r="Z209" i="23" s="1"/>
  <c r="Y209" i="23" s="1"/>
  <c r="H209" i="23"/>
  <c r="H193" i="23"/>
  <c r="G193" i="23"/>
  <c r="CD193" i="6" s="1"/>
  <c r="AA193" i="23"/>
  <c r="Z193" i="23" s="1"/>
  <c r="Y193" i="23" s="1"/>
  <c r="H185" i="23"/>
  <c r="G185" i="23"/>
  <c r="CD185" i="6" s="1"/>
  <c r="AA185" i="23"/>
  <c r="Z185" i="23" s="1"/>
  <c r="Y185" i="23" s="1"/>
  <c r="H122" i="23"/>
  <c r="G122" i="23"/>
  <c r="CD122" i="6" s="1"/>
  <c r="AA122" i="23"/>
  <c r="Z122" i="23" s="1"/>
  <c r="Y122" i="23" s="1"/>
  <c r="D68" i="19"/>
  <c r="AA58" i="23"/>
  <c r="Z58" i="23" s="1"/>
  <c r="Y58" i="23" s="1"/>
  <c r="G58" i="23"/>
  <c r="CD58" i="6" s="1"/>
  <c r="H58" i="23"/>
  <c r="G42" i="23"/>
  <c r="CD42" i="6" s="1"/>
  <c r="H42" i="23"/>
  <c r="AA42" i="23"/>
  <c r="Z42" i="23" s="1"/>
  <c r="Y42" i="23" s="1"/>
  <c r="AA31" i="23"/>
  <c r="Z31" i="23" s="1"/>
  <c r="Y31" i="23" s="1"/>
  <c r="G31" i="23"/>
  <c r="CD31" i="6" s="1"/>
  <c r="H31" i="23"/>
  <c r="G63" i="23"/>
  <c r="CD63" i="6" s="1"/>
  <c r="AA63" i="23"/>
  <c r="Z63" i="23" s="1"/>
  <c r="Y63" i="23" s="1"/>
  <c r="H63" i="23"/>
  <c r="AA111" i="23"/>
  <c r="Z111" i="23" s="1"/>
  <c r="Y111" i="23" s="1"/>
  <c r="G111" i="23"/>
  <c r="CD111" i="6" s="1"/>
  <c r="H111" i="23"/>
  <c r="G127" i="23"/>
  <c r="CD127" i="6" s="1"/>
  <c r="AA127" i="23"/>
  <c r="Z127" i="23" s="1"/>
  <c r="Y127" i="23" s="1"/>
  <c r="H127" i="23"/>
  <c r="AA155" i="23"/>
  <c r="Z155" i="23" s="1"/>
  <c r="Y155" i="23" s="1"/>
  <c r="H155" i="23"/>
  <c r="G155" i="23"/>
  <c r="CD155" i="6" s="1"/>
  <c r="AA21" i="23"/>
  <c r="Z21" i="23" s="1"/>
  <c r="Y21" i="23" s="1"/>
  <c r="G21" i="23"/>
  <c r="CD21" i="6" s="1"/>
  <c r="H21" i="23"/>
  <c r="AA51" i="23"/>
  <c r="Z51" i="23" s="1"/>
  <c r="Y51" i="23" s="1"/>
  <c r="G51" i="23"/>
  <c r="CD51" i="6" s="1"/>
  <c r="H51" i="23"/>
  <c r="G67" i="23"/>
  <c r="CD67" i="6" s="1"/>
  <c r="H67" i="23"/>
  <c r="AA67" i="23"/>
  <c r="Z67" i="23" s="1"/>
  <c r="Y67" i="23" s="1"/>
  <c r="AA83" i="23"/>
  <c r="Z83" i="23" s="1"/>
  <c r="Y83" i="23" s="1"/>
  <c r="G83" i="23"/>
  <c r="CD83" i="6" s="1"/>
  <c r="H83" i="23"/>
  <c r="AA99" i="23"/>
  <c r="Z99" i="23" s="1"/>
  <c r="Y99" i="23" s="1"/>
  <c r="G99" i="23"/>
  <c r="CD99" i="6" s="1"/>
  <c r="H99" i="23"/>
  <c r="AD383" i="22"/>
  <c r="AD382" i="22"/>
  <c r="AD381" i="22"/>
  <c r="P381" i="22"/>
  <c r="P382" i="22"/>
  <c r="P383" i="22"/>
  <c r="V15" i="22"/>
  <c r="W29" i="23"/>
  <c r="D29" i="23"/>
  <c r="E29" i="23" s="1"/>
  <c r="F29" i="23" s="1"/>
  <c r="H77" i="23"/>
  <c r="AA77" i="23"/>
  <c r="Z77" i="23" s="1"/>
  <c r="Y77" i="23" s="1"/>
  <c r="G77" i="23"/>
  <c r="CD77" i="6" s="1"/>
  <c r="G93" i="23"/>
  <c r="CD93" i="6" s="1"/>
  <c r="H93" i="23"/>
  <c r="AA93" i="23"/>
  <c r="Z93" i="23" s="1"/>
  <c r="Y93" i="23" s="1"/>
  <c r="G141" i="23"/>
  <c r="CD141" i="6" s="1"/>
  <c r="H141" i="23"/>
  <c r="AA141" i="23"/>
  <c r="Z141" i="23" s="1"/>
  <c r="Y141" i="23" s="1"/>
  <c r="H157" i="23"/>
  <c r="AA157" i="23"/>
  <c r="Z157" i="23" s="1"/>
  <c r="Y157" i="23" s="1"/>
  <c r="G157" i="23"/>
  <c r="CD157" i="6" s="1"/>
  <c r="AA378" i="23"/>
  <c r="Z378" i="23" s="1"/>
  <c r="Y378" i="23" s="1"/>
  <c r="G378" i="23"/>
  <c r="CD378" i="6" s="1"/>
  <c r="H378" i="23"/>
  <c r="AA370" i="23"/>
  <c r="Z370" i="23" s="1"/>
  <c r="Y370" i="23" s="1"/>
  <c r="H370" i="23"/>
  <c r="G370" i="23"/>
  <c r="CD370" i="6" s="1"/>
  <c r="G362" i="23"/>
  <c r="CD362" i="6" s="1"/>
  <c r="AA362" i="23"/>
  <c r="Z362" i="23" s="1"/>
  <c r="Y362" i="23" s="1"/>
  <c r="H362" i="23"/>
  <c r="AA354" i="23"/>
  <c r="Z354" i="23" s="1"/>
  <c r="Y354" i="23" s="1"/>
  <c r="H354" i="23"/>
  <c r="G354" i="23"/>
  <c r="CD354" i="6" s="1"/>
  <c r="G338" i="23"/>
  <c r="CD338" i="6" s="1"/>
  <c r="AA338" i="23"/>
  <c r="Z338" i="23" s="1"/>
  <c r="Y338" i="23" s="1"/>
  <c r="H338" i="23"/>
  <c r="H314" i="23"/>
  <c r="AA314" i="23"/>
  <c r="Z314" i="23" s="1"/>
  <c r="Y314" i="23" s="1"/>
  <c r="G314" i="23"/>
  <c r="CD314" i="6" s="1"/>
  <c r="AA290" i="23"/>
  <c r="Z290" i="23" s="1"/>
  <c r="Y290" i="23" s="1"/>
  <c r="G290" i="23"/>
  <c r="CD290" i="6" s="1"/>
  <c r="H290" i="23"/>
  <c r="AA282" i="23"/>
  <c r="Z282" i="23" s="1"/>
  <c r="Y282" i="23" s="1"/>
  <c r="G282" i="23"/>
  <c r="CD282" i="6" s="1"/>
  <c r="H282" i="23"/>
  <c r="AA274" i="23"/>
  <c r="Z274" i="23" s="1"/>
  <c r="Y274" i="23" s="1"/>
  <c r="G274" i="23"/>
  <c r="CD274" i="6" s="1"/>
  <c r="H274" i="23"/>
  <c r="H266" i="23"/>
  <c r="AA266" i="23"/>
  <c r="Z266" i="23" s="1"/>
  <c r="Y266" i="23" s="1"/>
  <c r="G266" i="23"/>
  <c r="CD266" i="6" s="1"/>
  <c r="AA218" i="23"/>
  <c r="Z218" i="23" s="1"/>
  <c r="Y218" i="23" s="1"/>
  <c r="G218" i="23"/>
  <c r="CD218" i="6" s="1"/>
  <c r="H218" i="23"/>
  <c r="AA194" i="23"/>
  <c r="Z194" i="23" s="1"/>
  <c r="Y194" i="23" s="1"/>
  <c r="G194" i="23"/>
  <c r="CD194" i="6" s="1"/>
  <c r="H194" i="23"/>
  <c r="H186" i="23"/>
  <c r="G186" i="23"/>
  <c r="CD186" i="6" s="1"/>
  <c r="AA186" i="23"/>
  <c r="Z186" i="23" s="1"/>
  <c r="Y186" i="23" s="1"/>
  <c r="G172" i="23"/>
  <c r="CD172" i="6" s="1"/>
  <c r="H172" i="23"/>
  <c r="AA172" i="23"/>
  <c r="Z172" i="23" s="1"/>
  <c r="Y172" i="23" s="1"/>
  <c r="G156" i="23"/>
  <c r="CD156" i="6" s="1"/>
  <c r="AA156" i="23"/>
  <c r="Z156" i="23" s="1"/>
  <c r="Y156" i="23" s="1"/>
  <c r="H156" i="23"/>
  <c r="H140" i="23"/>
  <c r="AA140" i="23"/>
  <c r="Z140" i="23" s="1"/>
  <c r="Y140" i="23" s="1"/>
  <c r="G140" i="23"/>
  <c r="CD140" i="6" s="1"/>
  <c r="AA108" i="23"/>
  <c r="Z108" i="23" s="1"/>
  <c r="Y108" i="23" s="1"/>
  <c r="G108" i="23"/>
  <c r="CD108" i="6" s="1"/>
  <c r="H108" i="23"/>
  <c r="C68" i="19"/>
  <c r="AA44" i="23"/>
  <c r="Z44" i="23" s="1"/>
  <c r="Y44" i="23" s="1"/>
  <c r="G44" i="23"/>
  <c r="CD44" i="6" s="1"/>
  <c r="H44" i="23"/>
  <c r="BA16" i="7"/>
  <c r="D42" i="19"/>
  <c r="V379" i="23"/>
  <c r="G347" i="23"/>
  <c r="CD347" i="6" s="1"/>
  <c r="AA347" i="23"/>
  <c r="Z347" i="23" s="1"/>
  <c r="Y347" i="23" s="1"/>
  <c r="H347" i="23"/>
  <c r="AA339" i="23"/>
  <c r="Z339" i="23" s="1"/>
  <c r="Y339" i="23" s="1"/>
  <c r="G339" i="23"/>
  <c r="CD339" i="6" s="1"/>
  <c r="H339" i="23"/>
  <c r="H331" i="23"/>
  <c r="AA331" i="23"/>
  <c r="Z331" i="23" s="1"/>
  <c r="Y331" i="23" s="1"/>
  <c r="G331" i="23"/>
  <c r="CD331" i="6" s="1"/>
  <c r="G323" i="23"/>
  <c r="CD323" i="6" s="1"/>
  <c r="AA323" i="23"/>
  <c r="Z323" i="23" s="1"/>
  <c r="Y323" i="23" s="1"/>
  <c r="H323" i="23"/>
  <c r="G307" i="23"/>
  <c r="CD307" i="6" s="1"/>
  <c r="H307" i="23"/>
  <c r="AA307" i="23"/>
  <c r="Z307" i="23" s="1"/>
  <c r="Y307" i="23" s="1"/>
  <c r="H275" i="23"/>
  <c r="AA275" i="23"/>
  <c r="Z275" i="23" s="1"/>
  <c r="Y275" i="23" s="1"/>
  <c r="G275" i="23"/>
  <c r="CD275" i="6" s="1"/>
  <c r="G259" i="23"/>
  <c r="CD259" i="6" s="1"/>
  <c r="H259" i="23"/>
  <c r="AA259" i="23"/>
  <c r="Z259" i="23" s="1"/>
  <c r="Y259" i="23" s="1"/>
  <c r="G251" i="23"/>
  <c r="CD251" i="6" s="1"/>
  <c r="AA251" i="23"/>
  <c r="Z251" i="23" s="1"/>
  <c r="Y251" i="23" s="1"/>
  <c r="H251" i="23"/>
  <c r="AA243" i="23"/>
  <c r="Z243" i="23" s="1"/>
  <c r="Y243" i="23" s="1"/>
  <c r="G243" i="23"/>
  <c r="CD243" i="6" s="1"/>
  <c r="H243" i="23"/>
  <c r="AA235" i="23"/>
  <c r="Z235" i="23" s="1"/>
  <c r="Y235" i="23" s="1"/>
  <c r="H235" i="23"/>
  <c r="G235" i="23"/>
  <c r="CD235" i="6" s="1"/>
  <c r="H219" i="23"/>
  <c r="AA219" i="23"/>
  <c r="Z219" i="23" s="1"/>
  <c r="Y219" i="23" s="1"/>
  <c r="G219" i="23"/>
  <c r="CD219" i="6" s="1"/>
  <c r="G195" i="23"/>
  <c r="CD195" i="6" s="1"/>
  <c r="H195" i="23"/>
  <c r="AA195" i="23"/>
  <c r="Z195" i="23" s="1"/>
  <c r="Y195" i="23" s="1"/>
  <c r="AA158" i="23"/>
  <c r="Z158" i="23" s="1"/>
  <c r="Y158" i="23" s="1"/>
  <c r="G158" i="23"/>
  <c r="CD158" i="6" s="1"/>
  <c r="H158" i="23"/>
  <c r="H126" i="23"/>
  <c r="G126" i="23"/>
  <c r="CD126" i="6" s="1"/>
  <c r="AA126" i="23"/>
  <c r="Z126" i="23" s="1"/>
  <c r="Y126" i="23" s="1"/>
  <c r="G78" i="23"/>
  <c r="CD78" i="6" s="1"/>
  <c r="AA78" i="23"/>
  <c r="Z78" i="23" s="1"/>
  <c r="Y78" i="23" s="1"/>
  <c r="H78" i="23"/>
  <c r="AA62" i="23"/>
  <c r="Z62" i="23" s="1"/>
  <c r="Y62" i="23" s="1"/>
  <c r="H62" i="23"/>
  <c r="G62" i="23"/>
  <c r="CD62" i="6" s="1"/>
  <c r="I333" i="22"/>
  <c r="J333" i="22"/>
  <c r="AA379" i="22"/>
  <c r="Z379" i="22" s="1"/>
  <c r="Y379" i="22" s="1"/>
  <c r="G379" i="22"/>
  <c r="CC379" i="6" s="1"/>
  <c r="G22" i="23"/>
  <c r="CD22" i="6" s="1"/>
  <c r="H22" i="23"/>
  <c r="AA22" i="23"/>
  <c r="Z22" i="23" s="1"/>
  <c r="Y22" i="23" s="1"/>
  <c r="G33" i="23"/>
  <c r="CD33" i="6" s="1"/>
  <c r="AA33" i="23"/>
  <c r="Z33" i="23" s="1"/>
  <c r="Y33" i="23" s="1"/>
  <c r="H33" i="23"/>
  <c r="G49" i="23"/>
  <c r="CD49" i="6" s="1"/>
  <c r="AA49" i="23"/>
  <c r="Z49" i="23" s="1"/>
  <c r="Y49" i="23" s="1"/>
  <c r="H49" i="23"/>
  <c r="AA81" i="23"/>
  <c r="Z81" i="23" s="1"/>
  <c r="Y81" i="23" s="1"/>
  <c r="H81" i="23"/>
  <c r="G81" i="23"/>
  <c r="CD81" i="6" s="1"/>
  <c r="G113" i="23"/>
  <c r="CD113" i="6" s="1"/>
  <c r="H113" i="23"/>
  <c r="AA113" i="23"/>
  <c r="Z113" i="23" s="1"/>
  <c r="Y113" i="23" s="1"/>
  <c r="G372" i="23"/>
  <c r="CD372" i="6" s="1"/>
  <c r="H372" i="23"/>
  <c r="AA372" i="23"/>
  <c r="Z372" i="23" s="1"/>
  <c r="Y372" i="23" s="1"/>
  <c r="G364" i="23"/>
  <c r="CD364" i="6" s="1"/>
  <c r="H364" i="23"/>
  <c r="AA364" i="23"/>
  <c r="Z364" i="23" s="1"/>
  <c r="Y364" i="23" s="1"/>
  <c r="G340" i="23"/>
  <c r="CD340" i="6" s="1"/>
  <c r="AA340" i="23"/>
  <c r="Z340" i="23" s="1"/>
  <c r="Y340" i="23" s="1"/>
  <c r="H340" i="23"/>
  <c r="H316" i="23"/>
  <c r="G316" i="23"/>
  <c r="CD316" i="6" s="1"/>
  <c r="AA316" i="23"/>
  <c r="Z316" i="23" s="1"/>
  <c r="Y316" i="23" s="1"/>
  <c r="AA300" i="23"/>
  <c r="Z300" i="23" s="1"/>
  <c r="Y300" i="23" s="1"/>
  <c r="H300" i="23"/>
  <c r="G300" i="23"/>
  <c r="CD300" i="6" s="1"/>
  <c r="H292" i="23"/>
  <c r="AA292" i="23"/>
  <c r="Z292" i="23" s="1"/>
  <c r="Y292" i="23" s="1"/>
  <c r="G292" i="23"/>
  <c r="CD292" i="6" s="1"/>
  <c r="AA276" i="23"/>
  <c r="Z276" i="23" s="1"/>
  <c r="Y276" i="23" s="1"/>
  <c r="G276" i="23"/>
  <c r="CD276" i="6" s="1"/>
  <c r="H276" i="23"/>
  <c r="G268" i="23"/>
  <c r="CD268" i="6" s="1"/>
  <c r="AA268" i="23"/>
  <c r="Z268" i="23" s="1"/>
  <c r="Y268" i="23" s="1"/>
  <c r="H268" i="23"/>
  <c r="AA252" i="23"/>
  <c r="Z252" i="23" s="1"/>
  <c r="Y252" i="23" s="1"/>
  <c r="G252" i="23"/>
  <c r="CD252" i="6" s="1"/>
  <c r="H252" i="23"/>
  <c r="H236" i="23"/>
  <c r="AA236" i="23"/>
  <c r="Z236" i="23" s="1"/>
  <c r="Y236" i="23" s="1"/>
  <c r="G236" i="23"/>
  <c r="CD236" i="6" s="1"/>
  <c r="AA228" i="23"/>
  <c r="Z228" i="23" s="1"/>
  <c r="Y228" i="23" s="1"/>
  <c r="G228" i="23"/>
  <c r="CD228" i="6" s="1"/>
  <c r="H228" i="23"/>
  <c r="AA196" i="23"/>
  <c r="Z196" i="23" s="1"/>
  <c r="Y196" i="23" s="1"/>
  <c r="G196" i="23"/>
  <c r="CD196" i="6" s="1"/>
  <c r="H188" i="23"/>
  <c r="G188" i="23"/>
  <c r="CD188" i="6" s="1"/>
  <c r="AA188" i="23"/>
  <c r="Z188" i="23" s="1"/>
  <c r="Y188" i="23" s="1"/>
  <c r="AA144" i="23"/>
  <c r="Z144" i="23" s="1"/>
  <c r="Y144" i="23" s="1"/>
  <c r="H144" i="23"/>
  <c r="G144" i="23"/>
  <c r="CD144" i="6" s="1"/>
  <c r="G128" i="23"/>
  <c r="CD128" i="6" s="1"/>
  <c r="H128" i="23"/>
  <c r="AA128" i="23"/>
  <c r="Z128" i="23" s="1"/>
  <c r="Y128" i="23" s="1"/>
  <c r="G80" i="23"/>
  <c r="CD80" i="6" s="1"/>
  <c r="AA80" i="23"/>
  <c r="Z80" i="23" s="1"/>
  <c r="Y80" i="23" s="1"/>
  <c r="H80" i="23"/>
  <c r="G64" i="23"/>
  <c r="CD64" i="6" s="1"/>
  <c r="AA64" i="23"/>
  <c r="Z64" i="23" s="1"/>
  <c r="Y64" i="23" s="1"/>
  <c r="H64" i="23"/>
  <c r="AA32" i="23"/>
  <c r="Z32" i="23" s="1"/>
  <c r="Y32" i="23" s="1"/>
  <c r="H32" i="23"/>
  <c r="G32" i="23"/>
  <c r="CD32" i="6" s="1"/>
  <c r="G373" i="23"/>
  <c r="CD373" i="6" s="1"/>
  <c r="H373" i="23"/>
  <c r="AA373" i="23"/>
  <c r="Z373" i="23" s="1"/>
  <c r="Y373" i="23" s="1"/>
  <c r="G357" i="23"/>
  <c r="CD357" i="6" s="1"/>
  <c r="H357" i="23"/>
  <c r="AA357" i="23"/>
  <c r="Z357" i="23" s="1"/>
  <c r="Y357" i="23" s="1"/>
  <c r="H341" i="23"/>
  <c r="G341" i="23"/>
  <c r="CD341" i="6" s="1"/>
  <c r="AA341" i="23"/>
  <c r="Z341" i="23" s="1"/>
  <c r="Y341" i="23" s="1"/>
  <c r="L68" i="19"/>
  <c r="H325" i="23"/>
  <c r="G325" i="23"/>
  <c r="CD325" i="6" s="1"/>
  <c r="AA325" i="23"/>
  <c r="Z325" i="23" s="1"/>
  <c r="Y325" i="23" s="1"/>
  <c r="H317" i="23"/>
  <c r="AA317" i="23"/>
  <c r="Z317" i="23" s="1"/>
  <c r="Y317" i="23" s="1"/>
  <c r="G317" i="23"/>
  <c r="CD317" i="6" s="1"/>
  <c r="G309" i="23"/>
  <c r="CD309" i="6" s="1"/>
  <c r="H309" i="23"/>
  <c r="AA309" i="23"/>
  <c r="Z309" i="23" s="1"/>
  <c r="Y309" i="23" s="1"/>
  <c r="H277" i="23"/>
  <c r="G277" i="23"/>
  <c r="CD277" i="6" s="1"/>
  <c r="AA277" i="23"/>
  <c r="Z277" i="23" s="1"/>
  <c r="Y277" i="23" s="1"/>
  <c r="H237" i="23"/>
  <c r="G237" i="23"/>
  <c r="CD237" i="6" s="1"/>
  <c r="AA237" i="23"/>
  <c r="Z237" i="23" s="1"/>
  <c r="Y237" i="23" s="1"/>
  <c r="G213" i="23"/>
  <c r="CD213" i="6" s="1"/>
  <c r="H213" i="23"/>
  <c r="AA213" i="23"/>
  <c r="Z213" i="23" s="1"/>
  <c r="Y213" i="23" s="1"/>
  <c r="AA205" i="23"/>
  <c r="Z205" i="23" s="1"/>
  <c r="Y205" i="23" s="1"/>
  <c r="G205" i="23"/>
  <c r="CD205" i="6" s="1"/>
  <c r="H205" i="23"/>
  <c r="G197" i="23"/>
  <c r="CD197" i="6" s="1"/>
  <c r="AA197" i="23"/>
  <c r="Z197" i="23" s="1"/>
  <c r="Y197" i="23" s="1"/>
  <c r="H197" i="23"/>
  <c r="G189" i="23"/>
  <c r="CD189" i="6" s="1"/>
  <c r="H189" i="23"/>
  <c r="AA189" i="23"/>
  <c r="Z189" i="23" s="1"/>
  <c r="Y189" i="23" s="1"/>
  <c r="AA178" i="23"/>
  <c r="Z178" i="23" s="1"/>
  <c r="Y178" i="23" s="1"/>
  <c r="G178" i="23"/>
  <c r="CD178" i="6" s="1"/>
  <c r="H178" i="23"/>
  <c r="G162" i="23"/>
  <c r="CD162" i="6" s="1"/>
  <c r="AA162" i="23"/>
  <c r="Z162" i="23" s="1"/>
  <c r="Y162" i="23" s="1"/>
  <c r="H162" i="23"/>
  <c r="G114" i="23"/>
  <c r="CD114" i="6" s="1"/>
  <c r="H114" i="23"/>
  <c r="AA114" i="23"/>
  <c r="Z114" i="23" s="1"/>
  <c r="Y114" i="23" s="1"/>
  <c r="G82" i="23"/>
  <c r="CD82" i="6" s="1"/>
  <c r="AA82" i="23"/>
  <c r="Z82" i="23" s="1"/>
  <c r="Y82" i="23" s="1"/>
  <c r="H82" i="23"/>
  <c r="G66" i="23"/>
  <c r="CD66" i="6" s="1"/>
  <c r="H66" i="23"/>
  <c r="AA66" i="23"/>
  <c r="Z66" i="23" s="1"/>
  <c r="Y66" i="23" s="1"/>
  <c r="H50" i="23"/>
  <c r="AA50" i="23"/>
  <c r="Z50" i="23" s="1"/>
  <c r="Y50" i="23" s="1"/>
  <c r="G50" i="23"/>
  <c r="CD50" i="6" s="1"/>
  <c r="T381" i="23"/>
  <c r="S15" i="23"/>
  <c r="T383" i="23"/>
  <c r="T382" i="23"/>
  <c r="H55" i="23"/>
  <c r="G55" i="23"/>
  <c r="CD55" i="6" s="1"/>
  <c r="AA55" i="23"/>
  <c r="Z55" i="23" s="1"/>
  <c r="Y55" i="23" s="1"/>
  <c r="G71" i="23"/>
  <c r="CD71" i="6" s="1"/>
  <c r="H71" i="23"/>
  <c r="AA71" i="23"/>
  <c r="Z71" i="23" s="1"/>
  <c r="Y71" i="23" s="1"/>
  <c r="G103" i="23"/>
  <c r="CD103" i="6" s="1"/>
  <c r="AA103" i="23"/>
  <c r="Z103" i="23" s="1"/>
  <c r="Y103" i="23" s="1"/>
  <c r="H103" i="23"/>
  <c r="E68" i="19"/>
  <c r="G27" i="23"/>
  <c r="CD27" i="6" s="1"/>
  <c r="AA27" i="23"/>
  <c r="Z27" i="23" s="1"/>
  <c r="Y27" i="23" s="1"/>
  <c r="H27" i="23"/>
  <c r="G43" i="23"/>
  <c r="CD43" i="6" s="1"/>
  <c r="H43" i="23"/>
  <c r="AA43" i="23"/>
  <c r="Z43" i="23" s="1"/>
  <c r="Y43" i="23" s="1"/>
  <c r="G59" i="23"/>
  <c r="CD59" i="6" s="1"/>
  <c r="AA59" i="23"/>
  <c r="Z59" i="23" s="1"/>
  <c r="Y59" i="23" s="1"/>
  <c r="H59" i="23"/>
  <c r="H75" i="23"/>
  <c r="G75" i="23"/>
  <c r="CD75" i="6" s="1"/>
  <c r="AA75" i="23"/>
  <c r="Z75" i="23" s="1"/>
  <c r="Y75" i="23" s="1"/>
  <c r="G91" i="23"/>
  <c r="CD91" i="6" s="1"/>
  <c r="AA91" i="23"/>
  <c r="Z91" i="23" s="1"/>
  <c r="Y91" i="23" s="1"/>
  <c r="H91" i="23"/>
  <c r="AA107" i="23"/>
  <c r="Z107" i="23" s="1"/>
  <c r="Y107" i="23" s="1"/>
  <c r="G107" i="23"/>
  <c r="CD107" i="6" s="1"/>
  <c r="H107" i="23"/>
  <c r="G123" i="23"/>
  <c r="CD123" i="6" s="1"/>
  <c r="H123" i="23"/>
  <c r="AA123" i="23"/>
  <c r="Z123" i="23" s="1"/>
  <c r="Y123" i="23" s="1"/>
  <c r="AA175" i="23"/>
  <c r="Z175" i="23" s="1"/>
  <c r="Y175" i="23" s="1"/>
  <c r="G175" i="23"/>
  <c r="CD175" i="6" s="1"/>
  <c r="H175" i="23"/>
  <c r="G69" i="23"/>
  <c r="CD69" i="6" s="1"/>
  <c r="H69" i="23"/>
  <c r="AA69" i="23"/>
  <c r="Z69" i="23" s="1"/>
  <c r="Y69" i="23" s="1"/>
  <c r="AA85" i="23"/>
  <c r="Z85" i="23" s="1"/>
  <c r="Y85" i="23" s="1"/>
  <c r="G85" i="23"/>
  <c r="CD85" i="6" s="1"/>
  <c r="H85" i="23"/>
  <c r="AA101" i="23"/>
  <c r="Z101" i="23" s="1"/>
  <c r="Y101" i="23" s="1"/>
  <c r="G101" i="23"/>
  <c r="CD101" i="6" s="1"/>
  <c r="H101" i="23"/>
  <c r="AA117" i="23"/>
  <c r="Z117" i="23" s="1"/>
  <c r="Y117" i="23" s="1"/>
  <c r="G117" i="23"/>
  <c r="CD117" i="6" s="1"/>
  <c r="H117" i="23"/>
  <c r="F68" i="19"/>
  <c r="G181" i="23"/>
  <c r="CD181" i="6" s="1"/>
  <c r="H181" i="23"/>
  <c r="AA181" i="23"/>
  <c r="Z181" i="23" s="1"/>
  <c r="Y181" i="23" s="1"/>
  <c r="AA374" i="23"/>
  <c r="Z374" i="23" s="1"/>
  <c r="Y374" i="23" s="1"/>
  <c r="G374" i="23"/>
  <c r="CD374" i="6" s="1"/>
  <c r="H374" i="23"/>
  <c r="AA358" i="23"/>
  <c r="Z358" i="23" s="1"/>
  <c r="Y358" i="23" s="1"/>
  <c r="G358" i="23"/>
  <c r="CD358" i="6" s="1"/>
  <c r="H358" i="23"/>
  <c r="H350" i="23"/>
  <c r="AA350" i="23"/>
  <c r="Z350" i="23" s="1"/>
  <c r="Y350" i="23" s="1"/>
  <c r="G350" i="23"/>
  <c r="CD350" i="6" s="1"/>
  <c r="H342" i="23"/>
  <c r="AA342" i="23"/>
  <c r="Z342" i="23" s="1"/>
  <c r="Y342" i="23" s="1"/>
  <c r="G342" i="23"/>
  <c r="CD342" i="6" s="1"/>
  <c r="AA334" i="23"/>
  <c r="Z334" i="23" s="1"/>
  <c r="Y334" i="23" s="1"/>
  <c r="H334" i="23"/>
  <c r="G334" i="23"/>
  <c r="CD334" i="6" s="1"/>
  <c r="G326" i="23"/>
  <c r="CD326" i="6" s="1"/>
  <c r="H326" i="23"/>
  <c r="AA326" i="23"/>
  <c r="Z326" i="23" s="1"/>
  <c r="Y326" i="23" s="1"/>
  <c r="AA318" i="23"/>
  <c r="Z318" i="23" s="1"/>
  <c r="Y318" i="23" s="1"/>
  <c r="G318" i="23"/>
  <c r="CD318" i="6" s="1"/>
  <c r="H318" i="23"/>
  <c r="AA278" i="23"/>
  <c r="Z278" i="23" s="1"/>
  <c r="Y278" i="23" s="1"/>
  <c r="G278" i="23"/>
  <c r="CD278" i="6" s="1"/>
  <c r="H278" i="23"/>
  <c r="H262" i="23"/>
  <c r="AA262" i="23"/>
  <c r="Z262" i="23" s="1"/>
  <c r="Y262" i="23" s="1"/>
  <c r="G262" i="23"/>
  <c r="CD262" i="6" s="1"/>
  <c r="G246" i="23"/>
  <c r="CD246" i="6" s="1"/>
  <c r="H246" i="23"/>
  <c r="AA246" i="23"/>
  <c r="Z246" i="23" s="1"/>
  <c r="Y246" i="23" s="1"/>
  <c r="G238" i="23"/>
  <c r="CD238" i="6" s="1"/>
  <c r="H238" i="23"/>
  <c r="AA238" i="23"/>
  <c r="Z238" i="23" s="1"/>
  <c r="Y238" i="23" s="1"/>
  <c r="G214" i="23"/>
  <c r="CD214" i="6" s="1"/>
  <c r="H214" i="23"/>
  <c r="AA214" i="23"/>
  <c r="Z214" i="23" s="1"/>
  <c r="Y214" i="23" s="1"/>
  <c r="G198" i="23"/>
  <c r="CD198" i="6" s="1"/>
  <c r="AA198" i="23"/>
  <c r="Z198" i="23" s="1"/>
  <c r="Y198" i="23" s="1"/>
  <c r="H198" i="23"/>
  <c r="G68" i="19"/>
  <c r="AA164" i="23"/>
  <c r="Z164" i="23" s="1"/>
  <c r="Y164" i="23" s="1"/>
  <c r="G164" i="23"/>
  <c r="CD164" i="6" s="1"/>
  <c r="H164" i="23"/>
  <c r="H148" i="23"/>
  <c r="G148" i="23"/>
  <c r="CD148" i="6" s="1"/>
  <c r="AA148" i="23"/>
  <c r="Z148" i="23" s="1"/>
  <c r="Y148" i="23" s="1"/>
  <c r="AA116" i="23"/>
  <c r="Z116" i="23" s="1"/>
  <c r="Y116" i="23" s="1"/>
  <c r="H116" i="23"/>
  <c r="G116" i="23"/>
  <c r="CD116" i="6" s="1"/>
  <c r="G100" i="23"/>
  <c r="CD100" i="6" s="1"/>
  <c r="H100" i="23"/>
  <c r="AA100" i="23"/>
  <c r="Z100" i="23" s="1"/>
  <c r="Y100" i="23" s="1"/>
  <c r="H68" i="23"/>
  <c r="G68" i="23"/>
  <c r="CD68" i="6" s="1"/>
  <c r="AA68" i="23"/>
  <c r="Z68" i="23" s="1"/>
  <c r="Y68" i="23" s="1"/>
  <c r="G52" i="23"/>
  <c r="CD52" i="6" s="1"/>
  <c r="AA52" i="23"/>
  <c r="Z52" i="23" s="1"/>
  <c r="Y52" i="23" s="1"/>
  <c r="H52" i="23"/>
  <c r="AA36" i="23"/>
  <c r="Z36" i="23" s="1"/>
  <c r="Y36" i="23" s="1"/>
  <c r="G36" i="23"/>
  <c r="CD36" i="6" s="1"/>
  <c r="H36" i="23"/>
  <c r="H375" i="23"/>
  <c r="G375" i="23"/>
  <c r="CD375" i="6" s="1"/>
  <c r="AA375" i="23"/>
  <c r="Z375" i="23" s="1"/>
  <c r="Y375" i="23" s="1"/>
  <c r="G359" i="23"/>
  <c r="CD359" i="6" s="1"/>
  <c r="AA359" i="23"/>
  <c r="Z359" i="23" s="1"/>
  <c r="Y359" i="23" s="1"/>
  <c r="H359" i="23"/>
  <c r="H351" i="23"/>
  <c r="G351" i="23"/>
  <c r="CD351" i="6" s="1"/>
  <c r="AA351" i="23"/>
  <c r="Z351" i="23" s="1"/>
  <c r="Y351" i="23" s="1"/>
  <c r="G335" i="23"/>
  <c r="CD335" i="6" s="1"/>
  <c r="AA335" i="23"/>
  <c r="Z335" i="23" s="1"/>
  <c r="Y335" i="23" s="1"/>
  <c r="H335" i="23"/>
  <c r="G327" i="23"/>
  <c r="CD327" i="6" s="1"/>
  <c r="H327" i="23"/>
  <c r="AA327" i="23"/>
  <c r="Z327" i="23" s="1"/>
  <c r="Y327" i="23" s="1"/>
  <c r="H311" i="23"/>
  <c r="AA311" i="23"/>
  <c r="Z311" i="23" s="1"/>
  <c r="Y311" i="23" s="1"/>
  <c r="G311" i="23"/>
  <c r="CD311" i="6" s="1"/>
  <c r="G303" i="23"/>
  <c r="CD303" i="6" s="1"/>
  <c r="AA303" i="23"/>
  <c r="Z303" i="23" s="1"/>
  <c r="Y303" i="23" s="1"/>
  <c r="H303" i="23"/>
  <c r="G295" i="23"/>
  <c r="CD295" i="6" s="1"/>
  <c r="AA295" i="23"/>
  <c r="Z295" i="23" s="1"/>
  <c r="Y295" i="23" s="1"/>
  <c r="H295" i="23"/>
  <c r="AA287" i="23"/>
  <c r="Z287" i="23" s="1"/>
  <c r="Y287" i="23" s="1"/>
  <c r="G287" i="23"/>
  <c r="CD287" i="6" s="1"/>
  <c r="H287" i="23"/>
  <c r="AA279" i="23"/>
  <c r="Z279" i="23" s="1"/>
  <c r="Y279" i="23" s="1"/>
  <c r="H279" i="23"/>
  <c r="G279" i="23"/>
  <c r="CD279" i="6" s="1"/>
  <c r="H263" i="23"/>
  <c r="G263" i="23"/>
  <c r="CD263" i="6" s="1"/>
  <c r="AA263" i="23"/>
  <c r="Z263" i="23" s="1"/>
  <c r="Y263" i="23" s="1"/>
  <c r="AA255" i="23"/>
  <c r="Z255" i="23" s="1"/>
  <c r="Y255" i="23" s="1"/>
  <c r="G255" i="23"/>
  <c r="CD255" i="6" s="1"/>
  <c r="H255" i="23"/>
  <c r="G239" i="23"/>
  <c r="CD239" i="6" s="1"/>
  <c r="H239" i="23"/>
  <c r="AA239" i="23"/>
  <c r="Z239" i="23" s="1"/>
  <c r="Y239" i="23" s="1"/>
  <c r="G223" i="23"/>
  <c r="CD223" i="6" s="1"/>
  <c r="AA223" i="23"/>
  <c r="Z223" i="23" s="1"/>
  <c r="Y223" i="23" s="1"/>
  <c r="H223" i="23"/>
  <c r="AA199" i="23"/>
  <c r="Z199" i="23" s="1"/>
  <c r="Y199" i="23" s="1"/>
  <c r="G199" i="23"/>
  <c r="CD199" i="6" s="1"/>
  <c r="H199" i="23"/>
  <c r="H191" i="23"/>
  <c r="AA191" i="23"/>
  <c r="Z191" i="23" s="1"/>
  <c r="Y191" i="23" s="1"/>
  <c r="G191" i="23"/>
  <c r="CD191" i="6" s="1"/>
  <c r="G118" i="23"/>
  <c r="CD118" i="6" s="1"/>
  <c r="AA118" i="23"/>
  <c r="Z118" i="23" s="1"/>
  <c r="Y118" i="23" s="1"/>
  <c r="H118" i="23"/>
  <c r="G54" i="23"/>
  <c r="CD54" i="6" s="1"/>
  <c r="AA54" i="23"/>
  <c r="Z54" i="23" s="1"/>
  <c r="Y54" i="23" s="1"/>
  <c r="H54" i="23"/>
  <c r="AA20" i="23"/>
  <c r="Z20" i="23" s="1"/>
  <c r="Y20" i="23" s="1"/>
  <c r="H20" i="23"/>
  <c r="G20" i="23"/>
  <c r="CD20" i="6" s="1"/>
  <c r="J241" i="22"/>
  <c r="I241" i="22"/>
  <c r="J272" i="22"/>
  <c r="I272" i="22"/>
  <c r="G73" i="23"/>
  <c r="CD73" i="6" s="1"/>
  <c r="H73" i="23"/>
  <c r="AA73" i="23"/>
  <c r="Z73" i="23" s="1"/>
  <c r="Y73" i="23" s="1"/>
  <c r="G89" i="23"/>
  <c r="CD89" i="6" s="1"/>
  <c r="H89" i="23"/>
  <c r="AA89" i="23"/>
  <c r="Z89" i="23" s="1"/>
  <c r="Y89" i="23" s="1"/>
  <c r="H121" i="23"/>
  <c r="G121" i="23"/>
  <c r="CD121" i="6" s="1"/>
  <c r="AA121" i="23"/>
  <c r="Z121" i="23" s="1"/>
  <c r="Y121" i="23" s="1"/>
  <c r="H153" i="23"/>
  <c r="G153" i="23"/>
  <c r="CD153" i="6" s="1"/>
  <c r="AA153" i="23"/>
  <c r="Z153" i="23" s="1"/>
  <c r="Y153" i="23" s="1"/>
  <c r="G368" i="23"/>
  <c r="CD368" i="6" s="1"/>
  <c r="H368" i="23"/>
  <c r="AA368" i="23"/>
  <c r="Z368" i="23" s="1"/>
  <c r="Y368" i="23" s="1"/>
  <c r="H360" i="23"/>
  <c r="G360" i="23"/>
  <c r="CD360" i="6" s="1"/>
  <c r="AA360" i="23"/>
  <c r="Z360" i="23" s="1"/>
  <c r="Y360" i="23" s="1"/>
  <c r="H352" i="23"/>
  <c r="G352" i="23"/>
  <c r="CD352" i="6" s="1"/>
  <c r="AA352" i="23"/>
  <c r="Z352" i="23" s="1"/>
  <c r="Y352" i="23" s="1"/>
  <c r="G336" i="23"/>
  <c r="CD336" i="6" s="1"/>
  <c r="H336" i="23"/>
  <c r="AA336" i="23"/>
  <c r="Z336" i="23" s="1"/>
  <c r="Y336" i="23" s="1"/>
  <c r="G312" i="23"/>
  <c r="CD312" i="6" s="1"/>
  <c r="AA312" i="23"/>
  <c r="Z312" i="23" s="1"/>
  <c r="Y312" i="23" s="1"/>
  <c r="H312" i="23"/>
  <c r="G296" i="23"/>
  <c r="CD296" i="6" s="1"/>
  <c r="H296" i="23"/>
  <c r="AA296" i="23"/>
  <c r="Z296" i="23" s="1"/>
  <c r="Y296" i="23" s="1"/>
  <c r="D288" i="23"/>
  <c r="E288" i="23" s="1"/>
  <c r="F288" i="23" s="1"/>
  <c r="W288" i="23"/>
  <c r="J68" i="19"/>
  <c r="AA264" i="23"/>
  <c r="Z264" i="23" s="1"/>
  <c r="Y264" i="23" s="1"/>
  <c r="G264" i="23"/>
  <c r="CD264" i="6" s="1"/>
  <c r="H264" i="23"/>
  <c r="H256" i="23"/>
  <c r="G256" i="23"/>
  <c r="CD256" i="6" s="1"/>
  <c r="AA256" i="23"/>
  <c r="Z256" i="23" s="1"/>
  <c r="Y256" i="23" s="1"/>
  <c r="AA248" i="23"/>
  <c r="Z248" i="23" s="1"/>
  <c r="Y248" i="23" s="1"/>
  <c r="H248" i="23"/>
  <c r="G248" i="23"/>
  <c r="CD248" i="6" s="1"/>
  <c r="H240" i="23"/>
  <c r="G240" i="23"/>
  <c r="CD240" i="6" s="1"/>
  <c r="AA240" i="23"/>
  <c r="Z240" i="23" s="1"/>
  <c r="Y240" i="23" s="1"/>
  <c r="G208" i="23"/>
  <c r="CD208" i="6" s="1"/>
  <c r="AA208" i="23"/>
  <c r="Z208" i="23" s="1"/>
  <c r="Y208" i="23" s="1"/>
  <c r="H208" i="23"/>
  <c r="H168" i="23"/>
  <c r="G168" i="23"/>
  <c r="CD168" i="6" s="1"/>
  <c r="AA168" i="23"/>
  <c r="Z168" i="23" s="1"/>
  <c r="Y168" i="23" s="1"/>
  <c r="G136" i="23"/>
  <c r="CD136" i="6" s="1"/>
  <c r="H136" i="23"/>
  <c r="AA136" i="23"/>
  <c r="Z136" i="23" s="1"/>
  <c r="Y136" i="23" s="1"/>
  <c r="H120" i="23"/>
  <c r="G120" i="23"/>
  <c r="CD120" i="6" s="1"/>
  <c r="AA120" i="23"/>
  <c r="Z120" i="23" s="1"/>
  <c r="Y120" i="23" s="1"/>
  <c r="H56" i="23"/>
  <c r="G56" i="23"/>
  <c r="CD56" i="6" s="1"/>
  <c r="AA56" i="23"/>
  <c r="Z56" i="23" s="1"/>
  <c r="Y56" i="23" s="1"/>
  <c r="H40" i="23"/>
  <c r="AA40" i="23"/>
  <c r="Z40" i="23" s="1"/>
  <c r="Y40" i="23" s="1"/>
  <c r="G40" i="23"/>
  <c r="CD40" i="6" s="1"/>
  <c r="G369" i="23"/>
  <c r="CD369" i="6" s="1"/>
  <c r="AA369" i="23"/>
  <c r="Z369" i="23" s="1"/>
  <c r="Y369" i="23" s="1"/>
  <c r="H369" i="23"/>
  <c r="AA361" i="23"/>
  <c r="Z361" i="23" s="1"/>
  <c r="Y361" i="23" s="1"/>
  <c r="H361" i="23"/>
  <c r="G361" i="23"/>
  <c r="CD361" i="6" s="1"/>
  <c r="AA345" i="23"/>
  <c r="Z345" i="23" s="1"/>
  <c r="Y345" i="23" s="1"/>
  <c r="H345" i="23"/>
  <c r="G345" i="23"/>
  <c r="CD345" i="6" s="1"/>
  <c r="G321" i="23"/>
  <c r="CD321" i="6" s="1"/>
  <c r="H321" i="23"/>
  <c r="AA321" i="23"/>
  <c r="Z321" i="23" s="1"/>
  <c r="Y321" i="23" s="1"/>
  <c r="H305" i="23"/>
  <c r="G305" i="23"/>
  <c r="CD305" i="6" s="1"/>
  <c r="AA305" i="23"/>
  <c r="Z305" i="23" s="1"/>
  <c r="Y305" i="23" s="1"/>
  <c r="G297" i="23"/>
  <c r="CD297" i="6" s="1"/>
  <c r="H297" i="23"/>
  <c r="AA297" i="23"/>
  <c r="Z297" i="23" s="1"/>
  <c r="Y297" i="23" s="1"/>
  <c r="AA281" i="23"/>
  <c r="Z281" i="23" s="1"/>
  <c r="Y281" i="23" s="1"/>
  <c r="G281" i="23"/>
  <c r="CD281" i="6" s="1"/>
  <c r="H281" i="23"/>
  <c r="AA273" i="23"/>
  <c r="Z273" i="23" s="1"/>
  <c r="Y273" i="23" s="1"/>
  <c r="H273" i="23"/>
  <c r="G273" i="23"/>
  <c r="CD273" i="6" s="1"/>
  <c r="G257" i="23"/>
  <c r="CD257" i="6" s="1"/>
  <c r="H257" i="23"/>
  <c r="AA257" i="23"/>
  <c r="Z257" i="23" s="1"/>
  <c r="Y257" i="23" s="1"/>
  <c r="I68" i="19"/>
  <c r="H217" i="23"/>
  <c r="AA217" i="23"/>
  <c r="Z217" i="23" s="1"/>
  <c r="Y217" i="23" s="1"/>
  <c r="G217" i="23"/>
  <c r="CD217" i="6" s="1"/>
  <c r="AA201" i="23"/>
  <c r="Z201" i="23" s="1"/>
  <c r="Y201" i="23" s="1"/>
  <c r="H201" i="23"/>
  <c r="G201" i="23"/>
  <c r="CD201" i="6" s="1"/>
  <c r="G170" i="23"/>
  <c r="CD170" i="6" s="1"/>
  <c r="AA170" i="23"/>
  <c r="Z170" i="23" s="1"/>
  <c r="Y170" i="23" s="1"/>
  <c r="H170" i="23"/>
  <c r="H154" i="23"/>
  <c r="G154" i="23"/>
  <c r="CD154" i="6" s="1"/>
  <c r="AA154" i="23"/>
  <c r="Z154" i="23" s="1"/>
  <c r="Y154" i="23" s="1"/>
  <c r="AA138" i="23"/>
  <c r="Z138" i="23" s="1"/>
  <c r="Y138" i="23" s="1"/>
  <c r="H138" i="23"/>
  <c r="G138" i="23"/>
  <c r="CD138" i="6" s="1"/>
  <c r="G106" i="23"/>
  <c r="CD106" i="6" s="1"/>
  <c r="AA106" i="23"/>
  <c r="Z106" i="23" s="1"/>
  <c r="Y106" i="23" s="1"/>
  <c r="H106" i="23"/>
  <c r="H90" i="23"/>
  <c r="G90" i="23"/>
  <c r="CD90" i="6" s="1"/>
  <c r="AA90" i="23"/>
  <c r="Z90" i="23" s="1"/>
  <c r="Y90" i="23" s="1"/>
  <c r="W74" i="23"/>
  <c r="D74" i="23"/>
  <c r="E74" i="23" s="1"/>
  <c r="F74" i="23" s="1"/>
  <c r="AA26" i="23"/>
  <c r="Z26" i="23" s="1"/>
  <c r="Y26" i="23" s="1"/>
  <c r="G26" i="23"/>
  <c r="CD26" i="6" s="1"/>
  <c r="H26" i="23"/>
  <c r="H227" i="23"/>
  <c r="I258" i="23"/>
  <c r="AE382" i="25"/>
  <c r="AE381" i="25"/>
  <c r="AM9" i="20"/>
  <c r="AK9" i="20"/>
  <c r="AF104" i="23"/>
  <c r="AG383" i="23"/>
  <c r="AG382" i="23"/>
  <c r="AG381" i="23"/>
  <c r="AK11" i="20"/>
  <c r="AK5" i="22"/>
  <c r="AL7" i="18"/>
  <c r="J319" i="23"/>
  <c r="I319" i="23"/>
  <c r="J166" i="23"/>
  <c r="I166" i="23"/>
  <c r="Y15" i="18"/>
  <c r="AL5" i="18" s="1"/>
  <c r="G15" i="20"/>
  <c r="CB15" i="6" s="1"/>
  <c r="H15" i="20"/>
  <c r="AA15" i="20"/>
  <c r="U43" i="24" l="1"/>
  <c r="T43" i="24" s="1"/>
  <c r="S43" i="24" s="1"/>
  <c r="R43" i="24" s="1"/>
  <c r="P43" i="24" s="1"/>
  <c r="V43" i="24" s="1"/>
  <c r="U75" i="24"/>
  <c r="T75" i="24" s="1"/>
  <c r="S75" i="24" s="1"/>
  <c r="R75" i="24" s="1"/>
  <c r="P75" i="24" s="1"/>
  <c r="V75" i="24" s="1"/>
  <c r="W75" i="24" s="1"/>
  <c r="U107" i="24"/>
  <c r="T107" i="24" s="1"/>
  <c r="S107" i="24" s="1"/>
  <c r="R107" i="24" s="1"/>
  <c r="P107" i="24" s="1"/>
  <c r="V107" i="24" s="1"/>
  <c r="U139" i="24"/>
  <c r="T139" i="24" s="1"/>
  <c r="S139" i="24" s="1"/>
  <c r="R139" i="24" s="1"/>
  <c r="P139" i="24" s="1"/>
  <c r="V139" i="24" s="1"/>
  <c r="D139" i="24" s="1"/>
  <c r="E139" i="24" s="1"/>
  <c r="F139" i="24" s="1"/>
  <c r="U171" i="24"/>
  <c r="T171" i="24" s="1"/>
  <c r="S171" i="24" s="1"/>
  <c r="R171" i="24" s="1"/>
  <c r="P171" i="24" s="1"/>
  <c r="V171" i="24" s="1"/>
  <c r="U191" i="24"/>
  <c r="T191" i="24" s="1"/>
  <c r="S191" i="24" s="1"/>
  <c r="R191" i="24" s="1"/>
  <c r="P191" i="24" s="1"/>
  <c r="V191" i="24" s="1"/>
  <c r="D191" i="24" s="1"/>
  <c r="E191" i="24" s="1"/>
  <c r="F191" i="24" s="1"/>
  <c r="U207" i="24"/>
  <c r="T207" i="24" s="1"/>
  <c r="S207" i="24" s="1"/>
  <c r="R207" i="24" s="1"/>
  <c r="P207" i="24" s="1"/>
  <c r="V207" i="24" s="1"/>
  <c r="U223" i="24"/>
  <c r="T223" i="24" s="1"/>
  <c r="S223" i="24" s="1"/>
  <c r="R223" i="24" s="1"/>
  <c r="P223" i="24" s="1"/>
  <c r="V223" i="24" s="1"/>
  <c r="W223" i="24" s="1"/>
  <c r="U239" i="24"/>
  <c r="T239" i="24" s="1"/>
  <c r="S239" i="24" s="1"/>
  <c r="R239" i="24" s="1"/>
  <c r="P239" i="24" s="1"/>
  <c r="V239" i="24" s="1"/>
  <c r="U255" i="24"/>
  <c r="T255" i="24" s="1"/>
  <c r="S255" i="24" s="1"/>
  <c r="R255" i="24" s="1"/>
  <c r="P255" i="24" s="1"/>
  <c r="V255" i="24" s="1"/>
  <c r="W255" i="24" s="1"/>
  <c r="U271" i="24"/>
  <c r="T271" i="24" s="1"/>
  <c r="S271" i="24" s="1"/>
  <c r="R271" i="24" s="1"/>
  <c r="P271" i="24" s="1"/>
  <c r="V271" i="24" s="1"/>
  <c r="U287" i="24"/>
  <c r="T287" i="24" s="1"/>
  <c r="S287" i="24" s="1"/>
  <c r="R287" i="24" s="1"/>
  <c r="P287" i="24" s="1"/>
  <c r="V287" i="24" s="1"/>
  <c r="W287" i="24" s="1"/>
  <c r="U303" i="24"/>
  <c r="T303" i="24" s="1"/>
  <c r="S303" i="24" s="1"/>
  <c r="R303" i="24" s="1"/>
  <c r="P303" i="24" s="1"/>
  <c r="V303" i="24" s="1"/>
  <c r="U319" i="24"/>
  <c r="T319" i="24" s="1"/>
  <c r="S319" i="24" s="1"/>
  <c r="R319" i="24" s="1"/>
  <c r="P319" i="24" s="1"/>
  <c r="V319" i="24" s="1"/>
  <c r="U335" i="24"/>
  <c r="T335" i="24" s="1"/>
  <c r="S335" i="24" s="1"/>
  <c r="R335" i="24" s="1"/>
  <c r="P335" i="24" s="1"/>
  <c r="V335" i="24" s="1"/>
  <c r="U351" i="24"/>
  <c r="T351" i="24" s="1"/>
  <c r="S351" i="24" s="1"/>
  <c r="R351" i="24" s="1"/>
  <c r="P351" i="24" s="1"/>
  <c r="V351" i="24" s="1"/>
  <c r="D351" i="24" s="1"/>
  <c r="E351" i="24" s="1"/>
  <c r="F351" i="24" s="1"/>
  <c r="U367" i="24"/>
  <c r="T367" i="24" s="1"/>
  <c r="S367" i="24" s="1"/>
  <c r="R367" i="24" s="1"/>
  <c r="P367" i="24" s="1"/>
  <c r="V367" i="24" s="1"/>
  <c r="U176" i="24"/>
  <c r="T176" i="24" s="1"/>
  <c r="S176" i="24" s="1"/>
  <c r="R176" i="24" s="1"/>
  <c r="P176" i="24" s="1"/>
  <c r="V176" i="24" s="1"/>
  <c r="D176" i="24" s="1"/>
  <c r="E176" i="24" s="1"/>
  <c r="F176" i="24" s="1"/>
  <c r="U160" i="24"/>
  <c r="T160" i="24" s="1"/>
  <c r="S160" i="24" s="1"/>
  <c r="R160" i="24" s="1"/>
  <c r="P160" i="24" s="1"/>
  <c r="V160" i="24" s="1"/>
  <c r="U144" i="24"/>
  <c r="T144" i="24" s="1"/>
  <c r="S144" i="24" s="1"/>
  <c r="R144" i="24" s="1"/>
  <c r="P144" i="24" s="1"/>
  <c r="V144" i="24" s="1"/>
  <c r="D144" i="24" s="1"/>
  <c r="E144" i="24" s="1"/>
  <c r="F144" i="24" s="1"/>
  <c r="U128" i="24"/>
  <c r="T128" i="24" s="1"/>
  <c r="S128" i="24" s="1"/>
  <c r="R128" i="24" s="1"/>
  <c r="P128" i="24" s="1"/>
  <c r="V128" i="24" s="1"/>
  <c r="U112" i="24"/>
  <c r="T112" i="24" s="1"/>
  <c r="S112" i="24" s="1"/>
  <c r="R112" i="24" s="1"/>
  <c r="P112" i="24" s="1"/>
  <c r="V112" i="24" s="1"/>
  <c r="D112" i="24" s="1"/>
  <c r="E112" i="24" s="1"/>
  <c r="F112" i="24" s="1"/>
  <c r="U96" i="24"/>
  <c r="T96" i="24" s="1"/>
  <c r="S96" i="24" s="1"/>
  <c r="R96" i="24" s="1"/>
  <c r="P96" i="24" s="1"/>
  <c r="V96" i="24" s="1"/>
  <c r="U80" i="24"/>
  <c r="T80" i="24" s="1"/>
  <c r="S80" i="24" s="1"/>
  <c r="R80" i="24" s="1"/>
  <c r="P80" i="24" s="1"/>
  <c r="V80" i="24" s="1"/>
  <c r="W80" i="24" s="1"/>
  <c r="U64" i="24"/>
  <c r="T64" i="24" s="1"/>
  <c r="S64" i="24" s="1"/>
  <c r="R64" i="24" s="1"/>
  <c r="P64" i="24" s="1"/>
  <c r="V64" i="24" s="1"/>
  <c r="U48" i="24"/>
  <c r="T48" i="24" s="1"/>
  <c r="S48" i="24" s="1"/>
  <c r="R48" i="24" s="1"/>
  <c r="P48" i="24" s="1"/>
  <c r="V48" i="24" s="1"/>
  <c r="W48" i="24" s="1"/>
  <c r="U32" i="24"/>
  <c r="T32" i="24" s="1"/>
  <c r="S32" i="24" s="1"/>
  <c r="R32" i="24" s="1"/>
  <c r="P32" i="24" s="1"/>
  <c r="V32" i="24" s="1"/>
  <c r="U22" i="24"/>
  <c r="T22" i="24" s="1"/>
  <c r="S22" i="24" s="1"/>
  <c r="R22" i="24" s="1"/>
  <c r="P22" i="24" s="1"/>
  <c r="V22" i="24" s="1"/>
  <c r="W22" i="24" s="1"/>
  <c r="U77" i="24"/>
  <c r="T77" i="24" s="1"/>
  <c r="S77" i="24" s="1"/>
  <c r="R77" i="24" s="1"/>
  <c r="P77" i="24" s="1"/>
  <c r="V77" i="24" s="1"/>
  <c r="U141" i="24"/>
  <c r="T141" i="24" s="1"/>
  <c r="S141" i="24" s="1"/>
  <c r="R141" i="24" s="1"/>
  <c r="P141" i="24" s="1"/>
  <c r="V141" i="24" s="1"/>
  <c r="W141" i="24" s="1"/>
  <c r="U192" i="24"/>
  <c r="T192" i="24" s="1"/>
  <c r="S192" i="24" s="1"/>
  <c r="R192" i="24" s="1"/>
  <c r="P192" i="24" s="1"/>
  <c r="V192" i="24" s="1"/>
  <c r="U224" i="24"/>
  <c r="T224" i="24" s="1"/>
  <c r="S224" i="24" s="1"/>
  <c r="R224" i="24" s="1"/>
  <c r="P224" i="24" s="1"/>
  <c r="V224" i="24" s="1"/>
  <c r="D224" i="24" s="1"/>
  <c r="E224" i="24" s="1"/>
  <c r="F224" i="24" s="1"/>
  <c r="U256" i="24"/>
  <c r="T256" i="24" s="1"/>
  <c r="S256" i="24" s="1"/>
  <c r="R256" i="24" s="1"/>
  <c r="P256" i="24" s="1"/>
  <c r="V256" i="24" s="1"/>
  <c r="U288" i="24"/>
  <c r="T288" i="24" s="1"/>
  <c r="S288" i="24" s="1"/>
  <c r="R288" i="24" s="1"/>
  <c r="P288" i="24" s="1"/>
  <c r="V288" i="24" s="1"/>
  <c r="D288" i="24" s="1"/>
  <c r="E288" i="24" s="1"/>
  <c r="F288" i="24" s="1"/>
  <c r="U320" i="24"/>
  <c r="T320" i="24" s="1"/>
  <c r="S320" i="24" s="1"/>
  <c r="R320" i="24" s="1"/>
  <c r="P320" i="24" s="1"/>
  <c r="V320" i="24" s="1"/>
  <c r="U352" i="24"/>
  <c r="T352" i="24" s="1"/>
  <c r="S352" i="24" s="1"/>
  <c r="R352" i="24" s="1"/>
  <c r="P352" i="24" s="1"/>
  <c r="V352" i="24" s="1"/>
  <c r="D352" i="24" s="1"/>
  <c r="E352" i="24" s="1"/>
  <c r="F352" i="24" s="1"/>
  <c r="U24" i="24"/>
  <c r="T24" i="24" s="1"/>
  <c r="S24" i="24" s="1"/>
  <c r="R24" i="24" s="1"/>
  <c r="P24" i="24" s="1"/>
  <c r="V24" i="24" s="1"/>
  <c r="U47" i="24"/>
  <c r="T47" i="24" s="1"/>
  <c r="S47" i="24" s="1"/>
  <c r="R47" i="24" s="1"/>
  <c r="P47" i="24" s="1"/>
  <c r="V47" i="24" s="1"/>
  <c r="D47" i="24" s="1"/>
  <c r="E47" i="24" s="1"/>
  <c r="F47" i="24" s="1"/>
  <c r="U79" i="24"/>
  <c r="T79" i="24" s="1"/>
  <c r="S79" i="24" s="1"/>
  <c r="R79" i="24" s="1"/>
  <c r="P79" i="24" s="1"/>
  <c r="V79" i="24" s="1"/>
  <c r="U111" i="24"/>
  <c r="T111" i="24" s="1"/>
  <c r="S111" i="24" s="1"/>
  <c r="R111" i="24" s="1"/>
  <c r="P111" i="24" s="1"/>
  <c r="V111" i="24" s="1"/>
  <c r="D111" i="24" s="1"/>
  <c r="E111" i="24" s="1"/>
  <c r="F111" i="24" s="1"/>
  <c r="U143" i="24"/>
  <c r="T143" i="24" s="1"/>
  <c r="S143" i="24" s="1"/>
  <c r="R143" i="24" s="1"/>
  <c r="P143" i="24" s="1"/>
  <c r="V143" i="24" s="1"/>
  <c r="U175" i="24"/>
  <c r="T175" i="24" s="1"/>
  <c r="S175" i="24" s="1"/>
  <c r="R175" i="24" s="1"/>
  <c r="P175" i="24" s="1"/>
  <c r="V175" i="24" s="1"/>
  <c r="D175" i="24" s="1"/>
  <c r="E175" i="24" s="1"/>
  <c r="F175" i="24" s="1"/>
  <c r="U193" i="24"/>
  <c r="T193" i="24" s="1"/>
  <c r="S193" i="24" s="1"/>
  <c r="R193" i="24" s="1"/>
  <c r="P193" i="24" s="1"/>
  <c r="V193" i="24" s="1"/>
  <c r="U209" i="24"/>
  <c r="T209" i="24" s="1"/>
  <c r="S209" i="24" s="1"/>
  <c r="R209" i="24" s="1"/>
  <c r="P209" i="24" s="1"/>
  <c r="V209" i="24" s="1"/>
  <c r="W209" i="24" s="1"/>
  <c r="U225" i="24"/>
  <c r="T225" i="24" s="1"/>
  <c r="S225" i="24" s="1"/>
  <c r="R225" i="24" s="1"/>
  <c r="P225" i="24" s="1"/>
  <c r="V225" i="24" s="1"/>
  <c r="U241" i="24"/>
  <c r="T241" i="24" s="1"/>
  <c r="S241" i="24" s="1"/>
  <c r="R241" i="24" s="1"/>
  <c r="P241" i="24" s="1"/>
  <c r="V241" i="24" s="1"/>
  <c r="U257" i="24"/>
  <c r="T257" i="24" s="1"/>
  <c r="S257" i="24" s="1"/>
  <c r="R257" i="24" s="1"/>
  <c r="P257" i="24" s="1"/>
  <c r="V257" i="24" s="1"/>
  <c r="U273" i="24"/>
  <c r="T273" i="24" s="1"/>
  <c r="S273" i="24" s="1"/>
  <c r="R273" i="24" s="1"/>
  <c r="P273" i="24" s="1"/>
  <c r="V273" i="24" s="1"/>
  <c r="W273" i="24" s="1"/>
  <c r="U289" i="24"/>
  <c r="T289" i="24" s="1"/>
  <c r="S289" i="24" s="1"/>
  <c r="R289" i="24" s="1"/>
  <c r="P289" i="24" s="1"/>
  <c r="V289" i="24" s="1"/>
  <c r="U309" i="24"/>
  <c r="T309" i="24" s="1"/>
  <c r="S309" i="24" s="1"/>
  <c r="R309" i="24" s="1"/>
  <c r="P309" i="24" s="1"/>
  <c r="V309" i="24" s="1"/>
  <c r="W309" i="24" s="1"/>
  <c r="U341" i="24"/>
  <c r="T341" i="24" s="1"/>
  <c r="S341" i="24" s="1"/>
  <c r="R341" i="24" s="1"/>
  <c r="P341" i="24" s="1"/>
  <c r="V341" i="24" s="1"/>
  <c r="U373" i="24"/>
  <c r="T373" i="24" s="1"/>
  <c r="S373" i="24" s="1"/>
  <c r="R373" i="24" s="1"/>
  <c r="P373" i="24" s="1"/>
  <c r="V373" i="24" s="1"/>
  <c r="W373" i="24" s="1"/>
  <c r="U154" i="24"/>
  <c r="T154" i="24" s="1"/>
  <c r="S154" i="24" s="1"/>
  <c r="R154" i="24" s="1"/>
  <c r="P154" i="24" s="1"/>
  <c r="V154" i="24" s="1"/>
  <c r="U122" i="24"/>
  <c r="T122" i="24" s="1"/>
  <c r="S122" i="24" s="1"/>
  <c r="R122" i="24" s="1"/>
  <c r="P122" i="24" s="1"/>
  <c r="V122" i="24" s="1"/>
  <c r="W122" i="24" s="1"/>
  <c r="U90" i="24"/>
  <c r="T90" i="24" s="1"/>
  <c r="S90" i="24" s="1"/>
  <c r="R90" i="24" s="1"/>
  <c r="P90" i="24" s="1"/>
  <c r="V90" i="24" s="1"/>
  <c r="U58" i="24"/>
  <c r="T58" i="24" s="1"/>
  <c r="S58" i="24" s="1"/>
  <c r="R58" i="24" s="1"/>
  <c r="P58" i="24" s="1"/>
  <c r="V58" i="24" s="1"/>
  <c r="W58" i="24" s="1"/>
  <c r="U26" i="24"/>
  <c r="T26" i="24" s="1"/>
  <c r="S26" i="24" s="1"/>
  <c r="R26" i="24" s="1"/>
  <c r="P26" i="24" s="1"/>
  <c r="V26" i="24" s="1"/>
  <c r="U101" i="24"/>
  <c r="T101" i="24" s="1"/>
  <c r="S101" i="24" s="1"/>
  <c r="R101" i="24" s="1"/>
  <c r="P101" i="24" s="1"/>
  <c r="V101" i="24" s="1"/>
  <c r="W101" i="24" s="1"/>
  <c r="U204" i="24"/>
  <c r="T204" i="24" s="1"/>
  <c r="S204" i="24" s="1"/>
  <c r="R204" i="24" s="1"/>
  <c r="P204" i="24" s="1"/>
  <c r="V204" i="24" s="1"/>
  <c r="U268" i="24"/>
  <c r="T268" i="24" s="1"/>
  <c r="S268" i="24" s="1"/>
  <c r="R268" i="24" s="1"/>
  <c r="P268" i="24" s="1"/>
  <c r="V268" i="24" s="1"/>
  <c r="W268" i="24" s="1"/>
  <c r="U332" i="24"/>
  <c r="T332" i="24" s="1"/>
  <c r="S332" i="24" s="1"/>
  <c r="R332" i="24" s="1"/>
  <c r="P332" i="24" s="1"/>
  <c r="V332" i="24" s="1"/>
  <c r="U358" i="24"/>
  <c r="T358" i="24" s="1"/>
  <c r="S358" i="24" s="1"/>
  <c r="R358" i="24" s="1"/>
  <c r="P358" i="24" s="1"/>
  <c r="V358" i="24" s="1"/>
  <c r="W358" i="24" s="1"/>
  <c r="U294" i="24"/>
  <c r="T294" i="24" s="1"/>
  <c r="S294" i="24" s="1"/>
  <c r="R294" i="24" s="1"/>
  <c r="P294" i="24" s="1"/>
  <c r="V294" i="24" s="1"/>
  <c r="U230" i="24"/>
  <c r="T230" i="24" s="1"/>
  <c r="S230" i="24" s="1"/>
  <c r="R230" i="24" s="1"/>
  <c r="P230" i="24" s="1"/>
  <c r="V230" i="24" s="1"/>
  <c r="D230" i="24" s="1"/>
  <c r="E230" i="24" s="1"/>
  <c r="F230" i="24" s="1"/>
  <c r="U153" i="24"/>
  <c r="T153" i="24" s="1"/>
  <c r="S153" i="24" s="1"/>
  <c r="R153" i="24" s="1"/>
  <c r="P153" i="24" s="1"/>
  <c r="V153" i="24" s="1"/>
  <c r="U21" i="24"/>
  <c r="T21" i="24" s="1"/>
  <c r="S21" i="24" s="1"/>
  <c r="R21" i="24" s="1"/>
  <c r="P21" i="24" s="1"/>
  <c r="V21" i="24" s="1"/>
  <c r="W21" i="24" s="1"/>
  <c r="U322" i="24"/>
  <c r="T322" i="24" s="1"/>
  <c r="S322" i="24" s="1"/>
  <c r="R322" i="24" s="1"/>
  <c r="P322" i="24" s="1"/>
  <c r="V322" i="24" s="1"/>
  <c r="U258" i="24"/>
  <c r="T258" i="24" s="1"/>
  <c r="S258" i="24" s="1"/>
  <c r="R258" i="24" s="1"/>
  <c r="P258" i="24" s="1"/>
  <c r="V258" i="24" s="1"/>
  <c r="U194" i="24"/>
  <c r="T194" i="24" s="1"/>
  <c r="S194" i="24" s="1"/>
  <c r="R194" i="24" s="1"/>
  <c r="P194" i="24" s="1"/>
  <c r="V194" i="24" s="1"/>
  <c r="U81" i="24"/>
  <c r="T81" i="24" s="1"/>
  <c r="S81" i="24" s="1"/>
  <c r="R81" i="24" s="1"/>
  <c r="P81" i="24" s="1"/>
  <c r="V81" i="24" s="1"/>
  <c r="D81" i="24" s="1"/>
  <c r="E81" i="24" s="1"/>
  <c r="F81" i="24" s="1"/>
  <c r="AI238" i="24"/>
  <c r="AH238" i="24" s="1"/>
  <c r="AG238" i="24" s="1"/>
  <c r="AF238" i="24" s="1"/>
  <c r="AD238" i="24" s="1"/>
  <c r="AI310" i="24"/>
  <c r="AH310" i="24" s="1"/>
  <c r="AG310" i="24" s="1"/>
  <c r="AF310" i="24" s="1"/>
  <c r="AD310" i="24" s="1"/>
  <c r="AI163" i="24"/>
  <c r="AH163" i="24" s="1"/>
  <c r="AG163" i="24" s="1"/>
  <c r="AF163" i="24" s="1"/>
  <c r="AD163" i="24" s="1"/>
  <c r="U33" i="24"/>
  <c r="T33" i="24" s="1"/>
  <c r="S33" i="24" s="1"/>
  <c r="R33" i="24" s="1"/>
  <c r="P33" i="24" s="1"/>
  <c r="V33" i="24" s="1"/>
  <c r="D33" i="24" s="1"/>
  <c r="E33" i="24" s="1"/>
  <c r="F33" i="24" s="1"/>
  <c r="U65" i="24"/>
  <c r="T65" i="24" s="1"/>
  <c r="S65" i="24" s="1"/>
  <c r="R65" i="24" s="1"/>
  <c r="P65" i="24" s="1"/>
  <c r="V65" i="24" s="1"/>
  <c r="W65" i="24" s="1"/>
  <c r="U97" i="24"/>
  <c r="T97" i="24" s="1"/>
  <c r="S97" i="24" s="1"/>
  <c r="R97" i="24" s="1"/>
  <c r="P97" i="24" s="1"/>
  <c r="V97" i="24" s="1"/>
  <c r="D97" i="24" s="1"/>
  <c r="E97" i="24" s="1"/>
  <c r="F97" i="24" s="1"/>
  <c r="U129" i="24"/>
  <c r="T129" i="24" s="1"/>
  <c r="S129" i="24" s="1"/>
  <c r="R129" i="24" s="1"/>
  <c r="P129" i="24" s="1"/>
  <c r="V129" i="24" s="1"/>
  <c r="D129" i="24" s="1"/>
  <c r="E129" i="24" s="1"/>
  <c r="F129" i="24" s="1"/>
  <c r="U161" i="24"/>
  <c r="T161" i="24" s="1"/>
  <c r="S161" i="24" s="1"/>
  <c r="R161" i="24" s="1"/>
  <c r="P161" i="24" s="1"/>
  <c r="V161" i="24" s="1"/>
  <c r="W161" i="24" s="1"/>
  <c r="U186" i="24"/>
  <c r="T186" i="24" s="1"/>
  <c r="S186" i="24" s="1"/>
  <c r="R186" i="24" s="1"/>
  <c r="P186" i="24" s="1"/>
  <c r="V186" i="24" s="1"/>
  <c r="D186" i="24" s="1"/>
  <c r="E186" i="24" s="1"/>
  <c r="F186" i="24" s="1"/>
  <c r="U202" i="24"/>
  <c r="T202" i="24" s="1"/>
  <c r="S202" i="24" s="1"/>
  <c r="R202" i="24" s="1"/>
  <c r="P202" i="24" s="1"/>
  <c r="V202" i="24" s="1"/>
  <c r="W202" i="24" s="1"/>
  <c r="U218" i="24"/>
  <c r="T218" i="24" s="1"/>
  <c r="S218" i="24" s="1"/>
  <c r="R218" i="24" s="1"/>
  <c r="P218" i="24" s="1"/>
  <c r="V218" i="24" s="1"/>
  <c r="W218" i="24" s="1"/>
  <c r="U234" i="24"/>
  <c r="T234" i="24" s="1"/>
  <c r="S234" i="24" s="1"/>
  <c r="R234" i="24" s="1"/>
  <c r="P234" i="24" s="1"/>
  <c r="V234" i="24" s="1"/>
  <c r="W234" i="24" s="1"/>
  <c r="U250" i="24"/>
  <c r="T250" i="24" s="1"/>
  <c r="S250" i="24" s="1"/>
  <c r="R250" i="24" s="1"/>
  <c r="P250" i="24" s="1"/>
  <c r="V250" i="24" s="1"/>
  <c r="W250" i="24" s="1"/>
  <c r="U266" i="24"/>
  <c r="T266" i="24" s="1"/>
  <c r="S266" i="24" s="1"/>
  <c r="R266" i="24" s="1"/>
  <c r="P266" i="24" s="1"/>
  <c r="V266" i="24" s="1"/>
  <c r="D266" i="24" s="1"/>
  <c r="E266" i="24" s="1"/>
  <c r="F266" i="24" s="1"/>
  <c r="U282" i="24"/>
  <c r="T282" i="24" s="1"/>
  <c r="S282" i="24" s="1"/>
  <c r="R282" i="24" s="1"/>
  <c r="P282" i="24" s="1"/>
  <c r="V282" i="24" s="1"/>
  <c r="W282" i="24" s="1"/>
  <c r="U298" i="24"/>
  <c r="T298" i="24" s="1"/>
  <c r="S298" i="24" s="1"/>
  <c r="R298" i="24" s="1"/>
  <c r="P298" i="24" s="1"/>
  <c r="V298" i="24" s="1"/>
  <c r="D298" i="24" s="1"/>
  <c r="E298" i="24" s="1"/>
  <c r="F298" i="24" s="1"/>
  <c r="U314" i="24"/>
  <c r="T314" i="24" s="1"/>
  <c r="S314" i="24" s="1"/>
  <c r="R314" i="24" s="1"/>
  <c r="P314" i="24" s="1"/>
  <c r="V314" i="24" s="1"/>
  <c r="W314" i="24" s="1"/>
  <c r="U330" i="24"/>
  <c r="T330" i="24" s="1"/>
  <c r="S330" i="24" s="1"/>
  <c r="R330" i="24" s="1"/>
  <c r="P330" i="24" s="1"/>
  <c r="V330" i="24" s="1"/>
  <c r="W330" i="24" s="1"/>
  <c r="U346" i="24"/>
  <c r="T346" i="24" s="1"/>
  <c r="S346" i="24" s="1"/>
  <c r="R346" i="24" s="1"/>
  <c r="P346" i="24" s="1"/>
  <c r="V346" i="24" s="1"/>
  <c r="W346" i="24" s="1"/>
  <c r="U362" i="24"/>
  <c r="T362" i="24" s="1"/>
  <c r="S362" i="24" s="1"/>
  <c r="R362" i="24" s="1"/>
  <c r="P362" i="24" s="1"/>
  <c r="V362" i="24" s="1"/>
  <c r="W362" i="24" s="1"/>
  <c r="U378" i="24"/>
  <c r="T378" i="24" s="1"/>
  <c r="S378" i="24" s="1"/>
  <c r="R378" i="24" s="1"/>
  <c r="P378" i="24" s="1"/>
  <c r="V378" i="24" s="1"/>
  <c r="W378" i="24" s="1"/>
  <c r="U41" i="24"/>
  <c r="T41" i="24" s="1"/>
  <c r="S41" i="24" s="1"/>
  <c r="R41" i="24" s="1"/>
  <c r="P41" i="24" s="1"/>
  <c r="V41" i="24" s="1"/>
  <c r="D41" i="24" s="1"/>
  <c r="E41" i="24" s="1"/>
  <c r="F41" i="24" s="1"/>
  <c r="U73" i="24"/>
  <c r="T73" i="24" s="1"/>
  <c r="S73" i="24" s="1"/>
  <c r="R73" i="24" s="1"/>
  <c r="P73" i="24" s="1"/>
  <c r="V73" i="24" s="1"/>
  <c r="W73" i="24" s="1"/>
  <c r="U105" i="24"/>
  <c r="T105" i="24" s="1"/>
  <c r="S105" i="24" s="1"/>
  <c r="R105" i="24" s="1"/>
  <c r="P105" i="24" s="1"/>
  <c r="V105" i="24" s="1"/>
  <c r="U137" i="24"/>
  <c r="T137" i="24" s="1"/>
  <c r="S137" i="24" s="1"/>
  <c r="R137" i="24" s="1"/>
  <c r="P137" i="24" s="1"/>
  <c r="V137" i="24" s="1"/>
  <c r="W137" i="24" s="1"/>
  <c r="U169" i="24"/>
  <c r="T169" i="24" s="1"/>
  <c r="S169" i="24" s="1"/>
  <c r="R169" i="24" s="1"/>
  <c r="P169" i="24" s="1"/>
  <c r="V169" i="24" s="1"/>
  <c r="W169" i="24" s="1"/>
  <c r="U190" i="24"/>
  <c r="T190" i="24" s="1"/>
  <c r="S190" i="24" s="1"/>
  <c r="R190" i="24" s="1"/>
  <c r="P190" i="24" s="1"/>
  <c r="V190" i="24" s="1"/>
  <c r="W190" i="24" s="1"/>
  <c r="U206" i="24"/>
  <c r="T206" i="24" s="1"/>
  <c r="S206" i="24" s="1"/>
  <c r="R206" i="24" s="1"/>
  <c r="P206" i="24" s="1"/>
  <c r="V206" i="24" s="1"/>
  <c r="W206" i="24" s="1"/>
  <c r="U222" i="24"/>
  <c r="T222" i="24" s="1"/>
  <c r="S222" i="24" s="1"/>
  <c r="R222" i="24" s="1"/>
  <c r="P222" i="24" s="1"/>
  <c r="V222" i="24" s="1"/>
  <c r="D222" i="24" s="1"/>
  <c r="E222" i="24" s="1"/>
  <c r="F222" i="24" s="1"/>
  <c r="U238" i="24"/>
  <c r="T238" i="24" s="1"/>
  <c r="S238" i="24" s="1"/>
  <c r="R238" i="24" s="1"/>
  <c r="P238" i="24" s="1"/>
  <c r="V238" i="24" s="1"/>
  <c r="W238" i="24" s="1"/>
  <c r="U254" i="24"/>
  <c r="T254" i="24" s="1"/>
  <c r="S254" i="24" s="1"/>
  <c r="R254" i="24" s="1"/>
  <c r="P254" i="24" s="1"/>
  <c r="V254" i="24" s="1"/>
  <c r="W254" i="24" s="1"/>
  <c r="U270" i="24"/>
  <c r="T270" i="24" s="1"/>
  <c r="S270" i="24" s="1"/>
  <c r="R270" i="24" s="1"/>
  <c r="P270" i="24" s="1"/>
  <c r="V270" i="24" s="1"/>
  <c r="D270" i="24" s="1"/>
  <c r="E270" i="24" s="1"/>
  <c r="F270" i="24" s="1"/>
  <c r="U286" i="24"/>
  <c r="T286" i="24" s="1"/>
  <c r="S286" i="24" s="1"/>
  <c r="R286" i="24" s="1"/>
  <c r="P286" i="24" s="1"/>
  <c r="V286" i="24" s="1"/>
  <c r="D286" i="24" s="1"/>
  <c r="E286" i="24" s="1"/>
  <c r="F286" i="24" s="1"/>
  <c r="U302" i="24"/>
  <c r="T302" i="24" s="1"/>
  <c r="S302" i="24" s="1"/>
  <c r="R302" i="24" s="1"/>
  <c r="P302" i="24" s="1"/>
  <c r="V302" i="24" s="1"/>
  <c r="U318" i="24"/>
  <c r="T318" i="24" s="1"/>
  <c r="S318" i="24" s="1"/>
  <c r="R318" i="24" s="1"/>
  <c r="P318" i="24" s="1"/>
  <c r="V318" i="24" s="1"/>
  <c r="W318" i="24" s="1"/>
  <c r="U334" i="24"/>
  <c r="T334" i="24" s="1"/>
  <c r="S334" i="24" s="1"/>
  <c r="R334" i="24" s="1"/>
  <c r="P334" i="24" s="1"/>
  <c r="V334" i="24" s="1"/>
  <c r="W334" i="24" s="1"/>
  <c r="U350" i="24"/>
  <c r="T350" i="24" s="1"/>
  <c r="S350" i="24" s="1"/>
  <c r="R350" i="24" s="1"/>
  <c r="P350" i="24" s="1"/>
  <c r="V350" i="24" s="1"/>
  <c r="D350" i="24" s="1"/>
  <c r="E350" i="24" s="1"/>
  <c r="F350" i="24" s="1"/>
  <c r="U366" i="24"/>
  <c r="T366" i="24" s="1"/>
  <c r="S366" i="24" s="1"/>
  <c r="R366" i="24" s="1"/>
  <c r="P366" i="24" s="1"/>
  <c r="V366" i="24" s="1"/>
  <c r="D366" i="24" s="1"/>
  <c r="E366" i="24" s="1"/>
  <c r="F366" i="24" s="1"/>
  <c r="U372" i="24"/>
  <c r="T372" i="24" s="1"/>
  <c r="S372" i="24" s="1"/>
  <c r="R372" i="24" s="1"/>
  <c r="P372" i="24" s="1"/>
  <c r="V372" i="24" s="1"/>
  <c r="W372" i="24" s="1"/>
  <c r="U356" i="24"/>
  <c r="T356" i="24" s="1"/>
  <c r="S356" i="24" s="1"/>
  <c r="R356" i="24" s="1"/>
  <c r="P356" i="24" s="1"/>
  <c r="V356" i="24" s="1"/>
  <c r="D356" i="24" s="1"/>
  <c r="E356" i="24" s="1"/>
  <c r="F356" i="24" s="1"/>
  <c r="U340" i="24"/>
  <c r="T340" i="24" s="1"/>
  <c r="S340" i="24" s="1"/>
  <c r="R340" i="24" s="1"/>
  <c r="P340" i="24" s="1"/>
  <c r="V340" i="24" s="1"/>
  <c r="W340" i="24" s="1"/>
  <c r="U324" i="24"/>
  <c r="T324" i="24" s="1"/>
  <c r="S324" i="24" s="1"/>
  <c r="R324" i="24" s="1"/>
  <c r="P324" i="24" s="1"/>
  <c r="V324" i="24" s="1"/>
  <c r="W324" i="24" s="1"/>
  <c r="U308" i="24"/>
  <c r="T308" i="24" s="1"/>
  <c r="S308" i="24" s="1"/>
  <c r="R308" i="24" s="1"/>
  <c r="P308" i="24" s="1"/>
  <c r="V308" i="24" s="1"/>
  <c r="W308" i="24" s="1"/>
  <c r="U292" i="24"/>
  <c r="T292" i="24" s="1"/>
  <c r="S292" i="24" s="1"/>
  <c r="R292" i="24" s="1"/>
  <c r="P292" i="24" s="1"/>
  <c r="V292" i="24" s="1"/>
  <c r="W292" i="24" s="1"/>
  <c r="U276" i="24"/>
  <c r="T276" i="24" s="1"/>
  <c r="S276" i="24" s="1"/>
  <c r="R276" i="24" s="1"/>
  <c r="P276" i="24" s="1"/>
  <c r="V276" i="24" s="1"/>
  <c r="W276" i="24" s="1"/>
  <c r="U260" i="24"/>
  <c r="T260" i="24" s="1"/>
  <c r="S260" i="24" s="1"/>
  <c r="R260" i="24" s="1"/>
  <c r="P260" i="24" s="1"/>
  <c r="V260" i="24" s="1"/>
  <c r="W260" i="24" s="1"/>
  <c r="U244" i="24"/>
  <c r="T244" i="24" s="1"/>
  <c r="S244" i="24" s="1"/>
  <c r="R244" i="24" s="1"/>
  <c r="P244" i="24" s="1"/>
  <c r="V244" i="24" s="1"/>
  <c r="D244" i="24" s="1"/>
  <c r="E244" i="24" s="1"/>
  <c r="F244" i="24" s="1"/>
  <c r="U228" i="24"/>
  <c r="T228" i="24" s="1"/>
  <c r="S228" i="24" s="1"/>
  <c r="R228" i="24" s="1"/>
  <c r="P228" i="24" s="1"/>
  <c r="V228" i="24" s="1"/>
  <c r="W228" i="24" s="1"/>
  <c r="U212" i="24"/>
  <c r="T212" i="24" s="1"/>
  <c r="S212" i="24" s="1"/>
  <c r="R212" i="24" s="1"/>
  <c r="P212" i="24" s="1"/>
  <c r="V212" i="24" s="1"/>
  <c r="W212" i="24" s="1"/>
  <c r="U196" i="24"/>
  <c r="T196" i="24" s="1"/>
  <c r="S196" i="24" s="1"/>
  <c r="R196" i="24" s="1"/>
  <c r="P196" i="24" s="1"/>
  <c r="V196" i="24" s="1"/>
  <c r="W196" i="24" s="1"/>
  <c r="U180" i="24"/>
  <c r="T180" i="24" s="1"/>
  <c r="S180" i="24" s="1"/>
  <c r="R180" i="24" s="1"/>
  <c r="P180" i="24" s="1"/>
  <c r="U149" i="24"/>
  <c r="T149" i="24" s="1"/>
  <c r="S149" i="24" s="1"/>
  <c r="R149" i="24" s="1"/>
  <c r="P149" i="24" s="1"/>
  <c r="AH60" i="7" s="1"/>
  <c r="U117" i="24"/>
  <c r="T117" i="24" s="1"/>
  <c r="S117" i="24" s="1"/>
  <c r="R117" i="24" s="1"/>
  <c r="P117" i="24" s="1"/>
  <c r="V117" i="24" s="1"/>
  <c r="W117" i="24" s="1"/>
  <c r="U85" i="24"/>
  <c r="T85" i="24" s="1"/>
  <c r="S85" i="24" s="1"/>
  <c r="R85" i="24" s="1"/>
  <c r="P85" i="24" s="1"/>
  <c r="V85" i="24" s="1"/>
  <c r="D85" i="24" s="1"/>
  <c r="E85" i="24" s="1"/>
  <c r="F85" i="24" s="1"/>
  <c r="U53" i="24"/>
  <c r="T53" i="24" s="1"/>
  <c r="S53" i="24" s="1"/>
  <c r="R53" i="24" s="1"/>
  <c r="P53" i="24" s="1"/>
  <c r="V53" i="24" s="1"/>
  <c r="W53" i="24" s="1"/>
  <c r="U20" i="24"/>
  <c r="T20" i="24" s="1"/>
  <c r="S20" i="24" s="1"/>
  <c r="R20" i="24" s="1"/>
  <c r="P20" i="24" s="1"/>
  <c r="V20" i="24" s="1"/>
  <c r="W20" i="24" s="1"/>
  <c r="U17" i="24"/>
  <c r="T17" i="24" s="1"/>
  <c r="S17" i="24" s="1"/>
  <c r="R17" i="24" s="1"/>
  <c r="P17" i="24" s="1"/>
  <c r="V17" i="24" s="1"/>
  <c r="U30" i="24"/>
  <c r="T30" i="24" s="1"/>
  <c r="S30" i="24" s="1"/>
  <c r="R30" i="24" s="1"/>
  <c r="P30" i="24" s="1"/>
  <c r="V30" i="24" s="1"/>
  <c r="D30" i="24" s="1"/>
  <c r="E30" i="24" s="1"/>
  <c r="F30" i="24" s="1"/>
  <c r="U38" i="24"/>
  <c r="T38" i="24" s="1"/>
  <c r="S38" i="24" s="1"/>
  <c r="R38" i="24" s="1"/>
  <c r="P38" i="24" s="1"/>
  <c r="V38" i="24" s="1"/>
  <c r="W38" i="24" s="1"/>
  <c r="U46" i="24"/>
  <c r="T46" i="24" s="1"/>
  <c r="S46" i="24" s="1"/>
  <c r="R46" i="24" s="1"/>
  <c r="P46" i="24" s="1"/>
  <c r="V46" i="24" s="1"/>
  <c r="W46" i="24" s="1"/>
  <c r="U54" i="24"/>
  <c r="T54" i="24" s="1"/>
  <c r="S54" i="24" s="1"/>
  <c r="R54" i="24" s="1"/>
  <c r="P54" i="24" s="1"/>
  <c r="V54" i="24" s="1"/>
  <c r="W54" i="24" s="1"/>
  <c r="U62" i="24"/>
  <c r="T62" i="24" s="1"/>
  <c r="S62" i="24" s="1"/>
  <c r="R62" i="24" s="1"/>
  <c r="P62" i="24" s="1"/>
  <c r="V62" i="24" s="1"/>
  <c r="D62" i="24" s="1"/>
  <c r="E62" i="24" s="1"/>
  <c r="F62" i="24" s="1"/>
  <c r="U70" i="24"/>
  <c r="T70" i="24" s="1"/>
  <c r="S70" i="24" s="1"/>
  <c r="R70" i="24" s="1"/>
  <c r="P70" i="24" s="1"/>
  <c r="V70" i="24" s="1"/>
  <c r="W70" i="24" s="1"/>
  <c r="U78" i="24"/>
  <c r="T78" i="24" s="1"/>
  <c r="S78" i="24" s="1"/>
  <c r="R78" i="24" s="1"/>
  <c r="P78" i="24" s="1"/>
  <c r="V78" i="24" s="1"/>
  <c r="W78" i="24" s="1"/>
  <c r="U86" i="24"/>
  <c r="T86" i="24" s="1"/>
  <c r="S86" i="24" s="1"/>
  <c r="R86" i="24" s="1"/>
  <c r="P86" i="24" s="1"/>
  <c r="V86" i="24" s="1"/>
  <c r="W86" i="24" s="1"/>
  <c r="U94" i="24"/>
  <c r="T94" i="24" s="1"/>
  <c r="S94" i="24" s="1"/>
  <c r="R94" i="24" s="1"/>
  <c r="P94" i="24" s="1"/>
  <c r="V94" i="24" s="1"/>
  <c r="D94" i="24" s="1"/>
  <c r="E94" i="24" s="1"/>
  <c r="F94" i="24" s="1"/>
  <c r="U102" i="24"/>
  <c r="T102" i="24" s="1"/>
  <c r="S102" i="24" s="1"/>
  <c r="R102" i="24" s="1"/>
  <c r="P102" i="24" s="1"/>
  <c r="V102" i="24" s="1"/>
  <c r="W102" i="24" s="1"/>
  <c r="U110" i="24"/>
  <c r="T110" i="24" s="1"/>
  <c r="S110" i="24" s="1"/>
  <c r="R110" i="24" s="1"/>
  <c r="P110" i="24" s="1"/>
  <c r="V110" i="24" s="1"/>
  <c r="D110" i="24" s="1"/>
  <c r="E110" i="24" s="1"/>
  <c r="F110" i="24" s="1"/>
  <c r="U118" i="24"/>
  <c r="T118" i="24" s="1"/>
  <c r="S118" i="24" s="1"/>
  <c r="R118" i="24" s="1"/>
  <c r="P118" i="24" s="1"/>
  <c r="V118" i="24" s="1"/>
  <c r="D118" i="24" s="1"/>
  <c r="E118" i="24" s="1"/>
  <c r="F118" i="24" s="1"/>
  <c r="U126" i="24"/>
  <c r="T126" i="24" s="1"/>
  <c r="S126" i="24" s="1"/>
  <c r="R126" i="24" s="1"/>
  <c r="P126" i="24" s="1"/>
  <c r="V126" i="24" s="1"/>
  <c r="W126" i="24" s="1"/>
  <c r="U134" i="24"/>
  <c r="T134" i="24" s="1"/>
  <c r="S134" i="24" s="1"/>
  <c r="R134" i="24" s="1"/>
  <c r="P134" i="24" s="1"/>
  <c r="V134" i="24" s="1"/>
  <c r="D134" i="24" s="1"/>
  <c r="E134" i="24" s="1"/>
  <c r="F134" i="24" s="1"/>
  <c r="U142" i="24"/>
  <c r="T142" i="24" s="1"/>
  <c r="S142" i="24" s="1"/>
  <c r="R142" i="24" s="1"/>
  <c r="P142" i="24" s="1"/>
  <c r="V142" i="24" s="1"/>
  <c r="D142" i="24" s="1"/>
  <c r="E142" i="24" s="1"/>
  <c r="F142" i="24" s="1"/>
  <c r="U150" i="24"/>
  <c r="T150" i="24" s="1"/>
  <c r="S150" i="24" s="1"/>
  <c r="R150" i="24" s="1"/>
  <c r="P150" i="24" s="1"/>
  <c r="V150" i="24" s="1"/>
  <c r="D150" i="24" s="1"/>
  <c r="E150" i="24" s="1"/>
  <c r="F150" i="24" s="1"/>
  <c r="U158" i="24"/>
  <c r="T158" i="24" s="1"/>
  <c r="S158" i="24" s="1"/>
  <c r="R158" i="24" s="1"/>
  <c r="P158" i="24" s="1"/>
  <c r="V158" i="24" s="1"/>
  <c r="D158" i="24" s="1"/>
  <c r="E158" i="24" s="1"/>
  <c r="F158" i="24" s="1"/>
  <c r="U166" i="24"/>
  <c r="T166" i="24" s="1"/>
  <c r="S166" i="24" s="1"/>
  <c r="R166" i="24" s="1"/>
  <c r="P166" i="24" s="1"/>
  <c r="V166" i="24" s="1"/>
  <c r="U174" i="24"/>
  <c r="T174" i="24" s="1"/>
  <c r="S174" i="24" s="1"/>
  <c r="R174" i="24" s="1"/>
  <c r="P174" i="24" s="1"/>
  <c r="V174" i="24" s="1"/>
  <c r="D174" i="24" s="1"/>
  <c r="E174" i="24" s="1"/>
  <c r="F174" i="24" s="1"/>
  <c r="U377" i="24"/>
  <c r="T377" i="24" s="1"/>
  <c r="S377" i="24" s="1"/>
  <c r="R377" i="24" s="1"/>
  <c r="P377" i="24" s="1"/>
  <c r="V377" i="24" s="1"/>
  <c r="D377" i="24" s="1"/>
  <c r="E377" i="24" s="1"/>
  <c r="F377" i="24" s="1"/>
  <c r="U369" i="24"/>
  <c r="T369" i="24" s="1"/>
  <c r="S369" i="24" s="1"/>
  <c r="R369" i="24" s="1"/>
  <c r="P369" i="24" s="1"/>
  <c r="V369" i="24" s="1"/>
  <c r="W369" i="24" s="1"/>
  <c r="U361" i="24"/>
  <c r="T361" i="24" s="1"/>
  <c r="S361" i="24" s="1"/>
  <c r="R361" i="24" s="1"/>
  <c r="P361" i="24" s="1"/>
  <c r="V361" i="24" s="1"/>
  <c r="D361" i="24" s="1"/>
  <c r="E361" i="24" s="1"/>
  <c r="F361" i="24" s="1"/>
  <c r="U353" i="24"/>
  <c r="T353" i="24" s="1"/>
  <c r="S353" i="24" s="1"/>
  <c r="R353" i="24" s="1"/>
  <c r="P353" i="24" s="1"/>
  <c r="V353" i="24" s="1"/>
  <c r="D353" i="24" s="1"/>
  <c r="E353" i="24" s="1"/>
  <c r="F353" i="24" s="1"/>
  <c r="U345" i="24"/>
  <c r="T345" i="24" s="1"/>
  <c r="S345" i="24" s="1"/>
  <c r="R345" i="24" s="1"/>
  <c r="P345" i="24" s="1"/>
  <c r="V345" i="24" s="1"/>
  <c r="W345" i="24" s="1"/>
  <c r="U337" i="24"/>
  <c r="T337" i="24" s="1"/>
  <c r="S337" i="24" s="1"/>
  <c r="R337" i="24" s="1"/>
  <c r="P337" i="24" s="1"/>
  <c r="V337" i="24" s="1"/>
  <c r="D337" i="24" s="1"/>
  <c r="E337" i="24" s="1"/>
  <c r="F337" i="24" s="1"/>
  <c r="U329" i="24"/>
  <c r="T329" i="24" s="1"/>
  <c r="S329" i="24" s="1"/>
  <c r="R329" i="24" s="1"/>
  <c r="P329" i="24" s="1"/>
  <c r="V329" i="24" s="1"/>
  <c r="U321" i="24"/>
  <c r="T321" i="24" s="1"/>
  <c r="S321" i="24" s="1"/>
  <c r="R321" i="24" s="1"/>
  <c r="P321" i="24" s="1"/>
  <c r="V321" i="24" s="1"/>
  <c r="D321" i="24" s="1"/>
  <c r="E321" i="24" s="1"/>
  <c r="F321" i="24" s="1"/>
  <c r="U313" i="24"/>
  <c r="T313" i="24" s="1"/>
  <c r="S313" i="24" s="1"/>
  <c r="R313" i="24" s="1"/>
  <c r="P313" i="24" s="1"/>
  <c r="V313" i="24" s="1"/>
  <c r="W313" i="24" s="1"/>
  <c r="U305" i="24"/>
  <c r="T305" i="24" s="1"/>
  <c r="S305" i="24" s="1"/>
  <c r="R305" i="24" s="1"/>
  <c r="P305" i="24" s="1"/>
  <c r="V305" i="24" s="1"/>
  <c r="D305" i="24" s="1"/>
  <c r="E305" i="24" s="1"/>
  <c r="F305" i="24" s="1"/>
  <c r="U19" i="24"/>
  <c r="T19" i="24" s="1"/>
  <c r="S19" i="24" s="1"/>
  <c r="R19" i="24" s="1"/>
  <c r="P19" i="24" s="1"/>
  <c r="V19" i="24" s="1"/>
  <c r="D19" i="24" s="1"/>
  <c r="E19" i="24" s="1"/>
  <c r="F19" i="24" s="1"/>
  <c r="U16" i="24"/>
  <c r="T16" i="24" s="1"/>
  <c r="S16" i="24" s="1"/>
  <c r="R16" i="24" s="1"/>
  <c r="P16" i="24" s="1"/>
  <c r="V16" i="24" s="1"/>
  <c r="D16" i="24" s="1"/>
  <c r="E16" i="24" s="1"/>
  <c r="F16" i="24" s="1"/>
  <c r="U35" i="24"/>
  <c r="T35" i="24" s="1"/>
  <c r="S35" i="24" s="1"/>
  <c r="R35" i="24" s="1"/>
  <c r="P35" i="24" s="1"/>
  <c r="V35" i="24" s="1"/>
  <c r="W35" i="24" s="1"/>
  <c r="U51" i="24"/>
  <c r="T51" i="24" s="1"/>
  <c r="S51" i="24" s="1"/>
  <c r="R51" i="24" s="1"/>
  <c r="P51" i="24" s="1"/>
  <c r="V51" i="24" s="1"/>
  <c r="D51" i="24" s="1"/>
  <c r="E51" i="24" s="1"/>
  <c r="F51" i="24" s="1"/>
  <c r="U67" i="24"/>
  <c r="T67" i="24" s="1"/>
  <c r="S67" i="24" s="1"/>
  <c r="R67" i="24" s="1"/>
  <c r="P67" i="24" s="1"/>
  <c r="V67" i="24" s="1"/>
  <c r="W67" i="24" s="1"/>
  <c r="U83" i="24"/>
  <c r="T83" i="24" s="1"/>
  <c r="S83" i="24" s="1"/>
  <c r="R83" i="24" s="1"/>
  <c r="P83" i="24" s="1"/>
  <c r="V83" i="24" s="1"/>
  <c r="W83" i="24" s="1"/>
  <c r="U99" i="24"/>
  <c r="T99" i="24" s="1"/>
  <c r="S99" i="24" s="1"/>
  <c r="R99" i="24" s="1"/>
  <c r="P99" i="24" s="1"/>
  <c r="V99" i="24" s="1"/>
  <c r="W99" i="24" s="1"/>
  <c r="U115" i="24"/>
  <c r="T115" i="24" s="1"/>
  <c r="S115" i="24" s="1"/>
  <c r="R115" i="24" s="1"/>
  <c r="P115" i="24" s="1"/>
  <c r="V115" i="24" s="1"/>
  <c r="W115" i="24" s="1"/>
  <c r="U131" i="24"/>
  <c r="T131" i="24" s="1"/>
  <c r="S131" i="24" s="1"/>
  <c r="R131" i="24" s="1"/>
  <c r="P131" i="24" s="1"/>
  <c r="V131" i="24" s="1"/>
  <c r="D131" i="24" s="1"/>
  <c r="E131" i="24" s="1"/>
  <c r="F131" i="24" s="1"/>
  <c r="U147" i="24"/>
  <c r="T147" i="24" s="1"/>
  <c r="S147" i="24" s="1"/>
  <c r="R147" i="24" s="1"/>
  <c r="P147" i="24" s="1"/>
  <c r="V147" i="24" s="1"/>
  <c r="W147" i="24" s="1"/>
  <c r="U163" i="24"/>
  <c r="T163" i="24" s="1"/>
  <c r="S163" i="24" s="1"/>
  <c r="R163" i="24" s="1"/>
  <c r="P163" i="24" s="1"/>
  <c r="V163" i="24" s="1"/>
  <c r="W163" i="24" s="1"/>
  <c r="U179" i="24"/>
  <c r="T179" i="24" s="1"/>
  <c r="S179" i="24" s="1"/>
  <c r="R179" i="24" s="1"/>
  <c r="P179" i="24" s="1"/>
  <c r="V179" i="24" s="1"/>
  <c r="W179" i="24" s="1"/>
  <c r="U187" i="24"/>
  <c r="T187" i="24" s="1"/>
  <c r="S187" i="24" s="1"/>
  <c r="R187" i="24" s="1"/>
  <c r="P187" i="24" s="1"/>
  <c r="V187" i="24" s="1"/>
  <c r="W187" i="24" s="1"/>
  <c r="U195" i="24"/>
  <c r="T195" i="24" s="1"/>
  <c r="S195" i="24" s="1"/>
  <c r="R195" i="24" s="1"/>
  <c r="P195" i="24" s="1"/>
  <c r="V195" i="24" s="1"/>
  <c r="W195" i="24" s="1"/>
  <c r="U203" i="24"/>
  <c r="T203" i="24" s="1"/>
  <c r="S203" i="24" s="1"/>
  <c r="R203" i="24" s="1"/>
  <c r="P203" i="24" s="1"/>
  <c r="V203" i="24" s="1"/>
  <c r="D203" i="24" s="1"/>
  <c r="E203" i="24" s="1"/>
  <c r="F203" i="24" s="1"/>
  <c r="U211" i="24"/>
  <c r="T211" i="24" s="1"/>
  <c r="S211" i="24" s="1"/>
  <c r="R211" i="24" s="1"/>
  <c r="P211" i="24" s="1"/>
  <c r="V211" i="24" s="1"/>
  <c r="W211" i="24" s="1"/>
  <c r="U219" i="24"/>
  <c r="T219" i="24" s="1"/>
  <c r="S219" i="24" s="1"/>
  <c r="R219" i="24" s="1"/>
  <c r="P219" i="24" s="1"/>
  <c r="V219" i="24" s="1"/>
  <c r="D219" i="24" s="1"/>
  <c r="E219" i="24" s="1"/>
  <c r="F219" i="24" s="1"/>
  <c r="U227" i="24"/>
  <c r="T227" i="24" s="1"/>
  <c r="S227" i="24" s="1"/>
  <c r="R227" i="24" s="1"/>
  <c r="P227" i="24" s="1"/>
  <c r="V227" i="24" s="1"/>
  <c r="U235" i="24"/>
  <c r="T235" i="24" s="1"/>
  <c r="S235" i="24" s="1"/>
  <c r="R235" i="24" s="1"/>
  <c r="P235" i="24" s="1"/>
  <c r="V235" i="24" s="1"/>
  <c r="W235" i="24" s="1"/>
  <c r="U243" i="24"/>
  <c r="T243" i="24" s="1"/>
  <c r="S243" i="24" s="1"/>
  <c r="R243" i="24" s="1"/>
  <c r="P243" i="24" s="1"/>
  <c r="V243" i="24" s="1"/>
  <c r="W243" i="24" s="1"/>
  <c r="U251" i="24"/>
  <c r="T251" i="24" s="1"/>
  <c r="S251" i="24" s="1"/>
  <c r="R251" i="24" s="1"/>
  <c r="P251" i="24" s="1"/>
  <c r="V251" i="24" s="1"/>
  <c r="D251" i="24" s="1"/>
  <c r="E251" i="24" s="1"/>
  <c r="F251" i="24" s="1"/>
  <c r="U259" i="24"/>
  <c r="T259" i="24" s="1"/>
  <c r="S259" i="24" s="1"/>
  <c r="R259" i="24" s="1"/>
  <c r="P259" i="24" s="1"/>
  <c r="V259" i="24" s="1"/>
  <c r="W259" i="24" s="1"/>
  <c r="U267" i="24"/>
  <c r="T267" i="24" s="1"/>
  <c r="S267" i="24" s="1"/>
  <c r="R267" i="24" s="1"/>
  <c r="P267" i="24" s="1"/>
  <c r="V267" i="24" s="1"/>
  <c r="W267" i="24" s="1"/>
  <c r="U275" i="24"/>
  <c r="T275" i="24" s="1"/>
  <c r="S275" i="24" s="1"/>
  <c r="R275" i="24" s="1"/>
  <c r="P275" i="24" s="1"/>
  <c r="V275" i="24" s="1"/>
  <c r="W275" i="24" s="1"/>
  <c r="U283" i="24"/>
  <c r="T283" i="24" s="1"/>
  <c r="S283" i="24" s="1"/>
  <c r="R283" i="24" s="1"/>
  <c r="P283" i="24" s="1"/>
  <c r="V283" i="24" s="1"/>
  <c r="W283" i="24" s="1"/>
  <c r="U291" i="24"/>
  <c r="T291" i="24" s="1"/>
  <c r="S291" i="24" s="1"/>
  <c r="R291" i="24" s="1"/>
  <c r="P291" i="24" s="1"/>
  <c r="V291" i="24" s="1"/>
  <c r="D291" i="24" s="1"/>
  <c r="E291" i="24" s="1"/>
  <c r="F291" i="24" s="1"/>
  <c r="U299" i="24"/>
  <c r="T299" i="24" s="1"/>
  <c r="S299" i="24" s="1"/>
  <c r="R299" i="24" s="1"/>
  <c r="P299" i="24" s="1"/>
  <c r="V299" i="24" s="1"/>
  <c r="D299" i="24" s="1"/>
  <c r="E299" i="24" s="1"/>
  <c r="F299" i="24" s="1"/>
  <c r="U307" i="24"/>
  <c r="T307" i="24" s="1"/>
  <c r="S307" i="24" s="1"/>
  <c r="R307" i="24" s="1"/>
  <c r="P307" i="24" s="1"/>
  <c r="V307" i="24" s="1"/>
  <c r="W307" i="24" s="1"/>
  <c r="U315" i="24"/>
  <c r="T315" i="24" s="1"/>
  <c r="S315" i="24" s="1"/>
  <c r="R315" i="24" s="1"/>
  <c r="P315" i="24" s="1"/>
  <c r="V315" i="24" s="1"/>
  <c r="W315" i="24" s="1"/>
  <c r="U323" i="24"/>
  <c r="T323" i="24" s="1"/>
  <c r="S323" i="24" s="1"/>
  <c r="R323" i="24" s="1"/>
  <c r="P323" i="24" s="1"/>
  <c r="V323" i="24" s="1"/>
  <c r="W323" i="24" s="1"/>
  <c r="U331" i="24"/>
  <c r="T331" i="24" s="1"/>
  <c r="S331" i="24" s="1"/>
  <c r="R331" i="24" s="1"/>
  <c r="P331" i="24" s="1"/>
  <c r="V331" i="24" s="1"/>
  <c r="D331" i="24" s="1"/>
  <c r="E331" i="24" s="1"/>
  <c r="F331" i="24" s="1"/>
  <c r="U339" i="24"/>
  <c r="T339" i="24" s="1"/>
  <c r="S339" i="24" s="1"/>
  <c r="R339" i="24" s="1"/>
  <c r="P339" i="24" s="1"/>
  <c r="V339" i="24" s="1"/>
  <c r="W339" i="24" s="1"/>
  <c r="U347" i="24"/>
  <c r="T347" i="24" s="1"/>
  <c r="S347" i="24" s="1"/>
  <c r="R347" i="24" s="1"/>
  <c r="P347" i="24" s="1"/>
  <c r="V347" i="24" s="1"/>
  <c r="W347" i="24" s="1"/>
  <c r="U355" i="24"/>
  <c r="T355" i="24" s="1"/>
  <c r="S355" i="24" s="1"/>
  <c r="R355" i="24" s="1"/>
  <c r="P355" i="24" s="1"/>
  <c r="V355" i="24" s="1"/>
  <c r="D355" i="24" s="1"/>
  <c r="E355" i="24" s="1"/>
  <c r="F355" i="24" s="1"/>
  <c r="U363" i="24"/>
  <c r="T363" i="24" s="1"/>
  <c r="S363" i="24" s="1"/>
  <c r="R363" i="24" s="1"/>
  <c r="P363" i="24" s="1"/>
  <c r="U371" i="24"/>
  <c r="T371" i="24" s="1"/>
  <c r="S371" i="24" s="1"/>
  <c r="R371" i="24" s="1"/>
  <c r="P371" i="24" s="1"/>
  <c r="V371" i="24" s="1"/>
  <c r="D371" i="24" s="1"/>
  <c r="E371" i="24" s="1"/>
  <c r="F371" i="24" s="1"/>
  <c r="U379" i="24"/>
  <c r="U172" i="24"/>
  <c r="T172" i="24" s="1"/>
  <c r="S172" i="24" s="1"/>
  <c r="R172" i="24" s="1"/>
  <c r="P172" i="24" s="1"/>
  <c r="V172" i="24" s="1"/>
  <c r="W172" i="24" s="1"/>
  <c r="U164" i="24"/>
  <c r="T164" i="24" s="1"/>
  <c r="S164" i="24" s="1"/>
  <c r="R164" i="24" s="1"/>
  <c r="P164" i="24" s="1"/>
  <c r="V164" i="24" s="1"/>
  <c r="D164" i="24" s="1"/>
  <c r="E164" i="24" s="1"/>
  <c r="F164" i="24" s="1"/>
  <c r="U156" i="24"/>
  <c r="T156" i="24" s="1"/>
  <c r="S156" i="24" s="1"/>
  <c r="R156" i="24" s="1"/>
  <c r="P156" i="24" s="1"/>
  <c r="V156" i="24" s="1"/>
  <c r="D156" i="24" s="1"/>
  <c r="E156" i="24" s="1"/>
  <c r="F156" i="24" s="1"/>
  <c r="U148" i="24"/>
  <c r="T148" i="24" s="1"/>
  <c r="S148" i="24" s="1"/>
  <c r="R148" i="24" s="1"/>
  <c r="P148" i="24" s="1"/>
  <c r="V148" i="24" s="1"/>
  <c r="D148" i="24" s="1"/>
  <c r="E148" i="24" s="1"/>
  <c r="F148" i="24" s="1"/>
  <c r="U140" i="24"/>
  <c r="T140" i="24" s="1"/>
  <c r="S140" i="24" s="1"/>
  <c r="R140" i="24" s="1"/>
  <c r="P140" i="24" s="1"/>
  <c r="V140" i="24" s="1"/>
  <c r="W140" i="24" s="1"/>
  <c r="U132" i="24"/>
  <c r="T132" i="24" s="1"/>
  <c r="S132" i="24" s="1"/>
  <c r="R132" i="24" s="1"/>
  <c r="P132" i="24" s="1"/>
  <c r="V132" i="24" s="1"/>
  <c r="D132" i="24" s="1"/>
  <c r="E132" i="24" s="1"/>
  <c r="F132" i="24" s="1"/>
  <c r="U124" i="24"/>
  <c r="T124" i="24" s="1"/>
  <c r="S124" i="24" s="1"/>
  <c r="R124" i="24" s="1"/>
  <c r="P124" i="24" s="1"/>
  <c r="V124" i="24" s="1"/>
  <c r="W124" i="24" s="1"/>
  <c r="U116" i="24"/>
  <c r="T116" i="24" s="1"/>
  <c r="S116" i="24" s="1"/>
  <c r="R116" i="24" s="1"/>
  <c r="P116" i="24" s="1"/>
  <c r="V116" i="24" s="1"/>
  <c r="W116" i="24" s="1"/>
  <c r="U108" i="24"/>
  <c r="T108" i="24" s="1"/>
  <c r="S108" i="24" s="1"/>
  <c r="R108" i="24" s="1"/>
  <c r="P108" i="24" s="1"/>
  <c r="V108" i="24" s="1"/>
  <c r="D108" i="24" s="1"/>
  <c r="E108" i="24" s="1"/>
  <c r="F108" i="24" s="1"/>
  <c r="U100" i="24"/>
  <c r="T100" i="24" s="1"/>
  <c r="S100" i="24" s="1"/>
  <c r="R100" i="24" s="1"/>
  <c r="P100" i="24" s="1"/>
  <c r="V100" i="24" s="1"/>
  <c r="W100" i="24" s="1"/>
  <c r="U92" i="24"/>
  <c r="T92" i="24" s="1"/>
  <c r="S92" i="24" s="1"/>
  <c r="R92" i="24" s="1"/>
  <c r="P92" i="24" s="1"/>
  <c r="V92" i="24" s="1"/>
  <c r="D92" i="24" s="1"/>
  <c r="E92" i="24" s="1"/>
  <c r="F92" i="24" s="1"/>
  <c r="U84" i="24"/>
  <c r="T84" i="24" s="1"/>
  <c r="S84" i="24" s="1"/>
  <c r="R84" i="24" s="1"/>
  <c r="P84" i="24" s="1"/>
  <c r="V84" i="24" s="1"/>
  <c r="W84" i="24" s="1"/>
  <c r="U76" i="24"/>
  <c r="T76" i="24" s="1"/>
  <c r="S76" i="24" s="1"/>
  <c r="R76" i="24" s="1"/>
  <c r="P76" i="24" s="1"/>
  <c r="V76" i="24" s="1"/>
  <c r="D76" i="24" s="1"/>
  <c r="E76" i="24" s="1"/>
  <c r="F76" i="24" s="1"/>
  <c r="U68" i="24"/>
  <c r="T68" i="24" s="1"/>
  <c r="S68" i="24" s="1"/>
  <c r="R68" i="24" s="1"/>
  <c r="P68" i="24" s="1"/>
  <c r="V68" i="24" s="1"/>
  <c r="D68" i="24" s="1"/>
  <c r="E68" i="24" s="1"/>
  <c r="F68" i="24" s="1"/>
  <c r="U60" i="24"/>
  <c r="T60" i="24" s="1"/>
  <c r="S60" i="24" s="1"/>
  <c r="R60" i="24" s="1"/>
  <c r="P60" i="24" s="1"/>
  <c r="AH57" i="7" s="1"/>
  <c r="U52" i="24"/>
  <c r="T52" i="24" s="1"/>
  <c r="S52" i="24" s="1"/>
  <c r="R52" i="24" s="1"/>
  <c r="P52" i="24" s="1"/>
  <c r="V52" i="24" s="1"/>
  <c r="D52" i="24" s="1"/>
  <c r="E52" i="24" s="1"/>
  <c r="F52" i="24" s="1"/>
  <c r="U44" i="24"/>
  <c r="T44" i="24" s="1"/>
  <c r="S44" i="24" s="1"/>
  <c r="R44" i="24" s="1"/>
  <c r="P44" i="24" s="1"/>
  <c r="V44" i="24" s="1"/>
  <c r="W44" i="24" s="1"/>
  <c r="U36" i="24"/>
  <c r="T36" i="24" s="1"/>
  <c r="S36" i="24" s="1"/>
  <c r="R36" i="24" s="1"/>
  <c r="P36" i="24" s="1"/>
  <c r="V36" i="24" s="1"/>
  <c r="D36" i="24" s="1"/>
  <c r="E36" i="24" s="1"/>
  <c r="F36" i="24" s="1"/>
  <c r="U28" i="24"/>
  <c r="T28" i="24" s="1"/>
  <c r="S28" i="24" s="1"/>
  <c r="R28" i="24" s="1"/>
  <c r="P28" i="24" s="1"/>
  <c r="V28" i="24" s="1"/>
  <c r="W28" i="24" s="1"/>
  <c r="U15" i="24"/>
  <c r="U29" i="24"/>
  <c r="T29" i="24" s="1"/>
  <c r="S29" i="24" s="1"/>
  <c r="R29" i="24" s="1"/>
  <c r="P29" i="24" s="1"/>
  <c r="AH56" i="7" s="1"/>
  <c r="U61" i="24"/>
  <c r="T61" i="24" s="1"/>
  <c r="S61" i="24" s="1"/>
  <c r="R61" i="24" s="1"/>
  <c r="P61" i="24" s="1"/>
  <c r="V61" i="24" s="1"/>
  <c r="W61" i="24" s="1"/>
  <c r="U93" i="24"/>
  <c r="T93" i="24" s="1"/>
  <c r="S93" i="24" s="1"/>
  <c r="R93" i="24" s="1"/>
  <c r="P93" i="24" s="1"/>
  <c r="V93" i="24" s="1"/>
  <c r="W93" i="24" s="1"/>
  <c r="U125" i="24"/>
  <c r="T125" i="24" s="1"/>
  <c r="S125" i="24" s="1"/>
  <c r="R125" i="24" s="1"/>
  <c r="P125" i="24" s="1"/>
  <c r="V125" i="24" s="1"/>
  <c r="D125" i="24" s="1"/>
  <c r="E125" i="24" s="1"/>
  <c r="F125" i="24" s="1"/>
  <c r="U157" i="24"/>
  <c r="T157" i="24" s="1"/>
  <c r="S157" i="24" s="1"/>
  <c r="R157" i="24" s="1"/>
  <c r="P157" i="24" s="1"/>
  <c r="V157" i="24" s="1"/>
  <c r="W157" i="24" s="1"/>
  <c r="U184" i="24"/>
  <c r="T184" i="24" s="1"/>
  <c r="S184" i="24" s="1"/>
  <c r="R184" i="24" s="1"/>
  <c r="P184" i="24" s="1"/>
  <c r="V184" i="24" s="1"/>
  <c r="D184" i="24" s="1"/>
  <c r="E184" i="24" s="1"/>
  <c r="F184" i="24" s="1"/>
  <c r="U200" i="24"/>
  <c r="T200" i="24" s="1"/>
  <c r="S200" i="24" s="1"/>
  <c r="R200" i="24" s="1"/>
  <c r="P200" i="24" s="1"/>
  <c r="V200" i="24" s="1"/>
  <c r="W200" i="24" s="1"/>
  <c r="U216" i="24"/>
  <c r="T216" i="24" s="1"/>
  <c r="S216" i="24" s="1"/>
  <c r="R216" i="24" s="1"/>
  <c r="P216" i="24" s="1"/>
  <c r="V216" i="24" s="1"/>
  <c r="D216" i="24" s="1"/>
  <c r="E216" i="24" s="1"/>
  <c r="F216" i="24" s="1"/>
  <c r="U232" i="24"/>
  <c r="T232" i="24" s="1"/>
  <c r="S232" i="24" s="1"/>
  <c r="R232" i="24" s="1"/>
  <c r="P232" i="24" s="1"/>
  <c r="V232" i="24" s="1"/>
  <c r="D232" i="24" s="1"/>
  <c r="E232" i="24" s="1"/>
  <c r="F232" i="24" s="1"/>
  <c r="U248" i="24"/>
  <c r="T248" i="24" s="1"/>
  <c r="S248" i="24" s="1"/>
  <c r="R248" i="24" s="1"/>
  <c r="P248" i="24" s="1"/>
  <c r="V248" i="24" s="1"/>
  <c r="W248" i="24" s="1"/>
  <c r="U264" i="24"/>
  <c r="T264" i="24" s="1"/>
  <c r="S264" i="24" s="1"/>
  <c r="R264" i="24" s="1"/>
  <c r="P264" i="24" s="1"/>
  <c r="V264" i="24" s="1"/>
  <c r="D264" i="24" s="1"/>
  <c r="E264" i="24" s="1"/>
  <c r="F264" i="24" s="1"/>
  <c r="U280" i="24"/>
  <c r="T280" i="24" s="1"/>
  <c r="S280" i="24" s="1"/>
  <c r="R280" i="24" s="1"/>
  <c r="P280" i="24" s="1"/>
  <c r="V280" i="24" s="1"/>
  <c r="D280" i="24" s="1"/>
  <c r="E280" i="24" s="1"/>
  <c r="F280" i="24" s="1"/>
  <c r="U296" i="24"/>
  <c r="T296" i="24" s="1"/>
  <c r="S296" i="24" s="1"/>
  <c r="R296" i="24" s="1"/>
  <c r="P296" i="24" s="1"/>
  <c r="V296" i="24" s="1"/>
  <c r="D296" i="24" s="1"/>
  <c r="E296" i="24" s="1"/>
  <c r="F296" i="24" s="1"/>
  <c r="U312" i="24"/>
  <c r="T312" i="24" s="1"/>
  <c r="S312" i="24" s="1"/>
  <c r="R312" i="24" s="1"/>
  <c r="P312" i="24" s="1"/>
  <c r="V312" i="24" s="1"/>
  <c r="W312" i="24" s="1"/>
  <c r="U328" i="24"/>
  <c r="T328" i="24" s="1"/>
  <c r="S328" i="24" s="1"/>
  <c r="R328" i="24" s="1"/>
  <c r="P328" i="24" s="1"/>
  <c r="V328" i="24" s="1"/>
  <c r="D328" i="24" s="1"/>
  <c r="E328" i="24" s="1"/>
  <c r="F328" i="24" s="1"/>
  <c r="U344" i="24"/>
  <c r="T344" i="24" s="1"/>
  <c r="S344" i="24" s="1"/>
  <c r="R344" i="24" s="1"/>
  <c r="P344" i="24" s="1"/>
  <c r="V344" i="24" s="1"/>
  <c r="D344" i="24" s="1"/>
  <c r="E344" i="24" s="1"/>
  <c r="F344" i="24" s="1"/>
  <c r="U360" i="24"/>
  <c r="T360" i="24" s="1"/>
  <c r="S360" i="24" s="1"/>
  <c r="R360" i="24" s="1"/>
  <c r="P360" i="24" s="1"/>
  <c r="V360" i="24" s="1"/>
  <c r="W360" i="24" s="1"/>
  <c r="U376" i="24"/>
  <c r="T376" i="24" s="1"/>
  <c r="S376" i="24" s="1"/>
  <c r="R376" i="24" s="1"/>
  <c r="P376" i="24" s="1"/>
  <c r="V376" i="24" s="1"/>
  <c r="D376" i="24" s="1"/>
  <c r="E376" i="24" s="1"/>
  <c r="F376" i="24" s="1"/>
  <c r="U18" i="24"/>
  <c r="T18" i="24" s="1"/>
  <c r="S18" i="24" s="1"/>
  <c r="R18" i="24" s="1"/>
  <c r="P18" i="24" s="1"/>
  <c r="V18" i="24" s="1"/>
  <c r="W18" i="24" s="1"/>
  <c r="U39" i="24"/>
  <c r="T39" i="24" s="1"/>
  <c r="S39" i="24" s="1"/>
  <c r="R39" i="24" s="1"/>
  <c r="P39" i="24" s="1"/>
  <c r="V39" i="24" s="1"/>
  <c r="D39" i="24" s="1"/>
  <c r="E39" i="24" s="1"/>
  <c r="F39" i="24" s="1"/>
  <c r="U55" i="24"/>
  <c r="T55" i="24" s="1"/>
  <c r="S55" i="24" s="1"/>
  <c r="R55" i="24" s="1"/>
  <c r="P55" i="24" s="1"/>
  <c r="V55" i="24" s="1"/>
  <c r="W55" i="24" s="1"/>
  <c r="U71" i="24"/>
  <c r="T71" i="24" s="1"/>
  <c r="S71" i="24" s="1"/>
  <c r="R71" i="24" s="1"/>
  <c r="P71" i="24" s="1"/>
  <c r="V71" i="24" s="1"/>
  <c r="W71" i="24" s="1"/>
  <c r="U87" i="24"/>
  <c r="T87" i="24" s="1"/>
  <c r="S87" i="24" s="1"/>
  <c r="R87" i="24" s="1"/>
  <c r="P87" i="24" s="1"/>
  <c r="V87" i="24" s="1"/>
  <c r="W87" i="24" s="1"/>
  <c r="U103" i="24"/>
  <c r="T103" i="24" s="1"/>
  <c r="S103" i="24" s="1"/>
  <c r="R103" i="24" s="1"/>
  <c r="P103" i="24" s="1"/>
  <c r="V103" i="24" s="1"/>
  <c r="W103" i="24" s="1"/>
  <c r="U119" i="24"/>
  <c r="T119" i="24" s="1"/>
  <c r="S119" i="24" s="1"/>
  <c r="R119" i="24" s="1"/>
  <c r="P119" i="24" s="1"/>
  <c r="AH59" i="7" s="1"/>
  <c r="U135" i="24"/>
  <c r="T135" i="24" s="1"/>
  <c r="S135" i="24" s="1"/>
  <c r="R135" i="24" s="1"/>
  <c r="P135" i="24" s="1"/>
  <c r="V135" i="24" s="1"/>
  <c r="U151" i="24"/>
  <c r="T151" i="24" s="1"/>
  <c r="S151" i="24" s="1"/>
  <c r="R151" i="24" s="1"/>
  <c r="P151" i="24" s="1"/>
  <c r="V151" i="24" s="1"/>
  <c r="W151" i="24" s="1"/>
  <c r="U167" i="24"/>
  <c r="T167" i="24" s="1"/>
  <c r="S167" i="24" s="1"/>
  <c r="R167" i="24" s="1"/>
  <c r="P167" i="24" s="1"/>
  <c r="V167" i="24" s="1"/>
  <c r="D167" i="24" s="1"/>
  <c r="E167" i="24" s="1"/>
  <c r="F167" i="24" s="1"/>
  <c r="U181" i="24"/>
  <c r="T181" i="24" s="1"/>
  <c r="S181" i="24" s="1"/>
  <c r="R181" i="24" s="1"/>
  <c r="P181" i="24" s="1"/>
  <c r="V181" i="24" s="1"/>
  <c r="D181" i="24" s="1"/>
  <c r="E181" i="24" s="1"/>
  <c r="F181" i="24" s="1"/>
  <c r="U189" i="24"/>
  <c r="T189" i="24" s="1"/>
  <c r="S189" i="24" s="1"/>
  <c r="R189" i="24" s="1"/>
  <c r="P189" i="24" s="1"/>
  <c r="V189" i="24" s="1"/>
  <c r="W189" i="24" s="1"/>
  <c r="U197" i="24"/>
  <c r="T197" i="24" s="1"/>
  <c r="S197" i="24" s="1"/>
  <c r="R197" i="24" s="1"/>
  <c r="P197" i="24" s="1"/>
  <c r="V197" i="24" s="1"/>
  <c r="W197" i="24" s="1"/>
  <c r="U205" i="24"/>
  <c r="T205" i="24" s="1"/>
  <c r="S205" i="24" s="1"/>
  <c r="R205" i="24" s="1"/>
  <c r="P205" i="24" s="1"/>
  <c r="V205" i="24" s="1"/>
  <c r="D205" i="24" s="1"/>
  <c r="E205" i="24" s="1"/>
  <c r="F205" i="24" s="1"/>
  <c r="U213" i="24"/>
  <c r="T213" i="24" s="1"/>
  <c r="S213" i="24" s="1"/>
  <c r="R213" i="24" s="1"/>
  <c r="P213" i="24" s="1"/>
  <c r="V213" i="24" s="1"/>
  <c r="D213" i="24" s="1"/>
  <c r="E213" i="24" s="1"/>
  <c r="F213" i="24" s="1"/>
  <c r="U221" i="24"/>
  <c r="T221" i="24" s="1"/>
  <c r="S221" i="24" s="1"/>
  <c r="R221" i="24" s="1"/>
  <c r="P221" i="24" s="1"/>
  <c r="V221" i="24" s="1"/>
  <c r="D221" i="24" s="1"/>
  <c r="E221" i="24" s="1"/>
  <c r="F221" i="24" s="1"/>
  <c r="U229" i="24"/>
  <c r="T229" i="24" s="1"/>
  <c r="S229" i="24" s="1"/>
  <c r="R229" i="24" s="1"/>
  <c r="P229" i="24" s="1"/>
  <c r="V229" i="24" s="1"/>
  <c r="W229" i="24" s="1"/>
  <c r="U237" i="24"/>
  <c r="T237" i="24" s="1"/>
  <c r="S237" i="24" s="1"/>
  <c r="R237" i="24" s="1"/>
  <c r="P237" i="24" s="1"/>
  <c r="V237" i="24" s="1"/>
  <c r="D237" i="24" s="1"/>
  <c r="E237" i="24" s="1"/>
  <c r="F237" i="24" s="1"/>
  <c r="U245" i="24"/>
  <c r="T245" i="24" s="1"/>
  <c r="S245" i="24" s="1"/>
  <c r="R245" i="24" s="1"/>
  <c r="P245" i="24" s="1"/>
  <c r="V245" i="24" s="1"/>
  <c r="D245" i="24" s="1"/>
  <c r="E245" i="24" s="1"/>
  <c r="F245" i="24" s="1"/>
  <c r="U253" i="24"/>
  <c r="T253" i="24" s="1"/>
  <c r="S253" i="24" s="1"/>
  <c r="R253" i="24" s="1"/>
  <c r="P253" i="24" s="1"/>
  <c r="V253" i="24" s="1"/>
  <c r="W253" i="24" s="1"/>
  <c r="U261" i="24"/>
  <c r="T261" i="24" s="1"/>
  <c r="S261" i="24" s="1"/>
  <c r="R261" i="24" s="1"/>
  <c r="P261" i="24" s="1"/>
  <c r="V261" i="24" s="1"/>
  <c r="W261" i="24" s="1"/>
  <c r="U269" i="24"/>
  <c r="T269" i="24" s="1"/>
  <c r="S269" i="24" s="1"/>
  <c r="R269" i="24" s="1"/>
  <c r="P269" i="24" s="1"/>
  <c r="V269" i="24" s="1"/>
  <c r="W269" i="24" s="1"/>
  <c r="U277" i="24"/>
  <c r="T277" i="24" s="1"/>
  <c r="S277" i="24" s="1"/>
  <c r="R277" i="24" s="1"/>
  <c r="P277" i="24" s="1"/>
  <c r="V277" i="24" s="1"/>
  <c r="W277" i="24" s="1"/>
  <c r="U285" i="24"/>
  <c r="T285" i="24" s="1"/>
  <c r="S285" i="24" s="1"/>
  <c r="R285" i="24" s="1"/>
  <c r="P285" i="24" s="1"/>
  <c r="V285" i="24" s="1"/>
  <c r="W285" i="24" s="1"/>
  <c r="U293" i="24"/>
  <c r="T293" i="24" s="1"/>
  <c r="S293" i="24" s="1"/>
  <c r="R293" i="24" s="1"/>
  <c r="P293" i="24" s="1"/>
  <c r="V293" i="24" s="1"/>
  <c r="W293" i="24" s="1"/>
  <c r="U301" i="24"/>
  <c r="T301" i="24" s="1"/>
  <c r="S301" i="24" s="1"/>
  <c r="R301" i="24" s="1"/>
  <c r="P301" i="24" s="1"/>
  <c r="V301" i="24" s="1"/>
  <c r="W301" i="24" s="1"/>
  <c r="U317" i="24"/>
  <c r="T317" i="24" s="1"/>
  <c r="S317" i="24" s="1"/>
  <c r="R317" i="24" s="1"/>
  <c r="P317" i="24" s="1"/>
  <c r="V317" i="24" s="1"/>
  <c r="W317" i="24" s="1"/>
  <c r="U333" i="24"/>
  <c r="T333" i="24" s="1"/>
  <c r="S333" i="24" s="1"/>
  <c r="R333" i="24" s="1"/>
  <c r="P333" i="24" s="1"/>
  <c r="U349" i="24"/>
  <c r="T349" i="24" s="1"/>
  <c r="S349" i="24" s="1"/>
  <c r="R349" i="24" s="1"/>
  <c r="P349" i="24" s="1"/>
  <c r="V349" i="24" s="1"/>
  <c r="D349" i="24" s="1"/>
  <c r="E349" i="24" s="1"/>
  <c r="F349" i="24" s="1"/>
  <c r="U365" i="24"/>
  <c r="T365" i="24" s="1"/>
  <c r="S365" i="24" s="1"/>
  <c r="R365" i="24" s="1"/>
  <c r="P365" i="24" s="1"/>
  <c r="V365" i="24" s="1"/>
  <c r="W365" i="24" s="1"/>
  <c r="U178" i="24"/>
  <c r="T178" i="24" s="1"/>
  <c r="S178" i="24" s="1"/>
  <c r="R178" i="24" s="1"/>
  <c r="P178" i="24" s="1"/>
  <c r="V178" i="24" s="1"/>
  <c r="W178" i="24" s="1"/>
  <c r="U162" i="24"/>
  <c r="T162" i="24" s="1"/>
  <c r="S162" i="24" s="1"/>
  <c r="R162" i="24" s="1"/>
  <c r="P162" i="24" s="1"/>
  <c r="V162" i="24" s="1"/>
  <c r="W162" i="24" s="1"/>
  <c r="U146" i="24"/>
  <c r="T146" i="24" s="1"/>
  <c r="S146" i="24" s="1"/>
  <c r="R146" i="24" s="1"/>
  <c r="P146" i="24" s="1"/>
  <c r="V146" i="24" s="1"/>
  <c r="D146" i="24" s="1"/>
  <c r="E146" i="24" s="1"/>
  <c r="F146" i="24" s="1"/>
  <c r="U130" i="24"/>
  <c r="T130" i="24" s="1"/>
  <c r="S130" i="24" s="1"/>
  <c r="R130" i="24" s="1"/>
  <c r="P130" i="24" s="1"/>
  <c r="V130" i="24" s="1"/>
  <c r="W130" i="24" s="1"/>
  <c r="U114" i="24"/>
  <c r="T114" i="24" s="1"/>
  <c r="S114" i="24" s="1"/>
  <c r="R114" i="24" s="1"/>
  <c r="P114" i="24" s="1"/>
  <c r="V114" i="24" s="1"/>
  <c r="D114" i="24" s="1"/>
  <c r="E114" i="24" s="1"/>
  <c r="F114" i="24" s="1"/>
  <c r="U98" i="24"/>
  <c r="T98" i="24" s="1"/>
  <c r="S98" i="24" s="1"/>
  <c r="R98" i="24" s="1"/>
  <c r="P98" i="24" s="1"/>
  <c r="V98" i="24" s="1"/>
  <c r="W98" i="24" s="1"/>
  <c r="U82" i="24"/>
  <c r="T82" i="24" s="1"/>
  <c r="S82" i="24" s="1"/>
  <c r="R82" i="24" s="1"/>
  <c r="P82" i="24" s="1"/>
  <c r="V82" i="24" s="1"/>
  <c r="D82" i="24" s="1"/>
  <c r="E82" i="24" s="1"/>
  <c r="F82" i="24" s="1"/>
  <c r="U66" i="24"/>
  <c r="T66" i="24" s="1"/>
  <c r="S66" i="24" s="1"/>
  <c r="R66" i="24" s="1"/>
  <c r="P66" i="24" s="1"/>
  <c r="V66" i="24" s="1"/>
  <c r="W66" i="24" s="1"/>
  <c r="U50" i="24"/>
  <c r="T50" i="24" s="1"/>
  <c r="S50" i="24" s="1"/>
  <c r="R50" i="24" s="1"/>
  <c r="P50" i="24" s="1"/>
  <c r="V50" i="24" s="1"/>
  <c r="W50" i="24" s="1"/>
  <c r="U34" i="24"/>
  <c r="T34" i="24" s="1"/>
  <c r="S34" i="24" s="1"/>
  <c r="R34" i="24" s="1"/>
  <c r="P34" i="24" s="1"/>
  <c r="V34" i="24" s="1"/>
  <c r="W34" i="24" s="1"/>
  <c r="U23" i="24"/>
  <c r="T23" i="24" s="1"/>
  <c r="S23" i="24" s="1"/>
  <c r="R23" i="24" s="1"/>
  <c r="P23" i="24" s="1"/>
  <c r="V23" i="24" s="1"/>
  <c r="W23" i="24" s="1"/>
  <c r="U69" i="24"/>
  <c r="T69" i="24" s="1"/>
  <c r="S69" i="24" s="1"/>
  <c r="R69" i="24" s="1"/>
  <c r="P69" i="24" s="1"/>
  <c r="V69" i="24" s="1"/>
  <c r="W69" i="24" s="1"/>
  <c r="U133" i="24"/>
  <c r="T133" i="24" s="1"/>
  <c r="S133" i="24" s="1"/>
  <c r="R133" i="24" s="1"/>
  <c r="P133" i="24" s="1"/>
  <c r="V133" i="24" s="1"/>
  <c r="W133" i="24" s="1"/>
  <c r="U188" i="24"/>
  <c r="T188" i="24" s="1"/>
  <c r="S188" i="24" s="1"/>
  <c r="R188" i="24" s="1"/>
  <c r="P188" i="24" s="1"/>
  <c r="V188" i="24" s="1"/>
  <c r="D188" i="24" s="1"/>
  <c r="E188" i="24" s="1"/>
  <c r="F188" i="24" s="1"/>
  <c r="U220" i="24"/>
  <c r="T220" i="24" s="1"/>
  <c r="S220" i="24" s="1"/>
  <c r="R220" i="24" s="1"/>
  <c r="P220" i="24" s="1"/>
  <c r="V220" i="24" s="1"/>
  <c r="W220" i="24" s="1"/>
  <c r="U252" i="24"/>
  <c r="T252" i="24" s="1"/>
  <c r="S252" i="24" s="1"/>
  <c r="R252" i="24" s="1"/>
  <c r="P252" i="24" s="1"/>
  <c r="V252" i="24" s="1"/>
  <c r="W252" i="24" s="1"/>
  <c r="U284" i="24"/>
  <c r="T284" i="24" s="1"/>
  <c r="S284" i="24" s="1"/>
  <c r="R284" i="24" s="1"/>
  <c r="P284" i="24" s="1"/>
  <c r="V284" i="24" s="1"/>
  <c r="W284" i="24" s="1"/>
  <c r="U316" i="24"/>
  <c r="T316" i="24" s="1"/>
  <c r="S316" i="24" s="1"/>
  <c r="R316" i="24" s="1"/>
  <c r="P316" i="24" s="1"/>
  <c r="V316" i="24" s="1"/>
  <c r="W316" i="24" s="1"/>
  <c r="U348" i="24"/>
  <c r="T348" i="24" s="1"/>
  <c r="S348" i="24" s="1"/>
  <c r="R348" i="24" s="1"/>
  <c r="P348" i="24" s="1"/>
  <c r="V348" i="24" s="1"/>
  <c r="D348" i="24" s="1"/>
  <c r="E348" i="24" s="1"/>
  <c r="F348" i="24" s="1"/>
  <c r="U374" i="24"/>
  <c r="T374" i="24" s="1"/>
  <c r="S374" i="24" s="1"/>
  <c r="R374" i="24" s="1"/>
  <c r="P374" i="24" s="1"/>
  <c r="V374" i="24" s="1"/>
  <c r="W374" i="24" s="1"/>
  <c r="U342" i="24"/>
  <c r="T342" i="24" s="1"/>
  <c r="S342" i="24" s="1"/>
  <c r="R342" i="24" s="1"/>
  <c r="P342" i="24" s="1"/>
  <c r="V342" i="24" s="1"/>
  <c r="W342" i="24" s="1"/>
  <c r="U310" i="24"/>
  <c r="T310" i="24" s="1"/>
  <c r="S310" i="24" s="1"/>
  <c r="R310" i="24" s="1"/>
  <c r="P310" i="24" s="1"/>
  <c r="V310" i="24" s="1"/>
  <c r="D310" i="24" s="1"/>
  <c r="E310" i="24" s="1"/>
  <c r="F310" i="24" s="1"/>
  <c r="U278" i="24"/>
  <c r="T278" i="24" s="1"/>
  <c r="S278" i="24" s="1"/>
  <c r="R278" i="24" s="1"/>
  <c r="P278" i="24" s="1"/>
  <c r="V278" i="24" s="1"/>
  <c r="W278" i="24" s="1"/>
  <c r="U246" i="24"/>
  <c r="T246" i="24" s="1"/>
  <c r="S246" i="24" s="1"/>
  <c r="R246" i="24" s="1"/>
  <c r="P246" i="24" s="1"/>
  <c r="V246" i="24" s="1"/>
  <c r="W246" i="24" s="1"/>
  <c r="U214" i="24"/>
  <c r="T214" i="24" s="1"/>
  <c r="S214" i="24" s="1"/>
  <c r="R214" i="24" s="1"/>
  <c r="P214" i="24" s="1"/>
  <c r="V214" i="24" s="1"/>
  <c r="W214" i="24" s="1"/>
  <c r="U182" i="24"/>
  <c r="T182" i="24" s="1"/>
  <c r="S182" i="24" s="1"/>
  <c r="R182" i="24" s="1"/>
  <c r="P182" i="24" s="1"/>
  <c r="V182" i="24" s="1"/>
  <c r="W182" i="24" s="1"/>
  <c r="U121" i="24"/>
  <c r="T121" i="24" s="1"/>
  <c r="S121" i="24" s="1"/>
  <c r="R121" i="24" s="1"/>
  <c r="P121" i="24" s="1"/>
  <c r="V121" i="24" s="1"/>
  <c r="D121" i="24" s="1"/>
  <c r="E121" i="24" s="1"/>
  <c r="F121" i="24" s="1"/>
  <c r="U57" i="24"/>
  <c r="T57" i="24" s="1"/>
  <c r="S57" i="24" s="1"/>
  <c r="R57" i="24" s="1"/>
  <c r="P57" i="24" s="1"/>
  <c r="V57" i="24" s="1"/>
  <c r="W57" i="24" s="1"/>
  <c r="U370" i="24"/>
  <c r="T370" i="24" s="1"/>
  <c r="S370" i="24" s="1"/>
  <c r="R370" i="24" s="1"/>
  <c r="P370" i="24" s="1"/>
  <c r="V370" i="24" s="1"/>
  <c r="W370" i="24" s="1"/>
  <c r="U338" i="24"/>
  <c r="T338" i="24" s="1"/>
  <c r="S338" i="24" s="1"/>
  <c r="R338" i="24" s="1"/>
  <c r="P338" i="24" s="1"/>
  <c r="V338" i="24" s="1"/>
  <c r="D338" i="24" s="1"/>
  <c r="E338" i="24" s="1"/>
  <c r="F338" i="24" s="1"/>
  <c r="U306" i="24"/>
  <c r="T306" i="24" s="1"/>
  <c r="S306" i="24" s="1"/>
  <c r="R306" i="24" s="1"/>
  <c r="P306" i="24" s="1"/>
  <c r="V306" i="24" s="1"/>
  <c r="W306" i="24" s="1"/>
  <c r="U274" i="24"/>
  <c r="T274" i="24" s="1"/>
  <c r="S274" i="24" s="1"/>
  <c r="R274" i="24" s="1"/>
  <c r="P274" i="24" s="1"/>
  <c r="V274" i="24" s="1"/>
  <c r="D274" i="24" s="1"/>
  <c r="E274" i="24" s="1"/>
  <c r="F274" i="24" s="1"/>
  <c r="U242" i="24"/>
  <c r="T242" i="24" s="1"/>
  <c r="S242" i="24" s="1"/>
  <c r="R242" i="24" s="1"/>
  <c r="P242" i="24" s="1"/>
  <c r="V242" i="24" s="1"/>
  <c r="W242" i="24" s="1"/>
  <c r="U210" i="24"/>
  <c r="T210" i="24" s="1"/>
  <c r="S210" i="24" s="1"/>
  <c r="R210" i="24" s="1"/>
  <c r="P210" i="24" s="1"/>
  <c r="U177" i="24"/>
  <c r="T177" i="24" s="1"/>
  <c r="S177" i="24" s="1"/>
  <c r="R177" i="24" s="1"/>
  <c r="P177" i="24" s="1"/>
  <c r="V177" i="24" s="1"/>
  <c r="W177" i="24" s="1"/>
  <c r="U113" i="24"/>
  <c r="T113" i="24" s="1"/>
  <c r="S113" i="24" s="1"/>
  <c r="R113" i="24" s="1"/>
  <c r="P113" i="24" s="1"/>
  <c r="V113" i="24" s="1"/>
  <c r="D113" i="24" s="1"/>
  <c r="E113" i="24" s="1"/>
  <c r="F113" i="24" s="1"/>
  <c r="U49" i="24"/>
  <c r="T49" i="24" s="1"/>
  <c r="S49" i="24" s="1"/>
  <c r="R49" i="24" s="1"/>
  <c r="P49" i="24" s="1"/>
  <c r="V49" i="24" s="1"/>
  <c r="W49" i="24" s="1"/>
  <c r="AI123" i="24"/>
  <c r="AH123" i="24" s="1"/>
  <c r="AG123" i="24" s="1"/>
  <c r="AF123" i="24" s="1"/>
  <c r="AD123" i="24" s="1"/>
  <c r="AI171" i="24"/>
  <c r="AH171" i="24" s="1"/>
  <c r="AG171" i="24" s="1"/>
  <c r="AF171" i="24" s="1"/>
  <c r="AD171" i="24" s="1"/>
  <c r="AI147" i="24"/>
  <c r="AH147" i="24" s="1"/>
  <c r="AG147" i="24" s="1"/>
  <c r="AF147" i="24" s="1"/>
  <c r="AD147" i="24" s="1"/>
  <c r="AI366" i="24"/>
  <c r="AH366" i="24" s="1"/>
  <c r="AG366" i="24" s="1"/>
  <c r="AF366" i="24" s="1"/>
  <c r="AD366" i="24" s="1"/>
  <c r="AI116" i="24"/>
  <c r="AH116" i="24" s="1"/>
  <c r="AG116" i="24" s="1"/>
  <c r="AF116" i="24" s="1"/>
  <c r="AD116" i="24" s="1"/>
  <c r="AI110" i="24"/>
  <c r="AH110" i="24" s="1"/>
  <c r="AG110" i="24" s="1"/>
  <c r="AF110" i="24" s="1"/>
  <c r="AD110" i="24" s="1"/>
  <c r="AI118" i="24"/>
  <c r="AH118" i="24" s="1"/>
  <c r="AG118" i="24" s="1"/>
  <c r="AF118" i="24" s="1"/>
  <c r="AD118" i="24" s="1"/>
  <c r="AI167" i="24"/>
  <c r="AH167" i="24" s="1"/>
  <c r="AG167" i="24" s="1"/>
  <c r="AF167" i="24" s="1"/>
  <c r="AD167" i="24" s="1"/>
  <c r="AI155" i="24"/>
  <c r="AH155" i="24" s="1"/>
  <c r="AG155" i="24" s="1"/>
  <c r="AF155" i="24" s="1"/>
  <c r="AD155" i="24" s="1"/>
  <c r="AI139" i="24"/>
  <c r="AH139" i="24" s="1"/>
  <c r="AG139" i="24" s="1"/>
  <c r="AF139" i="24" s="1"/>
  <c r="AD139" i="24" s="1"/>
  <c r="AI107" i="24"/>
  <c r="AH107" i="24" s="1"/>
  <c r="AG107" i="24" s="1"/>
  <c r="AF107" i="24" s="1"/>
  <c r="AD107" i="24" s="1"/>
  <c r="AI342" i="24"/>
  <c r="AH342" i="24" s="1"/>
  <c r="AG342" i="24" s="1"/>
  <c r="AF342" i="24" s="1"/>
  <c r="AD342" i="24" s="1"/>
  <c r="AI278" i="24"/>
  <c r="AH278" i="24" s="1"/>
  <c r="AG278" i="24" s="1"/>
  <c r="AF278" i="24" s="1"/>
  <c r="AD278" i="24" s="1"/>
  <c r="AI174" i="24"/>
  <c r="AH174" i="24" s="1"/>
  <c r="AG174" i="24" s="1"/>
  <c r="AF174" i="24" s="1"/>
  <c r="AD174" i="24" s="1"/>
  <c r="AI159" i="24"/>
  <c r="AH159" i="24" s="1"/>
  <c r="AG159" i="24" s="1"/>
  <c r="AF159" i="24" s="1"/>
  <c r="AD159" i="24" s="1"/>
  <c r="AI151" i="24"/>
  <c r="AH151" i="24" s="1"/>
  <c r="AG151" i="24" s="1"/>
  <c r="AF151" i="24" s="1"/>
  <c r="AD151" i="24" s="1"/>
  <c r="AI143" i="24"/>
  <c r="AH143" i="24" s="1"/>
  <c r="AG143" i="24" s="1"/>
  <c r="AF143" i="24" s="1"/>
  <c r="AD143" i="24" s="1"/>
  <c r="AI131" i="24"/>
  <c r="AH131" i="24" s="1"/>
  <c r="AG131" i="24" s="1"/>
  <c r="AF131" i="24" s="1"/>
  <c r="AD131" i="24" s="1"/>
  <c r="AI115" i="24"/>
  <c r="AH115" i="24" s="1"/>
  <c r="AG115" i="24" s="1"/>
  <c r="AF115" i="24" s="1"/>
  <c r="AD115" i="24" s="1"/>
  <c r="AI374" i="24"/>
  <c r="AH374" i="24" s="1"/>
  <c r="AG374" i="24" s="1"/>
  <c r="AF374" i="24" s="1"/>
  <c r="AD374" i="24" s="1"/>
  <c r="AI358" i="24"/>
  <c r="AH358" i="24" s="1"/>
  <c r="AG358" i="24" s="1"/>
  <c r="AF358" i="24" s="1"/>
  <c r="AD358" i="24" s="1"/>
  <c r="AI326" i="24"/>
  <c r="AH326" i="24" s="1"/>
  <c r="AG326" i="24" s="1"/>
  <c r="AF326" i="24" s="1"/>
  <c r="AD326" i="24" s="1"/>
  <c r="AI294" i="24"/>
  <c r="AH294" i="24" s="1"/>
  <c r="AG294" i="24" s="1"/>
  <c r="AF294" i="24" s="1"/>
  <c r="AD294" i="24" s="1"/>
  <c r="AI262" i="24"/>
  <c r="AH262" i="24" s="1"/>
  <c r="AG262" i="24" s="1"/>
  <c r="AF262" i="24" s="1"/>
  <c r="AD262" i="24" s="1"/>
  <c r="AI206" i="24"/>
  <c r="AH206" i="24" s="1"/>
  <c r="AG206" i="24" s="1"/>
  <c r="AF206" i="24" s="1"/>
  <c r="AD206" i="24" s="1"/>
  <c r="AI142" i="24"/>
  <c r="AH142" i="24" s="1"/>
  <c r="AG142" i="24" s="1"/>
  <c r="AF142" i="24" s="1"/>
  <c r="AD142" i="24" s="1"/>
  <c r="AI350" i="24"/>
  <c r="AH350" i="24" s="1"/>
  <c r="AG350" i="24" s="1"/>
  <c r="AF350" i="24" s="1"/>
  <c r="AD350" i="24" s="1"/>
  <c r="AI334" i="24"/>
  <c r="AH334" i="24" s="1"/>
  <c r="AG334" i="24" s="1"/>
  <c r="AF334" i="24" s="1"/>
  <c r="AD334" i="24" s="1"/>
  <c r="AI318" i="24"/>
  <c r="AH318" i="24" s="1"/>
  <c r="AG318" i="24" s="1"/>
  <c r="AF318" i="24" s="1"/>
  <c r="AD318" i="24" s="1"/>
  <c r="AI302" i="24"/>
  <c r="AH302" i="24" s="1"/>
  <c r="AG302" i="24" s="1"/>
  <c r="AF302" i="24" s="1"/>
  <c r="AD302" i="24" s="1"/>
  <c r="AI286" i="24"/>
  <c r="AH286" i="24" s="1"/>
  <c r="AG286" i="24" s="1"/>
  <c r="AF286" i="24" s="1"/>
  <c r="AD286" i="24" s="1"/>
  <c r="AI270" i="24"/>
  <c r="AH270" i="24" s="1"/>
  <c r="AG270" i="24" s="1"/>
  <c r="AF270" i="24" s="1"/>
  <c r="AD270" i="24" s="1"/>
  <c r="AI254" i="24"/>
  <c r="AH254" i="24" s="1"/>
  <c r="AG254" i="24" s="1"/>
  <c r="AF254" i="24" s="1"/>
  <c r="AD254" i="24" s="1"/>
  <c r="AI222" i="24"/>
  <c r="AH222" i="24" s="1"/>
  <c r="AG222" i="24" s="1"/>
  <c r="AF222" i="24" s="1"/>
  <c r="AD222" i="24" s="1"/>
  <c r="AI190" i="24"/>
  <c r="AH190" i="24" s="1"/>
  <c r="AG190" i="24" s="1"/>
  <c r="AF190" i="24" s="1"/>
  <c r="AD190" i="24" s="1"/>
  <c r="AI158" i="24"/>
  <c r="AH158" i="24" s="1"/>
  <c r="AG158" i="24" s="1"/>
  <c r="AF158" i="24" s="1"/>
  <c r="AD158" i="24" s="1"/>
  <c r="AI126" i="24"/>
  <c r="AH126" i="24" s="1"/>
  <c r="AG126" i="24" s="1"/>
  <c r="AF126" i="24" s="1"/>
  <c r="AD126" i="24" s="1"/>
  <c r="AI246" i="24"/>
  <c r="AH246" i="24" s="1"/>
  <c r="AG246" i="24" s="1"/>
  <c r="AF246" i="24" s="1"/>
  <c r="AD246" i="24" s="1"/>
  <c r="AI230" i="24"/>
  <c r="AH230" i="24" s="1"/>
  <c r="AG230" i="24" s="1"/>
  <c r="AF230" i="24" s="1"/>
  <c r="AD230" i="24" s="1"/>
  <c r="AI214" i="24"/>
  <c r="AH214" i="24" s="1"/>
  <c r="AG214" i="24" s="1"/>
  <c r="AF214" i="24" s="1"/>
  <c r="AD214" i="24" s="1"/>
  <c r="AI198" i="24"/>
  <c r="AH198" i="24" s="1"/>
  <c r="AG198" i="24" s="1"/>
  <c r="AF198" i="24" s="1"/>
  <c r="AD198" i="24" s="1"/>
  <c r="AI182" i="24"/>
  <c r="AH182" i="24" s="1"/>
  <c r="AG182" i="24" s="1"/>
  <c r="AF182" i="24" s="1"/>
  <c r="AD182" i="24" s="1"/>
  <c r="AI166" i="24"/>
  <c r="AH166" i="24" s="1"/>
  <c r="AG166" i="24" s="1"/>
  <c r="AF166" i="24" s="1"/>
  <c r="AD166" i="24" s="1"/>
  <c r="AI150" i="24"/>
  <c r="AH150" i="24" s="1"/>
  <c r="AG150" i="24" s="1"/>
  <c r="AF150" i="24" s="1"/>
  <c r="AD150" i="24" s="1"/>
  <c r="AI134" i="24"/>
  <c r="AH134" i="24" s="1"/>
  <c r="AG134" i="24" s="1"/>
  <c r="AF134" i="24" s="1"/>
  <c r="AD134" i="24" s="1"/>
  <c r="E40" i="19"/>
  <c r="AI108" i="24"/>
  <c r="AH108" i="24" s="1"/>
  <c r="AG108" i="24" s="1"/>
  <c r="AF108" i="24" s="1"/>
  <c r="AD108" i="24" s="1"/>
  <c r="AI135" i="24"/>
  <c r="AH135" i="24" s="1"/>
  <c r="AG135" i="24" s="1"/>
  <c r="AF135" i="24" s="1"/>
  <c r="AD135" i="24" s="1"/>
  <c r="AI127" i="24"/>
  <c r="AH127" i="24" s="1"/>
  <c r="AG127" i="24" s="1"/>
  <c r="AF127" i="24" s="1"/>
  <c r="AD127" i="24" s="1"/>
  <c r="AI119" i="24"/>
  <c r="AH119" i="24" s="1"/>
  <c r="AG119" i="24" s="1"/>
  <c r="AF119" i="24" s="1"/>
  <c r="AD119" i="24" s="1"/>
  <c r="AI111" i="24"/>
  <c r="AH111" i="24" s="1"/>
  <c r="AG111" i="24" s="1"/>
  <c r="AF111" i="24" s="1"/>
  <c r="AD111" i="24" s="1"/>
  <c r="AI378" i="24"/>
  <c r="AH378" i="24" s="1"/>
  <c r="AG378" i="24" s="1"/>
  <c r="AF378" i="24" s="1"/>
  <c r="AD378" i="24" s="1"/>
  <c r="AI370" i="24"/>
  <c r="AH370" i="24" s="1"/>
  <c r="AG370" i="24" s="1"/>
  <c r="AF370" i="24" s="1"/>
  <c r="AD370" i="24" s="1"/>
  <c r="AI362" i="24"/>
  <c r="AH362" i="24" s="1"/>
  <c r="AG362" i="24" s="1"/>
  <c r="AF362" i="24" s="1"/>
  <c r="AD362" i="24" s="1"/>
  <c r="AI354" i="24"/>
  <c r="AH354" i="24" s="1"/>
  <c r="AG354" i="24" s="1"/>
  <c r="AF354" i="24" s="1"/>
  <c r="AD354" i="24" s="1"/>
  <c r="AI346" i="24"/>
  <c r="AH346" i="24" s="1"/>
  <c r="AG346" i="24" s="1"/>
  <c r="AF346" i="24" s="1"/>
  <c r="AD346" i="24" s="1"/>
  <c r="AI338" i="24"/>
  <c r="AH338" i="24" s="1"/>
  <c r="AG338" i="24" s="1"/>
  <c r="AF338" i="24" s="1"/>
  <c r="AD338" i="24" s="1"/>
  <c r="AI330" i="24"/>
  <c r="AH330" i="24" s="1"/>
  <c r="AG330" i="24" s="1"/>
  <c r="AF330" i="24" s="1"/>
  <c r="AD330" i="24" s="1"/>
  <c r="AI322" i="24"/>
  <c r="AH322" i="24" s="1"/>
  <c r="AG322" i="24" s="1"/>
  <c r="AF322" i="24" s="1"/>
  <c r="AD322" i="24" s="1"/>
  <c r="AI314" i="24"/>
  <c r="AH314" i="24" s="1"/>
  <c r="AG314" i="24" s="1"/>
  <c r="AF314" i="24" s="1"/>
  <c r="AD314" i="24" s="1"/>
  <c r="AI306" i="24"/>
  <c r="AH306" i="24" s="1"/>
  <c r="AG306" i="24" s="1"/>
  <c r="AF306" i="24" s="1"/>
  <c r="AD306" i="24" s="1"/>
  <c r="AI298" i="24"/>
  <c r="AH298" i="24" s="1"/>
  <c r="AG298" i="24" s="1"/>
  <c r="AF298" i="24" s="1"/>
  <c r="AD298" i="24" s="1"/>
  <c r="AI290" i="24"/>
  <c r="AH290" i="24" s="1"/>
  <c r="AG290" i="24" s="1"/>
  <c r="AF290" i="24" s="1"/>
  <c r="AD290" i="24" s="1"/>
  <c r="AI282" i="24"/>
  <c r="AH282" i="24" s="1"/>
  <c r="AG282" i="24" s="1"/>
  <c r="AF282" i="24" s="1"/>
  <c r="AD282" i="24" s="1"/>
  <c r="AI274" i="24"/>
  <c r="AH274" i="24" s="1"/>
  <c r="AG274" i="24" s="1"/>
  <c r="AF274" i="24" s="1"/>
  <c r="AD274" i="24" s="1"/>
  <c r="AI266" i="24"/>
  <c r="AH266" i="24" s="1"/>
  <c r="AG266" i="24" s="1"/>
  <c r="AF266" i="24" s="1"/>
  <c r="AD266" i="24" s="1"/>
  <c r="AI258" i="24"/>
  <c r="AH258" i="24" s="1"/>
  <c r="AG258" i="24" s="1"/>
  <c r="AF258" i="24" s="1"/>
  <c r="AD258" i="24" s="1"/>
  <c r="AI250" i="24"/>
  <c r="AH250" i="24" s="1"/>
  <c r="AG250" i="24" s="1"/>
  <c r="AF250" i="24" s="1"/>
  <c r="AD250" i="24" s="1"/>
  <c r="AI242" i="24"/>
  <c r="AH242" i="24" s="1"/>
  <c r="AG242" i="24" s="1"/>
  <c r="AF242" i="24" s="1"/>
  <c r="AD242" i="24" s="1"/>
  <c r="AI234" i="24"/>
  <c r="AH234" i="24" s="1"/>
  <c r="AG234" i="24" s="1"/>
  <c r="AF234" i="24" s="1"/>
  <c r="AD234" i="24" s="1"/>
  <c r="AI226" i="24"/>
  <c r="AH226" i="24" s="1"/>
  <c r="AG226" i="24" s="1"/>
  <c r="AF226" i="24" s="1"/>
  <c r="AD226" i="24" s="1"/>
  <c r="AI218" i="24"/>
  <c r="AH218" i="24" s="1"/>
  <c r="AG218" i="24" s="1"/>
  <c r="AF218" i="24" s="1"/>
  <c r="AD218" i="24" s="1"/>
  <c r="AI210" i="24"/>
  <c r="AH210" i="24" s="1"/>
  <c r="AG210" i="24" s="1"/>
  <c r="AF210" i="24" s="1"/>
  <c r="AD210" i="24" s="1"/>
  <c r="AI202" i="24"/>
  <c r="AH202" i="24" s="1"/>
  <c r="AG202" i="24" s="1"/>
  <c r="AF202" i="24" s="1"/>
  <c r="AD202" i="24" s="1"/>
  <c r="AI194" i="24"/>
  <c r="AH194" i="24" s="1"/>
  <c r="AG194" i="24" s="1"/>
  <c r="AF194" i="24" s="1"/>
  <c r="AD194" i="24" s="1"/>
  <c r="AI186" i="24"/>
  <c r="AH186" i="24" s="1"/>
  <c r="AG186" i="24" s="1"/>
  <c r="AF186" i="24" s="1"/>
  <c r="AD186" i="24" s="1"/>
  <c r="AI178" i="24"/>
  <c r="AH178" i="24" s="1"/>
  <c r="AG178" i="24" s="1"/>
  <c r="AF178" i="24" s="1"/>
  <c r="AD178" i="24" s="1"/>
  <c r="AI170" i="24"/>
  <c r="AH170" i="24" s="1"/>
  <c r="AG170" i="24" s="1"/>
  <c r="AF170" i="24" s="1"/>
  <c r="AD170" i="24" s="1"/>
  <c r="AI162" i="24"/>
  <c r="AH162" i="24" s="1"/>
  <c r="AG162" i="24" s="1"/>
  <c r="AF162" i="24" s="1"/>
  <c r="AD162" i="24" s="1"/>
  <c r="AI154" i="24"/>
  <c r="AH154" i="24" s="1"/>
  <c r="AG154" i="24" s="1"/>
  <c r="AF154" i="24" s="1"/>
  <c r="AD154" i="24" s="1"/>
  <c r="AI146" i="24"/>
  <c r="AH146" i="24" s="1"/>
  <c r="AG146" i="24" s="1"/>
  <c r="AF146" i="24" s="1"/>
  <c r="AD146" i="24" s="1"/>
  <c r="AI138" i="24"/>
  <c r="AH138" i="24" s="1"/>
  <c r="AG138" i="24" s="1"/>
  <c r="AF138" i="24" s="1"/>
  <c r="AD138" i="24" s="1"/>
  <c r="AI130" i="24"/>
  <c r="AH130" i="24" s="1"/>
  <c r="AG130" i="24" s="1"/>
  <c r="AF130" i="24" s="1"/>
  <c r="AD130" i="24" s="1"/>
  <c r="AI122" i="24"/>
  <c r="AH122" i="24" s="1"/>
  <c r="AG122" i="24" s="1"/>
  <c r="AF122" i="24" s="1"/>
  <c r="AD122" i="24" s="1"/>
  <c r="AI112" i="24"/>
  <c r="AH112" i="24" s="1"/>
  <c r="AG112" i="24" s="1"/>
  <c r="AF112" i="24" s="1"/>
  <c r="AD112" i="24" s="1"/>
  <c r="AI124" i="24"/>
  <c r="AH124" i="24" s="1"/>
  <c r="AG124" i="24" s="1"/>
  <c r="AF124" i="24" s="1"/>
  <c r="AD124" i="24" s="1"/>
  <c r="AI132" i="24"/>
  <c r="AH132" i="24" s="1"/>
  <c r="AG132" i="24" s="1"/>
  <c r="AF132" i="24" s="1"/>
  <c r="AD132" i="24" s="1"/>
  <c r="AI140" i="24"/>
  <c r="AH140" i="24" s="1"/>
  <c r="AG140" i="24" s="1"/>
  <c r="AF140" i="24" s="1"/>
  <c r="AD140" i="24" s="1"/>
  <c r="AI148" i="24"/>
  <c r="AH148" i="24" s="1"/>
  <c r="AG148" i="24" s="1"/>
  <c r="AF148" i="24" s="1"/>
  <c r="AD148" i="24" s="1"/>
  <c r="AI156" i="24"/>
  <c r="AH156" i="24" s="1"/>
  <c r="AG156" i="24" s="1"/>
  <c r="AF156" i="24" s="1"/>
  <c r="AD156" i="24" s="1"/>
  <c r="AI164" i="24"/>
  <c r="AH164" i="24" s="1"/>
  <c r="AG164" i="24" s="1"/>
  <c r="AF164" i="24" s="1"/>
  <c r="AD164" i="24" s="1"/>
  <c r="AI172" i="24"/>
  <c r="AH172" i="24" s="1"/>
  <c r="AG172" i="24" s="1"/>
  <c r="AF172" i="24" s="1"/>
  <c r="AD172" i="24" s="1"/>
  <c r="AI180" i="24"/>
  <c r="AH180" i="24" s="1"/>
  <c r="AG180" i="24" s="1"/>
  <c r="AF180" i="24" s="1"/>
  <c r="AD180" i="24" s="1"/>
  <c r="AI188" i="24"/>
  <c r="AH188" i="24" s="1"/>
  <c r="AG188" i="24" s="1"/>
  <c r="AF188" i="24" s="1"/>
  <c r="AD188" i="24" s="1"/>
  <c r="AI196" i="24"/>
  <c r="AH196" i="24" s="1"/>
  <c r="AG196" i="24" s="1"/>
  <c r="AF196" i="24" s="1"/>
  <c r="AD196" i="24" s="1"/>
  <c r="AI204" i="24"/>
  <c r="AH204" i="24" s="1"/>
  <c r="AG204" i="24" s="1"/>
  <c r="AF204" i="24" s="1"/>
  <c r="AD204" i="24" s="1"/>
  <c r="AI212" i="24"/>
  <c r="AH212" i="24" s="1"/>
  <c r="AG212" i="24" s="1"/>
  <c r="AF212" i="24" s="1"/>
  <c r="AD212" i="24" s="1"/>
  <c r="AI220" i="24"/>
  <c r="AH220" i="24" s="1"/>
  <c r="AG220" i="24" s="1"/>
  <c r="AF220" i="24" s="1"/>
  <c r="AD220" i="24" s="1"/>
  <c r="AI228" i="24"/>
  <c r="AH228" i="24" s="1"/>
  <c r="AG228" i="24" s="1"/>
  <c r="AF228" i="24" s="1"/>
  <c r="AD228" i="24" s="1"/>
  <c r="AI236" i="24"/>
  <c r="AH236" i="24" s="1"/>
  <c r="AG236" i="24" s="1"/>
  <c r="AF236" i="24" s="1"/>
  <c r="AD236" i="24" s="1"/>
  <c r="AI244" i="24"/>
  <c r="AH244" i="24" s="1"/>
  <c r="AG244" i="24" s="1"/>
  <c r="AF244" i="24" s="1"/>
  <c r="AD244" i="24" s="1"/>
  <c r="AI252" i="24"/>
  <c r="AH252" i="24" s="1"/>
  <c r="AG252" i="24" s="1"/>
  <c r="AF252" i="24" s="1"/>
  <c r="AD252" i="24" s="1"/>
  <c r="AI260" i="24"/>
  <c r="AH260" i="24" s="1"/>
  <c r="AG260" i="24" s="1"/>
  <c r="AF260" i="24" s="1"/>
  <c r="AD260" i="24" s="1"/>
  <c r="AI268" i="24"/>
  <c r="AH268" i="24" s="1"/>
  <c r="AG268" i="24" s="1"/>
  <c r="AF268" i="24" s="1"/>
  <c r="AD268" i="24" s="1"/>
  <c r="AI276" i="24"/>
  <c r="AH276" i="24" s="1"/>
  <c r="AG276" i="24" s="1"/>
  <c r="AF276" i="24" s="1"/>
  <c r="AD276" i="24" s="1"/>
  <c r="AI284" i="24"/>
  <c r="AH284" i="24" s="1"/>
  <c r="AG284" i="24" s="1"/>
  <c r="AF284" i="24" s="1"/>
  <c r="AD284" i="24" s="1"/>
  <c r="AI292" i="24"/>
  <c r="AH292" i="24" s="1"/>
  <c r="AG292" i="24" s="1"/>
  <c r="AF292" i="24" s="1"/>
  <c r="AD292" i="24" s="1"/>
  <c r="AI300" i="24"/>
  <c r="AH300" i="24" s="1"/>
  <c r="AG300" i="24" s="1"/>
  <c r="AF300" i="24" s="1"/>
  <c r="AD300" i="24" s="1"/>
  <c r="AI308" i="24"/>
  <c r="AH308" i="24" s="1"/>
  <c r="AG308" i="24" s="1"/>
  <c r="AF308" i="24" s="1"/>
  <c r="AD308" i="24" s="1"/>
  <c r="AI316" i="24"/>
  <c r="AH316" i="24" s="1"/>
  <c r="AG316" i="24" s="1"/>
  <c r="AF316" i="24" s="1"/>
  <c r="AD316" i="24" s="1"/>
  <c r="AI324" i="24"/>
  <c r="AH324" i="24" s="1"/>
  <c r="AG324" i="24" s="1"/>
  <c r="AF324" i="24" s="1"/>
  <c r="AD324" i="24" s="1"/>
  <c r="AI332" i="24"/>
  <c r="AH332" i="24" s="1"/>
  <c r="AG332" i="24" s="1"/>
  <c r="AF332" i="24" s="1"/>
  <c r="AD332" i="24" s="1"/>
  <c r="AI340" i="24"/>
  <c r="AH340" i="24" s="1"/>
  <c r="AG340" i="24" s="1"/>
  <c r="AF340" i="24" s="1"/>
  <c r="AD340" i="24" s="1"/>
  <c r="AI348" i="24"/>
  <c r="AH348" i="24" s="1"/>
  <c r="AG348" i="24" s="1"/>
  <c r="AF348" i="24" s="1"/>
  <c r="AD348" i="24" s="1"/>
  <c r="AI356" i="24"/>
  <c r="AH356" i="24" s="1"/>
  <c r="AG356" i="24" s="1"/>
  <c r="AF356" i="24" s="1"/>
  <c r="AD356" i="24" s="1"/>
  <c r="AI364" i="24"/>
  <c r="AH364" i="24" s="1"/>
  <c r="AG364" i="24" s="1"/>
  <c r="AF364" i="24" s="1"/>
  <c r="AD364" i="24" s="1"/>
  <c r="AI372" i="24"/>
  <c r="AH372" i="24" s="1"/>
  <c r="AG372" i="24" s="1"/>
  <c r="AF372" i="24" s="1"/>
  <c r="AD372" i="24" s="1"/>
  <c r="AI105" i="24"/>
  <c r="AH105" i="24" s="1"/>
  <c r="AG105" i="24" s="1"/>
  <c r="AF105" i="24" s="1"/>
  <c r="AD105" i="24" s="1"/>
  <c r="AI113" i="24"/>
  <c r="AH113" i="24" s="1"/>
  <c r="AG113" i="24" s="1"/>
  <c r="AF113" i="24" s="1"/>
  <c r="AD113" i="24" s="1"/>
  <c r="AI121" i="24"/>
  <c r="AH121" i="24" s="1"/>
  <c r="AG121" i="24" s="1"/>
  <c r="AF121" i="24" s="1"/>
  <c r="AD121" i="24" s="1"/>
  <c r="AI129" i="24"/>
  <c r="AH129" i="24" s="1"/>
  <c r="AG129" i="24" s="1"/>
  <c r="AF129" i="24" s="1"/>
  <c r="AD129" i="24" s="1"/>
  <c r="AI137" i="24"/>
  <c r="AH137" i="24" s="1"/>
  <c r="AG137" i="24" s="1"/>
  <c r="AF137" i="24" s="1"/>
  <c r="AD137" i="24" s="1"/>
  <c r="AI145" i="24"/>
  <c r="AH145" i="24" s="1"/>
  <c r="AG145" i="24" s="1"/>
  <c r="AF145" i="24" s="1"/>
  <c r="AD145" i="24" s="1"/>
  <c r="AI153" i="24"/>
  <c r="AH153" i="24" s="1"/>
  <c r="AG153" i="24" s="1"/>
  <c r="AF153" i="24" s="1"/>
  <c r="AD153" i="24" s="1"/>
  <c r="AI161" i="24"/>
  <c r="AH161" i="24" s="1"/>
  <c r="AG161" i="24" s="1"/>
  <c r="AF161" i="24" s="1"/>
  <c r="AD161" i="24" s="1"/>
  <c r="AI169" i="24"/>
  <c r="AH169" i="24" s="1"/>
  <c r="AG169" i="24" s="1"/>
  <c r="AF169" i="24" s="1"/>
  <c r="AD169" i="24" s="1"/>
  <c r="AI175" i="24"/>
  <c r="AH175" i="24" s="1"/>
  <c r="AG175" i="24" s="1"/>
  <c r="AF175" i="24" s="1"/>
  <c r="AD175" i="24" s="1"/>
  <c r="AI179" i="24"/>
  <c r="AH179" i="24" s="1"/>
  <c r="AG179" i="24" s="1"/>
  <c r="AF179" i="24" s="1"/>
  <c r="AD179" i="24" s="1"/>
  <c r="AI183" i="24"/>
  <c r="AH183" i="24" s="1"/>
  <c r="AG183" i="24" s="1"/>
  <c r="AF183" i="24" s="1"/>
  <c r="AD183" i="24" s="1"/>
  <c r="AI187" i="24"/>
  <c r="AH187" i="24" s="1"/>
  <c r="AG187" i="24" s="1"/>
  <c r="AF187" i="24" s="1"/>
  <c r="AD187" i="24" s="1"/>
  <c r="AI191" i="24"/>
  <c r="AH191" i="24" s="1"/>
  <c r="AG191" i="24" s="1"/>
  <c r="AF191" i="24" s="1"/>
  <c r="AD191" i="24" s="1"/>
  <c r="AI195" i="24"/>
  <c r="AH195" i="24" s="1"/>
  <c r="AG195" i="24" s="1"/>
  <c r="AF195" i="24" s="1"/>
  <c r="AD195" i="24" s="1"/>
  <c r="AI199" i="24"/>
  <c r="AH199" i="24" s="1"/>
  <c r="AG199" i="24" s="1"/>
  <c r="AF199" i="24" s="1"/>
  <c r="AD199" i="24" s="1"/>
  <c r="AI203" i="24"/>
  <c r="AH203" i="24" s="1"/>
  <c r="AG203" i="24" s="1"/>
  <c r="AF203" i="24" s="1"/>
  <c r="AD203" i="24" s="1"/>
  <c r="AI207" i="24"/>
  <c r="AH207" i="24" s="1"/>
  <c r="AG207" i="24" s="1"/>
  <c r="AF207" i="24" s="1"/>
  <c r="AD207" i="24" s="1"/>
  <c r="AI211" i="24"/>
  <c r="AH211" i="24" s="1"/>
  <c r="AG211" i="24" s="1"/>
  <c r="AF211" i="24" s="1"/>
  <c r="AD211" i="24" s="1"/>
  <c r="AI215" i="24"/>
  <c r="AH215" i="24" s="1"/>
  <c r="AG215" i="24" s="1"/>
  <c r="AF215" i="24" s="1"/>
  <c r="AD215" i="24" s="1"/>
  <c r="AI219" i="24"/>
  <c r="AH219" i="24" s="1"/>
  <c r="AG219" i="24" s="1"/>
  <c r="AF219" i="24" s="1"/>
  <c r="AD219" i="24" s="1"/>
  <c r="AI223" i="24"/>
  <c r="AH223" i="24" s="1"/>
  <c r="AG223" i="24" s="1"/>
  <c r="AF223" i="24" s="1"/>
  <c r="AD223" i="24" s="1"/>
  <c r="AI227" i="24"/>
  <c r="AH227" i="24" s="1"/>
  <c r="AG227" i="24" s="1"/>
  <c r="AF227" i="24" s="1"/>
  <c r="AD227" i="24" s="1"/>
  <c r="AI231" i="24"/>
  <c r="AH231" i="24" s="1"/>
  <c r="AG231" i="24" s="1"/>
  <c r="AF231" i="24" s="1"/>
  <c r="AD231" i="24" s="1"/>
  <c r="AI235" i="24"/>
  <c r="AH235" i="24" s="1"/>
  <c r="AG235" i="24" s="1"/>
  <c r="AF235" i="24" s="1"/>
  <c r="AD235" i="24" s="1"/>
  <c r="AI239" i="24"/>
  <c r="AH239" i="24" s="1"/>
  <c r="AG239" i="24" s="1"/>
  <c r="AF239" i="24" s="1"/>
  <c r="AD239" i="24" s="1"/>
  <c r="AI243" i="24"/>
  <c r="AH243" i="24" s="1"/>
  <c r="AG243" i="24" s="1"/>
  <c r="AF243" i="24" s="1"/>
  <c r="AD243" i="24" s="1"/>
  <c r="AI247" i="24"/>
  <c r="AH247" i="24" s="1"/>
  <c r="AG247" i="24" s="1"/>
  <c r="AF247" i="24" s="1"/>
  <c r="AD247" i="24" s="1"/>
  <c r="AI251" i="24"/>
  <c r="AH251" i="24" s="1"/>
  <c r="AG251" i="24" s="1"/>
  <c r="AF251" i="24" s="1"/>
  <c r="AD251" i="24" s="1"/>
  <c r="AI255" i="24"/>
  <c r="AH255" i="24" s="1"/>
  <c r="AG255" i="24" s="1"/>
  <c r="AF255" i="24" s="1"/>
  <c r="AD255" i="24" s="1"/>
  <c r="AI259" i="24"/>
  <c r="AH259" i="24" s="1"/>
  <c r="AG259" i="24" s="1"/>
  <c r="AF259" i="24" s="1"/>
  <c r="AD259" i="24" s="1"/>
  <c r="AI263" i="24"/>
  <c r="AH263" i="24" s="1"/>
  <c r="AG263" i="24" s="1"/>
  <c r="AF263" i="24" s="1"/>
  <c r="AD263" i="24" s="1"/>
  <c r="AI267" i="24"/>
  <c r="AH267" i="24" s="1"/>
  <c r="AG267" i="24" s="1"/>
  <c r="AF267" i="24" s="1"/>
  <c r="AD267" i="24" s="1"/>
  <c r="AI271" i="24"/>
  <c r="AH271" i="24" s="1"/>
  <c r="AG271" i="24" s="1"/>
  <c r="AF271" i="24" s="1"/>
  <c r="AD271" i="24" s="1"/>
  <c r="AI275" i="24"/>
  <c r="AH275" i="24" s="1"/>
  <c r="AG275" i="24" s="1"/>
  <c r="AF275" i="24" s="1"/>
  <c r="AD275" i="24" s="1"/>
  <c r="AI279" i="24"/>
  <c r="AH279" i="24" s="1"/>
  <c r="AG279" i="24" s="1"/>
  <c r="AF279" i="24" s="1"/>
  <c r="AD279" i="24" s="1"/>
  <c r="AI283" i="24"/>
  <c r="AH283" i="24" s="1"/>
  <c r="AG283" i="24" s="1"/>
  <c r="AF283" i="24" s="1"/>
  <c r="AD283" i="24" s="1"/>
  <c r="AI287" i="24"/>
  <c r="AH287" i="24" s="1"/>
  <c r="AG287" i="24" s="1"/>
  <c r="AF287" i="24" s="1"/>
  <c r="AD287" i="24" s="1"/>
  <c r="AI291" i="24"/>
  <c r="AH291" i="24" s="1"/>
  <c r="AG291" i="24" s="1"/>
  <c r="AF291" i="24" s="1"/>
  <c r="AD291" i="24" s="1"/>
  <c r="AI295" i="24"/>
  <c r="AH295" i="24" s="1"/>
  <c r="AG295" i="24" s="1"/>
  <c r="AF295" i="24" s="1"/>
  <c r="AD295" i="24" s="1"/>
  <c r="AI299" i="24"/>
  <c r="AH299" i="24" s="1"/>
  <c r="AG299" i="24" s="1"/>
  <c r="AF299" i="24" s="1"/>
  <c r="AD299" i="24" s="1"/>
  <c r="AI303" i="24"/>
  <c r="AH303" i="24" s="1"/>
  <c r="AG303" i="24" s="1"/>
  <c r="AF303" i="24" s="1"/>
  <c r="AD303" i="24" s="1"/>
  <c r="AI307" i="24"/>
  <c r="AH307" i="24" s="1"/>
  <c r="AG307" i="24" s="1"/>
  <c r="AF307" i="24" s="1"/>
  <c r="AD307" i="24" s="1"/>
  <c r="AI311" i="24"/>
  <c r="AH311" i="24" s="1"/>
  <c r="AG311" i="24" s="1"/>
  <c r="AF311" i="24" s="1"/>
  <c r="AD311" i="24" s="1"/>
  <c r="AI315" i="24"/>
  <c r="AH315" i="24" s="1"/>
  <c r="AG315" i="24" s="1"/>
  <c r="AF315" i="24" s="1"/>
  <c r="AD315" i="24" s="1"/>
  <c r="AI319" i="24"/>
  <c r="AH319" i="24" s="1"/>
  <c r="AG319" i="24" s="1"/>
  <c r="AF319" i="24" s="1"/>
  <c r="AD319" i="24" s="1"/>
  <c r="AI323" i="24"/>
  <c r="AH323" i="24" s="1"/>
  <c r="AG323" i="24" s="1"/>
  <c r="AF323" i="24" s="1"/>
  <c r="AD323" i="24" s="1"/>
  <c r="AI327" i="24"/>
  <c r="AH327" i="24" s="1"/>
  <c r="AG327" i="24" s="1"/>
  <c r="AF327" i="24" s="1"/>
  <c r="AD327" i="24" s="1"/>
  <c r="AI331" i="24"/>
  <c r="AH331" i="24" s="1"/>
  <c r="AG331" i="24" s="1"/>
  <c r="AF331" i="24" s="1"/>
  <c r="AD331" i="24" s="1"/>
  <c r="AI335" i="24"/>
  <c r="AH335" i="24" s="1"/>
  <c r="AG335" i="24" s="1"/>
  <c r="AF335" i="24" s="1"/>
  <c r="AD335" i="24" s="1"/>
  <c r="AI339" i="24"/>
  <c r="AH339" i="24" s="1"/>
  <c r="AG339" i="24" s="1"/>
  <c r="AF339" i="24" s="1"/>
  <c r="AD339" i="24" s="1"/>
  <c r="AI120" i="24"/>
  <c r="AH120" i="24" s="1"/>
  <c r="AG120" i="24" s="1"/>
  <c r="AF120" i="24" s="1"/>
  <c r="AD120" i="24" s="1"/>
  <c r="AI136" i="24"/>
  <c r="AH136" i="24" s="1"/>
  <c r="AG136" i="24" s="1"/>
  <c r="AF136" i="24" s="1"/>
  <c r="AD136" i="24" s="1"/>
  <c r="AI152" i="24"/>
  <c r="AH152" i="24" s="1"/>
  <c r="AG152" i="24" s="1"/>
  <c r="AF152" i="24" s="1"/>
  <c r="AD152" i="24" s="1"/>
  <c r="AI168" i="24"/>
  <c r="AH168" i="24" s="1"/>
  <c r="AG168" i="24" s="1"/>
  <c r="AF168" i="24" s="1"/>
  <c r="AD168" i="24" s="1"/>
  <c r="AI184" i="24"/>
  <c r="AH184" i="24" s="1"/>
  <c r="AG184" i="24" s="1"/>
  <c r="AF184" i="24" s="1"/>
  <c r="AD184" i="24" s="1"/>
  <c r="AI200" i="24"/>
  <c r="AH200" i="24" s="1"/>
  <c r="AG200" i="24" s="1"/>
  <c r="AF200" i="24" s="1"/>
  <c r="AD200" i="24" s="1"/>
  <c r="AI216" i="24"/>
  <c r="AH216" i="24" s="1"/>
  <c r="AG216" i="24" s="1"/>
  <c r="AF216" i="24" s="1"/>
  <c r="AD216" i="24" s="1"/>
  <c r="AI232" i="24"/>
  <c r="AH232" i="24" s="1"/>
  <c r="AG232" i="24" s="1"/>
  <c r="AF232" i="24" s="1"/>
  <c r="AD232" i="24" s="1"/>
  <c r="AI248" i="24"/>
  <c r="AH248" i="24" s="1"/>
  <c r="AG248" i="24" s="1"/>
  <c r="AF248" i="24" s="1"/>
  <c r="AD248" i="24" s="1"/>
  <c r="AI264" i="24"/>
  <c r="AH264" i="24" s="1"/>
  <c r="AG264" i="24" s="1"/>
  <c r="AF264" i="24" s="1"/>
  <c r="AD264" i="24" s="1"/>
  <c r="AI280" i="24"/>
  <c r="AH280" i="24" s="1"/>
  <c r="AG280" i="24" s="1"/>
  <c r="AF280" i="24" s="1"/>
  <c r="AD280" i="24" s="1"/>
  <c r="AI296" i="24"/>
  <c r="AH296" i="24" s="1"/>
  <c r="AG296" i="24" s="1"/>
  <c r="AF296" i="24" s="1"/>
  <c r="AD296" i="24" s="1"/>
  <c r="AI312" i="24"/>
  <c r="AH312" i="24" s="1"/>
  <c r="AG312" i="24" s="1"/>
  <c r="AF312" i="24" s="1"/>
  <c r="AD312" i="24" s="1"/>
  <c r="AI328" i="24"/>
  <c r="AH328" i="24" s="1"/>
  <c r="AG328" i="24" s="1"/>
  <c r="AF328" i="24" s="1"/>
  <c r="AD328" i="24" s="1"/>
  <c r="AI344" i="24"/>
  <c r="AH344" i="24" s="1"/>
  <c r="AG344" i="24" s="1"/>
  <c r="AF344" i="24" s="1"/>
  <c r="AD344" i="24" s="1"/>
  <c r="AI360" i="24"/>
  <c r="AH360" i="24" s="1"/>
  <c r="AG360" i="24" s="1"/>
  <c r="AF360" i="24" s="1"/>
  <c r="AD360" i="24" s="1"/>
  <c r="AI376" i="24"/>
  <c r="AH376" i="24" s="1"/>
  <c r="AG376" i="24" s="1"/>
  <c r="AF376" i="24" s="1"/>
  <c r="AD376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77" i="24"/>
  <c r="AH177" i="24" s="1"/>
  <c r="AG177" i="24" s="1"/>
  <c r="AF177" i="24" s="1"/>
  <c r="AD177" i="24" s="1"/>
  <c r="AI185" i="24"/>
  <c r="AH185" i="24" s="1"/>
  <c r="AG185" i="24" s="1"/>
  <c r="AF185" i="24" s="1"/>
  <c r="AD185" i="24" s="1"/>
  <c r="AI193" i="24"/>
  <c r="AH193" i="24" s="1"/>
  <c r="AG193" i="24" s="1"/>
  <c r="AF193" i="24" s="1"/>
  <c r="AD193" i="24" s="1"/>
  <c r="AI201" i="24"/>
  <c r="AH201" i="24" s="1"/>
  <c r="AG201" i="24" s="1"/>
  <c r="AF201" i="24" s="1"/>
  <c r="AD201" i="24" s="1"/>
  <c r="AI209" i="24"/>
  <c r="AH209" i="24" s="1"/>
  <c r="AG209" i="24" s="1"/>
  <c r="AF209" i="24" s="1"/>
  <c r="AD209" i="24" s="1"/>
  <c r="AI217" i="24"/>
  <c r="AH217" i="24" s="1"/>
  <c r="AG217" i="24" s="1"/>
  <c r="AF217" i="24" s="1"/>
  <c r="AD217" i="24" s="1"/>
  <c r="AI225" i="24"/>
  <c r="AH225" i="24" s="1"/>
  <c r="AG225" i="24" s="1"/>
  <c r="AF225" i="24" s="1"/>
  <c r="AD225" i="24" s="1"/>
  <c r="AI233" i="24"/>
  <c r="AH233" i="24" s="1"/>
  <c r="AG233" i="24" s="1"/>
  <c r="AF233" i="24" s="1"/>
  <c r="AD233" i="24" s="1"/>
  <c r="AI241" i="24"/>
  <c r="AH241" i="24" s="1"/>
  <c r="AG241" i="24" s="1"/>
  <c r="AF241" i="24" s="1"/>
  <c r="AD241" i="24" s="1"/>
  <c r="AI249" i="24"/>
  <c r="AH249" i="24" s="1"/>
  <c r="AG249" i="24" s="1"/>
  <c r="AF249" i="24" s="1"/>
  <c r="AD249" i="24" s="1"/>
  <c r="AI257" i="24"/>
  <c r="AH257" i="24" s="1"/>
  <c r="AG257" i="24" s="1"/>
  <c r="AF257" i="24" s="1"/>
  <c r="AD257" i="24" s="1"/>
  <c r="AI265" i="24"/>
  <c r="AH265" i="24" s="1"/>
  <c r="AG265" i="24" s="1"/>
  <c r="AF265" i="24" s="1"/>
  <c r="AD265" i="24" s="1"/>
  <c r="AI273" i="24"/>
  <c r="AH273" i="24" s="1"/>
  <c r="AG273" i="24" s="1"/>
  <c r="AF273" i="24" s="1"/>
  <c r="AD273" i="24" s="1"/>
  <c r="AI281" i="24"/>
  <c r="AH281" i="24" s="1"/>
  <c r="AG281" i="24" s="1"/>
  <c r="AF281" i="24" s="1"/>
  <c r="AD281" i="24" s="1"/>
  <c r="AI289" i="24"/>
  <c r="AH289" i="24" s="1"/>
  <c r="AG289" i="24" s="1"/>
  <c r="AF289" i="24" s="1"/>
  <c r="AD289" i="24" s="1"/>
  <c r="AI297" i="24"/>
  <c r="AH297" i="24" s="1"/>
  <c r="AG297" i="24" s="1"/>
  <c r="AF297" i="24" s="1"/>
  <c r="AD297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3" i="24"/>
  <c r="AH343" i="24" s="1"/>
  <c r="AG343" i="24" s="1"/>
  <c r="AF343" i="24" s="1"/>
  <c r="AD343" i="24" s="1"/>
  <c r="AI347" i="24"/>
  <c r="AH347" i="24" s="1"/>
  <c r="AG347" i="24" s="1"/>
  <c r="AF347" i="24" s="1"/>
  <c r="AD347" i="24" s="1"/>
  <c r="AI353" i="24"/>
  <c r="AH353" i="24" s="1"/>
  <c r="AG353" i="24" s="1"/>
  <c r="AF353" i="24" s="1"/>
  <c r="AD353" i="24" s="1"/>
  <c r="AI361" i="24"/>
  <c r="AH361" i="24" s="1"/>
  <c r="AG361" i="24" s="1"/>
  <c r="AF361" i="24" s="1"/>
  <c r="AD361" i="24" s="1"/>
  <c r="AI369" i="24"/>
  <c r="AH369" i="24" s="1"/>
  <c r="AG369" i="24" s="1"/>
  <c r="AF369" i="24" s="1"/>
  <c r="AD369" i="24" s="1"/>
  <c r="AI377" i="24"/>
  <c r="AH377" i="24" s="1"/>
  <c r="AG377" i="24" s="1"/>
  <c r="AF377" i="24" s="1"/>
  <c r="AD377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9" i="24"/>
  <c r="AH19" i="24" s="1"/>
  <c r="AG19" i="24" s="1"/>
  <c r="AF19" i="24" s="1"/>
  <c r="AD19" i="24" s="1"/>
  <c r="AI21" i="24"/>
  <c r="AH21" i="24" s="1"/>
  <c r="AG21" i="24" s="1"/>
  <c r="AF21" i="24" s="1"/>
  <c r="AD21" i="24" s="1"/>
  <c r="AI25" i="24"/>
  <c r="AH25" i="24" s="1"/>
  <c r="AG25" i="24" s="1"/>
  <c r="AF25" i="24" s="1"/>
  <c r="AD25" i="24" s="1"/>
  <c r="AI29" i="24"/>
  <c r="AH29" i="24" s="1"/>
  <c r="AG29" i="24" s="1"/>
  <c r="AF29" i="24" s="1"/>
  <c r="AD29" i="24" s="1"/>
  <c r="AI33" i="24"/>
  <c r="AH33" i="24" s="1"/>
  <c r="AG33" i="24" s="1"/>
  <c r="AF33" i="24" s="1"/>
  <c r="AD33" i="24" s="1"/>
  <c r="AI37" i="24"/>
  <c r="AH37" i="24" s="1"/>
  <c r="AG37" i="24" s="1"/>
  <c r="AF37" i="24" s="1"/>
  <c r="AD37" i="24" s="1"/>
  <c r="AI41" i="24"/>
  <c r="AH41" i="24" s="1"/>
  <c r="AG41" i="24" s="1"/>
  <c r="AF41" i="24" s="1"/>
  <c r="AD41" i="24" s="1"/>
  <c r="AI45" i="24"/>
  <c r="AH45" i="24" s="1"/>
  <c r="AG45" i="24" s="1"/>
  <c r="AF45" i="24" s="1"/>
  <c r="AD45" i="24" s="1"/>
  <c r="AI49" i="24"/>
  <c r="AH49" i="24" s="1"/>
  <c r="AG49" i="24" s="1"/>
  <c r="AF49" i="24" s="1"/>
  <c r="AD49" i="24" s="1"/>
  <c r="AI53" i="24"/>
  <c r="AH53" i="24" s="1"/>
  <c r="AG53" i="24" s="1"/>
  <c r="AF53" i="24" s="1"/>
  <c r="AD53" i="24" s="1"/>
  <c r="AI57" i="24"/>
  <c r="AH57" i="24" s="1"/>
  <c r="AG57" i="24" s="1"/>
  <c r="AF57" i="24" s="1"/>
  <c r="AD57" i="24" s="1"/>
  <c r="AI61" i="24"/>
  <c r="AH61" i="24" s="1"/>
  <c r="AG61" i="24" s="1"/>
  <c r="AF61" i="24" s="1"/>
  <c r="AD61" i="24" s="1"/>
  <c r="AI65" i="24"/>
  <c r="AH65" i="24" s="1"/>
  <c r="AG65" i="24" s="1"/>
  <c r="AF65" i="24" s="1"/>
  <c r="AD65" i="24" s="1"/>
  <c r="AI69" i="24"/>
  <c r="AH69" i="24" s="1"/>
  <c r="AG69" i="24" s="1"/>
  <c r="AF69" i="24" s="1"/>
  <c r="AD69" i="24" s="1"/>
  <c r="AI73" i="24"/>
  <c r="AH73" i="24" s="1"/>
  <c r="AG73" i="24" s="1"/>
  <c r="AF73" i="24" s="1"/>
  <c r="AD73" i="24" s="1"/>
  <c r="AI77" i="24"/>
  <c r="AH77" i="24" s="1"/>
  <c r="AG77" i="24" s="1"/>
  <c r="AF77" i="24" s="1"/>
  <c r="AD77" i="24" s="1"/>
  <c r="AI81" i="24"/>
  <c r="AH81" i="24" s="1"/>
  <c r="AG81" i="24" s="1"/>
  <c r="AF81" i="24" s="1"/>
  <c r="AD81" i="24" s="1"/>
  <c r="AI85" i="24"/>
  <c r="AH85" i="24" s="1"/>
  <c r="AG85" i="24" s="1"/>
  <c r="AF85" i="24" s="1"/>
  <c r="AD85" i="24" s="1"/>
  <c r="AI89" i="24"/>
  <c r="AH89" i="24" s="1"/>
  <c r="AG89" i="24" s="1"/>
  <c r="AF89" i="24" s="1"/>
  <c r="AD89" i="24" s="1"/>
  <c r="AI93" i="24"/>
  <c r="AH93" i="24" s="1"/>
  <c r="AG93" i="24" s="1"/>
  <c r="AF93" i="24" s="1"/>
  <c r="AD93" i="24" s="1"/>
  <c r="AI97" i="24"/>
  <c r="AH97" i="24" s="1"/>
  <c r="AG97" i="24" s="1"/>
  <c r="AF97" i="24" s="1"/>
  <c r="AD97" i="24" s="1"/>
  <c r="AI101" i="24"/>
  <c r="AH101" i="24" s="1"/>
  <c r="AG101" i="24" s="1"/>
  <c r="AF101" i="24" s="1"/>
  <c r="AD101" i="24" s="1"/>
  <c r="AI104" i="24"/>
  <c r="AH104" i="24" s="1"/>
  <c r="AG104" i="24" s="1"/>
  <c r="AF104" i="24" s="1"/>
  <c r="AD104" i="24" s="1"/>
  <c r="AI128" i="24"/>
  <c r="AH128" i="24" s="1"/>
  <c r="AG128" i="24" s="1"/>
  <c r="AF128" i="24" s="1"/>
  <c r="AD128" i="24" s="1"/>
  <c r="AI144" i="24"/>
  <c r="AH144" i="24" s="1"/>
  <c r="AG144" i="24" s="1"/>
  <c r="AF144" i="24" s="1"/>
  <c r="AD144" i="24" s="1"/>
  <c r="AI160" i="24"/>
  <c r="AH160" i="24" s="1"/>
  <c r="AG160" i="24" s="1"/>
  <c r="AF160" i="24" s="1"/>
  <c r="AD160" i="24" s="1"/>
  <c r="AI176" i="24"/>
  <c r="AH176" i="24" s="1"/>
  <c r="AG176" i="24" s="1"/>
  <c r="AF176" i="24" s="1"/>
  <c r="AD176" i="24" s="1"/>
  <c r="AI192" i="24"/>
  <c r="AH192" i="24" s="1"/>
  <c r="AG192" i="24" s="1"/>
  <c r="AF192" i="24" s="1"/>
  <c r="AD192" i="24" s="1"/>
  <c r="AI208" i="24"/>
  <c r="AH208" i="24" s="1"/>
  <c r="AG208" i="24" s="1"/>
  <c r="AF208" i="24" s="1"/>
  <c r="AD208" i="24" s="1"/>
  <c r="AI224" i="24"/>
  <c r="AH224" i="24" s="1"/>
  <c r="AG224" i="24" s="1"/>
  <c r="AF224" i="24" s="1"/>
  <c r="AD224" i="24" s="1"/>
  <c r="AI240" i="24"/>
  <c r="AH240" i="24" s="1"/>
  <c r="AG240" i="24" s="1"/>
  <c r="AF240" i="24" s="1"/>
  <c r="AD240" i="24" s="1"/>
  <c r="AI256" i="24"/>
  <c r="AH256" i="24" s="1"/>
  <c r="AG256" i="24" s="1"/>
  <c r="AF256" i="24" s="1"/>
  <c r="AD256" i="24" s="1"/>
  <c r="AI272" i="24"/>
  <c r="AH272" i="24" s="1"/>
  <c r="AG272" i="24" s="1"/>
  <c r="AF272" i="24" s="1"/>
  <c r="AD272" i="24" s="1"/>
  <c r="AI288" i="24"/>
  <c r="AH288" i="24" s="1"/>
  <c r="AG288" i="24" s="1"/>
  <c r="AF288" i="24" s="1"/>
  <c r="AD288" i="24" s="1"/>
  <c r="AI304" i="24"/>
  <c r="AH304" i="24" s="1"/>
  <c r="AG304" i="24" s="1"/>
  <c r="AF304" i="24" s="1"/>
  <c r="AD304" i="24" s="1"/>
  <c r="AI320" i="24"/>
  <c r="AH320" i="24" s="1"/>
  <c r="AG320" i="24" s="1"/>
  <c r="AF320" i="24" s="1"/>
  <c r="AD320" i="24" s="1"/>
  <c r="AI336" i="24"/>
  <c r="AH336" i="24" s="1"/>
  <c r="AG336" i="24" s="1"/>
  <c r="AF336" i="24" s="1"/>
  <c r="AD336" i="24" s="1"/>
  <c r="AI352" i="24"/>
  <c r="AH352" i="24" s="1"/>
  <c r="AG352" i="24" s="1"/>
  <c r="AF352" i="24" s="1"/>
  <c r="AD352" i="24" s="1"/>
  <c r="AI368" i="24"/>
  <c r="AH368" i="24" s="1"/>
  <c r="AG368" i="24" s="1"/>
  <c r="AF368" i="24" s="1"/>
  <c r="AD368" i="24" s="1"/>
  <c r="AI109" i="24"/>
  <c r="AH109" i="24" s="1"/>
  <c r="AG109" i="24" s="1"/>
  <c r="AF109" i="24" s="1"/>
  <c r="AD109" i="24" s="1"/>
  <c r="AI125" i="24"/>
  <c r="AH125" i="24" s="1"/>
  <c r="AG125" i="24" s="1"/>
  <c r="AF125" i="24" s="1"/>
  <c r="AD125" i="24" s="1"/>
  <c r="AI141" i="24"/>
  <c r="AH141" i="24" s="1"/>
  <c r="AG141" i="24" s="1"/>
  <c r="AF141" i="24" s="1"/>
  <c r="AD141" i="24" s="1"/>
  <c r="AI157" i="24"/>
  <c r="AH157" i="24" s="1"/>
  <c r="AG157" i="24" s="1"/>
  <c r="AF157" i="24" s="1"/>
  <c r="AD157" i="24" s="1"/>
  <c r="AI173" i="24"/>
  <c r="AH173" i="24" s="1"/>
  <c r="AG173" i="24" s="1"/>
  <c r="AF173" i="24" s="1"/>
  <c r="AD173" i="24" s="1"/>
  <c r="AI181" i="24"/>
  <c r="AH181" i="24" s="1"/>
  <c r="AG181" i="24" s="1"/>
  <c r="AF181" i="24" s="1"/>
  <c r="AD181" i="24" s="1"/>
  <c r="AI189" i="24"/>
  <c r="AH189" i="24" s="1"/>
  <c r="AG189" i="24" s="1"/>
  <c r="AF189" i="24" s="1"/>
  <c r="AD189" i="24" s="1"/>
  <c r="AI197" i="24"/>
  <c r="AH197" i="24" s="1"/>
  <c r="AG197" i="24" s="1"/>
  <c r="AF197" i="24" s="1"/>
  <c r="AD197" i="24" s="1"/>
  <c r="AI205" i="24"/>
  <c r="AH205" i="24" s="1"/>
  <c r="AG205" i="24" s="1"/>
  <c r="AF205" i="24" s="1"/>
  <c r="AD205" i="24" s="1"/>
  <c r="AI213" i="24"/>
  <c r="AH213" i="24" s="1"/>
  <c r="AG213" i="24" s="1"/>
  <c r="AF213" i="24" s="1"/>
  <c r="AD213" i="24" s="1"/>
  <c r="AI221" i="24"/>
  <c r="AH221" i="24" s="1"/>
  <c r="AG221" i="24" s="1"/>
  <c r="AF221" i="24" s="1"/>
  <c r="AD221" i="24" s="1"/>
  <c r="AI229" i="24"/>
  <c r="AH229" i="24" s="1"/>
  <c r="AG229" i="24" s="1"/>
  <c r="AF229" i="24" s="1"/>
  <c r="AD229" i="24" s="1"/>
  <c r="AI237" i="24"/>
  <c r="AH237" i="24" s="1"/>
  <c r="AG237" i="24" s="1"/>
  <c r="AF237" i="24" s="1"/>
  <c r="AD237" i="24" s="1"/>
  <c r="AI245" i="24"/>
  <c r="AH245" i="24" s="1"/>
  <c r="AG245" i="24" s="1"/>
  <c r="AF245" i="24" s="1"/>
  <c r="AD245" i="24" s="1"/>
  <c r="AI253" i="24"/>
  <c r="AH253" i="24" s="1"/>
  <c r="AG253" i="24" s="1"/>
  <c r="AF253" i="24" s="1"/>
  <c r="AD253" i="24" s="1"/>
  <c r="AI261" i="24"/>
  <c r="AH261" i="24" s="1"/>
  <c r="AG261" i="24" s="1"/>
  <c r="AF261" i="24" s="1"/>
  <c r="AD261" i="24" s="1"/>
  <c r="AI269" i="24"/>
  <c r="AH269" i="24" s="1"/>
  <c r="AG269" i="24" s="1"/>
  <c r="AF269" i="24" s="1"/>
  <c r="AD269" i="24" s="1"/>
  <c r="AI277" i="24"/>
  <c r="AH277" i="24" s="1"/>
  <c r="AG277" i="24" s="1"/>
  <c r="AF277" i="24" s="1"/>
  <c r="AD277" i="24" s="1"/>
  <c r="AI285" i="24"/>
  <c r="AH285" i="24" s="1"/>
  <c r="AG285" i="24" s="1"/>
  <c r="AF285" i="24" s="1"/>
  <c r="AD285" i="24" s="1"/>
  <c r="AI293" i="24"/>
  <c r="AH293" i="24" s="1"/>
  <c r="AG293" i="24" s="1"/>
  <c r="AF293" i="24" s="1"/>
  <c r="AD293" i="24" s="1"/>
  <c r="AI301" i="24"/>
  <c r="AH301" i="24" s="1"/>
  <c r="AG301" i="24" s="1"/>
  <c r="AF301" i="24" s="1"/>
  <c r="AD301" i="24" s="1"/>
  <c r="AI309" i="24"/>
  <c r="AH309" i="24" s="1"/>
  <c r="AG309" i="24" s="1"/>
  <c r="AF309" i="24" s="1"/>
  <c r="AD309" i="24" s="1"/>
  <c r="AI317" i="24"/>
  <c r="AH317" i="24" s="1"/>
  <c r="AG317" i="24" s="1"/>
  <c r="AF317" i="24" s="1"/>
  <c r="AD317" i="24" s="1"/>
  <c r="AI325" i="24"/>
  <c r="AH325" i="24" s="1"/>
  <c r="AG325" i="24" s="1"/>
  <c r="AF325" i="24" s="1"/>
  <c r="AD325" i="24" s="1"/>
  <c r="AI333" i="24"/>
  <c r="AH333" i="24" s="1"/>
  <c r="AG333" i="24" s="1"/>
  <c r="AF333" i="24" s="1"/>
  <c r="AD333" i="24" s="1"/>
  <c r="AI341" i="24"/>
  <c r="AH341" i="24" s="1"/>
  <c r="AG341" i="24" s="1"/>
  <c r="AF341" i="24" s="1"/>
  <c r="AD341" i="24" s="1"/>
  <c r="AI345" i="24"/>
  <c r="AH345" i="24" s="1"/>
  <c r="AG345" i="24" s="1"/>
  <c r="AF345" i="24" s="1"/>
  <c r="AD345" i="24" s="1"/>
  <c r="AI349" i="24"/>
  <c r="AH349" i="24" s="1"/>
  <c r="AG349" i="24" s="1"/>
  <c r="AF349" i="24" s="1"/>
  <c r="AD349" i="24" s="1"/>
  <c r="AI357" i="24"/>
  <c r="AH357" i="24" s="1"/>
  <c r="AG357" i="24" s="1"/>
  <c r="AF357" i="24" s="1"/>
  <c r="AD357" i="24" s="1"/>
  <c r="AI365" i="24"/>
  <c r="AH365" i="24" s="1"/>
  <c r="AG365" i="24" s="1"/>
  <c r="AF365" i="24" s="1"/>
  <c r="AD365" i="24" s="1"/>
  <c r="AI373" i="24"/>
  <c r="AH373" i="24" s="1"/>
  <c r="AG373" i="24" s="1"/>
  <c r="AF373" i="24" s="1"/>
  <c r="AD373" i="24" s="1"/>
  <c r="AI351" i="24"/>
  <c r="AH351" i="24" s="1"/>
  <c r="AG351" i="24" s="1"/>
  <c r="AF351" i="24" s="1"/>
  <c r="AD351" i="24" s="1"/>
  <c r="AI359" i="24"/>
  <c r="AH359" i="24" s="1"/>
  <c r="AG359" i="24" s="1"/>
  <c r="AF359" i="24" s="1"/>
  <c r="AD359" i="24" s="1"/>
  <c r="AI367" i="24"/>
  <c r="AH367" i="24" s="1"/>
  <c r="AG367" i="24" s="1"/>
  <c r="AF367" i="24" s="1"/>
  <c r="AD367" i="24" s="1"/>
  <c r="AI375" i="24"/>
  <c r="AH375" i="24" s="1"/>
  <c r="AG375" i="24" s="1"/>
  <c r="AF375" i="24" s="1"/>
  <c r="AD375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5" i="24"/>
  <c r="AI17" i="24"/>
  <c r="AH17" i="24" s="1"/>
  <c r="AG17" i="24" s="1"/>
  <c r="AF17" i="24" s="1"/>
  <c r="AD17" i="24" s="1"/>
  <c r="AI31" i="24"/>
  <c r="AH31" i="24" s="1"/>
  <c r="AG31" i="24" s="1"/>
  <c r="AF31" i="24" s="1"/>
  <c r="AD31" i="24" s="1"/>
  <c r="AI39" i="24"/>
  <c r="AH39" i="24" s="1"/>
  <c r="AG39" i="24" s="1"/>
  <c r="AF39" i="24" s="1"/>
  <c r="AD39" i="24" s="1"/>
  <c r="AI47" i="24"/>
  <c r="AH47" i="24" s="1"/>
  <c r="AG47" i="24" s="1"/>
  <c r="AF47" i="24" s="1"/>
  <c r="AD47" i="24" s="1"/>
  <c r="AI55" i="24"/>
  <c r="AH55" i="24" s="1"/>
  <c r="AG55" i="24" s="1"/>
  <c r="AF55" i="24" s="1"/>
  <c r="AD55" i="24" s="1"/>
  <c r="AI63" i="24"/>
  <c r="AH63" i="24" s="1"/>
  <c r="AG63" i="24" s="1"/>
  <c r="AF63" i="24" s="1"/>
  <c r="AD63" i="24" s="1"/>
  <c r="AI71" i="24"/>
  <c r="AH71" i="24" s="1"/>
  <c r="AG71" i="24" s="1"/>
  <c r="AF71" i="24" s="1"/>
  <c r="AD71" i="24" s="1"/>
  <c r="AI79" i="24"/>
  <c r="AH79" i="24" s="1"/>
  <c r="AG79" i="24" s="1"/>
  <c r="AF79" i="24" s="1"/>
  <c r="AD79" i="24" s="1"/>
  <c r="AI87" i="24"/>
  <c r="AH87" i="24" s="1"/>
  <c r="AG87" i="24" s="1"/>
  <c r="AF87" i="24" s="1"/>
  <c r="AD87" i="24" s="1"/>
  <c r="AI95" i="24"/>
  <c r="AH95" i="24" s="1"/>
  <c r="AG95" i="24" s="1"/>
  <c r="AF95" i="24" s="1"/>
  <c r="AD95" i="24" s="1"/>
  <c r="AI103" i="24"/>
  <c r="AH103" i="24" s="1"/>
  <c r="AG103" i="24" s="1"/>
  <c r="AF103" i="24" s="1"/>
  <c r="AD103" i="24" s="1"/>
  <c r="AI100" i="24"/>
  <c r="AH100" i="24" s="1"/>
  <c r="AG100" i="24" s="1"/>
  <c r="AF100" i="24" s="1"/>
  <c r="AD100" i="24" s="1"/>
  <c r="AI18" i="24"/>
  <c r="AH18" i="24" s="1"/>
  <c r="AG18" i="24" s="1"/>
  <c r="AF18" i="24" s="1"/>
  <c r="AD18" i="24" s="1"/>
  <c r="AI27" i="24"/>
  <c r="AH27" i="24" s="1"/>
  <c r="AG27" i="24" s="1"/>
  <c r="AF27" i="24" s="1"/>
  <c r="AD27" i="24" s="1"/>
  <c r="AI35" i="24"/>
  <c r="AH35" i="24" s="1"/>
  <c r="AG35" i="24" s="1"/>
  <c r="AF35" i="24" s="1"/>
  <c r="AD35" i="24" s="1"/>
  <c r="AI43" i="24"/>
  <c r="AH43" i="24" s="1"/>
  <c r="AG43" i="24" s="1"/>
  <c r="AF43" i="24" s="1"/>
  <c r="AD43" i="24" s="1"/>
  <c r="AI51" i="24"/>
  <c r="AH51" i="24" s="1"/>
  <c r="AG51" i="24" s="1"/>
  <c r="AF51" i="24" s="1"/>
  <c r="AD51" i="24" s="1"/>
  <c r="AI59" i="24"/>
  <c r="AH59" i="24" s="1"/>
  <c r="AG59" i="24" s="1"/>
  <c r="AF59" i="24" s="1"/>
  <c r="AD59" i="24" s="1"/>
  <c r="AI67" i="24"/>
  <c r="AH67" i="24" s="1"/>
  <c r="AG67" i="24" s="1"/>
  <c r="AF67" i="24" s="1"/>
  <c r="AD67" i="24" s="1"/>
  <c r="AI75" i="24"/>
  <c r="AH75" i="24" s="1"/>
  <c r="AG75" i="24" s="1"/>
  <c r="AF75" i="24" s="1"/>
  <c r="AD75" i="24" s="1"/>
  <c r="AI83" i="24"/>
  <c r="AH83" i="24" s="1"/>
  <c r="AG83" i="24" s="1"/>
  <c r="AF83" i="24" s="1"/>
  <c r="AD83" i="24" s="1"/>
  <c r="AI91" i="24"/>
  <c r="AH91" i="24" s="1"/>
  <c r="AG91" i="24" s="1"/>
  <c r="AF91" i="24" s="1"/>
  <c r="AD91" i="24" s="1"/>
  <c r="AI99" i="24"/>
  <c r="AH99" i="24" s="1"/>
  <c r="AG99" i="24" s="1"/>
  <c r="AF99" i="24" s="1"/>
  <c r="AD99" i="24" s="1"/>
  <c r="J46" i="23"/>
  <c r="I135" i="23"/>
  <c r="D74" i="24"/>
  <c r="E74" i="24" s="1"/>
  <c r="F74" i="24" s="1"/>
  <c r="G74" i="24" s="1"/>
  <c r="CE74" i="6" s="1"/>
  <c r="J26" i="23"/>
  <c r="I26" i="23"/>
  <c r="J106" i="23"/>
  <c r="I106" i="23"/>
  <c r="I138" i="23"/>
  <c r="J138" i="23"/>
  <c r="I154" i="23"/>
  <c r="J154" i="23"/>
  <c r="I273" i="23"/>
  <c r="J273" i="23"/>
  <c r="I281" i="23"/>
  <c r="J281" i="23"/>
  <c r="I297" i="23"/>
  <c r="J297" i="23"/>
  <c r="J305" i="23"/>
  <c r="I305" i="23"/>
  <c r="I321" i="23"/>
  <c r="J321" i="23"/>
  <c r="J361" i="23"/>
  <c r="I361" i="23"/>
  <c r="I369" i="23"/>
  <c r="J369" i="23"/>
  <c r="J56" i="23"/>
  <c r="I56" i="23"/>
  <c r="I208" i="23"/>
  <c r="J208" i="23"/>
  <c r="I264" i="23"/>
  <c r="J264" i="23"/>
  <c r="W272" i="23"/>
  <c r="D272" i="23"/>
  <c r="E272" i="23" s="1"/>
  <c r="F272" i="23" s="1"/>
  <c r="G288" i="23"/>
  <c r="CD288" i="6" s="1"/>
  <c r="H288" i="23"/>
  <c r="AA288" i="23"/>
  <c r="Z288" i="23" s="1"/>
  <c r="Y288" i="23" s="1"/>
  <c r="J296" i="23"/>
  <c r="I296" i="23"/>
  <c r="J312" i="23"/>
  <c r="I312" i="23"/>
  <c r="J336" i="23"/>
  <c r="I336" i="23"/>
  <c r="I352" i="23"/>
  <c r="J352" i="23"/>
  <c r="I121" i="23"/>
  <c r="J121" i="23"/>
  <c r="I89" i="23"/>
  <c r="J89" i="23"/>
  <c r="J20" i="23"/>
  <c r="I20" i="23"/>
  <c r="J54" i="23"/>
  <c r="I54" i="23"/>
  <c r="I191" i="23"/>
  <c r="J191" i="23"/>
  <c r="I223" i="23"/>
  <c r="J223" i="23"/>
  <c r="I239" i="23"/>
  <c r="J239" i="23"/>
  <c r="I255" i="23"/>
  <c r="J255" i="23"/>
  <c r="I295" i="23"/>
  <c r="J295" i="23"/>
  <c r="I311" i="23"/>
  <c r="J311" i="23"/>
  <c r="I327" i="23"/>
  <c r="J327" i="23"/>
  <c r="J335" i="23"/>
  <c r="I335" i="23"/>
  <c r="I359" i="23"/>
  <c r="J359" i="23"/>
  <c r="J36" i="23"/>
  <c r="I36" i="23"/>
  <c r="J68" i="23"/>
  <c r="I68" i="23"/>
  <c r="J100" i="23"/>
  <c r="I100" i="23"/>
  <c r="I164" i="23"/>
  <c r="J164" i="23"/>
  <c r="D180" i="23"/>
  <c r="E180" i="23" s="1"/>
  <c r="F180" i="23" s="1"/>
  <c r="W180" i="23"/>
  <c r="J238" i="23"/>
  <c r="I238" i="23"/>
  <c r="I278" i="23"/>
  <c r="J278" i="23"/>
  <c r="I334" i="23"/>
  <c r="J334" i="23"/>
  <c r="J342" i="23"/>
  <c r="I342" i="23"/>
  <c r="I358" i="23"/>
  <c r="J358" i="23"/>
  <c r="D149" i="23"/>
  <c r="E149" i="23" s="1"/>
  <c r="F149" i="23" s="1"/>
  <c r="W149" i="23"/>
  <c r="I101" i="23"/>
  <c r="J101" i="23"/>
  <c r="I91" i="23"/>
  <c r="J91" i="23"/>
  <c r="J59" i="23"/>
  <c r="I59" i="23"/>
  <c r="J43" i="23"/>
  <c r="I43" i="23"/>
  <c r="J27" i="23"/>
  <c r="I27" i="23"/>
  <c r="D119" i="23"/>
  <c r="E119" i="23" s="1"/>
  <c r="F119" i="23" s="1"/>
  <c r="W119" i="23"/>
  <c r="S383" i="23"/>
  <c r="R15" i="23"/>
  <c r="S382" i="23"/>
  <c r="S381" i="23"/>
  <c r="I50" i="23"/>
  <c r="J50" i="23"/>
  <c r="J66" i="23"/>
  <c r="I66" i="23"/>
  <c r="I82" i="23"/>
  <c r="J82" i="23"/>
  <c r="I114" i="23"/>
  <c r="J114" i="23"/>
  <c r="J162" i="23"/>
  <c r="I162" i="23"/>
  <c r="J205" i="23"/>
  <c r="I205" i="23"/>
  <c r="I213" i="23"/>
  <c r="J213" i="23"/>
  <c r="I237" i="23"/>
  <c r="J237" i="23"/>
  <c r="J325" i="23"/>
  <c r="I325" i="23"/>
  <c r="D333" i="23"/>
  <c r="E333" i="23" s="1"/>
  <c r="F333" i="23" s="1"/>
  <c r="W333" i="23"/>
  <c r="J373" i="23"/>
  <c r="I373" i="23"/>
  <c r="I80" i="23"/>
  <c r="J80" i="23"/>
  <c r="J128" i="23"/>
  <c r="I128" i="23"/>
  <c r="J228" i="23"/>
  <c r="I228" i="23"/>
  <c r="I252" i="23"/>
  <c r="J252" i="23"/>
  <c r="J276" i="23"/>
  <c r="I276" i="23"/>
  <c r="J340" i="23"/>
  <c r="I340" i="23"/>
  <c r="J364" i="23"/>
  <c r="I364" i="23"/>
  <c r="I113" i="23"/>
  <c r="J113" i="23"/>
  <c r="J33" i="23"/>
  <c r="I33" i="23"/>
  <c r="J22" i="23"/>
  <c r="I22" i="23"/>
  <c r="I62" i="23"/>
  <c r="J62" i="23"/>
  <c r="I78" i="23"/>
  <c r="J78" i="23"/>
  <c r="J158" i="23"/>
  <c r="I158" i="23"/>
  <c r="I195" i="23"/>
  <c r="J195" i="23"/>
  <c r="J219" i="23"/>
  <c r="I219" i="23"/>
  <c r="J235" i="23"/>
  <c r="I235" i="23"/>
  <c r="I243" i="23"/>
  <c r="J243" i="23"/>
  <c r="J331" i="23"/>
  <c r="I331" i="23"/>
  <c r="J347" i="23"/>
  <c r="I347" i="23"/>
  <c r="I108" i="23"/>
  <c r="J108" i="23"/>
  <c r="J156" i="23"/>
  <c r="I156" i="23"/>
  <c r="I172" i="23"/>
  <c r="J172" i="23"/>
  <c r="I186" i="23"/>
  <c r="J186" i="23"/>
  <c r="I218" i="23"/>
  <c r="J218" i="23"/>
  <c r="J274" i="23"/>
  <c r="I274" i="23"/>
  <c r="I290" i="23"/>
  <c r="J290" i="23"/>
  <c r="I338" i="23"/>
  <c r="J338" i="23"/>
  <c r="J354" i="23"/>
  <c r="I354" i="23"/>
  <c r="J362" i="23"/>
  <c r="I362" i="23"/>
  <c r="I370" i="23"/>
  <c r="J370" i="23"/>
  <c r="I378" i="23"/>
  <c r="J378" i="23"/>
  <c r="I93" i="23"/>
  <c r="J93" i="23"/>
  <c r="J77" i="23"/>
  <c r="I77" i="23"/>
  <c r="J99" i="23"/>
  <c r="I99" i="23"/>
  <c r="J21" i="23"/>
  <c r="I21" i="23"/>
  <c r="I155" i="23"/>
  <c r="J155" i="23"/>
  <c r="J127" i="23"/>
  <c r="I127" i="23"/>
  <c r="I63" i="23"/>
  <c r="J63" i="23"/>
  <c r="J185" i="23"/>
  <c r="I185" i="23"/>
  <c r="I209" i="23"/>
  <c r="J209" i="23"/>
  <c r="I225" i="23"/>
  <c r="J225" i="23"/>
  <c r="J233" i="23"/>
  <c r="I233" i="23"/>
  <c r="I265" i="23"/>
  <c r="J265" i="23"/>
  <c r="I289" i="23"/>
  <c r="J289" i="23"/>
  <c r="J329" i="23"/>
  <c r="I329" i="23"/>
  <c r="I377" i="23"/>
  <c r="J377" i="23"/>
  <c r="I72" i="23"/>
  <c r="J72" i="23"/>
  <c r="G88" i="23"/>
  <c r="CD88" i="6" s="1"/>
  <c r="H88" i="23"/>
  <c r="AA88" i="23"/>
  <c r="Z88" i="23" s="1"/>
  <c r="Y88" i="23" s="1"/>
  <c r="J104" i="23"/>
  <c r="I104" i="23"/>
  <c r="J184" i="23"/>
  <c r="I184" i="23"/>
  <c r="I200" i="23"/>
  <c r="J200" i="23"/>
  <c r="J224" i="23"/>
  <c r="I224" i="23"/>
  <c r="J280" i="23"/>
  <c r="I280" i="23"/>
  <c r="I320" i="23"/>
  <c r="J320" i="23"/>
  <c r="I328" i="23"/>
  <c r="J328" i="23"/>
  <c r="J41" i="23"/>
  <c r="I41" i="23"/>
  <c r="G15" i="19"/>
  <c r="F11" i="18"/>
  <c r="AB9" i="18"/>
  <c r="Z379" i="18"/>
  <c r="AL10" i="18"/>
  <c r="AA382" i="18"/>
  <c r="AM8" i="18"/>
  <c r="AA383" i="18"/>
  <c r="AA9" i="18"/>
  <c r="AA381" i="18"/>
  <c r="G383" i="18"/>
  <c r="G12" i="18" s="1"/>
  <c r="G381" i="18"/>
  <c r="G382" i="18"/>
  <c r="I70" i="23"/>
  <c r="J70" i="23"/>
  <c r="J102" i="23"/>
  <c r="I102" i="23"/>
  <c r="I134" i="23"/>
  <c r="J134" i="23"/>
  <c r="J150" i="23"/>
  <c r="I150" i="23"/>
  <c r="J271" i="23"/>
  <c r="I271" i="23"/>
  <c r="I367" i="23"/>
  <c r="J367" i="23"/>
  <c r="I19" i="23"/>
  <c r="J19" i="23"/>
  <c r="J84" i="23"/>
  <c r="I84" i="23"/>
  <c r="I222" i="23"/>
  <c r="J222" i="23"/>
  <c r="I254" i="23"/>
  <c r="J254" i="23"/>
  <c r="I270" i="23"/>
  <c r="J270" i="23"/>
  <c r="J286" i="23"/>
  <c r="I286" i="23"/>
  <c r="J310" i="23"/>
  <c r="I310" i="23"/>
  <c r="J53" i="23"/>
  <c r="I53" i="23"/>
  <c r="I37" i="23"/>
  <c r="J37" i="23"/>
  <c r="J16" i="23"/>
  <c r="I16" i="23"/>
  <c r="J143" i="23"/>
  <c r="I143" i="23"/>
  <c r="J179" i="23"/>
  <c r="I179" i="23"/>
  <c r="J87" i="23"/>
  <c r="I87" i="23"/>
  <c r="I349" i="23"/>
  <c r="J349" i="23"/>
  <c r="J98" i="23"/>
  <c r="I98" i="23"/>
  <c r="I221" i="23"/>
  <c r="J221" i="23"/>
  <c r="J229" i="23"/>
  <c r="I229" i="23"/>
  <c r="J245" i="23"/>
  <c r="I245" i="23"/>
  <c r="J253" i="23"/>
  <c r="I253" i="23"/>
  <c r="J365" i="23"/>
  <c r="I365" i="23"/>
  <c r="J48" i="23"/>
  <c r="I48" i="23"/>
  <c r="J112" i="23"/>
  <c r="I112" i="23"/>
  <c r="I176" i="23"/>
  <c r="J176" i="23"/>
  <c r="I212" i="23"/>
  <c r="J212" i="23"/>
  <c r="I220" i="23"/>
  <c r="J220" i="23"/>
  <c r="J244" i="23"/>
  <c r="I244" i="23"/>
  <c r="J308" i="23"/>
  <c r="I308" i="23"/>
  <c r="J348" i="23"/>
  <c r="I348" i="23"/>
  <c r="I177" i="23"/>
  <c r="J177" i="23"/>
  <c r="I145" i="23"/>
  <c r="J145" i="23"/>
  <c r="I94" i="23"/>
  <c r="J94" i="23"/>
  <c r="J142" i="23"/>
  <c r="I142" i="23"/>
  <c r="J187" i="23"/>
  <c r="I187" i="23"/>
  <c r="I267" i="23"/>
  <c r="J267" i="23"/>
  <c r="I299" i="23"/>
  <c r="J299" i="23"/>
  <c r="J355" i="23"/>
  <c r="I355" i="23"/>
  <c r="D35" i="24"/>
  <c r="E35" i="24" s="1"/>
  <c r="F35" i="24" s="1"/>
  <c r="D99" i="24"/>
  <c r="E99" i="24" s="1"/>
  <c r="F99" i="24" s="1"/>
  <c r="D163" i="24"/>
  <c r="E163" i="24" s="1"/>
  <c r="F163" i="24" s="1"/>
  <c r="W203" i="24"/>
  <c r="W251" i="24"/>
  <c r="D283" i="24"/>
  <c r="E283" i="24" s="1"/>
  <c r="F283" i="24" s="1"/>
  <c r="D315" i="24"/>
  <c r="E315" i="24" s="1"/>
  <c r="F315" i="24" s="1"/>
  <c r="D347" i="24"/>
  <c r="E347" i="24" s="1"/>
  <c r="F347" i="24" s="1"/>
  <c r="V363" i="24"/>
  <c r="AH67" i="7"/>
  <c r="AZ16" i="7"/>
  <c r="BF11" i="7" s="1"/>
  <c r="U11" i="25" s="1"/>
  <c r="U12" i="25"/>
  <c r="T379" i="24"/>
  <c r="S379" i="24" s="1"/>
  <c r="R379" i="24" s="1"/>
  <c r="P379" i="24" s="1"/>
  <c r="V60" i="24"/>
  <c r="T15" i="24"/>
  <c r="U383" i="24"/>
  <c r="U381" i="24"/>
  <c r="V29" i="24"/>
  <c r="W216" i="24"/>
  <c r="W280" i="24"/>
  <c r="W344" i="24"/>
  <c r="W39" i="24"/>
  <c r="D103" i="24"/>
  <c r="E103" i="24" s="1"/>
  <c r="F103" i="24" s="1"/>
  <c r="V119" i="24"/>
  <c r="D309" i="24"/>
  <c r="E309" i="24" s="1"/>
  <c r="F309" i="24" s="1"/>
  <c r="W325" i="24"/>
  <c r="D325" i="24"/>
  <c r="E325" i="24" s="1"/>
  <c r="F325" i="24" s="1"/>
  <c r="V333" i="24"/>
  <c r="AH66" i="7"/>
  <c r="W341" i="24"/>
  <c r="D341" i="24"/>
  <c r="E341" i="24" s="1"/>
  <c r="F341" i="24" s="1"/>
  <c r="W357" i="24"/>
  <c r="D357" i="24"/>
  <c r="E357" i="24" s="1"/>
  <c r="F357" i="24" s="1"/>
  <c r="D170" i="24"/>
  <c r="E170" i="24" s="1"/>
  <c r="F170" i="24" s="1"/>
  <c r="W170" i="24"/>
  <c r="D154" i="24"/>
  <c r="E154" i="24" s="1"/>
  <c r="F154" i="24" s="1"/>
  <c r="W154" i="24"/>
  <c r="D138" i="24"/>
  <c r="E138" i="24" s="1"/>
  <c r="F138" i="24" s="1"/>
  <c r="W138" i="24"/>
  <c r="W106" i="24"/>
  <c r="D106" i="24"/>
  <c r="E106" i="24" s="1"/>
  <c r="F106" i="24" s="1"/>
  <c r="W90" i="24"/>
  <c r="D90" i="24"/>
  <c r="E90" i="24" s="1"/>
  <c r="F90" i="24" s="1"/>
  <c r="D42" i="24"/>
  <c r="E42" i="24" s="1"/>
  <c r="F42" i="24" s="1"/>
  <c r="W42" i="24"/>
  <c r="D26" i="24"/>
  <c r="E26" i="24" s="1"/>
  <c r="F26" i="24" s="1"/>
  <c r="W26" i="24"/>
  <c r="D37" i="24"/>
  <c r="E37" i="24" s="1"/>
  <c r="F37" i="24" s="1"/>
  <c r="W37" i="24"/>
  <c r="D165" i="24"/>
  <c r="E165" i="24" s="1"/>
  <c r="F165" i="24" s="1"/>
  <c r="W165" i="24"/>
  <c r="W204" i="24"/>
  <c r="D204" i="24"/>
  <c r="E204" i="24" s="1"/>
  <c r="F204" i="24" s="1"/>
  <c r="D236" i="24"/>
  <c r="E236" i="24" s="1"/>
  <c r="F236" i="24" s="1"/>
  <c r="W236" i="24"/>
  <c r="D268" i="24"/>
  <c r="E268" i="24" s="1"/>
  <c r="F268" i="24" s="1"/>
  <c r="D300" i="24"/>
  <c r="E300" i="24" s="1"/>
  <c r="F300" i="24" s="1"/>
  <c r="W300" i="24"/>
  <c r="D332" i="24"/>
  <c r="E332" i="24" s="1"/>
  <c r="F332" i="24" s="1"/>
  <c r="W332" i="24"/>
  <c r="D364" i="24"/>
  <c r="E364" i="24" s="1"/>
  <c r="F364" i="24" s="1"/>
  <c r="W364" i="24"/>
  <c r="D326" i="24"/>
  <c r="E326" i="24" s="1"/>
  <c r="F326" i="24" s="1"/>
  <c r="W326" i="24"/>
  <c r="D294" i="24"/>
  <c r="E294" i="24" s="1"/>
  <c r="F294" i="24" s="1"/>
  <c r="W294" i="24"/>
  <c r="D262" i="24"/>
  <c r="E262" i="24" s="1"/>
  <c r="F262" i="24" s="1"/>
  <c r="W262" i="24"/>
  <c r="D198" i="24"/>
  <c r="E198" i="24" s="1"/>
  <c r="F198" i="24" s="1"/>
  <c r="W198" i="24"/>
  <c r="D153" i="24"/>
  <c r="E153" i="24" s="1"/>
  <c r="F153" i="24" s="1"/>
  <c r="W153" i="24"/>
  <c r="W89" i="24"/>
  <c r="D89" i="24"/>
  <c r="E89" i="24" s="1"/>
  <c r="F89" i="24" s="1"/>
  <c r="D354" i="24"/>
  <c r="E354" i="24" s="1"/>
  <c r="F354" i="24" s="1"/>
  <c r="W354" i="24"/>
  <c r="W322" i="24"/>
  <c r="D322" i="24"/>
  <c r="E322" i="24" s="1"/>
  <c r="F322" i="24" s="1"/>
  <c r="D290" i="24"/>
  <c r="E290" i="24" s="1"/>
  <c r="F290" i="24" s="1"/>
  <c r="W290" i="24"/>
  <c r="W226" i="24"/>
  <c r="D226" i="24"/>
  <c r="E226" i="24" s="1"/>
  <c r="F226" i="24" s="1"/>
  <c r="AH62" i="7"/>
  <c r="V210" i="24"/>
  <c r="D194" i="24"/>
  <c r="E194" i="24" s="1"/>
  <c r="F194" i="24" s="1"/>
  <c r="W194" i="24"/>
  <c r="W145" i="24"/>
  <c r="D145" i="24"/>
  <c r="E145" i="24" s="1"/>
  <c r="F145" i="24" s="1"/>
  <c r="I76" i="23"/>
  <c r="J76" i="23"/>
  <c r="J202" i="23"/>
  <c r="I202" i="23"/>
  <c r="I242" i="23"/>
  <c r="J242" i="23"/>
  <c r="J298" i="23"/>
  <c r="I298" i="23"/>
  <c r="J306" i="23"/>
  <c r="I306" i="23"/>
  <c r="I322" i="23"/>
  <c r="J322" i="23"/>
  <c r="I330" i="23"/>
  <c r="J330" i="23"/>
  <c r="I346" i="23"/>
  <c r="J346" i="23"/>
  <c r="J173" i="23"/>
  <c r="I173" i="23"/>
  <c r="I125" i="23"/>
  <c r="J125" i="23"/>
  <c r="I61" i="23"/>
  <c r="J61" i="23"/>
  <c r="J183" i="23"/>
  <c r="I183" i="23"/>
  <c r="J151" i="23"/>
  <c r="I151" i="23"/>
  <c r="J115" i="23"/>
  <c r="I115" i="23"/>
  <c r="J35" i="23"/>
  <c r="I35" i="23"/>
  <c r="I139" i="23"/>
  <c r="J139" i="23"/>
  <c r="J79" i="23"/>
  <c r="I79" i="23"/>
  <c r="J227" i="23"/>
  <c r="I227" i="23"/>
  <c r="G74" i="23"/>
  <c r="CD74" i="6" s="1"/>
  <c r="H74" i="23"/>
  <c r="AA74" i="23"/>
  <c r="Z74" i="23" s="1"/>
  <c r="Y74" i="23" s="1"/>
  <c r="J90" i="23"/>
  <c r="I90" i="23"/>
  <c r="J170" i="23"/>
  <c r="I170" i="23"/>
  <c r="J201" i="23"/>
  <c r="I201" i="23"/>
  <c r="I217" i="23"/>
  <c r="J217" i="23"/>
  <c r="W241" i="23"/>
  <c r="D241" i="23"/>
  <c r="E241" i="23" s="1"/>
  <c r="F241" i="23" s="1"/>
  <c r="J257" i="23"/>
  <c r="I257" i="23"/>
  <c r="I345" i="23"/>
  <c r="J345" i="23"/>
  <c r="J40" i="23"/>
  <c r="I40" i="23"/>
  <c r="J120" i="23"/>
  <c r="I120" i="23"/>
  <c r="I136" i="23"/>
  <c r="J136" i="23"/>
  <c r="I168" i="23"/>
  <c r="J168" i="23"/>
  <c r="I240" i="23"/>
  <c r="J240" i="23"/>
  <c r="J248" i="23"/>
  <c r="I248" i="23"/>
  <c r="I256" i="23"/>
  <c r="J256" i="23"/>
  <c r="I360" i="23"/>
  <c r="J360" i="23"/>
  <c r="I368" i="23"/>
  <c r="J368" i="23"/>
  <c r="I153" i="23"/>
  <c r="J153" i="23"/>
  <c r="I73" i="23"/>
  <c r="J73" i="23"/>
  <c r="J118" i="23"/>
  <c r="I118" i="23"/>
  <c r="J199" i="23"/>
  <c r="I199" i="23"/>
  <c r="I263" i="23"/>
  <c r="J263" i="23"/>
  <c r="I279" i="23"/>
  <c r="J279" i="23"/>
  <c r="I287" i="23"/>
  <c r="J287" i="23"/>
  <c r="I303" i="23"/>
  <c r="J303" i="23"/>
  <c r="J351" i="23"/>
  <c r="I351" i="23"/>
  <c r="I375" i="23"/>
  <c r="J375" i="23"/>
  <c r="J52" i="23"/>
  <c r="I52" i="23"/>
  <c r="I116" i="23"/>
  <c r="J116" i="23"/>
  <c r="I148" i="23"/>
  <c r="J148" i="23"/>
  <c r="J198" i="23"/>
  <c r="I198" i="23"/>
  <c r="J214" i="23"/>
  <c r="I214" i="23"/>
  <c r="I246" i="23"/>
  <c r="J246" i="23"/>
  <c r="I262" i="23"/>
  <c r="J262" i="23"/>
  <c r="J318" i="23"/>
  <c r="I318" i="23"/>
  <c r="J326" i="23"/>
  <c r="I326" i="23"/>
  <c r="J350" i="23"/>
  <c r="I350" i="23"/>
  <c r="I374" i="23"/>
  <c r="J374" i="23"/>
  <c r="I181" i="23"/>
  <c r="J181" i="23"/>
  <c r="I117" i="23"/>
  <c r="J117" i="23"/>
  <c r="J85" i="23"/>
  <c r="I85" i="23"/>
  <c r="I69" i="23"/>
  <c r="J69" i="23"/>
  <c r="I175" i="23"/>
  <c r="J175" i="23"/>
  <c r="J123" i="23"/>
  <c r="I123" i="23"/>
  <c r="J107" i="23"/>
  <c r="I107" i="23"/>
  <c r="I75" i="23"/>
  <c r="J75" i="23"/>
  <c r="I103" i="23"/>
  <c r="J103" i="23"/>
  <c r="J71" i="23"/>
  <c r="I71" i="23"/>
  <c r="I55" i="23"/>
  <c r="J55" i="23"/>
  <c r="I178" i="23"/>
  <c r="J178" i="23"/>
  <c r="I189" i="23"/>
  <c r="J189" i="23"/>
  <c r="I197" i="23"/>
  <c r="J197" i="23"/>
  <c r="J277" i="23"/>
  <c r="I277" i="23"/>
  <c r="I309" i="23"/>
  <c r="J309" i="23"/>
  <c r="I317" i="23"/>
  <c r="J317" i="23"/>
  <c r="I341" i="23"/>
  <c r="J341" i="23"/>
  <c r="I357" i="23"/>
  <c r="J357" i="23"/>
  <c r="J32" i="23"/>
  <c r="I32" i="23"/>
  <c r="J64" i="23"/>
  <c r="I64" i="23"/>
  <c r="J144" i="23"/>
  <c r="I144" i="23"/>
  <c r="J188" i="23"/>
  <c r="I188" i="23"/>
  <c r="I236" i="23"/>
  <c r="J236" i="23"/>
  <c r="J268" i="23"/>
  <c r="I268" i="23"/>
  <c r="I292" i="23"/>
  <c r="J292" i="23"/>
  <c r="I300" i="23"/>
  <c r="J300" i="23"/>
  <c r="J316" i="23"/>
  <c r="I316" i="23"/>
  <c r="J372" i="23"/>
  <c r="I372" i="23"/>
  <c r="J81" i="23"/>
  <c r="I81" i="23"/>
  <c r="I49" i="23"/>
  <c r="J49" i="23"/>
  <c r="J126" i="23"/>
  <c r="I126" i="23"/>
  <c r="J251" i="23"/>
  <c r="I251" i="23"/>
  <c r="J259" i="23"/>
  <c r="I259" i="23"/>
  <c r="J275" i="23"/>
  <c r="I275" i="23"/>
  <c r="J307" i="23"/>
  <c r="I307" i="23"/>
  <c r="J323" i="23"/>
  <c r="I323" i="23"/>
  <c r="J339" i="23"/>
  <c r="I339" i="23"/>
  <c r="M68" i="19"/>
  <c r="I44" i="23"/>
  <c r="J44" i="23"/>
  <c r="W60" i="23"/>
  <c r="D60" i="23"/>
  <c r="E60" i="23" s="1"/>
  <c r="F60" i="23" s="1"/>
  <c r="J140" i="23"/>
  <c r="I140" i="23"/>
  <c r="J194" i="23"/>
  <c r="I194" i="23"/>
  <c r="J266" i="23"/>
  <c r="I266" i="23"/>
  <c r="I282" i="23"/>
  <c r="J282" i="23"/>
  <c r="J314" i="23"/>
  <c r="I314" i="23"/>
  <c r="I157" i="23"/>
  <c r="J157" i="23"/>
  <c r="I141" i="23"/>
  <c r="J141" i="23"/>
  <c r="G29" i="23"/>
  <c r="CD29" i="6" s="1"/>
  <c r="AA29" i="23"/>
  <c r="Z29" i="23" s="1"/>
  <c r="Y29" i="23" s="1"/>
  <c r="H29" i="23"/>
  <c r="V381" i="22"/>
  <c r="B67" i="19"/>
  <c r="N67" i="19" s="1"/>
  <c r="V383" i="22"/>
  <c r="V382" i="22"/>
  <c r="AJ5" i="22"/>
  <c r="I83" i="23"/>
  <c r="J83" i="23"/>
  <c r="I67" i="23"/>
  <c r="J67" i="23"/>
  <c r="I51" i="23"/>
  <c r="J51" i="23"/>
  <c r="J111" i="23"/>
  <c r="I111" i="23"/>
  <c r="J31" i="23"/>
  <c r="I31" i="23"/>
  <c r="I42" i="23"/>
  <c r="J42" i="23"/>
  <c r="J58" i="23"/>
  <c r="I58" i="23"/>
  <c r="J122" i="23"/>
  <c r="I122" i="23"/>
  <c r="I193" i="23"/>
  <c r="J193" i="23"/>
  <c r="I249" i="23"/>
  <c r="J249" i="23"/>
  <c r="J313" i="23"/>
  <c r="I313" i="23"/>
  <c r="J337" i="23"/>
  <c r="I337" i="23"/>
  <c r="J353" i="23"/>
  <c r="I353" i="23"/>
  <c r="I24" i="23"/>
  <c r="J24" i="23"/>
  <c r="J152" i="23"/>
  <c r="I152" i="23"/>
  <c r="I192" i="23"/>
  <c r="J192" i="23"/>
  <c r="J216" i="23"/>
  <c r="I216" i="23"/>
  <c r="J232" i="23"/>
  <c r="I232" i="23"/>
  <c r="J304" i="23"/>
  <c r="I304" i="23"/>
  <c r="I344" i="23"/>
  <c r="J344" i="23"/>
  <c r="I376" i="23"/>
  <c r="J376" i="23"/>
  <c r="I169" i="23"/>
  <c r="J169" i="23"/>
  <c r="I137" i="23"/>
  <c r="J137" i="23"/>
  <c r="J57" i="23"/>
  <c r="I57" i="23"/>
  <c r="J25" i="23"/>
  <c r="I25" i="23"/>
  <c r="F379" i="20"/>
  <c r="AJ10" i="20"/>
  <c r="AJ12" i="20" s="1"/>
  <c r="AJ13" i="20" s="1"/>
  <c r="E381" i="20"/>
  <c r="E382" i="20"/>
  <c r="AK8" i="20"/>
  <c r="E383" i="20"/>
  <c r="E9" i="20"/>
  <c r="E11" i="20" s="1"/>
  <c r="I379" i="18"/>
  <c r="J379" i="18"/>
  <c r="J38" i="23"/>
  <c r="I38" i="23"/>
  <c r="J86" i="23"/>
  <c r="I86" i="23"/>
  <c r="I182" i="23"/>
  <c r="J182" i="23"/>
  <c r="I207" i="23"/>
  <c r="J207" i="23"/>
  <c r="J215" i="23"/>
  <c r="I215" i="23"/>
  <c r="J231" i="23"/>
  <c r="I231" i="23"/>
  <c r="J247" i="23"/>
  <c r="I247" i="23"/>
  <c r="J343" i="23"/>
  <c r="I343" i="23"/>
  <c r="I132" i="23"/>
  <c r="J132" i="23"/>
  <c r="J190" i="23"/>
  <c r="I190" i="23"/>
  <c r="I206" i="23"/>
  <c r="J206" i="23"/>
  <c r="I230" i="23"/>
  <c r="J230" i="23"/>
  <c r="J294" i="23"/>
  <c r="I294" i="23"/>
  <c r="H302" i="23"/>
  <c r="G302" i="23"/>
  <c r="CD302" i="6" s="1"/>
  <c r="AA302" i="23"/>
  <c r="Z302" i="23" s="1"/>
  <c r="Y302" i="23" s="1"/>
  <c r="J366" i="23"/>
  <c r="I366" i="23"/>
  <c r="I165" i="23"/>
  <c r="J165" i="23"/>
  <c r="I133" i="23"/>
  <c r="J133" i="23"/>
  <c r="I159" i="23"/>
  <c r="J159" i="23"/>
  <c r="J17" i="23"/>
  <c r="I17" i="23"/>
  <c r="I163" i="23"/>
  <c r="J163" i="23"/>
  <c r="I147" i="23"/>
  <c r="J147" i="23"/>
  <c r="J131" i="23"/>
  <c r="I131" i="23"/>
  <c r="I39" i="23"/>
  <c r="J39" i="23"/>
  <c r="J34" i="23"/>
  <c r="I34" i="23"/>
  <c r="J130" i="23"/>
  <c r="I130" i="23"/>
  <c r="J146" i="23"/>
  <c r="I146" i="23"/>
  <c r="J261" i="23"/>
  <c r="I261" i="23"/>
  <c r="J269" i="23"/>
  <c r="I269" i="23"/>
  <c r="J285" i="23"/>
  <c r="I285" i="23"/>
  <c r="I293" i="23"/>
  <c r="J293" i="23"/>
  <c r="J301" i="23"/>
  <c r="I301" i="23"/>
  <c r="I18" i="23"/>
  <c r="J18" i="23"/>
  <c r="J96" i="23"/>
  <c r="I96" i="23"/>
  <c r="I160" i="23"/>
  <c r="J160" i="23"/>
  <c r="J204" i="23"/>
  <c r="I204" i="23"/>
  <c r="I260" i="23"/>
  <c r="J260" i="23"/>
  <c r="J284" i="23"/>
  <c r="I284" i="23"/>
  <c r="I324" i="23"/>
  <c r="J324" i="23"/>
  <c r="J332" i="23"/>
  <c r="I332" i="23"/>
  <c r="J356" i="23"/>
  <c r="I356" i="23"/>
  <c r="I161" i="23"/>
  <c r="J161" i="23"/>
  <c r="I129" i="23"/>
  <c r="J129" i="23"/>
  <c r="I97" i="23"/>
  <c r="J97" i="23"/>
  <c r="J65" i="23"/>
  <c r="I65" i="23"/>
  <c r="G380" i="22"/>
  <c r="CC380" i="6" s="1"/>
  <c r="H380" i="22"/>
  <c r="AA380" i="22"/>
  <c r="Z380" i="22" s="1"/>
  <c r="Y380" i="22" s="1"/>
  <c r="J23" i="23"/>
  <c r="I23" i="23"/>
  <c r="J30" i="23"/>
  <c r="I30" i="23"/>
  <c r="I110" i="23"/>
  <c r="J110" i="23"/>
  <c r="J174" i="23"/>
  <c r="I174" i="23"/>
  <c r="J203" i="23"/>
  <c r="I203" i="23"/>
  <c r="I211" i="23"/>
  <c r="J211" i="23"/>
  <c r="I283" i="23"/>
  <c r="J283" i="23"/>
  <c r="J291" i="23"/>
  <c r="I291" i="23"/>
  <c r="J315" i="23"/>
  <c r="I315" i="23"/>
  <c r="G363" i="23"/>
  <c r="CD363" i="6" s="1"/>
  <c r="AA363" i="23"/>
  <c r="Z363" i="23" s="1"/>
  <c r="Y363" i="23" s="1"/>
  <c r="H363" i="23"/>
  <c r="J371" i="23"/>
  <c r="I371" i="23"/>
  <c r="W27" i="24"/>
  <c r="D27" i="24"/>
  <c r="E27" i="24" s="1"/>
  <c r="F27" i="24" s="1"/>
  <c r="D43" i="24"/>
  <c r="E43" i="24" s="1"/>
  <c r="F43" i="24" s="1"/>
  <c r="W43" i="24"/>
  <c r="W59" i="24"/>
  <c r="D59" i="24"/>
  <c r="E59" i="24" s="1"/>
  <c r="F59" i="24" s="1"/>
  <c r="W91" i="24"/>
  <c r="D91" i="24"/>
  <c r="E91" i="24" s="1"/>
  <c r="F91" i="24" s="1"/>
  <c r="D107" i="24"/>
  <c r="E107" i="24" s="1"/>
  <c r="F107" i="24" s="1"/>
  <c r="W107" i="24"/>
  <c r="W123" i="24"/>
  <c r="D123" i="24"/>
  <c r="E123" i="24" s="1"/>
  <c r="F123" i="24" s="1"/>
  <c r="D155" i="24"/>
  <c r="E155" i="24" s="1"/>
  <c r="F155" i="24" s="1"/>
  <c r="W155" i="24"/>
  <c r="D171" i="24"/>
  <c r="E171" i="24" s="1"/>
  <c r="F171" i="24" s="1"/>
  <c r="W171" i="24"/>
  <c r="W183" i="24"/>
  <c r="D183" i="24"/>
  <c r="E183" i="24" s="1"/>
  <c r="F183" i="24" s="1"/>
  <c r="D199" i="24"/>
  <c r="E199" i="24" s="1"/>
  <c r="F199" i="24" s="1"/>
  <c r="W199" i="24"/>
  <c r="W207" i="24"/>
  <c r="D207" i="24"/>
  <c r="E207" i="24" s="1"/>
  <c r="F207" i="24" s="1"/>
  <c r="W215" i="24"/>
  <c r="D215" i="24"/>
  <c r="E215" i="24" s="1"/>
  <c r="F215" i="24" s="1"/>
  <c r="W231" i="24"/>
  <c r="D231" i="24"/>
  <c r="E231" i="24" s="1"/>
  <c r="F231" i="24" s="1"/>
  <c r="W239" i="24"/>
  <c r="D239" i="24"/>
  <c r="E239" i="24" s="1"/>
  <c r="F239" i="24" s="1"/>
  <c r="W247" i="24"/>
  <c r="D247" i="24"/>
  <c r="E247" i="24" s="1"/>
  <c r="F247" i="24" s="1"/>
  <c r="D263" i="24"/>
  <c r="E263" i="24" s="1"/>
  <c r="F263" i="24" s="1"/>
  <c r="W263" i="24"/>
  <c r="W271" i="24"/>
  <c r="D271" i="24"/>
  <c r="E271" i="24" s="1"/>
  <c r="F271" i="24" s="1"/>
  <c r="D279" i="24"/>
  <c r="E279" i="24" s="1"/>
  <c r="F279" i="24" s="1"/>
  <c r="W279" i="24"/>
  <c r="D295" i="24"/>
  <c r="E295" i="24" s="1"/>
  <c r="F295" i="24" s="1"/>
  <c r="W295" i="24"/>
  <c r="W303" i="24"/>
  <c r="D303" i="24"/>
  <c r="E303" i="24" s="1"/>
  <c r="F303" i="24" s="1"/>
  <c r="D311" i="24"/>
  <c r="E311" i="24" s="1"/>
  <c r="F311" i="24" s="1"/>
  <c r="W311" i="24"/>
  <c r="W327" i="24"/>
  <c r="D327" i="24"/>
  <c r="E327" i="24" s="1"/>
  <c r="F327" i="24" s="1"/>
  <c r="D335" i="24"/>
  <c r="E335" i="24" s="1"/>
  <c r="F335" i="24" s="1"/>
  <c r="W335" i="24"/>
  <c r="W343" i="24"/>
  <c r="D343" i="24"/>
  <c r="E343" i="24" s="1"/>
  <c r="F343" i="24" s="1"/>
  <c r="W359" i="24"/>
  <c r="D359" i="24"/>
  <c r="E359" i="24" s="1"/>
  <c r="F359" i="24" s="1"/>
  <c r="D367" i="24"/>
  <c r="E367" i="24" s="1"/>
  <c r="F367" i="24" s="1"/>
  <c r="W367" i="24"/>
  <c r="D375" i="24"/>
  <c r="E375" i="24" s="1"/>
  <c r="F375" i="24" s="1"/>
  <c r="W375" i="24"/>
  <c r="W176" i="24"/>
  <c r="W168" i="24"/>
  <c r="D168" i="24"/>
  <c r="E168" i="24" s="1"/>
  <c r="F168" i="24" s="1"/>
  <c r="W160" i="24"/>
  <c r="D160" i="24"/>
  <c r="E160" i="24" s="1"/>
  <c r="F160" i="24" s="1"/>
  <c r="D152" i="24"/>
  <c r="E152" i="24" s="1"/>
  <c r="F152" i="24" s="1"/>
  <c r="W152" i="24"/>
  <c r="W136" i="24"/>
  <c r="D136" i="24"/>
  <c r="E136" i="24" s="1"/>
  <c r="F136" i="24" s="1"/>
  <c r="D128" i="24"/>
  <c r="E128" i="24" s="1"/>
  <c r="F128" i="24" s="1"/>
  <c r="W128" i="24"/>
  <c r="W120" i="24"/>
  <c r="D120" i="24"/>
  <c r="E120" i="24" s="1"/>
  <c r="F120" i="24" s="1"/>
  <c r="D104" i="24"/>
  <c r="E104" i="24" s="1"/>
  <c r="F104" i="24" s="1"/>
  <c r="W104" i="24"/>
  <c r="D96" i="24"/>
  <c r="E96" i="24" s="1"/>
  <c r="F96" i="24" s="1"/>
  <c r="W96" i="24"/>
  <c r="V88" i="24"/>
  <c r="AH58" i="7"/>
  <c r="W72" i="24"/>
  <c r="D72" i="24"/>
  <c r="E72" i="24" s="1"/>
  <c r="F72" i="24" s="1"/>
  <c r="D64" i="24"/>
  <c r="E64" i="24" s="1"/>
  <c r="F64" i="24" s="1"/>
  <c r="W64" i="24"/>
  <c r="W56" i="24"/>
  <c r="D56" i="24"/>
  <c r="E56" i="24" s="1"/>
  <c r="F56" i="24" s="1"/>
  <c r="D40" i="24"/>
  <c r="E40" i="24" s="1"/>
  <c r="F40" i="24" s="1"/>
  <c r="W40" i="24"/>
  <c r="W32" i="24"/>
  <c r="D32" i="24"/>
  <c r="E32" i="24" s="1"/>
  <c r="F32" i="24" s="1"/>
  <c r="W25" i="24"/>
  <c r="D25" i="24"/>
  <c r="E25" i="24" s="1"/>
  <c r="F25" i="24" s="1"/>
  <c r="W45" i="24"/>
  <c r="D45" i="24"/>
  <c r="E45" i="24" s="1"/>
  <c r="F45" i="24" s="1"/>
  <c r="W77" i="24"/>
  <c r="D77" i="24"/>
  <c r="E77" i="24" s="1"/>
  <c r="F77" i="24" s="1"/>
  <c r="W109" i="24"/>
  <c r="D109" i="24"/>
  <c r="E109" i="24" s="1"/>
  <c r="F109" i="24" s="1"/>
  <c r="D173" i="24"/>
  <c r="E173" i="24" s="1"/>
  <c r="F173" i="24" s="1"/>
  <c r="W173" i="24"/>
  <c r="W192" i="24"/>
  <c r="D192" i="24"/>
  <c r="E192" i="24" s="1"/>
  <c r="F192" i="24" s="1"/>
  <c r="W208" i="24"/>
  <c r="D208" i="24"/>
  <c r="E208" i="24" s="1"/>
  <c r="F208" i="24" s="1"/>
  <c r="D240" i="24"/>
  <c r="E240" i="24" s="1"/>
  <c r="F240" i="24" s="1"/>
  <c r="W240" i="24"/>
  <c r="W256" i="24"/>
  <c r="D256" i="24"/>
  <c r="E256" i="24" s="1"/>
  <c r="F256" i="24" s="1"/>
  <c r="V272" i="24"/>
  <c r="AH64" i="7"/>
  <c r="W288" i="24"/>
  <c r="W304" i="24"/>
  <c r="D304" i="24"/>
  <c r="E304" i="24" s="1"/>
  <c r="F304" i="24" s="1"/>
  <c r="W320" i="24"/>
  <c r="D320" i="24"/>
  <c r="E320" i="24" s="1"/>
  <c r="F320" i="24" s="1"/>
  <c r="D336" i="24"/>
  <c r="E336" i="24" s="1"/>
  <c r="F336" i="24" s="1"/>
  <c r="W336" i="24"/>
  <c r="D368" i="24"/>
  <c r="E368" i="24" s="1"/>
  <c r="F368" i="24" s="1"/>
  <c r="W368" i="24"/>
  <c r="D24" i="24"/>
  <c r="E24" i="24" s="1"/>
  <c r="F24" i="24" s="1"/>
  <c r="W24" i="24"/>
  <c r="W31" i="24"/>
  <c r="D31" i="24"/>
  <c r="E31" i="24" s="1"/>
  <c r="F31" i="24" s="1"/>
  <c r="W63" i="24"/>
  <c r="D63" i="24"/>
  <c r="E63" i="24" s="1"/>
  <c r="F63" i="24" s="1"/>
  <c r="W79" i="24"/>
  <c r="D79" i="24"/>
  <c r="E79" i="24" s="1"/>
  <c r="F79" i="24" s="1"/>
  <c r="W95" i="24"/>
  <c r="D95" i="24"/>
  <c r="E95" i="24" s="1"/>
  <c r="F95" i="24" s="1"/>
  <c r="D127" i="24"/>
  <c r="E127" i="24" s="1"/>
  <c r="F127" i="24" s="1"/>
  <c r="W127" i="24"/>
  <c r="W143" i="24"/>
  <c r="D143" i="24"/>
  <c r="E143" i="24" s="1"/>
  <c r="F143" i="24" s="1"/>
  <c r="D159" i="24"/>
  <c r="E159" i="24" s="1"/>
  <c r="F159" i="24" s="1"/>
  <c r="W159" i="24"/>
  <c r="W185" i="24"/>
  <c r="D185" i="24"/>
  <c r="E185" i="24" s="1"/>
  <c r="F185" i="24" s="1"/>
  <c r="D193" i="24"/>
  <c r="E193" i="24" s="1"/>
  <c r="F193" i="24" s="1"/>
  <c r="W193" i="24"/>
  <c r="D201" i="24"/>
  <c r="E201" i="24" s="1"/>
  <c r="F201" i="24" s="1"/>
  <c r="W201" i="24"/>
  <c r="D217" i="24"/>
  <c r="E217" i="24" s="1"/>
  <c r="F217" i="24" s="1"/>
  <c r="W217" i="24"/>
  <c r="D225" i="24"/>
  <c r="E225" i="24" s="1"/>
  <c r="F225" i="24" s="1"/>
  <c r="W225" i="24"/>
  <c r="W233" i="24"/>
  <c r="D233" i="24"/>
  <c r="E233" i="24" s="1"/>
  <c r="F233" i="24" s="1"/>
  <c r="AH63" i="7"/>
  <c r="D249" i="24"/>
  <c r="E249" i="24" s="1"/>
  <c r="F249" i="24" s="1"/>
  <c r="W249" i="24"/>
  <c r="D257" i="24"/>
  <c r="E257" i="24" s="1"/>
  <c r="F257" i="24" s="1"/>
  <c r="W257" i="24"/>
  <c r="D265" i="24"/>
  <c r="E265" i="24" s="1"/>
  <c r="F265" i="24" s="1"/>
  <c r="W265" i="24"/>
  <c r="D281" i="24"/>
  <c r="E281" i="24" s="1"/>
  <c r="F281" i="24" s="1"/>
  <c r="W281" i="24"/>
  <c r="D289" i="24"/>
  <c r="E289" i="24" s="1"/>
  <c r="F289" i="24" s="1"/>
  <c r="W289" i="24"/>
  <c r="W297" i="24"/>
  <c r="D297" i="24"/>
  <c r="E297" i="24" s="1"/>
  <c r="F297" i="24" s="1"/>
  <c r="D313" i="24"/>
  <c r="E313" i="24" s="1"/>
  <c r="F313" i="24" s="1"/>
  <c r="D345" i="24"/>
  <c r="E345" i="24" s="1"/>
  <c r="F345" i="24" s="1"/>
  <c r="W377" i="24"/>
  <c r="W134" i="24"/>
  <c r="D102" i="24"/>
  <c r="E102" i="24" s="1"/>
  <c r="F102" i="24" s="1"/>
  <c r="D70" i="24"/>
  <c r="E70" i="24" s="1"/>
  <c r="F70" i="24" s="1"/>
  <c r="D38" i="24"/>
  <c r="E38" i="24" s="1"/>
  <c r="F38" i="24" s="1"/>
  <c r="D53" i="24"/>
  <c r="E53" i="24" s="1"/>
  <c r="F53" i="24" s="1"/>
  <c r="V149" i="24"/>
  <c r="V180" i="24"/>
  <c r="AH61" i="7"/>
  <c r="D212" i="24"/>
  <c r="E212" i="24" s="1"/>
  <c r="F212" i="24" s="1"/>
  <c r="W244" i="24"/>
  <c r="D276" i="24"/>
  <c r="E276" i="24" s="1"/>
  <c r="F276" i="24" s="1"/>
  <c r="D308" i="24"/>
  <c r="E308" i="24" s="1"/>
  <c r="F308" i="24" s="1"/>
  <c r="D340" i="24"/>
  <c r="E340" i="24" s="1"/>
  <c r="F340" i="24" s="1"/>
  <c r="D372" i="24"/>
  <c r="E372" i="24" s="1"/>
  <c r="F372" i="24" s="1"/>
  <c r="W350" i="24"/>
  <c r="D318" i="24"/>
  <c r="E318" i="24" s="1"/>
  <c r="F318" i="24" s="1"/>
  <c r="AH65" i="7"/>
  <c r="W286" i="24"/>
  <c r="D254" i="24"/>
  <c r="E254" i="24" s="1"/>
  <c r="F254" i="24" s="1"/>
  <c r="W222" i="24"/>
  <c r="D190" i="24"/>
  <c r="E190" i="24" s="1"/>
  <c r="F190" i="24" s="1"/>
  <c r="D137" i="24"/>
  <c r="E137" i="24" s="1"/>
  <c r="F137" i="24" s="1"/>
  <c r="D73" i="24"/>
  <c r="E73" i="24" s="1"/>
  <c r="F73" i="24" s="1"/>
  <c r="D378" i="24"/>
  <c r="E378" i="24" s="1"/>
  <c r="F378" i="24" s="1"/>
  <c r="D346" i="24"/>
  <c r="E346" i="24" s="1"/>
  <c r="F346" i="24" s="1"/>
  <c r="D314" i="24"/>
  <c r="E314" i="24" s="1"/>
  <c r="F314" i="24" s="1"/>
  <c r="D282" i="24"/>
  <c r="E282" i="24" s="1"/>
  <c r="F282" i="24" s="1"/>
  <c r="D250" i="24"/>
  <c r="E250" i="24" s="1"/>
  <c r="F250" i="24" s="1"/>
  <c r="D218" i="24"/>
  <c r="E218" i="24" s="1"/>
  <c r="F218" i="24" s="1"/>
  <c r="W186" i="24"/>
  <c r="W129" i="24"/>
  <c r="D65" i="24"/>
  <c r="E65" i="24" s="1"/>
  <c r="F65" i="24" s="1"/>
  <c r="I28" i="23"/>
  <c r="J28" i="23"/>
  <c r="J92" i="23"/>
  <c r="I92" i="23"/>
  <c r="I124" i="23"/>
  <c r="J124" i="23"/>
  <c r="W210" i="23"/>
  <c r="D210" i="23"/>
  <c r="E210" i="23" s="1"/>
  <c r="F210" i="23" s="1"/>
  <c r="J226" i="23"/>
  <c r="I226" i="23"/>
  <c r="I234" i="23"/>
  <c r="J234" i="23"/>
  <c r="J250" i="23"/>
  <c r="I250" i="23"/>
  <c r="J109" i="23"/>
  <c r="I109" i="23"/>
  <c r="J45" i="23"/>
  <c r="I45" i="23"/>
  <c r="J167" i="23"/>
  <c r="I167" i="23"/>
  <c r="I171" i="23"/>
  <c r="J171" i="23"/>
  <c r="J95" i="23"/>
  <c r="I95" i="23"/>
  <c r="I47" i="23"/>
  <c r="J47" i="23"/>
  <c r="AL11" i="18"/>
  <c r="AJ3" i="18" s="1"/>
  <c r="O15" i="19" s="1"/>
  <c r="M15" i="19" s="1"/>
  <c r="AL9" i="20"/>
  <c r="AM7" i="20"/>
  <c r="AD104" i="23"/>
  <c r="AF381" i="23"/>
  <c r="AF383" i="23"/>
  <c r="AF382" i="23"/>
  <c r="AM5" i="18"/>
  <c r="AM11" i="18" s="1"/>
  <c r="AK3" i="18" s="1"/>
  <c r="Q15" i="19" s="1"/>
  <c r="N15" i="19" s="1"/>
  <c r="J15" i="20"/>
  <c r="C15" i="6" s="1"/>
  <c r="I15" i="20"/>
  <c r="B15" i="6" s="1"/>
  <c r="Z15" i="20"/>
  <c r="BA15" i="6"/>
  <c r="D273" i="24" l="1"/>
  <c r="E273" i="24" s="1"/>
  <c r="F273" i="24" s="1"/>
  <c r="W175" i="24"/>
  <c r="D48" i="24"/>
  <c r="E48" i="24" s="1"/>
  <c r="F48" i="24" s="1"/>
  <c r="D223" i="24"/>
  <c r="E223" i="24" s="1"/>
  <c r="F223" i="24" s="1"/>
  <c r="G223" i="24" s="1"/>
  <c r="CE223" i="6" s="1"/>
  <c r="D21" i="24"/>
  <c r="E21" i="24" s="1"/>
  <c r="F21" i="24" s="1"/>
  <c r="W82" i="24"/>
  <c r="D55" i="24"/>
  <c r="E55" i="24" s="1"/>
  <c r="F55" i="24" s="1"/>
  <c r="D18" i="24"/>
  <c r="E18" i="24" s="1"/>
  <c r="F18" i="24" s="1"/>
  <c r="AA18" i="24" s="1"/>
  <c r="Z18" i="24" s="1"/>
  <c r="Y18" i="24" s="1"/>
  <c r="W296" i="24"/>
  <c r="W264" i="24"/>
  <c r="D28" i="24"/>
  <c r="E28" i="24" s="1"/>
  <c r="F28" i="24" s="1"/>
  <c r="D140" i="24"/>
  <c r="E140" i="24" s="1"/>
  <c r="F140" i="24" s="1"/>
  <c r="G140" i="24" s="1"/>
  <c r="CE140" i="6" s="1"/>
  <c r="W355" i="24"/>
  <c r="D339" i="24"/>
  <c r="E339" i="24" s="1"/>
  <c r="F339" i="24" s="1"/>
  <c r="AA339" i="24" s="1"/>
  <c r="Z339" i="24" s="1"/>
  <c r="Y339" i="24" s="1"/>
  <c r="W291" i="24"/>
  <c r="D275" i="24"/>
  <c r="E275" i="24" s="1"/>
  <c r="F275" i="24" s="1"/>
  <c r="AA275" i="24" s="1"/>
  <c r="Z275" i="24" s="1"/>
  <c r="Y275" i="24" s="1"/>
  <c r="D179" i="24"/>
  <c r="E179" i="24" s="1"/>
  <c r="F179" i="24" s="1"/>
  <c r="D147" i="24"/>
  <c r="E147" i="24" s="1"/>
  <c r="F147" i="24" s="1"/>
  <c r="H147" i="24" s="1"/>
  <c r="I147" i="24" s="1"/>
  <c r="W51" i="24"/>
  <c r="W16" i="24"/>
  <c r="D200" i="24"/>
  <c r="E200" i="24" s="1"/>
  <c r="F200" i="24" s="1"/>
  <c r="G200" i="24" s="1"/>
  <c r="CE200" i="6" s="1"/>
  <c r="D334" i="24"/>
  <c r="E334" i="24" s="1"/>
  <c r="F334" i="24" s="1"/>
  <c r="G334" i="24" s="1"/>
  <c r="CE334" i="6" s="1"/>
  <c r="W366" i="24"/>
  <c r="W356" i="24"/>
  <c r="D324" i="24"/>
  <c r="E324" i="24" s="1"/>
  <c r="F324" i="24" s="1"/>
  <c r="G324" i="24" s="1"/>
  <c r="CE324" i="6" s="1"/>
  <c r="D292" i="24"/>
  <c r="E292" i="24" s="1"/>
  <c r="F292" i="24" s="1"/>
  <c r="AA292" i="24" s="1"/>
  <c r="Z292" i="24" s="1"/>
  <c r="Y292" i="24" s="1"/>
  <c r="D260" i="24"/>
  <c r="E260" i="24" s="1"/>
  <c r="F260" i="24" s="1"/>
  <c r="H260" i="24" s="1"/>
  <c r="D228" i="24"/>
  <c r="E228" i="24" s="1"/>
  <c r="F228" i="24" s="1"/>
  <c r="H228" i="24" s="1"/>
  <c r="W47" i="24"/>
  <c r="D141" i="24"/>
  <c r="E141" i="24" s="1"/>
  <c r="F141" i="24" s="1"/>
  <c r="AA141" i="24" s="1"/>
  <c r="Z141" i="24" s="1"/>
  <c r="Y141" i="24" s="1"/>
  <c r="W112" i="24"/>
  <c r="D287" i="24"/>
  <c r="E287" i="24" s="1"/>
  <c r="F287" i="24" s="1"/>
  <c r="G287" i="24" s="1"/>
  <c r="CE287" i="6" s="1"/>
  <c r="W139" i="24"/>
  <c r="H262" i="24"/>
  <c r="J262" i="24" s="1"/>
  <c r="D242" i="24"/>
  <c r="E242" i="24" s="1"/>
  <c r="F242" i="24" s="1"/>
  <c r="G242" i="24" s="1"/>
  <c r="CE242" i="6" s="1"/>
  <c r="D278" i="24"/>
  <c r="E278" i="24" s="1"/>
  <c r="F278" i="24" s="1"/>
  <c r="H278" i="24" s="1"/>
  <c r="D101" i="24"/>
  <c r="E101" i="24" s="1"/>
  <c r="F101" i="24" s="1"/>
  <c r="AA101" i="24" s="1"/>
  <c r="Z101" i="24" s="1"/>
  <c r="Y101" i="24" s="1"/>
  <c r="D373" i="24"/>
  <c r="E373" i="24" s="1"/>
  <c r="F373" i="24" s="1"/>
  <c r="AA373" i="24" s="1"/>
  <c r="Z373" i="24" s="1"/>
  <c r="Y373" i="24" s="1"/>
  <c r="D197" i="24"/>
  <c r="E197" i="24" s="1"/>
  <c r="F197" i="24" s="1"/>
  <c r="G197" i="24" s="1"/>
  <c r="CE197" i="6" s="1"/>
  <c r="D209" i="24"/>
  <c r="E209" i="24" s="1"/>
  <c r="F209" i="24" s="1"/>
  <c r="H209" i="24" s="1"/>
  <c r="W111" i="24"/>
  <c r="W352" i="24"/>
  <c r="W224" i="24"/>
  <c r="D22" i="24"/>
  <c r="E22" i="24" s="1"/>
  <c r="F22" i="24" s="1"/>
  <c r="AA22" i="24" s="1"/>
  <c r="Z22" i="24" s="1"/>
  <c r="Y22" i="24" s="1"/>
  <c r="D80" i="24"/>
  <c r="E80" i="24" s="1"/>
  <c r="F80" i="24" s="1"/>
  <c r="H80" i="24" s="1"/>
  <c r="W144" i="24"/>
  <c r="W351" i="24"/>
  <c r="D255" i="24"/>
  <c r="E255" i="24" s="1"/>
  <c r="F255" i="24" s="1"/>
  <c r="G255" i="24" s="1"/>
  <c r="CE255" i="6" s="1"/>
  <c r="W191" i="24"/>
  <c r="D75" i="24"/>
  <c r="E75" i="24" s="1"/>
  <c r="F75" i="24" s="1"/>
  <c r="H75" i="24" s="1"/>
  <c r="W81" i="24"/>
  <c r="D306" i="24"/>
  <c r="E306" i="24" s="1"/>
  <c r="F306" i="24" s="1"/>
  <c r="H306" i="24" s="1"/>
  <c r="W230" i="24"/>
  <c r="D358" i="24"/>
  <c r="E358" i="24" s="1"/>
  <c r="F358" i="24" s="1"/>
  <c r="G358" i="24" s="1"/>
  <c r="CE358" i="6" s="1"/>
  <c r="D220" i="24"/>
  <c r="E220" i="24" s="1"/>
  <c r="F220" i="24" s="1"/>
  <c r="G220" i="24" s="1"/>
  <c r="CE220" i="6" s="1"/>
  <c r="D58" i="24"/>
  <c r="E58" i="24" s="1"/>
  <c r="F58" i="24" s="1"/>
  <c r="G58" i="24" s="1"/>
  <c r="CE58" i="6" s="1"/>
  <c r="D122" i="24"/>
  <c r="E122" i="24" s="1"/>
  <c r="F122" i="24" s="1"/>
  <c r="AA122" i="24" s="1"/>
  <c r="Z122" i="24" s="1"/>
  <c r="Y122" i="24" s="1"/>
  <c r="W349" i="24"/>
  <c r="D261" i="24"/>
  <c r="E261" i="24" s="1"/>
  <c r="F261" i="24" s="1"/>
  <c r="AA261" i="24" s="1"/>
  <c r="Z261" i="24" s="1"/>
  <c r="Y261" i="24" s="1"/>
  <c r="U382" i="24"/>
  <c r="W76" i="24"/>
  <c r="W33" i="24"/>
  <c r="W97" i="24"/>
  <c r="D161" i="24"/>
  <c r="E161" i="24" s="1"/>
  <c r="F161" i="24" s="1"/>
  <c r="G161" i="24" s="1"/>
  <c r="CE161" i="6" s="1"/>
  <c r="D202" i="24"/>
  <c r="E202" i="24" s="1"/>
  <c r="F202" i="24" s="1"/>
  <c r="G202" i="24" s="1"/>
  <c r="CE202" i="6" s="1"/>
  <c r="D234" i="24"/>
  <c r="E234" i="24" s="1"/>
  <c r="F234" i="24" s="1"/>
  <c r="AA234" i="24" s="1"/>
  <c r="Z234" i="24" s="1"/>
  <c r="Y234" i="24" s="1"/>
  <c r="W266" i="24"/>
  <c r="W298" i="24"/>
  <c r="D330" i="24"/>
  <c r="E330" i="24" s="1"/>
  <c r="F330" i="24" s="1"/>
  <c r="H330" i="24" s="1"/>
  <c r="D362" i="24"/>
  <c r="E362" i="24" s="1"/>
  <c r="F362" i="24" s="1"/>
  <c r="AA362" i="24" s="1"/>
  <c r="Z362" i="24" s="1"/>
  <c r="Y362" i="24" s="1"/>
  <c r="W41" i="24"/>
  <c r="D169" i="24"/>
  <c r="E169" i="24" s="1"/>
  <c r="F169" i="24" s="1"/>
  <c r="G169" i="24" s="1"/>
  <c r="CE169" i="6" s="1"/>
  <c r="D206" i="24"/>
  <c r="E206" i="24" s="1"/>
  <c r="F206" i="24" s="1"/>
  <c r="H206" i="24" s="1"/>
  <c r="D238" i="24"/>
  <c r="E238" i="24" s="1"/>
  <c r="F238" i="24" s="1"/>
  <c r="G238" i="24" s="1"/>
  <c r="CE238" i="6" s="1"/>
  <c r="W270" i="24"/>
  <c r="W30" i="24"/>
  <c r="D46" i="24"/>
  <c r="E46" i="24" s="1"/>
  <c r="F46" i="24" s="1"/>
  <c r="G46" i="24" s="1"/>
  <c r="CE46" i="6" s="1"/>
  <c r="W94" i="24"/>
  <c r="W110" i="24"/>
  <c r="W158" i="24"/>
  <c r="W353" i="24"/>
  <c r="W337" i="24"/>
  <c r="H165" i="24"/>
  <c r="J165" i="24" s="1"/>
  <c r="D49" i="24"/>
  <c r="E49" i="24" s="1"/>
  <c r="F49" i="24" s="1"/>
  <c r="H49" i="24" s="1"/>
  <c r="D370" i="24"/>
  <c r="E370" i="24" s="1"/>
  <c r="F370" i="24" s="1"/>
  <c r="AA370" i="24" s="1"/>
  <c r="Z370" i="24" s="1"/>
  <c r="Y370" i="24" s="1"/>
  <c r="D342" i="24"/>
  <c r="E342" i="24" s="1"/>
  <c r="F342" i="24" s="1"/>
  <c r="AA342" i="24" s="1"/>
  <c r="Z342" i="24" s="1"/>
  <c r="Y342" i="24" s="1"/>
  <c r="D133" i="24"/>
  <c r="E133" i="24" s="1"/>
  <c r="F133" i="24" s="1"/>
  <c r="H133" i="24" s="1"/>
  <c r="W114" i="24"/>
  <c r="D277" i="24"/>
  <c r="E277" i="24" s="1"/>
  <c r="F277" i="24" s="1"/>
  <c r="G277" i="24" s="1"/>
  <c r="CE277" i="6" s="1"/>
  <c r="W213" i="24"/>
  <c r="D44" i="24"/>
  <c r="E44" i="24" s="1"/>
  <c r="F44" i="24" s="1"/>
  <c r="H44" i="24" s="1"/>
  <c r="J44" i="24" s="1"/>
  <c r="D124" i="24"/>
  <c r="E124" i="24" s="1"/>
  <c r="F124" i="24" s="1"/>
  <c r="G124" i="24" s="1"/>
  <c r="CE124" i="6" s="1"/>
  <c r="H194" i="24"/>
  <c r="I194" i="24" s="1"/>
  <c r="H250" i="24"/>
  <c r="I250" i="24" s="1"/>
  <c r="D117" i="24"/>
  <c r="E117" i="24" s="1"/>
  <c r="F117" i="24" s="1"/>
  <c r="AA117" i="24" s="1"/>
  <c r="Z117" i="24" s="1"/>
  <c r="Y117" i="24" s="1"/>
  <c r="H294" i="24"/>
  <c r="I294" i="24" s="1"/>
  <c r="H197" i="24"/>
  <c r="J197" i="24" s="1"/>
  <c r="W338" i="24"/>
  <c r="D182" i="24"/>
  <c r="E182" i="24" s="1"/>
  <c r="F182" i="24" s="1"/>
  <c r="AA182" i="24" s="1"/>
  <c r="Z182" i="24" s="1"/>
  <c r="Y182" i="24" s="1"/>
  <c r="W310" i="24"/>
  <c r="D316" i="24"/>
  <c r="E316" i="24" s="1"/>
  <c r="F316" i="24" s="1"/>
  <c r="H316" i="24" s="1"/>
  <c r="W188" i="24"/>
  <c r="D34" i="24"/>
  <c r="E34" i="24" s="1"/>
  <c r="F34" i="24" s="1"/>
  <c r="H34" i="24" s="1"/>
  <c r="D98" i="24"/>
  <c r="E98" i="24" s="1"/>
  <c r="F98" i="24" s="1"/>
  <c r="H98" i="24" s="1"/>
  <c r="D162" i="24"/>
  <c r="E162" i="24" s="1"/>
  <c r="F162" i="24" s="1"/>
  <c r="AA162" i="24" s="1"/>
  <c r="Z162" i="24" s="1"/>
  <c r="Y162" i="24" s="1"/>
  <c r="D301" i="24"/>
  <c r="E301" i="24" s="1"/>
  <c r="F301" i="24" s="1"/>
  <c r="H301" i="24" s="1"/>
  <c r="D269" i="24"/>
  <c r="E269" i="24" s="1"/>
  <c r="F269" i="24" s="1"/>
  <c r="AA269" i="24" s="1"/>
  <c r="Z269" i="24" s="1"/>
  <c r="Y269" i="24" s="1"/>
  <c r="W237" i="24"/>
  <c r="W205" i="24"/>
  <c r="W167" i="24"/>
  <c r="W125" i="24"/>
  <c r="W36" i="24"/>
  <c r="W68" i="24"/>
  <c r="D100" i="24"/>
  <c r="E100" i="24" s="1"/>
  <c r="F100" i="24" s="1"/>
  <c r="H100" i="24" s="1"/>
  <c r="W132" i="24"/>
  <c r="W164" i="24"/>
  <c r="D196" i="24"/>
  <c r="E196" i="24" s="1"/>
  <c r="F196" i="24" s="1"/>
  <c r="H196" i="24" s="1"/>
  <c r="I196" i="24" s="1"/>
  <c r="W85" i="24"/>
  <c r="D20" i="24"/>
  <c r="E20" i="24" s="1"/>
  <c r="F20" i="24" s="1"/>
  <c r="G20" i="24" s="1"/>
  <c r="CE20" i="6" s="1"/>
  <c r="W62" i="24"/>
  <c r="D78" i="24"/>
  <c r="E78" i="24" s="1"/>
  <c r="F78" i="24" s="1"/>
  <c r="AA78" i="24" s="1"/>
  <c r="Z78" i="24" s="1"/>
  <c r="Y78" i="24" s="1"/>
  <c r="D126" i="24"/>
  <c r="E126" i="24" s="1"/>
  <c r="F126" i="24" s="1"/>
  <c r="AA126" i="24" s="1"/>
  <c r="Z126" i="24" s="1"/>
  <c r="Y126" i="24" s="1"/>
  <c r="W142" i="24"/>
  <c r="W174" i="24"/>
  <c r="D369" i="24"/>
  <c r="E369" i="24" s="1"/>
  <c r="F369" i="24" s="1"/>
  <c r="G369" i="24" s="1"/>
  <c r="CE369" i="6" s="1"/>
  <c r="W321" i="24"/>
  <c r="W305" i="24"/>
  <c r="D177" i="24"/>
  <c r="E177" i="24" s="1"/>
  <c r="F177" i="24" s="1"/>
  <c r="AA177" i="24" s="1"/>
  <c r="Z177" i="24" s="1"/>
  <c r="Y177" i="24" s="1"/>
  <c r="W121" i="24"/>
  <c r="D214" i="24"/>
  <c r="E214" i="24" s="1"/>
  <c r="F214" i="24" s="1"/>
  <c r="AA214" i="24" s="1"/>
  <c r="Z214" i="24" s="1"/>
  <c r="Y214" i="24" s="1"/>
  <c r="W348" i="24"/>
  <c r="D284" i="24"/>
  <c r="E284" i="24" s="1"/>
  <c r="F284" i="24" s="1"/>
  <c r="G284" i="24" s="1"/>
  <c r="CE284" i="6" s="1"/>
  <c r="D23" i="24"/>
  <c r="E23" i="24" s="1"/>
  <c r="F23" i="24" s="1"/>
  <c r="G23" i="24" s="1"/>
  <c r="CE23" i="6" s="1"/>
  <c r="D50" i="24"/>
  <c r="E50" i="24" s="1"/>
  <c r="F50" i="24" s="1"/>
  <c r="H50" i="24" s="1"/>
  <c r="W146" i="24"/>
  <c r="D178" i="24"/>
  <c r="E178" i="24" s="1"/>
  <c r="F178" i="24" s="1"/>
  <c r="AA178" i="24" s="1"/>
  <c r="Z178" i="24" s="1"/>
  <c r="Y178" i="24" s="1"/>
  <c r="D317" i="24"/>
  <c r="E317" i="24" s="1"/>
  <c r="F317" i="24" s="1"/>
  <c r="H317" i="24" s="1"/>
  <c r="D293" i="24"/>
  <c r="E293" i="24" s="1"/>
  <c r="F293" i="24" s="1"/>
  <c r="H293" i="24" s="1"/>
  <c r="W245" i="24"/>
  <c r="D229" i="24"/>
  <c r="E229" i="24" s="1"/>
  <c r="F229" i="24" s="1"/>
  <c r="H229" i="24" s="1"/>
  <c r="W181" i="24"/>
  <c r="D151" i="24"/>
  <c r="E151" i="24" s="1"/>
  <c r="F151" i="24" s="1"/>
  <c r="H151" i="24" s="1"/>
  <c r="J151" i="24" s="1"/>
  <c r="D87" i="24"/>
  <c r="E87" i="24" s="1"/>
  <c r="F87" i="24" s="1"/>
  <c r="G87" i="24" s="1"/>
  <c r="CE87" i="6" s="1"/>
  <c r="D360" i="24"/>
  <c r="E360" i="24" s="1"/>
  <c r="F360" i="24" s="1"/>
  <c r="G360" i="24" s="1"/>
  <c r="CE360" i="6" s="1"/>
  <c r="W328" i="24"/>
  <c r="W232" i="24"/>
  <c r="D157" i="24"/>
  <c r="E157" i="24" s="1"/>
  <c r="F157" i="24" s="1"/>
  <c r="AA157" i="24" s="1"/>
  <c r="Z157" i="24" s="1"/>
  <c r="Y157" i="24" s="1"/>
  <c r="D93" i="24"/>
  <c r="E93" i="24" s="1"/>
  <c r="F93" i="24" s="1"/>
  <c r="AA93" i="24" s="1"/>
  <c r="Z93" i="24" s="1"/>
  <c r="Y93" i="24" s="1"/>
  <c r="W92" i="24"/>
  <c r="W108" i="24"/>
  <c r="W156" i="24"/>
  <c r="D172" i="24"/>
  <c r="E172" i="24" s="1"/>
  <c r="F172" i="24" s="1"/>
  <c r="H172" i="24" s="1"/>
  <c r="W371" i="24"/>
  <c r="D323" i="24"/>
  <c r="E323" i="24" s="1"/>
  <c r="F323" i="24" s="1"/>
  <c r="G323" i="24" s="1"/>
  <c r="CE323" i="6" s="1"/>
  <c r="D307" i="24"/>
  <c r="E307" i="24" s="1"/>
  <c r="F307" i="24" s="1"/>
  <c r="G307" i="24" s="1"/>
  <c r="CE307" i="6" s="1"/>
  <c r="D259" i="24"/>
  <c r="E259" i="24" s="1"/>
  <c r="F259" i="24" s="1"/>
  <c r="AA259" i="24" s="1"/>
  <c r="Z259" i="24" s="1"/>
  <c r="Y259" i="24" s="1"/>
  <c r="D243" i="24"/>
  <c r="E243" i="24" s="1"/>
  <c r="F243" i="24" s="1"/>
  <c r="G243" i="24" s="1"/>
  <c r="CE243" i="6" s="1"/>
  <c r="D211" i="24"/>
  <c r="E211" i="24" s="1"/>
  <c r="F211" i="24" s="1"/>
  <c r="G211" i="24" s="1"/>
  <c r="CE211" i="6" s="1"/>
  <c r="D195" i="24"/>
  <c r="E195" i="24" s="1"/>
  <c r="F195" i="24" s="1"/>
  <c r="H195" i="24" s="1"/>
  <c r="D115" i="24"/>
  <c r="E115" i="24" s="1"/>
  <c r="F115" i="24" s="1"/>
  <c r="AA115" i="24" s="1"/>
  <c r="Z115" i="24" s="1"/>
  <c r="Y115" i="24" s="1"/>
  <c r="D83" i="24"/>
  <c r="E83" i="24" s="1"/>
  <c r="F83" i="24" s="1"/>
  <c r="AA83" i="24" s="1"/>
  <c r="Z83" i="24" s="1"/>
  <c r="Y83" i="24" s="1"/>
  <c r="H211" i="24"/>
  <c r="I211" i="24" s="1"/>
  <c r="D54" i="24"/>
  <c r="E54" i="24" s="1"/>
  <c r="F54" i="24" s="1"/>
  <c r="AA54" i="24" s="1"/>
  <c r="Z54" i="24" s="1"/>
  <c r="Y54" i="24" s="1"/>
  <c r="D86" i="24"/>
  <c r="E86" i="24" s="1"/>
  <c r="F86" i="24" s="1"/>
  <c r="H86" i="24" s="1"/>
  <c r="W118" i="24"/>
  <c r="W150" i="24"/>
  <c r="W361" i="24"/>
  <c r="W113" i="24"/>
  <c r="W274" i="24"/>
  <c r="D57" i="24"/>
  <c r="E57" i="24" s="1"/>
  <c r="F57" i="24" s="1"/>
  <c r="G57" i="24" s="1"/>
  <c r="CE57" i="6" s="1"/>
  <c r="D246" i="24"/>
  <c r="E246" i="24" s="1"/>
  <c r="F246" i="24" s="1"/>
  <c r="H246" i="24" s="1"/>
  <c r="I246" i="24" s="1"/>
  <c r="D374" i="24"/>
  <c r="E374" i="24" s="1"/>
  <c r="F374" i="24" s="1"/>
  <c r="H374" i="24" s="1"/>
  <c r="D252" i="24"/>
  <c r="E252" i="24" s="1"/>
  <c r="F252" i="24" s="1"/>
  <c r="H252" i="24" s="1"/>
  <c r="D69" i="24"/>
  <c r="E69" i="24" s="1"/>
  <c r="F69" i="24" s="1"/>
  <c r="H69" i="24" s="1"/>
  <c r="D66" i="24"/>
  <c r="E66" i="24" s="1"/>
  <c r="F66" i="24" s="1"/>
  <c r="AA66" i="24" s="1"/>
  <c r="Z66" i="24" s="1"/>
  <c r="Y66" i="24" s="1"/>
  <c r="D130" i="24"/>
  <c r="E130" i="24" s="1"/>
  <c r="F130" i="24" s="1"/>
  <c r="G130" i="24" s="1"/>
  <c r="CE130" i="6" s="1"/>
  <c r="D365" i="24"/>
  <c r="E365" i="24" s="1"/>
  <c r="F365" i="24" s="1"/>
  <c r="G365" i="24" s="1"/>
  <c r="CE365" i="6" s="1"/>
  <c r="D285" i="24"/>
  <c r="E285" i="24" s="1"/>
  <c r="F285" i="24" s="1"/>
  <c r="H285" i="24" s="1"/>
  <c r="D253" i="24"/>
  <c r="E253" i="24" s="1"/>
  <c r="F253" i="24" s="1"/>
  <c r="G253" i="24" s="1"/>
  <c r="CE253" i="6" s="1"/>
  <c r="W221" i="24"/>
  <c r="D189" i="24"/>
  <c r="E189" i="24" s="1"/>
  <c r="F189" i="24" s="1"/>
  <c r="G189" i="24" s="1"/>
  <c r="CE189" i="6" s="1"/>
  <c r="D71" i="24"/>
  <c r="E71" i="24" s="1"/>
  <c r="F71" i="24" s="1"/>
  <c r="H71" i="24" s="1"/>
  <c r="W376" i="24"/>
  <c r="D312" i="24"/>
  <c r="E312" i="24" s="1"/>
  <c r="F312" i="24" s="1"/>
  <c r="AA312" i="24" s="1"/>
  <c r="Z312" i="24" s="1"/>
  <c r="Y312" i="24" s="1"/>
  <c r="D248" i="24"/>
  <c r="E248" i="24" s="1"/>
  <c r="F248" i="24" s="1"/>
  <c r="AA248" i="24" s="1"/>
  <c r="Z248" i="24" s="1"/>
  <c r="Y248" i="24" s="1"/>
  <c r="W184" i="24"/>
  <c r="D61" i="24"/>
  <c r="E61" i="24" s="1"/>
  <c r="F61" i="24" s="1"/>
  <c r="H61" i="24" s="1"/>
  <c r="W52" i="24"/>
  <c r="D84" i="24"/>
  <c r="E84" i="24" s="1"/>
  <c r="F84" i="24" s="1"/>
  <c r="H84" i="24" s="1"/>
  <c r="D116" i="24"/>
  <c r="E116" i="24" s="1"/>
  <c r="F116" i="24" s="1"/>
  <c r="AA116" i="24" s="1"/>
  <c r="Z116" i="24" s="1"/>
  <c r="Y116" i="24" s="1"/>
  <c r="W148" i="24"/>
  <c r="W331" i="24"/>
  <c r="W299" i="24"/>
  <c r="D267" i="24"/>
  <c r="E267" i="24" s="1"/>
  <c r="F267" i="24" s="1"/>
  <c r="H267" i="24" s="1"/>
  <c r="D235" i="24"/>
  <c r="E235" i="24" s="1"/>
  <c r="F235" i="24" s="1"/>
  <c r="G235" i="24" s="1"/>
  <c r="CE235" i="6" s="1"/>
  <c r="W219" i="24"/>
  <c r="D187" i="24"/>
  <c r="E187" i="24" s="1"/>
  <c r="F187" i="24" s="1"/>
  <c r="G187" i="24" s="1"/>
  <c r="CE187" i="6" s="1"/>
  <c r="W131" i="24"/>
  <c r="D67" i="24"/>
  <c r="E67" i="24" s="1"/>
  <c r="F67" i="24" s="1"/>
  <c r="G67" i="24" s="1"/>
  <c r="CE67" i="6" s="1"/>
  <c r="W19" i="24"/>
  <c r="H248" i="24"/>
  <c r="I248" i="24" s="1"/>
  <c r="L69" i="19"/>
  <c r="W17" i="24"/>
  <c r="D17" i="24"/>
  <c r="E17" i="24" s="1"/>
  <c r="F17" i="24" s="1"/>
  <c r="H17" i="24" s="1"/>
  <c r="I17" i="24" s="1"/>
  <c r="U10" i="25"/>
  <c r="BG16" i="7" s="1"/>
  <c r="AA74" i="24"/>
  <c r="Z74" i="24" s="1"/>
  <c r="Y74" i="24" s="1"/>
  <c r="J39" i="19"/>
  <c r="AH379" i="24"/>
  <c r="AG379" i="24" s="1"/>
  <c r="AF379" i="24" s="1"/>
  <c r="AD379" i="24" s="1"/>
  <c r="AI12" i="25"/>
  <c r="AH15" i="24"/>
  <c r="AI383" i="24"/>
  <c r="AI382" i="24"/>
  <c r="AI381" i="24"/>
  <c r="H167" i="24"/>
  <c r="I167" i="24" s="1"/>
  <c r="H226" i="24"/>
  <c r="I226" i="24" s="1"/>
  <c r="H200" i="24"/>
  <c r="I200" i="24" s="1"/>
  <c r="AA200" i="24"/>
  <c r="Z200" i="24" s="1"/>
  <c r="Y200" i="24" s="1"/>
  <c r="H92" i="24"/>
  <c r="J92" i="24" s="1"/>
  <c r="E69" i="19"/>
  <c r="H171" i="24"/>
  <c r="I171" i="24" s="1"/>
  <c r="H261" i="24"/>
  <c r="J261" i="24" s="1"/>
  <c r="H216" i="24"/>
  <c r="I216" i="24" s="1"/>
  <c r="H339" i="24"/>
  <c r="I339" i="24" s="1"/>
  <c r="H275" i="24"/>
  <c r="I275" i="24" s="1"/>
  <c r="H55" i="24"/>
  <c r="I55" i="24" s="1"/>
  <c r="H35" i="24"/>
  <c r="I35" i="24" s="1"/>
  <c r="H234" i="24"/>
  <c r="I234" i="24" s="1"/>
  <c r="H326" i="24"/>
  <c r="I326" i="24" s="1"/>
  <c r="H170" i="24"/>
  <c r="I170" i="24" s="1"/>
  <c r="H109" i="24"/>
  <c r="I109" i="24" s="1"/>
  <c r="AA210" i="23"/>
  <c r="Z210" i="23" s="1"/>
  <c r="Y210" i="23" s="1"/>
  <c r="H210" i="23"/>
  <c r="G210" i="23"/>
  <c r="CD210" i="6" s="1"/>
  <c r="G65" i="24"/>
  <c r="CE65" i="6" s="1"/>
  <c r="AA65" i="24"/>
  <c r="Z65" i="24" s="1"/>
  <c r="Y65" i="24" s="1"/>
  <c r="G129" i="24"/>
  <c r="CE129" i="6" s="1"/>
  <c r="AA129" i="24"/>
  <c r="Z129" i="24" s="1"/>
  <c r="Y129" i="24" s="1"/>
  <c r="AA161" i="24"/>
  <c r="Z161" i="24" s="1"/>
  <c r="Y161" i="24" s="1"/>
  <c r="AA202" i="24"/>
  <c r="Z202" i="24" s="1"/>
  <c r="Y202" i="24" s="1"/>
  <c r="G234" i="24"/>
  <c r="CE234" i="6" s="1"/>
  <c r="G250" i="24"/>
  <c r="CE250" i="6" s="1"/>
  <c r="AA250" i="24"/>
  <c r="Z250" i="24" s="1"/>
  <c r="Y250" i="24" s="1"/>
  <c r="G314" i="24"/>
  <c r="CE314" i="6" s="1"/>
  <c r="AA314" i="24"/>
  <c r="Z314" i="24" s="1"/>
  <c r="Y314" i="24" s="1"/>
  <c r="H314" i="24"/>
  <c r="G330" i="24"/>
  <c r="CE330" i="6" s="1"/>
  <c r="G362" i="24"/>
  <c r="CE362" i="6" s="1"/>
  <c r="AA378" i="24"/>
  <c r="Z378" i="24" s="1"/>
  <c r="Y378" i="24" s="1"/>
  <c r="G378" i="24"/>
  <c r="CE378" i="6" s="1"/>
  <c r="H378" i="24"/>
  <c r="AA137" i="24"/>
  <c r="Z137" i="24" s="1"/>
  <c r="Y137" i="24" s="1"/>
  <c r="G137" i="24"/>
  <c r="CE137" i="6" s="1"/>
  <c r="H137" i="24"/>
  <c r="AA270" i="24"/>
  <c r="Z270" i="24" s="1"/>
  <c r="Y270" i="24" s="1"/>
  <c r="G270" i="24"/>
  <c r="CE270" i="6" s="1"/>
  <c r="H270" i="24"/>
  <c r="K69" i="19"/>
  <c r="G318" i="24"/>
  <c r="CE318" i="6" s="1"/>
  <c r="AA318" i="24"/>
  <c r="Z318" i="24" s="1"/>
  <c r="Y318" i="24" s="1"/>
  <c r="G350" i="24"/>
  <c r="CE350" i="6" s="1"/>
  <c r="AA350" i="24"/>
  <c r="Z350" i="24" s="1"/>
  <c r="Y350" i="24" s="1"/>
  <c r="AA366" i="24"/>
  <c r="Z366" i="24" s="1"/>
  <c r="Y366" i="24" s="1"/>
  <c r="H366" i="24"/>
  <c r="G366" i="24"/>
  <c r="CE366" i="6" s="1"/>
  <c r="G372" i="24"/>
  <c r="CE372" i="6" s="1"/>
  <c r="AA372" i="24"/>
  <c r="Z372" i="24" s="1"/>
  <c r="Y372" i="24" s="1"/>
  <c r="G356" i="24"/>
  <c r="CE356" i="6" s="1"/>
  <c r="H356" i="24"/>
  <c r="AA356" i="24"/>
  <c r="Z356" i="24" s="1"/>
  <c r="Y356" i="24" s="1"/>
  <c r="G308" i="24"/>
  <c r="CE308" i="6" s="1"/>
  <c r="H308" i="24"/>
  <c r="AA308" i="24"/>
  <c r="Z308" i="24" s="1"/>
  <c r="Y308" i="24" s="1"/>
  <c r="G244" i="24"/>
  <c r="CE244" i="6" s="1"/>
  <c r="AA244" i="24"/>
  <c r="Z244" i="24" s="1"/>
  <c r="Y244" i="24" s="1"/>
  <c r="G228" i="24"/>
  <c r="CE228" i="6" s="1"/>
  <c r="AA228" i="24"/>
  <c r="Z228" i="24" s="1"/>
  <c r="Y228" i="24" s="1"/>
  <c r="W149" i="24"/>
  <c r="D149" i="24"/>
  <c r="E149" i="24" s="1"/>
  <c r="F149" i="24" s="1"/>
  <c r="AA30" i="24"/>
  <c r="Z30" i="24" s="1"/>
  <c r="Y30" i="24" s="1"/>
  <c r="H30" i="24"/>
  <c r="G30" i="24"/>
  <c r="CE30" i="6" s="1"/>
  <c r="G94" i="24"/>
  <c r="CE94" i="6" s="1"/>
  <c r="H94" i="24"/>
  <c r="AA94" i="24"/>
  <c r="Z94" i="24" s="1"/>
  <c r="Y94" i="24" s="1"/>
  <c r="H118" i="24"/>
  <c r="G118" i="24"/>
  <c r="CE118" i="6" s="1"/>
  <c r="AA118" i="24"/>
  <c r="Z118" i="24" s="1"/>
  <c r="Y118" i="24" s="1"/>
  <c r="G126" i="24"/>
  <c r="CE126" i="6" s="1"/>
  <c r="G134" i="24"/>
  <c r="CE134" i="6" s="1"/>
  <c r="H134" i="24"/>
  <c r="AA134" i="24"/>
  <c r="Z134" i="24" s="1"/>
  <c r="Y134" i="24" s="1"/>
  <c r="G142" i="24"/>
  <c r="CE142" i="6" s="1"/>
  <c r="H142" i="24"/>
  <c r="AA142" i="24"/>
  <c r="Z142" i="24" s="1"/>
  <c r="Y142" i="24" s="1"/>
  <c r="G150" i="24"/>
  <c r="CE150" i="6" s="1"/>
  <c r="AA150" i="24"/>
  <c r="Z150" i="24" s="1"/>
  <c r="Y150" i="24" s="1"/>
  <c r="G158" i="24"/>
  <c r="CE158" i="6" s="1"/>
  <c r="H158" i="24"/>
  <c r="AA158" i="24"/>
  <c r="Z158" i="24" s="1"/>
  <c r="Y158" i="24" s="1"/>
  <c r="G69" i="19"/>
  <c r="G174" i="24"/>
  <c r="CE174" i="6" s="1"/>
  <c r="H174" i="24"/>
  <c r="AA174" i="24"/>
  <c r="Z174" i="24" s="1"/>
  <c r="Y174" i="24" s="1"/>
  <c r="G345" i="24"/>
  <c r="CE345" i="6" s="1"/>
  <c r="AA345" i="24"/>
  <c r="Z345" i="24" s="1"/>
  <c r="Y345" i="24" s="1"/>
  <c r="H345" i="24"/>
  <c r="G337" i="24"/>
  <c r="CE337" i="6" s="1"/>
  <c r="H337" i="24"/>
  <c r="AA337" i="24"/>
  <c r="Z337" i="24" s="1"/>
  <c r="Y337" i="24" s="1"/>
  <c r="AA321" i="24"/>
  <c r="Z321" i="24" s="1"/>
  <c r="Y321" i="24" s="1"/>
  <c r="H321" i="24"/>
  <c r="G321" i="24"/>
  <c r="CE321" i="6" s="1"/>
  <c r="G313" i="24"/>
  <c r="CE313" i="6" s="1"/>
  <c r="AA313" i="24"/>
  <c r="Z313" i="24" s="1"/>
  <c r="Y313" i="24" s="1"/>
  <c r="H313" i="24"/>
  <c r="G297" i="24"/>
  <c r="CE297" i="6" s="1"/>
  <c r="AA297" i="24"/>
  <c r="Z297" i="24" s="1"/>
  <c r="Y297" i="24" s="1"/>
  <c r="H297" i="24"/>
  <c r="W241" i="24"/>
  <c r="D241" i="24"/>
  <c r="E241" i="24" s="1"/>
  <c r="F241" i="24" s="1"/>
  <c r="G233" i="24"/>
  <c r="CE233" i="6" s="1"/>
  <c r="AA233" i="24"/>
  <c r="Z233" i="24" s="1"/>
  <c r="Y233" i="24" s="1"/>
  <c r="H233" i="24"/>
  <c r="G185" i="24"/>
  <c r="CE185" i="6" s="1"/>
  <c r="H185" i="24"/>
  <c r="AA185" i="24"/>
  <c r="Z185" i="24" s="1"/>
  <c r="Y185" i="24" s="1"/>
  <c r="G175" i="24"/>
  <c r="CE175" i="6" s="1"/>
  <c r="H175" i="24"/>
  <c r="AA175" i="24"/>
  <c r="Z175" i="24" s="1"/>
  <c r="Y175" i="24" s="1"/>
  <c r="G143" i="24"/>
  <c r="CE143" i="6" s="1"/>
  <c r="AA143" i="24"/>
  <c r="Z143" i="24" s="1"/>
  <c r="Y143" i="24" s="1"/>
  <c r="H143" i="24"/>
  <c r="H111" i="24"/>
  <c r="AA111" i="24"/>
  <c r="Z111" i="24" s="1"/>
  <c r="Y111" i="24" s="1"/>
  <c r="G111" i="24"/>
  <c r="CE111" i="6" s="1"/>
  <c r="G95" i="24"/>
  <c r="CE95" i="6" s="1"/>
  <c r="AA95" i="24"/>
  <c r="Z95" i="24" s="1"/>
  <c r="Y95" i="24" s="1"/>
  <c r="H95" i="24"/>
  <c r="G79" i="24"/>
  <c r="CE79" i="6" s="1"/>
  <c r="AA79" i="24"/>
  <c r="Z79" i="24" s="1"/>
  <c r="Y79" i="24" s="1"/>
  <c r="H79" i="24"/>
  <c r="G63" i="24"/>
  <c r="CE63" i="6" s="1"/>
  <c r="AA63" i="24"/>
  <c r="Z63" i="24" s="1"/>
  <c r="Y63" i="24" s="1"/>
  <c r="H63" i="24"/>
  <c r="G47" i="24"/>
  <c r="CE47" i="6" s="1"/>
  <c r="H47" i="24"/>
  <c r="AA47" i="24"/>
  <c r="Z47" i="24" s="1"/>
  <c r="Y47" i="24" s="1"/>
  <c r="AA31" i="24"/>
  <c r="Z31" i="24" s="1"/>
  <c r="Y31" i="24" s="1"/>
  <c r="G31" i="24"/>
  <c r="CE31" i="6" s="1"/>
  <c r="H31" i="24"/>
  <c r="H352" i="24"/>
  <c r="AA352" i="24"/>
  <c r="Z352" i="24" s="1"/>
  <c r="Y352" i="24" s="1"/>
  <c r="G352" i="24"/>
  <c r="CE352" i="6" s="1"/>
  <c r="G320" i="24"/>
  <c r="CE320" i="6" s="1"/>
  <c r="H320" i="24"/>
  <c r="AA320" i="24"/>
  <c r="Z320" i="24" s="1"/>
  <c r="Y320" i="24" s="1"/>
  <c r="G304" i="24"/>
  <c r="CE304" i="6" s="1"/>
  <c r="AA304" i="24"/>
  <c r="Z304" i="24" s="1"/>
  <c r="Y304" i="24" s="1"/>
  <c r="G288" i="24"/>
  <c r="CE288" i="6" s="1"/>
  <c r="AA288" i="24"/>
  <c r="Z288" i="24" s="1"/>
  <c r="Y288" i="24" s="1"/>
  <c r="H256" i="24"/>
  <c r="G256" i="24"/>
  <c r="CE256" i="6" s="1"/>
  <c r="AA256" i="24"/>
  <c r="Z256" i="24" s="1"/>
  <c r="Y256" i="24" s="1"/>
  <c r="G224" i="24"/>
  <c r="CE224" i="6" s="1"/>
  <c r="AA224" i="24"/>
  <c r="Z224" i="24" s="1"/>
  <c r="Y224" i="24" s="1"/>
  <c r="AA208" i="24"/>
  <c r="Z208" i="24" s="1"/>
  <c r="Y208" i="24" s="1"/>
  <c r="G208" i="24"/>
  <c r="CE208" i="6" s="1"/>
  <c r="H208" i="24"/>
  <c r="G192" i="24"/>
  <c r="CE192" i="6" s="1"/>
  <c r="H192" i="24"/>
  <c r="AA192" i="24"/>
  <c r="Z192" i="24" s="1"/>
  <c r="Y192" i="24" s="1"/>
  <c r="G109" i="24"/>
  <c r="CE109" i="6" s="1"/>
  <c r="AA109" i="24"/>
  <c r="Z109" i="24" s="1"/>
  <c r="Y109" i="24" s="1"/>
  <c r="G77" i="24"/>
  <c r="CE77" i="6" s="1"/>
  <c r="AA77" i="24"/>
  <c r="Z77" i="24" s="1"/>
  <c r="Y77" i="24" s="1"/>
  <c r="G45" i="24"/>
  <c r="CE45" i="6" s="1"/>
  <c r="H45" i="24"/>
  <c r="AA45" i="24"/>
  <c r="Z45" i="24" s="1"/>
  <c r="Y45" i="24" s="1"/>
  <c r="G25" i="24"/>
  <c r="CE25" i="6" s="1"/>
  <c r="AA25" i="24"/>
  <c r="Z25" i="24" s="1"/>
  <c r="Y25" i="24" s="1"/>
  <c r="H25" i="24"/>
  <c r="AA32" i="24"/>
  <c r="Z32" i="24" s="1"/>
  <c r="Y32" i="24" s="1"/>
  <c r="G32" i="24"/>
  <c r="CE32" i="6" s="1"/>
  <c r="H32" i="24"/>
  <c r="G56" i="24"/>
  <c r="CE56" i="6" s="1"/>
  <c r="AA56" i="24"/>
  <c r="Z56" i="24" s="1"/>
  <c r="Y56" i="24" s="1"/>
  <c r="H56" i="24"/>
  <c r="G72" i="24"/>
  <c r="CE72" i="6" s="1"/>
  <c r="AA72" i="24"/>
  <c r="Z72" i="24" s="1"/>
  <c r="Y72" i="24" s="1"/>
  <c r="H72" i="24"/>
  <c r="G112" i="24"/>
  <c r="CE112" i="6" s="1"/>
  <c r="AA112" i="24"/>
  <c r="Z112" i="24" s="1"/>
  <c r="Y112" i="24" s="1"/>
  <c r="H112" i="24"/>
  <c r="G120" i="24"/>
  <c r="CE120" i="6" s="1"/>
  <c r="AA120" i="24"/>
  <c r="Z120" i="24" s="1"/>
  <c r="Y120" i="24" s="1"/>
  <c r="H120" i="24"/>
  <c r="H136" i="24"/>
  <c r="AA136" i="24"/>
  <c r="Z136" i="24" s="1"/>
  <c r="Y136" i="24" s="1"/>
  <c r="G136" i="24"/>
  <c r="CE136" i="6" s="1"/>
  <c r="AA144" i="24"/>
  <c r="Z144" i="24" s="1"/>
  <c r="Y144" i="24" s="1"/>
  <c r="G144" i="24"/>
  <c r="CE144" i="6" s="1"/>
  <c r="H144" i="24"/>
  <c r="G160" i="24"/>
  <c r="CE160" i="6" s="1"/>
  <c r="AA160" i="24"/>
  <c r="Z160" i="24" s="1"/>
  <c r="Y160" i="24" s="1"/>
  <c r="H160" i="24"/>
  <c r="G168" i="24"/>
  <c r="CE168" i="6" s="1"/>
  <c r="H168" i="24"/>
  <c r="AA168" i="24"/>
  <c r="Z168" i="24" s="1"/>
  <c r="Y168" i="24" s="1"/>
  <c r="G176" i="24"/>
  <c r="CE176" i="6" s="1"/>
  <c r="H176" i="24"/>
  <c r="AA176" i="24"/>
  <c r="Z176" i="24" s="1"/>
  <c r="Y176" i="24" s="1"/>
  <c r="G359" i="24"/>
  <c r="CE359" i="6" s="1"/>
  <c r="H359" i="24"/>
  <c r="AA359" i="24"/>
  <c r="Z359" i="24" s="1"/>
  <c r="Y359" i="24" s="1"/>
  <c r="G351" i="24"/>
  <c r="CE351" i="6" s="1"/>
  <c r="AA351" i="24"/>
  <c r="Z351" i="24" s="1"/>
  <c r="Y351" i="24" s="1"/>
  <c r="G343" i="24"/>
  <c r="CE343" i="6" s="1"/>
  <c r="H343" i="24"/>
  <c r="AA343" i="24"/>
  <c r="Z343" i="24" s="1"/>
  <c r="Y343" i="24" s="1"/>
  <c r="G327" i="24"/>
  <c r="CE327" i="6" s="1"/>
  <c r="H327" i="24"/>
  <c r="AA327" i="24"/>
  <c r="Z327" i="24" s="1"/>
  <c r="Y327" i="24" s="1"/>
  <c r="W319" i="24"/>
  <c r="D319" i="24"/>
  <c r="E319" i="24" s="1"/>
  <c r="F319" i="24" s="1"/>
  <c r="G303" i="24"/>
  <c r="CE303" i="6" s="1"/>
  <c r="H303" i="24"/>
  <c r="AA303" i="24"/>
  <c r="Z303" i="24" s="1"/>
  <c r="Y303" i="24" s="1"/>
  <c r="H287" i="24"/>
  <c r="G271" i="24"/>
  <c r="CE271" i="6" s="1"/>
  <c r="H271" i="24"/>
  <c r="AA271" i="24"/>
  <c r="Z271" i="24" s="1"/>
  <c r="Y271" i="24" s="1"/>
  <c r="AA255" i="24"/>
  <c r="Z255" i="24" s="1"/>
  <c r="Y255" i="24" s="1"/>
  <c r="G247" i="24"/>
  <c r="CE247" i="6" s="1"/>
  <c r="H247" i="24"/>
  <c r="AA247" i="24"/>
  <c r="Z247" i="24" s="1"/>
  <c r="Y247" i="24" s="1"/>
  <c r="G239" i="24"/>
  <c r="CE239" i="6" s="1"/>
  <c r="AA239" i="24"/>
  <c r="Z239" i="24" s="1"/>
  <c r="Y239" i="24" s="1"/>
  <c r="H239" i="24"/>
  <c r="G231" i="24"/>
  <c r="CE231" i="6" s="1"/>
  <c r="AA231" i="24"/>
  <c r="Z231" i="24" s="1"/>
  <c r="Y231" i="24" s="1"/>
  <c r="H231" i="24"/>
  <c r="H223" i="24"/>
  <c r="G215" i="24"/>
  <c r="CE215" i="6" s="1"/>
  <c r="AA215" i="24"/>
  <c r="Z215" i="24" s="1"/>
  <c r="Y215" i="24" s="1"/>
  <c r="H215" i="24"/>
  <c r="AA207" i="24"/>
  <c r="Z207" i="24" s="1"/>
  <c r="Y207" i="24" s="1"/>
  <c r="G207" i="24"/>
  <c r="CE207" i="6" s="1"/>
  <c r="H207" i="24"/>
  <c r="H183" i="24"/>
  <c r="G183" i="24"/>
  <c r="CE183" i="6" s="1"/>
  <c r="AA183" i="24"/>
  <c r="Z183" i="24" s="1"/>
  <c r="Y183" i="24" s="1"/>
  <c r="AA123" i="24"/>
  <c r="Z123" i="24" s="1"/>
  <c r="Y123" i="24" s="1"/>
  <c r="G123" i="24"/>
  <c r="CE123" i="6" s="1"/>
  <c r="H123" i="24"/>
  <c r="G91" i="24"/>
  <c r="CE91" i="6" s="1"/>
  <c r="AA91" i="24"/>
  <c r="Z91" i="24" s="1"/>
  <c r="Y91" i="24" s="1"/>
  <c r="H91" i="24"/>
  <c r="G75" i="24"/>
  <c r="CE75" i="6" s="1"/>
  <c r="H59" i="24"/>
  <c r="AA59" i="24"/>
  <c r="Z59" i="24" s="1"/>
  <c r="Y59" i="24" s="1"/>
  <c r="G59" i="24"/>
  <c r="CE59" i="6" s="1"/>
  <c r="H27" i="24"/>
  <c r="AA27" i="24"/>
  <c r="Z27" i="24" s="1"/>
  <c r="Y27" i="24" s="1"/>
  <c r="G27" i="24"/>
  <c r="CE27" i="6" s="1"/>
  <c r="I363" i="23"/>
  <c r="J363" i="23"/>
  <c r="J211" i="24"/>
  <c r="H110" i="24"/>
  <c r="I380" i="22"/>
  <c r="H380" i="23" s="1"/>
  <c r="J380" i="22"/>
  <c r="H65" i="24"/>
  <c r="H96" i="24"/>
  <c r="J302" i="23"/>
  <c r="I302" i="23"/>
  <c r="I381" i="18"/>
  <c r="I382" i="18"/>
  <c r="I383" i="18"/>
  <c r="H304" i="24"/>
  <c r="W15" i="22"/>
  <c r="H9" i="22"/>
  <c r="B17" i="19" s="1"/>
  <c r="B32" i="19" s="1"/>
  <c r="D15" i="22"/>
  <c r="AJ7" i="22" s="1"/>
  <c r="AJ6" i="22"/>
  <c r="AK6" i="22"/>
  <c r="B381" i="22"/>
  <c r="B383" i="22"/>
  <c r="B382" i="22"/>
  <c r="H266" i="24"/>
  <c r="G60" i="23"/>
  <c r="CD60" i="6" s="1"/>
  <c r="AA60" i="23"/>
  <c r="Z60" i="23" s="1"/>
  <c r="Y60" i="23" s="1"/>
  <c r="H60" i="23"/>
  <c r="H372" i="24"/>
  <c r="H107" i="24"/>
  <c r="H85" i="24"/>
  <c r="H350" i="24"/>
  <c r="H318" i="24"/>
  <c r="H351" i="24"/>
  <c r="H199" i="24"/>
  <c r="H40" i="24"/>
  <c r="AA241" i="23"/>
  <c r="Z241" i="23" s="1"/>
  <c r="Y241" i="23" s="1"/>
  <c r="H241" i="23"/>
  <c r="G241" i="23"/>
  <c r="CD241" i="6" s="1"/>
  <c r="H201" i="24"/>
  <c r="H173" i="24"/>
  <c r="H298" i="24"/>
  <c r="G49" i="24"/>
  <c r="CE49" i="6" s="1"/>
  <c r="G113" i="24"/>
  <c r="CE113" i="6" s="1"/>
  <c r="AA113" i="24"/>
  <c r="Z113" i="24" s="1"/>
  <c r="Y113" i="24" s="1"/>
  <c r="H113" i="24"/>
  <c r="H145" i="24"/>
  <c r="AA145" i="24"/>
  <c r="Z145" i="24" s="1"/>
  <c r="Y145" i="24" s="1"/>
  <c r="G145" i="24"/>
  <c r="CE145" i="6" s="1"/>
  <c r="G177" i="24"/>
  <c r="CE177" i="6" s="1"/>
  <c r="H69" i="19"/>
  <c r="G226" i="24"/>
  <c r="CE226" i="6" s="1"/>
  <c r="AA226" i="24"/>
  <c r="Z226" i="24" s="1"/>
  <c r="Y226" i="24" s="1"/>
  <c r="AA242" i="24"/>
  <c r="Z242" i="24" s="1"/>
  <c r="Y242" i="24" s="1"/>
  <c r="J69" i="19"/>
  <c r="H322" i="24"/>
  <c r="AA322" i="24"/>
  <c r="Z322" i="24" s="1"/>
  <c r="Y322" i="24" s="1"/>
  <c r="G322" i="24"/>
  <c r="CE322" i="6" s="1"/>
  <c r="G21" i="24"/>
  <c r="CE21" i="6" s="1"/>
  <c r="AA21" i="24"/>
  <c r="Z21" i="24" s="1"/>
  <c r="Y21" i="24" s="1"/>
  <c r="AA57" i="24"/>
  <c r="Z57" i="24" s="1"/>
  <c r="Y57" i="24" s="1"/>
  <c r="G89" i="24"/>
  <c r="CE89" i="6" s="1"/>
  <c r="AA89" i="24"/>
  <c r="Z89" i="24" s="1"/>
  <c r="Y89" i="24" s="1"/>
  <c r="G342" i="24"/>
  <c r="CE342" i="6" s="1"/>
  <c r="AA358" i="24"/>
  <c r="Z358" i="24" s="1"/>
  <c r="Y358" i="24" s="1"/>
  <c r="H358" i="24"/>
  <c r="G268" i="24"/>
  <c r="CE268" i="6" s="1"/>
  <c r="H268" i="24"/>
  <c r="AA268" i="24"/>
  <c r="Z268" i="24" s="1"/>
  <c r="Y268" i="24" s="1"/>
  <c r="G204" i="24"/>
  <c r="CE204" i="6" s="1"/>
  <c r="AA204" i="24"/>
  <c r="Z204" i="24" s="1"/>
  <c r="Y204" i="24" s="1"/>
  <c r="H204" i="24"/>
  <c r="H101" i="24"/>
  <c r="AA69" i="24"/>
  <c r="Z69" i="24" s="1"/>
  <c r="Y69" i="24" s="1"/>
  <c r="H58" i="24"/>
  <c r="G82" i="24"/>
  <c r="CE82" i="6" s="1"/>
  <c r="AA82" i="24"/>
  <c r="Z82" i="24" s="1"/>
  <c r="Y82" i="24" s="1"/>
  <c r="H82" i="24"/>
  <c r="H90" i="24"/>
  <c r="AA90" i="24"/>
  <c r="Z90" i="24" s="1"/>
  <c r="Y90" i="24" s="1"/>
  <c r="G90" i="24"/>
  <c r="CE90" i="6" s="1"/>
  <c r="G98" i="24"/>
  <c r="CE98" i="6" s="1"/>
  <c r="AA98" i="24"/>
  <c r="Z98" i="24" s="1"/>
  <c r="Y98" i="24" s="1"/>
  <c r="G106" i="24"/>
  <c r="CE106" i="6" s="1"/>
  <c r="AA106" i="24"/>
  <c r="Z106" i="24" s="1"/>
  <c r="Y106" i="24" s="1"/>
  <c r="G373" i="24"/>
  <c r="CE373" i="6" s="1"/>
  <c r="G357" i="24"/>
  <c r="CE357" i="6" s="1"/>
  <c r="AA357" i="24"/>
  <c r="Z357" i="24" s="1"/>
  <c r="Y357" i="24" s="1"/>
  <c r="H357" i="24"/>
  <c r="G349" i="24"/>
  <c r="CE349" i="6" s="1"/>
  <c r="H349" i="24"/>
  <c r="AA349" i="24"/>
  <c r="Z349" i="24" s="1"/>
  <c r="Y349" i="24" s="1"/>
  <c r="G341" i="24"/>
  <c r="CE341" i="6" s="1"/>
  <c r="H341" i="24"/>
  <c r="AA341" i="24"/>
  <c r="Z341" i="24" s="1"/>
  <c r="Y341" i="24" s="1"/>
  <c r="G325" i="24"/>
  <c r="CE325" i="6" s="1"/>
  <c r="H325" i="24"/>
  <c r="AA325" i="24"/>
  <c r="Z325" i="24" s="1"/>
  <c r="Y325" i="24" s="1"/>
  <c r="G301" i="24"/>
  <c r="CE301" i="6" s="1"/>
  <c r="G293" i="24"/>
  <c r="CE293" i="6" s="1"/>
  <c r="G285" i="24"/>
  <c r="CE285" i="6" s="1"/>
  <c r="G245" i="24"/>
  <c r="CE245" i="6" s="1"/>
  <c r="H245" i="24"/>
  <c r="AA245" i="24"/>
  <c r="Z245" i="24" s="1"/>
  <c r="Y245" i="24" s="1"/>
  <c r="G229" i="24"/>
  <c r="CE229" i="6" s="1"/>
  <c r="G181" i="24"/>
  <c r="CE181" i="6" s="1"/>
  <c r="AA181" i="24"/>
  <c r="Z181" i="24" s="1"/>
  <c r="Y181" i="24" s="1"/>
  <c r="H181" i="24"/>
  <c r="F69" i="19"/>
  <c r="G39" i="24"/>
  <c r="CE39" i="6" s="1"/>
  <c r="AA39" i="24"/>
  <c r="Z39" i="24" s="1"/>
  <c r="Y39" i="24" s="1"/>
  <c r="H39" i="24"/>
  <c r="G18" i="24"/>
  <c r="CE18" i="6" s="1"/>
  <c r="H18" i="24"/>
  <c r="AA376" i="24"/>
  <c r="Z376" i="24" s="1"/>
  <c r="Y376" i="24" s="1"/>
  <c r="H376" i="24"/>
  <c r="G376" i="24"/>
  <c r="CE376" i="6" s="1"/>
  <c r="AA360" i="24"/>
  <c r="Z360" i="24" s="1"/>
  <c r="Y360" i="24" s="1"/>
  <c r="G344" i="24"/>
  <c r="CE344" i="6" s="1"/>
  <c r="AA344" i="24"/>
  <c r="Z344" i="24" s="1"/>
  <c r="Y344" i="24" s="1"/>
  <c r="H344" i="24"/>
  <c r="G328" i="24"/>
  <c r="CE328" i="6" s="1"/>
  <c r="H328" i="24"/>
  <c r="AA328" i="24"/>
  <c r="Z328" i="24" s="1"/>
  <c r="Y328" i="24" s="1"/>
  <c r="G296" i="24"/>
  <c r="CE296" i="6" s="1"/>
  <c r="AA296" i="24"/>
  <c r="Z296" i="24" s="1"/>
  <c r="Y296" i="24" s="1"/>
  <c r="H296" i="24"/>
  <c r="H280" i="24"/>
  <c r="AA280" i="24"/>
  <c r="Z280" i="24" s="1"/>
  <c r="Y280" i="24" s="1"/>
  <c r="G280" i="24"/>
  <c r="CE280" i="6" s="1"/>
  <c r="G216" i="24"/>
  <c r="CE216" i="6" s="1"/>
  <c r="AA216" i="24"/>
  <c r="Z216" i="24" s="1"/>
  <c r="Y216" i="24" s="1"/>
  <c r="G184" i="24"/>
  <c r="CE184" i="6" s="1"/>
  <c r="AA184" i="24"/>
  <c r="Z184" i="24" s="1"/>
  <c r="Y184" i="24" s="1"/>
  <c r="H184" i="24"/>
  <c r="AA125" i="24"/>
  <c r="Z125" i="24" s="1"/>
  <c r="Y125" i="24" s="1"/>
  <c r="G125" i="24"/>
  <c r="CE125" i="6" s="1"/>
  <c r="H125" i="24"/>
  <c r="H93" i="24"/>
  <c r="D29" i="24"/>
  <c r="E29" i="24" s="1"/>
  <c r="F29" i="24" s="1"/>
  <c r="W29" i="24"/>
  <c r="H28" i="24"/>
  <c r="G28" i="24"/>
  <c r="CE28" i="6" s="1"/>
  <c r="AA28" i="24"/>
  <c r="Z28" i="24" s="1"/>
  <c r="Y28" i="24" s="1"/>
  <c r="G36" i="24"/>
  <c r="CE36" i="6" s="1"/>
  <c r="AA36" i="24"/>
  <c r="Z36" i="24" s="1"/>
  <c r="Y36" i="24" s="1"/>
  <c r="G52" i="24"/>
  <c r="CE52" i="6" s="1"/>
  <c r="H52" i="24"/>
  <c r="AA52" i="24"/>
  <c r="Z52" i="24" s="1"/>
  <c r="Y52" i="24" s="1"/>
  <c r="G68" i="24"/>
  <c r="CE68" i="6" s="1"/>
  <c r="AA68" i="24"/>
  <c r="Z68" i="24" s="1"/>
  <c r="Y68" i="24" s="1"/>
  <c r="G108" i="24"/>
  <c r="CE108" i="6" s="1"/>
  <c r="AA108" i="24"/>
  <c r="Z108" i="24" s="1"/>
  <c r="Y108" i="24" s="1"/>
  <c r="H108" i="24"/>
  <c r="H132" i="24"/>
  <c r="G132" i="24"/>
  <c r="CE132" i="6" s="1"/>
  <c r="AA132" i="24"/>
  <c r="Z132" i="24" s="1"/>
  <c r="Y132" i="24" s="1"/>
  <c r="AA140" i="24"/>
  <c r="Z140" i="24" s="1"/>
  <c r="Y140" i="24" s="1"/>
  <c r="G148" i="24"/>
  <c r="CE148" i="6" s="1"/>
  <c r="AA148" i="24"/>
  <c r="Z148" i="24" s="1"/>
  <c r="Y148" i="24" s="1"/>
  <c r="H148" i="24"/>
  <c r="G164" i="24"/>
  <c r="CE164" i="6" s="1"/>
  <c r="AA164" i="24"/>
  <c r="Z164" i="24" s="1"/>
  <c r="Y164" i="24" s="1"/>
  <c r="H164" i="24"/>
  <c r="V379" i="24"/>
  <c r="D43" i="19"/>
  <c r="U126" i="25"/>
  <c r="T126" i="25" s="1"/>
  <c r="S126" i="25" s="1"/>
  <c r="R126" i="25" s="1"/>
  <c r="P126" i="25" s="1"/>
  <c r="V126" i="25" s="1"/>
  <c r="U149" i="25"/>
  <c r="T149" i="25" s="1"/>
  <c r="S149" i="25" s="1"/>
  <c r="R149" i="25" s="1"/>
  <c r="P149" i="25" s="1"/>
  <c r="U165" i="25"/>
  <c r="T165" i="25" s="1"/>
  <c r="S165" i="25" s="1"/>
  <c r="R165" i="25" s="1"/>
  <c r="P165" i="25" s="1"/>
  <c r="V165" i="25" s="1"/>
  <c r="U181" i="25"/>
  <c r="T181" i="25" s="1"/>
  <c r="S181" i="25" s="1"/>
  <c r="R181" i="25" s="1"/>
  <c r="P181" i="25" s="1"/>
  <c r="V181" i="25" s="1"/>
  <c r="U197" i="25"/>
  <c r="T197" i="25" s="1"/>
  <c r="S197" i="25" s="1"/>
  <c r="R197" i="25" s="1"/>
  <c r="P197" i="25" s="1"/>
  <c r="V197" i="25" s="1"/>
  <c r="U213" i="25"/>
  <c r="T213" i="25" s="1"/>
  <c r="S213" i="25" s="1"/>
  <c r="R213" i="25" s="1"/>
  <c r="P213" i="25" s="1"/>
  <c r="V213" i="25" s="1"/>
  <c r="U229" i="25"/>
  <c r="T229" i="25" s="1"/>
  <c r="S229" i="25" s="1"/>
  <c r="R229" i="25" s="1"/>
  <c r="P229" i="25" s="1"/>
  <c r="V229" i="25" s="1"/>
  <c r="U245" i="25"/>
  <c r="T245" i="25" s="1"/>
  <c r="S245" i="25" s="1"/>
  <c r="R245" i="25" s="1"/>
  <c r="P245" i="25" s="1"/>
  <c r="V245" i="25" s="1"/>
  <c r="U261" i="25"/>
  <c r="T261" i="25" s="1"/>
  <c r="S261" i="25" s="1"/>
  <c r="R261" i="25" s="1"/>
  <c r="P261" i="25" s="1"/>
  <c r="V261" i="25" s="1"/>
  <c r="D261" i="25" s="1"/>
  <c r="E261" i="25" s="1"/>
  <c r="F261" i="25" s="1"/>
  <c r="G261" i="25" s="1"/>
  <c r="CF261" i="6" s="1"/>
  <c r="U277" i="25"/>
  <c r="T277" i="25" s="1"/>
  <c r="S277" i="25" s="1"/>
  <c r="R277" i="25" s="1"/>
  <c r="P277" i="25" s="1"/>
  <c r="V277" i="25" s="1"/>
  <c r="U293" i="25"/>
  <c r="T293" i="25" s="1"/>
  <c r="S293" i="25" s="1"/>
  <c r="R293" i="25" s="1"/>
  <c r="P293" i="25" s="1"/>
  <c r="V293" i="25" s="1"/>
  <c r="U309" i="25"/>
  <c r="T309" i="25" s="1"/>
  <c r="S309" i="25" s="1"/>
  <c r="R309" i="25" s="1"/>
  <c r="P309" i="25" s="1"/>
  <c r="V309" i="25" s="1"/>
  <c r="U325" i="25"/>
  <c r="T325" i="25" s="1"/>
  <c r="S325" i="25" s="1"/>
  <c r="R325" i="25" s="1"/>
  <c r="P325" i="25" s="1"/>
  <c r="V325" i="25" s="1"/>
  <c r="U341" i="25"/>
  <c r="T341" i="25" s="1"/>
  <c r="S341" i="25" s="1"/>
  <c r="R341" i="25" s="1"/>
  <c r="P341" i="25" s="1"/>
  <c r="V341" i="25" s="1"/>
  <c r="U357" i="25"/>
  <c r="T357" i="25" s="1"/>
  <c r="S357" i="25" s="1"/>
  <c r="R357" i="25" s="1"/>
  <c r="P357" i="25" s="1"/>
  <c r="V357" i="25" s="1"/>
  <c r="U373" i="25"/>
  <c r="T373" i="25" s="1"/>
  <c r="S373" i="25" s="1"/>
  <c r="R373" i="25" s="1"/>
  <c r="P373" i="25" s="1"/>
  <c r="V373" i="25" s="1"/>
  <c r="U110" i="25"/>
  <c r="T110" i="25" s="1"/>
  <c r="S110" i="25" s="1"/>
  <c r="R110" i="25" s="1"/>
  <c r="P110" i="25" s="1"/>
  <c r="V110" i="25" s="1"/>
  <c r="U141" i="25"/>
  <c r="T141" i="25" s="1"/>
  <c r="S141" i="25" s="1"/>
  <c r="R141" i="25" s="1"/>
  <c r="P141" i="25" s="1"/>
  <c r="V141" i="25" s="1"/>
  <c r="U157" i="25"/>
  <c r="T157" i="25" s="1"/>
  <c r="S157" i="25" s="1"/>
  <c r="R157" i="25" s="1"/>
  <c r="P157" i="25" s="1"/>
  <c r="V157" i="25" s="1"/>
  <c r="U173" i="25"/>
  <c r="T173" i="25" s="1"/>
  <c r="S173" i="25" s="1"/>
  <c r="R173" i="25" s="1"/>
  <c r="P173" i="25" s="1"/>
  <c r="V173" i="25" s="1"/>
  <c r="U189" i="25"/>
  <c r="T189" i="25" s="1"/>
  <c r="S189" i="25" s="1"/>
  <c r="R189" i="25" s="1"/>
  <c r="P189" i="25" s="1"/>
  <c r="V189" i="25" s="1"/>
  <c r="U205" i="25"/>
  <c r="T205" i="25" s="1"/>
  <c r="S205" i="25" s="1"/>
  <c r="R205" i="25" s="1"/>
  <c r="P205" i="25" s="1"/>
  <c r="V205" i="25" s="1"/>
  <c r="U221" i="25"/>
  <c r="T221" i="25" s="1"/>
  <c r="S221" i="25" s="1"/>
  <c r="R221" i="25" s="1"/>
  <c r="P221" i="25" s="1"/>
  <c r="V221" i="25" s="1"/>
  <c r="U237" i="25"/>
  <c r="T237" i="25" s="1"/>
  <c r="S237" i="25" s="1"/>
  <c r="R237" i="25" s="1"/>
  <c r="P237" i="25" s="1"/>
  <c r="V237" i="25" s="1"/>
  <c r="U253" i="25"/>
  <c r="T253" i="25" s="1"/>
  <c r="S253" i="25" s="1"/>
  <c r="R253" i="25" s="1"/>
  <c r="P253" i="25" s="1"/>
  <c r="V253" i="25" s="1"/>
  <c r="U269" i="25"/>
  <c r="T269" i="25" s="1"/>
  <c r="S269" i="25" s="1"/>
  <c r="R269" i="25" s="1"/>
  <c r="P269" i="25" s="1"/>
  <c r="V269" i="25" s="1"/>
  <c r="U285" i="25"/>
  <c r="T285" i="25" s="1"/>
  <c r="S285" i="25" s="1"/>
  <c r="R285" i="25" s="1"/>
  <c r="P285" i="25" s="1"/>
  <c r="V285" i="25" s="1"/>
  <c r="U301" i="25"/>
  <c r="T301" i="25" s="1"/>
  <c r="S301" i="25" s="1"/>
  <c r="R301" i="25" s="1"/>
  <c r="P301" i="25" s="1"/>
  <c r="V301" i="25" s="1"/>
  <c r="U317" i="25"/>
  <c r="T317" i="25" s="1"/>
  <c r="S317" i="25" s="1"/>
  <c r="R317" i="25" s="1"/>
  <c r="P317" i="25" s="1"/>
  <c r="V317" i="25" s="1"/>
  <c r="U333" i="25"/>
  <c r="T333" i="25" s="1"/>
  <c r="S333" i="25" s="1"/>
  <c r="R333" i="25" s="1"/>
  <c r="P333" i="25" s="1"/>
  <c r="U349" i="25"/>
  <c r="T349" i="25" s="1"/>
  <c r="S349" i="25" s="1"/>
  <c r="R349" i="25" s="1"/>
  <c r="P349" i="25" s="1"/>
  <c r="V349" i="25" s="1"/>
  <c r="U365" i="25"/>
  <c r="T365" i="25" s="1"/>
  <c r="S365" i="25" s="1"/>
  <c r="R365" i="25" s="1"/>
  <c r="P365" i="25" s="1"/>
  <c r="V365" i="25" s="1"/>
  <c r="U369" i="25"/>
  <c r="T369" i="25" s="1"/>
  <c r="S369" i="25" s="1"/>
  <c r="R369" i="25" s="1"/>
  <c r="P369" i="25" s="1"/>
  <c r="V369" i="25" s="1"/>
  <c r="U353" i="25"/>
  <c r="T353" i="25" s="1"/>
  <c r="S353" i="25" s="1"/>
  <c r="R353" i="25" s="1"/>
  <c r="P353" i="25" s="1"/>
  <c r="V353" i="25" s="1"/>
  <c r="U337" i="25"/>
  <c r="T337" i="25" s="1"/>
  <c r="S337" i="25" s="1"/>
  <c r="R337" i="25" s="1"/>
  <c r="P337" i="25" s="1"/>
  <c r="V337" i="25" s="1"/>
  <c r="U321" i="25"/>
  <c r="T321" i="25" s="1"/>
  <c r="S321" i="25" s="1"/>
  <c r="R321" i="25" s="1"/>
  <c r="P321" i="25" s="1"/>
  <c r="V321" i="25" s="1"/>
  <c r="U305" i="25"/>
  <c r="T305" i="25" s="1"/>
  <c r="S305" i="25" s="1"/>
  <c r="R305" i="25" s="1"/>
  <c r="P305" i="25" s="1"/>
  <c r="V305" i="25" s="1"/>
  <c r="U289" i="25"/>
  <c r="T289" i="25" s="1"/>
  <c r="S289" i="25" s="1"/>
  <c r="R289" i="25" s="1"/>
  <c r="P289" i="25" s="1"/>
  <c r="V289" i="25" s="1"/>
  <c r="U273" i="25"/>
  <c r="T273" i="25" s="1"/>
  <c r="S273" i="25" s="1"/>
  <c r="R273" i="25" s="1"/>
  <c r="P273" i="25" s="1"/>
  <c r="V273" i="25" s="1"/>
  <c r="U257" i="25"/>
  <c r="T257" i="25" s="1"/>
  <c r="S257" i="25" s="1"/>
  <c r="R257" i="25" s="1"/>
  <c r="P257" i="25" s="1"/>
  <c r="V257" i="25" s="1"/>
  <c r="U241" i="25"/>
  <c r="T241" i="25" s="1"/>
  <c r="S241" i="25" s="1"/>
  <c r="R241" i="25" s="1"/>
  <c r="P241" i="25" s="1"/>
  <c r="U225" i="25"/>
  <c r="T225" i="25" s="1"/>
  <c r="S225" i="25" s="1"/>
  <c r="R225" i="25" s="1"/>
  <c r="P225" i="25" s="1"/>
  <c r="V225" i="25" s="1"/>
  <c r="U209" i="25"/>
  <c r="T209" i="25" s="1"/>
  <c r="S209" i="25" s="1"/>
  <c r="R209" i="25" s="1"/>
  <c r="P209" i="25" s="1"/>
  <c r="V209" i="25" s="1"/>
  <c r="U193" i="25"/>
  <c r="T193" i="25" s="1"/>
  <c r="S193" i="25" s="1"/>
  <c r="R193" i="25" s="1"/>
  <c r="P193" i="25" s="1"/>
  <c r="V193" i="25" s="1"/>
  <c r="U177" i="25"/>
  <c r="T177" i="25" s="1"/>
  <c r="S177" i="25" s="1"/>
  <c r="R177" i="25" s="1"/>
  <c r="P177" i="25" s="1"/>
  <c r="V177" i="25" s="1"/>
  <c r="U161" i="25"/>
  <c r="T161" i="25" s="1"/>
  <c r="S161" i="25" s="1"/>
  <c r="R161" i="25" s="1"/>
  <c r="P161" i="25" s="1"/>
  <c r="V161" i="25" s="1"/>
  <c r="U145" i="25"/>
  <c r="T145" i="25" s="1"/>
  <c r="S145" i="25" s="1"/>
  <c r="R145" i="25" s="1"/>
  <c r="P145" i="25" s="1"/>
  <c r="V145" i="25" s="1"/>
  <c r="U118" i="25"/>
  <c r="T118" i="25" s="1"/>
  <c r="S118" i="25" s="1"/>
  <c r="R118" i="25" s="1"/>
  <c r="P118" i="25" s="1"/>
  <c r="V118" i="25" s="1"/>
  <c r="U379" i="25"/>
  <c r="U371" i="25"/>
  <c r="T371" i="25" s="1"/>
  <c r="S371" i="25" s="1"/>
  <c r="R371" i="25" s="1"/>
  <c r="P371" i="25" s="1"/>
  <c r="V371" i="25" s="1"/>
  <c r="U363" i="25"/>
  <c r="T363" i="25" s="1"/>
  <c r="S363" i="25" s="1"/>
  <c r="R363" i="25" s="1"/>
  <c r="P363" i="25" s="1"/>
  <c r="U355" i="25"/>
  <c r="T355" i="25" s="1"/>
  <c r="S355" i="25" s="1"/>
  <c r="R355" i="25" s="1"/>
  <c r="P355" i="25" s="1"/>
  <c r="V355" i="25" s="1"/>
  <c r="U347" i="25"/>
  <c r="T347" i="25" s="1"/>
  <c r="S347" i="25" s="1"/>
  <c r="R347" i="25" s="1"/>
  <c r="P347" i="25" s="1"/>
  <c r="V347" i="25" s="1"/>
  <c r="U339" i="25"/>
  <c r="T339" i="25" s="1"/>
  <c r="S339" i="25" s="1"/>
  <c r="R339" i="25" s="1"/>
  <c r="P339" i="25" s="1"/>
  <c r="V339" i="25" s="1"/>
  <c r="U331" i="25"/>
  <c r="T331" i="25" s="1"/>
  <c r="S331" i="25" s="1"/>
  <c r="R331" i="25" s="1"/>
  <c r="P331" i="25" s="1"/>
  <c r="V331" i="25" s="1"/>
  <c r="U323" i="25"/>
  <c r="T323" i="25" s="1"/>
  <c r="S323" i="25" s="1"/>
  <c r="R323" i="25" s="1"/>
  <c r="P323" i="25" s="1"/>
  <c r="V323" i="25" s="1"/>
  <c r="U315" i="25"/>
  <c r="T315" i="25" s="1"/>
  <c r="S315" i="25" s="1"/>
  <c r="R315" i="25" s="1"/>
  <c r="P315" i="25" s="1"/>
  <c r="V315" i="25" s="1"/>
  <c r="U307" i="25"/>
  <c r="T307" i="25" s="1"/>
  <c r="S307" i="25" s="1"/>
  <c r="R307" i="25" s="1"/>
  <c r="P307" i="25" s="1"/>
  <c r="V307" i="25" s="1"/>
  <c r="U299" i="25"/>
  <c r="T299" i="25" s="1"/>
  <c r="S299" i="25" s="1"/>
  <c r="R299" i="25" s="1"/>
  <c r="P299" i="25" s="1"/>
  <c r="V299" i="25" s="1"/>
  <c r="U291" i="25"/>
  <c r="T291" i="25" s="1"/>
  <c r="S291" i="25" s="1"/>
  <c r="R291" i="25" s="1"/>
  <c r="P291" i="25" s="1"/>
  <c r="V291" i="25" s="1"/>
  <c r="U283" i="25"/>
  <c r="T283" i="25" s="1"/>
  <c r="S283" i="25" s="1"/>
  <c r="R283" i="25" s="1"/>
  <c r="P283" i="25" s="1"/>
  <c r="V283" i="25" s="1"/>
  <c r="U275" i="25"/>
  <c r="T275" i="25" s="1"/>
  <c r="S275" i="25" s="1"/>
  <c r="R275" i="25" s="1"/>
  <c r="P275" i="25" s="1"/>
  <c r="V275" i="25" s="1"/>
  <c r="U267" i="25"/>
  <c r="T267" i="25" s="1"/>
  <c r="S267" i="25" s="1"/>
  <c r="R267" i="25" s="1"/>
  <c r="P267" i="25" s="1"/>
  <c r="V267" i="25" s="1"/>
  <c r="U259" i="25"/>
  <c r="T259" i="25" s="1"/>
  <c r="S259" i="25" s="1"/>
  <c r="R259" i="25" s="1"/>
  <c r="P259" i="25" s="1"/>
  <c r="V259" i="25" s="1"/>
  <c r="U251" i="25"/>
  <c r="T251" i="25" s="1"/>
  <c r="S251" i="25" s="1"/>
  <c r="R251" i="25" s="1"/>
  <c r="P251" i="25" s="1"/>
  <c r="V251" i="25" s="1"/>
  <c r="U243" i="25"/>
  <c r="T243" i="25" s="1"/>
  <c r="S243" i="25" s="1"/>
  <c r="R243" i="25" s="1"/>
  <c r="P243" i="25" s="1"/>
  <c r="V243" i="25" s="1"/>
  <c r="U235" i="25"/>
  <c r="T235" i="25" s="1"/>
  <c r="S235" i="25" s="1"/>
  <c r="R235" i="25" s="1"/>
  <c r="P235" i="25" s="1"/>
  <c r="V235" i="25" s="1"/>
  <c r="U227" i="25"/>
  <c r="T227" i="25" s="1"/>
  <c r="S227" i="25" s="1"/>
  <c r="R227" i="25" s="1"/>
  <c r="P227" i="25" s="1"/>
  <c r="V227" i="25" s="1"/>
  <c r="U219" i="25"/>
  <c r="T219" i="25" s="1"/>
  <c r="S219" i="25" s="1"/>
  <c r="R219" i="25" s="1"/>
  <c r="P219" i="25" s="1"/>
  <c r="V219" i="25" s="1"/>
  <c r="U211" i="25"/>
  <c r="T211" i="25" s="1"/>
  <c r="S211" i="25" s="1"/>
  <c r="R211" i="25" s="1"/>
  <c r="P211" i="25" s="1"/>
  <c r="V211" i="25" s="1"/>
  <c r="U203" i="25"/>
  <c r="T203" i="25" s="1"/>
  <c r="S203" i="25" s="1"/>
  <c r="R203" i="25" s="1"/>
  <c r="P203" i="25" s="1"/>
  <c r="V203" i="25" s="1"/>
  <c r="U195" i="25"/>
  <c r="T195" i="25" s="1"/>
  <c r="S195" i="25" s="1"/>
  <c r="R195" i="25" s="1"/>
  <c r="P195" i="25" s="1"/>
  <c r="V195" i="25" s="1"/>
  <c r="U187" i="25"/>
  <c r="T187" i="25" s="1"/>
  <c r="S187" i="25" s="1"/>
  <c r="R187" i="25" s="1"/>
  <c r="P187" i="25" s="1"/>
  <c r="V187" i="25" s="1"/>
  <c r="U179" i="25"/>
  <c r="T179" i="25" s="1"/>
  <c r="S179" i="25" s="1"/>
  <c r="R179" i="25" s="1"/>
  <c r="P179" i="25" s="1"/>
  <c r="V179" i="25" s="1"/>
  <c r="U171" i="25"/>
  <c r="T171" i="25" s="1"/>
  <c r="S171" i="25" s="1"/>
  <c r="R171" i="25" s="1"/>
  <c r="P171" i="25" s="1"/>
  <c r="V171" i="25" s="1"/>
  <c r="U163" i="25"/>
  <c r="T163" i="25" s="1"/>
  <c r="S163" i="25" s="1"/>
  <c r="R163" i="25" s="1"/>
  <c r="P163" i="25" s="1"/>
  <c r="V163" i="25" s="1"/>
  <c r="U155" i="25"/>
  <c r="T155" i="25" s="1"/>
  <c r="S155" i="25" s="1"/>
  <c r="R155" i="25" s="1"/>
  <c r="P155" i="25" s="1"/>
  <c r="V155" i="25" s="1"/>
  <c r="U147" i="25"/>
  <c r="T147" i="25" s="1"/>
  <c r="S147" i="25" s="1"/>
  <c r="R147" i="25" s="1"/>
  <c r="P147" i="25" s="1"/>
  <c r="V147" i="25" s="1"/>
  <c r="U138" i="25"/>
  <c r="T138" i="25" s="1"/>
  <c r="S138" i="25" s="1"/>
  <c r="R138" i="25" s="1"/>
  <c r="P138" i="25" s="1"/>
  <c r="V138" i="25" s="1"/>
  <c r="U122" i="25"/>
  <c r="T122" i="25" s="1"/>
  <c r="S122" i="25" s="1"/>
  <c r="R122" i="25" s="1"/>
  <c r="P122" i="25" s="1"/>
  <c r="V122" i="25" s="1"/>
  <c r="U106" i="25"/>
  <c r="T106" i="25" s="1"/>
  <c r="S106" i="25" s="1"/>
  <c r="R106" i="25" s="1"/>
  <c r="P106" i="25" s="1"/>
  <c r="V106" i="25" s="1"/>
  <c r="U107" i="25"/>
  <c r="T107" i="25" s="1"/>
  <c r="S107" i="25" s="1"/>
  <c r="R107" i="25" s="1"/>
  <c r="P107" i="25" s="1"/>
  <c r="V107" i="25" s="1"/>
  <c r="U111" i="25"/>
  <c r="T111" i="25" s="1"/>
  <c r="S111" i="25" s="1"/>
  <c r="R111" i="25" s="1"/>
  <c r="P111" i="25" s="1"/>
  <c r="V111" i="25" s="1"/>
  <c r="U115" i="25"/>
  <c r="T115" i="25" s="1"/>
  <c r="S115" i="25" s="1"/>
  <c r="R115" i="25" s="1"/>
  <c r="P115" i="25" s="1"/>
  <c r="V115" i="25" s="1"/>
  <c r="U119" i="25"/>
  <c r="T119" i="25" s="1"/>
  <c r="S119" i="25" s="1"/>
  <c r="R119" i="25" s="1"/>
  <c r="P119" i="25" s="1"/>
  <c r="U123" i="25"/>
  <c r="T123" i="25" s="1"/>
  <c r="S123" i="25" s="1"/>
  <c r="R123" i="25" s="1"/>
  <c r="P123" i="25" s="1"/>
  <c r="V123" i="25" s="1"/>
  <c r="U127" i="25"/>
  <c r="T127" i="25" s="1"/>
  <c r="S127" i="25" s="1"/>
  <c r="R127" i="25" s="1"/>
  <c r="P127" i="25" s="1"/>
  <c r="V127" i="25" s="1"/>
  <c r="U131" i="25"/>
  <c r="T131" i="25" s="1"/>
  <c r="S131" i="25" s="1"/>
  <c r="R131" i="25" s="1"/>
  <c r="P131" i="25" s="1"/>
  <c r="V131" i="25" s="1"/>
  <c r="U135" i="25"/>
  <c r="T135" i="25" s="1"/>
  <c r="S135" i="25" s="1"/>
  <c r="R135" i="25" s="1"/>
  <c r="P135" i="25" s="1"/>
  <c r="V135" i="25" s="1"/>
  <c r="U139" i="25"/>
  <c r="T139" i="25" s="1"/>
  <c r="S139" i="25" s="1"/>
  <c r="R139" i="25" s="1"/>
  <c r="P139" i="25" s="1"/>
  <c r="V139" i="25" s="1"/>
  <c r="U376" i="25"/>
  <c r="T376" i="25" s="1"/>
  <c r="S376" i="25" s="1"/>
  <c r="R376" i="25" s="1"/>
  <c r="P376" i="25" s="1"/>
  <c r="V376" i="25" s="1"/>
  <c r="U372" i="25"/>
  <c r="T372" i="25" s="1"/>
  <c r="S372" i="25" s="1"/>
  <c r="R372" i="25" s="1"/>
  <c r="P372" i="25" s="1"/>
  <c r="V372" i="25" s="1"/>
  <c r="U368" i="25"/>
  <c r="T368" i="25" s="1"/>
  <c r="S368" i="25" s="1"/>
  <c r="R368" i="25" s="1"/>
  <c r="P368" i="25" s="1"/>
  <c r="V368" i="25" s="1"/>
  <c r="U364" i="25"/>
  <c r="T364" i="25" s="1"/>
  <c r="S364" i="25" s="1"/>
  <c r="R364" i="25" s="1"/>
  <c r="P364" i="25" s="1"/>
  <c r="V364" i="25" s="1"/>
  <c r="U360" i="25"/>
  <c r="T360" i="25" s="1"/>
  <c r="S360" i="25" s="1"/>
  <c r="R360" i="25" s="1"/>
  <c r="P360" i="25" s="1"/>
  <c r="V360" i="25" s="1"/>
  <c r="U356" i="25"/>
  <c r="T356" i="25" s="1"/>
  <c r="S356" i="25" s="1"/>
  <c r="R356" i="25" s="1"/>
  <c r="P356" i="25" s="1"/>
  <c r="V356" i="25" s="1"/>
  <c r="U352" i="25"/>
  <c r="T352" i="25" s="1"/>
  <c r="S352" i="25" s="1"/>
  <c r="R352" i="25" s="1"/>
  <c r="P352" i="25" s="1"/>
  <c r="V352" i="25" s="1"/>
  <c r="U348" i="25"/>
  <c r="T348" i="25" s="1"/>
  <c r="S348" i="25" s="1"/>
  <c r="R348" i="25" s="1"/>
  <c r="P348" i="25" s="1"/>
  <c r="V348" i="25" s="1"/>
  <c r="U344" i="25"/>
  <c r="T344" i="25" s="1"/>
  <c r="S344" i="25" s="1"/>
  <c r="R344" i="25" s="1"/>
  <c r="P344" i="25" s="1"/>
  <c r="V344" i="25" s="1"/>
  <c r="U340" i="25"/>
  <c r="T340" i="25" s="1"/>
  <c r="S340" i="25" s="1"/>
  <c r="R340" i="25" s="1"/>
  <c r="P340" i="25" s="1"/>
  <c r="V340" i="25" s="1"/>
  <c r="U336" i="25"/>
  <c r="T336" i="25" s="1"/>
  <c r="S336" i="25" s="1"/>
  <c r="R336" i="25" s="1"/>
  <c r="P336" i="25" s="1"/>
  <c r="V336" i="25" s="1"/>
  <c r="U332" i="25"/>
  <c r="T332" i="25" s="1"/>
  <c r="S332" i="25" s="1"/>
  <c r="R332" i="25" s="1"/>
  <c r="P332" i="25" s="1"/>
  <c r="V332" i="25" s="1"/>
  <c r="U328" i="25"/>
  <c r="T328" i="25" s="1"/>
  <c r="S328" i="25" s="1"/>
  <c r="R328" i="25" s="1"/>
  <c r="P328" i="25" s="1"/>
  <c r="V328" i="25" s="1"/>
  <c r="U324" i="25"/>
  <c r="T324" i="25" s="1"/>
  <c r="S324" i="25" s="1"/>
  <c r="R324" i="25" s="1"/>
  <c r="P324" i="25" s="1"/>
  <c r="V324" i="25" s="1"/>
  <c r="U320" i="25"/>
  <c r="T320" i="25" s="1"/>
  <c r="S320" i="25" s="1"/>
  <c r="R320" i="25" s="1"/>
  <c r="P320" i="25" s="1"/>
  <c r="V320" i="25" s="1"/>
  <c r="U316" i="25"/>
  <c r="T316" i="25" s="1"/>
  <c r="S316" i="25" s="1"/>
  <c r="R316" i="25" s="1"/>
  <c r="P316" i="25" s="1"/>
  <c r="V316" i="25" s="1"/>
  <c r="U312" i="25"/>
  <c r="T312" i="25" s="1"/>
  <c r="S312" i="25" s="1"/>
  <c r="R312" i="25" s="1"/>
  <c r="P312" i="25" s="1"/>
  <c r="V312" i="25" s="1"/>
  <c r="U308" i="25"/>
  <c r="T308" i="25" s="1"/>
  <c r="S308" i="25" s="1"/>
  <c r="R308" i="25" s="1"/>
  <c r="P308" i="25" s="1"/>
  <c r="V308" i="25" s="1"/>
  <c r="U304" i="25"/>
  <c r="T304" i="25" s="1"/>
  <c r="S304" i="25" s="1"/>
  <c r="R304" i="25" s="1"/>
  <c r="P304" i="25" s="1"/>
  <c r="V304" i="25" s="1"/>
  <c r="U300" i="25"/>
  <c r="T300" i="25" s="1"/>
  <c r="S300" i="25" s="1"/>
  <c r="R300" i="25" s="1"/>
  <c r="P300" i="25" s="1"/>
  <c r="V300" i="25" s="1"/>
  <c r="U296" i="25"/>
  <c r="T296" i="25" s="1"/>
  <c r="S296" i="25" s="1"/>
  <c r="R296" i="25" s="1"/>
  <c r="P296" i="25" s="1"/>
  <c r="V296" i="25" s="1"/>
  <c r="U292" i="25"/>
  <c r="T292" i="25" s="1"/>
  <c r="S292" i="25" s="1"/>
  <c r="R292" i="25" s="1"/>
  <c r="P292" i="25" s="1"/>
  <c r="V292" i="25" s="1"/>
  <c r="U288" i="25"/>
  <c r="T288" i="25" s="1"/>
  <c r="S288" i="25" s="1"/>
  <c r="R288" i="25" s="1"/>
  <c r="P288" i="25" s="1"/>
  <c r="V288" i="25" s="1"/>
  <c r="U284" i="25"/>
  <c r="T284" i="25" s="1"/>
  <c r="S284" i="25" s="1"/>
  <c r="R284" i="25" s="1"/>
  <c r="P284" i="25" s="1"/>
  <c r="V284" i="25" s="1"/>
  <c r="U280" i="25"/>
  <c r="T280" i="25" s="1"/>
  <c r="S280" i="25" s="1"/>
  <c r="R280" i="25" s="1"/>
  <c r="P280" i="25" s="1"/>
  <c r="V280" i="25" s="1"/>
  <c r="U276" i="25"/>
  <c r="T276" i="25" s="1"/>
  <c r="S276" i="25" s="1"/>
  <c r="R276" i="25" s="1"/>
  <c r="P276" i="25" s="1"/>
  <c r="V276" i="25" s="1"/>
  <c r="U272" i="25"/>
  <c r="T272" i="25" s="1"/>
  <c r="S272" i="25" s="1"/>
  <c r="R272" i="25" s="1"/>
  <c r="P272" i="25" s="1"/>
  <c r="U268" i="25"/>
  <c r="T268" i="25" s="1"/>
  <c r="S268" i="25" s="1"/>
  <c r="R268" i="25" s="1"/>
  <c r="P268" i="25" s="1"/>
  <c r="V268" i="25" s="1"/>
  <c r="U264" i="25"/>
  <c r="T264" i="25" s="1"/>
  <c r="S264" i="25" s="1"/>
  <c r="R264" i="25" s="1"/>
  <c r="P264" i="25" s="1"/>
  <c r="V264" i="25" s="1"/>
  <c r="U260" i="25"/>
  <c r="T260" i="25" s="1"/>
  <c r="S260" i="25" s="1"/>
  <c r="R260" i="25" s="1"/>
  <c r="P260" i="25" s="1"/>
  <c r="V260" i="25" s="1"/>
  <c r="U256" i="25"/>
  <c r="T256" i="25" s="1"/>
  <c r="S256" i="25" s="1"/>
  <c r="R256" i="25" s="1"/>
  <c r="P256" i="25" s="1"/>
  <c r="V256" i="25" s="1"/>
  <c r="U252" i="25"/>
  <c r="T252" i="25" s="1"/>
  <c r="S252" i="25" s="1"/>
  <c r="R252" i="25" s="1"/>
  <c r="P252" i="25" s="1"/>
  <c r="V252" i="25" s="1"/>
  <c r="U248" i="25"/>
  <c r="T248" i="25" s="1"/>
  <c r="S248" i="25" s="1"/>
  <c r="R248" i="25" s="1"/>
  <c r="P248" i="25" s="1"/>
  <c r="V248" i="25" s="1"/>
  <c r="D248" i="25" s="1"/>
  <c r="E248" i="25" s="1"/>
  <c r="F248" i="25" s="1"/>
  <c r="G248" i="25" s="1"/>
  <c r="CF248" i="6" s="1"/>
  <c r="U244" i="25"/>
  <c r="T244" i="25" s="1"/>
  <c r="S244" i="25" s="1"/>
  <c r="R244" i="25" s="1"/>
  <c r="P244" i="25" s="1"/>
  <c r="V244" i="25" s="1"/>
  <c r="U240" i="25"/>
  <c r="T240" i="25" s="1"/>
  <c r="S240" i="25" s="1"/>
  <c r="R240" i="25" s="1"/>
  <c r="P240" i="25" s="1"/>
  <c r="V240" i="25" s="1"/>
  <c r="U236" i="25"/>
  <c r="T236" i="25" s="1"/>
  <c r="S236" i="25" s="1"/>
  <c r="R236" i="25" s="1"/>
  <c r="P236" i="25" s="1"/>
  <c r="V236" i="25" s="1"/>
  <c r="U232" i="25"/>
  <c r="T232" i="25" s="1"/>
  <c r="S232" i="25" s="1"/>
  <c r="R232" i="25" s="1"/>
  <c r="P232" i="25" s="1"/>
  <c r="V232" i="25" s="1"/>
  <c r="U228" i="25"/>
  <c r="T228" i="25" s="1"/>
  <c r="S228" i="25" s="1"/>
  <c r="R228" i="25" s="1"/>
  <c r="P228" i="25" s="1"/>
  <c r="V228" i="25" s="1"/>
  <c r="U224" i="25"/>
  <c r="T224" i="25" s="1"/>
  <c r="S224" i="25" s="1"/>
  <c r="R224" i="25" s="1"/>
  <c r="P224" i="25" s="1"/>
  <c r="V224" i="25" s="1"/>
  <c r="U220" i="25"/>
  <c r="T220" i="25" s="1"/>
  <c r="S220" i="25" s="1"/>
  <c r="R220" i="25" s="1"/>
  <c r="P220" i="25" s="1"/>
  <c r="V220" i="25" s="1"/>
  <c r="U216" i="25"/>
  <c r="T216" i="25" s="1"/>
  <c r="S216" i="25" s="1"/>
  <c r="R216" i="25" s="1"/>
  <c r="P216" i="25" s="1"/>
  <c r="V216" i="25" s="1"/>
  <c r="U212" i="25"/>
  <c r="T212" i="25" s="1"/>
  <c r="S212" i="25" s="1"/>
  <c r="R212" i="25" s="1"/>
  <c r="P212" i="25" s="1"/>
  <c r="V212" i="25" s="1"/>
  <c r="U208" i="25"/>
  <c r="T208" i="25" s="1"/>
  <c r="S208" i="25" s="1"/>
  <c r="R208" i="25" s="1"/>
  <c r="P208" i="25" s="1"/>
  <c r="V208" i="25" s="1"/>
  <c r="U204" i="25"/>
  <c r="T204" i="25" s="1"/>
  <c r="S204" i="25" s="1"/>
  <c r="R204" i="25" s="1"/>
  <c r="P204" i="25" s="1"/>
  <c r="V204" i="25" s="1"/>
  <c r="U200" i="25"/>
  <c r="T200" i="25" s="1"/>
  <c r="S200" i="25" s="1"/>
  <c r="R200" i="25" s="1"/>
  <c r="P200" i="25" s="1"/>
  <c r="V200" i="25" s="1"/>
  <c r="U196" i="25"/>
  <c r="T196" i="25" s="1"/>
  <c r="S196" i="25" s="1"/>
  <c r="R196" i="25" s="1"/>
  <c r="P196" i="25" s="1"/>
  <c r="V196" i="25" s="1"/>
  <c r="U192" i="25"/>
  <c r="T192" i="25" s="1"/>
  <c r="S192" i="25" s="1"/>
  <c r="R192" i="25" s="1"/>
  <c r="P192" i="25" s="1"/>
  <c r="V192" i="25" s="1"/>
  <c r="U188" i="25"/>
  <c r="T188" i="25" s="1"/>
  <c r="S188" i="25" s="1"/>
  <c r="R188" i="25" s="1"/>
  <c r="P188" i="25" s="1"/>
  <c r="V188" i="25" s="1"/>
  <c r="U184" i="25"/>
  <c r="T184" i="25" s="1"/>
  <c r="S184" i="25" s="1"/>
  <c r="R184" i="25" s="1"/>
  <c r="P184" i="25" s="1"/>
  <c r="V184" i="25" s="1"/>
  <c r="U180" i="25"/>
  <c r="T180" i="25" s="1"/>
  <c r="S180" i="25" s="1"/>
  <c r="R180" i="25" s="1"/>
  <c r="P180" i="25" s="1"/>
  <c r="U176" i="25"/>
  <c r="T176" i="25" s="1"/>
  <c r="S176" i="25" s="1"/>
  <c r="R176" i="25" s="1"/>
  <c r="P176" i="25" s="1"/>
  <c r="V176" i="25" s="1"/>
  <c r="U172" i="25"/>
  <c r="T172" i="25" s="1"/>
  <c r="S172" i="25" s="1"/>
  <c r="R172" i="25" s="1"/>
  <c r="P172" i="25" s="1"/>
  <c r="V172" i="25" s="1"/>
  <c r="U168" i="25"/>
  <c r="T168" i="25" s="1"/>
  <c r="S168" i="25" s="1"/>
  <c r="R168" i="25" s="1"/>
  <c r="P168" i="25" s="1"/>
  <c r="V168" i="25" s="1"/>
  <c r="U164" i="25"/>
  <c r="T164" i="25" s="1"/>
  <c r="S164" i="25" s="1"/>
  <c r="R164" i="25" s="1"/>
  <c r="P164" i="25" s="1"/>
  <c r="V164" i="25" s="1"/>
  <c r="U160" i="25"/>
  <c r="T160" i="25" s="1"/>
  <c r="S160" i="25" s="1"/>
  <c r="R160" i="25" s="1"/>
  <c r="P160" i="25" s="1"/>
  <c r="V160" i="25" s="1"/>
  <c r="U156" i="25"/>
  <c r="T156" i="25" s="1"/>
  <c r="S156" i="25" s="1"/>
  <c r="R156" i="25" s="1"/>
  <c r="P156" i="25" s="1"/>
  <c r="V156" i="25" s="1"/>
  <c r="U152" i="25"/>
  <c r="T152" i="25" s="1"/>
  <c r="S152" i="25" s="1"/>
  <c r="R152" i="25" s="1"/>
  <c r="P152" i="25" s="1"/>
  <c r="V152" i="25" s="1"/>
  <c r="U148" i="25"/>
  <c r="T148" i="25" s="1"/>
  <c r="S148" i="25" s="1"/>
  <c r="R148" i="25" s="1"/>
  <c r="P148" i="25" s="1"/>
  <c r="V148" i="25" s="1"/>
  <c r="U144" i="25"/>
  <c r="T144" i="25" s="1"/>
  <c r="S144" i="25" s="1"/>
  <c r="R144" i="25" s="1"/>
  <c r="P144" i="25" s="1"/>
  <c r="V144" i="25" s="1"/>
  <c r="U140" i="25"/>
  <c r="T140" i="25" s="1"/>
  <c r="S140" i="25" s="1"/>
  <c r="R140" i="25" s="1"/>
  <c r="P140" i="25" s="1"/>
  <c r="V140" i="25" s="1"/>
  <c r="U132" i="25"/>
  <c r="T132" i="25" s="1"/>
  <c r="S132" i="25" s="1"/>
  <c r="R132" i="25" s="1"/>
  <c r="P132" i="25" s="1"/>
  <c r="V132" i="25" s="1"/>
  <c r="U124" i="25"/>
  <c r="T124" i="25" s="1"/>
  <c r="S124" i="25" s="1"/>
  <c r="R124" i="25" s="1"/>
  <c r="P124" i="25" s="1"/>
  <c r="V124" i="25" s="1"/>
  <c r="U116" i="25"/>
  <c r="T116" i="25" s="1"/>
  <c r="S116" i="25" s="1"/>
  <c r="R116" i="25" s="1"/>
  <c r="P116" i="25" s="1"/>
  <c r="V116" i="25" s="1"/>
  <c r="U108" i="25"/>
  <c r="T108" i="25" s="1"/>
  <c r="S108" i="25" s="1"/>
  <c r="R108" i="25" s="1"/>
  <c r="P108" i="25" s="1"/>
  <c r="V108" i="25" s="1"/>
  <c r="U377" i="25"/>
  <c r="T377" i="25" s="1"/>
  <c r="S377" i="25" s="1"/>
  <c r="R377" i="25" s="1"/>
  <c r="P377" i="25" s="1"/>
  <c r="V377" i="25" s="1"/>
  <c r="U361" i="25"/>
  <c r="T361" i="25" s="1"/>
  <c r="S361" i="25" s="1"/>
  <c r="R361" i="25" s="1"/>
  <c r="P361" i="25" s="1"/>
  <c r="V361" i="25" s="1"/>
  <c r="U345" i="25"/>
  <c r="T345" i="25" s="1"/>
  <c r="S345" i="25" s="1"/>
  <c r="R345" i="25" s="1"/>
  <c r="P345" i="25" s="1"/>
  <c r="V345" i="25" s="1"/>
  <c r="U329" i="25"/>
  <c r="T329" i="25" s="1"/>
  <c r="S329" i="25" s="1"/>
  <c r="R329" i="25" s="1"/>
  <c r="P329" i="25" s="1"/>
  <c r="V329" i="25" s="1"/>
  <c r="U313" i="25"/>
  <c r="T313" i="25" s="1"/>
  <c r="S313" i="25" s="1"/>
  <c r="R313" i="25" s="1"/>
  <c r="P313" i="25" s="1"/>
  <c r="V313" i="25" s="1"/>
  <c r="U297" i="25"/>
  <c r="T297" i="25" s="1"/>
  <c r="S297" i="25" s="1"/>
  <c r="R297" i="25" s="1"/>
  <c r="P297" i="25" s="1"/>
  <c r="V297" i="25" s="1"/>
  <c r="U281" i="25"/>
  <c r="T281" i="25" s="1"/>
  <c r="S281" i="25" s="1"/>
  <c r="R281" i="25" s="1"/>
  <c r="P281" i="25" s="1"/>
  <c r="V281" i="25" s="1"/>
  <c r="U265" i="25"/>
  <c r="T265" i="25" s="1"/>
  <c r="S265" i="25" s="1"/>
  <c r="R265" i="25" s="1"/>
  <c r="P265" i="25" s="1"/>
  <c r="V265" i="25" s="1"/>
  <c r="U249" i="25"/>
  <c r="T249" i="25" s="1"/>
  <c r="S249" i="25" s="1"/>
  <c r="R249" i="25" s="1"/>
  <c r="P249" i="25" s="1"/>
  <c r="V249" i="25" s="1"/>
  <c r="U233" i="25"/>
  <c r="T233" i="25" s="1"/>
  <c r="S233" i="25" s="1"/>
  <c r="R233" i="25" s="1"/>
  <c r="P233" i="25" s="1"/>
  <c r="V233" i="25" s="1"/>
  <c r="U217" i="25"/>
  <c r="T217" i="25" s="1"/>
  <c r="S217" i="25" s="1"/>
  <c r="R217" i="25" s="1"/>
  <c r="P217" i="25" s="1"/>
  <c r="V217" i="25" s="1"/>
  <c r="U201" i="25"/>
  <c r="T201" i="25" s="1"/>
  <c r="S201" i="25" s="1"/>
  <c r="R201" i="25" s="1"/>
  <c r="P201" i="25" s="1"/>
  <c r="V201" i="25" s="1"/>
  <c r="U185" i="25"/>
  <c r="T185" i="25" s="1"/>
  <c r="S185" i="25" s="1"/>
  <c r="R185" i="25" s="1"/>
  <c r="P185" i="25" s="1"/>
  <c r="V185" i="25" s="1"/>
  <c r="U169" i="25"/>
  <c r="T169" i="25" s="1"/>
  <c r="S169" i="25" s="1"/>
  <c r="R169" i="25" s="1"/>
  <c r="P169" i="25" s="1"/>
  <c r="V169" i="25" s="1"/>
  <c r="U153" i="25"/>
  <c r="T153" i="25" s="1"/>
  <c r="S153" i="25" s="1"/>
  <c r="R153" i="25" s="1"/>
  <c r="P153" i="25" s="1"/>
  <c r="V153" i="25" s="1"/>
  <c r="U134" i="25"/>
  <c r="T134" i="25" s="1"/>
  <c r="S134" i="25" s="1"/>
  <c r="R134" i="25" s="1"/>
  <c r="P134" i="25" s="1"/>
  <c r="V134" i="25" s="1"/>
  <c r="U375" i="25"/>
  <c r="T375" i="25" s="1"/>
  <c r="S375" i="25" s="1"/>
  <c r="R375" i="25" s="1"/>
  <c r="P375" i="25" s="1"/>
  <c r="V375" i="25" s="1"/>
  <c r="U367" i="25"/>
  <c r="T367" i="25" s="1"/>
  <c r="S367" i="25" s="1"/>
  <c r="R367" i="25" s="1"/>
  <c r="P367" i="25" s="1"/>
  <c r="V367" i="25" s="1"/>
  <c r="U359" i="25"/>
  <c r="T359" i="25" s="1"/>
  <c r="S359" i="25" s="1"/>
  <c r="R359" i="25" s="1"/>
  <c r="P359" i="25" s="1"/>
  <c r="V359" i="25" s="1"/>
  <c r="U351" i="25"/>
  <c r="T351" i="25" s="1"/>
  <c r="S351" i="25" s="1"/>
  <c r="R351" i="25" s="1"/>
  <c r="P351" i="25" s="1"/>
  <c r="V351" i="25" s="1"/>
  <c r="U343" i="25"/>
  <c r="T343" i="25" s="1"/>
  <c r="S343" i="25" s="1"/>
  <c r="R343" i="25" s="1"/>
  <c r="P343" i="25" s="1"/>
  <c r="V343" i="25" s="1"/>
  <c r="U335" i="25"/>
  <c r="T335" i="25" s="1"/>
  <c r="S335" i="25" s="1"/>
  <c r="R335" i="25" s="1"/>
  <c r="P335" i="25" s="1"/>
  <c r="V335" i="25" s="1"/>
  <c r="U327" i="25"/>
  <c r="T327" i="25" s="1"/>
  <c r="S327" i="25" s="1"/>
  <c r="R327" i="25" s="1"/>
  <c r="P327" i="25" s="1"/>
  <c r="V327" i="25" s="1"/>
  <c r="U319" i="25"/>
  <c r="T319" i="25" s="1"/>
  <c r="S319" i="25" s="1"/>
  <c r="R319" i="25" s="1"/>
  <c r="P319" i="25" s="1"/>
  <c r="V319" i="25" s="1"/>
  <c r="U311" i="25"/>
  <c r="T311" i="25" s="1"/>
  <c r="S311" i="25" s="1"/>
  <c r="R311" i="25" s="1"/>
  <c r="P311" i="25" s="1"/>
  <c r="V311" i="25" s="1"/>
  <c r="U303" i="25"/>
  <c r="T303" i="25" s="1"/>
  <c r="S303" i="25" s="1"/>
  <c r="R303" i="25" s="1"/>
  <c r="P303" i="25" s="1"/>
  <c r="V303" i="25" s="1"/>
  <c r="U295" i="25"/>
  <c r="T295" i="25" s="1"/>
  <c r="S295" i="25" s="1"/>
  <c r="R295" i="25" s="1"/>
  <c r="P295" i="25" s="1"/>
  <c r="V295" i="25" s="1"/>
  <c r="U287" i="25"/>
  <c r="T287" i="25" s="1"/>
  <c r="S287" i="25" s="1"/>
  <c r="R287" i="25" s="1"/>
  <c r="P287" i="25" s="1"/>
  <c r="V287" i="25" s="1"/>
  <c r="U279" i="25"/>
  <c r="T279" i="25" s="1"/>
  <c r="S279" i="25" s="1"/>
  <c r="R279" i="25" s="1"/>
  <c r="P279" i="25" s="1"/>
  <c r="V279" i="25" s="1"/>
  <c r="U271" i="25"/>
  <c r="T271" i="25" s="1"/>
  <c r="S271" i="25" s="1"/>
  <c r="R271" i="25" s="1"/>
  <c r="P271" i="25" s="1"/>
  <c r="V271" i="25" s="1"/>
  <c r="U263" i="25"/>
  <c r="T263" i="25" s="1"/>
  <c r="S263" i="25" s="1"/>
  <c r="R263" i="25" s="1"/>
  <c r="P263" i="25" s="1"/>
  <c r="V263" i="25" s="1"/>
  <c r="U255" i="25"/>
  <c r="T255" i="25" s="1"/>
  <c r="S255" i="25" s="1"/>
  <c r="R255" i="25" s="1"/>
  <c r="P255" i="25" s="1"/>
  <c r="V255" i="25" s="1"/>
  <c r="U247" i="25"/>
  <c r="T247" i="25" s="1"/>
  <c r="S247" i="25" s="1"/>
  <c r="R247" i="25" s="1"/>
  <c r="P247" i="25" s="1"/>
  <c r="V247" i="25" s="1"/>
  <c r="U239" i="25"/>
  <c r="T239" i="25" s="1"/>
  <c r="S239" i="25" s="1"/>
  <c r="R239" i="25" s="1"/>
  <c r="P239" i="25" s="1"/>
  <c r="V239" i="25" s="1"/>
  <c r="U231" i="25"/>
  <c r="T231" i="25" s="1"/>
  <c r="S231" i="25" s="1"/>
  <c r="R231" i="25" s="1"/>
  <c r="P231" i="25" s="1"/>
  <c r="V231" i="25" s="1"/>
  <c r="U223" i="25"/>
  <c r="T223" i="25" s="1"/>
  <c r="S223" i="25" s="1"/>
  <c r="R223" i="25" s="1"/>
  <c r="P223" i="25" s="1"/>
  <c r="V223" i="25" s="1"/>
  <c r="U215" i="25"/>
  <c r="T215" i="25" s="1"/>
  <c r="S215" i="25" s="1"/>
  <c r="R215" i="25" s="1"/>
  <c r="P215" i="25" s="1"/>
  <c r="V215" i="25" s="1"/>
  <c r="U207" i="25"/>
  <c r="T207" i="25" s="1"/>
  <c r="S207" i="25" s="1"/>
  <c r="R207" i="25" s="1"/>
  <c r="P207" i="25" s="1"/>
  <c r="V207" i="25" s="1"/>
  <c r="U199" i="25"/>
  <c r="T199" i="25" s="1"/>
  <c r="S199" i="25" s="1"/>
  <c r="R199" i="25" s="1"/>
  <c r="P199" i="25" s="1"/>
  <c r="V199" i="25" s="1"/>
  <c r="U191" i="25"/>
  <c r="T191" i="25" s="1"/>
  <c r="S191" i="25" s="1"/>
  <c r="R191" i="25" s="1"/>
  <c r="P191" i="25" s="1"/>
  <c r="V191" i="25" s="1"/>
  <c r="U183" i="25"/>
  <c r="T183" i="25" s="1"/>
  <c r="S183" i="25" s="1"/>
  <c r="R183" i="25" s="1"/>
  <c r="P183" i="25" s="1"/>
  <c r="V183" i="25" s="1"/>
  <c r="U175" i="25"/>
  <c r="T175" i="25" s="1"/>
  <c r="S175" i="25" s="1"/>
  <c r="R175" i="25" s="1"/>
  <c r="P175" i="25" s="1"/>
  <c r="V175" i="25" s="1"/>
  <c r="U167" i="25"/>
  <c r="T167" i="25" s="1"/>
  <c r="S167" i="25" s="1"/>
  <c r="R167" i="25" s="1"/>
  <c r="P167" i="25" s="1"/>
  <c r="V167" i="25" s="1"/>
  <c r="U159" i="25"/>
  <c r="T159" i="25" s="1"/>
  <c r="S159" i="25" s="1"/>
  <c r="R159" i="25" s="1"/>
  <c r="P159" i="25" s="1"/>
  <c r="V159" i="25" s="1"/>
  <c r="U151" i="25"/>
  <c r="T151" i="25" s="1"/>
  <c r="S151" i="25" s="1"/>
  <c r="R151" i="25" s="1"/>
  <c r="P151" i="25" s="1"/>
  <c r="V151" i="25" s="1"/>
  <c r="U143" i="25"/>
  <c r="T143" i="25" s="1"/>
  <c r="S143" i="25" s="1"/>
  <c r="R143" i="25" s="1"/>
  <c r="P143" i="25" s="1"/>
  <c r="V143" i="25" s="1"/>
  <c r="U130" i="25"/>
  <c r="T130" i="25" s="1"/>
  <c r="S130" i="25" s="1"/>
  <c r="R130" i="25" s="1"/>
  <c r="P130" i="25" s="1"/>
  <c r="V130" i="25" s="1"/>
  <c r="U114" i="25"/>
  <c r="T114" i="25" s="1"/>
  <c r="S114" i="25" s="1"/>
  <c r="R114" i="25" s="1"/>
  <c r="P114" i="25" s="1"/>
  <c r="V114" i="25" s="1"/>
  <c r="U105" i="25"/>
  <c r="T105" i="25" s="1"/>
  <c r="S105" i="25" s="1"/>
  <c r="R105" i="25" s="1"/>
  <c r="P105" i="25" s="1"/>
  <c r="V105" i="25" s="1"/>
  <c r="U109" i="25"/>
  <c r="T109" i="25" s="1"/>
  <c r="S109" i="25" s="1"/>
  <c r="R109" i="25" s="1"/>
  <c r="P109" i="25" s="1"/>
  <c r="V109" i="25" s="1"/>
  <c r="U113" i="25"/>
  <c r="T113" i="25" s="1"/>
  <c r="S113" i="25" s="1"/>
  <c r="R113" i="25" s="1"/>
  <c r="P113" i="25" s="1"/>
  <c r="V113" i="25" s="1"/>
  <c r="U117" i="25"/>
  <c r="T117" i="25" s="1"/>
  <c r="S117" i="25" s="1"/>
  <c r="R117" i="25" s="1"/>
  <c r="P117" i="25" s="1"/>
  <c r="V117" i="25" s="1"/>
  <c r="U121" i="25"/>
  <c r="T121" i="25" s="1"/>
  <c r="S121" i="25" s="1"/>
  <c r="R121" i="25" s="1"/>
  <c r="P121" i="25" s="1"/>
  <c r="V121" i="25" s="1"/>
  <c r="U125" i="25"/>
  <c r="T125" i="25" s="1"/>
  <c r="S125" i="25" s="1"/>
  <c r="R125" i="25" s="1"/>
  <c r="P125" i="25" s="1"/>
  <c r="V125" i="25" s="1"/>
  <c r="U129" i="25"/>
  <c r="T129" i="25" s="1"/>
  <c r="S129" i="25" s="1"/>
  <c r="R129" i="25" s="1"/>
  <c r="P129" i="25" s="1"/>
  <c r="V129" i="25" s="1"/>
  <c r="U133" i="25"/>
  <c r="T133" i="25" s="1"/>
  <c r="S133" i="25" s="1"/>
  <c r="R133" i="25" s="1"/>
  <c r="P133" i="25" s="1"/>
  <c r="V133" i="25" s="1"/>
  <c r="U137" i="25"/>
  <c r="T137" i="25" s="1"/>
  <c r="S137" i="25" s="1"/>
  <c r="R137" i="25" s="1"/>
  <c r="P137" i="25" s="1"/>
  <c r="V137" i="25" s="1"/>
  <c r="U378" i="25"/>
  <c r="T378" i="25" s="1"/>
  <c r="S378" i="25" s="1"/>
  <c r="R378" i="25" s="1"/>
  <c r="P378" i="25" s="1"/>
  <c r="V378" i="25" s="1"/>
  <c r="U374" i="25"/>
  <c r="T374" i="25" s="1"/>
  <c r="S374" i="25" s="1"/>
  <c r="R374" i="25" s="1"/>
  <c r="P374" i="25" s="1"/>
  <c r="V374" i="25" s="1"/>
  <c r="U370" i="25"/>
  <c r="T370" i="25" s="1"/>
  <c r="S370" i="25" s="1"/>
  <c r="R370" i="25" s="1"/>
  <c r="P370" i="25" s="1"/>
  <c r="V370" i="25" s="1"/>
  <c r="U366" i="25"/>
  <c r="T366" i="25" s="1"/>
  <c r="S366" i="25" s="1"/>
  <c r="R366" i="25" s="1"/>
  <c r="P366" i="25" s="1"/>
  <c r="V366" i="25" s="1"/>
  <c r="U362" i="25"/>
  <c r="T362" i="25" s="1"/>
  <c r="S362" i="25" s="1"/>
  <c r="R362" i="25" s="1"/>
  <c r="P362" i="25" s="1"/>
  <c r="V362" i="25" s="1"/>
  <c r="U358" i="25"/>
  <c r="T358" i="25" s="1"/>
  <c r="S358" i="25" s="1"/>
  <c r="R358" i="25" s="1"/>
  <c r="P358" i="25" s="1"/>
  <c r="V358" i="25" s="1"/>
  <c r="U354" i="25"/>
  <c r="T354" i="25" s="1"/>
  <c r="S354" i="25" s="1"/>
  <c r="R354" i="25" s="1"/>
  <c r="P354" i="25" s="1"/>
  <c r="V354" i="25" s="1"/>
  <c r="U350" i="25"/>
  <c r="T350" i="25" s="1"/>
  <c r="S350" i="25" s="1"/>
  <c r="R350" i="25" s="1"/>
  <c r="P350" i="25" s="1"/>
  <c r="V350" i="25" s="1"/>
  <c r="U346" i="25"/>
  <c r="T346" i="25" s="1"/>
  <c r="S346" i="25" s="1"/>
  <c r="R346" i="25" s="1"/>
  <c r="P346" i="25" s="1"/>
  <c r="V346" i="25" s="1"/>
  <c r="U342" i="25"/>
  <c r="T342" i="25" s="1"/>
  <c r="S342" i="25" s="1"/>
  <c r="R342" i="25" s="1"/>
  <c r="P342" i="25" s="1"/>
  <c r="V342" i="25" s="1"/>
  <c r="U338" i="25"/>
  <c r="T338" i="25" s="1"/>
  <c r="S338" i="25" s="1"/>
  <c r="R338" i="25" s="1"/>
  <c r="P338" i="25" s="1"/>
  <c r="V338" i="25" s="1"/>
  <c r="U334" i="25"/>
  <c r="T334" i="25" s="1"/>
  <c r="S334" i="25" s="1"/>
  <c r="R334" i="25" s="1"/>
  <c r="P334" i="25" s="1"/>
  <c r="V334" i="25" s="1"/>
  <c r="U330" i="25"/>
  <c r="T330" i="25" s="1"/>
  <c r="S330" i="25" s="1"/>
  <c r="R330" i="25" s="1"/>
  <c r="P330" i="25" s="1"/>
  <c r="V330" i="25" s="1"/>
  <c r="U326" i="25"/>
  <c r="T326" i="25" s="1"/>
  <c r="S326" i="25" s="1"/>
  <c r="R326" i="25" s="1"/>
  <c r="P326" i="25" s="1"/>
  <c r="V326" i="25" s="1"/>
  <c r="U322" i="25"/>
  <c r="T322" i="25" s="1"/>
  <c r="S322" i="25" s="1"/>
  <c r="R322" i="25" s="1"/>
  <c r="P322" i="25" s="1"/>
  <c r="V322" i="25" s="1"/>
  <c r="U318" i="25"/>
  <c r="T318" i="25" s="1"/>
  <c r="S318" i="25" s="1"/>
  <c r="R318" i="25" s="1"/>
  <c r="P318" i="25" s="1"/>
  <c r="V318" i="25" s="1"/>
  <c r="U314" i="25"/>
  <c r="T314" i="25" s="1"/>
  <c r="S314" i="25" s="1"/>
  <c r="R314" i="25" s="1"/>
  <c r="P314" i="25" s="1"/>
  <c r="V314" i="25" s="1"/>
  <c r="U310" i="25"/>
  <c r="T310" i="25" s="1"/>
  <c r="S310" i="25" s="1"/>
  <c r="R310" i="25" s="1"/>
  <c r="P310" i="25" s="1"/>
  <c r="V310" i="25" s="1"/>
  <c r="U306" i="25"/>
  <c r="T306" i="25" s="1"/>
  <c r="S306" i="25" s="1"/>
  <c r="R306" i="25" s="1"/>
  <c r="P306" i="25" s="1"/>
  <c r="V306" i="25" s="1"/>
  <c r="U302" i="25"/>
  <c r="T302" i="25" s="1"/>
  <c r="S302" i="25" s="1"/>
  <c r="R302" i="25" s="1"/>
  <c r="P302" i="25" s="1"/>
  <c r="U298" i="25"/>
  <c r="T298" i="25" s="1"/>
  <c r="S298" i="25" s="1"/>
  <c r="R298" i="25" s="1"/>
  <c r="P298" i="25" s="1"/>
  <c r="V298" i="25" s="1"/>
  <c r="U294" i="25"/>
  <c r="T294" i="25" s="1"/>
  <c r="S294" i="25" s="1"/>
  <c r="R294" i="25" s="1"/>
  <c r="P294" i="25" s="1"/>
  <c r="V294" i="25" s="1"/>
  <c r="U290" i="25"/>
  <c r="T290" i="25" s="1"/>
  <c r="S290" i="25" s="1"/>
  <c r="R290" i="25" s="1"/>
  <c r="P290" i="25" s="1"/>
  <c r="V290" i="25" s="1"/>
  <c r="U286" i="25"/>
  <c r="T286" i="25" s="1"/>
  <c r="S286" i="25" s="1"/>
  <c r="R286" i="25" s="1"/>
  <c r="P286" i="25" s="1"/>
  <c r="V286" i="25" s="1"/>
  <c r="U282" i="25"/>
  <c r="T282" i="25" s="1"/>
  <c r="S282" i="25" s="1"/>
  <c r="R282" i="25" s="1"/>
  <c r="P282" i="25" s="1"/>
  <c r="V282" i="25" s="1"/>
  <c r="U278" i="25"/>
  <c r="T278" i="25" s="1"/>
  <c r="S278" i="25" s="1"/>
  <c r="R278" i="25" s="1"/>
  <c r="P278" i="25" s="1"/>
  <c r="V278" i="25" s="1"/>
  <c r="U274" i="25"/>
  <c r="T274" i="25" s="1"/>
  <c r="S274" i="25" s="1"/>
  <c r="R274" i="25" s="1"/>
  <c r="P274" i="25" s="1"/>
  <c r="V274" i="25" s="1"/>
  <c r="U270" i="25"/>
  <c r="T270" i="25" s="1"/>
  <c r="S270" i="25" s="1"/>
  <c r="R270" i="25" s="1"/>
  <c r="P270" i="25" s="1"/>
  <c r="V270" i="25" s="1"/>
  <c r="U266" i="25"/>
  <c r="T266" i="25" s="1"/>
  <c r="S266" i="25" s="1"/>
  <c r="R266" i="25" s="1"/>
  <c r="P266" i="25" s="1"/>
  <c r="V266" i="25" s="1"/>
  <c r="U262" i="25"/>
  <c r="T262" i="25" s="1"/>
  <c r="S262" i="25" s="1"/>
  <c r="R262" i="25" s="1"/>
  <c r="P262" i="25" s="1"/>
  <c r="V262" i="25" s="1"/>
  <c r="U258" i="25"/>
  <c r="T258" i="25" s="1"/>
  <c r="S258" i="25" s="1"/>
  <c r="R258" i="25" s="1"/>
  <c r="P258" i="25" s="1"/>
  <c r="V258" i="25" s="1"/>
  <c r="U254" i="25"/>
  <c r="T254" i="25" s="1"/>
  <c r="S254" i="25" s="1"/>
  <c r="R254" i="25" s="1"/>
  <c r="P254" i="25" s="1"/>
  <c r="V254" i="25" s="1"/>
  <c r="U250" i="25"/>
  <c r="T250" i="25" s="1"/>
  <c r="S250" i="25" s="1"/>
  <c r="R250" i="25" s="1"/>
  <c r="P250" i="25" s="1"/>
  <c r="V250" i="25" s="1"/>
  <c r="U246" i="25"/>
  <c r="T246" i="25" s="1"/>
  <c r="S246" i="25" s="1"/>
  <c r="R246" i="25" s="1"/>
  <c r="P246" i="25" s="1"/>
  <c r="V246" i="25" s="1"/>
  <c r="U242" i="25"/>
  <c r="T242" i="25" s="1"/>
  <c r="S242" i="25" s="1"/>
  <c r="R242" i="25" s="1"/>
  <c r="P242" i="25" s="1"/>
  <c r="V242" i="25" s="1"/>
  <c r="U238" i="25"/>
  <c r="T238" i="25" s="1"/>
  <c r="S238" i="25" s="1"/>
  <c r="R238" i="25" s="1"/>
  <c r="P238" i="25" s="1"/>
  <c r="V238" i="25" s="1"/>
  <c r="U234" i="25"/>
  <c r="T234" i="25" s="1"/>
  <c r="S234" i="25" s="1"/>
  <c r="R234" i="25" s="1"/>
  <c r="P234" i="25" s="1"/>
  <c r="V234" i="25" s="1"/>
  <c r="U230" i="25"/>
  <c r="T230" i="25" s="1"/>
  <c r="S230" i="25" s="1"/>
  <c r="R230" i="25" s="1"/>
  <c r="P230" i="25" s="1"/>
  <c r="V230" i="25" s="1"/>
  <c r="U226" i="25"/>
  <c r="T226" i="25" s="1"/>
  <c r="S226" i="25" s="1"/>
  <c r="R226" i="25" s="1"/>
  <c r="P226" i="25" s="1"/>
  <c r="V226" i="25" s="1"/>
  <c r="U222" i="25"/>
  <c r="T222" i="25" s="1"/>
  <c r="S222" i="25" s="1"/>
  <c r="R222" i="25" s="1"/>
  <c r="P222" i="25" s="1"/>
  <c r="V222" i="25" s="1"/>
  <c r="U218" i="25"/>
  <c r="T218" i="25" s="1"/>
  <c r="S218" i="25" s="1"/>
  <c r="R218" i="25" s="1"/>
  <c r="P218" i="25" s="1"/>
  <c r="V218" i="25" s="1"/>
  <c r="U214" i="25"/>
  <c r="T214" i="25" s="1"/>
  <c r="S214" i="25" s="1"/>
  <c r="R214" i="25" s="1"/>
  <c r="P214" i="25" s="1"/>
  <c r="V214" i="25" s="1"/>
  <c r="U210" i="25"/>
  <c r="T210" i="25" s="1"/>
  <c r="S210" i="25" s="1"/>
  <c r="R210" i="25" s="1"/>
  <c r="P210" i="25" s="1"/>
  <c r="U206" i="25"/>
  <c r="T206" i="25" s="1"/>
  <c r="S206" i="25" s="1"/>
  <c r="R206" i="25" s="1"/>
  <c r="P206" i="25" s="1"/>
  <c r="V206" i="25" s="1"/>
  <c r="U202" i="25"/>
  <c r="T202" i="25" s="1"/>
  <c r="S202" i="25" s="1"/>
  <c r="R202" i="25" s="1"/>
  <c r="P202" i="25" s="1"/>
  <c r="V202" i="25" s="1"/>
  <c r="U198" i="25"/>
  <c r="T198" i="25" s="1"/>
  <c r="S198" i="25" s="1"/>
  <c r="R198" i="25" s="1"/>
  <c r="P198" i="25" s="1"/>
  <c r="V198" i="25" s="1"/>
  <c r="U194" i="25"/>
  <c r="T194" i="25" s="1"/>
  <c r="S194" i="25" s="1"/>
  <c r="R194" i="25" s="1"/>
  <c r="P194" i="25" s="1"/>
  <c r="V194" i="25" s="1"/>
  <c r="U190" i="25"/>
  <c r="T190" i="25" s="1"/>
  <c r="S190" i="25" s="1"/>
  <c r="R190" i="25" s="1"/>
  <c r="P190" i="25" s="1"/>
  <c r="V190" i="25" s="1"/>
  <c r="U186" i="25"/>
  <c r="T186" i="25" s="1"/>
  <c r="S186" i="25" s="1"/>
  <c r="R186" i="25" s="1"/>
  <c r="P186" i="25" s="1"/>
  <c r="V186" i="25" s="1"/>
  <c r="U182" i="25"/>
  <c r="T182" i="25" s="1"/>
  <c r="S182" i="25" s="1"/>
  <c r="R182" i="25" s="1"/>
  <c r="P182" i="25" s="1"/>
  <c r="V182" i="25" s="1"/>
  <c r="U178" i="25"/>
  <c r="T178" i="25" s="1"/>
  <c r="S178" i="25" s="1"/>
  <c r="R178" i="25" s="1"/>
  <c r="P178" i="25" s="1"/>
  <c r="V178" i="25" s="1"/>
  <c r="U174" i="25"/>
  <c r="T174" i="25" s="1"/>
  <c r="S174" i="25" s="1"/>
  <c r="R174" i="25" s="1"/>
  <c r="P174" i="25" s="1"/>
  <c r="V174" i="25" s="1"/>
  <c r="U170" i="25"/>
  <c r="T170" i="25" s="1"/>
  <c r="S170" i="25" s="1"/>
  <c r="R170" i="25" s="1"/>
  <c r="P170" i="25" s="1"/>
  <c r="V170" i="25" s="1"/>
  <c r="U166" i="25"/>
  <c r="T166" i="25" s="1"/>
  <c r="S166" i="25" s="1"/>
  <c r="R166" i="25" s="1"/>
  <c r="P166" i="25" s="1"/>
  <c r="V166" i="25" s="1"/>
  <c r="U162" i="25"/>
  <c r="T162" i="25" s="1"/>
  <c r="S162" i="25" s="1"/>
  <c r="R162" i="25" s="1"/>
  <c r="P162" i="25" s="1"/>
  <c r="V162" i="25" s="1"/>
  <c r="U158" i="25"/>
  <c r="T158" i="25" s="1"/>
  <c r="S158" i="25" s="1"/>
  <c r="R158" i="25" s="1"/>
  <c r="P158" i="25" s="1"/>
  <c r="V158" i="25" s="1"/>
  <c r="U154" i="25"/>
  <c r="T154" i="25" s="1"/>
  <c r="S154" i="25" s="1"/>
  <c r="R154" i="25" s="1"/>
  <c r="P154" i="25" s="1"/>
  <c r="V154" i="25" s="1"/>
  <c r="U150" i="25"/>
  <c r="T150" i="25" s="1"/>
  <c r="S150" i="25" s="1"/>
  <c r="R150" i="25" s="1"/>
  <c r="P150" i="25" s="1"/>
  <c r="V150" i="25" s="1"/>
  <c r="U146" i="25"/>
  <c r="T146" i="25" s="1"/>
  <c r="S146" i="25" s="1"/>
  <c r="R146" i="25" s="1"/>
  <c r="P146" i="25" s="1"/>
  <c r="V146" i="25" s="1"/>
  <c r="U142" i="25"/>
  <c r="T142" i="25" s="1"/>
  <c r="S142" i="25" s="1"/>
  <c r="R142" i="25" s="1"/>
  <c r="P142" i="25" s="1"/>
  <c r="V142" i="25" s="1"/>
  <c r="U136" i="25"/>
  <c r="T136" i="25" s="1"/>
  <c r="S136" i="25" s="1"/>
  <c r="R136" i="25" s="1"/>
  <c r="P136" i="25" s="1"/>
  <c r="V136" i="25" s="1"/>
  <c r="U128" i="25"/>
  <c r="T128" i="25" s="1"/>
  <c r="S128" i="25" s="1"/>
  <c r="R128" i="25" s="1"/>
  <c r="P128" i="25" s="1"/>
  <c r="V128" i="25" s="1"/>
  <c r="U120" i="25"/>
  <c r="T120" i="25" s="1"/>
  <c r="S120" i="25" s="1"/>
  <c r="R120" i="25" s="1"/>
  <c r="P120" i="25" s="1"/>
  <c r="V120" i="25" s="1"/>
  <c r="U112" i="25"/>
  <c r="T112" i="25" s="1"/>
  <c r="S112" i="25" s="1"/>
  <c r="R112" i="25" s="1"/>
  <c r="P112" i="25" s="1"/>
  <c r="V112" i="25" s="1"/>
  <c r="U104" i="25"/>
  <c r="T104" i="25" s="1"/>
  <c r="S104" i="25" s="1"/>
  <c r="R104" i="25" s="1"/>
  <c r="P104" i="25" s="1"/>
  <c r="V104" i="25" s="1"/>
  <c r="G371" i="24"/>
  <c r="CE371" i="6" s="1"/>
  <c r="H371" i="24"/>
  <c r="AA371" i="24"/>
  <c r="Z371" i="24" s="1"/>
  <c r="Y371" i="24" s="1"/>
  <c r="M69" i="19"/>
  <c r="G355" i="24"/>
  <c r="CE355" i="6" s="1"/>
  <c r="H355" i="24"/>
  <c r="AA355" i="24"/>
  <c r="Z355" i="24" s="1"/>
  <c r="Y355" i="24" s="1"/>
  <c r="G339" i="24"/>
  <c r="CE339" i="6" s="1"/>
  <c r="G331" i="24"/>
  <c r="CE331" i="6" s="1"/>
  <c r="H331" i="24"/>
  <c r="AA331" i="24"/>
  <c r="Z331" i="24" s="1"/>
  <c r="Y331" i="24" s="1"/>
  <c r="G299" i="24"/>
  <c r="CE299" i="6" s="1"/>
  <c r="H299" i="24"/>
  <c r="AA299" i="24"/>
  <c r="Z299" i="24" s="1"/>
  <c r="Y299" i="24" s="1"/>
  <c r="G291" i="24"/>
  <c r="CE291" i="6" s="1"/>
  <c r="AA291" i="24"/>
  <c r="Z291" i="24" s="1"/>
  <c r="Y291" i="24" s="1"/>
  <c r="H291" i="24"/>
  <c r="G275" i="24"/>
  <c r="CE275" i="6" s="1"/>
  <c r="G259" i="24"/>
  <c r="CE259" i="6" s="1"/>
  <c r="AA251" i="24"/>
  <c r="Z251" i="24" s="1"/>
  <c r="Y251" i="24" s="1"/>
  <c r="H251" i="24"/>
  <c r="G251" i="24"/>
  <c r="CE251" i="6" s="1"/>
  <c r="D227" i="24"/>
  <c r="E227" i="24" s="1"/>
  <c r="F227" i="24" s="1"/>
  <c r="H227" i="24" s="1"/>
  <c r="W227" i="24"/>
  <c r="AA211" i="24"/>
  <c r="Z211" i="24" s="1"/>
  <c r="Y211" i="24" s="1"/>
  <c r="AA163" i="24"/>
  <c r="Z163" i="24" s="1"/>
  <c r="Y163" i="24" s="1"/>
  <c r="H163" i="24"/>
  <c r="G163" i="24"/>
  <c r="CE163" i="6" s="1"/>
  <c r="G147" i="24"/>
  <c r="CE147" i="6" s="1"/>
  <c r="G115" i="24"/>
  <c r="CE115" i="6" s="1"/>
  <c r="G99" i="24"/>
  <c r="CE99" i="6" s="1"/>
  <c r="AA99" i="24"/>
  <c r="Z99" i="24" s="1"/>
  <c r="Y99" i="24" s="1"/>
  <c r="H51" i="24"/>
  <c r="G51" i="24"/>
  <c r="CE51" i="6" s="1"/>
  <c r="AA51" i="24"/>
  <c r="Z51" i="24" s="1"/>
  <c r="Y51" i="24" s="1"/>
  <c r="G35" i="24"/>
  <c r="CE35" i="6" s="1"/>
  <c r="AA35" i="24"/>
  <c r="Z35" i="24" s="1"/>
  <c r="Y35" i="24" s="1"/>
  <c r="H177" i="24"/>
  <c r="H220" i="24"/>
  <c r="H212" i="24"/>
  <c r="H37" i="24"/>
  <c r="Y379" i="18"/>
  <c r="AL8" i="18"/>
  <c r="Z9" i="18"/>
  <c r="Z382" i="18"/>
  <c r="Z383" i="18"/>
  <c r="Z381" i="18"/>
  <c r="G39" i="19"/>
  <c r="D15" i="19"/>
  <c r="H41" i="24"/>
  <c r="H224" i="24"/>
  <c r="H104" i="24"/>
  <c r="H377" i="24"/>
  <c r="H265" i="24"/>
  <c r="H155" i="24"/>
  <c r="H370" i="24"/>
  <c r="H338" i="24"/>
  <c r="H290" i="24"/>
  <c r="AA333" i="23"/>
  <c r="Z333" i="23" s="1"/>
  <c r="Y333" i="23" s="1"/>
  <c r="G333" i="23"/>
  <c r="CD333" i="6" s="1"/>
  <c r="H333" i="23"/>
  <c r="AA119" i="23"/>
  <c r="Z119" i="23" s="1"/>
  <c r="Y119" i="23" s="1"/>
  <c r="H119" i="23"/>
  <c r="G119" i="23"/>
  <c r="CD119" i="6" s="1"/>
  <c r="AA149" i="23"/>
  <c r="Z149" i="23" s="1"/>
  <c r="Y149" i="23" s="1"/>
  <c r="G149" i="23"/>
  <c r="CD149" i="6" s="1"/>
  <c r="H149" i="23"/>
  <c r="AA180" i="23"/>
  <c r="Z180" i="23" s="1"/>
  <c r="Y180" i="23" s="1"/>
  <c r="G180" i="23"/>
  <c r="CD180" i="6" s="1"/>
  <c r="H180" i="23"/>
  <c r="H191" i="24"/>
  <c r="H89" i="24"/>
  <c r="J288" i="23"/>
  <c r="I288" i="23"/>
  <c r="H288" i="24" s="1"/>
  <c r="G272" i="23"/>
  <c r="CD272" i="6" s="1"/>
  <c r="AA272" i="23"/>
  <c r="Z272" i="23" s="1"/>
  <c r="Y272" i="23" s="1"/>
  <c r="H272" i="23"/>
  <c r="H361" i="24"/>
  <c r="H106" i="24"/>
  <c r="G33" i="24"/>
  <c r="CE33" i="6" s="1"/>
  <c r="AA33" i="24"/>
  <c r="Z33" i="24" s="1"/>
  <c r="Y33" i="24" s="1"/>
  <c r="H33" i="24"/>
  <c r="H97" i="24"/>
  <c r="G97" i="24"/>
  <c r="CE97" i="6" s="1"/>
  <c r="AA97" i="24"/>
  <c r="Z97" i="24" s="1"/>
  <c r="Y97" i="24" s="1"/>
  <c r="H186" i="24"/>
  <c r="G186" i="24"/>
  <c r="CE186" i="6" s="1"/>
  <c r="AA186" i="24"/>
  <c r="Z186" i="24" s="1"/>
  <c r="Y186" i="24" s="1"/>
  <c r="AA218" i="24"/>
  <c r="Z218" i="24" s="1"/>
  <c r="Y218" i="24" s="1"/>
  <c r="G218" i="24"/>
  <c r="CE218" i="6" s="1"/>
  <c r="H218" i="24"/>
  <c r="G266" i="24"/>
  <c r="CE266" i="6" s="1"/>
  <c r="AA266" i="24"/>
  <c r="Z266" i="24" s="1"/>
  <c r="Y266" i="24" s="1"/>
  <c r="G282" i="24"/>
  <c r="CE282" i="6" s="1"/>
  <c r="AA282" i="24"/>
  <c r="Z282" i="24" s="1"/>
  <c r="Y282" i="24" s="1"/>
  <c r="G298" i="24"/>
  <c r="CE298" i="6" s="1"/>
  <c r="AA298" i="24"/>
  <c r="Z298" i="24" s="1"/>
  <c r="Y298" i="24" s="1"/>
  <c r="G346" i="24"/>
  <c r="CE346" i="6" s="1"/>
  <c r="AA346" i="24"/>
  <c r="Z346" i="24" s="1"/>
  <c r="Y346" i="24" s="1"/>
  <c r="G41" i="24"/>
  <c r="CE41" i="6" s="1"/>
  <c r="AA41" i="24"/>
  <c r="Z41" i="24" s="1"/>
  <c r="Y41" i="24" s="1"/>
  <c r="AA73" i="24"/>
  <c r="Z73" i="24" s="1"/>
  <c r="Y73" i="24" s="1"/>
  <c r="H73" i="24"/>
  <c r="G73" i="24"/>
  <c r="CE73" i="6" s="1"/>
  <c r="W105" i="24"/>
  <c r="D105" i="24"/>
  <c r="E105" i="24" s="1"/>
  <c r="F105" i="24" s="1"/>
  <c r="AA169" i="24"/>
  <c r="Z169" i="24" s="1"/>
  <c r="Y169" i="24" s="1"/>
  <c r="G190" i="24"/>
  <c r="CE190" i="6" s="1"/>
  <c r="AA190" i="24"/>
  <c r="Z190" i="24" s="1"/>
  <c r="Y190" i="24" s="1"/>
  <c r="AA222" i="24"/>
  <c r="Z222" i="24" s="1"/>
  <c r="Y222" i="24" s="1"/>
  <c r="G222" i="24"/>
  <c r="CE222" i="6" s="1"/>
  <c r="H222" i="24"/>
  <c r="H238" i="24"/>
  <c r="AA238" i="24"/>
  <c r="Z238" i="24" s="1"/>
  <c r="Y238" i="24" s="1"/>
  <c r="G254" i="24"/>
  <c r="CE254" i="6" s="1"/>
  <c r="AA254" i="24"/>
  <c r="Z254" i="24" s="1"/>
  <c r="Y254" i="24" s="1"/>
  <c r="H254" i="24"/>
  <c r="H286" i="24"/>
  <c r="G286" i="24"/>
  <c r="CE286" i="6" s="1"/>
  <c r="AA286" i="24"/>
  <c r="Z286" i="24" s="1"/>
  <c r="Y286" i="24" s="1"/>
  <c r="H334" i="24"/>
  <c r="G340" i="24"/>
  <c r="CE340" i="6" s="1"/>
  <c r="AA340" i="24"/>
  <c r="Z340" i="24" s="1"/>
  <c r="Y340" i="24" s="1"/>
  <c r="G292" i="24"/>
  <c r="CE292" i="6" s="1"/>
  <c r="G276" i="24"/>
  <c r="CE276" i="6" s="1"/>
  <c r="AA276" i="24"/>
  <c r="Z276" i="24" s="1"/>
  <c r="Y276" i="24" s="1"/>
  <c r="H276" i="24"/>
  <c r="AA260" i="24"/>
  <c r="Z260" i="24" s="1"/>
  <c r="Y260" i="24" s="1"/>
  <c r="AA212" i="24"/>
  <c r="Z212" i="24" s="1"/>
  <c r="Y212" i="24" s="1"/>
  <c r="G212" i="24"/>
  <c r="CE212" i="6" s="1"/>
  <c r="W180" i="24"/>
  <c r="D180" i="24"/>
  <c r="E180" i="24" s="1"/>
  <c r="F180" i="24" s="1"/>
  <c r="G85" i="24"/>
  <c r="CE85" i="6" s="1"/>
  <c r="AA85" i="24"/>
  <c r="Z85" i="24" s="1"/>
  <c r="Y85" i="24" s="1"/>
  <c r="G53" i="24"/>
  <c r="CE53" i="6" s="1"/>
  <c r="H53" i="24"/>
  <c r="AA53" i="24"/>
  <c r="Z53" i="24" s="1"/>
  <c r="Y53" i="24" s="1"/>
  <c r="AA38" i="24"/>
  <c r="Z38" i="24" s="1"/>
  <c r="Y38" i="24" s="1"/>
  <c r="G38" i="24"/>
  <c r="CE38" i="6" s="1"/>
  <c r="H38" i="24"/>
  <c r="AA62" i="24"/>
  <c r="Z62" i="24" s="1"/>
  <c r="Y62" i="24" s="1"/>
  <c r="H62" i="24"/>
  <c r="G62" i="24"/>
  <c r="CE62" i="6" s="1"/>
  <c r="AA70" i="24"/>
  <c r="Z70" i="24" s="1"/>
  <c r="Y70" i="24" s="1"/>
  <c r="H70" i="24"/>
  <c r="G70" i="24"/>
  <c r="CE70" i="6" s="1"/>
  <c r="G86" i="24"/>
  <c r="CE86" i="6" s="1"/>
  <c r="G102" i="24"/>
  <c r="CE102" i="6" s="1"/>
  <c r="AA102" i="24"/>
  <c r="Z102" i="24" s="1"/>
  <c r="Y102" i="24" s="1"/>
  <c r="G110" i="24"/>
  <c r="CE110" i="6" s="1"/>
  <c r="AA110" i="24"/>
  <c r="Z110" i="24" s="1"/>
  <c r="Y110" i="24" s="1"/>
  <c r="D166" i="24"/>
  <c r="E166" i="24" s="1"/>
  <c r="F166" i="24" s="1"/>
  <c r="W166" i="24"/>
  <c r="G377" i="24"/>
  <c r="CE377" i="6" s="1"/>
  <c r="AA377" i="24"/>
  <c r="Z377" i="24" s="1"/>
  <c r="Y377" i="24" s="1"/>
  <c r="G361" i="24"/>
  <c r="CE361" i="6" s="1"/>
  <c r="AA361" i="24"/>
  <c r="Z361" i="24" s="1"/>
  <c r="Y361" i="24" s="1"/>
  <c r="G353" i="24"/>
  <c r="CE353" i="6" s="1"/>
  <c r="AA353" i="24"/>
  <c r="Z353" i="24" s="1"/>
  <c r="Y353" i="24" s="1"/>
  <c r="H353" i="24"/>
  <c r="G305" i="24"/>
  <c r="CE305" i="6" s="1"/>
  <c r="H305" i="24"/>
  <c r="AA305" i="24"/>
  <c r="Z305" i="24" s="1"/>
  <c r="Y305" i="24" s="1"/>
  <c r="H289" i="24"/>
  <c r="G289" i="24"/>
  <c r="CE289" i="6" s="1"/>
  <c r="AA289" i="24"/>
  <c r="Z289" i="24" s="1"/>
  <c r="Y289" i="24" s="1"/>
  <c r="G281" i="24"/>
  <c r="CE281" i="6" s="1"/>
  <c r="AA281" i="24"/>
  <c r="Z281" i="24" s="1"/>
  <c r="Y281" i="24" s="1"/>
  <c r="G273" i="24"/>
  <c r="CE273" i="6" s="1"/>
  <c r="AA273" i="24"/>
  <c r="Z273" i="24" s="1"/>
  <c r="Y273" i="24" s="1"/>
  <c r="G265" i="24"/>
  <c r="CE265" i="6" s="1"/>
  <c r="AA265" i="24"/>
  <c r="Z265" i="24" s="1"/>
  <c r="Y265" i="24" s="1"/>
  <c r="G257" i="24"/>
  <c r="CE257" i="6" s="1"/>
  <c r="H257" i="24"/>
  <c r="AA257" i="24"/>
  <c r="Z257" i="24" s="1"/>
  <c r="Y257" i="24" s="1"/>
  <c r="G249" i="24"/>
  <c r="CE249" i="6" s="1"/>
  <c r="AA249" i="24"/>
  <c r="Z249" i="24" s="1"/>
  <c r="Y249" i="24" s="1"/>
  <c r="H225" i="24"/>
  <c r="AA225" i="24"/>
  <c r="Z225" i="24" s="1"/>
  <c r="Y225" i="24" s="1"/>
  <c r="G225" i="24"/>
  <c r="CE225" i="6" s="1"/>
  <c r="G217" i="24"/>
  <c r="CE217" i="6" s="1"/>
  <c r="AA217" i="24"/>
  <c r="Z217" i="24" s="1"/>
  <c r="Y217" i="24" s="1"/>
  <c r="AA209" i="24"/>
  <c r="Z209" i="24" s="1"/>
  <c r="Y209" i="24" s="1"/>
  <c r="G201" i="24"/>
  <c r="CE201" i="6" s="1"/>
  <c r="AA201" i="24"/>
  <c r="Z201" i="24" s="1"/>
  <c r="Y201" i="24" s="1"/>
  <c r="G193" i="24"/>
  <c r="CE193" i="6" s="1"/>
  <c r="AA193" i="24"/>
  <c r="Z193" i="24" s="1"/>
  <c r="Y193" i="24" s="1"/>
  <c r="G159" i="24"/>
  <c r="CE159" i="6" s="1"/>
  <c r="H159" i="24"/>
  <c r="AA159" i="24"/>
  <c r="Z159" i="24" s="1"/>
  <c r="Y159" i="24" s="1"/>
  <c r="G127" i="24"/>
  <c r="CE127" i="6" s="1"/>
  <c r="AA127" i="24"/>
  <c r="Z127" i="24" s="1"/>
  <c r="Y127" i="24" s="1"/>
  <c r="H127" i="24"/>
  <c r="G24" i="24"/>
  <c r="CE24" i="6" s="1"/>
  <c r="AA24" i="24"/>
  <c r="Z24" i="24" s="1"/>
  <c r="Y24" i="24" s="1"/>
  <c r="H24" i="24"/>
  <c r="AA368" i="24"/>
  <c r="Z368" i="24" s="1"/>
  <c r="Y368" i="24" s="1"/>
  <c r="H368" i="24"/>
  <c r="G368" i="24"/>
  <c r="CE368" i="6" s="1"/>
  <c r="G336" i="24"/>
  <c r="CE336" i="6" s="1"/>
  <c r="AA336" i="24"/>
  <c r="Z336" i="24" s="1"/>
  <c r="Y336" i="24" s="1"/>
  <c r="W272" i="24"/>
  <c r="D272" i="24"/>
  <c r="E272" i="24" s="1"/>
  <c r="F272" i="24" s="1"/>
  <c r="G240" i="24"/>
  <c r="CE240" i="6" s="1"/>
  <c r="H240" i="24"/>
  <c r="AA240" i="24"/>
  <c r="Z240" i="24" s="1"/>
  <c r="Y240" i="24" s="1"/>
  <c r="G173" i="24"/>
  <c r="CE173" i="6" s="1"/>
  <c r="AA173" i="24"/>
  <c r="Z173" i="24" s="1"/>
  <c r="Y173" i="24" s="1"/>
  <c r="G141" i="24"/>
  <c r="CE141" i="6" s="1"/>
  <c r="G22" i="24"/>
  <c r="CE22" i="6" s="1"/>
  <c r="G40" i="24"/>
  <c r="CE40" i="6" s="1"/>
  <c r="AA40" i="24"/>
  <c r="Z40" i="24" s="1"/>
  <c r="Y40" i="24" s="1"/>
  <c r="G48" i="24"/>
  <c r="CE48" i="6" s="1"/>
  <c r="AA48" i="24"/>
  <c r="Z48" i="24" s="1"/>
  <c r="Y48" i="24" s="1"/>
  <c r="H48" i="24"/>
  <c r="H64" i="24"/>
  <c r="G64" i="24"/>
  <c r="CE64" i="6" s="1"/>
  <c r="AA64" i="24"/>
  <c r="Z64" i="24" s="1"/>
  <c r="Y64" i="24" s="1"/>
  <c r="D69" i="19"/>
  <c r="AA96" i="24"/>
  <c r="Z96" i="24" s="1"/>
  <c r="Y96" i="24" s="1"/>
  <c r="G96" i="24"/>
  <c r="CE96" i="6" s="1"/>
  <c r="G104" i="24"/>
  <c r="CE104" i="6" s="1"/>
  <c r="AA104" i="24"/>
  <c r="Z104" i="24" s="1"/>
  <c r="Y104" i="24" s="1"/>
  <c r="H128" i="24"/>
  <c r="G128" i="24"/>
  <c r="CE128" i="6" s="1"/>
  <c r="AA128" i="24"/>
  <c r="Z128" i="24" s="1"/>
  <c r="Y128" i="24" s="1"/>
  <c r="H152" i="24"/>
  <c r="G152" i="24"/>
  <c r="CE152" i="6" s="1"/>
  <c r="AA152" i="24"/>
  <c r="Z152" i="24" s="1"/>
  <c r="Y152" i="24" s="1"/>
  <c r="G375" i="24"/>
  <c r="CE375" i="6" s="1"/>
  <c r="AA375" i="24"/>
  <c r="Z375" i="24" s="1"/>
  <c r="Y375" i="24" s="1"/>
  <c r="H367" i="24"/>
  <c r="AA367" i="24"/>
  <c r="Z367" i="24" s="1"/>
  <c r="Y367" i="24" s="1"/>
  <c r="G367" i="24"/>
  <c r="CE367" i="6" s="1"/>
  <c r="AA335" i="24"/>
  <c r="Z335" i="24" s="1"/>
  <c r="Y335" i="24" s="1"/>
  <c r="H335" i="24"/>
  <c r="G335" i="24"/>
  <c r="CE335" i="6" s="1"/>
  <c r="H311" i="24"/>
  <c r="G311" i="24"/>
  <c r="CE311" i="6" s="1"/>
  <c r="AA311" i="24"/>
  <c r="Z311" i="24" s="1"/>
  <c r="Y311" i="24" s="1"/>
  <c r="AA295" i="24"/>
  <c r="Z295" i="24" s="1"/>
  <c r="Y295" i="24" s="1"/>
  <c r="G295" i="24"/>
  <c r="CE295" i="6" s="1"/>
  <c r="H295" i="24"/>
  <c r="G279" i="24"/>
  <c r="CE279" i="6" s="1"/>
  <c r="AA279" i="24"/>
  <c r="Z279" i="24" s="1"/>
  <c r="Y279" i="24" s="1"/>
  <c r="G263" i="24"/>
  <c r="CE263" i="6" s="1"/>
  <c r="AA263" i="24"/>
  <c r="Z263" i="24" s="1"/>
  <c r="Y263" i="24" s="1"/>
  <c r="G199" i="24"/>
  <c r="CE199" i="6" s="1"/>
  <c r="AA199" i="24"/>
  <c r="Z199" i="24" s="1"/>
  <c r="Y199" i="24" s="1"/>
  <c r="G191" i="24"/>
  <c r="CE191" i="6" s="1"/>
  <c r="AA191" i="24"/>
  <c r="Z191" i="24" s="1"/>
  <c r="Y191" i="24" s="1"/>
  <c r="G171" i="24"/>
  <c r="CE171" i="6" s="1"/>
  <c r="AA171" i="24"/>
  <c r="Z171" i="24" s="1"/>
  <c r="Y171" i="24" s="1"/>
  <c r="G155" i="24"/>
  <c r="CE155" i="6" s="1"/>
  <c r="AA155" i="24"/>
  <c r="Z155" i="24" s="1"/>
  <c r="Y155" i="24" s="1"/>
  <c r="G139" i="24"/>
  <c r="CE139" i="6" s="1"/>
  <c r="AA139" i="24"/>
  <c r="Z139" i="24" s="1"/>
  <c r="Y139" i="24" s="1"/>
  <c r="G107" i="24"/>
  <c r="CE107" i="6" s="1"/>
  <c r="AA107" i="24"/>
  <c r="Z107" i="24" s="1"/>
  <c r="Y107" i="24" s="1"/>
  <c r="G43" i="24"/>
  <c r="CE43" i="6" s="1"/>
  <c r="AA43" i="24"/>
  <c r="Z43" i="24" s="1"/>
  <c r="Y43" i="24" s="1"/>
  <c r="H129" i="24"/>
  <c r="H324" i="24"/>
  <c r="H190" i="24"/>
  <c r="J382" i="18"/>
  <c r="J383" i="18"/>
  <c r="J381" i="18"/>
  <c r="F40" i="19"/>
  <c r="C16" i="19"/>
  <c r="C31" i="19" s="1"/>
  <c r="AA379" i="20"/>
  <c r="G379" i="20"/>
  <c r="CB379" i="6" s="1"/>
  <c r="H379" i="20"/>
  <c r="F9" i="20"/>
  <c r="AM10" i="20"/>
  <c r="F382" i="20"/>
  <c r="F381" i="20"/>
  <c r="F383" i="20"/>
  <c r="AK10" i="20"/>
  <c r="AK12" i="20" s="1"/>
  <c r="AK13" i="20" s="1"/>
  <c r="H169" i="24"/>
  <c r="H249" i="24"/>
  <c r="H193" i="24"/>
  <c r="J29" i="23"/>
  <c r="I29" i="23"/>
  <c r="H282" i="24"/>
  <c r="W379" i="23"/>
  <c r="D379" i="23"/>
  <c r="E379" i="23" s="1"/>
  <c r="F379" i="23" s="1"/>
  <c r="H375" i="24"/>
  <c r="H279" i="24"/>
  <c r="H263" i="24"/>
  <c r="H217" i="24"/>
  <c r="J74" i="23"/>
  <c r="I74" i="23"/>
  <c r="H74" i="24" s="1"/>
  <c r="I74" i="24" s="1"/>
  <c r="H139" i="24"/>
  <c r="H346" i="24"/>
  <c r="AA81" i="24"/>
  <c r="Z81" i="24" s="1"/>
  <c r="Y81" i="24" s="1"/>
  <c r="H81" i="24"/>
  <c r="G81" i="24"/>
  <c r="CE81" i="6" s="1"/>
  <c r="G194" i="24"/>
  <c r="CE194" i="6" s="1"/>
  <c r="AA194" i="24"/>
  <c r="Z194" i="24" s="1"/>
  <c r="Y194" i="24" s="1"/>
  <c r="D258" i="24"/>
  <c r="E258" i="24" s="1"/>
  <c r="F258" i="24" s="1"/>
  <c r="W258" i="24"/>
  <c r="G274" i="24"/>
  <c r="CE274" i="6" s="1"/>
  <c r="AA274" i="24"/>
  <c r="Z274" i="24" s="1"/>
  <c r="Y274" i="24" s="1"/>
  <c r="G290" i="24"/>
  <c r="CE290" i="6" s="1"/>
  <c r="AA290" i="24"/>
  <c r="Z290" i="24" s="1"/>
  <c r="Y290" i="24" s="1"/>
  <c r="AA306" i="24"/>
  <c r="Z306" i="24" s="1"/>
  <c r="Y306" i="24" s="1"/>
  <c r="G338" i="24"/>
  <c r="CE338" i="6" s="1"/>
  <c r="AA338" i="24"/>
  <c r="Z338" i="24" s="1"/>
  <c r="Y338" i="24" s="1"/>
  <c r="G354" i="24"/>
  <c r="CE354" i="6" s="1"/>
  <c r="AA354" i="24"/>
  <c r="Z354" i="24" s="1"/>
  <c r="Y354" i="24" s="1"/>
  <c r="G121" i="24"/>
  <c r="CE121" i="6" s="1"/>
  <c r="H121" i="24"/>
  <c r="AA121" i="24"/>
  <c r="Z121" i="24" s="1"/>
  <c r="Y121" i="24" s="1"/>
  <c r="AA153" i="24"/>
  <c r="Z153" i="24" s="1"/>
  <c r="Y153" i="24" s="1"/>
  <c r="G153" i="24"/>
  <c r="CE153" i="6" s="1"/>
  <c r="H153" i="24"/>
  <c r="H198" i="24"/>
  <c r="G198" i="24"/>
  <c r="CE198" i="6" s="1"/>
  <c r="AA198" i="24"/>
  <c r="Z198" i="24" s="1"/>
  <c r="Y198" i="24" s="1"/>
  <c r="H214" i="24"/>
  <c r="G230" i="24"/>
  <c r="CE230" i="6" s="1"/>
  <c r="H230" i="24"/>
  <c r="AA230" i="24"/>
  <c r="Z230" i="24" s="1"/>
  <c r="Y230" i="24" s="1"/>
  <c r="G262" i="24"/>
  <c r="CE262" i="6" s="1"/>
  <c r="AA262" i="24"/>
  <c r="Z262" i="24" s="1"/>
  <c r="Y262" i="24" s="1"/>
  <c r="G278" i="24"/>
  <c r="CE278" i="6" s="1"/>
  <c r="G294" i="24"/>
  <c r="CE294" i="6" s="1"/>
  <c r="AA294" i="24"/>
  <c r="Z294" i="24" s="1"/>
  <c r="Y294" i="24" s="1"/>
  <c r="AA310" i="24"/>
  <c r="Z310" i="24" s="1"/>
  <c r="Y310" i="24" s="1"/>
  <c r="G310" i="24"/>
  <c r="CE310" i="6" s="1"/>
  <c r="H310" i="24"/>
  <c r="G326" i="24"/>
  <c r="CE326" i="6" s="1"/>
  <c r="AA326" i="24"/>
  <c r="Z326" i="24" s="1"/>
  <c r="Y326" i="24" s="1"/>
  <c r="H364" i="24"/>
  <c r="G364" i="24"/>
  <c r="CE364" i="6" s="1"/>
  <c r="AA364" i="24"/>
  <c r="Z364" i="24" s="1"/>
  <c r="Y364" i="24" s="1"/>
  <c r="H348" i="24"/>
  <c r="AA348" i="24"/>
  <c r="Z348" i="24" s="1"/>
  <c r="Y348" i="24" s="1"/>
  <c r="G348" i="24"/>
  <c r="CE348" i="6" s="1"/>
  <c r="AA332" i="24"/>
  <c r="Z332" i="24" s="1"/>
  <c r="Y332" i="24" s="1"/>
  <c r="G332" i="24"/>
  <c r="CE332" i="6" s="1"/>
  <c r="H332" i="24"/>
  <c r="H300" i="24"/>
  <c r="AA300" i="24"/>
  <c r="Z300" i="24" s="1"/>
  <c r="Y300" i="24" s="1"/>
  <c r="G300" i="24"/>
  <c r="CE300" i="6" s="1"/>
  <c r="H236" i="24"/>
  <c r="G236" i="24"/>
  <c r="CE236" i="6" s="1"/>
  <c r="AA236" i="24"/>
  <c r="Z236" i="24" s="1"/>
  <c r="Y236" i="24" s="1"/>
  <c r="G188" i="24"/>
  <c r="CE188" i="6" s="1"/>
  <c r="AA188" i="24"/>
  <c r="Z188" i="24" s="1"/>
  <c r="Y188" i="24" s="1"/>
  <c r="H188" i="24"/>
  <c r="G165" i="24"/>
  <c r="CE165" i="6" s="1"/>
  <c r="AA165" i="24"/>
  <c r="Z165" i="24" s="1"/>
  <c r="Y165" i="24" s="1"/>
  <c r="G37" i="24"/>
  <c r="CE37" i="6" s="1"/>
  <c r="AA37" i="24"/>
  <c r="Z37" i="24" s="1"/>
  <c r="Y37" i="24" s="1"/>
  <c r="G26" i="24"/>
  <c r="CE26" i="6" s="1"/>
  <c r="H26" i="24"/>
  <c r="AA26" i="24"/>
  <c r="Z26" i="24" s="1"/>
  <c r="Y26" i="24" s="1"/>
  <c r="G42" i="24"/>
  <c r="CE42" i="6" s="1"/>
  <c r="AA42" i="24"/>
  <c r="Z42" i="24" s="1"/>
  <c r="Y42" i="24" s="1"/>
  <c r="H42" i="24"/>
  <c r="G50" i="24"/>
  <c r="CE50" i="6" s="1"/>
  <c r="G114" i="24"/>
  <c r="CE114" i="6" s="1"/>
  <c r="H114" i="24"/>
  <c r="AA114" i="24"/>
  <c r="Z114" i="24" s="1"/>
  <c r="Y114" i="24" s="1"/>
  <c r="G138" i="24"/>
  <c r="CE138" i="6" s="1"/>
  <c r="H138" i="24"/>
  <c r="AA138" i="24"/>
  <c r="Z138" i="24" s="1"/>
  <c r="Y138" i="24" s="1"/>
  <c r="G146" i="24"/>
  <c r="CE146" i="6" s="1"/>
  <c r="AA146" i="24"/>
  <c r="Z146" i="24" s="1"/>
  <c r="Y146" i="24" s="1"/>
  <c r="H146" i="24"/>
  <c r="AA154" i="24"/>
  <c r="Z154" i="24" s="1"/>
  <c r="Y154" i="24" s="1"/>
  <c r="H154" i="24"/>
  <c r="G154" i="24"/>
  <c r="CE154" i="6" s="1"/>
  <c r="G170" i="24"/>
  <c r="CE170" i="6" s="1"/>
  <c r="AA170" i="24"/>
  <c r="Z170" i="24" s="1"/>
  <c r="Y170" i="24" s="1"/>
  <c r="W333" i="24"/>
  <c r="D333" i="24"/>
  <c r="E333" i="24" s="1"/>
  <c r="F333" i="24" s="1"/>
  <c r="H309" i="24"/>
  <c r="AA309" i="24"/>
  <c r="Z309" i="24" s="1"/>
  <c r="Y309" i="24" s="1"/>
  <c r="G309" i="24"/>
  <c r="CE309" i="6" s="1"/>
  <c r="H237" i="24"/>
  <c r="AA237" i="24"/>
  <c r="Z237" i="24" s="1"/>
  <c r="Y237" i="24" s="1"/>
  <c r="G237" i="24"/>
  <c r="CE237" i="6" s="1"/>
  <c r="G221" i="24"/>
  <c r="CE221" i="6" s="1"/>
  <c r="AA221" i="24"/>
  <c r="Z221" i="24" s="1"/>
  <c r="Y221" i="24" s="1"/>
  <c r="H221" i="24"/>
  <c r="AA213" i="24"/>
  <c r="Z213" i="24" s="1"/>
  <c r="Y213" i="24" s="1"/>
  <c r="H213" i="24"/>
  <c r="G213" i="24"/>
  <c r="CE213" i="6" s="1"/>
  <c r="H205" i="24"/>
  <c r="G205" i="24"/>
  <c r="CE205" i="6" s="1"/>
  <c r="AA205" i="24"/>
  <c r="Z205" i="24" s="1"/>
  <c r="Y205" i="24" s="1"/>
  <c r="AA197" i="24"/>
  <c r="Z197" i="24" s="1"/>
  <c r="Y197" i="24" s="1"/>
  <c r="G167" i="24"/>
  <c r="CE167" i="6" s="1"/>
  <c r="AA167" i="24"/>
  <c r="Z167" i="24" s="1"/>
  <c r="Y167" i="24" s="1"/>
  <c r="D135" i="24"/>
  <c r="E135" i="24" s="1"/>
  <c r="F135" i="24" s="1"/>
  <c r="W135" i="24"/>
  <c r="D119" i="24"/>
  <c r="E119" i="24" s="1"/>
  <c r="F119" i="24" s="1"/>
  <c r="W119" i="24"/>
  <c r="G103" i="24"/>
  <c r="CE103" i="6" s="1"/>
  <c r="AA103" i="24"/>
  <c r="Z103" i="24" s="1"/>
  <c r="Y103" i="24" s="1"/>
  <c r="H103" i="24"/>
  <c r="G55" i="24"/>
  <c r="CE55" i="6" s="1"/>
  <c r="AA55" i="24"/>
  <c r="Z55" i="24" s="1"/>
  <c r="Y55" i="24" s="1"/>
  <c r="G312" i="24"/>
  <c r="CE312" i="6" s="1"/>
  <c r="G264" i="24"/>
  <c r="CE264" i="6" s="1"/>
  <c r="AA264" i="24"/>
  <c r="Z264" i="24" s="1"/>
  <c r="Y264" i="24" s="1"/>
  <c r="H264" i="24"/>
  <c r="AA232" i="24"/>
  <c r="Z232" i="24" s="1"/>
  <c r="Y232" i="24" s="1"/>
  <c r="H232" i="24"/>
  <c r="G232" i="24"/>
  <c r="CE232" i="6" s="1"/>
  <c r="G61" i="24"/>
  <c r="CE61" i="6" s="1"/>
  <c r="S15" i="24"/>
  <c r="T381" i="24"/>
  <c r="T382" i="24"/>
  <c r="T383" i="24"/>
  <c r="C69" i="19"/>
  <c r="G76" i="24"/>
  <c r="CE76" i="6" s="1"/>
  <c r="H76" i="24"/>
  <c r="AA76" i="24"/>
  <c r="Z76" i="24" s="1"/>
  <c r="Y76" i="24" s="1"/>
  <c r="G92" i="24"/>
  <c r="CE92" i="6" s="1"/>
  <c r="AA92" i="24"/>
  <c r="Z92" i="24" s="1"/>
  <c r="Y92" i="24" s="1"/>
  <c r="G100" i="24"/>
  <c r="CE100" i="6" s="1"/>
  <c r="G116" i="24"/>
  <c r="CE116" i="6" s="1"/>
  <c r="AA124" i="24"/>
  <c r="Z124" i="24" s="1"/>
  <c r="Y124" i="24" s="1"/>
  <c r="H124" i="24"/>
  <c r="G156" i="24"/>
  <c r="CE156" i="6" s="1"/>
  <c r="AA156" i="24"/>
  <c r="Z156" i="24" s="1"/>
  <c r="Y156" i="24" s="1"/>
  <c r="AA172" i="24"/>
  <c r="Z172" i="24" s="1"/>
  <c r="Y172" i="24" s="1"/>
  <c r="U30" i="25"/>
  <c r="T30" i="25" s="1"/>
  <c r="S30" i="25" s="1"/>
  <c r="R30" i="25" s="1"/>
  <c r="P30" i="25" s="1"/>
  <c r="V30" i="25" s="1"/>
  <c r="U62" i="25"/>
  <c r="T62" i="25" s="1"/>
  <c r="S62" i="25" s="1"/>
  <c r="R62" i="25" s="1"/>
  <c r="P62" i="25" s="1"/>
  <c r="V62" i="25" s="1"/>
  <c r="U94" i="25"/>
  <c r="T94" i="25" s="1"/>
  <c r="S94" i="25" s="1"/>
  <c r="R94" i="25" s="1"/>
  <c r="P94" i="25" s="1"/>
  <c r="V94" i="25" s="1"/>
  <c r="BE16" i="7"/>
  <c r="U46" i="25"/>
  <c r="T46" i="25" s="1"/>
  <c r="S46" i="25" s="1"/>
  <c r="R46" i="25" s="1"/>
  <c r="P46" i="25" s="1"/>
  <c r="V46" i="25" s="1"/>
  <c r="U78" i="25"/>
  <c r="T78" i="25" s="1"/>
  <c r="S78" i="25" s="1"/>
  <c r="R78" i="25" s="1"/>
  <c r="P78" i="25" s="1"/>
  <c r="V78" i="25" s="1"/>
  <c r="U16" i="25"/>
  <c r="T16" i="25" s="1"/>
  <c r="S16" i="25" s="1"/>
  <c r="R16" i="25" s="1"/>
  <c r="P16" i="25" s="1"/>
  <c r="V16" i="25" s="1"/>
  <c r="U86" i="25"/>
  <c r="T86" i="25" s="1"/>
  <c r="S86" i="25" s="1"/>
  <c r="R86" i="25" s="1"/>
  <c r="P86" i="25" s="1"/>
  <c r="V86" i="25" s="1"/>
  <c r="U54" i="25"/>
  <c r="T54" i="25" s="1"/>
  <c r="S54" i="25" s="1"/>
  <c r="R54" i="25" s="1"/>
  <c r="P54" i="25" s="1"/>
  <c r="V54" i="25" s="1"/>
  <c r="U17" i="25"/>
  <c r="T17" i="25" s="1"/>
  <c r="S17" i="25" s="1"/>
  <c r="R17" i="25" s="1"/>
  <c r="P17" i="25" s="1"/>
  <c r="V17" i="25" s="1"/>
  <c r="U90" i="25"/>
  <c r="T90" i="25" s="1"/>
  <c r="S90" i="25" s="1"/>
  <c r="R90" i="25" s="1"/>
  <c r="P90" i="25" s="1"/>
  <c r="V90" i="25" s="1"/>
  <c r="U74" i="25"/>
  <c r="T74" i="25" s="1"/>
  <c r="S74" i="25" s="1"/>
  <c r="R74" i="25" s="1"/>
  <c r="P74" i="25" s="1"/>
  <c r="V74" i="25" s="1"/>
  <c r="U58" i="25"/>
  <c r="T58" i="25" s="1"/>
  <c r="S58" i="25" s="1"/>
  <c r="R58" i="25" s="1"/>
  <c r="P58" i="25" s="1"/>
  <c r="V58" i="25" s="1"/>
  <c r="U42" i="25"/>
  <c r="T42" i="25" s="1"/>
  <c r="S42" i="25" s="1"/>
  <c r="R42" i="25" s="1"/>
  <c r="P42" i="25" s="1"/>
  <c r="V42" i="25" s="1"/>
  <c r="U27" i="25"/>
  <c r="T27" i="25" s="1"/>
  <c r="S27" i="25" s="1"/>
  <c r="R27" i="25" s="1"/>
  <c r="P27" i="25" s="1"/>
  <c r="V27" i="25" s="1"/>
  <c r="U21" i="25"/>
  <c r="T21" i="25" s="1"/>
  <c r="S21" i="25" s="1"/>
  <c r="R21" i="25" s="1"/>
  <c r="P21" i="25" s="1"/>
  <c r="V21" i="25" s="1"/>
  <c r="U23" i="25"/>
  <c r="T23" i="25" s="1"/>
  <c r="S23" i="25" s="1"/>
  <c r="R23" i="25" s="1"/>
  <c r="P23" i="25" s="1"/>
  <c r="V23" i="25" s="1"/>
  <c r="U22" i="25"/>
  <c r="T22" i="25" s="1"/>
  <c r="S22" i="25" s="1"/>
  <c r="R22" i="25" s="1"/>
  <c r="P22" i="25" s="1"/>
  <c r="V22" i="25" s="1"/>
  <c r="U31" i="25"/>
  <c r="T31" i="25" s="1"/>
  <c r="S31" i="25" s="1"/>
  <c r="R31" i="25" s="1"/>
  <c r="P31" i="25" s="1"/>
  <c r="V31" i="25" s="1"/>
  <c r="U35" i="25"/>
  <c r="T35" i="25" s="1"/>
  <c r="S35" i="25" s="1"/>
  <c r="R35" i="25" s="1"/>
  <c r="P35" i="25" s="1"/>
  <c r="V35" i="25" s="1"/>
  <c r="U39" i="25"/>
  <c r="T39" i="25" s="1"/>
  <c r="S39" i="25" s="1"/>
  <c r="R39" i="25" s="1"/>
  <c r="P39" i="25" s="1"/>
  <c r="V39" i="25" s="1"/>
  <c r="U43" i="25"/>
  <c r="T43" i="25" s="1"/>
  <c r="S43" i="25" s="1"/>
  <c r="R43" i="25" s="1"/>
  <c r="P43" i="25" s="1"/>
  <c r="V43" i="25" s="1"/>
  <c r="U47" i="25"/>
  <c r="T47" i="25" s="1"/>
  <c r="S47" i="25" s="1"/>
  <c r="R47" i="25" s="1"/>
  <c r="P47" i="25" s="1"/>
  <c r="V47" i="25" s="1"/>
  <c r="U51" i="25"/>
  <c r="T51" i="25" s="1"/>
  <c r="S51" i="25" s="1"/>
  <c r="R51" i="25" s="1"/>
  <c r="P51" i="25" s="1"/>
  <c r="V51" i="25" s="1"/>
  <c r="U55" i="25"/>
  <c r="T55" i="25" s="1"/>
  <c r="S55" i="25" s="1"/>
  <c r="R55" i="25" s="1"/>
  <c r="P55" i="25" s="1"/>
  <c r="V55" i="25" s="1"/>
  <c r="U59" i="25"/>
  <c r="T59" i="25" s="1"/>
  <c r="S59" i="25" s="1"/>
  <c r="R59" i="25" s="1"/>
  <c r="P59" i="25" s="1"/>
  <c r="V59" i="25" s="1"/>
  <c r="U63" i="25"/>
  <c r="T63" i="25" s="1"/>
  <c r="S63" i="25" s="1"/>
  <c r="R63" i="25" s="1"/>
  <c r="P63" i="25" s="1"/>
  <c r="V63" i="25" s="1"/>
  <c r="U67" i="25"/>
  <c r="T67" i="25" s="1"/>
  <c r="S67" i="25" s="1"/>
  <c r="R67" i="25" s="1"/>
  <c r="P67" i="25" s="1"/>
  <c r="V67" i="25" s="1"/>
  <c r="U71" i="25"/>
  <c r="T71" i="25" s="1"/>
  <c r="S71" i="25" s="1"/>
  <c r="R71" i="25" s="1"/>
  <c r="P71" i="25" s="1"/>
  <c r="V71" i="25" s="1"/>
  <c r="U75" i="25"/>
  <c r="T75" i="25" s="1"/>
  <c r="S75" i="25" s="1"/>
  <c r="R75" i="25" s="1"/>
  <c r="P75" i="25" s="1"/>
  <c r="V75" i="25" s="1"/>
  <c r="U79" i="25"/>
  <c r="T79" i="25" s="1"/>
  <c r="S79" i="25" s="1"/>
  <c r="R79" i="25" s="1"/>
  <c r="P79" i="25" s="1"/>
  <c r="V79" i="25" s="1"/>
  <c r="U83" i="25"/>
  <c r="T83" i="25" s="1"/>
  <c r="S83" i="25" s="1"/>
  <c r="R83" i="25" s="1"/>
  <c r="P83" i="25" s="1"/>
  <c r="V83" i="25" s="1"/>
  <c r="U87" i="25"/>
  <c r="T87" i="25" s="1"/>
  <c r="S87" i="25" s="1"/>
  <c r="R87" i="25" s="1"/>
  <c r="P87" i="25" s="1"/>
  <c r="V87" i="25" s="1"/>
  <c r="U91" i="25"/>
  <c r="T91" i="25" s="1"/>
  <c r="S91" i="25" s="1"/>
  <c r="R91" i="25" s="1"/>
  <c r="P91" i="25" s="1"/>
  <c r="V91" i="25" s="1"/>
  <c r="U95" i="25"/>
  <c r="T95" i="25" s="1"/>
  <c r="S95" i="25" s="1"/>
  <c r="R95" i="25" s="1"/>
  <c r="P95" i="25" s="1"/>
  <c r="V95" i="25" s="1"/>
  <c r="U99" i="25"/>
  <c r="T99" i="25" s="1"/>
  <c r="S99" i="25" s="1"/>
  <c r="R99" i="25" s="1"/>
  <c r="P99" i="25" s="1"/>
  <c r="V99" i="25" s="1"/>
  <c r="U103" i="25"/>
  <c r="T103" i="25" s="1"/>
  <c r="S103" i="25" s="1"/>
  <c r="R103" i="25" s="1"/>
  <c r="P103" i="25" s="1"/>
  <c r="V103" i="25" s="1"/>
  <c r="U100" i="25"/>
  <c r="T100" i="25" s="1"/>
  <c r="S100" i="25" s="1"/>
  <c r="R100" i="25" s="1"/>
  <c r="P100" i="25" s="1"/>
  <c r="V100" i="25" s="1"/>
  <c r="U92" i="25"/>
  <c r="T92" i="25" s="1"/>
  <c r="S92" i="25" s="1"/>
  <c r="R92" i="25" s="1"/>
  <c r="P92" i="25" s="1"/>
  <c r="V92" i="25" s="1"/>
  <c r="U84" i="25"/>
  <c r="T84" i="25" s="1"/>
  <c r="S84" i="25" s="1"/>
  <c r="R84" i="25" s="1"/>
  <c r="P84" i="25" s="1"/>
  <c r="V84" i="25" s="1"/>
  <c r="U76" i="25"/>
  <c r="T76" i="25" s="1"/>
  <c r="S76" i="25" s="1"/>
  <c r="R76" i="25" s="1"/>
  <c r="P76" i="25" s="1"/>
  <c r="V76" i="25" s="1"/>
  <c r="U68" i="25"/>
  <c r="T68" i="25" s="1"/>
  <c r="S68" i="25" s="1"/>
  <c r="R68" i="25" s="1"/>
  <c r="P68" i="25" s="1"/>
  <c r="V68" i="25" s="1"/>
  <c r="U60" i="25"/>
  <c r="T60" i="25" s="1"/>
  <c r="S60" i="25" s="1"/>
  <c r="R60" i="25" s="1"/>
  <c r="P60" i="25" s="1"/>
  <c r="U52" i="25"/>
  <c r="T52" i="25" s="1"/>
  <c r="S52" i="25" s="1"/>
  <c r="R52" i="25" s="1"/>
  <c r="P52" i="25" s="1"/>
  <c r="V52" i="25" s="1"/>
  <c r="U44" i="25"/>
  <c r="T44" i="25" s="1"/>
  <c r="S44" i="25" s="1"/>
  <c r="R44" i="25" s="1"/>
  <c r="P44" i="25" s="1"/>
  <c r="V44" i="25" s="1"/>
  <c r="U36" i="25"/>
  <c r="T36" i="25" s="1"/>
  <c r="S36" i="25" s="1"/>
  <c r="R36" i="25" s="1"/>
  <c r="P36" i="25" s="1"/>
  <c r="V36" i="25" s="1"/>
  <c r="U28" i="25"/>
  <c r="T28" i="25" s="1"/>
  <c r="S28" i="25" s="1"/>
  <c r="R28" i="25" s="1"/>
  <c r="P28" i="25" s="1"/>
  <c r="V28" i="25" s="1"/>
  <c r="U18" i="25"/>
  <c r="T18" i="25" s="1"/>
  <c r="S18" i="25" s="1"/>
  <c r="R18" i="25" s="1"/>
  <c r="P18" i="25" s="1"/>
  <c r="V18" i="25" s="1"/>
  <c r="AI11" i="25"/>
  <c r="U102" i="25"/>
  <c r="T102" i="25" s="1"/>
  <c r="S102" i="25" s="1"/>
  <c r="R102" i="25" s="1"/>
  <c r="P102" i="25" s="1"/>
  <c r="V102" i="25" s="1"/>
  <c r="U70" i="25"/>
  <c r="T70" i="25" s="1"/>
  <c r="S70" i="25" s="1"/>
  <c r="R70" i="25" s="1"/>
  <c r="P70" i="25" s="1"/>
  <c r="V70" i="25" s="1"/>
  <c r="U38" i="25"/>
  <c r="T38" i="25" s="1"/>
  <c r="S38" i="25" s="1"/>
  <c r="R38" i="25" s="1"/>
  <c r="P38" i="25" s="1"/>
  <c r="V38" i="25" s="1"/>
  <c r="U98" i="25"/>
  <c r="T98" i="25" s="1"/>
  <c r="S98" i="25" s="1"/>
  <c r="R98" i="25" s="1"/>
  <c r="P98" i="25" s="1"/>
  <c r="V98" i="25" s="1"/>
  <c r="U82" i="25"/>
  <c r="T82" i="25" s="1"/>
  <c r="S82" i="25" s="1"/>
  <c r="R82" i="25" s="1"/>
  <c r="P82" i="25" s="1"/>
  <c r="V82" i="25" s="1"/>
  <c r="U66" i="25"/>
  <c r="T66" i="25" s="1"/>
  <c r="S66" i="25" s="1"/>
  <c r="R66" i="25" s="1"/>
  <c r="P66" i="25" s="1"/>
  <c r="V66" i="25" s="1"/>
  <c r="U50" i="25"/>
  <c r="T50" i="25" s="1"/>
  <c r="S50" i="25" s="1"/>
  <c r="R50" i="25" s="1"/>
  <c r="P50" i="25" s="1"/>
  <c r="V50" i="25" s="1"/>
  <c r="U34" i="25"/>
  <c r="T34" i="25" s="1"/>
  <c r="S34" i="25" s="1"/>
  <c r="R34" i="25" s="1"/>
  <c r="P34" i="25" s="1"/>
  <c r="V34" i="25" s="1"/>
  <c r="U20" i="25"/>
  <c r="T20" i="25" s="1"/>
  <c r="S20" i="25" s="1"/>
  <c r="R20" i="25" s="1"/>
  <c r="P20" i="25" s="1"/>
  <c r="V20" i="25" s="1"/>
  <c r="U19" i="25"/>
  <c r="T19" i="25" s="1"/>
  <c r="S19" i="25" s="1"/>
  <c r="R19" i="25" s="1"/>
  <c r="P19" i="25" s="1"/>
  <c r="V19" i="25" s="1"/>
  <c r="U26" i="25"/>
  <c r="T26" i="25" s="1"/>
  <c r="S26" i="25" s="1"/>
  <c r="R26" i="25" s="1"/>
  <c r="P26" i="25" s="1"/>
  <c r="V26" i="25" s="1"/>
  <c r="U25" i="25"/>
  <c r="T25" i="25" s="1"/>
  <c r="S25" i="25" s="1"/>
  <c r="R25" i="25" s="1"/>
  <c r="P25" i="25" s="1"/>
  <c r="V25" i="25" s="1"/>
  <c r="U29" i="25"/>
  <c r="T29" i="25" s="1"/>
  <c r="S29" i="25" s="1"/>
  <c r="R29" i="25" s="1"/>
  <c r="P29" i="25" s="1"/>
  <c r="U33" i="25"/>
  <c r="T33" i="25" s="1"/>
  <c r="S33" i="25" s="1"/>
  <c r="R33" i="25" s="1"/>
  <c r="P33" i="25" s="1"/>
  <c r="V33" i="25" s="1"/>
  <c r="U37" i="25"/>
  <c r="T37" i="25" s="1"/>
  <c r="S37" i="25" s="1"/>
  <c r="R37" i="25" s="1"/>
  <c r="P37" i="25" s="1"/>
  <c r="V37" i="25" s="1"/>
  <c r="U41" i="25"/>
  <c r="T41" i="25" s="1"/>
  <c r="S41" i="25" s="1"/>
  <c r="R41" i="25" s="1"/>
  <c r="P41" i="25" s="1"/>
  <c r="V41" i="25" s="1"/>
  <c r="U45" i="25"/>
  <c r="T45" i="25" s="1"/>
  <c r="S45" i="25" s="1"/>
  <c r="R45" i="25" s="1"/>
  <c r="P45" i="25" s="1"/>
  <c r="V45" i="25" s="1"/>
  <c r="U49" i="25"/>
  <c r="T49" i="25" s="1"/>
  <c r="S49" i="25" s="1"/>
  <c r="R49" i="25" s="1"/>
  <c r="P49" i="25" s="1"/>
  <c r="V49" i="25" s="1"/>
  <c r="U53" i="25"/>
  <c r="T53" i="25" s="1"/>
  <c r="S53" i="25" s="1"/>
  <c r="R53" i="25" s="1"/>
  <c r="P53" i="25" s="1"/>
  <c r="V53" i="25" s="1"/>
  <c r="U57" i="25"/>
  <c r="T57" i="25" s="1"/>
  <c r="S57" i="25" s="1"/>
  <c r="R57" i="25" s="1"/>
  <c r="P57" i="25" s="1"/>
  <c r="V57" i="25" s="1"/>
  <c r="U61" i="25"/>
  <c r="T61" i="25" s="1"/>
  <c r="S61" i="25" s="1"/>
  <c r="R61" i="25" s="1"/>
  <c r="P61" i="25" s="1"/>
  <c r="V61" i="25" s="1"/>
  <c r="U65" i="25"/>
  <c r="T65" i="25" s="1"/>
  <c r="S65" i="25" s="1"/>
  <c r="R65" i="25" s="1"/>
  <c r="P65" i="25" s="1"/>
  <c r="V65" i="25" s="1"/>
  <c r="U69" i="25"/>
  <c r="T69" i="25" s="1"/>
  <c r="S69" i="25" s="1"/>
  <c r="R69" i="25" s="1"/>
  <c r="P69" i="25" s="1"/>
  <c r="V69" i="25" s="1"/>
  <c r="U73" i="25"/>
  <c r="T73" i="25" s="1"/>
  <c r="S73" i="25" s="1"/>
  <c r="R73" i="25" s="1"/>
  <c r="P73" i="25" s="1"/>
  <c r="V73" i="25" s="1"/>
  <c r="U77" i="25"/>
  <c r="T77" i="25" s="1"/>
  <c r="S77" i="25" s="1"/>
  <c r="R77" i="25" s="1"/>
  <c r="P77" i="25" s="1"/>
  <c r="V77" i="25" s="1"/>
  <c r="U81" i="25"/>
  <c r="T81" i="25" s="1"/>
  <c r="S81" i="25" s="1"/>
  <c r="R81" i="25" s="1"/>
  <c r="P81" i="25" s="1"/>
  <c r="V81" i="25" s="1"/>
  <c r="U85" i="25"/>
  <c r="T85" i="25" s="1"/>
  <c r="S85" i="25" s="1"/>
  <c r="R85" i="25" s="1"/>
  <c r="P85" i="25" s="1"/>
  <c r="V85" i="25" s="1"/>
  <c r="U89" i="25"/>
  <c r="T89" i="25" s="1"/>
  <c r="S89" i="25" s="1"/>
  <c r="R89" i="25" s="1"/>
  <c r="P89" i="25" s="1"/>
  <c r="V89" i="25" s="1"/>
  <c r="U93" i="25"/>
  <c r="T93" i="25" s="1"/>
  <c r="S93" i="25" s="1"/>
  <c r="R93" i="25" s="1"/>
  <c r="P93" i="25" s="1"/>
  <c r="V93" i="25" s="1"/>
  <c r="U97" i="25"/>
  <c r="T97" i="25" s="1"/>
  <c r="S97" i="25" s="1"/>
  <c r="R97" i="25" s="1"/>
  <c r="P97" i="25" s="1"/>
  <c r="V97" i="25" s="1"/>
  <c r="U101" i="25"/>
  <c r="T101" i="25" s="1"/>
  <c r="S101" i="25" s="1"/>
  <c r="R101" i="25" s="1"/>
  <c r="P101" i="25" s="1"/>
  <c r="V101" i="25" s="1"/>
  <c r="U96" i="25"/>
  <c r="T96" i="25" s="1"/>
  <c r="S96" i="25" s="1"/>
  <c r="R96" i="25" s="1"/>
  <c r="P96" i="25" s="1"/>
  <c r="V96" i="25" s="1"/>
  <c r="U88" i="25"/>
  <c r="T88" i="25" s="1"/>
  <c r="S88" i="25" s="1"/>
  <c r="R88" i="25" s="1"/>
  <c r="P88" i="25" s="1"/>
  <c r="U80" i="25"/>
  <c r="T80" i="25" s="1"/>
  <c r="S80" i="25" s="1"/>
  <c r="R80" i="25" s="1"/>
  <c r="P80" i="25" s="1"/>
  <c r="V80" i="25" s="1"/>
  <c r="U72" i="25"/>
  <c r="T72" i="25" s="1"/>
  <c r="S72" i="25" s="1"/>
  <c r="R72" i="25" s="1"/>
  <c r="P72" i="25" s="1"/>
  <c r="V72" i="25" s="1"/>
  <c r="U64" i="25"/>
  <c r="T64" i="25" s="1"/>
  <c r="S64" i="25" s="1"/>
  <c r="R64" i="25" s="1"/>
  <c r="P64" i="25" s="1"/>
  <c r="V64" i="25" s="1"/>
  <c r="U56" i="25"/>
  <c r="T56" i="25" s="1"/>
  <c r="S56" i="25" s="1"/>
  <c r="R56" i="25" s="1"/>
  <c r="P56" i="25" s="1"/>
  <c r="V56" i="25" s="1"/>
  <c r="U48" i="25"/>
  <c r="T48" i="25" s="1"/>
  <c r="S48" i="25" s="1"/>
  <c r="R48" i="25" s="1"/>
  <c r="P48" i="25" s="1"/>
  <c r="V48" i="25" s="1"/>
  <c r="U40" i="25"/>
  <c r="T40" i="25" s="1"/>
  <c r="S40" i="25" s="1"/>
  <c r="R40" i="25" s="1"/>
  <c r="P40" i="25" s="1"/>
  <c r="V40" i="25" s="1"/>
  <c r="U32" i="25"/>
  <c r="T32" i="25" s="1"/>
  <c r="S32" i="25" s="1"/>
  <c r="R32" i="25" s="1"/>
  <c r="P32" i="25" s="1"/>
  <c r="V32" i="25" s="1"/>
  <c r="U24" i="25"/>
  <c r="T24" i="25" s="1"/>
  <c r="S24" i="25" s="1"/>
  <c r="R24" i="25" s="1"/>
  <c r="P24" i="25" s="1"/>
  <c r="V24" i="25" s="1"/>
  <c r="U15" i="25"/>
  <c r="H347" i="24"/>
  <c r="G347" i="24"/>
  <c r="CE347" i="6" s="1"/>
  <c r="AA347" i="24"/>
  <c r="Z347" i="24" s="1"/>
  <c r="Y347" i="24" s="1"/>
  <c r="G315" i="24"/>
  <c r="CE315" i="6" s="1"/>
  <c r="H315" i="24"/>
  <c r="AA315" i="24"/>
  <c r="Z315" i="24" s="1"/>
  <c r="Y315" i="24" s="1"/>
  <c r="G283" i="24"/>
  <c r="CE283" i="6" s="1"/>
  <c r="H283" i="24"/>
  <c r="AA283" i="24"/>
  <c r="Z283" i="24" s="1"/>
  <c r="Y283" i="24" s="1"/>
  <c r="AA267" i="24"/>
  <c r="Z267" i="24" s="1"/>
  <c r="Y267" i="24" s="1"/>
  <c r="AA235" i="24"/>
  <c r="Z235" i="24" s="1"/>
  <c r="Y235" i="24" s="1"/>
  <c r="I69" i="19"/>
  <c r="G219" i="24"/>
  <c r="CE219" i="6" s="1"/>
  <c r="H219" i="24"/>
  <c r="AA219" i="24"/>
  <c r="Z219" i="24" s="1"/>
  <c r="Y219" i="24" s="1"/>
  <c r="G203" i="24"/>
  <c r="CE203" i="6" s="1"/>
  <c r="H203" i="24"/>
  <c r="AA203" i="24"/>
  <c r="Z203" i="24" s="1"/>
  <c r="Y203" i="24" s="1"/>
  <c r="AA195" i="24"/>
  <c r="Z195" i="24" s="1"/>
  <c r="Y195" i="24" s="1"/>
  <c r="G179" i="24"/>
  <c r="CE179" i="6" s="1"/>
  <c r="AA179" i="24"/>
  <c r="Z179" i="24" s="1"/>
  <c r="Y179" i="24" s="1"/>
  <c r="G131" i="24"/>
  <c r="CE131" i="6" s="1"/>
  <c r="AA131" i="24"/>
  <c r="Z131" i="24" s="1"/>
  <c r="Y131" i="24" s="1"/>
  <c r="H131" i="24"/>
  <c r="H83" i="24"/>
  <c r="G16" i="24"/>
  <c r="CE16" i="6" s="1"/>
  <c r="H16" i="24"/>
  <c r="AA16" i="24"/>
  <c r="Z16" i="24" s="1"/>
  <c r="Y16" i="24" s="1"/>
  <c r="H187" i="24"/>
  <c r="H244" i="24"/>
  <c r="H87" i="24"/>
  <c r="H179" i="24"/>
  <c r="H150" i="24"/>
  <c r="H102" i="24"/>
  <c r="E7" i="6"/>
  <c r="AC7" i="7"/>
  <c r="I88" i="23"/>
  <c r="J88" i="23"/>
  <c r="H21" i="24"/>
  <c r="H99" i="24"/>
  <c r="H77" i="24"/>
  <c r="H362" i="24"/>
  <c r="H354" i="24"/>
  <c r="H274" i="24"/>
  <c r="H156" i="24"/>
  <c r="G19" i="24"/>
  <c r="CE19" i="6" s="1"/>
  <c r="H19" i="24"/>
  <c r="AA19" i="24"/>
  <c r="Z19" i="24" s="1"/>
  <c r="Y19" i="24" s="1"/>
  <c r="H340" i="24"/>
  <c r="R381" i="23"/>
  <c r="P15" i="23"/>
  <c r="R383" i="23"/>
  <c r="R382" i="23"/>
  <c r="H43" i="24"/>
  <c r="H68" i="24"/>
  <c r="H36" i="24"/>
  <c r="H54" i="24"/>
  <c r="H336" i="24"/>
  <c r="H281" i="24"/>
  <c r="H273" i="24"/>
  <c r="H46" i="24"/>
  <c r="AK7" i="22"/>
  <c r="AA104" i="23"/>
  <c r="Z104" i="23" s="1"/>
  <c r="Y104" i="23" s="1"/>
  <c r="AD381" i="23"/>
  <c r="AD382" i="23"/>
  <c r="AD383" i="23"/>
  <c r="AK5" i="23"/>
  <c r="AL7" i="20"/>
  <c r="N4" i="6"/>
  <c r="D15" i="6"/>
  <c r="Y15" i="20"/>
  <c r="I262" i="24" l="1"/>
  <c r="J294" i="24"/>
  <c r="J250" i="24"/>
  <c r="H373" i="24"/>
  <c r="H22" i="24"/>
  <c r="I22" i="24" s="1"/>
  <c r="G267" i="24"/>
  <c r="CE267" i="6" s="1"/>
  <c r="G172" i="24"/>
  <c r="CE172" i="6" s="1"/>
  <c r="H116" i="24"/>
  <c r="AA100" i="24"/>
  <c r="Z100" i="24" s="1"/>
  <c r="Y100" i="24" s="1"/>
  <c r="G71" i="24"/>
  <c r="CE71" i="6" s="1"/>
  <c r="G178" i="24"/>
  <c r="CE178" i="6" s="1"/>
  <c r="AA284" i="24"/>
  <c r="Z284" i="24" s="1"/>
  <c r="Y284" i="24" s="1"/>
  <c r="AA278" i="24"/>
  <c r="Z278" i="24" s="1"/>
  <c r="Y278" i="24" s="1"/>
  <c r="G214" i="24"/>
  <c r="CE214" i="6" s="1"/>
  <c r="G306" i="24"/>
  <c r="CE306" i="6" s="1"/>
  <c r="H292" i="24"/>
  <c r="H141" i="24"/>
  <c r="I141" i="24" s="1"/>
  <c r="H161" i="24"/>
  <c r="G209" i="24"/>
  <c r="CE209" i="6" s="1"/>
  <c r="AA86" i="24"/>
  <c r="Z86" i="24" s="1"/>
  <c r="Y86" i="24" s="1"/>
  <c r="AA334" i="24"/>
  <c r="Z334" i="24" s="1"/>
  <c r="Y334" i="24" s="1"/>
  <c r="AA147" i="24"/>
  <c r="Z147" i="24" s="1"/>
  <c r="Y147" i="24" s="1"/>
  <c r="AA323" i="24"/>
  <c r="Z323" i="24" s="1"/>
  <c r="Y323" i="24" s="1"/>
  <c r="H140" i="24"/>
  <c r="G93" i="24"/>
  <c r="CE93" i="6" s="1"/>
  <c r="AA151" i="24"/>
  <c r="Z151" i="24" s="1"/>
  <c r="Y151" i="24" s="1"/>
  <c r="AA229" i="24"/>
  <c r="Z229" i="24" s="1"/>
  <c r="Y229" i="24" s="1"/>
  <c r="AA293" i="24"/>
  <c r="Z293" i="24" s="1"/>
  <c r="Y293" i="24" s="1"/>
  <c r="AA301" i="24"/>
  <c r="Z301" i="24" s="1"/>
  <c r="Y301" i="24" s="1"/>
  <c r="AA130" i="24"/>
  <c r="Z130" i="24" s="1"/>
  <c r="Y130" i="24" s="1"/>
  <c r="AA58" i="24"/>
  <c r="Z58" i="24" s="1"/>
  <c r="Y58" i="24" s="1"/>
  <c r="G69" i="24"/>
  <c r="CE69" i="6" s="1"/>
  <c r="AA374" i="24"/>
  <c r="Z374" i="24" s="1"/>
  <c r="Y374" i="24" s="1"/>
  <c r="H342" i="24"/>
  <c r="AA49" i="24"/>
  <c r="Z49" i="24" s="1"/>
  <c r="Y49" i="24" s="1"/>
  <c r="AA75" i="24"/>
  <c r="Z75" i="24" s="1"/>
  <c r="Y75" i="24" s="1"/>
  <c r="AA223" i="24"/>
  <c r="Z223" i="24" s="1"/>
  <c r="Y223" i="24" s="1"/>
  <c r="H255" i="24"/>
  <c r="AA287" i="24"/>
  <c r="Z287" i="24" s="1"/>
  <c r="Y287" i="24" s="1"/>
  <c r="H126" i="24"/>
  <c r="H115" i="24"/>
  <c r="I115" i="24" s="1"/>
  <c r="H323" i="24"/>
  <c r="I323" i="24" s="1"/>
  <c r="H284" i="24"/>
  <c r="J284" i="24" s="1"/>
  <c r="J167" i="24"/>
  <c r="G261" i="24"/>
  <c r="CE261" i="6" s="1"/>
  <c r="AA317" i="24"/>
  <c r="Z317" i="24" s="1"/>
  <c r="Y317" i="24" s="1"/>
  <c r="AA220" i="24"/>
  <c r="Z220" i="24" s="1"/>
  <c r="Y220" i="24" s="1"/>
  <c r="I197" i="24"/>
  <c r="H78" i="24"/>
  <c r="I78" i="24" s="1"/>
  <c r="G260" i="24"/>
  <c r="CE260" i="6" s="1"/>
  <c r="AA324" i="24"/>
  <c r="Z324" i="24" s="1"/>
  <c r="Y324" i="24" s="1"/>
  <c r="H277" i="24"/>
  <c r="J277" i="24" s="1"/>
  <c r="H162" i="24"/>
  <c r="I162" i="24" s="1"/>
  <c r="H122" i="24"/>
  <c r="J122" i="24" s="1"/>
  <c r="G101" i="24"/>
  <c r="CE101" i="6" s="1"/>
  <c r="H242" i="24"/>
  <c r="J242" i="24" s="1"/>
  <c r="H243" i="24"/>
  <c r="J243" i="24" s="1"/>
  <c r="AA307" i="24"/>
  <c r="Z307" i="24" s="1"/>
  <c r="Y307" i="24" s="1"/>
  <c r="G84" i="24"/>
  <c r="CE84" i="6" s="1"/>
  <c r="AA44" i="24"/>
  <c r="Z44" i="24" s="1"/>
  <c r="Y44" i="24" s="1"/>
  <c r="I165" i="24"/>
  <c r="AA80" i="24"/>
  <c r="Z80" i="24" s="1"/>
  <c r="Y80" i="24" s="1"/>
  <c r="G54" i="24"/>
  <c r="CE54" i="6" s="1"/>
  <c r="AA20" i="24"/>
  <c r="Z20" i="24" s="1"/>
  <c r="Y20" i="24" s="1"/>
  <c r="G117" i="24"/>
  <c r="CE117" i="6" s="1"/>
  <c r="G206" i="24"/>
  <c r="CE206" i="6" s="1"/>
  <c r="J196" i="24"/>
  <c r="AA187" i="24"/>
  <c r="Z187" i="24" s="1"/>
  <c r="Y187" i="24" s="1"/>
  <c r="AA189" i="24"/>
  <c r="Z189" i="24" s="1"/>
  <c r="Y189" i="24" s="1"/>
  <c r="H253" i="24"/>
  <c r="I253" i="24" s="1"/>
  <c r="G122" i="24"/>
  <c r="CE122" i="6" s="1"/>
  <c r="H66" i="24"/>
  <c r="I66" i="24" s="1"/>
  <c r="AA34" i="24"/>
  <c r="Z34" i="24" s="1"/>
  <c r="Y34" i="24" s="1"/>
  <c r="G133" i="24"/>
  <c r="CE133" i="6" s="1"/>
  <c r="AA252" i="24"/>
  <c r="Z252" i="24" s="1"/>
  <c r="Y252" i="24" s="1"/>
  <c r="AA316" i="24"/>
  <c r="Z316" i="24" s="1"/>
  <c r="Y316" i="24" s="1"/>
  <c r="G246" i="24"/>
  <c r="CE246" i="6" s="1"/>
  <c r="G370" i="24"/>
  <c r="CE370" i="6" s="1"/>
  <c r="J194" i="24"/>
  <c r="G83" i="24"/>
  <c r="CE83" i="6" s="1"/>
  <c r="G195" i="24"/>
  <c r="CE195" i="6" s="1"/>
  <c r="H235" i="24"/>
  <c r="I235" i="24" s="1"/>
  <c r="G44" i="24"/>
  <c r="CE44" i="6" s="1"/>
  <c r="G157" i="24"/>
  <c r="CE157" i="6" s="1"/>
  <c r="G248" i="24"/>
  <c r="CE248" i="6" s="1"/>
  <c r="AA87" i="24"/>
  <c r="Z87" i="24" s="1"/>
  <c r="Y87" i="24" s="1"/>
  <c r="H117" i="24"/>
  <c r="I117" i="24" s="1"/>
  <c r="G80" i="24"/>
  <c r="CE80" i="6" s="1"/>
  <c r="G78" i="24"/>
  <c r="CE78" i="6" s="1"/>
  <c r="G196" i="24"/>
  <c r="CE196" i="6" s="1"/>
  <c r="AA206" i="24"/>
  <c r="Z206" i="24" s="1"/>
  <c r="Y206" i="24" s="1"/>
  <c r="H67" i="24"/>
  <c r="I67" i="24" s="1"/>
  <c r="G269" i="24"/>
  <c r="CE269" i="6" s="1"/>
  <c r="H23" i="24"/>
  <c r="I23" i="24" s="1"/>
  <c r="AA133" i="24"/>
  <c r="Z133" i="24" s="1"/>
  <c r="Y133" i="24" s="1"/>
  <c r="H369" i="24"/>
  <c r="J369" i="24" s="1"/>
  <c r="AA46" i="24"/>
  <c r="Z46" i="24" s="1"/>
  <c r="Y46" i="24" s="1"/>
  <c r="AA330" i="24"/>
  <c r="Z330" i="24" s="1"/>
  <c r="Y330" i="24" s="1"/>
  <c r="H269" i="24"/>
  <c r="I269" i="24" s="1"/>
  <c r="AA277" i="24"/>
  <c r="Z277" i="24" s="1"/>
  <c r="Y277" i="24" s="1"/>
  <c r="AA365" i="24"/>
  <c r="Z365" i="24" s="1"/>
  <c r="Y365" i="24" s="1"/>
  <c r="G162" i="24"/>
  <c r="CE162" i="6" s="1"/>
  <c r="G66" i="24"/>
  <c r="CE66" i="6" s="1"/>
  <c r="G34" i="24"/>
  <c r="CE34" i="6" s="1"/>
  <c r="G182" i="24"/>
  <c r="CE182" i="6" s="1"/>
  <c r="H202" i="24"/>
  <c r="I202" i="24" s="1"/>
  <c r="J248" i="24"/>
  <c r="J49" i="24"/>
  <c r="I49" i="24"/>
  <c r="J301" i="24"/>
  <c r="I301" i="24"/>
  <c r="H20" i="24"/>
  <c r="I20" i="24" s="1"/>
  <c r="AA243" i="24"/>
  <c r="Z243" i="24" s="1"/>
  <c r="Y243" i="24" s="1"/>
  <c r="H307" i="24"/>
  <c r="I307" i="24" s="1"/>
  <c r="AA84" i="24"/>
  <c r="Z84" i="24" s="1"/>
  <c r="Y84" i="24" s="1"/>
  <c r="AA61" i="24"/>
  <c r="Z61" i="24" s="1"/>
  <c r="Y61" i="24" s="1"/>
  <c r="H157" i="24"/>
  <c r="J157" i="24" s="1"/>
  <c r="G317" i="24"/>
  <c r="CE317" i="6" s="1"/>
  <c r="AA196" i="24"/>
  <c r="Z196" i="24" s="1"/>
  <c r="Y196" i="24" s="1"/>
  <c r="AA67" i="24"/>
  <c r="Z67" i="24" s="1"/>
  <c r="Y67" i="24" s="1"/>
  <c r="H189" i="24"/>
  <c r="J189" i="24" s="1"/>
  <c r="AA253" i="24"/>
  <c r="Z253" i="24" s="1"/>
  <c r="Y253" i="24" s="1"/>
  <c r="H365" i="24"/>
  <c r="I365" i="24" s="1"/>
  <c r="AA23" i="24"/>
  <c r="Z23" i="24" s="1"/>
  <c r="Y23" i="24" s="1"/>
  <c r="G252" i="24"/>
  <c r="CE252" i="6" s="1"/>
  <c r="G316" i="24"/>
  <c r="CE316" i="6" s="1"/>
  <c r="AA246" i="24"/>
  <c r="Z246" i="24" s="1"/>
  <c r="Y246" i="24" s="1"/>
  <c r="H182" i="24"/>
  <c r="J182" i="24" s="1"/>
  <c r="AA369" i="24"/>
  <c r="Z369" i="24" s="1"/>
  <c r="Y369" i="24" s="1"/>
  <c r="J317" i="24"/>
  <c r="I317" i="24"/>
  <c r="H178" i="24"/>
  <c r="H312" i="24"/>
  <c r="I312" i="24" s="1"/>
  <c r="AA71" i="24"/>
  <c r="Z71" i="24" s="1"/>
  <c r="Y71" i="24" s="1"/>
  <c r="AA50" i="24"/>
  <c r="Z50" i="24" s="1"/>
  <c r="Y50" i="24" s="1"/>
  <c r="H259" i="24"/>
  <c r="J259" i="24" s="1"/>
  <c r="D329" i="25"/>
  <c r="E329" i="25" s="1"/>
  <c r="F329" i="25" s="1"/>
  <c r="H360" i="24"/>
  <c r="I360" i="24" s="1"/>
  <c r="G151" i="24"/>
  <c r="CE151" i="6" s="1"/>
  <c r="AA285" i="24"/>
  <c r="Z285" i="24" s="1"/>
  <c r="Y285" i="24" s="1"/>
  <c r="H130" i="24"/>
  <c r="J130" i="24" s="1"/>
  <c r="G374" i="24"/>
  <c r="CE374" i="6" s="1"/>
  <c r="H57" i="24"/>
  <c r="I57" i="24" s="1"/>
  <c r="J71" i="24"/>
  <c r="I71" i="24"/>
  <c r="J61" i="24"/>
  <c r="I61" i="24"/>
  <c r="D329" i="24"/>
  <c r="E329" i="24" s="1"/>
  <c r="F329" i="24" s="1"/>
  <c r="W329" i="24"/>
  <c r="AA17" i="24"/>
  <c r="Z17" i="24" s="1"/>
  <c r="Y17" i="24" s="1"/>
  <c r="G17" i="24"/>
  <c r="CE17" i="6" s="1"/>
  <c r="E15" i="19"/>
  <c r="AI17" i="25"/>
  <c r="AH17" i="25" s="1"/>
  <c r="AG17" i="25" s="1"/>
  <c r="AF17" i="25" s="1"/>
  <c r="AD17" i="25" s="1"/>
  <c r="AI24" i="25"/>
  <c r="AH24" i="25" s="1"/>
  <c r="AG24" i="25" s="1"/>
  <c r="AF24" i="25" s="1"/>
  <c r="AD24" i="25" s="1"/>
  <c r="AI16" i="25"/>
  <c r="AH16" i="25" s="1"/>
  <c r="AG16" i="25" s="1"/>
  <c r="AF16" i="25" s="1"/>
  <c r="AD16" i="25" s="1"/>
  <c r="AI20" i="25"/>
  <c r="AH20" i="25" s="1"/>
  <c r="AG20" i="25" s="1"/>
  <c r="AF20" i="25" s="1"/>
  <c r="AD20" i="25" s="1"/>
  <c r="AI31" i="25"/>
  <c r="AH31" i="25" s="1"/>
  <c r="AG31" i="25" s="1"/>
  <c r="AF31" i="25" s="1"/>
  <c r="AD31" i="25" s="1"/>
  <c r="AI35" i="25"/>
  <c r="AH35" i="25" s="1"/>
  <c r="AG35" i="25" s="1"/>
  <c r="AF35" i="25" s="1"/>
  <c r="AD35" i="25" s="1"/>
  <c r="AI39" i="25"/>
  <c r="AH39" i="25" s="1"/>
  <c r="AG39" i="25" s="1"/>
  <c r="AF39" i="25" s="1"/>
  <c r="AD39" i="25" s="1"/>
  <c r="AI43" i="25"/>
  <c r="AH43" i="25" s="1"/>
  <c r="AG43" i="25" s="1"/>
  <c r="AF43" i="25" s="1"/>
  <c r="AD43" i="25" s="1"/>
  <c r="AI47" i="25"/>
  <c r="AH47" i="25" s="1"/>
  <c r="AG47" i="25" s="1"/>
  <c r="AF47" i="25" s="1"/>
  <c r="AD47" i="25" s="1"/>
  <c r="AI51" i="25"/>
  <c r="AH51" i="25" s="1"/>
  <c r="AG51" i="25" s="1"/>
  <c r="AF51" i="25" s="1"/>
  <c r="AD51" i="25" s="1"/>
  <c r="AI55" i="25"/>
  <c r="AH55" i="25" s="1"/>
  <c r="AG55" i="25" s="1"/>
  <c r="AF55" i="25" s="1"/>
  <c r="AD55" i="25" s="1"/>
  <c r="AI59" i="25"/>
  <c r="AH59" i="25" s="1"/>
  <c r="AG59" i="25" s="1"/>
  <c r="AF59" i="25" s="1"/>
  <c r="AD59" i="25" s="1"/>
  <c r="AI63" i="25"/>
  <c r="AH63" i="25" s="1"/>
  <c r="AG63" i="25" s="1"/>
  <c r="AF63" i="25" s="1"/>
  <c r="AD63" i="25" s="1"/>
  <c r="AI67" i="25"/>
  <c r="AH67" i="25" s="1"/>
  <c r="AG67" i="25" s="1"/>
  <c r="AF67" i="25" s="1"/>
  <c r="AD67" i="25" s="1"/>
  <c r="AI71" i="25"/>
  <c r="AH71" i="25" s="1"/>
  <c r="AG71" i="25" s="1"/>
  <c r="AF71" i="25" s="1"/>
  <c r="AD71" i="25" s="1"/>
  <c r="AI75" i="25"/>
  <c r="AH75" i="25" s="1"/>
  <c r="AG75" i="25" s="1"/>
  <c r="AF75" i="25" s="1"/>
  <c r="AD75" i="25" s="1"/>
  <c r="AI79" i="25"/>
  <c r="AH79" i="25" s="1"/>
  <c r="AG79" i="25" s="1"/>
  <c r="AF79" i="25" s="1"/>
  <c r="AD79" i="25" s="1"/>
  <c r="AI83" i="25"/>
  <c r="AH83" i="25" s="1"/>
  <c r="AG83" i="25" s="1"/>
  <c r="AF83" i="25" s="1"/>
  <c r="AD83" i="25" s="1"/>
  <c r="AI87" i="25"/>
  <c r="AH87" i="25" s="1"/>
  <c r="AG87" i="25" s="1"/>
  <c r="AF87" i="25" s="1"/>
  <c r="AD87" i="25" s="1"/>
  <c r="AI91" i="25"/>
  <c r="AH91" i="25" s="1"/>
  <c r="AG91" i="25" s="1"/>
  <c r="AF91" i="25" s="1"/>
  <c r="AD91" i="25" s="1"/>
  <c r="AI95" i="25"/>
  <c r="AH95" i="25" s="1"/>
  <c r="AG95" i="25" s="1"/>
  <c r="AF95" i="25" s="1"/>
  <c r="AD95" i="25" s="1"/>
  <c r="AI99" i="25"/>
  <c r="AH99" i="25" s="1"/>
  <c r="AG99" i="25" s="1"/>
  <c r="AF99" i="25" s="1"/>
  <c r="AD99" i="25" s="1"/>
  <c r="AI103" i="25"/>
  <c r="AH103" i="25" s="1"/>
  <c r="AG103" i="25" s="1"/>
  <c r="AF103" i="25" s="1"/>
  <c r="AD103" i="25" s="1"/>
  <c r="AI21" i="25"/>
  <c r="AH21" i="25" s="1"/>
  <c r="AG21" i="25" s="1"/>
  <c r="AF21" i="25" s="1"/>
  <c r="AD21" i="25" s="1"/>
  <c r="AI15" i="25"/>
  <c r="AH15" i="25" s="1"/>
  <c r="AG15" i="25" s="1"/>
  <c r="AI19" i="25"/>
  <c r="AH19" i="25" s="1"/>
  <c r="AG19" i="25" s="1"/>
  <c r="AF19" i="25" s="1"/>
  <c r="AD19" i="25" s="1"/>
  <c r="AI30" i="25"/>
  <c r="AH30" i="25" s="1"/>
  <c r="AG30" i="25" s="1"/>
  <c r="AF30" i="25" s="1"/>
  <c r="AD30" i="25" s="1"/>
  <c r="AI34" i="25"/>
  <c r="AH34" i="25" s="1"/>
  <c r="AG34" i="25" s="1"/>
  <c r="AF34" i="25" s="1"/>
  <c r="AD34" i="25" s="1"/>
  <c r="AI38" i="25"/>
  <c r="AH38" i="25" s="1"/>
  <c r="AG38" i="25" s="1"/>
  <c r="AF38" i="25" s="1"/>
  <c r="AD38" i="25" s="1"/>
  <c r="AI42" i="25"/>
  <c r="AH42" i="25" s="1"/>
  <c r="AG42" i="25" s="1"/>
  <c r="AF42" i="25" s="1"/>
  <c r="AD42" i="25" s="1"/>
  <c r="AI46" i="25"/>
  <c r="AH46" i="25" s="1"/>
  <c r="AG46" i="25" s="1"/>
  <c r="AF46" i="25" s="1"/>
  <c r="AD46" i="25" s="1"/>
  <c r="AI50" i="25"/>
  <c r="AH50" i="25" s="1"/>
  <c r="AG50" i="25" s="1"/>
  <c r="AF50" i="25" s="1"/>
  <c r="AD50" i="25" s="1"/>
  <c r="AI54" i="25"/>
  <c r="AH54" i="25" s="1"/>
  <c r="AG54" i="25" s="1"/>
  <c r="AF54" i="25" s="1"/>
  <c r="AD54" i="25" s="1"/>
  <c r="AI58" i="25"/>
  <c r="AH58" i="25" s="1"/>
  <c r="AG58" i="25" s="1"/>
  <c r="AF58" i="25" s="1"/>
  <c r="AD58" i="25" s="1"/>
  <c r="AI62" i="25"/>
  <c r="AH62" i="25" s="1"/>
  <c r="AG62" i="25" s="1"/>
  <c r="AF62" i="25" s="1"/>
  <c r="AD62" i="25" s="1"/>
  <c r="AI66" i="25"/>
  <c r="AH66" i="25" s="1"/>
  <c r="AG66" i="25" s="1"/>
  <c r="AF66" i="25" s="1"/>
  <c r="AD66" i="25" s="1"/>
  <c r="AI70" i="25"/>
  <c r="AH70" i="25" s="1"/>
  <c r="AG70" i="25" s="1"/>
  <c r="AF70" i="25" s="1"/>
  <c r="AD70" i="25" s="1"/>
  <c r="AI74" i="25"/>
  <c r="AH74" i="25" s="1"/>
  <c r="AG74" i="25" s="1"/>
  <c r="AF74" i="25" s="1"/>
  <c r="AD74" i="25" s="1"/>
  <c r="AI78" i="25"/>
  <c r="AH78" i="25" s="1"/>
  <c r="AG78" i="25" s="1"/>
  <c r="AF78" i="25" s="1"/>
  <c r="AD78" i="25" s="1"/>
  <c r="AI82" i="25"/>
  <c r="AH82" i="25" s="1"/>
  <c r="AG82" i="25" s="1"/>
  <c r="AF82" i="25" s="1"/>
  <c r="AD82" i="25" s="1"/>
  <c r="AI86" i="25"/>
  <c r="AH86" i="25" s="1"/>
  <c r="AG86" i="25" s="1"/>
  <c r="AF86" i="25" s="1"/>
  <c r="AD86" i="25" s="1"/>
  <c r="AI90" i="25"/>
  <c r="AH90" i="25" s="1"/>
  <c r="AG90" i="25" s="1"/>
  <c r="AF90" i="25" s="1"/>
  <c r="AD90" i="25" s="1"/>
  <c r="AI94" i="25"/>
  <c r="AH94" i="25" s="1"/>
  <c r="AG94" i="25" s="1"/>
  <c r="AF94" i="25" s="1"/>
  <c r="AD94" i="25" s="1"/>
  <c r="AI98" i="25"/>
  <c r="AH98" i="25" s="1"/>
  <c r="AG98" i="25" s="1"/>
  <c r="AF98" i="25" s="1"/>
  <c r="AD98" i="25" s="1"/>
  <c r="AI102" i="25"/>
  <c r="AH102" i="25" s="1"/>
  <c r="AG102" i="25" s="1"/>
  <c r="AF102" i="25" s="1"/>
  <c r="AD102" i="25" s="1"/>
  <c r="AI27" i="25"/>
  <c r="AH27" i="25" s="1"/>
  <c r="AG27" i="25" s="1"/>
  <c r="AF27" i="25" s="1"/>
  <c r="AD27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AI29" i="25"/>
  <c r="AH29" i="25" s="1"/>
  <c r="AG29" i="25" s="1"/>
  <c r="AF29" i="25" s="1"/>
  <c r="AD29" i="25" s="1"/>
  <c r="AI33" i="25"/>
  <c r="AH33" i="25" s="1"/>
  <c r="AG33" i="25" s="1"/>
  <c r="AF33" i="25" s="1"/>
  <c r="AD33" i="25" s="1"/>
  <c r="AI37" i="25"/>
  <c r="AH37" i="25" s="1"/>
  <c r="AG37" i="25" s="1"/>
  <c r="AF37" i="25" s="1"/>
  <c r="AD37" i="25" s="1"/>
  <c r="AI41" i="25"/>
  <c r="AH41" i="25" s="1"/>
  <c r="AG41" i="25" s="1"/>
  <c r="AF41" i="25" s="1"/>
  <c r="AD41" i="25" s="1"/>
  <c r="AI45" i="25"/>
  <c r="AH45" i="25" s="1"/>
  <c r="AG45" i="25" s="1"/>
  <c r="AF45" i="25" s="1"/>
  <c r="AD45" i="25" s="1"/>
  <c r="AI49" i="25"/>
  <c r="AH49" i="25" s="1"/>
  <c r="AG49" i="25" s="1"/>
  <c r="AF49" i="25" s="1"/>
  <c r="AD49" i="25" s="1"/>
  <c r="AI53" i="25"/>
  <c r="AH53" i="25" s="1"/>
  <c r="AG53" i="25" s="1"/>
  <c r="AF53" i="25" s="1"/>
  <c r="AD53" i="25" s="1"/>
  <c r="AI57" i="25"/>
  <c r="AH57" i="25" s="1"/>
  <c r="AG57" i="25" s="1"/>
  <c r="AF57" i="25" s="1"/>
  <c r="AD57" i="25" s="1"/>
  <c r="AI61" i="25"/>
  <c r="AH61" i="25" s="1"/>
  <c r="AG61" i="25" s="1"/>
  <c r="AF61" i="25" s="1"/>
  <c r="AD61" i="25" s="1"/>
  <c r="AI65" i="25"/>
  <c r="AH65" i="25" s="1"/>
  <c r="AG65" i="25" s="1"/>
  <c r="AF65" i="25" s="1"/>
  <c r="AD65" i="25" s="1"/>
  <c r="AI69" i="25"/>
  <c r="AH69" i="25" s="1"/>
  <c r="AG69" i="25" s="1"/>
  <c r="AF69" i="25" s="1"/>
  <c r="AD69" i="25" s="1"/>
  <c r="AI73" i="25"/>
  <c r="AH73" i="25" s="1"/>
  <c r="AG73" i="25" s="1"/>
  <c r="AF73" i="25" s="1"/>
  <c r="AD73" i="25" s="1"/>
  <c r="AI77" i="25"/>
  <c r="AH77" i="25" s="1"/>
  <c r="AG77" i="25" s="1"/>
  <c r="AF77" i="25" s="1"/>
  <c r="AD77" i="25" s="1"/>
  <c r="AI81" i="25"/>
  <c r="AH81" i="25" s="1"/>
  <c r="AG81" i="25" s="1"/>
  <c r="AF81" i="25" s="1"/>
  <c r="AD81" i="25" s="1"/>
  <c r="AI85" i="25"/>
  <c r="AH85" i="25" s="1"/>
  <c r="AG85" i="25" s="1"/>
  <c r="AF85" i="25" s="1"/>
  <c r="AD85" i="25" s="1"/>
  <c r="AI89" i="25"/>
  <c r="AH89" i="25" s="1"/>
  <c r="AG89" i="25" s="1"/>
  <c r="AF89" i="25" s="1"/>
  <c r="AD89" i="25" s="1"/>
  <c r="AI93" i="25"/>
  <c r="AH93" i="25" s="1"/>
  <c r="AG93" i="25" s="1"/>
  <c r="AF93" i="25" s="1"/>
  <c r="AD93" i="25" s="1"/>
  <c r="AI97" i="25"/>
  <c r="AH97" i="25" s="1"/>
  <c r="AG97" i="25" s="1"/>
  <c r="AF97" i="25" s="1"/>
  <c r="AD97" i="25" s="1"/>
  <c r="AI101" i="25"/>
  <c r="AH101" i="25" s="1"/>
  <c r="AG101" i="25" s="1"/>
  <c r="AF101" i="25" s="1"/>
  <c r="AD101" i="25" s="1"/>
  <c r="AI18" i="25"/>
  <c r="AH18" i="25" s="1"/>
  <c r="AG18" i="25" s="1"/>
  <c r="AF18" i="25" s="1"/>
  <c r="AD18" i="25" s="1"/>
  <c r="AI25" i="25"/>
  <c r="AH25" i="25" s="1"/>
  <c r="AG25" i="25" s="1"/>
  <c r="AF25" i="25" s="1"/>
  <c r="AD25" i="25" s="1"/>
  <c r="AI26" i="25"/>
  <c r="AH26" i="25" s="1"/>
  <c r="AG26" i="25" s="1"/>
  <c r="AF26" i="25" s="1"/>
  <c r="AD26" i="25" s="1"/>
  <c r="AI28" i="25"/>
  <c r="AH28" i="25" s="1"/>
  <c r="AG28" i="25" s="1"/>
  <c r="AF28" i="25" s="1"/>
  <c r="AD28" i="25" s="1"/>
  <c r="AI32" i="25"/>
  <c r="AH32" i="25" s="1"/>
  <c r="AG32" i="25" s="1"/>
  <c r="AF32" i="25" s="1"/>
  <c r="AD32" i="25" s="1"/>
  <c r="AI36" i="25"/>
  <c r="AH36" i="25" s="1"/>
  <c r="AG36" i="25" s="1"/>
  <c r="AF36" i="25" s="1"/>
  <c r="AD36" i="25" s="1"/>
  <c r="AI40" i="25"/>
  <c r="AH40" i="25" s="1"/>
  <c r="AG40" i="25" s="1"/>
  <c r="AF40" i="25" s="1"/>
  <c r="AD40" i="25" s="1"/>
  <c r="AI44" i="25"/>
  <c r="AH44" i="25" s="1"/>
  <c r="AG44" i="25" s="1"/>
  <c r="AF44" i="25" s="1"/>
  <c r="AD44" i="25" s="1"/>
  <c r="AI48" i="25"/>
  <c r="AH48" i="25" s="1"/>
  <c r="AG48" i="25" s="1"/>
  <c r="AF48" i="25" s="1"/>
  <c r="AD48" i="25" s="1"/>
  <c r="AI52" i="25"/>
  <c r="AH52" i="25" s="1"/>
  <c r="AG52" i="25" s="1"/>
  <c r="AF52" i="25" s="1"/>
  <c r="AD52" i="25" s="1"/>
  <c r="AI56" i="25"/>
  <c r="AH56" i="25" s="1"/>
  <c r="AG56" i="25" s="1"/>
  <c r="AF56" i="25" s="1"/>
  <c r="AD56" i="25" s="1"/>
  <c r="AI60" i="25"/>
  <c r="AH60" i="25" s="1"/>
  <c r="AG60" i="25" s="1"/>
  <c r="AF60" i="25" s="1"/>
  <c r="AD60" i="25" s="1"/>
  <c r="AI64" i="25"/>
  <c r="AH64" i="25" s="1"/>
  <c r="AG64" i="25" s="1"/>
  <c r="AF64" i="25" s="1"/>
  <c r="AD64" i="25" s="1"/>
  <c r="AI68" i="25"/>
  <c r="AH68" i="25" s="1"/>
  <c r="AG68" i="25" s="1"/>
  <c r="AF68" i="25" s="1"/>
  <c r="AD68" i="25" s="1"/>
  <c r="AI72" i="25"/>
  <c r="AH72" i="25" s="1"/>
  <c r="AG72" i="25" s="1"/>
  <c r="AF72" i="25" s="1"/>
  <c r="AD72" i="25" s="1"/>
  <c r="AI76" i="25"/>
  <c r="AH76" i="25" s="1"/>
  <c r="AG76" i="25" s="1"/>
  <c r="AF76" i="25" s="1"/>
  <c r="AD76" i="25" s="1"/>
  <c r="AI80" i="25"/>
  <c r="AH80" i="25" s="1"/>
  <c r="AG80" i="25" s="1"/>
  <c r="AF80" i="25" s="1"/>
  <c r="AD80" i="25" s="1"/>
  <c r="AI84" i="25"/>
  <c r="AH84" i="25" s="1"/>
  <c r="AG84" i="25" s="1"/>
  <c r="AF84" i="25" s="1"/>
  <c r="AD84" i="25" s="1"/>
  <c r="AI88" i="25"/>
  <c r="AH88" i="25" s="1"/>
  <c r="AG88" i="25" s="1"/>
  <c r="AF88" i="25" s="1"/>
  <c r="AD88" i="25" s="1"/>
  <c r="AI92" i="25"/>
  <c r="AH92" i="25" s="1"/>
  <c r="AG92" i="25" s="1"/>
  <c r="AF92" i="25" s="1"/>
  <c r="AD92" i="25" s="1"/>
  <c r="AI96" i="25"/>
  <c r="AH96" i="25" s="1"/>
  <c r="AG96" i="25" s="1"/>
  <c r="AF96" i="25" s="1"/>
  <c r="AD96" i="25" s="1"/>
  <c r="AI100" i="25"/>
  <c r="AH100" i="25" s="1"/>
  <c r="AG100" i="25" s="1"/>
  <c r="AF100" i="25" s="1"/>
  <c r="AD100" i="25" s="1"/>
  <c r="AH383" i="24"/>
  <c r="AH382" i="24"/>
  <c r="AG15" i="24"/>
  <c r="AH381" i="24"/>
  <c r="W261" i="25"/>
  <c r="J246" i="24"/>
  <c r="H248" i="25"/>
  <c r="I248" i="25" s="1"/>
  <c r="J200" i="24"/>
  <c r="I44" i="24"/>
  <c r="J147" i="24"/>
  <c r="J234" i="24"/>
  <c r="J323" i="24"/>
  <c r="I92" i="24"/>
  <c r="W248" i="25"/>
  <c r="J171" i="24"/>
  <c r="J326" i="24"/>
  <c r="I261" i="24"/>
  <c r="H261" i="25" s="1"/>
  <c r="I261" i="25" s="1"/>
  <c r="J17" i="24"/>
  <c r="J55" i="24"/>
  <c r="J74" i="24"/>
  <c r="I151" i="24"/>
  <c r="J35" i="24"/>
  <c r="J275" i="24"/>
  <c r="J339" i="24"/>
  <c r="J226" i="24"/>
  <c r="J109" i="24"/>
  <c r="H29" i="24"/>
  <c r="J29" i="24" s="1"/>
  <c r="J170" i="24"/>
  <c r="J216" i="24"/>
  <c r="J46" i="24"/>
  <c r="I46" i="24"/>
  <c r="I281" i="24"/>
  <c r="J281" i="24"/>
  <c r="I336" i="24"/>
  <c r="J336" i="24"/>
  <c r="J54" i="24"/>
  <c r="I54" i="24"/>
  <c r="I68" i="24"/>
  <c r="J68" i="24"/>
  <c r="P381" i="23"/>
  <c r="P383" i="23"/>
  <c r="P382" i="23"/>
  <c r="V15" i="23"/>
  <c r="I373" i="24"/>
  <c r="J373" i="24"/>
  <c r="J22" i="24"/>
  <c r="I19" i="24"/>
  <c r="J19" i="24"/>
  <c r="I156" i="24"/>
  <c r="J156" i="24"/>
  <c r="J354" i="24"/>
  <c r="I354" i="24"/>
  <c r="J77" i="24"/>
  <c r="I77" i="24"/>
  <c r="J21" i="24"/>
  <c r="I21" i="24"/>
  <c r="I102" i="24"/>
  <c r="J102" i="24"/>
  <c r="I179" i="24"/>
  <c r="J179" i="24"/>
  <c r="I244" i="24"/>
  <c r="J244" i="24"/>
  <c r="I131" i="24"/>
  <c r="J131" i="24"/>
  <c r="I195" i="24"/>
  <c r="J195" i="24"/>
  <c r="I219" i="24"/>
  <c r="J219" i="24"/>
  <c r="J267" i="24"/>
  <c r="I267" i="24"/>
  <c r="U382" i="25"/>
  <c r="U383" i="25"/>
  <c r="T15" i="25"/>
  <c r="U381" i="25"/>
  <c r="W32" i="25"/>
  <c r="D32" i="25"/>
  <c r="E32" i="25" s="1"/>
  <c r="F32" i="25" s="1"/>
  <c r="W48" i="25"/>
  <c r="D48" i="25"/>
  <c r="E48" i="25" s="1"/>
  <c r="F48" i="25" s="1"/>
  <c r="W64" i="25"/>
  <c r="D64" i="25"/>
  <c r="E64" i="25" s="1"/>
  <c r="F64" i="25" s="1"/>
  <c r="W80" i="25"/>
  <c r="D80" i="25"/>
  <c r="E80" i="25" s="1"/>
  <c r="F80" i="25" s="1"/>
  <c r="W96" i="25"/>
  <c r="D96" i="25"/>
  <c r="E96" i="25" s="1"/>
  <c r="F96" i="25" s="1"/>
  <c r="W97" i="25"/>
  <c r="D97" i="25"/>
  <c r="E97" i="25" s="1"/>
  <c r="F97" i="25" s="1"/>
  <c r="W89" i="25"/>
  <c r="D89" i="25"/>
  <c r="E89" i="25" s="1"/>
  <c r="F89" i="25" s="1"/>
  <c r="W81" i="25"/>
  <c r="D81" i="25"/>
  <c r="E81" i="25" s="1"/>
  <c r="F81" i="25" s="1"/>
  <c r="D73" i="25"/>
  <c r="E73" i="25" s="1"/>
  <c r="F73" i="25" s="1"/>
  <c r="W73" i="25"/>
  <c r="W65" i="25"/>
  <c r="D65" i="25"/>
  <c r="E65" i="25" s="1"/>
  <c r="F65" i="25" s="1"/>
  <c r="D57" i="25"/>
  <c r="E57" i="25" s="1"/>
  <c r="F57" i="25" s="1"/>
  <c r="W57" i="25"/>
  <c r="D49" i="25"/>
  <c r="E49" i="25" s="1"/>
  <c r="F49" i="25" s="1"/>
  <c r="W49" i="25"/>
  <c r="D41" i="25"/>
  <c r="E41" i="25" s="1"/>
  <c r="F41" i="25" s="1"/>
  <c r="W41" i="25"/>
  <c r="D33" i="25"/>
  <c r="E33" i="25" s="1"/>
  <c r="F33" i="25" s="1"/>
  <c r="W33" i="25"/>
  <c r="W25" i="25"/>
  <c r="D25" i="25"/>
  <c r="E25" i="25" s="1"/>
  <c r="F25" i="25" s="1"/>
  <c r="D19" i="25"/>
  <c r="E19" i="25" s="1"/>
  <c r="F19" i="25" s="1"/>
  <c r="W19" i="25"/>
  <c r="D34" i="25"/>
  <c r="E34" i="25" s="1"/>
  <c r="F34" i="25" s="1"/>
  <c r="W34" i="25"/>
  <c r="W66" i="25"/>
  <c r="D66" i="25"/>
  <c r="E66" i="25" s="1"/>
  <c r="F66" i="25" s="1"/>
  <c r="D98" i="25"/>
  <c r="E98" i="25" s="1"/>
  <c r="F98" i="25" s="1"/>
  <c r="W98" i="25"/>
  <c r="W70" i="25"/>
  <c r="D70" i="25"/>
  <c r="E70" i="25" s="1"/>
  <c r="F70" i="25" s="1"/>
  <c r="AI105" i="25"/>
  <c r="AH105" i="25" s="1"/>
  <c r="AG105" i="25" s="1"/>
  <c r="AF105" i="25" s="1"/>
  <c r="AD105" i="25" s="1"/>
  <c r="AI109" i="25"/>
  <c r="AH109" i="25" s="1"/>
  <c r="AG109" i="25" s="1"/>
  <c r="AF109" i="25" s="1"/>
  <c r="AD109" i="25" s="1"/>
  <c r="AI113" i="25"/>
  <c r="AH113" i="25" s="1"/>
  <c r="AG113" i="25" s="1"/>
  <c r="AF113" i="25" s="1"/>
  <c r="AD113" i="25" s="1"/>
  <c r="AI117" i="25"/>
  <c r="AH117" i="25" s="1"/>
  <c r="AG117" i="25" s="1"/>
  <c r="AF117" i="25" s="1"/>
  <c r="AD117" i="25" s="1"/>
  <c r="AI121" i="25"/>
  <c r="AH121" i="25" s="1"/>
  <c r="AG121" i="25" s="1"/>
  <c r="AF121" i="25" s="1"/>
  <c r="AD121" i="25" s="1"/>
  <c r="AI125" i="25"/>
  <c r="AH125" i="25" s="1"/>
  <c r="AG125" i="25" s="1"/>
  <c r="AF125" i="25" s="1"/>
  <c r="AD125" i="25" s="1"/>
  <c r="AI129" i="25"/>
  <c r="AH129" i="25" s="1"/>
  <c r="AG129" i="25" s="1"/>
  <c r="AF129" i="25" s="1"/>
  <c r="AD129" i="25" s="1"/>
  <c r="AI133" i="25"/>
  <c r="AH133" i="25" s="1"/>
  <c r="AG133" i="25" s="1"/>
  <c r="AF133" i="25" s="1"/>
  <c r="AD133" i="25" s="1"/>
  <c r="AI137" i="25"/>
  <c r="AH137" i="25" s="1"/>
  <c r="AG137" i="25" s="1"/>
  <c r="AF137" i="25" s="1"/>
  <c r="AD137" i="25" s="1"/>
  <c r="AI141" i="25"/>
  <c r="AH141" i="25" s="1"/>
  <c r="AG141" i="25" s="1"/>
  <c r="AF141" i="25" s="1"/>
  <c r="AD141" i="25" s="1"/>
  <c r="AI145" i="25"/>
  <c r="AH145" i="25" s="1"/>
  <c r="AG145" i="25" s="1"/>
  <c r="AF145" i="25" s="1"/>
  <c r="AD145" i="25" s="1"/>
  <c r="AI149" i="25"/>
  <c r="AH149" i="25" s="1"/>
  <c r="AG149" i="25" s="1"/>
  <c r="AF149" i="25" s="1"/>
  <c r="AD149" i="25" s="1"/>
  <c r="AI153" i="25"/>
  <c r="AH153" i="25" s="1"/>
  <c r="AG153" i="25" s="1"/>
  <c r="AF153" i="25" s="1"/>
  <c r="AD153" i="25" s="1"/>
  <c r="AI157" i="25"/>
  <c r="AH157" i="25" s="1"/>
  <c r="AG157" i="25" s="1"/>
  <c r="AF157" i="25" s="1"/>
  <c r="AD157" i="25" s="1"/>
  <c r="AI161" i="25"/>
  <c r="AH161" i="25" s="1"/>
  <c r="AG161" i="25" s="1"/>
  <c r="AF161" i="25" s="1"/>
  <c r="AD161" i="25" s="1"/>
  <c r="AI165" i="25"/>
  <c r="AH165" i="25" s="1"/>
  <c r="AG165" i="25" s="1"/>
  <c r="AF165" i="25" s="1"/>
  <c r="AD165" i="25" s="1"/>
  <c r="AI169" i="25"/>
  <c r="AH169" i="25" s="1"/>
  <c r="AG169" i="25" s="1"/>
  <c r="AF169" i="25" s="1"/>
  <c r="AD169" i="25" s="1"/>
  <c r="AI173" i="25"/>
  <c r="AH173" i="25" s="1"/>
  <c r="AG173" i="25" s="1"/>
  <c r="AF173" i="25" s="1"/>
  <c r="AD173" i="25" s="1"/>
  <c r="AI177" i="25"/>
  <c r="AH177" i="25" s="1"/>
  <c r="AG177" i="25" s="1"/>
  <c r="AF177" i="25" s="1"/>
  <c r="AD177" i="25" s="1"/>
  <c r="AI181" i="25"/>
  <c r="AH181" i="25" s="1"/>
  <c r="AG181" i="25" s="1"/>
  <c r="AF181" i="25" s="1"/>
  <c r="AD181" i="25" s="1"/>
  <c r="AI185" i="25"/>
  <c r="AH185" i="25" s="1"/>
  <c r="AG185" i="25" s="1"/>
  <c r="AF185" i="25" s="1"/>
  <c r="AD185" i="25" s="1"/>
  <c r="AI189" i="25"/>
  <c r="AH189" i="25" s="1"/>
  <c r="AG189" i="25" s="1"/>
  <c r="AF189" i="25" s="1"/>
  <c r="AD189" i="25" s="1"/>
  <c r="AI193" i="25"/>
  <c r="AH193" i="25" s="1"/>
  <c r="AG193" i="25" s="1"/>
  <c r="AF193" i="25" s="1"/>
  <c r="AD193" i="25" s="1"/>
  <c r="AI197" i="25"/>
  <c r="AH197" i="25" s="1"/>
  <c r="AG197" i="25" s="1"/>
  <c r="AF197" i="25" s="1"/>
  <c r="AD197" i="25" s="1"/>
  <c r="AI201" i="25"/>
  <c r="AH201" i="25" s="1"/>
  <c r="AG201" i="25" s="1"/>
  <c r="AF201" i="25" s="1"/>
  <c r="AD201" i="25" s="1"/>
  <c r="AI205" i="25"/>
  <c r="AH205" i="25" s="1"/>
  <c r="AG205" i="25" s="1"/>
  <c r="AF205" i="25" s="1"/>
  <c r="AD205" i="25" s="1"/>
  <c r="AI209" i="25"/>
  <c r="AH209" i="25" s="1"/>
  <c r="AG209" i="25" s="1"/>
  <c r="AF209" i="25" s="1"/>
  <c r="AD209" i="25" s="1"/>
  <c r="AI213" i="25"/>
  <c r="AH213" i="25" s="1"/>
  <c r="AG213" i="25" s="1"/>
  <c r="AF213" i="25" s="1"/>
  <c r="AD213" i="25" s="1"/>
  <c r="AI217" i="25"/>
  <c r="AH217" i="25" s="1"/>
  <c r="AG217" i="25" s="1"/>
  <c r="AF217" i="25" s="1"/>
  <c r="AD217" i="25" s="1"/>
  <c r="AI221" i="25"/>
  <c r="AH221" i="25" s="1"/>
  <c r="AG221" i="25" s="1"/>
  <c r="AF221" i="25" s="1"/>
  <c r="AD221" i="25" s="1"/>
  <c r="AI225" i="25"/>
  <c r="AH225" i="25" s="1"/>
  <c r="AG225" i="25" s="1"/>
  <c r="AF225" i="25" s="1"/>
  <c r="AD225" i="25" s="1"/>
  <c r="AI229" i="25"/>
  <c r="AH229" i="25" s="1"/>
  <c r="AG229" i="25" s="1"/>
  <c r="AF229" i="25" s="1"/>
  <c r="AD229" i="25" s="1"/>
  <c r="AI233" i="25"/>
  <c r="AH233" i="25" s="1"/>
  <c r="AG233" i="25" s="1"/>
  <c r="AF233" i="25" s="1"/>
  <c r="AD233" i="25" s="1"/>
  <c r="AI237" i="25"/>
  <c r="AH237" i="25" s="1"/>
  <c r="AG237" i="25" s="1"/>
  <c r="AF237" i="25" s="1"/>
  <c r="AD237" i="25" s="1"/>
  <c r="AI241" i="25"/>
  <c r="AH241" i="25" s="1"/>
  <c r="AG241" i="25" s="1"/>
  <c r="AF241" i="25" s="1"/>
  <c r="AD241" i="25" s="1"/>
  <c r="AI245" i="25"/>
  <c r="AH245" i="25" s="1"/>
  <c r="AG245" i="25" s="1"/>
  <c r="AF245" i="25" s="1"/>
  <c r="AD245" i="25" s="1"/>
  <c r="AI249" i="25"/>
  <c r="AH249" i="25" s="1"/>
  <c r="AG249" i="25" s="1"/>
  <c r="AF249" i="25" s="1"/>
  <c r="AD249" i="25" s="1"/>
  <c r="AI253" i="25"/>
  <c r="AH253" i="25" s="1"/>
  <c r="AG253" i="25" s="1"/>
  <c r="AF253" i="25" s="1"/>
  <c r="AD253" i="25" s="1"/>
  <c r="AI257" i="25"/>
  <c r="AH257" i="25" s="1"/>
  <c r="AG257" i="25" s="1"/>
  <c r="AF257" i="25" s="1"/>
  <c r="AD257" i="25" s="1"/>
  <c r="AI261" i="25"/>
  <c r="AH261" i="25" s="1"/>
  <c r="AG261" i="25" s="1"/>
  <c r="AF261" i="25" s="1"/>
  <c r="AD261" i="25" s="1"/>
  <c r="AA261" i="25" s="1"/>
  <c r="Z261" i="25" s="1"/>
  <c r="Y261" i="25" s="1"/>
  <c r="AI265" i="25"/>
  <c r="AH265" i="25" s="1"/>
  <c r="AG265" i="25" s="1"/>
  <c r="AF265" i="25" s="1"/>
  <c r="AD265" i="25" s="1"/>
  <c r="AI269" i="25"/>
  <c r="AH269" i="25" s="1"/>
  <c r="AG269" i="25" s="1"/>
  <c r="AF269" i="25" s="1"/>
  <c r="AD269" i="25" s="1"/>
  <c r="AI273" i="25"/>
  <c r="AH273" i="25" s="1"/>
  <c r="AG273" i="25" s="1"/>
  <c r="AF273" i="25" s="1"/>
  <c r="AD273" i="25" s="1"/>
  <c r="AI277" i="25"/>
  <c r="AH277" i="25" s="1"/>
  <c r="AG277" i="25" s="1"/>
  <c r="AF277" i="25" s="1"/>
  <c r="AD277" i="25" s="1"/>
  <c r="AI281" i="25"/>
  <c r="AH281" i="25" s="1"/>
  <c r="AG281" i="25" s="1"/>
  <c r="AF281" i="25" s="1"/>
  <c r="AD281" i="25" s="1"/>
  <c r="AI285" i="25"/>
  <c r="AH285" i="25" s="1"/>
  <c r="AG285" i="25" s="1"/>
  <c r="AF285" i="25" s="1"/>
  <c r="AD285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104" i="25"/>
  <c r="AI108" i="25"/>
  <c r="AH108" i="25" s="1"/>
  <c r="AG108" i="25" s="1"/>
  <c r="AF108" i="25" s="1"/>
  <c r="AD108" i="25" s="1"/>
  <c r="AI112" i="25"/>
  <c r="AH112" i="25" s="1"/>
  <c r="AG112" i="25" s="1"/>
  <c r="AF112" i="25" s="1"/>
  <c r="AD112" i="25" s="1"/>
  <c r="AI116" i="25"/>
  <c r="AH116" i="25" s="1"/>
  <c r="AG116" i="25" s="1"/>
  <c r="AF116" i="25" s="1"/>
  <c r="AD116" i="25" s="1"/>
  <c r="AI120" i="25"/>
  <c r="AH120" i="25" s="1"/>
  <c r="AG120" i="25" s="1"/>
  <c r="AF120" i="25" s="1"/>
  <c r="AD120" i="25" s="1"/>
  <c r="AI124" i="25"/>
  <c r="AH124" i="25" s="1"/>
  <c r="AG124" i="25" s="1"/>
  <c r="AF124" i="25" s="1"/>
  <c r="AD124" i="25" s="1"/>
  <c r="AI128" i="25"/>
  <c r="AH128" i="25" s="1"/>
  <c r="AG128" i="25" s="1"/>
  <c r="AF128" i="25" s="1"/>
  <c r="AD128" i="25" s="1"/>
  <c r="AI132" i="25"/>
  <c r="AH132" i="25" s="1"/>
  <c r="AG132" i="25" s="1"/>
  <c r="AF132" i="25" s="1"/>
  <c r="AD132" i="25" s="1"/>
  <c r="AI136" i="25"/>
  <c r="AH136" i="25" s="1"/>
  <c r="AG136" i="25" s="1"/>
  <c r="AF136" i="25" s="1"/>
  <c r="AD136" i="25" s="1"/>
  <c r="AI140" i="25"/>
  <c r="AH140" i="25" s="1"/>
  <c r="AG140" i="25" s="1"/>
  <c r="AF140" i="25" s="1"/>
  <c r="AD140" i="25" s="1"/>
  <c r="AI144" i="25"/>
  <c r="AH144" i="25" s="1"/>
  <c r="AG144" i="25" s="1"/>
  <c r="AF144" i="25" s="1"/>
  <c r="AD144" i="25" s="1"/>
  <c r="AI148" i="25"/>
  <c r="AH148" i="25" s="1"/>
  <c r="AG148" i="25" s="1"/>
  <c r="AF148" i="25" s="1"/>
  <c r="AD148" i="25" s="1"/>
  <c r="AI152" i="25"/>
  <c r="AH152" i="25" s="1"/>
  <c r="AG152" i="25" s="1"/>
  <c r="AF152" i="25" s="1"/>
  <c r="AD152" i="25" s="1"/>
  <c r="AI156" i="25"/>
  <c r="AH156" i="25" s="1"/>
  <c r="AG156" i="25" s="1"/>
  <c r="AF156" i="25" s="1"/>
  <c r="AD156" i="25" s="1"/>
  <c r="AI160" i="25"/>
  <c r="AH160" i="25" s="1"/>
  <c r="AG160" i="25" s="1"/>
  <c r="AF160" i="25" s="1"/>
  <c r="AD160" i="25" s="1"/>
  <c r="AI164" i="25"/>
  <c r="AH164" i="25" s="1"/>
  <c r="AG164" i="25" s="1"/>
  <c r="AF164" i="25" s="1"/>
  <c r="AD164" i="25" s="1"/>
  <c r="AI168" i="25"/>
  <c r="AH168" i="25" s="1"/>
  <c r="AG168" i="25" s="1"/>
  <c r="AF168" i="25" s="1"/>
  <c r="AD168" i="25" s="1"/>
  <c r="AI172" i="25"/>
  <c r="AH172" i="25" s="1"/>
  <c r="AG172" i="25" s="1"/>
  <c r="AF172" i="25" s="1"/>
  <c r="AD172" i="25" s="1"/>
  <c r="AI176" i="25"/>
  <c r="AH176" i="25" s="1"/>
  <c r="AG176" i="25" s="1"/>
  <c r="AF176" i="25" s="1"/>
  <c r="AD176" i="25" s="1"/>
  <c r="AI180" i="25"/>
  <c r="AH180" i="25" s="1"/>
  <c r="AG180" i="25" s="1"/>
  <c r="AF180" i="25" s="1"/>
  <c r="AD180" i="25" s="1"/>
  <c r="AI184" i="25"/>
  <c r="AH184" i="25" s="1"/>
  <c r="AG184" i="25" s="1"/>
  <c r="AF184" i="25" s="1"/>
  <c r="AD184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A248" i="25" s="1"/>
  <c r="Z248" i="25" s="1"/>
  <c r="Y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376" i="25"/>
  <c r="AH376" i="25" s="1"/>
  <c r="AG376" i="25" s="1"/>
  <c r="AF376" i="25" s="1"/>
  <c r="AD376" i="25" s="1"/>
  <c r="AI107" i="25"/>
  <c r="AH107" i="25" s="1"/>
  <c r="AG107" i="25" s="1"/>
  <c r="AF107" i="25" s="1"/>
  <c r="AD107" i="25" s="1"/>
  <c r="AI111" i="25"/>
  <c r="AH111" i="25" s="1"/>
  <c r="AG111" i="25" s="1"/>
  <c r="AF111" i="25" s="1"/>
  <c r="AD111" i="25" s="1"/>
  <c r="AI115" i="25"/>
  <c r="AH115" i="25" s="1"/>
  <c r="AG115" i="25" s="1"/>
  <c r="AF115" i="25" s="1"/>
  <c r="AD115" i="25" s="1"/>
  <c r="AI119" i="25"/>
  <c r="AH119" i="25" s="1"/>
  <c r="AG119" i="25" s="1"/>
  <c r="AF119" i="25" s="1"/>
  <c r="AD119" i="25" s="1"/>
  <c r="AI123" i="25"/>
  <c r="AH123" i="25" s="1"/>
  <c r="AG123" i="25" s="1"/>
  <c r="AF123" i="25" s="1"/>
  <c r="AD123" i="25" s="1"/>
  <c r="AI127" i="25"/>
  <c r="AH127" i="25" s="1"/>
  <c r="AG127" i="25" s="1"/>
  <c r="AF127" i="25" s="1"/>
  <c r="AD127" i="25" s="1"/>
  <c r="AI131" i="25"/>
  <c r="AH131" i="25" s="1"/>
  <c r="AG131" i="25" s="1"/>
  <c r="AF131" i="25" s="1"/>
  <c r="AD131" i="25" s="1"/>
  <c r="AI135" i="25"/>
  <c r="AH135" i="25" s="1"/>
  <c r="AG135" i="25" s="1"/>
  <c r="AF135" i="25" s="1"/>
  <c r="AD135" i="25" s="1"/>
  <c r="AI139" i="25"/>
  <c r="AH139" i="25" s="1"/>
  <c r="AG139" i="25" s="1"/>
  <c r="AF139" i="25" s="1"/>
  <c r="AD139" i="25" s="1"/>
  <c r="AI143" i="25"/>
  <c r="AH143" i="25" s="1"/>
  <c r="AG143" i="25" s="1"/>
  <c r="AF143" i="25" s="1"/>
  <c r="AD143" i="25" s="1"/>
  <c r="AI147" i="25"/>
  <c r="AH147" i="25" s="1"/>
  <c r="AG147" i="25" s="1"/>
  <c r="AF147" i="25" s="1"/>
  <c r="AD147" i="25" s="1"/>
  <c r="AI151" i="25"/>
  <c r="AH151" i="25" s="1"/>
  <c r="AG151" i="25" s="1"/>
  <c r="AF151" i="25" s="1"/>
  <c r="AD151" i="25" s="1"/>
  <c r="AI155" i="25"/>
  <c r="AH155" i="25" s="1"/>
  <c r="AG155" i="25" s="1"/>
  <c r="AF155" i="25" s="1"/>
  <c r="AD155" i="25" s="1"/>
  <c r="AI159" i="25"/>
  <c r="AH159" i="25" s="1"/>
  <c r="AG159" i="25" s="1"/>
  <c r="AF159" i="25" s="1"/>
  <c r="AD159" i="25" s="1"/>
  <c r="AI163" i="25"/>
  <c r="AH163" i="25" s="1"/>
  <c r="AG163" i="25" s="1"/>
  <c r="AF163" i="25" s="1"/>
  <c r="AD163" i="25" s="1"/>
  <c r="AI167" i="25"/>
  <c r="AH167" i="25" s="1"/>
  <c r="AG167" i="25" s="1"/>
  <c r="AF167" i="25" s="1"/>
  <c r="AD167" i="25" s="1"/>
  <c r="AI171" i="25"/>
  <c r="AH171" i="25" s="1"/>
  <c r="AG171" i="25" s="1"/>
  <c r="AF171" i="25" s="1"/>
  <c r="AD171" i="25" s="1"/>
  <c r="AI175" i="25"/>
  <c r="AH175" i="25" s="1"/>
  <c r="AG175" i="25" s="1"/>
  <c r="AF175" i="25" s="1"/>
  <c r="AD175" i="25" s="1"/>
  <c r="AI179" i="25"/>
  <c r="AH179" i="25" s="1"/>
  <c r="AG179" i="25" s="1"/>
  <c r="AF179" i="25" s="1"/>
  <c r="AD179" i="25" s="1"/>
  <c r="AI183" i="25"/>
  <c r="AH183" i="25" s="1"/>
  <c r="AG183" i="25" s="1"/>
  <c r="AF183" i="25" s="1"/>
  <c r="AD183" i="25" s="1"/>
  <c r="AI187" i="25"/>
  <c r="AH187" i="25" s="1"/>
  <c r="AG187" i="25" s="1"/>
  <c r="AF187" i="25" s="1"/>
  <c r="AD187" i="25" s="1"/>
  <c r="AI191" i="25"/>
  <c r="AH191" i="25" s="1"/>
  <c r="AG191" i="25" s="1"/>
  <c r="AF191" i="25" s="1"/>
  <c r="AD191" i="25" s="1"/>
  <c r="AI195" i="25"/>
  <c r="AH195" i="25" s="1"/>
  <c r="AG195" i="25" s="1"/>
  <c r="AF195" i="25" s="1"/>
  <c r="AD195" i="25" s="1"/>
  <c r="AI199" i="25"/>
  <c r="AH199" i="25" s="1"/>
  <c r="AG199" i="25" s="1"/>
  <c r="AF199" i="25" s="1"/>
  <c r="AD199" i="25" s="1"/>
  <c r="AI203" i="25"/>
  <c r="AH203" i="25" s="1"/>
  <c r="AG203" i="25" s="1"/>
  <c r="AF203" i="25" s="1"/>
  <c r="AD203" i="25" s="1"/>
  <c r="AI207" i="25"/>
  <c r="AH207" i="25" s="1"/>
  <c r="AG207" i="25" s="1"/>
  <c r="AF207" i="25" s="1"/>
  <c r="AD207" i="25" s="1"/>
  <c r="AI211" i="25"/>
  <c r="AH211" i="25" s="1"/>
  <c r="AG211" i="25" s="1"/>
  <c r="AF211" i="25" s="1"/>
  <c r="AD211" i="25" s="1"/>
  <c r="AI215" i="25"/>
  <c r="AH215" i="25" s="1"/>
  <c r="AG215" i="25" s="1"/>
  <c r="AF215" i="25" s="1"/>
  <c r="AD215" i="25" s="1"/>
  <c r="AI219" i="25"/>
  <c r="AH219" i="25" s="1"/>
  <c r="AG219" i="25" s="1"/>
  <c r="AF219" i="25" s="1"/>
  <c r="AD219" i="25" s="1"/>
  <c r="AI223" i="25"/>
  <c r="AH223" i="25" s="1"/>
  <c r="AG223" i="25" s="1"/>
  <c r="AF223" i="25" s="1"/>
  <c r="AD223" i="25" s="1"/>
  <c r="AI227" i="25"/>
  <c r="AH227" i="25" s="1"/>
  <c r="AG227" i="25" s="1"/>
  <c r="AF227" i="25" s="1"/>
  <c r="AD227" i="25" s="1"/>
  <c r="AI231" i="25"/>
  <c r="AH231" i="25" s="1"/>
  <c r="AG231" i="25" s="1"/>
  <c r="AF231" i="25" s="1"/>
  <c r="AD231" i="25" s="1"/>
  <c r="AI235" i="25"/>
  <c r="AH235" i="25" s="1"/>
  <c r="AG235" i="25" s="1"/>
  <c r="AF235" i="25" s="1"/>
  <c r="AD235" i="25" s="1"/>
  <c r="AI239" i="25"/>
  <c r="AH239" i="25" s="1"/>
  <c r="AG239" i="25" s="1"/>
  <c r="AF239" i="25" s="1"/>
  <c r="AD239" i="25" s="1"/>
  <c r="AI243" i="25"/>
  <c r="AH243" i="25" s="1"/>
  <c r="AG243" i="25" s="1"/>
  <c r="AF243" i="25" s="1"/>
  <c r="AD243" i="25" s="1"/>
  <c r="AI247" i="25"/>
  <c r="AH247" i="25" s="1"/>
  <c r="AG247" i="25" s="1"/>
  <c r="AF247" i="25" s="1"/>
  <c r="AD247" i="25" s="1"/>
  <c r="AI251" i="25"/>
  <c r="AH251" i="25" s="1"/>
  <c r="AG251" i="25" s="1"/>
  <c r="AF251" i="25" s="1"/>
  <c r="AD251" i="25" s="1"/>
  <c r="AI255" i="25"/>
  <c r="AH255" i="25" s="1"/>
  <c r="AG255" i="25" s="1"/>
  <c r="AF255" i="25" s="1"/>
  <c r="AD255" i="25" s="1"/>
  <c r="AI259" i="25"/>
  <c r="AH259" i="25" s="1"/>
  <c r="AG259" i="25" s="1"/>
  <c r="AF259" i="25" s="1"/>
  <c r="AD259" i="25" s="1"/>
  <c r="AI263" i="25"/>
  <c r="AH263" i="25" s="1"/>
  <c r="AG263" i="25" s="1"/>
  <c r="AF263" i="25" s="1"/>
  <c r="AD263" i="25" s="1"/>
  <c r="AI267" i="25"/>
  <c r="AH267" i="25" s="1"/>
  <c r="AG267" i="25" s="1"/>
  <c r="AF267" i="25" s="1"/>
  <c r="AD267" i="25" s="1"/>
  <c r="AI271" i="25"/>
  <c r="AH271" i="25" s="1"/>
  <c r="AG271" i="25" s="1"/>
  <c r="AF271" i="25" s="1"/>
  <c r="AD271" i="25" s="1"/>
  <c r="AI275" i="25"/>
  <c r="AH275" i="25" s="1"/>
  <c r="AG275" i="25" s="1"/>
  <c r="AF275" i="25" s="1"/>
  <c r="AD275" i="25" s="1"/>
  <c r="AI279" i="25"/>
  <c r="AH279" i="25" s="1"/>
  <c r="AG279" i="25" s="1"/>
  <c r="AF279" i="25" s="1"/>
  <c r="AD279" i="25" s="1"/>
  <c r="AI283" i="25"/>
  <c r="AH283" i="25" s="1"/>
  <c r="AG283" i="25" s="1"/>
  <c r="AF283" i="25" s="1"/>
  <c r="AD283" i="25" s="1"/>
  <c r="AI287" i="25"/>
  <c r="AH287" i="25" s="1"/>
  <c r="AG287" i="25" s="1"/>
  <c r="AF287" i="25" s="1"/>
  <c r="AD287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106" i="25"/>
  <c r="AH106" i="25" s="1"/>
  <c r="AG106" i="25" s="1"/>
  <c r="AF106" i="25" s="1"/>
  <c r="AD106" i="25" s="1"/>
  <c r="AI110" i="25"/>
  <c r="AH110" i="25" s="1"/>
  <c r="AG110" i="25" s="1"/>
  <c r="AF110" i="25" s="1"/>
  <c r="AD110" i="25" s="1"/>
  <c r="AI114" i="25"/>
  <c r="AH114" i="25" s="1"/>
  <c r="AG114" i="25" s="1"/>
  <c r="AF114" i="25" s="1"/>
  <c r="AD114" i="25" s="1"/>
  <c r="AI118" i="25"/>
  <c r="AH118" i="25" s="1"/>
  <c r="AG118" i="25" s="1"/>
  <c r="AF118" i="25" s="1"/>
  <c r="AD118" i="25" s="1"/>
  <c r="AI122" i="25"/>
  <c r="AH122" i="25" s="1"/>
  <c r="AG122" i="25" s="1"/>
  <c r="AF122" i="25" s="1"/>
  <c r="AD122" i="25" s="1"/>
  <c r="AI126" i="25"/>
  <c r="AH126" i="25" s="1"/>
  <c r="AG126" i="25" s="1"/>
  <c r="AF126" i="25" s="1"/>
  <c r="AD126" i="25" s="1"/>
  <c r="AI130" i="25"/>
  <c r="AH130" i="25" s="1"/>
  <c r="AG130" i="25" s="1"/>
  <c r="AF130" i="25" s="1"/>
  <c r="AD130" i="25" s="1"/>
  <c r="AI134" i="25"/>
  <c r="AH134" i="25" s="1"/>
  <c r="AG134" i="25" s="1"/>
  <c r="AF134" i="25" s="1"/>
  <c r="AD134" i="25" s="1"/>
  <c r="AI138" i="25"/>
  <c r="AH138" i="25" s="1"/>
  <c r="AG138" i="25" s="1"/>
  <c r="AF138" i="25" s="1"/>
  <c r="AD138" i="25" s="1"/>
  <c r="AI142" i="25"/>
  <c r="AH142" i="25" s="1"/>
  <c r="AG142" i="25" s="1"/>
  <c r="AF142" i="25" s="1"/>
  <c r="AD142" i="25" s="1"/>
  <c r="AI146" i="25"/>
  <c r="AH146" i="25" s="1"/>
  <c r="AG146" i="25" s="1"/>
  <c r="AF146" i="25" s="1"/>
  <c r="AD146" i="25" s="1"/>
  <c r="AI150" i="25"/>
  <c r="AH150" i="25" s="1"/>
  <c r="AG150" i="25" s="1"/>
  <c r="AF150" i="25" s="1"/>
  <c r="AD150" i="25" s="1"/>
  <c r="AI154" i="25"/>
  <c r="AH154" i="25" s="1"/>
  <c r="AG154" i="25" s="1"/>
  <c r="AF154" i="25" s="1"/>
  <c r="AD154" i="25" s="1"/>
  <c r="AI158" i="25"/>
  <c r="AH158" i="25" s="1"/>
  <c r="AG158" i="25" s="1"/>
  <c r="AF158" i="25" s="1"/>
  <c r="AD158" i="25" s="1"/>
  <c r="AI162" i="25"/>
  <c r="AH162" i="25" s="1"/>
  <c r="AG162" i="25" s="1"/>
  <c r="AF162" i="25" s="1"/>
  <c r="AD162" i="25" s="1"/>
  <c r="AI166" i="25"/>
  <c r="AH166" i="25" s="1"/>
  <c r="AG166" i="25" s="1"/>
  <c r="AF166" i="25" s="1"/>
  <c r="AD166" i="25" s="1"/>
  <c r="AI170" i="25"/>
  <c r="AH170" i="25" s="1"/>
  <c r="AG170" i="25" s="1"/>
  <c r="AF170" i="25" s="1"/>
  <c r="AD170" i="25" s="1"/>
  <c r="AI174" i="25"/>
  <c r="AH174" i="25" s="1"/>
  <c r="AG174" i="25" s="1"/>
  <c r="AF174" i="25" s="1"/>
  <c r="AD174" i="25" s="1"/>
  <c r="AI178" i="25"/>
  <c r="AH178" i="25" s="1"/>
  <c r="AG178" i="25" s="1"/>
  <c r="AF178" i="25" s="1"/>
  <c r="AD178" i="25" s="1"/>
  <c r="AI182" i="25"/>
  <c r="AH182" i="25" s="1"/>
  <c r="AG182" i="25" s="1"/>
  <c r="AF182" i="25" s="1"/>
  <c r="AD182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G254" i="25" s="1"/>
  <c r="AF254" i="25" s="1"/>
  <c r="AD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374" i="25"/>
  <c r="AH374" i="25" s="1"/>
  <c r="AG374" i="25" s="1"/>
  <c r="AF374" i="25" s="1"/>
  <c r="AD374" i="25" s="1"/>
  <c r="AI378" i="25"/>
  <c r="AH378" i="25" s="1"/>
  <c r="AG378" i="25" s="1"/>
  <c r="AF378" i="25" s="1"/>
  <c r="AD378" i="25" s="1"/>
  <c r="W28" i="25"/>
  <c r="D28" i="25"/>
  <c r="E28" i="25" s="1"/>
  <c r="F28" i="25" s="1"/>
  <c r="D44" i="25"/>
  <c r="E44" i="25" s="1"/>
  <c r="F44" i="25" s="1"/>
  <c r="W44" i="25"/>
  <c r="AH69" i="7"/>
  <c r="V60" i="25"/>
  <c r="W76" i="25"/>
  <c r="D76" i="25"/>
  <c r="E76" i="25" s="1"/>
  <c r="F76" i="25" s="1"/>
  <c r="W92" i="25"/>
  <c r="D92" i="25"/>
  <c r="E92" i="25" s="1"/>
  <c r="F92" i="25" s="1"/>
  <c r="W103" i="25"/>
  <c r="D103" i="25"/>
  <c r="E103" i="25" s="1"/>
  <c r="F103" i="25" s="1"/>
  <c r="D95" i="25"/>
  <c r="E95" i="25" s="1"/>
  <c r="F95" i="25" s="1"/>
  <c r="W95" i="25"/>
  <c r="W87" i="25"/>
  <c r="D87" i="25"/>
  <c r="E87" i="25" s="1"/>
  <c r="F87" i="25" s="1"/>
  <c r="W79" i="25"/>
  <c r="D79" i="25"/>
  <c r="E79" i="25" s="1"/>
  <c r="F79" i="25" s="1"/>
  <c r="D71" i="25"/>
  <c r="E71" i="25" s="1"/>
  <c r="F71" i="25" s="1"/>
  <c r="W71" i="25"/>
  <c r="D63" i="25"/>
  <c r="E63" i="25" s="1"/>
  <c r="F63" i="25" s="1"/>
  <c r="W63" i="25"/>
  <c r="D55" i="25"/>
  <c r="E55" i="25" s="1"/>
  <c r="F55" i="25" s="1"/>
  <c r="W55" i="25"/>
  <c r="W47" i="25"/>
  <c r="D47" i="25"/>
  <c r="E47" i="25" s="1"/>
  <c r="F47" i="25" s="1"/>
  <c r="W39" i="25"/>
  <c r="D39" i="25"/>
  <c r="E39" i="25" s="1"/>
  <c r="F39" i="25" s="1"/>
  <c r="W31" i="25"/>
  <c r="D31" i="25"/>
  <c r="E31" i="25" s="1"/>
  <c r="F31" i="25" s="1"/>
  <c r="W23" i="25"/>
  <c r="D23" i="25"/>
  <c r="E23" i="25" s="1"/>
  <c r="F23" i="25" s="1"/>
  <c r="D27" i="25"/>
  <c r="E27" i="25" s="1"/>
  <c r="F27" i="25" s="1"/>
  <c r="W27" i="25"/>
  <c r="W58" i="25"/>
  <c r="D58" i="25"/>
  <c r="E58" i="25" s="1"/>
  <c r="F58" i="25" s="1"/>
  <c r="D90" i="25"/>
  <c r="E90" i="25" s="1"/>
  <c r="F90" i="25" s="1"/>
  <c r="W90" i="25"/>
  <c r="W54" i="25"/>
  <c r="D54" i="25"/>
  <c r="E54" i="25" s="1"/>
  <c r="F54" i="25" s="1"/>
  <c r="W16" i="25"/>
  <c r="D16" i="25"/>
  <c r="E16" i="25" s="1"/>
  <c r="F16" i="25" s="1"/>
  <c r="W46" i="25"/>
  <c r="D46" i="25"/>
  <c r="E46" i="25" s="1"/>
  <c r="F46" i="25" s="1"/>
  <c r="D94" i="25"/>
  <c r="E94" i="25" s="1"/>
  <c r="F94" i="25" s="1"/>
  <c r="W94" i="25"/>
  <c r="W30" i="25"/>
  <c r="D30" i="25"/>
  <c r="E30" i="25" s="1"/>
  <c r="F30" i="25" s="1"/>
  <c r="I172" i="24"/>
  <c r="J172" i="24"/>
  <c r="I124" i="24"/>
  <c r="J124" i="24"/>
  <c r="J100" i="24"/>
  <c r="I100" i="24"/>
  <c r="D60" i="24"/>
  <c r="E60" i="24" s="1"/>
  <c r="F60" i="24" s="1"/>
  <c r="W60" i="24"/>
  <c r="S381" i="24"/>
  <c r="S383" i="24"/>
  <c r="S382" i="24"/>
  <c r="R15" i="24"/>
  <c r="I103" i="24"/>
  <c r="J103" i="24"/>
  <c r="G119" i="24"/>
  <c r="CE119" i="6" s="1"/>
  <c r="AA119" i="24"/>
  <c r="Z119" i="24" s="1"/>
  <c r="Y119" i="24" s="1"/>
  <c r="G135" i="24"/>
  <c r="CE135" i="6" s="1"/>
  <c r="AA135" i="24"/>
  <c r="Z135" i="24" s="1"/>
  <c r="Y135" i="24" s="1"/>
  <c r="H135" i="24"/>
  <c r="J237" i="24"/>
  <c r="I237" i="24"/>
  <c r="G333" i="24"/>
  <c r="CE333" i="6" s="1"/>
  <c r="AA333" i="24"/>
  <c r="Z333" i="24" s="1"/>
  <c r="Y333" i="24" s="1"/>
  <c r="J114" i="24"/>
  <c r="I114" i="24"/>
  <c r="J50" i="24"/>
  <c r="I50" i="24"/>
  <c r="I236" i="24"/>
  <c r="J236" i="24"/>
  <c r="J332" i="24"/>
  <c r="I332" i="24"/>
  <c r="I364" i="24"/>
  <c r="J364" i="24"/>
  <c r="I198" i="24"/>
  <c r="J198" i="24"/>
  <c r="J139" i="24"/>
  <c r="I139" i="24"/>
  <c r="I217" i="24"/>
  <c r="J217" i="24"/>
  <c r="I279" i="24"/>
  <c r="J279" i="24"/>
  <c r="G379" i="23"/>
  <c r="CD379" i="6" s="1"/>
  <c r="AA379" i="23"/>
  <c r="Z379" i="23" s="1"/>
  <c r="Y379" i="23" s="1"/>
  <c r="J282" i="24"/>
  <c r="I282" i="24"/>
  <c r="J193" i="24"/>
  <c r="I193" i="24"/>
  <c r="I169" i="24"/>
  <c r="J169" i="24"/>
  <c r="G16" i="19"/>
  <c r="AB9" i="20"/>
  <c r="F11" i="20"/>
  <c r="G382" i="20"/>
  <c r="G381" i="20"/>
  <c r="G383" i="20"/>
  <c r="G12" i="20" s="1"/>
  <c r="J190" i="24"/>
  <c r="I190" i="24"/>
  <c r="J161" i="24"/>
  <c r="I161" i="24"/>
  <c r="I295" i="24"/>
  <c r="J295" i="24"/>
  <c r="I152" i="24"/>
  <c r="J152" i="24"/>
  <c r="I64" i="24"/>
  <c r="J64" i="24"/>
  <c r="I368" i="24"/>
  <c r="J368" i="24"/>
  <c r="I24" i="24"/>
  <c r="J24" i="24"/>
  <c r="J62" i="24"/>
  <c r="I62" i="24"/>
  <c r="J38" i="24"/>
  <c r="I38" i="24"/>
  <c r="I53" i="24"/>
  <c r="J53" i="24"/>
  <c r="G180" i="24"/>
  <c r="CE180" i="6" s="1"/>
  <c r="AA180" i="24"/>
  <c r="Z180" i="24" s="1"/>
  <c r="Y180" i="24" s="1"/>
  <c r="I254" i="24"/>
  <c r="J254" i="24"/>
  <c r="I222" i="24"/>
  <c r="J222" i="24"/>
  <c r="J73" i="24"/>
  <c r="I73" i="24"/>
  <c r="J218" i="24"/>
  <c r="I218" i="24"/>
  <c r="I97" i="24"/>
  <c r="J97" i="24"/>
  <c r="I106" i="24"/>
  <c r="J106" i="24"/>
  <c r="I272" i="23"/>
  <c r="H272" i="24" s="1"/>
  <c r="J272" i="23"/>
  <c r="J191" i="24"/>
  <c r="I191" i="24"/>
  <c r="J278" i="24"/>
  <c r="I278" i="24"/>
  <c r="J80" i="24"/>
  <c r="I80" i="24"/>
  <c r="J338" i="24"/>
  <c r="I338" i="24"/>
  <c r="J155" i="24"/>
  <c r="I155" i="24"/>
  <c r="J265" i="24"/>
  <c r="I265" i="24"/>
  <c r="I104" i="24"/>
  <c r="J104" i="24"/>
  <c r="I41" i="24"/>
  <c r="J41" i="24"/>
  <c r="AL6" i="18"/>
  <c r="AL12" i="18" s="1"/>
  <c r="Y381" i="18"/>
  <c r="AM6" i="18"/>
  <c r="AM12" i="18" s="1"/>
  <c r="Y382" i="18"/>
  <c r="X9" i="18"/>
  <c r="Y383" i="18"/>
  <c r="J212" i="24"/>
  <c r="I212" i="24"/>
  <c r="J177" i="24"/>
  <c r="I177" i="24"/>
  <c r="I163" i="24"/>
  <c r="J163" i="24"/>
  <c r="J291" i="24"/>
  <c r="I291" i="24"/>
  <c r="I299" i="24"/>
  <c r="J299" i="24"/>
  <c r="J355" i="24"/>
  <c r="I355" i="24"/>
  <c r="W112" i="25"/>
  <c r="D112" i="25"/>
  <c r="E112" i="25" s="1"/>
  <c r="F112" i="25" s="1"/>
  <c r="W128" i="25"/>
  <c r="D128" i="25"/>
  <c r="E128" i="25" s="1"/>
  <c r="F128" i="25" s="1"/>
  <c r="W142" i="25"/>
  <c r="D142" i="25"/>
  <c r="E142" i="25" s="1"/>
  <c r="F142" i="25" s="1"/>
  <c r="W150" i="25"/>
  <c r="D150" i="25"/>
  <c r="E150" i="25" s="1"/>
  <c r="F150" i="25" s="1"/>
  <c r="W158" i="25"/>
  <c r="D158" i="25"/>
  <c r="E158" i="25" s="1"/>
  <c r="F158" i="25" s="1"/>
  <c r="W174" i="25"/>
  <c r="D174" i="25"/>
  <c r="E174" i="25" s="1"/>
  <c r="F174" i="25" s="1"/>
  <c r="W182" i="25"/>
  <c r="D182" i="25"/>
  <c r="E182" i="25" s="1"/>
  <c r="F182" i="25" s="1"/>
  <c r="D190" i="25"/>
  <c r="E190" i="25" s="1"/>
  <c r="F190" i="25" s="1"/>
  <c r="W190" i="25"/>
  <c r="D198" i="25"/>
  <c r="E198" i="25" s="1"/>
  <c r="F198" i="25" s="1"/>
  <c r="W198" i="25"/>
  <c r="W206" i="25"/>
  <c r="D206" i="25"/>
  <c r="E206" i="25" s="1"/>
  <c r="F206" i="25" s="1"/>
  <c r="W214" i="25"/>
  <c r="D214" i="25"/>
  <c r="E214" i="25" s="1"/>
  <c r="F214" i="25" s="1"/>
  <c r="D222" i="25"/>
  <c r="E222" i="25" s="1"/>
  <c r="F222" i="25" s="1"/>
  <c r="G222" i="25" s="1"/>
  <c r="CF222" i="6" s="1"/>
  <c r="W222" i="25"/>
  <c r="W230" i="25"/>
  <c r="D230" i="25"/>
  <c r="E230" i="25" s="1"/>
  <c r="F230" i="25" s="1"/>
  <c r="W238" i="25"/>
  <c r="D238" i="25"/>
  <c r="E238" i="25" s="1"/>
  <c r="F238" i="25" s="1"/>
  <c r="W246" i="25"/>
  <c r="D246" i="25"/>
  <c r="E246" i="25" s="1"/>
  <c r="F246" i="25" s="1"/>
  <c r="W254" i="25"/>
  <c r="D254" i="25"/>
  <c r="E254" i="25" s="1"/>
  <c r="F254" i="25" s="1"/>
  <c r="W262" i="25"/>
  <c r="D262" i="25"/>
  <c r="E262" i="25" s="1"/>
  <c r="F262" i="25" s="1"/>
  <c r="W270" i="25"/>
  <c r="D270" i="25"/>
  <c r="E270" i="25" s="1"/>
  <c r="F270" i="25" s="1"/>
  <c r="D278" i="25"/>
  <c r="E278" i="25" s="1"/>
  <c r="F278" i="25" s="1"/>
  <c r="W278" i="25"/>
  <c r="D286" i="25"/>
  <c r="E286" i="25" s="1"/>
  <c r="F286" i="25" s="1"/>
  <c r="W286" i="25"/>
  <c r="W294" i="25"/>
  <c r="D294" i="25"/>
  <c r="E294" i="25" s="1"/>
  <c r="F294" i="25" s="1"/>
  <c r="AH77" i="7"/>
  <c r="V302" i="25"/>
  <c r="W310" i="25"/>
  <c r="D310" i="25"/>
  <c r="E310" i="25" s="1"/>
  <c r="F310" i="25" s="1"/>
  <c r="W318" i="25"/>
  <c r="D318" i="25"/>
  <c r="E318" i="25" s="1"/>
  <c r="F318" i="25" s="1"/>
  <c r="D326" i="25"/>
  <c r="E326" i="25" s="1"/>
  <c r="F326" i="25" s="1"/>
  <c r="W326" i="25"/>
  <c r="D334" i="25"/>
  <c r="E334" i="25" s="1"/>
  <c r="F334" i="25" s="1"/>
  <c r="W334" i="25"/>
  <c r="D342" i="25"/>
  <c r="E342" i="25" s="1"/>
  <c r="F342" i="25" s="1"/>
  <c r="G342" i="25" s="1"/>
  <c r="CF342" i="6" s="1"/>
  <c r="W342" i="25"/>
  <c r="D350" i="25"/>
  <c r="E350" i="25" s="1"/>
  <c r="F350" i="25" s="1"/>
  <c r="W350" i="25"/>
  <c r="W358" i="25"/>
  <c r="D358" i="25"/>
  <c r="E358" i="25" s="1"/>
  <c r="F358" i="25" s="1"/>
  <c r="W366" i="25"/>
  <c r="D366" i="25"/>
  <c r="E366" i="25" s="1"/>
  <c r="F366" i="25" s="1"/>
  <c r="W374" i="25"/>
  <c r="D374" i="25"/>
  <c r="E374" i="25" s="1"/>
  <c r="F374" i="25" s="1"/>
  <c r="D137" i="25"/>
  <c r="E137" i="25" s="1"/>
  <c r="F137" i="25" s="1"/>
  <c r="G137" i="25" s="1"/>
  <c r="CF137" i="6" s="1"/>
  <c r="W137" i="25"/>
  <c r="D129" i="25"/>
  <c r="E129" i="25" s="1"/>
  <c r="F129" i="25" s="1"/>
  <c r="W129" i="25"/>
  <c r="D121" i="25"/>
  <c r="E121" i="25" s="1"/>
  <c r="F121" i="25" s="1"/>
  <c r="G121" i="25" s="1"/>
  <c r="CF121" i="6" s="1"/>
  <c r="W121" i="25"/>
  <c r="D113" i="25"/>
  <c r="E113" i="25" s="1"/>
  <c r="F113" i="25" s="1"/>
  <c r="G113" i="25" s="1"/>
  <c r="CF113" i="6" s="1"/>
  <c r="W113" i="25"/>
  <c r="D105" i="25"/>
  <c r="E105" i="25" s="1"/>
  <c r="F105" i="25" s="1"/>
  <c r="W105" i="25"/>
  <c r="D130" i="25"/>
  <c r="E130" i="25" s="1"/>
  <c r="F130" i="25" s="1"/>
  <c r="W130" i="25"/>
  <c r="D151" i="25"/>
  <c r="E151" i="25" s="1"/>
  <c r="F151" i="25" s="1"/>
  <c r="W151" i="25"/>
  <c r="W167" i="25"/>
  <c r="D167" i="25"/>
  <c r="E167" i="25" s="1"/>
  <c r="F167" i="25" s="1"/>
  <c r="D183" i="25"/>
  <c r="E183" i="25" s="1"/>
  <c r="F183" i="25" s="1"/>
  <c r="W183" i="25"/>
  <c r="D199" i="25"/>
  <c r="E199" i="25" s="1"/>
  <c r="F199" i="25" s="1"/>
  <c r="W199" i="25"/>
  <c r="W215" i="25"/>
  <c r="D215" i="25"/>
  <c r="E215" i="25" s="1"/>
  <c r="F215" i="25" s="1"/>
  <c r="D231" i="25"/>
  <c r="E231" i="25" s="1"/>
  <c r="F231" i="25" s="1"/>
  <c r="W231" i="25"/>
  <c r="W247" i="25"/>
  <c r="D247" i="25"/>
  <c r="E247" i="25" s="1"/>
  <c r="F247" i="25" s="1"/>
  <c r="W263" i="25"/>
  <c r="D263" i="25"/>
  <c r="E263" i="25" s="1"/>
  <c r="F263" i="25" s="1"/>
  <c r="D279" i="25"/>
  <c r="E279" i="25" s="1"/>
  <c r="F279" i="25" s="1"/>
  <c r="W279" i="25"/>
  <c r="D295" i="25"/>
  <c r="E295" i="25" s="1"/>
  <c r="F295" i="25" s="1"/>
  <c r="W295" i="25"/>
  <c r="D311" i="25"/>
  <c r="E311" i="25" s="1"/>
  <c r="F311" i="25" s="1"/>
  <c r="W311" i="25"/>
  <c r="D327" i="25"/>
  <c r="E327" i="25" s="1"/>
  <c r="F327" i="25" s="1"/>
  <c r="W327" i="25"/>
  <c r="W343" i="25"/>
  <c r="D343" i="25"/>
  <c r="E343" i="25" s="1"/>
  <c r="F343" i="25" s="1"/>
  <c r="D359" i="25"/>
  <c r="E359" i="25" s="1"/>
  <c r="F359" i="25" s="1"/>
  <c r="G359" i="25" s="1"/>
  <c r="CF359" i="6" s="1"/>
  <c r="W359" i="25"/>
  <c r="W375" i="25"/>
  <c r="D375" i="25"/>
  <c r="E375" i="25" s="1"/>
  <c r="F375" i="25" s="1"/>
  <c r="W153" i="25"/>
  <c r="D153" i="25"/>
  <c r="E153" i="25" s="1"/>
  <c r="F153" i="25" s="1"/>
  <c r="D185" i="25"/>
  <c r="E185" i="25" s="1"/>
  <c r="F185" i="25" s="1"/>
  <c r="W185" i="25"/>
  <c r="W217" i="25"/>
  <c r="D217" i="25"/>
  <c r="E217" i="25" s="1"/>
  <c r="F217" i="25" s="1"/>
  <c r="D249" i="25"/>
  <c r="E249" i="25" s="1"/>
  <c r="F249" i="25" s="1"/>
  <c r="W249" i="25"/>
  <c r="D281" i="25"/>
  <c r="E281" i="25" s="1"/>
  <c r="F281" i="25" s="1"/>
  <c r="W281" i="25"/>
  <c r="W313" i="25"/>
  <c r="D313" i="25"/>
  <c r="E313" i="25" s="1"/>
  <c r="F313" i="25" s="1"/>
  <c r="W345" i="25"/>
  <c r="D345" i="25"/>
  <c r="E345" i="25" s="1"/>
  <c r="F345" i="25" s="1"/>
  <c r="D377" i="25"/>
  <c r="E377" i="25" s="1"/>
  <c r="F377" i="25" s="1"/>
  <c r="W377" i="25"/>
  <c r="D116" i="25"/>
  <c r="E116" i="25" s="1"/>
  <c r="F116" i="25" s="1"/>
  <c r="W116" i="25"/>
  <c r="D132" i="25"/>
  <c r="E132" i="25" s="1"/>
  <c r="F132" i="25" s="1"/>
  <c r="G132" i="25" s="1"/>
  <c r="CF132" i="6" s="1"/>
  <c r="W132" i="25"/>
  <c r="W144" i="25"/>
  <c r="D144" i="25"/>
  <c r="E144" i="25" s="1"/>
  <c r="F144" i="25" s="1"/>
  <c r="D152" i="25"/>
  <c r="E152" i="25" s="1"/>
  <c r="F152" i="25" s="1"/>
  <c r="G152" i="25" s="1"/>
  <c r="CF152" i="6" s="1"/>
  <c r="W152" i="25"/>
  <c r="D160" i="25"/>
  <c r="E160" i="25" s="1"/>
  <c r="F160" i="25" s="1"/>
  <c r="W160" i="25"/>
  <c r="W168" i="25"/>
  <c r="D168" i="25"/>
  <c r="E168" i="25" s="1"/>
  <c r="F168" i="25" s="1"/>
  <c r="D176" i="25"/>
  <c r="E176" i="25" s="1"/>
  <c r="F176" i="25" s="1"/>
  <c r="W176" i="25"/>
  <c r="D184" i="25"/>
  <c r="E184" i="25" s="1"/>
  <c r="F184" i="25" s="1"/>
  <c r="W184" i="25"/>
  <c r="W192" i="25"/>
  <c r="D192" i="25"/>
  <c r="E192" i="25" s="1"/>
  <c r="F192" i="25" s="1"/>
  <c r="W200" i="25"/>
  <c r="D200" i="25"/>
  <c r="E200" i="25" s="1"/>
  <c r="F200" i="25" s="1"/>
  <c r="W208" i="25"/>
  <c r="D208" i="25"/>
  <c r="E208" i="25" s="1"/>
  <c r="F208" i="25" s="1"/>
  <c r="D216" i="25"/>
  <c r="E216" i="25" s="1"/>
  <c r="F216" i="25" s="1"/>
  <c r="W216" i="25"/>
  <c r="W224" i="25"/>
  <c r="D224" i="25"/>
  <c r="E224" i="25" s="1"/>
  <c r="F224" i="25" s="1"/>
  <c r="D232" i="25"/>
  <c r="E232" i="25" s="1"/>
  <c r="F232" i="25" s="1"/>
  <c r="G232" i="25" s="1"/>
  <c r="CF232" i="6" s="1"/>
  <c r="W232" i="25"/>
  <c r="D240" i="25"/>
  <c r="E240" i="25" s="1"/>
  <c r="F240" i="25" s="1"/>
  <c r="W240" i="25"/>
  <c r="W256" i="25"/>
  <c r="D256" i="25"/>
  <c r="E256" i="25" s="1"/>
  <c r="F256" i="25" s="1"/>
  <c r="D264" i="25"/>
  <c r="E264" i="25" s="1"/>
  <c r="F264" i="25" s="1"/>
  <c r="G264" i="25" s="1"/>
  <c r="CF264" i="6" s="1"/>
  <c r="W264" i="25"/>
  <c r="V272" i="25"/>
  <c r="AH76" i="7"/>
  <c r="D280" i="25"/>
  <c r="E280" i="25" s="1"/>
  <c r="F280" i="25" s="1"/>
  <c r="G280" i="25" s="1"/>
  <c r="CF280" i="6" s="1"/>
  <c r="W280" i="25"/>
  <c r="K70" i="19"/>
  <c r="D296" i="25"/>
  <c r="E296" i="25" s="1"/>
  <c r="F296" i="25" s="1"/>
  <c r="G296" i="25" s="1"/>
  <c r="CF296" i="6" s="1"/>
  <c r="W296" i="25"/>
  <c r="D304" i="25"/>
  <c r="E304" i="25" s="1"/>
  <c r="F304" i="25" s="1"/>
  <c r="W304" i="25"/>
  <c r="W312" i="25"/>
  <c r="D312" i="25"/>
  <c r="E312" i="25" s="1"/>
  <c r="F312" i="25" s="1"/>
  <c r="W320" i="25"/>
  <c r="D320" i="25"/>
  <c r="E320" i="25" s="1"/>
  <c r="F320" i="25" s="1"/>
  <c r="W328" i="25"/>
  <c r="D328" i="25"/>
  <c r="E328" i="25" s="1"/>
  <c r="F328" i="25" s="1"/>
  <c r="W336" i="25"/>
  <c r="D336" i="25"/>
  <c r="E336" i="25" s="1"/>
  <c r="F336" i="25" s="1"/>
  <c r="W344" i="25"/>
  <c r="D344" i="25"/>
  <c r="E344" i="25" s="1"/>
  <c r="F344" i="25" s="1"/>
  <c r="D352" i="25"/>
  <c r="E352" i="25" s="1"/>
  <c r="F352" i="25" s="1"/>
  <c r="G352" i="25" s="1"/>
  <c r="CF352" i="6" s="1"/>
  <c r="W352" i="25"/>
  <c r="W360" i="25"/>
  <c r="D360" i="25"/>
  <c r="E360" i="25" s="1"/>
  <c r="F360" i="25" s="1"/>
  <c r="W368" i="25"/>
  <c r="D368" i="25"/>
  <c r="E368" i="25" s="1"/>
  <c r="F368" i="25" s="1"/>
  <c r="W376" i="25"/>
  <c r="D376" i="25"/>
  <c r="E376" i="25" s="1"/>
  <c r="F376" i="25" s="1"/>
  <c r="W127" i="25"/>
  <c r="D127" i="25"/>
  <c r="E127" i="25" s="1"/>
  <c r="F127" i="25" s="1"/>
  <c r="AH71" i="7"/>
  <c r="V119" i="25"/>
  <c r="D111" i="25"/>
  <c r="E111" i="25" s="1"/>
  <c r="F111" i="25" s="1"/>
  <c r="W111" i="25"/>
  <c r="D106" i="25"/>
  <c r="E106" i="25" s="1"/>
  <c r="F106" i="25" s="1"/>
  <c r="W106" i="25"/>
  <c r="D138" i="25"/>
  <c r="E138" i="25" s="1"/>
  <c r="F138" i="25" s="1"/>
  <c r="W138" i="25"/>
  <c r="W155" i="25"/>
  <c r="D155" i="25"/>
  <c r="E155" i="25" s="1"/>
  <c r="F155" i="25" s="1"/>
  <c r="D171" i="25"/>
  <c r="E171" i="25" s="1"/>
  <c r="F171" i="25" s="1"/>
  <c r="W171" i="25"/>
  <c r="W187" i="25"/>
  <c r="D187" i="25"/>
  <c r="E187" i="25" s="1"/>
  <c r="F187" i="25" s="1"/>
  <c r="W203" i="25"/>
  <c r="D203" i="25"/>
  <c r="E203" i="25" s="1"/>
  <c r="F203" i="25" s="1"/>
  <c r="W219" i="25"/>
  <c r="D219" i="25"/>
  <c r="E219" i="25" s="1"/>
  <c r="F219" i="25" s="1"/>
  <c r="D235" i="25"/>
  <c r="E235" i="25" s="1"/>
  <c r="F235" i="25" s="1"/>
  <c r="G235" i="25" s="1"/>
  <c r="CF235" i="6" s="1"/>
  <c r="W235" i="25"/>
  <c r="D251" i="25"/>
  <c r="E251" i="25" s="1"/>
  <c r="F251" i="25" s="1"/>
  <c r="G251" i="25" s="1"/>
  <c r="CF251" i="6" s="1"/>
  <c r="W251" i="25"/>
  <c r="W267" i="25"/>
  <c r="D267" i="25"/>
  <c r="E267" i="25" s="1"/>
  <c r="F267" i="25" s="1"/>
  <c r="D283" i="25"/>
  <c r="E283" i="25" s="1"/>
  <c r="F283" i="25" s="1"/>
  <c r="W283" i="25"/>
  <c r="D299" i="25"/>
  <c r="E299" i="25" s="1"/>
  <c r="F299" i="25" s="1"/>
  <c r="W299" i="25"/>
  <c r="D315" i="25"/>
  <c r="E315" i="25" s="1"/>
  <c r="F315" i="25" s="1"/>
  <c r="W315" i="25"/>
  <c r="W331" i="25"/>
  <c r="D331" i="25"/>
  <c r="E331" i="25" s="1"/>
  <c r="F331" i="25" s="1"/>
  <c r="G331" i="25" s="1"/>
  <c r="CF331" i="6" s="1"/>
  <c r="W347" i="25"/>
  <c r="D347" i="25"/>
  <c r="E347" i="25" s="1"/>
  <c r="F347" i="25" s="1"/>
  <c r="AH79" i="7"/>
  <c r="V363" i="25"/>
  <c r="D363" i="25" s="1"/>
  <c r="E363" i="25" s="1"/>
  <c r="F363" i="25" s="1"/>
  <c r="G363" i="25" s="1"/>
  <c r="CF363" i="6" s="1"/>
  <c r="BF16" i="7"/>
  <c r="T379" i="25"/>
  <c r="S379" i="25" s="1"/>
  <c r="R379" i="25" s="1"/>
  <c r="P379" i="25" s="1"/>
  <c r="W145" i="25"/>
  <c r="D145" i="25"/>
  <c r="E145" i="25" s="1"/>
  <c r="F145" i="25" s="1"/>
  <c r="G145" i="25" s="1"/>
  <c r="CF145" i="6" s="1"/>
  <c r="W177" i="25"/>
  <c r="D177" i="25"/>
  <c r="E177" i="25" s="1"/>
  <c r="F177" i="25" s="1"/>
  <c r="D209" i="25"/>
  <c r="E209" i="25" s="1"/>
  <c r="F209" i="25" s="1"/>
  <c r="W209" i="25"/>
  <c r="AH75" i="7"/>
  <c r="V241" i="25"/>
  <c r="D273" i="25"/>
  <c r="E273" i="25" s="1"/>
  <c r="F273" i="25" s="1"/>
  <c r="W273" i="25"/>
  <c r="W305" i="25"/>
  <c r="D305" i="25"/>
  <c r="E305" i="25" s="1"/>
  <c r="F305" i="25" s="1"/>
  <c r="G305" i="25" s="1"/>
  <c r="CF305" i="6" s="1"/>
  <c r="D337" i="25"/>
  <c r="E337" i="25" s="1"/>
  <c r="F337" i="25" s="1"/>
  <c r="W337" i="25"/>
  <c r="D369" i="25"/>
  <c r="E369" i="25" s="1"/>
  <c r="F369" i="25" s="1"/>
  <c r="W369" i="25"/>
  <c r="W349" i="25"/>
  <c r="D349" i="25"/>
  <c r="E349" i="25" s="1"/>
  <c r="F349" i="25" s="1"/>
  <c r="W317" i="25"/>
  <c r="D317" i="25"/>
  <c r="E317" i="25" s="1"/>
  <c r="F317" i="25" s="1"/>
  <c r="W285" i="25"/>
  <c r="D285" i="25"/>
  <c r="E285" i="25" s="1"/>
  <c r="F285" i="25" s="1"/>
  <c r="G285" i="25" s="1"/>
  <c r="CF285" i="6" s="1"/>
  <c r="D253" i="25"/>
  <c r="E253" i="25" s="1"/>
  <c r="F253" i="25" s="1"/>
  <c r="W253" i="25"/>
  <c r="D221" i="25"/>
  <c r="E221" i="25" s="1"/>
  <c r="F221" i="25" s="1"/>
  <c r="G221" i="25" s="1"/>
  <c r="CF221" i="6" s="1"/>
  <c r="W221" i="25"/>
  <c r="W189" i="25"/>
  <c r="D189" i="25"/>
  <c r="E189" i="25" s="1"/>
  <c r="F189" i="25" s="1"/>
  <c r="W157" i="25"/>
  <c r="D157" i="25"/>
  <c r="E157" i="25" s="1"/>
  <c r="F157" i="25" s="1"/>
  <c r="G157" i="25" s="1"/>
  <c r="CF157" i="6" s="1"/>
  <c r="W110" i="25"/>
  <c r="D110" i="25"/>
  <c r="E110" i="25" s="1"/>
  <c r="F110" i="25" s="1"/>
  <c r="D357" i="25"/>
  <c r="E357" i="25" s="1"/>
  <c r="F357" i="25" s="1"/>
  <c r="G357" i="25" s="1"/>
  <c r="CF357" i="6" s="1"/>
  <c r="W357" i="25"/>
  <c r="W325" i="25"/>
  <c r="D325" i="25"/>
  <c r="E325" i="25" s="1"/>
  <c r="F325" i="25" s="1"/>
  <c r="G325" i="25" s="1"/>
  <c r="CF325" i="6" s="1"/>
  <c r="W293" i="25"/>
  <c r="D293" i="25"/>
  <c r="E293" i="25" s="1"/>
  <c r="F293" i="25" s="1"/>
  <c r="W229" i="25"/>
  <c r="D229" i="25"/>
  <c r="E229" i="25" s="1"/>
  <c r="F229" i="25" s="1"/>
  <c r="G229" i="25" s="1"/>
  <c r="CF229" i="6" s="1"/>
  <c r="D197" i="25"/>
  <c r="E197" i="25" s="1"/>
  <c r="F197" i="25" s="1"/>
  <c r="W197" i="25"/>
  <c r="W165" i="25"/>
  <c r="D165" i="25"/>
  <c r="E165" i="25" s="1"/>
  <c r="F165" i="25" s="1"/>
  <c r="D126" i="25"/>
  <c r="E126" i="25" s="1"/>
  <c r="F126" i="25" s="1"/>
  <c r="W126" i="25"/>
  <c r="W379" i="24"/>
  <c r="D379" i="24"/>
  <c r="E379" i="24" s="1"/>
  <c r="F379" i="24" s="1"/>
  <c r="J148" i="24"/>
  <c r="I148" i="24"/>
  <c r="J132" i="24"/>
  <c r="I132" i="24"/>
  <c r="H132" i="25" s="1"/>
  <c r="J93" i="24"/>
  <c r="I93" i="24"/>
  <c r="I184" i="24"/>
  <c r="J184" i="24"/>
  <c r="I296" i="24"/>
  <c r="J296" i="24"/>
  <c r="J328" i="24"/>
  <c r="I328" i="24"/>
  <c r="J344" i="24"/>
  <c r="I344" i="24"/>
  <c r="J39" i="24"/>
  <c r="I39" i="24"/>
  <c r="J181" i="24"/>
  <c r="I181" i="24"/>
  <c r="J245" i="24"/>
  <c r="I245" i="24"/>
  <c r="J325" i="24"/>
  <c r="I325" i="24"/>
  <c r="H325" i="25" s="1"/>
  <c r="I349" i="24"/>
  <c r="J349" i="24"/>
  <c r="J357" i="24"/>
  <c r="I357" i="24"/>
  <c r="J162" i="24"/>
  <c r="I122" i="24"/>
  <c r="I98" i="24"/>
  <c r="J98" i="24"/>
  <c r="I90" i="24"/>
  <c r="J90" i="24"/>
  <c r="J66" i="24"/>
  <c r="J58" i="24"/>
  <c r="I58" i="24"/>
  <c r="I252" i="24"/>
  <c r="J252" i="24"/>
  <c r="J268" i="24"/>
  <c r="I268" i="24"/>
  <c r="I316" i="24"/>
  <c r="J316" i="24"/>
  <c r="J358" i="24"/>
  <c r="I358" i="24"/>
  <c r="I322" i="24"/>
  <c r="J322" i="24"/>
  <c r="I242" i="24"/>
  <c r="W210" i="24"/>
  <c r="D210" i="24"/>
  <c r="E210" i="24" s="1"/>
  <c r="F210" i="24" s="1"/>
  <c r="J113" i="24"/>
  <c r="I113" i="24"/>
  <c r="I298" i="24"/>
  <c r="J298" i="24"/>
  <c r="I201" i="24"/>
  <c r="J201" i="24"/>
  <c r="I241" i="23"/>
  <c r="J241" i="23"/>
  <c r="I40" i="24"/>
  <c r="J40" i="24"/>
  <c r="J351" i="24"/>
  <c r="I351" i="24"/>
  <c r="I350" i="24"/>
  <c r="J350" i="24"/>
  <c r="J107" i="24"/>
  <c r="I107" i="24"/>
  <c r="I60" i="23"/>
  <c r="J60" i="23"/>
  <c r="I304" i="24"/>
  <c r="J304" i="24"/>
  <c r="J96" i="24"/>
  <c r="I96" i="24"/>
  <c r="I110" i="24"/>
  <c r="J110" i="24"/>
  <c r="I59" i="24"/>
  <c r="J59" i="24"/>
  <c r="J91" i="24"/>
  <c r="I91" i="24"/>
  <c r="J183" i="24"/>
  <c r="I183" i="24"/>
  <c r="I215" i="24"/>
  <c r="J215" i="24"/>
  <c r="J223" i="24"/>
  <c r="I223" i="24"/>
  <c r="I231" i="24"/>
  <c r="J231" i="24"/>
  <c r="J287" i="24"/>
  <c r="I287" i="24"/>
  <c r="I327" i="24"/>
  <c r="J327" i="24"/>
  <c r="J359" i="24"/>
  <c r="I359" i="24"/>
  <c r="J168" i="24"/>
  <c r="I168" i="24"/>
  <c r="I160" i="24"/>
  <c r="J160" i="24"/>
  <c r="J136" i="24"/>
  <c r="I136" i="24"/>
  <c r="J112" i="24"/>
  <c r="I112" i="24"/>
  <c r="I56" i="24"/>
  <c r="J56" i="24"/>
  <c r="J25" i="24"/>
  <c r="I25" i="24"/>
  <c r="J45" i="24"/>
  <c r="I45" i="24"/>
  <c r="I256" i="24"/>
  <c r="J256" i="24"/>
  <c r="I320" i="24"/>
  <c r="J320" i="24"/>
  <c r="I352" i="24"/>
  <c r="J352" i="24"/>
  <c r="I79" i="24"/>
  <c r="J79" i="24"/>
  <c r="I111" i="24"/>
  <c r="J111" i="24"/>
  <c r="I185" i="24"/>
  <c r="J185" i="24"/>
  <c r="J233" i="24"/>
  <c r="I233" i="24"/>
  <c r="J313" i="24"/>
  <c r="I313" i="24"/>
  <c r="J321" i="24"/>
  <c r="I321" i="24"/>
  <c r="I174" i="24"/>
  <c r="J174" i="24"/>
  <c r="J158" i="24"/>
  <c r="I158" i="24"/>
  <c r="I134" i="24"/>
  <c r="J134" i="24"/>
  <c r="I126" i="24"/>
  <c r="J126" i="24"/>
  <c r="I30" i="24"/>
  <c r="J30" i="24"/>
  <c r="AA149" i="24"/>
  <c r="Z149" i="24" s="1"/>
  <c r="Y149" i="24" s="1"/>
  <c r="G149" i="24"/>
  <c r="CE149" i="6" s="1"/>
  <c r="J308" i="24"/>
  <c r="I308" i="24"/>
  <c r="I366" i="24"/>
  <c r="J366" i="24"/>
  <c r="J270" i="24"/>
  <c r="I270" i="24"/>
  <c r="J378" i="24"/>
  <c r="I378" i="24"/>
  <c r="J330" i="24"/>
  <c r="I330" i="24"/>
  <c r="J314" i="24"/>
  <c r="I314" i="24"/>
  <c r="J210" i="23"/>
  <c r="I210" i="23"/>
  <c r="J273" i="24"/>
  <c r="I273" i="24"/>
  <c r="I36" i="24"/>
  <c r="J36" i="24"/>
  <c r="I43" i="24"/>
  <c r="J43" i="24"/>
  <c r="I340" i="24"/>
  <c r="J340" i="24"/>
  <c r="I274" i="24"/>
  <c r="J274" i="24"/>
  <c r="J362" i="24"/>
  <c r="I362" i="24"/>
  <c r="I99" i="24"/>
  <c r="J99" i="24"/>
  <c r="I150" i="24"/>
  <c r="J150" i="24"/>
  <c r="J87" i="24"/>
  <c r="I87" i="24"/>
  <c r="I187" i="24"/>
  <c r="J187" i="24"/>
  <c r="J16" i="24"/>
  <c r="I16" i="24"/>
  <c r="I83" i="24"/>
  <c r="J83" i="24"/>
  <c r="J203" i="24"/>
  <c r="I203" i="24"/>
  <c r="I243" i="24"/>
  <c r="I283" i="24"/>
  <c r="J283" i="24"/>
  <c r="I315" i="24"/>
  <c r="J315" i="24"/>
  <c r="J347" i="24"/>
  <c r="I347" i="24"/>
  <c r="W24" i="25"/>
  <c r="D24" i="25"/>
  <c r="E24" i="25" s="1"/>
  <c r="F24" i="25" s="1"/>
  <c r="W40" i="25"/>
  <c r="D40" i="25"/>
  <c r="E40" i="25" s="1"/>
  <c r="F40" i="25" s="1"/>
  <c r="D56" i="25"/>
  <c r="E56" i="25" s="1"/>
  <c r="F56" i="25" s="1"/>
  <c r="W56" i="25"/>
  <c r="D72" i="25"/>
  <c r="E72" i="25" s="1"/>
  <c r="F72" i="25" s="1"/>
  <c r="W72" i="25"/>
  <c r="AH70" i="7"/>
  <c r="V88" i="25"/>
  <c r="D101" i="25"/>
  <c r="E101" i="25" s="1"/>
  <c r="F101" i="25" s="1"/>
  <c r="W101" i="25"/>
  <c r="W93" i="25"/>
  <c r="D93" i="25"/>
  <c r="E93" i="25" s="1"/>
  <c r="F93" i="25" s="1"/>
  <c r="W85" i="25"/>
  <c r="D85" i="25"/>
  <c r="E85" i="25" s="1"/>
  <c r="F85" i="25" s="1"/>
  <c r="D77" i="25"/>
  <c r="E77" i="25" s="1"/>
  <c r="F77" i="25" s="1"/>
  <c r="W77" i="25"/>
  <c r="W69" i="25"/>
  <c r="D69" i="25"/>
  <c r="E69" i="25" s="1"/>
  <c r="F69" i="25" s="1"/>
  <c r="D61" i="25"/>
  <c r="E61" i="25" s="1"/>
  <c r="F61" i="25" s="1"/>
  <c r="W61" i="25"/>
  <c r="D53" i="25"/>
  <c r="E53" i="25" s="1"/>
  <c r="F53" i="25" s="1"/>
  <c r="W53" i="25"/>
  <c r="W45" i="25"/>
  <c r="D45" i="25"/>
  <c r="E45" i="25" s="1"/>
  <c r="F45" i="25" s="1"/>
  <c r="D37" i="25"/>
  <c r="E37" i="25" s="1"/>
  <c r="F37" i="25" s="1"/>
  <c r="W37" i="25"/>
  <c r="AH68" i="7"/>
  <c r="V29" i="25"/>
  <c r="D26" i="25"/>
  <c r="E26" i="25" s="1"/>
  <c r="F26" i="25" s="1"/>
  <c r="W26" i="25"/>
  <c r="D20" i="25"/>
  <c r="E20" i="25" s="1"/>
  <c r="F20" i="25" s="1"/>
  <c r="W20" i="25"/>
  <c r="D50" i="25"/>
  <c r="E50" i="25" s="1"/>
  <c r="F50" i="25" s="1"/>
  <c r="W50" i="25"/>
  <c r="D82" i="25"/>
  <c r="E82" i="25" s="1"/>
  <c r="F82" i="25" s="1"/>
  <c r="W82" i="25"/>
  <c r="D38" i="25"/>
  <c r="E38" i="25" s="1"/>
  <c r="F38" i="25" s="1"/>
  <c r="W38" i="25"/>
  <c r="D102" i="25"/>
  <c r="E102" i="25" s="1"/>
  <c r="F102" i="25" s="1"/>
  <c r="W102" i="25"/>
  <c r="D18" i="25"/>
  <c r="E18" i="25" s="1"/>
  <c r="F18" i="25" s="1"/>
  <c r="W18" i="25"/>
  <c r="D36" i="25"/>
  <c r="E36" i="25" s="1"/>
  <c r="F36" i="25" s="1"/>
  <c r="W36" i="25"/>
  <c r="W52" i="25"/>
  <c r="D52" i="25"/>
  <c r="E52" i="25" s="1"/>
  <c r="F52" i="25" s="1"/>
  <c r="D68" i="25"/>
  <c r="E68" i="25" s="1"/>
  <c r="F68" i="25" s="1"/>
  <c r="W68" i="25"/>
  <c r="W84" i="25"/>
  <c r="D84" i="25"/>
  <c r="E84" i="25" s="1"/>
  <c r="F84" i="25" s="1"/>
  <c r="W100" i="25"/>
  <c r="D100" i="25"/>
  <c r="E100" i="25" s="1"/>
  <c r="F100" i="25" s="1"/>
  <c r="W99" i="25"/>
  <c r="D99" i="25"/>
  <c r="E99" i="25" s="1"/>
  <c r="F99" i="25" s="1"/>
  <c r="W91" i="25"/>
  <c r="D91" i="25"/>
  <c r="E91" i="25" s="1"/>
  <c r="F91" i="25" s="1"/>
  <c r="D83" i="25"/>
  <c r="E83" i="25" s="1"/>
  <c r="F83" i="25" s="1"/>
  <c r="W83" i="25"/>
  <c r="D75" i="25"/>
  <c r="E75" i="25" s="1"/>
  <c r="F75" i="25" s="1"/>
  <c r="W75" i="25"/>
  <c r="W67" i="25"/>
  <c r="D67" i="25"/>
  <c r="E67" i="25" s="1"/>
  <c r="F67" i="25" s="1"/>
  <c r="D59" i="25"/>
  <c r="E59" i="25" s="1"/>
  <c r="F59" i="25" s="1"/>
  <c r="W59" i="25"/>
  <c r="W51" i="25"/>
  <c r="D51" i="25"/>
  <c r="E51" i="25" s="1"/>
  <c r="F51" i="25" s="1"/>
  <c r="D43" i="25"/>
  <c r="E43" i="25" s="1"/>
  <c r="F43" i="25" s="1"/>
  <c r="W43" i="25"/>
  <c r="W35" i="25"/>
  <c r="D35" i="25"/>
  <c r="E35" i="25" s="1"/>
  <c r="F35" i="25" s="1"/>
  <c r="D22" i="25"/>
  <c r="E22" i="25" s="1"/>
  <c r="F22" i="25" s="1"/>
  <c r="W22" i="25"/>
  <c r="D21" i="25"/>
  <c r="E21" i="25" s="1"/>
  <c r="F21" i="25" s="1"/>
  <c r="W21" i="25"/>
  <c r="D42" i="25"/>
  <c r="E42" i="25" s="1"/>
  <c r="F42" i="25" s="1"/>
  <c r="W42" i="25"/>
  <c r="W74" i="25"/>
  <c r="D74" i="25"/>
  <c r="E74" i="25" s="1"/>
  <c r="F74" i="25" s="1"/>
  <c r="W17" i="25"/>
  <c r="D17" i="25"/>
  <c r="E17" i="25" s="1"/>
  <c r="F17" i="25" s="1"/>
  <c r="W86" i="25"/>
  <c r="D86" i="25"/>
  <c r="E86" i="25" s="1"/>
  <c r="F86" i="25" s="1"/>
  <c r="D78" i="25"/>
  <c r="E78" i="25" s="1"/>
  <c r="F78" i="25" s="1"/>
  <c r="W78" i="25"/>
  <c r="W62" i="25"/>
  <c r="D62" i="25"/>
  <c r="E62" i="25" s="1"/>
  <c r="F62" i="25" s="1"/>
  <c r="I116" i="24"/>
  <c r="J116" i="24"/>
  <c r="J84" i="24"/>
  <c r="I84" i="24"/>
  <c r="J76" i="24"/>
  <c r="I76" i="24"/>
  <c r="J232" i="24"/>
  <c r="I232" i="24"/>
  <c r="I264" i="24"/>
  <c r="J264" i="24"/>
  <c r="J205" i="24"/>
  <c r="I205" i="24"/>
  <c r="J213" i="24"/>
  <c r="I213" i="24"/>
  <c r="J221" i="24"/>
  <c r="I221" i="24"/>
  <c r="J309" i="24"/>
  <c r="I309" i="24"/>
  <c r="I154" i="24"/>
  <c r="J154" i="24"/>
  <c r="J146" i="24"/>
  <c r="I146" i="24"/>
  <c r="I138" i="24"/>
  <c r="J138" i="24"/>
  <c r="I42" i="24"/>
  <c r="J42" i="24"/>
  <c r="I26" i="24"/>
  <c r="J26" i="24"/>
  <c r="J188" i="24"/>
  <c r="I188" i="24"/>
  <c r="I300" i="24"/>
  <c r="J300" i="24"/>
  <c r="J348" i="24"/>
  <c r="I348" i="24"/>
  <c r="I310" i="24"/>
  <c r="J310" i="24"/>
  <c r="J230" i="24"/>
  <c r="I230" i="24"/>
  <c r="I214" i="24"/>
  <c r="J214" i="24"/>
  <c r="I153" i="24"/>
  <c r="J153" i="24"/>
  <c r="J121" i="24"/>
  <c r="I121" i="24"/>
  <c r="I306" i="24"/>
  <c r="J306" i="24"/>
  <c r="G258" i="24"/>
  <c r="CE258" i="6" s="1"/>
  <c r="AA258" i="24"/>
  <c r="Z258" i="24" s="1"/>
  <c r="Y258" i="24" s="1"/>
  <c r="H258" i="24"/>
  <c r="I81" i="24"/>
  <c r="J81" i="24"/>
  <c r="I346" i="24"/>
  <c r="J346" i="24"/>
  <c r="J227" i="24"/>
  <c r="I227" i="24"/>
  <c r="I263" i="24"/>
  <c r="J263" i="24"/>
  <c r="J375" i="24"/>
  <c r="I375" i="24"/>
  <c r="I292" i="24"/>
  <c r="J292" i="24"/>
  <c r="J141" i="24"/>
  <c r="J249" i="24"/>
  <c r="I249" i="24"/>
  <c r="J379" i="20"/>
  <c r="C379" i="6" s="1"/>
  <c r="I379" i="20"/>
  <c r="B379" i="6" s="1"/>
  <c r="BA379" i="6" s="1"/>
  <c r="Z379" i="20"/>
  <c r="AA382" i="20"/>
  <c r="AA383" i="20"/>
  <c r="AA381" i="20"/>
  <c r="AL10" i="20"/>
  <c r="AA9" i="20"/>
  <c r="AM8" i="20"/>
  <c r="C12" i="6"/>
  <c r="C13" i="6"/>
  <c r="J324" i="24"/>
  <c r="I324" i="24"/>
  <c r="I129" i="24"/>
  <c r="J129" i="24"/>
  <c r="I311" i="24"/>
  <c r="J311" i="24"/>
  <c r="J335" i="24"/>
  <c r="I335" i="24"/>
  <c r="I367" i="24"/>
  <c r="J367" i="24"/>
  <c r="J128" i="24"/>
  <c r="I128" i="24"/>
  <c r="D88" i="24"/>
  <c r="E88" i="24" s="1"/>
  <c r="F88" i="24" s="1"/>
  <c r="W88" i="24"/>
  <c r="J48" i="24"/>
  <c r="I48" i="24"/>
  <c r="J240" i="24"/>
  <c r="I240" i="24"/>
  <c r="G272" i="24"/>
  <c r="CE272" i="6" s="1"/>
  <c r="AA272" i="24"/>
  <c r="Z272" i="24" s="1"/>
  <c r="Y272" i="24" s="1"/>
  <c r="I127" i="24"/>
  <c r="J127" i="24"/>
  <c r="J159" i="24"/>
  <c r="I159" i="24"/>
  <c r="I225" i="24"/>
  <c r="J225" i="24"/>
  <c r="J257" i="24"/>
  <c r="I257" i="24"/>
  <c r="J289" i="24"/>
  <c r="I289" i="24"/>
  <c r="I305" i="24"/>
  <c r="J305" i="24"/>
  <c r="I353" i="24"/>
  <c r="J353" i="24"/>
  <c r="AA166" i="24"/>
  <c r="Z166" i="24" s="1"/>
  <c r="Y166" i="24" s="1"/>
  <c r="G166" i="24"/>
  <c r="CE166" i="6" s="1"/>
  <c r="H166" i="24"/>
  <c r="J86" i="24"/>
  <c r="I86" i="24"/>
  <c r="J78" i="24"/>
  <c r="J70" i="24"/>
  <c r="I70" i="24"/>
  <c r="I260" i="24"/>
  <c r="J260" i="24"/>
  <c r="I276" i="24"/>
  <c r="J276" i="24"/>
  <c r="J334" i="24"/>
  <c r="I334" i="24"/>
  <c r="J286" i="24"/>
  <c r="I286" i="24"/>
  <c r="I238" i="24"/>
  <c r="J238" i="24"/>
  <c r="AA105" i="24"/>
  <c r="Z105" i="24" s="1"/>
  <c r="Y105" i="24" s="1"/>
  <c r="H105" i="24"/>
  <c r="G105" i="24"/>
  <c r="CE105" i="6" s="1"/>
  <c r="I186" i="24"/>
  <c r="J186" i="24"/>
  <c r="I33" i="24"/>
  <c r="J33" i="24"/>
  <c r="I361" i="24"/>
  <c r="J361" i="24"/>
  <c r="I288" i="24"/>
  <c r="J288" i="24"/>
  <c r="I89" i="24"/>
  <c r="J89" i="24"/>
  <c r="J180" i="23"/>
  <c r="I180" i="23"/>
  <c r="H180" i="24" s="1"/>
  <c r="J149" i="23"/>
  <c r="I149" i="23"/>
  <c r="H149" i="24" s="1"/>
  <c r="J119" i="23"/>
  <c r="I119" i="23"/>
  <c r="H119" i="24" s="1"/>
  <c r="I333" i="23"/>
  <c r="H333" i="24" s="1"/>
  <c r="J333" i="23"/>
  <c r="I290" i="24"/>
  <c r="J290" i="24"/>
  <c r="I370" i="24"/>
  <c r="J370" i="24"/>
  <c r="J209" i="24"/>
  <c r="I209" i="24"/>
  <c r="I377" i="24"/>
  <c r="J377" i="24"/>
  <c r="I224" i="24"/>
  <c r="J224" i="24"/>
  <c r="I37" i="24"/>
  <c r="J37" i="24"/>
  <c r="I220" i="24"/>
  <c r="J220" i="24"/>
  <c r="J51" i="24"/>
  <c r="I51" i="24"/>
  <c r="G227" i="24"/>
  <c r="CE227" i="6" s="1"/>
  <c r="AA227" i="24"/>
  <c r="Z227" i="24" s="1"/>
  <c r="Y227" i="24" s="1"/>
  <c r="J251" i="24"/>
  <c r="I251" i="24"/>
  <c r="J331" i="24"/>
  <c r="I331" i="24"/>
  <c r="D363" i="24"/>
  <c r="E363" i="24" s="1"/>
  <c r="F363" i="24" s="1"/>
  <c r="W363" i="24"/>
  <c r="J371" i="24"/>
  <c r="I371" i="24"/>
  <c r="W104" i="25"/>
  <c r="D104" i="25"/>
  <c r="E104" i="25" s="1"/>
  <c r="F104" i="25" s="1"/>
  <c r="W120" i="25"/>
  <c r="D120" i="25"/>
  <c r="E120" i="25" s="1"/>
  <c r="F120" i="25" s="1"/>
  <c r="W136" i="25"/>
  <c r="D136" i="25"/>
  <c r="E136" i="25" s="1"/>
  <c r="F136" i="25" s="1"/>
  <c r="D146" i="25"/>
  <c r="E146" i="25" s="1"/>
  <c r="F146" i="25" s="1"/>
  <c r="G146" i="25" s="1"/>
  <c r="CF146" i="6" s="1"/>
  <c r="W146" i="25"/>
  <c r="W154" i="25"/>
  <c r="D154" i="25"/>
  <c r="E154" i="25" s="1"/>
  <c r="F154" i="25" s="1"/>
  <c r="D162" i="25"/>
  <c r="E162" i="25" s="1"/>
  <c r="F162" i="25" s="1"/>
  <c r="W162" i="25"/>
  <c r="W170" i="25"/>
  <c r="D170" i="25"/>
  <c r="E170" i="25" s="1"/>
  <c r="F170" i="25" s="1"/>
  <c r="W178" i="25"/>
  <c r="D178" i="25"/>
  <c r="E178" i="25" s="1"/>
  <c r="F178" i="25" s="1"/>
  <c r="W186" i="25"/>
  <c r="D186" i="25"/>
  <c r="E186" i="25" s="1"/>
  <c r="F186" i="25" s="1"/>
  <c r="W194" i="25"/>
  <c r="D194" i="25"/>
  <c r="E194" i="25" s="1"/>
  <c r="F194" i="25" s="1"/>
  <c r="W202" i="25"/>
  <c r="D202" i="25"/>
  <c r="E202" i="25" s="1"/>
  <c r="F202" i="25" s="1"/>
  <c r="AH74" i="7"/>
  <c r="V210" i="25"/>
  <c r="D218" i="25"/>
  <c r="E218" i="25" s="1"/>
  <c r="F218" i="25" s="1"/>
  <c r="G218" i="25" s="1"/>
  <c r="CF218" i="6" s="1"/>
  <c r="W218" i="25"/>
  <c r="W226" i="25"/>
  <c r="D226" i="25"/>
  <c r="E226" i="25" s="1"/>
  <c r="F226" i="25" s="1"/>
  <c r="D234" i="25"/>
  <c r="E234" i="25" s="1"/>
  <c r="F234" i="25" s="1"/>
  <c r="W234" i="25"/>
  <c r="W242" i="25"/>
  <c r="D242" i="25"/>
  <c r="E242" i="25" s="1"/>
  <c r="F242" i="25" s="1"/>
  <c r="W250" i="25"/>
  <c r="D250" i="25"/>
  <c r="E250" i="25" s="1"/>
  <c r="F250" i="25" s="1"/>
  <c r="D266" i="25"/>
  <c r="E266" i="25" s="1"/>
  <c r="F266" i="25" s="1"/>
  <c r="W266" i="25"/>
  <c r="W274" i="25"/>
  <c r="D274" i="25"/>
  <c r="E274" i="25" s="1"/>
  <c r="F274" i="25" s="1"/>
  <c r="D282" i="25"/>
  <c r="E282" i="25" s="1"/>
  <c r="F282" i="25" s="1"/>
  <c r="W282" i="25"/>
  <c r="D290" i="25"/>
  <c r="E290" i="25" s="1"/>
  <c r="F290" i="25" s="1"/>
  <c r="W290" i="25"/>
  <c r="W298" i="25"/>
  <c r="D298" i="25"/>
  <c r="E298" i="25" s="1"/>
  <c r="F298" i="25" s="1"/>
  <c r="D306" i="25"/>
  <c r="E306" i="25" s="1"/>
  <c r="F306" i="25" s="1"/>
  <c r="G306" i="25" s="1"/>
  <c r="CF306" i="6" s="1"/>
  <c r="W306" i="25"/>
  <c r="W314" i="25"/>
  <c r="D314" i="25"/>
  <c r="E314" i="25" s="1"/>
  <c r="F314" i="25" s="1"/>
  <c r="D322" i="25"/>
  <c r="E322" i="25" s="1"/>
  <c r="F322" i="25" s="1"/>
  <c r="G322" i="25" s="1"/>
  <c r="CF322" i="6" s="1"/>
  <c r="W322" i="25"/>
  <c r="D330" i="25"/>
  <c r="E330" i="25" s="1"/>
  <c r="F330" i="25" s="1"/>
  <c r="W330" i="25"/>
  <c r="W338" i="25"/>
  <c r="D338" i="25"/>
  <c r="E338" i="25" s="1"/>
  <c r="F338" i="25" s="1"/>
  <c r="D346" i="25"/>
  <c r="E346" i="25" s="1"/>
  <c r="F346" i="25" s="1"/>
  <c r="W346" i="25"/>
  <c r="W354" i="25"/>
  <c r="D354" i="25"/>
  <c r="E354" i="25" s="1"/>
  <c r="F354" i="25" s="1"/>
  <c r="W362" i="25"/>
  <c r="D362" i="25"/>
  <c r="E362" i="25" s="1"/>
  <c r="F362" i="25" s="1"/>
  <c r="W370" i="25"/>
  <c r="D370" i="25"/>
  <c r="E370" i="25" s="1"/>
  <c r="F370" i="25" s="1"/>
  <c r="D378" i="25"/>
  <c r="E378" i="25" s="1"/>
  <c r="F378" i="25" s="1"/>
  <c r="W378" i="25"/>
  <c r="W133" i="25"/>
  <c r="D133" i="25"/>
  <c r="E133" i="25" s="1"/>
  <c r="F133" i="25" s="1"/>
  <c r="D125" i="25"/>
  <c r="E125" i="25" s="1"/>
  <c r="F125" i="25" s="1"/>
  <c r="G125" i="25" s="1"/>
  <c r="CF125" i="6" s="1"/>
  <c r="W125" i="25"/>
  <c r="W117" i="25"/>
  <c r="D117" i="25"/>
  <c r="E117" i="25" s="1"/>
  <c r="F117" i="25" s="1"/>
  <c r="W109" i="25"/>
  <c r="D109" i="25"/>
  <c r="E109" i="25" s="1"/>
  <c r="F109" i="25" s="1"/>
  <c r="W114" i="25"/>
  <c r="D114" i="25"/>
  <c r="E114" i="25" s="1"/>
  <c r="F114" i="25" s="1"/>
  <c r="W143" i="25"/>
  <c r="D143" i="25"/>
  <c r="E143" i="25" s="1"/>
  <c r="F143" i="25" s="1"/>
  <c r="D159" i="25"/>
  <c r="E159" i="25" s="1"/>
  <c r="F159" i="25" s="1"/>
  <c r="W159" i="25"/>
  <c r="D175" i="25"/>
  <c r="E175" i="25" s="1"/>
  <c r="F175" i="25" s="1"/>
  <c r="W175" i="25"/>
  <c r="D191" i="25"/>
  <c r="E191" i="25" s="1"/>
  <c r="F191" i="25" s="1"/>
  <c r="W191" i="25"/>
  <c r="W207" i="25"/>
  <c r="D207" i="25"/>
  <c r="E207" i="25" s="1"/>
  <c r="F207" i="25" s="1"/>
  <c r="D223" i="25"/>
  <c r="E223" i="25" s="1"/>
  <c r="F223" i="25" s="1"/>
  <c r="W223" i="25"/>
  <c r="D239" i="25"/>
  <c r="E239" i="25" s="1"/>
  <c r="F239" i="25" s="1"/>
  <c r="W239" i="25"/>
  <c r="W255" i="25"/>
  <c r="D255" i="25"/>
  <c r="E255" i="25" s="1"/>
  <c r="F255" i="25" s="1"/>
  <c r="D271" i="25"/>
  <c r="E271" i="25" s="1"/>
  <c r="F271" i="25" s="1"/>
  <c r="W271" i="25"/>
  <c r="D287" i="25"/>
  <c r="E287" i="25" s="1"/>
  <c r="F287" i="25" s="1"/>
  <c r="W287" i="25"/>
  <c r="W303" i="25"/>
  <c r="D303" i="25"/>
  <c r="E303" i="25" s="1"/>
  <c r="F303" i="25" s="1"/>
  <c r="W335" i="25"/>
  <c r="D335" i="25"/>
  <c r="E335" i="25" s="1"/>
  <c r="F335" i="25" s="1"/>
  <c r="W351" i="25"/>
  <c r="D351" i="25"/>
  <c r="E351" i="25" s="1"/>
  <c r="F351" i="25" s="1"/>
  <c r="W367" i="25"/>
  <c r="D367" i="25"/>
  <c r="E367" i="25" s="1"/>
  <c r="F367" i="25" s="1"/>
  <c r="W134" i="25"/>
  <c r="D134" i="25"/>
  <c r="E134" i="25" s="1"/>
  <c r="F134" i="25" s="1"/>
  <c r="W169" i="25"/>
  <c r="D169" i="25"/>
  <c r="E169" i="25" s="1"/>
  <c r="F169" i="25" s="1"/>
  <c r="D201" i="25"/>
  <c r="E201" i="25" s="1"/>
  <c r="F201" i="25" s="1"/>
  <c r="W201" i="25"/>
  <c r="D233" i="25"/>
  <c r="E233" i="25" s="1"/>
  <c r="F233" i="25" s="1"/>
  <c r="W233" i="25"/>
  <c r="D265" i="25"/>
  <c r="E265" i="25" s="1"/>
  <c r="F265" i="25" s="1"/>
  <c r="W265" i="25"/>
  <c r="W297" i="25"/>
  <c r="D297" i="25"/>
  <c r="E297" i="25" s="1"/>
  <c r="F297" i="25" s="1"/>
  <c r="W329" i="25"/>
  <c r="D361" i="25"/>
  <c r="E361" i="25" s="1"/>
  <c r="F361" i="25" s="1"/>
  <c r="W361" i="25"/>
  <c r="D108" i="25"/>
  <c r="E108" i="25" s="1"/>
  <c r="F108" i="25" s="1"/>
  <c r="W108" i="25"/>
  <c r="W124" i="25"/>
  <c r="D124" i="25"/>
  <c r="E124" i="25" s="1"/>
  <c r="F124" i="25" s="1"/>
  <c r="D140" i="25"/>
  <c r="E140" i="25" s="1"/>
  <c r="F140" i="25" s="1"/>
  <c r="W140" i="25"/>
  <c r="W148" i="25"/>
  <c r="D148" i="25"/>
  <c r="E148" i="25" s="1"/>
  <c r="F148" i="25" s="1"/>
  <c r="W156" i="25"/>
  <c r="D156" i="25"/>
  <c r="E156" i="25" s="1"/>
  <c r="F156" i="25" s="1"/>
  <c r="W164" i="25"/>
  <c r="D164" i="25"/>
  <c r="E164" i="25" s="1"/>
  <c r="F164" i="25" s="1"/>
  <c r="D172" i="25"/>
  <c r="E172" i="25" s="1"/>
  <c r="F172" i="25" s="1"/>
  <c r="W172" i="25"/>
  <c r="V180" i="25"/>
  <c r="AH73" i="7"/>
  <c r="W188" i="25"/>
  <c r="D188" i="25"/>
  <c r="E188" i="25" s="1"/>
  <c r="F188" i="25" s="1"/>
  <c r="D204" i="25"/>
  <c r="E204" i="25" s="1"/>
  <c r="F204" i="25" s="1"/>
  <c r="G204" i="25" s="1"/>
  <c r="CF204" i="6" s="1"/>
  <c r="W204" i="25"/>
  <c r="D212" i="25"/>
  <c r="E212" i="25" s="1"/>
  <c r="F212" i="25" s="1"/>
  <c r="W212" i="25"/>
  <c r="D220" i="25"/>
  <c r="E220" i="25" s="1"/>
  <c r="F220" i="25" s="1"/>
  <c r="W220" i="25"/>
  <c r="D228" i="25"/>
  <c r="E228" i="25" s="1"/>
  <c r="F228" i="25" s="1"/>
  <c r="W228" i="25"/>
  <c r="W236" i="25"/>
  <c r="D236" i="25"/>
  <c r="E236" i="25" s="1"/>
  <c r="F236" i="25" s="1"/>
  <c r="D244" i="25"/>
  <c r="E244" i="25" s="1"/>
  <c r="F244" i="25" s="1"/>
  <c r="W244" i="25"/>
  <c r="W252" i="25"/>
  <c r="D252" i="25"/>
  <c r="E252" i="25" s="1"/>
  <c r="F252" i="25" s="1"/>
  <c r="W260" i="25"/>
  <c r="D260" i="25"/>
  <c r="E260" i="25" s="1"/>
  <c r="F260" i="25" s="1"/>
  <c r="W268" i="25"/>
  <c r="D268" i="25"/>
  <c r="E268" i="25" s="1"/>
  <c r="F268" i="25" s="1"/>
  <c r="W276" i="25"/>
  <c r="D276" i="25"/>
  <c r="E276" i="25" s="1"/>
  <c r="F276" i="25" s="1"/>
  <c r="D284" i="25"/>
  <c r="E284" i="25" s="1"/>
  <c r="F284" i="25" s="1"/>
  <c r="W284" i="25"/>
  <c r="W292" i="25"/>
  <c r="D292" i="25"/>
  <c r="E292" i="25" s="1"/>
  <c r="F292" i="25" s="1"/>
  <c r="W300" i="25"/>
  <c r="D300" i="25"/>
  <c r="E300" i="25" s="1"/>
  <c r="F300" i="25" s="1"/>
  <c r="D308" i="25"/>
  <c r="E308" i="25" s="1"/>
  <c r="F308" i="25" s="1"/>
  <c r="W308" i="25"/>
  <c r="W316" i="25"/>
  <c r="D316" i="25"/>
  <c r="E316" i="25" s="1"/>
  <c r="F316" i="25" s="1"/>
  <c r="W324" i="25"/>
  <c r="D324" i="25"/>
  <c r="E324" i="25" s="1"/>
  <c r="F324" i="25" s="1"/>
  <c r="W332" i="25"/>
  <c r="D332" i="25"/>
  <c r="E332" i="25" s="1"/>
  <c r="F332" i="25" s="1"/>
  <c r="D340" i="25"/>
  <c r="E340" i="25" s="1"/>
  <c r="F340" i="25" s="1"/>
  <c r="W340" i="25"/>
  <c r="W348" i="25"/>
  <c r="D348" i="25"/>
  <c r="E348" i="25" s="1"/>
  <c r="F348" i="25" s="1"/>
  <c r="W356" i="25"/>
  <c r="D356" i="25"/>
  <c r="E356" i="25" s="1"/>
  <c r="F356" i="25" s="1"/>
  <c r="D364" i="25"/>
  <c r="E364" i="25" s="1"/>
  <c r="F364" i="25" s="1"/>
  <c r="W364" i="25"/>
  <c r="D372" i="25"/>
  <c r="E372" i="25" s="1"/>
  <c r="F372" i="25" s="1"/>
  <c r="W372" i="25"/>
  <c r="W139" i="25"/>
  <c r="D139" i="25"/>
  <c r="E139" i="25" s="1"/>
  <c r="F139" i="25" s="1"/>
  <c r="D131" i="25"/>
  <c r="E131" i="25" s="1"/>
  <c r="F131" i="25" s="1"/>
  <c r="G131" i="25" s="1"/>
  <c r="CF131" i="6" s="1"/>
  <c r="W131" i="25"/>
  <c r="D123" i="25"/>
  <c r="E123" i="25" s="1"/>
  <c r="F123" i="25" s="1"/>
  <c r="G123" i="25" s="1"/>
  <c r="CF123" i="6" s="1"/>
  <c r="W123" i="25"/>
  <c r="W115" i="25"/>
  <c r="D115" i="25"/>
  <c r="E115" i="25" s="1"/>
  <c r="F115" i="25" s="1"/>
  <c r="W107" i="25"/>
  <c r="D107" i="25"/>
  <c r="E107" i="25" s="1"/>
  <c r="F107" i="25" s="1"/>
  <c r="D122" i="25"/>
  <c r="E122" i="25" s="1"/>
  <c r="F122" i="25" s="1"/>
  <c r="W122" i="25"/>
  <c r="D147" i="25"/>
  <c r="E147" i="25" s="1"/>
  <c r="F147" i="25" s="1"/>
  <c r="W147" i="25"/>
  <c r="D163" i="25"/>
  <c r="E163" i="25" s="1"/>
  <c r="F163" i="25" s="1"/>
  <c r="G163" i="25" s="1"/>
  <c r="CF163" i="6" s="1"/>
  <c r="W163" i="25"/>
  <c r="W179" i="25"/>
  <c r="D179" i="25"/>
  <c r="E179" i="25" s="1"/>
  <c r="F179" i="25" s="1"/>
  <c r="D195" i="25"/>
  <c r="E195" i="25" s="1"/>
  <c r="F195" i="25" s="1"/>
  <c r="W195" i="25"/>
  <c r="W211" i="25"/>
  <c r="D211" i="25"/>
  <c r="E211" i="25" s="1"/>
  <c r="F211" i="25" s="1"/>
  <c r="W243" i="25"/>
  <c r="D243" i="25"/>
  <c r="E243" i="25" s="1"/>
  <c r="F243" i="25" s="1"/>
  <c r="D259" i="25"/>
  <c r="E259" i="25" s="1"/>
  <c r="F259" i="25" s="1"/>
  <c r="G259" i="25" s="1"/>
  <c r="CF259" i="6" s="1"/>
  <c r="W259" i="25"/>
  <c r="D275" i="25"/>
  <c r="E275" i="25" s="1"/>
  <c r="F275" i="25" s="1"/>
  <c r="W275" i="25"/>
  <c r="D291" i="25"/>
  <c r="E291" i="25" s="1"/>
  <c r="F291" i="25" s="1"/>
  <c r="W291" i="25"/>
  <c r="W307" i="25"/>
  <c r="D307" i="25"/>
  <c r="E307" i="25" s="1"/>
  <c r="F307" i="25" s="1"/>
  <c r="W323" i="25"/>
  <c r="D323" i="25"/>
  <c r="E323" i="25" s="1"/>
  <c r="F323" i="25" s="1"/>
  <c r="W339" i="25"/>
  <c r="D339" i="25"/>
  <c r="E339" i="25" s="1"/>
  <c r="F339" i="25" s="1"/>
  <c r="W355" i="25"/>
  <c r="D355" i="25"/>
  <c r="E355" i="25" s="1"/>
  <c r="F355" i="25" s="1"/>
  <c r="W371" i="25"/>
  <c r="D371" i="25"/>
  <c r="E371" i="25" s="1"/>
  <c r="F371" i="25" s="1"/>
  <c r="D118" i="25"/>
  <c r="E118" i="25" s="1"/>
  <c r="F118" i="25" s="1"/>
  <c r="W118" i="25"/>
  <c r="D161" i="25"/>
  <c r="E161" i="25" s="1"/>
  <c r="F161" i="25" s="1"/>
  <c r="W161" i="25"/>
  <c r="D193" i="25"/>
  <c r="E193" i="25" s="1"/>
  <c r="F193" i="25" s="1"/>
  <c r="W193" i="25"/>
  <c r="W225" i="25"/>
  <c r="D225" i="25"/>
  <c r="E225" i="25" s="1"/>
  <c r="F225" i="25" s="1"/>
  <c r="G225" i="25" s="1"/>
  <c r="CF225" i="6" s="1"/>
  <c r="D257" i="25"/>
  <c r="E257" i="25" s="1"/>
  <c r="F257" i="25" s="1"/>
  <c r="W257" i="25"/>
  <c r="D289" i="25"/>
  <c r="E289" i="25" s="1"/>
  <c r="F289" i="25" s="1"/>
  <c r="W289" i="25"/>
  <c r="W321" i="25"/>
  <c r="D321" i="25"/>
  <c r="E321" i="25" s="1"/>
  <c r="F321" i="25" s="1"/>
  <c r="W353" i="25"/>
  <c r="D353" i="25"/>
  <c r="E353" i="25" s="1"/>
  <c r="F353" i="25" s="1"/>
  <c r="G353" i="25" s="1"/>
  <c r="CF353" i="6" s="1"/>
  <c r="W365" i="25"/>
  <c r="D365" i="25"/>
  <c r="E365" i="25" s="1"/>
  <c r="F365" i="25" s="1"/>
  <c r="AH78" i="7"/>
  <c r="V333" i="25"/>
  <c r="D301" i="25"/>
  <c r="E301" i="25" s="1"/>
  <c r="F301" i="25" s="1"/>
  <c r="W301" i="25"/>
  <c r="D269" i="25"/>
  <c r="E269" i="25" s="1"/>
  <c r="F269" i="25" s="1"/>
  <c r="W269" i="25"/>
  <c r="D237" i="25"/>
  <c r="E237" i="25" s="1"/>
  <c r="F237" i="25" s="1"/>
  <c r="G237" i="25" s="1"/>
  <c r="CF237" i="6" s="1"/>
  <c r="W237" i="25"/>
  <c r="W205" i="25"/>
  <c r="D205" i="25"/>
  <c r="E205" i="25" s="1"/>
  <c r="F205" i="25" s="1"/>
  <c r="G205" i="25" s="1"/>
  <c r="CF205" i="6" s="1"/>
  <c r="D173" i="25"/>
  <c r="E173" i="25" s="1"/>
  <c r="F173" i="25" s="1"/>
  <c r="W173" i="25"/>
  <c r="W141" i="25"/>
  <c r="D141" i="25"/>
  <c r="E141" i="25" s="1"/>
  <c r="F141" i="25" s="1"/>
  <c r="W373" i="25"/>
  <c r="D373" i="25"/>
  <c r="E373" i="25" s="1"/>
  <c r="F373" i="25" s="1"/>
  <c r="W341" i="25"/>
  <c r="D341" i="25"/>
  <c r="E341" i="25" s="1"/>
  <c r="F341" i="25" s="1"/>
  <c r="G341" i="25" s="1"/>
  <c r="CF341" i="6" s="1"/>
  <c r="D309" i="25"/>
  <c r="E309" i="25" s="1"/>
  <c r="F309" i="25" s="1"/>
  <c r="G309" i="25" s="1"/>
  <c r="CF309" i="6" s="1"/>
  <c r="W309" i="25"/>
  <c r="W277" i="25"/>
  <c r="D277" i="25"/>
  <c r="E277" i="25" s="1"/>
  <c r="F277" i="25" s="1"/>
  <c r="D245" i="25"/>
  <c r="E245" i="25" s="1"/>
  <c r="F245" i="25" s="1"/>
  <c r="W245" i="25"/>
  <c r="D213" i="25"/>
  <c r="E213" i="25" s="1"/>
  <c r="F213" i="25" s="1"/>
  <c r="G213" i="25" s="1"/>
  <c r="CF213" i="6" s="1"/>
  <c r="W213" i="25"/>
  <c r="D181" i="25"/>
  <c r="E181" i="25" s="1"/>
  <c r="F181" i="25" s="1"/>
  <c r="G181" i="25" s="1"/>
  <c r="CF181" i="6" s="1"/>
  <c r="W181" i="25"/>
  <c r="V149" i="25"/>
  <c r="AH72" i="7"/>
  <c r="J164" i="24"/>
  <c r="I164" i="24"/>
  <c r="J140" i="24"/>
  <c r="I140" i="24"/>
  <c r="I108" i="24"/>
  <c r="J108" i="24"/>
  <c r="J52" i="24"/>
  <c r="I52" i="24"/>
  <c r="I28" i="24"/>
  <c r="J28" i="24"/>
  <c r="AA29" i="24"/>
  <c r="Z29" i="24" s="1"/>
  <c r="Y29" i="24" s="1"/>
  <c r="G29" i="24"/>
  <c r="CE29" i="6" s="1"/>
  <c r="I125" i="24"/>
  <c r="J125" i="24"/>
  <c r="J280" i="24"/>
  <c r="I280" i="24"/>
  <c r="J376" i="24"/>
  <c r="I376" i="24"/>
  <c r="I18" i="24"/>
  <c r="J18" i="24"/>
  <c r="J229" i="24"/>
  <c r="I229" i="24"/>
  <c r="J269" i="24"/>
  <c r="I277" i="24"/>
  <c r="I285" i="24"/>
  <c r="J285" i="24"/>
  <c r="J293" i="24"/>
  <c r="I293" i="24"/>
  <c r="J341" i="24"/>
  <c r="I341" i="24"/>
  <c r="J365" i="24"/>
  <c r="J82" i="24"/>
  <c r="I82" i="24"/>
  <c r="I34" i="24"/>
  <c r="J34" i="24"/>
  <c r="J69" i="24"/>
  <c r="I69" i="24"/>
  <c r="I101" i="24"/>
  <c r="J101" i="24"/>
  <c r="J133" i="24"/>
  <c r="I133" i="24"/>
  <c r="J204" i="24"/>
  <c r="I204" i="24"/>
  <c r="I374" i="24"/>
  <c r="J374" i="24"/>
  <c r="I342" i="24"/>
  <c r="J342" i="24"/>
  <c r="I145" i="24"/>
  <c r="J145" i="24"/>
  <c r="I173" i="24"/>
  <c r="J173" i="24"/>
  <c r="I199" i="24"/>
  <c r="J199" i="24"/>
  <c r="I318" i="24"/>
  <c r="J318" i="24"/>
  <c r="J85" i="24"/>
  <c r="I85" i="24"/>
  <c r="I372" i="24"/>
  <c r="J372" i="24"/>
  <c r="I266" i="24"/>
  <c r="J266" i="24"/>
  <c r="AJ8" i="22"/>
  <c r="D9" i="22"/>
  <c r="D11" i="22" s="1"/>
  <c r="E15" i="22"/>
  <c r="AJ9" i="22" s="1"/>
  <c r="AJ11" i="22" s="1"/>
  <c r="D383" i="22"/>
  <c r="D382" i="22"/>
  <c r="D381" i="22"/>
  <c r="J206" i="24"/>
  <c r="I206" i="24"/>
  <c r="I65" i="24"/>
  <c r="J65" i="24"/>
  <c r="I380" i="23"/>
  <c r="H380" i="24" s="1"/>
  <c r="J380" i="23"/>
  <c r="J27" i="24"/>
  <c r="I27" i="24"/>
  <c r="J75" i="24"/>
  <c r="I75" i="24"/>
  <c r="I123" i="24"/>
  <c r="J123" i="24"/>
  <c r="J207" i="24"/>
  <c r="I207" i="24"/>
  <c r="I239" i="24"/>
  <c r="J239" i="24"/>
  <c r="J247" i="24"/>
  <c r="I247" i="24"/>
  <c r="I255" i="24"/>
  <c r="J255" i="24"/>
  <c r="J271" i="24"/>
  <c r="I271" i="24"/>
  <c r="J303" i="24"/>
  <c r="I303" i="24"/>
  <c r="H319" i="24"/>
  <c r="AA319" i="24"/>
  <c r="Z319" i="24" s="1"/>
  <c r="Y319" i="24" s="1"/>
  <c r="G319" i="24"/>
  <c r="CE319" i="6" s="1"/>
  <c r="I343" i="24"/>
  <c r="J343" i="24"/>
  <c r="J176" i="24"/>
  <c r="I176" i="24"/>
  <c r="I144" i="24"/>
  <c r="J144" i="24"/>
  <c r="I120" i="24"/>
  <c r="J120" i="24"/>
  <c r="I72" i="24"/>
  <c r="J72" i="24"/>
  <c r="J32" i="24"/>
  <c r="I32" i="24"/>
  <c r="I192" i="24"/>
  <c r="J192" i="24"/>
  <c r="I208" i="24"/>
  <c r="J208" i="24"/>
  <c r="I31" i="24"/>
  <c r="J31" i="24"/>
  <c r="J47" i="24"/>
  <c r="I47" i="24"/>
  <c r="J63" i="24"/>
  <c r="I63" i="24"/>
  <c r="J95" i="24"/>
  <c r="I95" i="24"/>
  <c r="I143" i="24"/>
  <c r="J143" i="24"/>
  <c r="J175" i="24"/>
  <c r="I175" i="24"/>
  <c r="G241" i="24"/>
  <c r="CE241" i="6" s="1"/>
  <c r="AA241" i="24"/>
  <c r="Z241" i="24" s="1"/>
  <c r="Y241" i="24" s="1"/>
  <c r="H241" i="24"/>
  <c r="I297" i="24"/>
  <c r="J297" i="24"/>
  <c r="I337" i="24"/>
  <c r="J337" i="24"/>
  <c r="I345" i="24"/>
  <c r="J345" i="24"/>
  <c r="I369" i="24"/>
  <c r="I142" i="24"/>
  <c r="J142" i="24"/>
  <c r="I118" i="24"/>
  <c r="J118" i="24"/>
  <c r="I94" i="24"/>
  <c r="J94" i="24"/>
  <c r="J228" i="24"/>
  <c r="I228" i="24"/>
  <c r="I356" i="24"/>
  <c r="J356" i="24"/>
  <c r="D302" i="24"/>
  <c r="E302" i="24" s="1"/>
  <c r="F302" i="24" s="1"/>
  <c r="W302" i="24"/>
  <c r="J137" i="24"/>
  <c r="I137" i="24"/>
  <c r="AM5" i="20"/>
  <c r="AM11" i="20" s="1"/>
  <c r="AK3" i="20" s="1"/>
  <c r="Q16" i="19" s="1"/>
  <c r="AL5" i="20"/>
  <c r="AL11" i="20" s="1"/>
  <c r="AJ3" i="20" s="1"/>
  <c r="O16" i="19" s="1"/>
  <c r="AM9" i="22"/>
  <c r="AK9" i="22"/>
  <c r="AK5" i="24"/>
  <c r="AK11" i="22"/>
  <c r="I130" i="24" l="1"/>
  <c r="I189" i="24"/>
  <c r="H189" i="25" s="1"/>
  <c r="H221" i="25"/>
  <c r="I221" i="25" s="1"/>
  <c r="I157" i="24"/>
  <c r="H157" i="25" s="1"/>
  <c r="I157" i="25" s="1"/>
  <c r="J117" i="24"/>
  <c r="I284" i="24"/>
  <c r="J115" i="24"/>
  <c r="B12" i="6"/>
  <c r="J40" i="19"/>
  <c r="G31" i="19"/>
  <c r="B13" i="6"/>
  <c r="J202" i="24"/>
  <c r="J253" i="24"/>
  <c r="H251" i="25"/>
  <c r="I251" i="25" s="1"/>
  <c r="J67" i="24"/>
  <c r="J235" i="24"/>
  <c r="J23" i="24"/>
  <c r="H235" i="25"/>
  <c r="I235" i="25" s="1"/>
  <c r="J360" i="24"/>
  <c r="I259" i="24"/>
  <c r="H259" i="25" s="1"/>
  <c r="J20" i="24"/>
  <c r="H73" i="25"/>
  <c r="I73" i="25" s="1"/>
  <c r="J57" i="24"/>
  <c r="J312" i="24"/>
  <c r="H145" i="25"/>
  <c r="I145" i="25" s="1"/>
  <c r="H285" i="25"/>
  <c r="J285" i="25" s="1"/>
  <c r="J307" i="24"/>
  <c r="H352" i="25"/>
  <c r="I352" i="25" s="1"/>
  <c r="H113" i="25"/>
  <c r="J113" i="25" s="1"/>
  <c r="I182" i="24"/>
  <c r="H182" i="25" s="1"/>
  <c r="H341" i="25"/>
  <c r="J341" i="25" s="1"/>
  <c r="H342" i="25"/>
  <c r="J342" i="25" s="1"/>
  <c r="H34" i="25"/>
  <c r="J34" i="25" s="1"/>
  <c r="H33" i="25"/>
  <c r="I33" i="25" s="1"/>
  <c r="H334" i="25"/>
  <c r="I334" i="25" s="1"/>
  <c r="H305" i="25"/>
  <c r="I305" i="25" s="1"/>
  <c r="H311" i="25"/>
  <c r="J311" i="25" s="1"/>
  <c r="H264" i="25"/>
  <c r="I264" i="25" s="1"/>
  <c r="H57" i="25"/>
  <c r="J57" i="25" s="1"/>
  <c r="J178" i="24"/>
  <c r="I178" i="24"/>
  <c r="G329" i="24"/>
  <c r="CE329" i="6" s="1"/>
  <c r="H329" i="24"/>
  <c r="AA329" i="24"/>
  <c r="Z329" i="24" s="1"/>
  <c r="Y329" i="24" s="1"/>
  <c r="E41" i="19"/>
  <c r="F15" i="19"/>
  <c r="J248" i="25"/>
  <c r="AG382" i="24"/>
  <c r="AF15" i="24"/>
  <c r="AG383" i="24"/>
  <c r="AG381" i="24"/>
  <c r="J261" i="25"/>
  <c r="I29" i="24"/>
  <c r="AA363" i="25"/>
  <c r="Z363" i="25" s="1"/>
  <c r="Y363" i="25" s="1"/>
  <c r="H123" i="25"/>
  <c r="I123" i="25" s="1"/>
  <c r="H125" i="25"/>
  <c r="J125" i="25" s="1"/>
  <c r="H70" i="25"/>
  <c r="J70" i="25" s="1"/>
  <c r="H30" i="25"/>
  <c r="I30" i="25" s="1"/>
  <c r="W363" i="25"/>
  <c r="H137" i="25"/>
  <c r="J137" i="25" s="1"/>
  <c r="H229" i="25"/>
  <c r="J229" i="25" s="1"/>
  <c r="H280" i="25"/>
  <c r="I280" i="25" s="1"/>
  <c r="I70" i="19"/>
  <c r="I59" i="19" s="1"/>
  <c r="J70" i="19"/>
  <c r="J57" i="19" s="1"/>
  <c r="H331" i="25"/>
  <c r="I331" i="25" s="1"/>
  <c r="H78" i="25"/>
  <c r="I78" i="25" s="1"/>
  <c r="H121" i="25"/>
  <c r="I121" i="25" s="1"/>
  <c r="H232" i="25"/>
  <c r="J232" i="25" s="1"/>
  <c r="H359" i="25"/>
  <c r="I359" i="25" s="1"/>
  <c r="H60" i="24"/>
  <c r="I60" i="24" s="1"/>
  <c r="H90" i="25"/>
  <c r="J90" i="25" s="1"/>
  <c r="H98" i="25"/>
  <c r="I98" i="25" s="1"/>
  <c r="H204" i="25"/>
  <c r="I204" i="25" s="1"/>
  <c r="H70" i="19"/>
  <c r="H58" i="19" s="1"/>
  <c r="H357" i="25"/>
  <c r="I357" i="25" s="1"/>
  <c r="H296" i="25"/>
  <c r="I296" i="25" s="1"/>
  <c r="I241" i="24"/>
  <c r="J241" i="24"/>
  <c r="H277" i="25"/>
  <c r="G277" i="25"/>
  <c r="CF277" i="6" s="1"/>
  <c r="G373" i="25"/>
  <c r="CF373" i="6" s="1"/>
  <c r="H373" i="25"/>
  <c r="G141" i="25"/>
  <c r="CF141" i="6" s="1"/>
  <c r="H141" i="25"/>
  <c r="D333" i="25"/>
  <c r="E333" i="25" s="1"/>
  <c r="F333" i="25" s="1"/>
  <c r="W333" i="25"/>
  <c r="AA365" i="25"/>
  <c r="Z365" i="25" s="1"/>
  <c r="Y365" i="25" s="1"/>
  <c r="G365" i="25"/>
  <c r="CF365" i="6" s="1"/>
  <c r="H365" i="25"/>
  <c r="G321" i="25"/>
  <c r="CF321" i="6" s="1"/>
  <c r="H321" i="25"/>
  <c r="AA371" i="25"/>
  <c r="Z371" i="25" s="1"/>
  <c r="Y371" i="25" s="1"/>
  <c r="G371" i="25"/>
  <c r="CF371" i="6" s="1"/>
  <c r="H355" i="25"/>
  <c r="AA355" i="25"/>
  <c r="Z355" i="25" s="1"/>
  <c r="Y355" i="25" s="1"/>
  <c r="G355" i="25"/>
  <c r="CF355" i="6" s="1"/>
  <c r="G339" i="25"/>
  <c r="CF339" i="6" s="1"/>
  <c r="H339" i="25"/>
  <c r="AA339" i="25"/>
  <c r="Z339" i="25" s="1"/>
  <c r="Y339" i="25" s="1"/>
  <c r="G323" i="25"/>
  <c r="CF323" i="6" s="1"/>
  <c r="AA323" i="25"/>
  <c r="Z323" i="25" s="1"/>
  <c r="Y323" i="25" s="1"/>
  <c r="H323" i="25"/>
  <c r="H307" i="25"/>
  <c r="AA307" i="25"/>
  <c r="Z307" i="25" s="1"/>
  <c r="Y307" i="25" s="1"/>
  <c r="G307" i="25"/>
  <c r="CF307" i="6" s="1"/>
  <c r="G243" i="25"/>
  <c r="CF243" i="6" s="1"/>
  <c r="AA243" i="25"/>
  <c r="Z243" i="25" s="1"/>
  <c r="Y243" i="25" s="1"/>
  <c r="H243" i="25"/>
  <c r="H211" i="25"/>
  <c r="AA211" i="25"/>
  <c r="Z211" i="25" s="1"/>
  <c r="Y211" i="25" s="1"/>
  <c r="G211" i="25"/>
  <c r="CF211" i="6" s="1"/>
  <c r="G179" i="25"/>
  <c r="CF179" i="6" s="1"/>
  <c r="H179" i="25"/>
  <c r="AA179" i="25"/>
  <c r="Z179" i="25" s="1"/>
  <c r="Y179" i="25" s="1"/>
  <c r="H107" i="25"/>
  <c r="G107" i="25"/>
  <c r="CF107" i="6" s="1"/>
  <c r="AA107" i="25"/>
  <c r="Z107" i="25" s="1"/>
  <c r="Y107" i="25" s="1"/>
  <c r="H115" i="25"/>
  <c r="AA115" i="25"/>
  <c r="Z115" i="25" s="1"/>
  <c r="Y115" i="25" s="1"/>
  <c r="G115" i="25"/>
  <c r="CF115" i="6" s="1"/>
  <c r="G139" i="25"/>
  <c r="CF139" i="6" s="1"/>
  <c r="AA139" i="25"/>
  <c r="Z139" i="25" s="1"/>
  <c r="Y139" i="25" s="1"/>
  <c r="H139" i="25"/>
  <c r="H356" i="25"/>
  <c r="G356" i="25"/>
  <c r="CF356" i="6" s="1"/>
  <c r="AA356" i="25"/>
  <c r="Z356" i="25" s="1"/>
  <c r="Y356" i="25" s="1"/>
  <c r="G348" i="25"/>
  <c r="CF348" i="6" s="1"/>
  <c r="AA348" i="25"/>
  <c r="Z348" i="25" s="1"/>
  <c r="Y348" i="25" s="1"/>
  <c r="G332" i="25"/>
  <c r="CF332" i="6" s="1"/>
  <c r="AA332" i="25"/>
  <c r="Z332" i="25" s="1"/>
  <c r="Y332" i="25" s="1"/>
  <c r="H332" i="25"/>
  <c r="G324" i="25"/>
  <c r="CF324" i="6" s="1"/>
  <c r="H324" i="25"/>
  <c r="AA324" i="25"/>
  <c r="Z324" i="25" s="1"/>
  <c r="Y324" i="25" s="1"/>
  <c r="G316" i="25"/>
  <c r="CF316" i="6" s="1"/>
  <c r="AA316" i="25"/>
  <c r="Z316" i="25" s="1"/>
  <c r="Y316" i="25" s="1"/>
  <c r="H316" i="25"/>
  <c r="G300" i="25"/>
  <c r="CF300" i="6" s="1"/>
  <c r="AA300" i="25"/>
  <c r="Z300" i="25" s="1"/>
  <c r="Y300" i="25" s="1"/>
  <c r="H300" i="25"/>
  <c r="G292" i="25"/>
  <c r="CF292" i="6" s="1"/>
  <c r="AA292" i="25"/>
  <c r="Z292" i="25" s="1"/>
  <c r="Y292" i="25" s="1"/>
  <c r="H292" i="25"/>
  <c r="G276" i="25"/>
  <c r="CF276" i="6" s="1"/>
  <c r="AA276" i="25"/>
  <c r="Z276" i="25" s="1"/>
  <c r="Y276" i="25" s="1"/>
  <c r="H276" i="25"/>
  <c r="H268" i="25"/>
  <c r="G268" i="25"/>
  <c r="CF268" i="6" s="1"/>
  <c r="AA268" i="25"/>
  <c r="Z268" i="25" s="1"/>
  <c r="Y268" i="25" s="1"/>
  <c r="G260" i="25"/>
  <c r="CF260" i="6" s="1"/>
  <c r="AA260" i="25"/>
  <c r="Z260" i="25" s="1"/>
  <c r="Y260" i="25" s="1"/>
  <c r="H260" i="25"/>
  <c r="G252" i="25"/>
  <c r="CF252" i="6" s="1"/>
  <c r="AA252" i="25"/>
  <c r="Z252" i="25" s="1"/>
  <c r="Y252" i="25" s="1"/>
  <c r="H252" i="25"/>
  <c r="G236" i="25"/>
  <c r="CF236" i="6" s="1"/>
  <c r="AA236" i="25"/>
  <c r="Z236" i="25" s="1"/>
  <c r="Y236" i="25" s="1"/>
  <c r="H236" i="25"/>
  <c r="G188" i="25"/>
  <c r="CF188" i="6" s="1"/>
  <c r="H188" i="25"/>
  <c r="AA188" i="25"/>
  <c r="Z188" i="25" s="1"/>
  <c r="Y188" i="25" s="1"/>
  <c r="G164" i="25"/>
  <c r="CF164" i="6" s="1"/>
  <c r="H164" i="25"/>
  <c r="AA164" i="25"/>
  <c r="Z164" i="25" s="1"/>
  <c r="Y164" i="25" s="1"/>
  <c r="G156" i="25"/>
  <c r="CF156" i="6" s="1"/>
  <c r="AA156" i="25"/>
  <c r="Z156" i="25" s="1"/>
  <c r="Y156" i="25" s="1"/>
  <c r="H156" i="25"/>
  <c r="H148" i="25"/>
  <c r="AA148" i="25"/>
  <c r="Z148" i="25" s="1"/>
  <c r="Y148" i="25" s="1"/>
  <c r="G148" i="25"/>
  <c r="CF148" i="6" s="1"/>
  <c r="H124" i="25"/>
  <c r="G124" i="25"/>
  <c r="CF124" i="6" s="1"/>
  <c r="AA124" i="25"/>
  <c r="Z124" i="25" s="1"/>
  <c r="Y124" i="25" s="1"/>
  <c r="H297" i="25"/>
  <c r="G297" i="25"/>
  <c r="CF297" i="6" s="1"/>
  <c r="AA297" i="25"/>
  <c r="Z297" i="25" s="1"/>
  <c r="Y297" i="25" s="1"/>
  <c r="G169" i="25"/>
  <c r="CF169" i="6" s="1"/>
  <c r="H169" i="25"/>
  <c r="AA169" i="25"/>
  <c r="Z169" i="25" s="1"/>
  <c r="Y169" i="25" s="1"/>
  <c r="G134" i="25"/>
  <c r="CF134" i="6" s="1"/>
  <c r="AA134" i="25"/>
  <c r="Z134" i="25" s="1"/>
  <c r="Y134" i="25" s="1"/>
  <c r="AA367" i="25"/>
  <c r="Z367" i="25" s="1"/>
  <c r="Y367" i="25" s="1"/>
  <c r="H367" i="25"/>
  <c r="G367" i="25"/>
  <c r="CF367" i="6" s="1"/>
  <c r="H351" i="25"/>
  <c r="AA351" i="25"/>
  <c r="Z351" i="25" s="1"/>
  <c r="Y351" i="25" s="1"/>
  <c r="G351" i="25"/>
  <c r="CF351" i="6" s="1"/>
  <c r="G335" i="25"/>
  <c r="CF335" i="6" s="1"/>
  <c r="H335" i="25"/>
  <c r="AA335" i="25"/>
  <c r="Z335" i="25" s="1"/>
  <c r="Y335" i="25" s="1"/>
  <c r="L70" i="19"/>
  <c r="G303" i="25"/>
  <c r="CF303" i="6" s="1"/>
  <c r="AA303" i="25"/>
  <c r="Z303" i="25" s="1"/>
  <c r="Y303" i="25" s="1"/>
  <c r="H303" i="25"/>
  <c r="G255" i="25"/>
  <c r="CF255" i="6" s="1"/>
  <c r="H255" i="25"/>
  <c r="AA255" i="25"/>
  <c r="Z255" i="25" s="1"/>
  <c r="Y255" i="25" s="1"/>
  <c r="G207" i="25"/>
  <c r="CF207" i="6" s="1"/>
  <c r="H207" i="25"/>
  <c r="AA207" i="25"/>
  <c r="Z207" i="25" s="1"/>
  <c r="Y207" i="25" s="1"/>
  <c r="H143" i="25"/>
  <c r="G143" i="25"/>
  <c r="CF143" i="6" s="1"/>
  <c r="H114" i="25"/>
  <c r="AA114" i="25"/>
  <c r="Z114" i="25" s="1"/>
  <c r="Y114" i="25" s="1"/>
  <c r="G114" i="25"/>
  <c r="CF114" i="6" s="1"/>
  <c r="G109" i="25"/>
  <c r="CF109" i="6" s="1"/>
  <c r="H109" i="25"/>
  <c r="AA109" i="25"/>
  <c r="Z109" i="25" s="1"/>
  <c r="Y109" i="25" s="1"/>
  <c r="G117" i="25"/>
  <c r="CF117" i="6" s="1"/>
  <c r="H117" i="25"/>
  <c r="AA117" i="25"/>
  <c r="Z117" i="25" s="1"/>
  <c r="Y117" i="25" s="1"/>
  <c r="G133" i="25"/>
  <c r="CF133" i="6" s="1"/>
  <c r="H133" i="25"/>
  <c r="AA133" i="25"/>
  <c r="Z133" i="25" s="1"/>
  <c r="Y133" i="25" s="1"/>
  <c r="H370" i="25"/>
  <c r="AA370" i="25"/>
  <c r="Z370" i="25" s="1"/>
  <c r="Y370" i="25" s="1"/>
  <c r="G370" i="25"/>
  <c r="CF370" i="6" s="1"/>
  <c r="H362" i="25"/>
  <c r="G362" i="25"/>
  <c r="CF362" i="6" s="1"/>
  <c r="AA362" i="25"/>
  <c r="Z362" i="25" s="1"/>
  <c r="Y362" i="25" s="1"/>
  <c r="AA354" i="25"/>
  <c r="Z354" i="25" s="1"/>
  <c r="Y354" i="25" s="1"/>
  <c r="G354" i="25"/>
  <c r="CF354" i="6" s="1"/>
  <c r="H354" i="25"/>
  <c r="H338" i="25"/>
  <c r="AA338" i="25"/>
  <c r="Z338" i="25" s="1"/>
  <c r="Y338" i="25" s="1"/>
  <c r="G338" i="25"/>
  <c r="CF338" i="6" s="1"/>
  <c r="AA314" i="25"/>
  <c r="Z314" i="25" s="1"/>
  <c r="Y314" i="25" s="1"/>
  <c r="H314" i="25"/>
  <c r="G314" i="25"/>
  <c r="CF314" i="6" s="1"/>
  <c r="AA298" i="25"/>
  <c r="Z298" i="25" s="1"/>
  <c r="Y298" i="25" s="1"/>
  <c r="G298" i="25"/>
  <c r="CF298" i="6" s="1"/>
  <c r="H298" i="25"/>
  <c r="H274" i="25"/>
  <c r="AA274" i="25"/>
  <c r="Z274" i="25" s="1"/>
  <c r="Y274" i="25" s="1"/>
  <c r="G274" i="25"/>
  <c r="CF274" i="6" s="1"/>
  <c r="G250" i="25"/>
  <c r="CF250" i="6" s="1"/>
  <c r="AA250" i="25"/>
  <c r="Z250" i="25" s="1"/>
  <c r="Y250" i="25" s="1"/>
  <c r="H250" i="25"/>
  <c r="G242" i="25"/>
  <c r="CF242" i="6" s="1"/>
  <c r="AA242" i="25"/>
  <c r="Z242" i="25" s="1"/>
  <c r="Y242" i="25" s="1"/>
  <c r="H242" i="25"/>
  <c r="AA226" i="25"/>
  <c r="Z226" i="25" s="1"/>
  <c r="Y226" i="25" s="1"/>
  <c r="G226" i="25"/>
  <c r="CF226" i="6" s="1"/>
  <c r="H226" i="25"/>
  <c r="D210" i="25"/>
  <c r="E210" i="25" s="1"/>
  <c r="F210" i="25" s="1"/>
  <c r="W210" i="25"/>
  <c r="H202" i="25"/>
  <c r="G202" i="25"/>
  <c r="CF202" i="6" s="1"/>
  <c r="AA202" i="25"/>
  <c r="Z202" i="25" s="1"/>
  <c r="Y202" i="25" s="1"/>
  <c r="AA194" i="25"/>
  <c r="Z194" i="25" s="1"/>
  <c r="Y194" i="25" s="1"/>
  <c r="H194" i="25"/>
  <c r="G194" i="25"/>
  <c r="CF194" i="6" s="1"/>
  <c r="G186" i="25"/>
  <c r="CF186" i="6" s="1"/>
  <c r="AA186" i="25"/>
  <c r="Z186" i="25" s="1"/>
  <c r="Y186" i="25" s="1"/>
  <c r="H186" i="25"/>
  <c r="G178" i="25"/>
  <c r="CF178" i="6" s="1"/>
  <c r="H178" i="25"/>
  <c r="AA178" i="25"/>
  <c r="Z178" i="25" s="1"/>
  <c r="Y178" i="25" s="1"/>
  <c r="G170" i="25"/>
  <c r="CF170" i="6" s="1"/>
  <c r="AA170" i="25"/>
  <c r="Z170" i="25" s="1"/>
  <c r="Y170" i="25" s="1"/>
  <c r="H170" i="25"/>
  <c r="G154" i="25"/>
  <c r="CF154" i="6" s="1"/>
  <c r="H154" i="25"/>
  <c r="AA154" i="25"/>
  <c r="Z154" i="25" s="1"/>
  <c r="Y154" i="25" s="1"/>
  <c r="G136" i="25"/>
  <c r="CF136" i="6" s="1"/>
  <c r="H136" i="25"/>
  <c r="AA136" i="25"/>
  <c r="Z136" i="25" s="1"/>
  <c r="Y136" i="25" s="1"/>
  <c r="H120" i="25"/>
  <c r="G120" i="25"/>
  <c r="CF120" i="6" s="1"/>
  <c r="AA120" i="25"/>
  <c r="Z120" i="25" s="1"/>
  <c r="Y120" i="25" s="1"/>
  <c r="G104" i="25"/>
  <c r="CF104" i="6" s="1"/>
  <c r="H104" i="25"/>
  <c r="H371" i="25"/>
  <c r="J119" i="24"/>
  <c r="I119" i="24"/>
  <c r="I149" i="24"/>
  <c r="J149" i="24"/>
  <c r="J180" i="24"/>
  <c r="I180" i="24"/>
  <c r="H289" i="25"/>
  <c r="Y379" i="20"/>
  <c r="Z382" i="20"/>
  <c r="Z9" i="20"/>
  <c r="AL8" i="20"/>
  <c r="Z381" i="20"/>
  <c r="Z383" i="20"/>
  <c r="J381" i="20"/>
  <c r="J383" i="20"/>
  <c r="J382" i="20"/>
  <c r="H348" i="25"/>
  <c r="H146" i="25"/>
  <c r="H309" i="25"/>
  <c r="J221" i="25"/>
  <c r="H213" i="25"/>
  <c r="H205" i="25"/>
  <c r="G62" i="25"/>
  <c r="CF62" i="6" s="1"/>
  <c r="AA62" i="25"/>
  <c r="Z62" i="25" s="1"/>
  <c r="Y62" i="25" s="1"/>
  <c r="H86" i="25"/>
  <c r="G86" i="25"/>
  <c r="CF86" i="6" s="1"/>
  <c r="AA86" i="25"/>
  <c r="Z86" i="25" s="1"/>
  <c r="Y86" i="25" s="1"/>
  <c r="G17" i="25"/>
  <c r="CF17" i="6" s="1"/>
  <c r="AA17" i="25"/>
  <c r="Z17" i="25" s="1"/>
  <c r="Y17" i="25" s="1"/>
  <c r="H17" i="25"/>
  <c r="AA74" i="25"/>
  <c r="Z74" i="25" s="1"/>
  <c r="Y74" i="25" s="1"/>
  <c r="G74" i="25"/>
  <c r="CF74" i="6" s="1"/>
  <c r="AA35" i="25"/>
  <c r="Z35" i="25" s="1"/>
  <c r="Y35" i="25" s="1"/>
  <c r="H35" i="25"/>
  <c r="G35" i="25"/>
  <c r="CF35" i="6" s="1"/>
  <c r="G51" i="25"/>
  <c r="CF51" i="6" s="1"/>
  <c r="H51" i="25"/>
  <c r="AA51" i="25"/>
  <c r="Z51" i="25" s="1"/>
  <c r="Y51" i="25" s="1"/>
  <c r="G67" i="25"/>
  <c r="CF67" i="6" s="1"/>
  <c r="AA67" i="25"/>
  <c r="Z67" i="25" s="1"/>
  <c r="Y67" i="25" s="1"/>
  <c r="H67" i="25"/>
  <c r="G91" i="25"/>
  <c r="CF91" i="6" s="1"/>
  <c r="AA91" i="25"/>
  <c r="Z91" i="25" s="1"/>
  <c r="Y91" i="25" s="1"/>
  <c r="H91" i="25"/>
  <c r="H99" i="25"/>
  <c r="G99" i="25"/>
  <c r="CF99" i="6" s="1"/>
  <c r="AA99" i="25"/>
  <c r="Z99" i="25" s="1"/>
  <c r="Y99" i="25" s="1"/>
  <c r="G100" i="25"/>
  <c r="CF100" i="6" s="1"/>
  <c r="H100" i="25"/>
  <c r="AA100" i="25"/>
  <c r="Z100" i="25" s="1"/>
  <c r="Y100" i="25" s="1"/>
  <c r="G84" i="25"/>
  <c r="CF84" i="6" s="1"/>
  <c r="AA84" i="25"/>
  <c r="Z84" i="25" s="1"/>
  <c r="Y84" i="25" s="1"/>
  <c r="H84" i="25"/>
  <c r="G52" i="25"/>
  <c r="CF52" i="6" s="1"/>
  <c r="H52" i="25"/>
  <c r="AA52" i="25"/>
  <c r="Z52" i="25" s="1"/>
  <c r="Y52" i="25" s="1"/>
  <c r="D29" i="25"/>
  <c r="E29" i="25" s="1"/>
  <c r="F29" i="25" s="1"/>
  <c r="W29" i="25"/>
  <c r="H45" i="25"/>
  <c r="AA45" i="25"/>
  <c r="Z45" i="25" s="1"/>
  <c r="Y45" i="25" s="1"/>
  <c r="G45" i="25"/>
  <c r="CF45" i="6" s="1"/>
  <c r="G69" i="25"/>
  <c r="CF69" i="6" s="1"/>
  <c r="AA69" i="25"/>
  <c r="Z69" i="25" s="1"/>
  <c r="Y69" i="25" s="1"/>
  <c r="H69" i="25"/>
  <c r="H85" i="25"/>
  <c r="AA85" i="25"/>
  <c r="Z85" i="25" s="1"/>
  <c r="Y85" i="25" s="1"/>
  <c r="G85" i="25"/>
  <c r="CF85" i="6" s="1"/>
  <c r="G93" i="25"/>
  <c r="CF93" i="6" s="1"/>
  <c r="AA93" i="25"/>
  <c r="Z93" i="25" s="1"/>
  <c r="Y93" i="25" s="1"/>
  <c r="H93" i="25"/>
  <c r="D70" i="19"/>
  <c r="G40" i="25"/>
  <c r="CF40" i="6" s="1"/>
  <c r="H40" i="25"/>
  <c r="AA40" i="25"/>
  <c r="Z40" i="25" s="1"/>
  <c r="Y40" i="25" s="1"/>
  <c r="G24" i="25"/>
  <c r="CF24" i="6" s="1"/>
  <c r="H24" i="25"/>
  <c r="AA24" i="25"/>
  <c r="Z24" i="25" s="1"/>
  <c r="Y24" i="25" s="1"/>
  <c r="H378" i="25"/>
  <c r="D379" i="6"/>
  <c r="AM4" i="6"/>
  <c r="H322" i="25"/>
  <c r="AA126" i="25"/>
  <c r="Z126" i="25" s="1"/>
  <c r="Y126" i="25" s="1"/>
  <c r="G126" i="25"/>
  <c r="CF126" i="6" s="1"/>
  <c r="H126" i="25"/>
  <c r="H197" i="25"/>
  <c r="G197" i="25"/>
  <c r="CF197" i="6" s="1"/>
  <c r="G253" i="25"/>
  <c r="CF253" i="6" s="1"/>
  <c r="AA253" i="25"/>
  <c r="Z253" i="25" s="1"/>
  <c r="Y253" i="25" s="1"/>
  <c r="H253" i="25"/>
  <c r="H369" i="25"/>
  <c r="AA369" i="25"/>
  <c r="Z369" i="25" s="1"/>
  <c r="Y369" i="25" s="1"/>
  <c r="G369" i="25"/>
  <c r="CF369" i="6" s="1"/>
  <c r="G337" i="25"/>
  <c r="CF337" i="6" s="1"/>
  <c r="H337" i="25"/>
  <c r="H273" i="25"/>
  <c r="G273" i="25"/>
  <c r="CF273" i="6" s="1"/>
  <c r="G209" i="25"/>
  <c r="CF209" i="6" s="1"/>
  <c r="H209" i="25"/>
  <c r="G315" i="25"/>
  <c r="CF315" i="6" s="1"/>
  <c r="AA315" i="25"/>
  <c r="Z315" i="25" s="1"/>
  <c r="Y315" i="25" s="1"/>
  <c r="H315" i="25"/>
  <c r="AA299" i="25"/>
  <c r="Z299" i="25" s="1"/>
  <c r="Y299" i="25" s="1"/>
  <c r="G299" i="25"/>
  <c r="CF299" i="6" s="1"/>
  <c r="H283" i="25"/>
  <c r="G283" i="25"/>
  <c r="CF283" i="6" s="1"/>
  <c r="AA283" i="25"/>
  <c r="Z283" i="25" s="1"/>
  <c r="Y283" i="25" s="1"/>
  <c r="H171" i="25"/>
  <c r="G171" i="25"/>
  <c r="CF171" i="6" s="1"/>
  <c r="AA171" i="25"/>
  <c r="Z171" i="25" s="1"/>
  <c r="Y171" i="25" s="1"/>
  <c r="H138" i="25"/>
  <c r="G138" i="25"/>
  <c r="CF138" i="6" s="1"/>
  <c r="H106" i="25"/>
  <c r="G106" i="25"/>
  <c r="CF106" i="6" s="1"/>
  <c r="AA111" i="25"/>
  <c r="Z111" i="25" s="1"/>
  <c r="Y111" i="25" s="1"/>
  <c r="H111" i="25"/>
  <c r="G111" i="25"/>
  <c r="CF111" i="6" s="1"/>
  <c r="W135" i="25"/>
  <c r="D135" i="25"/>
  <c r="E135" i="25" s="1"/>
  <c r="F135" i="25" s="1"/>
  <c r="H304" i="25"/>
  <c r="G304" i="25"/>
  <c r="CF304" i="6" s="1"/>
  <c r="W288" i="25"/>
  <c r="D288" i="25"/>
  <c r="E288" i="25" s="1"/>
  <c r="F288" i="25" s="1"/>
  <c r="W272" i="25"/>
  <c r="D272" i="25"/>
  <c r="E272" i="25" s="1"/>
  <c r="F272" i="25" s="1"/>
  <c r="G240" i="25"/>
  <c r="CF240" i="6" s="1"/>
  <c r="H240" i="25"/>
  <c r="AA216" i="25"/>
  <c r="Z216" i="25" s="1"/>
  <c r="Y216" i="25" s="1"/>
  <c r="H216" i="25"/>
  <c r="G216" i="25"/>
  <c r="CF216" i="6" s="1"/>
  <c r="H184" i="25"/>
  <c r="G184" i="25"/>
  <c r="CF184" i="6" s="1"/>
  <c r="G176" i="25"/>
  <c r="CF176" i="6" s="1"/>
  <c r="H176" i="25"/>
  <c r="H160" i="25"/>
  <c r="G160" i="25"/>
  <c r="CF160" i="6" s="1"/>
  <c r="G116" i="25"/>
  <c r="CF116" i="6" s="1"/>
  <c r="AA116" i="25"/>
  <c r="Z116" i="25" s="1"/>
  <c r="Y116" i="25" s="1"/>
  <c r="H116" i="25"/>
  <c r="H377" i="25"/>
  <c r="G377" i="25"/>
  <c r="CF377" i="6" s="1"/>
  <c r="H281" i="25"/>
  <c r="G281" i="25"/>
  <c r="CF281" i="6" s="1"/>
  <c r="G249" i="25"/>
  <c r="CF249" i="6" s="1"/>
  <c r="H249" i="25"/>
  <c r="G185" i="25"/>
  <c r="CF185" i="6" s="1"/>
  <c r="H185" i="25"/>
  <c r="G327" i="25"/>
  <c r="CF327" i="6" s="1"/>
  <c r="H327" i="25"/>
  <c r="AA327" i="25"/>
  <c r="Z327" i="25" s="1"/>
  <c r="Y327" i="25" s="1"/>
  <c r="G311" i="25"/>
  <c r="CF311" i="6" s="1"/>
  <c r="AA311" i="25"/>
  <c r="Z311" i="25" s="1"/>
  <c r="Y311" i="25" s="1"/>
  <c r="G295" i="25"/>
  <c r="CF295" i="6" s="1"/>
  <c r="AA295" i="25"/>
  <c r="Z295" i="25" s="1"/>
  <c r="Y295" i="25" s="1"/>
  <c r="H279" i="25"/>
  <c r="G279" i="25"/>
  <c r="CF279" i="6" s="1"/>
  <c r="AA231" i="25"/>
  <c r="Z231" i="25" s="1"/>
  <c r="Y231" i="25" s="1"/>
  <c r="G231" i="25"/>
  <c r="CF231" i="6" s="1"/>
  <c r="H231" i="25"/>
  <c r="H199" i="25"/>
  <c r="G199" i="25"/>
  <c r="CF199" i="6" s="1"/>
  <c r="H183" i="25"/>
  <c r="G183" i="25"/>
  <c r="CF183" i="6" s="1"/>
  <c r="G151" i="25"/>
  <c r="CF151" i="6" s="1"/>
  <c r="H151" i="25"/>
  <c r="AA151" i="25"/>
  <c r="Z151" i="25" s="1"/>
  <c r="Y151" i="25" s="1"/>
  <c r="AA130" i="25"/>
  <c r="Z130" i="25" s="1"/>
  <c r="Y130" i="25" s="1"/>
  <c r="H130" i="25"/>
  <c r="G130" i="25"/>
  <c r="CF130" i="6" s="1"/>
  <c r="G105" i="25"/>
  <c r="CF105" i="6" s="1"/>
  <c r="AA105" i="25"/>
  <c r="Z105" i="25" s="1"/>
  <c r="Y105" i="25" s="1"/>
  <c r="G129" i="25"/>
  <c r="CF129" i="6" s="1"/>
  <c r="H129" i="25"/>
  <c r="H350" i="25"/>
  <c r="G350" i="25"/>
  <c r="CF350" i="6" s="1"/>
  <c r="AA334" i="25"/>
  <c r="Z334" i="25" s="1"/>
  <c r="Y334" i="25" s="1"/>
  <c r="G334" i="25"/>
  <c r="CF334" i="6" s="1"/>
  <c r="AA326" i="25"/>
  <c r="Z326" i="25" s="1"/>
  <c r="Y326" i="25" s="1"/>
  <c r="G326" i="25"/>
  <c r="CF326" i="6" s="1"/>
  <c r="H326" i="25"/>
  <c r="H286" i="25"/>
  <c r="G286" i="25"/>
  <c r="CF286" i="6" s="1"/>
  <c r="H278" i="25"/>
  <c r="AA278" i="25"/>
  <c r="Z278" i="25" s="1"/>
  <c r="Y278" i="25" s="1"/>
  <c r="G278" i="25"/>
  <c r="CF278" i="6" s="1"/>
  <c r="H198" i="25"/>
  <c r="G198" i="25"/>
  <c r="CF198" i="6" s="1"/>
  <c r="H190" i="25"/>
  <c r="G190" i="25"/>
  <c r="CF190" i="6" s="1"/>
  <c r="D166" i="25"/>
  <c r="E166" i="25" s="1"/>
  <c r="F166" i="25" s="1"/>
  <c r="W166" i="25"/>
  <c r="H299" i="25"/>
  <c r="H163" i="25"/>
  <c r="Y11" i="18"/>
  <c r="AA11" i="18"/>
  <c r="AA5" i="18" s="1"/>
  <c r="I15" i="19" s="1"/>
  <c r="J15" i="19"/>
  <c r="Z11" i="18"/>
  <c r="Z5" i="18" s="1"/>
  <c r="H15" i="19" s="1"/>
  <c r="AK4" i="18"/>
  <c r="R15" i="19" s="1"/>
  <c r="N16" i="19" s="1"/>
  <c r="AM13" i="18"/>
  <c r="AL13" i="18"/>
  <c r="AJ4" i="18"/>
  <c r="P15" i="19" s="1"/>
  <c r="M16" i="19" s="1"/>
  <c r="J272" i="24"/>
  <c r="I272" i="24"/>
  <c r="H222" i="25"/>
  <c r="H152" i="25"/>
  <c r="H295" i="25"/>
  <c r="G40" i="19"/>
  <c r="D16" i="19"/>
  <c r="D31" i="19" s="1"/>
  <c r="H50" i="25"/>
  <c r="H237" i="25"/>
  <c r="I135" i="24"/>
  <c r="J135" i="24"/>
  <c r="AA60" i="24"/>
  <c r="Z60" i="24" s="1"/>
  <c r="Y60" i="24" s="1"/>
  <c r="G60" i="24"/>
  <c r="CE60" i="6" s="1"/>
  <c r="H94" i="25"/>
  <c r="G94" i="25"/>
  <c r="CF94" i="6" s="1"/>
  <c r="AA94" i="25"/>
  <c r="Z94" i="25" s="1"/>
  <c r="Y94" i="25" s="1"/>
  <c r="G90" i="25"/>
  <c r="CF90" i="6" s="1"/>
  <c r="AA90" i="25"/>
  <c r="Z90" i="25" s="1"/>
  <c r="Y90" i="25" s="1"/>
  <c r="G27" i="25"/>
  <c r="CF27" i="6" s="1"/>
  <c r="H27" i="25"/>
  <c r="AA27" i="25"/>
  <c r="Z27" i="25" s="1"/>
  <c r="Y27" i="25" s="1"/>
  <c r="H55" i="25"/>
  <c r="G55" i="25"/>
  <c r="CF55" i="6" s="1"/>
  <c r="AA55" i="25"/>
  <c r="Z55" i="25" s="1"/>
  <c r="Y55" i="25" s="1"/>
  <c r="G63" i="25"/>
  <c r="CF63" i="6" s="1"/>
  <c r="H63" i="25"/>
  <c r="AA63" i="25"/>
  <c r="Z63" i="25" s="1"/>
  <c r="Y63" i="25" s="1"/>
  <c r="AA71" i="25"/>
  <c r="Z71" i="25" s="1"/>
  <c r="Y71" i="25" s="1"/>
  <c r="G71" i="25"/>
  <c r="CF71" i="6" s="1"/>
  <c r="H71" i="25"/>
  <c r="G95" i="25"/>
  <c r="CF95" i="6" s="1"/>
  <c r="AA95" i="25"/>
  <c r="Z95" i="25" s="1"/>
  <c r="Y95" i="25" s="1"/>
  <c r="H95" i="25"/>
  <c r="G44" i="25"/>
  <c r="CF44" i="6" s="1"/>
  <c r="H44" i="25"/>
  <c r="AA44" i="25"/>
  <c r="Z44" i="25" s="1"/>
  <c r="Y44" i="25" s="1"/>
  <c r="AA350" i="25"/>
  <c r="Z350" i="25" s="1"/>
  <c r="Y350" i="25" s="1"/>
  <c r="AA342" i="25"/>
  <c r="Z342" i="25" s="1"/>
  <c r="Y342" i="25" s="1"/>
  <c r="AA286" i="25"/>
  <c r="Z286" i="25" s="1"/>
  <c r="Y286" i="25" s="1"/>
  <c r="AA222" i="25"/>
  <c r="Z222" i="25" s="1"/>
  <c r="Y222" i="25" s="1"/>
  <c r="AA198" i="25"/>
  <c r="Z198" i="25" s="1"/>
  <c r="Y198" i="25" s="1"/>
  <c r="AA190" i="25"/>
  <c r="Z190" i="25" s="1"/>
  <c r="Y190" i="25" s="1"/>
  <c r="AA110" i="25"/>
  <c r="Z110" i="25" s="1"/>
  <c r="Y110" i="25" s="1"/>
  <c r="AA331" i="25"/>
  <c r="Z331" i="25" s="1"/>
  <c r="Y331" i="25" s="1"/>
  <c r="AA259" i="25"/>
  <c r="Z259" i="25" s="1"/>
  <c r="Y259" i="25" s="1"/>
  <c r="AA251" i="25"/>
  <c r="Z251" i="25" s="1"/>
  <c r="Y251" i="25" s="1"/>
  <c r="AA235" i="25"/>
  <c r="Z235" i="25" s="1"/>
  <c r="Y235" i="25" s="1"/>
  <c r="AA163" i="25"/>
  <c r="Z163" i="25" s="1"/>
  <c r="Y163" i="25" s="1"/>
  <c r="AA131" i="25"/>
  <c r="Z131" i="25" s="1"/>
  <c r="Y131" i="25" s="1"/>
  <c r="AA123" i="25"/>
  <c r="Z123" i="25" s="1"/>
  <c r="Y123" i="25" s="1"/>
  <c r="AA372" i="25"/>
  <c r="Z372" i="25" s="1"/>
  <c r="Y372" i="25" s="1"/>
  <c r="AA364" i="25"/>
  <c r="Z364" i="25" s="1"/>
  <c r="Y364" i="25" s="1"/>
  <c r="AA340" i="25"/>
  <c r="Z340" i="25" s="1"/>
  <c r="Y340" i="25" s="1"/>
  <c r="AA308" i="25"/>
  <c r="Z308" i="25" s="1"/>
  <c r="Y308" i="25" s="1"/>
  <c r="AA228" i="25"/>
  <c r="Z228" i="25" s="1"/>
  <c r="Y228" i="25" s="1"/>
  <c r="AA220" i="25"/>
  <c r="Z220" i="25" s="1"/>
  <c r="Y220" i="25" s="1"/>
  <c r="AA212" i="25"/>
  <c r="Z212" i="25" s="1"/>
  <c r="Y212" i="25" s="1"/>
  <c r="AA204" i="25"/>
  <c r="Z204" i="25" s="1"/>
  <c r="Y204" i="25" s="1"/>
  <c r="AA172" i="25"/>
  <c r="Z172" i="25" s="1"/>
  <c r="Y172" i="25" s="1"/>
  <c r="AA140" i="25"/>
  <c r="Z140" i="25" s="1"/>
  <c r="Y140" i="25" s="1"/>
  <c r="AA132" i="25"/>
  <c r="Z132" i="25" s="1"/>
  <c r="Y132" i="25" s="1"/>
  <c r="AA108" i="25"/>
  <c r="Z108" i="25" s="1"/>
  <c r="Y108" i="25" s="1"/>
  <c r="AA377" i="25"/>
  <c r="Z377" i="25" s="1"/>
  <c r="Y377" i="25" s="1"/>
  <c r="AA361" i="25"/>
  <c r="Z361" i="25" s="1"/>
  <c r="Y361" i="25" s="1"/>
  <c r="AA353" i="25"/>
  <c r="Z353" i="25" s="1"/>
  <c r="Y353" i="25" s="1"/>
  <c r="AA337" i="25"/>
  <c r="Z337" i="25" s="1"/>
  <c r="Y337" i="25" s="1"/>
  <c r="AA329" i="25"/>
  <c r="Z329" i="25" s="1"/>
  <c r="Y329" i="25" s="1"/>
  <c r="AA321" i="25"/>
  <c r="Z321" i="25" s="1"/>
  <c r="Y321" i="25" s="1"/>
  <c r="AA313" i="25"/>
  <c r="Z313" i="25" s="1"/>
  <c r="Y313" i="25" s="1"/>
  <c r="AA305" i="25"/>
  <c r="Z305" i="25" s="1"/>
  <c r="Y305" i="25" s="1"/>
  <c r="AA281" i="25"/>
  <c r="Z281" i="25" s="1"/>
  <c r="Y281" i="25" s="1"/>
  <c r="AA273" i="25"/>
  <c r="Z273" i="25" s="1"/>
  <c r="Y273" i="25" s="1"/>
  <c r="AA257" i="25"/>
  <c r="Z257" i="25" s="1"/>
  <c r="Y257" i="25" s="1"/>
  <c r="AA249" i="25"/>
  <c r="Z249" i="25" s="1"/>
  <c r="Y249" i="25" s="1"/>
  <c r="AA233" i="25"/>
  <c r="Z233" i="25" s="1"/>
  <c r="Y233" i="25" s="1"/>
  <c r="AA225" i="25"/>
  <c r="Z225" i="25" s="1"/>
  <c r="Y225" i="25" s="1"/>
  <c r="AA217" i="25"/>
  <c r="Z217" i="25" s="1"/>
  <c r="Y217" i="25" s="1"/>
  <c r="AA209" i="25"/>
  <c r="Z209" i="25" s="1"/>
  <c r="Y209" i="25" s="1"/>
  <c r="AA201" i="25"/>
  <c r="Z201" i="25" s="1"/>
  <c r="Y201" i="25" s="1"/>
  <c r="AA193" i="25"/>
  <c r="Z193" i="25" s="1"/>
  <c r="Y193" i="25" s="1"/>
  <c r="AA185" i="25"/>
  <c r="Z185" i="25" s="1"/>
  <c r="Y185" i="25" s="1"/>
  <c r="AA153" i="25"/>
  <c r="Z153" i="25" s="1"/>
  <c r="Y153" i="25" s="1"/>
  <c r="AA145" i="25"/>
  <c r="Z145" i="25" s="1"/>
  <c r="Y145" i="25" s="1"/>
  <c r="AA137" i="25"/>
  <c r="Z137" i="25" s="1"/>
  <c r="Y137" i="25" s="1"/>
  <c r="AA129" i="25"/>
  <c r="Z129" i="25" s="1"/>
  <c r="Y129" i="25" s="1"/>
  <c r="AA121" i="25"/>
  <c r="Z121" i="25" s="1"/>
  <c r="Y121" i="25" s="1"/>
  <c r="AA113" i="25"/>
  <c r="Z113" i="25" s="1"/>
  <c r="Y113" i="25" s="1"/>
  <c r="G98" i="25"/>
  <c r="CF98" i="6" s="1"/>
  <c r="AA98" i="25"/>
  <c r="Z98" i="25" s="1"/>
  <c r="Y98" i="25" s="1"/>
  <c r="G34" i="25"/>
  <c r="CF34" i="6" s="1"/>
  <c r="AA34" i="25"/>
  <c r="Z34" i="25" s="1"/>
  <c r="Y34" i="25" s="1"/>
  <c r="AA19" i="25"/>
  <c r="Z19" i="25" s="1"/>
  <c r="Y19" i="25" s="1"/>
  <c r="G19" i="25"/>
  <c r="CF19" i="6" s="1"/>
  <c r="H19" i="25"/>
  <c r="G33" i="25"/>
  <c r="CF33" i="6" s="1"/>
  <c r="AA33" i="25"/>
  <c r="Z33" i="25" s="1"/>
  <c r="Y33" i="25" s="1"/>
  <c r="G41" i="25"/>
  <c r="CF41" i="6" s="1"/>
  <c r="H41" i="25"/>
  <c r="AA41" i="25"/>
  <c r="Z41" i="25" s="1"/>
  <c r="Y41" i="25" s="1"/>
  <c r="H49" i="25"/>
  <c r="G49" i="25"/>
  <c r="CF49" i="6" s="1"/>
  <c r="AA49" i="25"/>
  <c r="Z49" i="25" s="1"/>
  <c r="Y49" i="25" s="1"/>
  <c r="G57" i="25"/>
  <c r="CF57" i="6" s="1"/>
  <c r="AA57" i="25"/>
  <c r="Z57" i="25" s="1"/>
  <c r="Y57" i="25" s="1"/>
  <c r="G73" i="25"/>
  <c r="CF73" i="6" s="1"/>
  <c r="AA73" i="25"/>
  <c r="Z73" i="25" s="1"/>
  <c r="Y73" i="25" s="1"/>
  <c r="T383" i="25"/>
  <c r="T381" i="25"/>
  <c r="S15" i="25"/>
  <c r="T382" i="25"/>
  <c r="H195" i="25"/>
  <c r="H131" i="25"/>
  <c r="AA302" i="24"/>
  <c r="Z302" i="24" s="1"/>
  <c r="Y302" i="24" s="1"/>
  <c r="H302" i="24"/>
  <c r="G302" i="24"/>
  <c r="CE302" i="6" s="1"/>
  <c r="I319" i="24"/>
  <c r="J319" i="24"/>
  <c r="I380" i="24"/>
  <c r="H380" i="25" s="1"/>
  <c r="J380" i="24"/>
  <c r="E9" i="22"/>
  <c r="E11" i="22" s="1"/>
  <c r="F15" i="22"/>
  <c r="E383" i="22"/>
  <c r="AJ10" i="22"/>
  <c r="AJ12" i="22" s="1"/>
  <c r="AJ13" i="22" s="1"/>
  <c r="AK8" i="22"/>
  <c r="E382" i="22"/>
  <c r="E381" i="22"/>
  <c r="J145" i="25"/>
  <c r="D149" i="25"/>
  <c r="E149" i="25" s="1"/>
  <c r="F149" i="25" s="1"/>
  <c r="W149" i="25"/>
  <c r="H245" i="25"/>
  <c r="G245" i="25"/>
  <c r="CF245" i="6" s="1"/>
  <c r="H173" i="25"/>
  <c r="G173" i="25"/>
  <c r="CF173" i="6" s="1"/>
  <c r="H269" i="25"/>
  <c r="G269" i="25"/>
  <c r="CF269" i="6" s="1"/>
  <c r="H301" i="25"/>
  <c r="G301" i="25"/>
  <c r="CF301" i="6" s="1"/>
  <c r="AA289" i="25"/>
  <c r="Z289" i="25" s="1"/>
  <c r="Y289" i="25" s="1"/>
  <c r="G289" i="25"/>
  <c r="CF289" i="6" s="1"/>
  <c r="G257" i="25"/>
  <c r="CF257" i="6" s="1"/>
  <c r="H257" i="25"/>
  <c r="G193" i="25"/>
  <c r="CF193" i="6" s="1"/>
  <c r="H193" i="25"/>
  <c r="AA161" i="25"/>
  <c r="Z161" i="25" s="1"/>
  <c r="Y161" i="25" s="1"/>
  <c r="G161" i="25"/>
  <c r="CF161" i="6" s="1"/>
  <c r="H161" i="25"/>
  <c r="H118" i="25"/>
  <c r="G118" i="25"/>
  <c r="CF118" i="6" s="1"/>
  <c r="AA118" i="25"/>
  <c r="Z118" i="25" s="1"/>
  <c r="Y118" i="25" s="1"/>
  <c r="AA291" i="25"/>
  <c r="Z291" i="25" s="1"/>
  <c r="Y291" i="25" s="1"/>
  <c r="G291" i="25"/>
  <c r="CF291" i="6" s="1"/>
  <c r="H275" i="25"/>
  <c r="AA275" i="25"/>
  <c r="Z275" i="25" s="1"/>
  <c r="Y275" i="25" s="1"/>
  <c r="G275" i="25"/>
  <c r="CF275" i="6" s="1"/>
  <c r="W227" i="25"/>
  <c r="D227" i="25"/>
  <c r="E227" i="25" s="1"/>
  <c r="F227" i="25" s="1"/>
  <c r="G195" i="25"/>
  <c r="CF195" i="6" s="1"/>
  <c r="AA195" i="25"/>
  <c r="Z195" i="25" s="1"/>
  <c r="Y195" i="25" s="1"/>
  <c r="G147" i="25"/>
  <c r="CF147" i="6" s="1"/>
  <c r="AA147" i="25"/>
  <c r="Z147" i="25" s="1"/>
  <c r="Y147" i="25" s="1"/>
  <c r="H147" i="25"/>
  <c r="H122" i="25"/>
  <c r="G122" i="25"/>
  <c r="CF122" i="6" s="1"/>
  <c r="H372" i="25"/>
  <c r="G372" i="25"/>
  <c r="CF372" i="6" s="1"/>
  <c r="H364" i="25"/>
  <c r="G364" i="25"/>
  <c r="CF364" i="6" s="1"/>
  <c r="H340" i="25"/>
  <c r="G340" i="25"/>
  <c r="CF340" i="6" s="1"/>
  <c r="G308" i="25"/>
  <c r="CF308" i="6" s="1"/>
  <c r="H308" i="25"/>
  <c r="AA284" i="25"/>
  <c r="Z284" i="25" s="1"/>
  <c r="Y284" i="25" s="1"/>
  <c r="G284" i="25"/>
  <c r="CF284" i="6" s="1"/>
  <c r="H284" i="25"/>
  <c r="G244" i="25"/>
  <c r="CF244" i="6" s="1"/>
  <c r="H244" i="25"/>
  <c r="AA244" i="25"/>
  <c r="Z244" i="25" s="1"/>
  <c r="Y244" i="25" s="1"/>
  <c r="G228" i="25"/>
  <c r="CF228" i="6" s="1"/>
  <c r="H228" i="25"/>
  <c r="G220" i="25"/>
  <c r="CF220" i="6" s="1"/>
  <c r="H220" i="25"/>
  <c r="H212" i="25"/>
  <c r="G212" i="25"/>
  <c r="CF212" i="6" s="1"/>
  <c r="W196" i="25"/>
  <c r="D196" i="25"/>
  <c r="E196" i="25" s="1"/>
  <c r="F196" i="25" s="1"/>
  <c r="W180" i="25"/>
  <c r="D180" i="25"/>
  <c r="E180" i="25" s="1"/>
  <c r="F180" i="25" s="1"/>
  <c r="H172" i="25"/>
  <c r="G172" i="25"/>
  <c r="CF172" i="6" s="1"/>
  <c r="G140" i="25"/>
  <c r="CF140" i="6" s="1"/>
  <c r="H140" i="25"/>
  <c r="G108" i="25"/>
  <c r="CF108" i="6" s="1"/>
  <c r="H108" i="25"/>
  <c r="G361" i="25"/>
  <c r="CF361" i="6" s="1"/>
  <c r="H361" i="25"/>
  <c r="G329" i="25"/>
  <c r="CF329" i="6" s="1"/>
  <c r="AA265" i="25"/>
  <c r="Z265" i="25" s="1"/>
  <c r="Y265" i="25" s="1"/>
  <c r="H265" i="25"/>
  <c r="G265" i="25"/>
  <c r="CF265" i="6" s="1"/>
  <c r="H233" i="25"/>
  <c r="G233" i="25"/>
  <c r="CF233" i="6" s="1"/>
  <c r="H201" i="25"/>
  <c r="G201" i="25"/>
  <c r="CF201" i="6" s="1"/>
  <c r="W319" i="25"/>
  <c r="D319" i="25"/>
  <c r="E319" i="25" s="1"/>
  <c r="F319" i="25" s="1"/>
  <c r="AA287" i="25"/>
  <c r="Z287" i="25" s="1"/>
  <c r="Y287" i="25" s="1"/>
  <c r="H287" i="25"/>
  <c r="G287" i="25"/>
  <c r="CF287" i="6" s="1"/>
  <c r="G271" i="25"/>
  <c r="CF271" i="6" s="1"/>
  <c r="H271" i="25"/>
  <c r="H239" i="25"/>
  <c r="G239" i="25"/>
  <c r="CF239" i="6" s="1"/>
  <c r="AA223" i="25"/>
  <c r="Z223" i="25" s="1"/>
  <c r="Y223" i="25" s="1"/>
  <c r="G223" i="25"/>
  <c r="CF223" i="6" s="1"/>
  <c r="H223" i="25"/>
  <c r="H191" i="25"/>
  <c r="AA191" i="25"/>
  <c r="Z191" i="25" s="1"/>
  <c r="Y191" i="25" s="1"/>
  <c r="G191" i="25"/>
  <c r="CF191" i="6" s="1"/>
  <c r="AA175" i="25"/>
  <c r="Z175" i="25" s="1"/>
  <c r="Y175" i="25" s="1"/>
  <c r="G175" i="25"/>
  <c r="CF175" i="6" s="1"/>
  <c r="H175" i="25"/>
  <c r="AA159" i="25"/>
  <c r="Z159" i="25" s="1"/>
  <c r="Y159" i="25" s="1"/>
  <c r="H159" i="25"/>
  <c r="G159" i="25"/>
  <c r="CF159" i="6" s="1"/>
  <c r="AA378" i="25"/>
  <c r="Z378" i="25" s="1"/>
  <c r="Y378" i="25" s="1"/>
  <c r="G378" i="25"/>
  <c r="CF378" i="6" s="1"/>
  <c r="H346" i="25"/>
  <c r="AA346" i="25"/>
  <c r="Z346" i="25" s="1"/>
  <c r="Y346" i="25" s="1"/>
  <c r="G346" i="25"/>
  <c r="CF346" i="6" s="1"/>
  <c r="G330" i="25"/>
  <c r="CF330" i="6" s="1"/>
  <c r="H330" i="25"/>
  <c r="AA290" i="25"/>
  <c r="Z290" i="25" s="1"/>
  <c r="Y290" i="25" s="1"/>
  <c r="H290" i="25"/>
  <c r="G290" i="25"/>
  <c r="CF290" i="6" s="1"/>
  <c r="G282" i="25"/>
  <c r="CF282" i="6" s="1"/>
  <c r="H282" i="25"/>
  <c r="H266" i="25"/>
  <c r="G266" i="25"/>
  <c r="CF266" i="6" s="1"/>
  <c r="D258" i="25"/>
  <c r="E258" i="25" s="1"/>
  <c r="F258" i="25" s="1"/>
  <c r="W258" i="25"/>
  <c r="AA234" i="25"/>
  <c r="Z234" i="25" s="1"/>
  <c r="Y234" i="25" s="1"/>
  <c r="G234" i="25"/>
  <c r="CF234" i="6" s="1"/>
  <c r="H234" i="25"/>
  <c r="H162" i="25"/>
  <c r="G162" i="25"/>
  <c r="CF162" i="6" s="1"/>
  <c r="G363" i="24"/>
  <c r="CE363" i="6" s="1"/>
  <c r="AA363" i="24"/>
  <c r="Z363" i="24" s="1"/>
  <c r="Y363" i="24" s="1"/>
  <c r="H363" i="24"/>
  <c r="J333" i="24"/>
  <c r="I333" i="24"/>
  <c r="J105" i="24"/>
  <c r="I105" i="24"/>
  <c r="H105" i="25" s="1"/>
  <c r="J334" i="25"/>
  <c r="I166" i="24"/>
  <c r="J166" i="24"/>
  <c r="H353" i="25"/>
  <c r="H225" i="25"/>
  <c r="G88" i="24"/>
  <c r="CE88" i="6" s="1"/>
  <c r="AA88" i="24"/>
  <c r="Z88" i="24" s="1"/>
  <c r="Y88" i="24" s="1"/>
  <c r="H88" i="24"/>
  <c r="H379" i="22"/>
  <c r="I382" i="20"/>
  <c r="I383" i="20"/>
  <c r="I381" i="20"/>
  <c r="J258" i="24"/>
  <c r="I258" i="24"/>
  <c r="H306" i="25"/>
  <c r="G78" i="25"/>
  <c r="CF78" i="6" s="1"/>
  <c r="AA78" i="25"/>
  <c r="Z78" i="25" s="1"/>
  <c r="Y78" i="25" s="1"/>
  <c r="H42" i="25"/>
  <c r="G42" i="25"/>
  <c r="CF42" i="6" s="1"/>
  <c r="AA42" i="25"/>
  <c r="Z42" i="25" s="1"/>
  <c r="Y42" i="25" s="1"/>
  <c r="G21" i="25"/>
  <c r="CF21" i="6" s="1"/>
  <c r="H21" i="25"/>
  <c r="AA21" i="25"/>
  <c r="Z21" i="25" s="1"/>
  <c r="Y21" i="25" s="1"/>
  <c r="H22" i="25"/>
  <c r="G22" i="25"/>
  <c r="CF22" i="6" s="1"/>
  <c r="AA22" i="25"/>
  <c r="Z22" i="25" s="1"/>
  <c r="Y22" i="25" s="1"/>
  <c r="AA43" i="25"/>
  <c r="Z43" i="25" s="1"/>
  <c r="Y43" i="25" s="1"/>
  <c r="H43" i="25"/>
  <c r="G43" i="25"/>
  <c r="CF43" i="6" s="1"/>
  <c r="AA59" i="25"/>
  <c r="Z59" i="25" s="1"/>
  <c r="Y59" i="25" s="1"/>
  <c r="G59" i="25"/>
  <c r="CF59" i="6" s="1"/>
  <c r="H59" i="25"/>
  <c r="H75" i="25"/>
  <c r="AA75" i="25"/>
  <c r="Z75" i="25" s="1"/>
  <c r="Y75" i="25" s="1"/>
  <c r="G75" i="25"/>
  <c r="CF75" i="6" s="1"/>
  <c r="G83" i="25"/>
  <c r="CF83" i="6" s="1"/>
  <c r="AA83" i="25"/>
  <c r="Z83" i="25" s="1"/>
  <c r="Y83" i="25" s="1"/>
  <c r="H83" i="25"/>
  <c r="G68" i="25"/>
  <c r="CF68" i="6" s="1"/>
  <c r="H68" i="25"/>
  <c r="AA68" i="25"/>
  <c r="Z68" i="25" s="1"/>
  <c r="Y68" i="25" s="1"/>
  <c r="G36" i="25"/>
  <c r="CF36" i="6" s="1"/>
  <c r="H36" i="25"/>
  <c r="AA36" i="25"/>
  <c r="Z36" i="25" s="1"/>
  <c r="Y36" i="25" s="1"/>
  <c r="H18" i="25"/>
  <c r="G18" i="25"/>
  <c r="CF18" i="6" s="1"/>
  <c r="AA18" i="25"/>
  <c r="Z18" i="25" s="1"/>
  <c r="Y18" i="25" s="1"/>
  <c r="AA102" i="25"/>
  <c r="Z102" i="25" s="1"/>
  <c r="Y102" i="25" s="1"/>
  <c r="G102" i="25"/>
  <c r="CF102" i="6" s="1"/>
  <c r="H102" i="25"/>
  <c r="G38" i="25"/>
  <c r="CF38" i="6" s="1"/>
  <c r="AA38" i="25"/>
  <c r="Z38" i="25" s="1"/>
  <c r="Y38" i="25" s="1"/>
  <c r="H82" i="25"/>
  <c r="G82" i="25"/>
  <c r="CF82" i="6" s="1"/>
  <c r="AA82" i="25"/>
  <c r="Z82" i="25" s="1"/>
  <c r="Y82" i="25" s="1"/>
  <c r="AA50" i="25"/>
  <c r="Z50" i="25" s="1"/>
  <c r="Y50" i="25" s="1"/>
  <c r="G50" i="25"/>
  <c r="CF50" i="6" s="1"/>
  <c r="AA20" i="25"/>
  <c r="Z20" i="25" s="1"/>
  <c r="Y20" i="25" s="1"/>
  <c r="G20" i="25"/>
  <c r="CF20" i="6" s="1"/>
  <c r="H20" i="25"/>
  <c r="G26" i="25"/>
  <c r="CF26" i="6" s="1"/>
  <c r="H26" i="25"/>
  <c r="AA26" i="25"/>
  <c r="Z26" i="25" s="1"/>
  <c r="Y26" i="25" s="1"/>
  <c r="G37" i="25"/>
  <c r="CF37" i="6" s="1"/>
  <c r="H37" i="25"/>
  <c r="AA37" i="25"/>
  <c r="Z37" i="25" s="1"/>
  <c r="Y37" i="25" s="1"/>
  <c r="G53" i="25"/>
  <c r="CF53" i="6" s="1"/>
  <c r="H53" i="25"/>
  <c r="AA53" i="25"/>
  <c r="Z53" i="25" s="1"/>
  <c r="Y53" i="25" s="1"/>
  <c r="H61" i="25"/>
  <c r="G61" i="25"/>
  <c r="CF61" i="6" s="1"/>
  <c r="AA61" i="25"/>
  <c r="Z61" i="25" s="1"/>
  <c r="Y61" i="25" s="1"/>
  <c r="H77" i="25"/>
  <c r="G77" i="25"/>
  <c r="CF77" i="6" s="1"/>
  <c r="AA77" i="25"/>
  <c r="Z77" i="25" s="1"/>
  <c r="Y77" i="25" s="1"/>
  <c r="G101" i="25"/>
  <c r="CF101" i="6" s="1"/>
  <c r="H101" i="25"/>
  <c r="AA101" i="25"/>
  <c r="Z101" i="25" s="1"/>
  <c r="Y101" i="25" s="1"/>
  <c r="H72" i="25"/>
  <c r="G72" i="25"/>
  <c r="CF72" i="6" s="1"/>
  <c r="AA72" i="25"/>
  <c r="Z72" i="25" s="1"/>
  <c r="Y72" i="25" s="1"/>
  <c r="H56" i="25"/>
  <c r="G56" i="25"/>
  <c r="CF56" i="6" s="1"/>
  <c r="AA56" i="25"/>
  <c r="Z56" i="25" s="1"/>
  <c r="Y56" i="25" s="1"/>
  <c r="H134" i="25"/>
  <c r="H210" i="24"/>
  <c r="G210" i="24"/>
  <c r="CE210" i="6" s="1"/>
  <c r="AA210" i="24"/>
  <c r="Z210" i="24" s="1"/>
  <c r="Y210" i="24" s="1"/>
  <c r="I325" i="25"/>
  <c r="J325" i="25"/>
  <c r="H181" i="25"/>
  <c r="J132" i="25"/>
  <c r="I132" i="25"/>
  <c r="G379" i="24"/>
  <c r="CE379" i="6" s="1"/>
  <c r="AA379" i="24"/>
  <c r="Z379" i="24" s="1"/>
  <c r="Y379" i="24" s="1"/>
  <c r="H165" i="25"/>
  <c r="G165" i="25"/>
  <c r="CF165" i="6" s="1"/>
  <c r="G293" i="25"/>
  <c r="CF293" i="6" s="1"/>
  <c r="H293" i="25"/>
  <c r="H110" i="25"/>
  <c r="G110" i="25"/>
  <c r="CF110" i="6" s="1"/>
  <c r="G189" i="25"/>
  <c r="CF189" i="6" s="1"/>
  <c r="AA189" i="25"/>
  <c r="Z189" i="25" s="1"/>
  <c r="Y189" i="25" s="1"/>
  <c r="H317" i="25"/>
  <c r="G317" i="25"/>
  <c r="CF317" i="6" s="1"/>
  <c r="G349" i="25"/>
  <c r="CF349" i="6" s="1"/>
  <c r="AA349" i="25"/>
  <c r="Z349" i="25" s="1"/>
  <c r="Y349" i="25" s="1"/>
  <c r="H349" i="25"/>
  <c r="W241" i="25"/>
  <c r="D241" i="25"/>
  <c r="E241" i="25" s="1"/>
  <c r="F241" i="25" s="1"/>
  <c r="G177" i="25"/>
  <c r="CF177" i="6" s="1"/>
  <c r="AA177" i="25"/>
  <c r="Z177" i="25" s="1"/>
  <c r="Y177" i="25" s="1"/>
  <c r="H177" i="25"/>
  <c r="D44" i="19"/>
  <c r="D33" i="19" s="1"/>
  <c r="V379" i="25"/>
  <c r="H347" i="25"/>
  <c r="AA347" i="25"/>
  <c r="Z347" i="25" s="1"/>
  <c r="Y347" i="25" s="1"/>
  <c r="G347" i="25"/>
  <c r="CF347" i="6" s="1"/>
  <c r="G267" i="25"/>
  <c r="CF267" i="6" s="1"/>
  <c r="H267" i="25"/>
  <c r="AA267" i="25"/>
  <c r="Z267" i="25" s="1"/>
  <c r="Y267" i="25" s="1"/>
  <c r="H219" i="25"/>
  <c r="AA219" i="25"/>
  <c r="Z219" i="25" s="1"/>
  <c r="Y219" i="25" s="1"/>
  <c r="G219" i="25"/>
  <c r="CF219" i="6" s="1"/>
  <c r="G203" i="25"/>
  <c r="CF203" i="6" s="1"/>
  <c r="AA203" i="25"/>
  <c r="Z203" i="25" s="1"/>
  <c r="Y203" i="25" s="1"/>
  <c r="H203" i="25"/>
  <c r="G187" i="25"/>
  <c r="CF187" i="6" s="1"/>
  <c r="AA187" i="25"/>
  <c r="Z187" i="25" s="1"/>
  <c r="Y187" i="25" s="1"/>
  <c r="H187" i="25"/>
  <c r="G155" i="25"/>
  <c r="CF155" i="6" s="1"/>
  <c r="AA155" i="25"/>
  <c r="Z155" i="25" s="1"/>
  <c r="Y155" i="25" s="1"/>
  <c r="H155" i="25"/>
  <c r="E70" i="19"/>
  <c r="G127" i="25"/>
  <c r="CF127" i="6" s="1"/>
  <c r="H127" i="25"/>
  <c r="AA127" i="25"/>
  <c r="Z127" i="25" s="1"/>
  <c r="Y127" i="25" s="1"/>
  <c r="F70" i="19"/>
  <c r="AA376" i="25"/>
  <c r="Z376" i="25" s="1"/>
  <c r="Y376" i="25" s="1"/>
  <c r="H376" i="25"/>
  <c r="G376" i="25"/>
  <c r="CF376" i="6" s="1"/>
  <c r="G368" i="25"/>
  <c r="CF368" i="6" s="1"/>
  <c r="H368" i="25"/>
  <c r="AA368" i="25"/>
  <c r="Z368" i="25" s="1"/>
  <c r="Y368" i="25" s="1"/>
  <c r="G360" i="25"/>
  <c r="CF360" i="6" s="1"/>
  <c r="AA360" i="25"/>
  <c r="Z360" i="25" s="1"/>
  <c r="Y360" i="25" s="1"/>
  <c r="H360" i="25"/>
  <c r="G344" i="25"/>
  <c r="CF344" i="6" s="1"/>
  <c r="H344" i="25"/>
  <c r="H336" i="25"/>
  <c r="AA336" i="25"/>
  <c r="Z336" i="25" s="1"/>
  <c r="Y336" i="25" s="1"/>
  <c r="G336" i="25"/>
  <c r="CF336" i="6" s="1"/>
  <c r="G328" i="25"/>
  <c r="CF328" i="6" s="1"/>
  <c r="AA328" i="25"/>
  <c r="Z328" i="25" s="1"/>
  <c r="Y328" i="25" s="1"/>
  <c r="H328" i="25"/>
  <c r="H320" i="25"/>
  <c r="G320" i="25"/>
  <c r="CF320" i="6" s="1"/>
  <c r="AA320" i="25"/>
  <c r="Z320" i="25" s="1"/>
  <c r="Y320" i="25" s="1"/>
  <c r="H312" i="25"/>
  <c r="G312" i="25"/>
  <c r="CF312" i="6" s="1"/>
  <c r="AA312" i="25"/>
  <c r="Z312" i="25" s="1"/>
  <c r="Y312" i="25" s="1"/>
  <c r="K58" i="19"/>
  <c r="K59" i="19"/>
  <c r="K57" i="19"/>
  <c r="H256" i="25"/>
  <c r="AA256" i="25"/>
  <c r="Z256" i="25" s="1"/>
  <c r="Y256" i="25" s="1"/>
  <c r="G256" i="25"/>
  <c r="CF256" i="6" s="1"/>
  <c r="G224" i="25"/>
  <c r="CF224" i="6" s="1"/>
  <c r="AA224" i="25"/>
  <c r="Z224" i="25" s="1"/>
  <c r="Y224" i="25" s="1"/>
  <c r="H224" i="25"/>
  <c r="AA208" i="25"/>
  <c r="Z208" i="25" s="1"/>
  <c r="Y208" i="25" s="1"/>
  <c r="G208" i="25"/>
  <c r="CF208" i="6" s="1"/>
  <c r="H208" i="25"/>
  <c r="G200" i="25"/>
  <c r="CF200" i="6" s="1"/>
  <c r="AA200" i="25"/>
  <c r="Z200" i="25" s="1"/>
  <c r="Y200" i="25" s="1"/>
  <c r="H200" i="25"/>
  <c r="G192" i="25"/>
  <c r="CF192" i="6" s="1"/>
  <c r="AA192" i="25"/>
  <c r="Z192" i="25" s="1"/>
  <c r="Y192" i="25" s="1"/>
  <c r="H192" i="25"/>
  <c r="G168" i="25"/>
  <c r="CF168" i="6" s="1"/>
  <c r="H168" i="25"/>
  <c r="AA168" i="25"/>
  <c r="Z168" i="25" s="1"/>
  <c r="Y168" i="25" s="1"/>
  <c r="G144" i="25"/>
  <c r="CF144" i="6" s="1"/>
  <c r="H144" i="25"/>
  <c r="AA144" i="25"/>
  <c r="Z144" i="25" s="1"/>
  <c r="Y144" i="25" s="1"/>
  <c r="G345" i="25"/>
  <c r="CF345" i="6" s="1"/>
  <c r="H345" i="25"/>
  <c r="AA345" i="25"/>
  <c r="Z345" i="25" s="1"/>
  <c r="Y345" i="25" s="1"/>
  <c r="G313" i="25"/>
  <c r="CF313" i="6" s="1"/>
  <c r="H313" i="25"/>
  <c r="H217" i="25"/>
  <c r="G217" i="25"/>
  <c r="CF217" i="6" s="1"/>
  <c r="G153" i="25"/>
  <c r="CF153" i="6" s="1"/>
  <c r="H153" i="25"/>
  <c r="G375" i="25"/>
  <c r="CF375" i="6" s="1"/>
  <c r="H375" i="25"/>
  <c r="H343" i="25"/>
  <c r="AA343" i="25"/>
  <c r="Z343" i="25" s="1"/>
  <c r="Y343" i="25" s="1"/>
  <c r="G343" i="25"/>
  <c r="CF343" i="6" s="1"/>
  <c r="G263" i="25"/>
  <c r="CF263" i="6" s="1"/>
  <c r="H263" i="25"/>
  <c r="G247" i="25"/>
  <c r="CF247" i="6" s="1"/>
  <c r="AA247" i="25"/>
  <c r="Z247" i="25" s="1"/>
  <c r="Y247" i="25" s="1"/>
  <c r="H247" i="25"/>
  <c r="G215" i="25"/>
  <c r="CF215" i="6" s="1"/>
  <c r="H215" i="25"/>
  <c r="G167" i="25"/>
  <c r="CF167" i="6" s="1"/>
  <c r="AA167" i="25"/>
  <c r="Z167" i="25" s="1"/>
  <c r="Y167" i="25" s="1"/>
  <c r="H167" i="25"/>
  <c r="G374" i="25"/>
  <c r="CF374" i="6" s="1"/>
  <c r="AA374" i="25"/>
  <c r="Z374" i="25" s="1"/>
  <c r="Y374" i="25" s="1"/>
  <c r="H374" i="25"/>
  <c r="G366" i="25"/>
  <c r="CF366" i="6" s="1"/>
  <c r="AA366" i="25"/>
  <c r="Z366" i="25" s="1"/>
  <c r="Y366" i="25" s="1"/>
  <c r="H366" i="25"/>
  <c r="G358" i="25"/>
  <c r="CF358" i="6" s="1"/>
  <c r="AA358" i="25"/>
  <c r="Z358" i="25" s="1"/>
  <c r="Y358" i="25" s="1"/>
  <c r="H358" i="25"/>
  <c r="H318" i="25"/>
  <c r="G318" i="25"/>
  <c r="CF318" i="6" s="1"/>
  <c r="AA318" i="25"/>
  <c r="Z318" i="25" s="1"/>
  <c r="Y318" i="25" s="1"/>
  <c r="G310" i="25"/>
  <c r="CF310" i="6" s="1"/>
  <c r="H310" i="25"/>
  <c r="AA310" i="25"/>
  <c r="Z310" i="25" s="1"/>
  <c r="Y310" i="25" s="1"/>
  <c r="W302" i="25"/>
  <c r="D302" i="25"/>
  <c r="E302" i="25" s="1"/>
  <c r="F302" i="25" s="1"/>
  <c r="G294" i="25"/>
  <c r="CF294" i="6" s="1"/>
  <c r="AA294" i="25"/>
  <c r="Z294" i="25" s="1"/>
  <c r="Y294" i="25" s="1"/>
  <c r="H294" i="25"/>
  <c r="G270" i="25"/>
  <c r="CF270" i="6" s="1"/>
  <c r="AA270" i="25"/>
  <c r="Z270" i="25" s="1"/>
  <c r="Y270" i="25" s="1"/>
  <c r="H270" i="25"/>
  <c r="H262" i="25"/>
  <c r="AA262" i="25"/>
  <c r="Z262" i="25" s="1"/>
  <c r="Y262" i="25" s="1"/>
  <c r="G262" i="25"/>
  <c r="CF262" i="6" s="1"/>
  <c r="G254" i="25"/>
  <c r="CF254" i="6" s="1"/>
  <c r="AA254" i="25"/>
  <c r="Z254" i="25" s="1"/>
  <c r="Y254" i="25" s="1"/>
  <c r="H254" i="25"/>
  <c r="G246" i="25"/>
  <c r="CF246" i="6" s="1"/>
  <c r="AA246" i="25"/>
  <c r="Z246" i="25" s="1"/>
  <c r="Y246" i="25" s="1"/>
  <c r="H246" i="25"/>
  <c r="H238" i="25"/>
  <c r="G238" i="25"/>
  <c r="CF238" i="6" s="1"/>
  <c r="AA238" i="25"/>
  <c r="Z238" i="25" s="1"/>
  <c r="Y238" i="25" s="1"/>
  <c r="G230" i="25"/>
  <c r="CF230" i="6" s="1"/>
  <c r="AA230" i="25"/>
  <c r="Z230" i="25" s="1"/>
  <c r="Y230" i="25" s="1"/>
  <c r="H230" i="25"/>
  <c r="G214" i="25"/>
  <c r="CF214" i="6" s="1"/>
  <c r="H214" i="25"/>
  <c r="AA214" i="25"/>
  <c r="Z214" i="25" s="1"/>
  <c r="Y214" i="25" s="1"/>
  <c r="AA206" i="25"/>
  <c r="Z206" i="25" s="1"/>
  <c r="Y206" i="25" s="1"/>
  <c r="G206" i="25"/>
  <c r="CF206" i="6" s="1"/>
  <c r="H206" i="25"/>
  <c r="G182" i="25"/>
  <c r="CF182" i="6" s="1"/>
  <c r="AA182" i="25"/>
  <c r="Z182" i="25" s="1"/>
  <c r="Y182" i="25" s="1"/>
  <c r="G174" i="25"/>
  <c r="CF174" i="6" s="1"/>
  <c r="AA174" i="25"/>
  <c r="Z174" i="25" s="1"/>
  <c r="Y174" i="25" s="1"/>
  <c r="H174" i="25"/>
  <c r="G70" i="19"/>
  <c r="G158" i="25"/>
  <c r="CF158" i="6" s="1"/>
  <c r="AA158" i="25"/>
  <c r="Z158" i="25" s="1"/>
  <c r="Y158" i="25" s="1"/>
  <c r="H158" i="25"/>
  <c r="G150" i="25"/>
  <c r="CF150" i="6" s="1"/>
  <c r="AA150" i="25"/>
  <c r="Z150" i="25" s="1"/>
  <c r="Y150" i="25" s="1"/>
  <c r="H150" i="25"/>
  <c r="G142" i="25"/>
  <c r="CF142" i="6" s="1"/>
  <c r="AA142" i="25"/>
  <c r="Z142" i="25" s="1"/>
  <c r="Y142" i="25" s="1"/>
  <c r="H142" i="25"/>
  <c r="AA128" i="25"/>
  <c r="Z128" i="25" s="1"/>
  <c r="Y128" i="25" s="1"/>
  <c r="G128" i="25"/>
  <c r="CF128" i="6" s="1"/>
  <c r="H128" i="25"/>
  <c r="H112" i="25"/>
  <c r="AA112" i="25"/>
  <c r="Z112" i="25" s="1"/>
  <c r="Y112" i="25" s="1"/>
  <c r="G112" i="25"/>
  <c r="CF112" i="6" s="1"/>
  <c r="H291" i="25"/>
  <c r="H218" i="25"/>
  <c r="J73" i="25"/>
  <c r="H38" i="25"/>
  <c r="H62" i="25"/>
  <c r="AI7" i="7"/>
  <c r="F7" i="6"/>
  <c r="R382" i="24"/>
  <c r="P15" i="24"/>
  <c r="R381" i="24"/>
  <c r="R383" i="24"/>
  <c r="G30" i="25"/>
  <c r="CF30" i="6" s="1"/>
  <c r="AA30" i="25"/>
  <c r="Z30" i="25" s="1"/>
  <c r="Y30" i="25" s="1"/>
  <c r="AA46" i="25"/>
  <c r="Z46" i="25" s="1"/>
  <c r="Y46" i="25" s="1"/>
  <c r="G46" i="25"/>
  <c r="CF46" i="6" s="1"/>
  <c r="H46" i="25"/>
  <c r="G16" i="25"/>
  <c r="CF16" i="6" s="1"/>
  <c r="AA16" i="25"/>
  <c r="Z16" i="25" s="1"/>
  <c r="Y16" i="25" s="1"/>
  <c r="H16" i="25"/>
  <c r="G54" i="25"/>
  <c r="CF54" i="6" s="1"/>
  <c r="H54" i="25"/>
  <c r="AA54" i="25"/>
  <c r="Z54" i="25" s="1"/>
  <c r="Y54" i="25" s="1"/>
  <c r="G58" i="25"/>
  <c r="CF58" i="6" s="1"/>
  <c r="AA58" i="25"/>
  <c r="Z58" i="25" s="1"/>
  <c r="Y58" i="25" s="1"/>
  <c r="H58" i="25"/>
  <c r="AA23" i="25"/>
  <c r="Z23" i="25" s="1"/>
  <c r="Y23" i="25" s="1"/>
  <c r="G23" i="25"/>
  <c r="CF23" i="6" s="1"/>
  <c r="H23" i="25"/>
  <c r="G31" i="25"/>
  <c r="CF31" i="6" s="1"/>
  <c r="AA31" i="25"/>
  <c r="Z31" i="25" s="1"/>
  <c r="Y31" i="25" s="1"/>
  <c r="H31" i="25"/>
  <c r="G39" i="25"/>
  <c r="CF39" i="6" s="1"/>
  <c r="H39" i="25"/>
  <c r="AA39" i="25"/>
  <c r="Z39" i="25" s="1"/>
  <c r="Y39" i="25" s="1"/>
  <c r="H47" i="25"/>
  <c r="G47" i="25"/>
  <c r="CF47" i="6" s="1"/>
  <c r="AA47" i="25"/>
  <c r="Z47" i="25" s="1"/>
  <c r="Y47" i="25" s="1"/>
  <c r="G79" i="25"/>
  <c r="CF79" i="6" s="1"/>
  <c r="AA79" i="25"/>
  <c r="Z79" i="25" s="1"/>
  <c r="Y79" i="25" s="1"/>
  <c r="H79" i="25"/>
  <c r="G87" i="25"/>
  <c r="CF87" i="6" s="1"/>
  <c r="AA87" i="25"/>
  <c r="Z87" i="25" s="1"/>
  <c r="Y87" i="25" s="1"/>
  <c r="H87" i="25"/>
  <c r="H103" i="25"/>
  <c r="G103" i="25"/>
  <c r="CF103" i="6" s="1"/>
  <c r="AA103" i="25"/>
  <c r="Z103" i="25" s="1"/>
  <c r="Y103" i="25" s="1"/>
  <c r="G92" i="25"/>
  <c r="CF92" i="6" s="1"/>
  <c r="AA92" i="25"/>
  <c r="Z92" i="25" s="1"/>
  <c r="Y92" i="25" s="1"/>
  <c r="H92" i="25"/>
  <c r="G76" i="25"/>
  <c r="CF76" i="6" s="1"/>
  <c r="H76" i="25"/>
  <c r="AA76" i="25"/>
  <c r="Z76" i="25" s="1"/>
  <c r="Y76" i="25" s="1"/>
  <c r="C70" i="19"/>
  <c r="G28" i="25"/>
  <c r="CF28" i="6" s="1"/>
  <c r="H28" i="25"/>
  <c r="AA28" i="25"/>
  <c r="Z28" i="25" s="1"/>
  <c r="Y28" i="25" s="1"/>
  <c r="AA330" i="25"/>
  <c r="Z330" i="25" s="1"/>
  <c r="Y330" i="25" s="1"/>
  <c r="AA322" i="25"/>
  <c r="Z322" i="25" s="1"/>
  <c r="Y322" i="25" s="1"/>
  <c r="AA306" i="25"/>
  <c r="Z306" i="25" s="1"/>
  <c r="Y306" i="25" s="1"/>
  <c r="AA282" i="25"/>
  <c r="Z282" i="25" s="1"/>
  <c r="Y282" i="25" s="1"/>
  <c r="AA266" i="25"/>
  <c r="Z266" i="25" s="1"/>
  <c r="Y266" i="25" s="1"/>
  <c r="AA218" i="25"/>
  <c r="Z218" i="25" s="1"/>
  <c r="Y218" i="25" s="1"/>
  <c r="AA162" i="25"/>
  <c r="Z162" i="25" s="1"/>
  <c r="Y162" i="25" s="1"/>
  <c r="AA146" i="25"/>
  <c r="Z146" i="25" s="1"/>
  <c r="Y146" i="25" s="1"/>
  <c r="AA138" i="25"/>
  <c r="Z138" i="25" s="1"/>
  <c r="Y138" i="25" s="1"/>
  <c r="AA122" i="25"/>
  <c r="Z122" i="25" s="1"/>
  <c r="Y122" i="25" s="1"/>
  <c r="AA106" i="25"/>
  <c r="Z106" i="25" s="1"/>
  <c r="Y106" i="25" s="1"/>
  <c r="AA375" i="25"/>
  <c r="Z375" i="25" s="1"/>
  <c r="Y375" i="25" s="1"/>
  <c r="AA359" i="25"/>
  <c r="Z359" i="25" s="1"/>
  <c r="Y359" i="25" s="1"/>
  <c r="AA279" i="25"/>
  <c r="Z279" i="25" s="1"/>
  <c r="Y279" i="25" s="1"/>
  <c r="AA271" i="25"/>
  <c r="Z271" i="25" s="1"/>
  <c r="Y271" i="25" s="1"/>
  <c r="AA263" i="25"/>
  <c r="Z263" i="25" s="1"/>
  <c r="Y263" i="25" s="1"/>
  <c r="AA239" i="25"/>
  <c r="Z239" i="25" s="1"/>
  <c r="Y239" i="25" s="1"/>
  <c r="AA215" i="25"/>
  <c r="Z215" i="25" s="1"/>
  <c r="Y215" i="25" s="1"/>
  <c r="AA199" i="25"/>
  <c r="Z199" i="25" s="1"/>
  <c r="Y199" i="25" s="1"/>
  <c r="AA183" i="25"/>
  <c r="Z183" i="25" s="1"/>
  <c r="Y183" i="25" s="1"/>
  <c r="AA143" i="25"/>
  <c r="Z143" i="25" s="1"/>
  <c r="Y143" i="25" s="1"/>
  <c r="AA352" i="25"/>
  <c r="Z352" i="25" s="1"/>
  <c r="Y352" i="25" s="1"/>
  <c r="AA344" i="25"/>
  <c r="Z344" i="25" s="1"/>
  <c r="Y344" i="25" s="1"/>
  <c r="AA304" i="25"/>
  <c r="Z304" i="25" s="1"/>
  <c r="Y304" i="25" s="1"/>
  <c r="AA296" i="25"/>
  <c r="Z296" i="25" s="1"/>
  <c r="Y296" i="25" s="1"/>
  <c r="AA280" i="25"/>
  <c r="Z280" i="25" s="1"/>
  <c r="Y280" i="25" s="1"/>
  <c r="AA264" i="25"/>
  <c r="Z264" i="25" s="1"/>
  <c r="Y264" i="25" s="1"/>
  <c r="AA240" i="25"/>
  <c r="Z240" i="25" s="1"/>
  <c r="Y240" i="25" s="1"/>
  <c r="AA232" i="25"/>
  <c r="Z232" i="25" s="1"/>
  <c r="Y232" i="25" s="1"/>
  <c r="AA184" i="25"/>
  <c r="Z184" i="25" s="1"/>
  <c r="Y184" i="25" s="1"/>
  <c r="AA176" i="25"/>
  <c r="Z176" i="25" s="1"/>
  <c r="Y176" i="25" s="1"/>
  <c r="AA160" i="25"/>
  <c r="Z160" i="25" s="1"/>
  <c r="Y160" i="25" s="1"/>
  <c r="AA152" i="25"/>
  <c r="Z152" i="25" s="1"/>
  <c r="Y152" i="25" s="1"/>
  <c r="AH104" i="25"/>
  <c r="AI382" i="25"/>
  <c r="AI381" i="25"/>
  <c r="AI383" i="25"/>
  <c r="AA373" i="25"/>
  <c r="Z373" i="25" s="1"/>
  <c r="Y373" i="25" s="1"/>
  <c r="AA357" i="25"/>
  <c r="Z357" i="25" s="1"/>
  <c r="Y357" i="25" s="1"/>
  <c r="AA341" i="25"/>
  <c r="Z341" i="25" s="1"/>
  <c r="Y341" i="25" s="1"/>
  <c r="AA325" i="25"/>
  <c r="Z325" i="25" s="1"/>
  <c r="Y325" i="25" s="1"/>
  <c r="AA317" i="25"/>
  <c r="Z317" i="25" s="1"/>
  <c r="Y317" i="25" s="1"/>
  <c r="AA309" i="25"/>
  <c r="Z309" i="25" s="1"/>
  <c r="Y309" i="25" s="1"/>
  <c r="AA301" i="25"/>
  <c r="Z301" i="25" s="1"/>
  <c r="Y301" i="25" s="1"/>
  <c r="AA293" i="25"/>
  <c r="Z293" i="25" s="1"/>
  <c r="Y293" i="25" s="1"/>
  <c r="AA285" i="25"/>
  <c r="Z285" i="25" s="1"/>
  <c r="Y285" i="25" s="1"/>
  <c r="AA277" i="25"/>
  <c r="Z277" i="25" s="1"/>
  <c r="Y277" i="25" s="1"/>
  <c r="AA269" i="25"/>
  <c r="Z269" i="25" s="1"/>
  <c r="Y269" i="25" s="1"/>
  <c r="AA245" i="25"/>
  <c r="Z245" i="25" s="1"/>
  <c r="Y245" i="25" s="1"/>
  <c r="AA237" i="25"/>
  <c r="Z237" i="25" s="1"/>
  <c r="Y237" i="25" s="1"/>
  <c r="AA229" i="25"/>
  <c r="Z229" i="25" s="1"/>
  <c r="Y229" i="25" s="1"/>
  <c r="AA221" i="25"/>
  <c r="Z221" i="25" s="1"/>
  <c r="Y221" i="25" s="1"/>
  <c r="AA213" i="25"/>
  <c r="Z213" i="25" s="1"/>
  <c r="Y213" i="25" s="1"/>
  <c r="AA205" i="25"/>
  <c r="Z205" i="25" s="1"/>
  <c r="Y205" i="25" s="1"/>
  <c r="AA197" i="25"/>
  <c r="Z197" i="25" s="1"/>
  <c r="Y197" i="25" s="1"/>
  <c r="AA181" i="25"/>
  <c r="Z181" i="25" s="1"/>
  <c r="Y181" i="25" s="1"/>
  <c r="AA173" i="25"/>
  <c r="Z173" i="25" s="1"/>
  <c r="Y173" i="25" s="1"/>
  <c r="AA165" i="25"/>
  <c r="Z165" i="25" s="1"/>
  <c r="Y165" i="25" s="1"/>
  <c r="AA157" i="25"/>
  <c r="Z157" i="25" s="1"/>
  <c r="Y157" i="25" s="1"/>
  <c r="AA141" i="25"/>
  <c r="Z141" i="25" s="1"/>
  <c r="Y141" i="25" s="1"/>
  <c r="AA125" i="25"/>
  <c r="Z125" i="25" s="1"/>
  <c r="Y125" i="25" s="1"/>
  <c r="G70" i="25"/>
  <c r="CF70" i="6" s="1"/>
  <c r="AA70" i="25"/>
  <c r="Z70" i="25" s="1"/>
  <c r="Y70" i="25" s="1"/>
  <c r="G66" i="25"/>
  <c r="CF66" i="6" s="1"/>
  <c r="H66" i="25"/>
  <c r="AA66" i="25"/>
  <c r="Z66" i="25" s="1"/>
  <c r="Y66" i="25" s="1"/>
  <c r="H25" i="25"/>
  <c r="G25" i="25"/>
  <c r="CF25" i="6" s="1"/>
  <c r="AA25" i="25"/>
  <c r="Z25" i="25" s="1"/>
  <c r="Y25" i="25" s="1"/>
  <c r="G65" i="25"/>
  <c r="CF65" i="6" s="1"/>
  <c r="H65" i="25"/>
  <c r="AA65" i="25"/>
  <c r="Z65" i="25" s="1"/>
  <c r="Y65" i="25" s="1"/>
  <c r="G81" i="25"/>
  <c r="CF81" i="6" s="1"/>
  <c r="AA81" i="25"/>
  <c r="Z81" i="25" s="1"/>
  <c r="Y81" i="25" s="1"/>
  <c r="H81" i="25"/>
  <c r="H89" i="25"/>
  <c r="AA89" i="25"/>
  <c r="Z89" i="25" s="1"/>
  <c r="Y89" i="25" s="1"/>
  <c r="G89" i="25"/>
  <c r="CF89" i="6" s="1"/>
  <c r="G97" i="25"/>
  <c r="CF97" i="6" s="1"/>
  <c r="AA97" i="25"/>
  <c r="Z97" i="25" s="1"/>
  <c r="Y97" i="25" s="1"/>
  <c r="H97" i="25"/>
  <c r="H96" i="25"/>
  <c r="G96" i="25"/>
  <c r="CF96" i="6" s="1"/>
  <c r="AA96" i="25"/>
  <c r="Z96" i="25" s="1"/>
  <c r="Y96" i="25" s="1"/>
  <c r="G80" i="25"/>
  <c r="CF80" i="6" s="1"/>
  <c r="AA80" i="25"/>
  <c r="Z80" i="25" s="1"/>
  <c r="Y80" i="25" s="1"/>
  <c r="H80" i="25"/>
  <c r="G64" i="25"/>
  <c r="CF64" i="6" s="1"/>
  <c r="H64" i="25"/>
  <c r="AA64" i="25"/>
  <c r="Z64" i="25" s="1"/>
  <c r="Y64" i="25" s="1"/>
  <c r="H48" i="25"/>
  <c r="AA48" i="25"/>
  <c r="Z48" i="25" s="1"/>
  <c r="Y48" i="25" s="1"/>
  <c r="G48" i="25"/>
  <c r="CF48" i="6" s="1"/>
  <c r="AA32" i="25"/>
  <c r="Z32" i="25" s="1"/>
  <c r="Y32" i="25" s="1"/>
  <c r="G32" i="25"/>
  <c r="CF32" i="6" s="1"/>
  <c r="H32" i="25"/>
  <c r="V383" i="23"/>
  <c r="V382" i="23"/>
  <c r="V381" i="23"/>
  <c r="B68" i="19"/>
  <c r="N68" i="19" s="1"/>
  <c r="AJ6" i="23"/>
  <c r="H74" i="25"/>
  <c r="AK7" i="23"/>
  <c r="AM7" i="22"/>
  <c r="AF15" i="25"/>
  <c r="J331" i="25" l="1"/>
  <c r="J235" i="25"/>
  <c r="I342" i="25"/>
  <c r="J251" i="25"/>
  <c r="I137" i="25"/>
  <c r="J305" i="25"/>
  <c r="I285" i="25"/>
  <c r="I113" i="25"/>
  <c r="I311" i="25"/>
  <c r="I34" i="25"/>
  <c r="I57" i="25"/>
  <c r="I341" i="25"/>
  <c r="J352" i="25"/>
  <c r="J264" i="25"/>
  <c r="J33" i="25"/>
  <c r="I229" i="25"/>
  <c r="J357" i="25"/>
  <c r="J329" i="24"/>
  <c r="I329" i="24"/>
  <c r="H329" i="25" s="1"/>
  <c r="E16" i="19"/>
  <c r="H39" i="19"/>
  <c r="I39" i="19"/>
  <c r="J30" i="25"/>
  <c r="I125" i="25"/>
  <c r="AF382" i="24"/>
  <c r="AD15" i="24"/>
  <c r="AF383" i="24"/>
  <c r="AF381" i="24"/>
  <c r="I90" i="25"/>
  <c r="J359" i="25"/>
  <c r="I232" i="25"/>
  <c r="J78" i="25"/>
  <c r="J98" i="25"/>
  <c r="J58" i="19"/>
  <c r="I70" i="25"/>
  <c r="J123" i="25"/>
  <c r="J157" i="25"/>
  <c r="I58" i="19"/>
  <c r="J296" i="25"/>
  <c r="J60" i="24"/>
  <c r="J121" i="25"/>
  <c r="H59" i="19"/>
  <c r="I57" i="19"/>
  <c r="H258" i="25"/>
  <c r="I258" i="25" s="1"/>
  <c r="J59" i="19"/>
  <c r="J280" i="25"/>
  <c r="J204" i="25"/>
  <c r="H57" i="19"/>
  <c r="J105" i="25"/>
  <c r="I105" i="25"/>
  <c r="J74" i="25"/>
  <c r="I74" i="25"/>
  <c r="I32" i="25"/>
  <c r="J32" i="25"/>
  <c r="I96" i="25"/>
  <c r="J96" i="25"/>
  <c r="J89" i="25"/>
  <c r="I89" i="25"/>
  <c r="AG104" i="25"/>
  <c r="AH381" i="25"/>
  <c r="AH382" i="25"/>
  <c r="AH383" i="25"/>
  <c r="C59" i="19"/>
  <c r="C57" i="19"/>
  <c r="C58" i="19"/>
  <c r="J76" i="25"/>
  <c r="I76" i="25"/>
  <c r="I92" i="25"/>
  <c r="J92" i="25"/>
  <c r="J87" i="25"/>
  <c r="I87" i="25"/>
  <c r="J47" i="25"/>
  <c r="I47" i="25"/>
  <c r="I39" i="25"/>
  <c r="J39" i="25"/>
  <c r="J31" i="25"/>
  <c r="I31" i="25"/>
  <c r="I58" i="25"/>
  <c r="J58" i="25"/>
  <c r="J54" i="25"/>
  <c r="I54" i="25"/>
  <c r="I16" i="25"/>
  <c r="J16" i="25"/>
  <c r="V15" i="24"/>
  <c r="P381" i="24"/>
  <c r="P382" i="24"/>
  <c r="P383" i="24"/>
  <c r="I62" i="25"/>
  <c r="J62" i="25"/>
  <c r="I218" i="25"/>
  <c r="J218" i="25"/>
  <c r="I112" i="25"/>
  <c r="J112" i="25"/>
  <c r="J142" i="25"/>
  <c r="I142" i="25"/>
  <c r="J158" i="25"/>
  <c r="I158" i="25"/>
  <c r="I174" i="25"/>
  <c r="J174" i="25"/>
  <c r="I206" i="25"/>
  <c r="J206" i="25"/>
  <c r="J214" i="25"/>
  <c r="I214" i="25"/>
  <c r="I230" i="25"/>
  <c r="J230" i="25"/>
  <c r="J246" i="25"/>
  <c r="I246" i="25"/>
  <c r="J262" i="25"/>
  <c r="I262" i="25"/>
  <c r="I294" i="25"/>
  <c r="J294" i="25"/>
  <c r="J310" i="25"/>
  <c r="I310" i="25"/>
  <c r="I318" i="25"/>
  <c r="J318" i="25"/>
  <c r="I366" i="25"/>
  <c r="J366" i="25"/>
  <c r="J167" i="25"/>
  <c r="I167" i="25"/>
  <c r="I263" i="25"/>
  <c r="J263" i="25"/>
  <c r="J343" i="25"/>
  <c r="I343" i="25"/>
  <c r="J217" i="25"/>
  <c r="I217" i="25"/>
  <c r="I345" i="25"/>
  <c r="J345" i="25"/>
  <c r="J168" i="25"/>
  <c r="I168" i="25"/>
  <c r="J192" i="25"/>
  <c r="I192" i="25"/>
  <c r="J208" i="25"/>
  <c r="I208" i="25"/>
  <c r="I256" i="25"/>
  <c r="J256" i="25"/>
  <c r="I312" i="25"/>
  <c r="J312" i="25"/>
  <c r="I328" i="25"/>
  <c r="J328" i="25"/>
  <c r="J344" i="25"/>
  <c r="I344" i="25"/>
  <c r="J360" i="25"/>
  <c r="I360" i="25"/>
  <c r="I368" i="25"/>
  <c r="J368" i="25"/>
  <c r="D119" i="25"/>
  <c r="E119" i="25" s="1"/>
  <c r="F119" i="25" s="1"/>
  <c r="W119" i="25"/>
  <c r="J187" i="25"/>
  <c r="I187" i="25"/>
  <c r="J219" i="25"/>
  <c r="I219" i="25"/>
  <c r="I267" i="25"/>
  <c r="J267" i="25"/>
  <c r="J347" i="25"/>
  <c r="I347" i="25"/>
  <c r="G241" i="25"/>
  <c r="CF241" i="6" s="1"/>
  <c r="AA241" i="25"/>
  <c r="Z241" i="25" s="1"/>
  <c r="Y241" i="25" s="1"/>
  <c r="H241" i="25"/>
  <c r="I349" i="25"/>
  <c r="J349" i="25"/>
  <c r="J317" i="25"/>
  <c r="I317" i="25"/>
  <c r="I189" i="25"/>
  <c r="J189" i="25"/>
  <c r="I293" i="25"/>
  <c r="J293" i="25"/>
  <c r="J210" i="24"/>
  <c r="I210" i="24"/>
  <c r="H210" i="25" s="1"/>
  <c r="J56" i="25"/>
  <c r="I56" i="25"/>
  <c r="I61" i="25"/>
  <c r="J61" i="25"/>
  <c r="J53" i="25"/>
  <c r="I53" i="25"/>
  <c r="J26" i="25"/>
  <c r="I26" i="25"/>
  <c r="I20" i="25"/>
  <c r="J20" i="25"/>
  <c r="J102" i="25"/>
  <c r="I102" i="25"/>
  <c r="J68" i="25"/>
  <c r="I68" i="25"/>
  <c r="J83" i="25"/>
  <c r="I83" i="25"/>
  <c r="I59" i="25"/>
  <c r="J59" i="25"/>
  <c r="J43" i="25"/>
  <c r="I43" i="25"/>
  <c r="I22" i="25"/>
  <c r="J22" i="25"/>
  <c r="J21" i="25"/>
  <c r="I21" i="25"/>
  <c r="I42" i="25"/>
  <c r="J42" i="25"/>
  <c r="I88" i="24"/>
  <c r="J88" i="24"/>
  <c r="I353" i="25"/>
  <c r="J353" i="25"/>
  <c r="J234" i="25"/>
  <c r="I234" i="25"/>
  <c r="AA258" i="25"/>
  <c r="Z258" i="25" s="1"/>
  <c r="Y258" i="25" s="1"/>
  <c r="G258" i="25"/>
  <c r="CF258" i="6" s="1"/>
  <c r="I266" i="25"/>
  <c r="J266" i="25"/>
  <c r="J290" i="25"/>
  <c r="I290" i="25"/>
  <c r="I330" i="25"/>
  <c r="J330" i="25"/>
  <c r="I346" i="25"/>
  <c r="J346" i="25"/>
  <c r="I159" i="25"/>
  <c r="J159" i="25"/>
  <c r="J175" i="25"/>
  <c r="I175" i="25"/>
  <c r="J223" i="25"/>
  <c r="I223" i="25"/>
  <c r="I239" i="25"/>
  <c r="J239" i="25"/>
  <c r="J287" i="25"/>
  <c r="I287" i="25"/>
  <c r="G319" i="25"/>
  <c r="CF319" i="6" s="1"/>
  <c r="AA319" i="25"/>
  <c r="Z319" i="25" s="1"/>
  <c r="Y319" i="25" s="1"/>
  <c r="I329" i="25"/>
  <c r="I172" i="25"/>
  <c r="J172" i="25"/>
  <c r="J212" i="25"/>
  <c r="I212" i="25"/>
  <c r="J244" i="25"/>
  <c r="I244" i="25"/>
  <c r="I284" i="25"/>
  <c r="J284" i="25"/>
  <c r="I340" i="25"/>
  <c r="J340" i="25"/>
  <c r="I364" i="25"/>
  <c r="J364" i="25"/>
  <c r="J372" i="25"/>
  <c r="I372" i="25"/>
  <c r="J122" i="25"/>
  <c r="I122" i="25"/>
  <c r="H227" i="25"/>
  <c r="AA227" i="25"/>
  <c r="Z227" i="25" s="1"/>
  <c r="Y227" i="25" s="1"/>
  <c r="G227" i="25"/>
  <c r="CF227" i="6" s="1"/>
  <c r="J275" i="25"/>
  <c r="I275" i="25"/>
  <c r="J161" i="25"/>
  <c r="I161" i="25"/>
  <c r="I301" i="25"/>
  <c r="J301" i="25"/>
  <c r="J269" i="25"/>
  <c r="I269" i="25"/>
  <c r="I173" i="25"/>
  <c r="J173" i="25"/>
  <c r="J245" i="25"/>
  <c r="I245" i="25"/>
  <c r="AA149" i="25"/>
  <c r="Z149" i="25" s="1"/>
  <c r="Y149" i="25" s="1"/>
  <c r="H149" i="25"/>
  <c r="G149" i="25"/>
  <c r="CF149" i="6" s="1"/>
  <c r="AM10" i="22"/>
  <c r="AK10" i="22"/>
  <c r="AK12" i="22" s="1"/>
  <c r="AK13" i="22" s="1"/>
  <c r="F381" i="22"/>
  <c r="F382" i="22"/>
  <c r="F9" i="22"/>
  <c r="H15" i="22"/>
  <c r="G15" i="22"/>
  <c r="CC15" i="6" s="1"/>
  <c r="F383" i="22"/>
  <c r="AA15" i="22"/>
  <c r="AL9" i="22" s="1"/>
  <c r="J131" i="25"/>
  <c r="I131" i="25"/>
  <c r="J49" i="25"/>
  <c r="I49" i="25"/>
  <c r="I41" i="25"/>
  <c r="J41" i="25"/>
  <c r="J19" i="25"/>
  <c r="I19" i="25"/>
  <c r="J71" i="25"/>
  <c r="I71" i="25"/>
  <c r="J63" i="25"/>
  <c r="I63" i="25"/>
  <c r="J55" i="25"/>
  <c r="I55" i="25"/>
  <c r="J27" i="25"/>
  <c r="I27" i="25"/>
  <c r="J94" i="25"/>
  <c r="I94" i="25"/>
  <c r="J50" i="25"/>
  <c r="I50" i="25"/>
  <c r="I152" i="25"/>
  <c r="J152" i="25"/>
  <c r="J163" i="25"/>
  <c r="I163" i="25"/>
  <c r="I278" i="25"/>
  <c r="J278" i="25"/>
  <c r="J286" i="25"/>
  <c r="I286" i="25"/>
  <c r="I129" i="25"/>
  <c r="J129" i="25"/>
  <c r="J130" i="25"/>
  <c r="I130" i="25"/>
  <c r="J183" i="25"/>
  <c r="I183" i="25"/>
  <c r="I199" i="25"/>
  <c r="J199" i="25"/>
  <c r="I281" i="25"/>
  <c r="J281" i="25"/>
  <c r="J377" i="25"/>
  <c r="I377" i="25"/>
  <c r="I176" i="25"/>
  <c r="J176" i="25"/>
  <c r="J304" i="25"/>
  <c r="I304" i="25"/>
  <c r="I111" i="25"/>
  <c r="J111" i="25"/>
  <c r="I171" i="25"/>
  <c r="J171" i="25"/>
  <c r="I315" i="25"/>
  <c r="J315" i="25"/>
  <c r="J273" i="25"/>
  <c r="I273" i="25"/>
  <c r="J253" i="25"/>
  <c r="I253" i="25"/>
  <c r="J197" i="25"/>
  <c r="I197" i="25"/>
  <c r="I322" i="25"/>
  <c r="J322" i="25"/>
  <c r="D12" i="6"/>
  <c r="D13" i="6"/>
  <c r="I40" i="25"/>
  <c r="J40" i="25"/>
  <c r="D57" i="19"/>
  <c r="D59" i="19"/>
  <c r="D58" i="19"/>
  <c r="I93" i="25"/>
  <c r="J93" i="25"/>
  <c r="J69" i="25"/>
  <c r="I69" i="25"/>
  <c r="J91" i="25"/>
  <c r="I91" i="25"/>
  <c r="J35" i="25"/>
  <c r="I35" i="25"/>
  <c r="J17" i="25"/>
  <c r="I17" i="25"/>
  <c r="I205" i="25"/>
  <c r="J205" i="25"/>
  <c r="J309" i="25"/>
  <c r="I309" i="25"/>
  <c r="I348" i="25"/>
  <c r="J348" i="25"/>
  <c r="I289" i="25"/>
  <c r="J289" i="25"/>
  <c r="I371" i="25"/>
  <c r="J371" i="25"/>
  <c r="J104" i="25"/>
  <c r="I104" i="25"/>
  <c r="I120" i="25"/>
  <c r="J120" i="25"/>
  <c r="J136" i="25"/>
  <c r="I136" i="25"/>
  <c r="J226" i="25"/>
  <c r="I226" i="25"/>
  <c r="I250" i="25"/>
  <c r="J250" i="25"/>
  <c r="J274" i="25"/>
  <c r="I274" i="25"/>
  <c r="I354" i="25"/>
  <c r="J354" i="25"/>
  <c r="J370" i="25"/>
  <c r="I370" i="25"/>
  <c r="I133" i="25"/>
  <c r="J133" i="25"/>
  <c r="J109" i="25"/>
  <c r="I109" i="25"/>
  <c r="I114" i="25"/>
  <c r="J114" i="25"/>
  <c r="J143" i="25"/>
  <c r="I143" i="25"/>
  <c r="I207" i="25"/>
  <c r="J207" i="25"/>
  <c r="L57" i="19"/>
  <c r="L59" i="19"/>
  <c r="L58" i="19"/>
  <c r="J335" i="25"/>
  <c r="I335" i="25"/>
  <c r="J351" i="25"/>
  <c r="I351" i="25"/>
  <c r="J367" i="25"/>
  <c r="I367" i="25"/>
  <c r="J124" i="25"/>
  <c r="I124" i="25"/>
  <c r="J156" i="25"/>
  <c r="I156" i="25"/>
  <c r="J164" i="25"/>
  <c r="I164" i="25"/>
  <c r="I236" i="25"/>
  <c r="J236" i="25"/>
  <c r="I260" i="25"/>
  <c r="J260" i="25"/>
  <c r="I276" i="25"/>
  <c r="J276" i="25"/>
  <c r="I300" i="25"/>
  <c r="J300" i="25"/>
  <c r="I356" i="25"/>
  <c r="J356" i="25"/>
  <c r="J115" i="25"/>
  <c r="I115" i="25"/>
  <c r="I307" i="25"/>
  <c r="J307" i="25"/>
  <c r="I321" i="25"/>
  <c r="J321" i="25"/>
  <c r="I365" i="25"/>
  <c r="J365" i="25"/>
  <c r="AA333" i="25"/>
  <c r="Z333" i="25" s="1"/>
  <c r="Y333" i="25" s="1"/>
  <c r="G333" i="25"/>
  <c r="CF333" i="6" s="1"/>
  <c r="H333" i="25"/>
  <c r="I277" i="25"/>
  <c r="J277" i="25"/>
  <c r="AK6" i="23"/>
  <c r="B381" i="23"/>
  <c r="B383" i="23"/>
  <c r="AJ5" i="23"/>
  <c r="D15" i="23"/>
  <c r="AJ8" i="23" s="1"/>
  <c r="H9" i="23"/>
  <c r="B18" i="19" s="1"/>
  <c r="W15" i="23"/>
  <c r="B382" i="23"/>
  <c r="J48" i="25"/>
  <c r="I48" i="25"/>
  <c r="I64" i="25"/>
  <c r="J64" i="25"/>
  <c r="J80" i="25"/>
  <c r="I80" i="25"/>
  <c r="I97" i="25"/>
  <c r="J97" i="25"/>
  <c r="J81" i="25"/>
  <c r="I81" i="25"/>
  <c r="I65" i="25"/>
  <c r="J65" i="25"/>
  <c r="I25" i="25"/>
  <c r="J25" i="25"/>
  <c r="J66" i="25"/>
  <c r="I66" i="25"/>
  <c r="I28" i="25"/>
  <c r="J28" i="25"/>
  <c r="W60" i="25"/>
  <c r="D60" i="25"/>
  <c r="E60" i="25" s="1"/>
  <c r="F60" i="25" s="1"/>
  <c r="J103" i="25"/>
  <c r="I103" i="25"/>
  <c r="J79" i="25"/>
  <c r="I79" i="25"/>
  <c r="I23" i="25"/>
  <c r="J23" i="25"/>
  <c r="J46" i="25"/>
  <c r="I46" i="25"/>
  <c r="I38" i="25"/>
  <c r="J38" i="25"/>
  <c r="J291" i="25"/>
  <c r="I291" i="25"/>
  <c r="J128" i="25"/>
  <c r="I128" i="25"/>
  <c r="J150" i="25"/>
  <c r="I150" i="25"/>
  <c r="G59" i="19"/>
  <c r="G58" i="19"/>
  <c r="G57" i="19"/>
  <c r="I182" i="25"/>
  <c r="J182" i="25"/>
  <c r="J238" i="25"/>
  <c r="I238" i="25"/>
  <c r="J254" i="25"/>
  <c r="I254" i="25"/>
  <c r="I270" i="25"/>
  <c r="J270" i="25"/>
  <c r="AA302" i="25"/>
  <c r="Z302" i="25" s="1"/>
  <c r="Y302" i="25" s="1"/>
  <c r="G302" i="25"/>
  <c r="CF302" i="6" s="1"/>
  <c r="J358" i="25"/>
  <c r="I358" i="25"/>
  <c r="J374" i="25"/>
  <c r="I374" i="25"/>
  <c r="J215" i="25"/>
  <c r="I215" i="25"/>
  <c r="I247" i="25"/>
  <c r="J247" i="25"/>
  <c r="I375" i="25"/>
  <c r="J375" i="25"/>
  <c r="I153" i="25"/>
  <c r="J153" i="25"/>
  <c r="I313" i="25"/>
  <c r="J313" i="25"/>
  <c r="J144" i="25"/>
  <c r="I144" i="25"/>
  <c r="I200" i="25"/>
  <c r="J200" i="25"/>
  <c r="I224" i="25"/>
  <c r="J224" i="25"/>
  <c r="J320" i="25"/>
  <c r="I320" i="25"/>
  <c r="J336" i="25"/>
  <c r="I336" i="25"/>
  <c r="J376" i="25"/>
  <c r="I376" i="25"/>
  <c r="F57" i="19"/>
  <c r="F59" i="19"/>
  <c r="F58" i="19"/>
  <c r="I127" i="25"/>
  <c r="J127" i="25"/>
  <c r="E58" i="19"/>
  <c r="E59" i="19"/>
  <c r="E57" i="19"/>
  <c r="J155" i="25"/>
  <c r="I155" i="25"/>
  <c r="I203" i="25"/>
  <c r="J203" i="25"/>
  <c r="M70" i="19"/>
  <c r="J177" i="25"/>
  <c r="I177" i="25"/>
  <c r="J110" i="25"/>
  <c r="I110" i="25"/>
  <c r="J165" i="25"/>
  <c r="I165" i="25"/>
  <c r="J181" i="25"/>
  <c r="I181" i="25"/>
  <c r="J134" i="25"/>
  <c r="I134" i="25"/>
  <c r="J72" i="25"/>
  <c r="I72" i="25"/>
  <c r="J101" i="25"/>
  <c r="I101" i="25"/>
  <c r="I77" i="25"/>
  <c r="J77" i="25"/>
  <c r="I37" i="25"/>
  <c r="J37" i="25"/>
  <c r="I82" i="25"/>
  <c r="J82" i="25"/>
  <c r="J18" i="25"/>
  <c r="I18" i="25"/>
  <c r="J36" i="25"/>
  <c r="I36" i="25"/>
  <c r="J75" i="25"/>
  <c r="I75" i="25"/>
  <c r="I306" i="25"/>
  <c r="J306" i="25"/>
  <c r="I379" i="22"/>
  <c r="H379" i="23" s="1"/>
  <c r="J379" i="22"/>
  <c r="J225" i="25"/>
  <c r="I225" i="25"/>
  <c r="I363" i="24"/>
  <c r="H363" i="25" s="1"/>
  <c r="J363" i="24"/>
  <c r="J162" i="25"/>
  <c r="I162" i="25"/>
  <c r="J282" i="25"/>
  <c r="I282" i="25"/>
  <c r="J191" i="25"/>
  <c r="I191" i="25"/>
  <c r="I271" i="25"/>
  <c r="J271" i="25"/>
  <c r="J201" i="25"/>
  <c r="I201" i="25"/>
  <c r="I233" i="25"/>
  <c r="J233" i="25"/>
  <c r="J265" i="25"/>
  <c r="I265" i="25"/>
  <c r="J361" i="25"/>
  <c r="I361" i="25"/>
  <c r="I108" i="25"/>
  <c r="J108" i="25"/>
  <c r="I140" i="25"/>
  <c r="J140" i="25"/>
  <c r="AA180" i="25"/>
  <c r="Z180" i="25" s="1"/>
  <c r="Y180" i="25" s="1"/>
  <c r="G180" i="25"/>
  <c r="CF180" i="6" s="1"/>
  <c r="H180" i="25"/>
  <c r="AA196" i="25"/>
  <c r="Z196" i="25" s="1"/>
  <c r="Y196" i="25" s="1"/>
  <c r="G196" i="25"/>
  <c r="CF196" i="6" s="1"/>
  <c r="H196" i="25"/>
  <c r="I220" i="25"/>
  <c r="J220" i="25"/>
  <c r="I228" i="25"/>
  <c r="J228" i="25"/>
  <c r="J308" i="25"/>
  <c r="I308" i="25"/>
  <c r="J147" i="25"/>
  <c r="I147" i="25"/>
  <c r="I118" i="25"/>
  <c r="J118" i="25"/>
  <c r="J193" i="25"/>
  <c r="I193" i="25"/>
  <c r="J257" i="25"/>
  <c r="I257" i="25"/>
  <c r="C17" i="19"/>
  <c r="F41" i="19"/>
  <c r="J380" i="25"/>
  <c r="I380" i="25"/>
  <c r="H319" i="25"/>
  <c r="J302" i="24"/>
  <c r="I302" i="24"/>
  <c r="H302" i="25" s="1"/>
  <c r="J195" i="25"/>
  <c r="I195" i="25"/>
  <c r="S382" i="25"/>
  <c r="S381" i="25"/>
  <c r="S383" i="25"/>
  <c r="R15" i="25"/>
  <c r="J44" i="25"/>
  <c r="I44" i="25"/>
  <c r="J95" i="25"/>
  <c r="I95" i="25"/>
  <c r="J237" i="25"/>
  <c r="I237" i="25"/>
  <c r="J295" i="25"/>
  <c r="I295" i="25"/>
  <c r="J222" i="25"/>
  <c r="I222" i="25"/>
  <c r="I299" i="25"/>
  <c r="J299" i="25"/>
  <c r="G166" i="25"/>
  <c r="CF166" i="6" s="1"/>
  <c r="AA166" i="25"/>
  <c r="Z166" i="25" s="1"/>
  <c r="Y166" i="25" s="1"/>
  <c r="H166" i="25"/>
  <c r="J190" i="25"/>
  <c r="I190" i="25"/>
  <c r="I198" i="25"/>
  <c r="J198" i="25"/>
  <c r="J326" i="25"/>
  <c r="I326" i="25"/>
  <c r="I350" i="25"/>
  <c r="J350" i="25"/>
  <c r="J151" i="25"/>
  <c r="I151" i="25"/>
  <c r="I231" i="25"/>
  <c r="J231" i="25"/>
  <c r="J279" i="25"/>
  <c r="I279" i="25"/>
  <c r="J327" i="25"/>
  <c r="I327" i="25"/>
  <c r="I185" i="25"/>
  <c r="J185" i="25"/>
  <c r="I249" i="25"/>
  <c r="J249" i="25"/>
  <c r="J116" i="25"/>
  <c r="I116" i="25"/>
  <c r="I160" i="25"/>
  <c r="J160" i="25"/>
  <c r="I184" i="25"/>
  <c r="J184" i="25"/>
  <c r="I216" i="25"/>
  <c r="J216" i="25"/>
  <c r="I240" i="25"/>
  <c r="J240" i="25"/>
  <c r="G272" i="25"/>
  <c r="CF272" i="6" s="1"/>
  <c r="H272" i="25"/>
  <c r="AA272" i="25"/>
  <c r="Z272" i="25" s="1"/>
  <c r="Y272" i="25" s="1"/>
  <c r="G288" i="25"/>
  <c r="CF288" i="6" s="1"/>
  <c r="H288" i="25"/>
  <c r="AA288" i="25"/>
  <c r="Z288" i="25" s="1"/>
  <c r="Y288" i="25" s="1"/>
  <c r="G135" i="25"/>
  <c r="CF135" i="6" s="1"/>
  <c r="H135" i="25"/>
  <c r="AA135" i="25"/>
  <c r="Z135" i="25" s="1"/>
  <c r="Y135" i="25" s="1"/>
  <c r="J106" i="25"/>
  <c r="I106" i="25"/>
  <c r="J138" i="25"/>
  <c r="I138" i="25"/>
  <c r="I283" i="25"/>
  <c r="J283" i="25"/>
  <c r="I209" i="25"/>
  <c r="J209" i="25"/>
  <c r="I337" i="25"/>
  <c r="J337" i="25"/>
  <c r="I369" i="25"/>
  <c r="J369" i="25"/>
  <c r="J126" i="25"/>
  <c r="I126" i="25"/>
  <c r="J378" i="25"/>
  <c r="I378" i="25"/>
  <c r="I24" i="25"/>
  <c r="J24" i="25"/>
  <c r="D88" i="25"/>
  <c r="E88" i="25" s="1"/>
  <c r="F88" i="25" s="1"/>
  <c r="W88" i="25"/>
  <c r="J85" i="25"/>
  <c r="I85" i="25"/>
  <c r="J45" i="25"/>
  <c r="I45" i="25"/>
  <c r="G29" i="25"/>
  <c r="CF29" i="6" s="1"/>
  <c r="AA29" i="25"/>
  <c r="Z29" i="25" s="1"/>
  <c r="Y29" i="25" s="1"/>
  <c r="H29" i="25"/>
  <c r="J52" i="25"/>
  <c r="I52" i="25"/>
  <c r="J84" i="25"/>
  <c r="I84" i="25"/>
  <c r="I100" i="25"/>
  <c r="J100" i="25"/>
  <c r="I99" i="25"/>
  <c r="J99" i="25"/>
  <c r="J67" i="25"/>
  <c r="I67" i="25"/>
  <c r="J51" i="25"/>
  <c r="I51" i="25"/>
  <c r="J86" i="25"/>
  <c r="I86" i="25"/>
  <c r="J213" i="25"/>
  <c r="I213" i="25"/>
  <c r="I146" i="25"/>
  <c r="J146" i="25"/>
  <c r="AL6" i="20"/>
  <c r="AL12" i="20" s="1"/>
  <c r="X9" i="20"/>
  <c r="AM6" i="20"/>
  <c r="AM12" i="20" s="1"/>
  <c r="Y381" i="20"/>
  <c r="Y383" i="20"/>
  <c r="Y382" i="20"/>
  <c r="J259" i="25"/>
  <c r="I259" i="25"/>
  <c r="J154" i="25"/>
  <c r="I154" i="25"/>
  <c r="I170" i="25"/>
  <c r="J170" i="25"/>
  <c r="I178" i="25"/>
  <c r="J178" i="25"/>
  <c r="J186" i="25"/>
  <c r="I186" i="25"/>
  <c r="J194" i="25"/>
  <c r="I194" i="25"/>
  <c r="J202" i="25"/>
  <c r="I202" i="25"/>
  <c r="G210" i="25"/>
  <c r="CF210" i="6" s="1"/>
  <c r="AA210" i="25"/>
  <c r="Z210" i="25" s="1"/>
  <c r="Y210" i="25" s="1"/>
  <c r="J242" i="25"/>
  <c r="I242" i="25"/>
  <c r="J298" i="25"/>
  <c r="I298" i="25"/>
  <c r="J314" i="25"/>
  <c r="I314" i="25"/>
  <c r="J338" i="25"/>
  <c r="I338" i="25"/>
  <c r="J362" i="25"/>
  <c r="I362" i="25"/>
  <c r="J117" i="25"/>
  <c r="I117" i="25"/>
  <c r="J255" i="25"/>
  <c r="I255" i="25"/>
  <c r="I303" i="25"/>
  <c r="J303" i="25"/>
  <c r="J169" i="25"/>
  <c r="I169" i="25"/>
  <c r="I297" i="25"/>
  <c r="J297" i="25"/>
  <c r="J148" i="25"/>
  <c r="I148" i="25"/>
  <c r="I188" i="25"/>
  <c r="J188" i="25"/>
  <c r="J252" i="25"/>
  <c r="I252" i="25"/>
  <c r="I268" i="25"/>
  <c r="J268" i="25"/>
  <c r="J292" i="25"/>
  <c r="I292" i="25"/>
  <c r="I316" i="25"/>
  <c r="J316" i="25"/>
  <c r="J324" i="25"/>
  <c r="I324" i="25"/>
  <c r="J332" i="25"/>
  <c r="I332" i="25"/>
  <c r="J139" i="25"/>
  <c r="I139" i="25"/>
  <c r="J107" i="25"/>
  <c r="I107" i="25"/>
  <c r="J179" i="25"/>
  <c r="I179" i="25"/>
  <c r="J211" i="25"/>
  <c r="I211" i="25"/>
  <c r="J243" i="25"/>
  <c r="I243" i="25"/>
  <c r="I323" i="25"/>
  <c r="J323" i="25"/>
  <c r="J339" i="25"/>
  <c r="I339" i="25"/>
  <c r="J355" i="25"/>
  <c r="I355" i="25"/>
  <c r="J141" i="25"/>
  <c r="I141" i="25"/>
  <c r="I373" i="25"/>
  <c r="J373" i="25"/>
  <c r="AM9" i="23"/>
  <c r="AK9" i="23"/>
  <c r="AK7" i="24"/>
  <c r="AD15" i="25"/>
  <c r="AK11" i="23"/>
  <c r="F16" i="19" l="1"/>
  <c r="F31" i="19" s="1"/>
  <c r="E31" i="19"/>
  <c r="J329" i="25"/>
  <c r="AD382" i="24"/>
  <c r="AD381" i="24"/>
  <c r="AD383" i="24"/>
  <c r="J258" i="25"/>
  <c r="J16" i="19"/>
  <c r="J31" i="19" s="1"/>
  <c r="Y11" i="20"/>
  <c r="Z11" i="20"/>
  <c r="Z5" i="20" s="1"/>
  <c r="H16" i="19" s="1"/>
  <c r="H31" i="19" s="1"/>
  <c r="AA11" i="20"/>
  <c r="AA5" i="20" s="1"/>
  <c r="I16" i="19" s="1"/>
  <c r="I31" i="19" s="1"/>
  <c r="J29" i="25"/>
  <c r="I29" i="25"/>
  <c r="G88" i="25"/>
  <c r="CF88" i="6" s="1"/>
  <c r="AA88" i="25"/>
  <c r="Z88" i="25" s="1"/>
  <c r="Y88" i="25" s="1"/>
  <c r="J135" i="25"/>
  <c r="I135" i="25"/>
  <c r="I272" i="25"/>
  <c r="J272" i="25"/>
  <c r="J166" i="25"/>
  <c r="I166" i="25"/>
  <c r="I196" i="25"/>
  <c r="J196" i="25"/>
  <c r="D379" i="25"/>
  <c r="E379" i="25" s="1"/>
  <c r="F379" i="25" s="1"/>
  <c r="W379" i="25"/>
  <c r="AJ7" i="23"/>
  <c r="D9" i="23"/>
  <c r="D11" i="23" s="1"/>
  <c r="D381" i="23"/>
  <c r="D382" i="23"/>
  <c r="E15" i="23"/>
  <c r="AJ10" i="23" s="1"/>
  <c r="AJ12" i="23" s="1"/>
  <c r="D383" i="23"/>
  <c r="I15" i="22"/>
  <c r="J15" i="22"/>
  <c r="I210" i="25"/>
  <c r="J210" i="25"/>
  <c r="J241" i="25"/>
  <c r="I241" i="25"/>
  <c r="AA119" i="25"/>
  <c r="Z119" i="25" s="1"/>
  <c r="Y119" i="25" s="1"/>
  <c r="H119" i="25"/>
  <c r="G119" i="25"/>
  <c r="CF119" i="6" s="1"/>
  <c r="AJ5" i="24"/>
  <c r="V382" i="24"/>
  <c r="B69" i="19"/>
  <c r="N69" i="19" s="1"/>
  <c r="V381" i="24"/>
  <c r="V383" i="24"/>
  <c r="AK4" i="20"/>
  <c r="R16" i="19" s="1"/>
  <c r="AM13" i="20"/>
  <c r="AJ4" i="20"/>
  <c r="P16" i="19" s="1"/>
  <c r="AL13" i="20"/>
  <c r="I288" i="25"/>
  <c r="J288" i="25"/>
  <c r="R382" i="25"/>
  <c r="P15" i="25"/>
  <c r="R381" i="25"/>
  <c r="R383" i="25"/>
  <c r="J302" i="25"/>
  <c r="I302" i="25"/>
  <c r="I319" i="25"/>
  <c r="J319" i="25"/>
  <c r="J180" i="25"/>
  <c r="I180" i="25"/>
  <c r="J363" i="25"/>
  <c r="I363" i="25"/>
  <c r="I379" i="23"/>
  <c r="H379" i="24" s="1"/>
  <c r="J379" i="23"/>
  <c r="M58" i="19"/>
  <c r="M59" i="19"/>
  <c r="M57" i="19"/>
  <c r="H60" i="25"/>
  <c r="G60" i="25"/>
  <c r="CF60" i="6" s="1"/>
  <c r="AA60" i="25"/>
  <c r="Z60" i="25" s="1"/>
  <c r="Y60" i="25" s="1"/>
  <c r="I333" i="25"/>
  <c r="J333" i="25"/>
  <c r="AL10" i="22"/>
  <c r="AA381" i="22"/>
  <c r="AA382" i="22"/>
  <c r="Z15" i="22"/>
  <c r="AL7" i="22" s="1"/>
  <c r="AA383" i="22"/>
  <c r="AM8" i="22"/>
  <c r="AA9" i="22"/>
  <c r="G383" i="22"/>
  <c r="G12" i="22" s="1"/>
  <c r="G382" i="22"/>
  <c r="G381" i="22"/>
  <c r="AB9" i="22"/>
  <c r="G17" i="19"/>
  <c r="J41" i="19" s="1"/>
  <c r="F11" i="22"/>
  <c r="J149" i="25"/>
  <c r="I149" i="25"/>
  <c r="J227" i="25"/>
  <c r="I227" i="25"/>
  <c r="H88" i="25"/>
  <c r="AF104" i="25"/>
  <c r="AG382" i="25"/>
  <c r="AG383" i="25"/>
  <c r="AG381" i="25"/>
  <c r="AM7" i="23"/>
  <c r="AM5" i="22"/>
  <c r="AM11" i="22" s="1"/>
  <c r="AK3" i="22" s="1"/>
  <c r="Q17" i="19" s="1"/>
  <c r="AK9" i="24"/>
  <c r="AK11" i="24" s="1"/>
  <c r="AM9" i="24"/>
  <c r="E42" i="19" l="1"/>
  <c r="I40" i="19"/>
  <c r="H40" i="19"/>
  <c r="N17" i="19"/>
  <c r="I88" i="25"/>
  <c r="J88" i="25"/>
  <c r="AO7" i="7"/>
  <c r="G7" i="6"/>
  <c r="Z381" i="22"/>
  <c r="Z382" i="22"/>
  <c r="Y15" i="22"/>
  <c r="AL5" i="22" s="1"/>
  <c r="AL11" i="22" s="1"/>
  <c r="AJ3" i="22" s="1"/>
  <c r="O17" i="19" s="1"/>
  <c r="M17" i="19" s="1"/>
  <c r="AL8" i="22"/>
  <c r="Z9" i="22"/>
  <c r="Z383" i="22"/>
  <c r="I60" i="25"/>
  <c r="J60" i="25"/>
  <c r="P382" i="25"/>
  <c r="V15" i="25"/>
  <c r="P383" i="25"/>
  <c r="P381" i="25"/>
  <c r="B382" i="24"/>
  <c r="B383" i="24"/>
  <c r="H9" i="24"/>
  <c r="B19" i="19" s="1"/>
  <c r="D15" i="24"/>
  <c r="AJ7" i="24" s="1"/>
  <c r="W15" i="24"/>
  <c r="AJ6" i="24"/>
  <c r="B381" i="24"/>
  <c r="AK6" i="24"/>
  <c r="I119" i="25"/>
  <c r="J119" i="25"/>
  <c r="J383" i="22"/>
  <c r="J381" i="22"/>
  <c r="J382" i="22"/>
  <c r="AD104" i="25"/>
  <c r="AF382" i="25"/>
  <c r="AF383" i="25"/>
  <c r="AF381" i="25"/>
  <c r="G41" i="19"/>
  <c r="D17" i="19"/>
  <c r="J379" i="24"/>
  <c r="I379" i="24"/>
  <c r="H379" i="25" s="1"/>
  <c r="I381" i="22"/>
  <c r="I383" i="22"/>
  <c r="I382" i="22"/>
  <c r="AJ9" i="23"/>
  <c r="AJ11" i="23" s="1"/>
  <c r="AJ13" i="23" s="1"/>
  <c r="AK8" i="23"/>
  <c r="E383" i="23"/>
  <c r="F15" i="23"/>
  <c r="E9" i="23"/>
  <c r="E11" i="23" s="1"/>
  <c r="E382" i="23"/>
  <c r="E381" i="23"/>
  <c r="AA379" i="25"/>
  <c r="Z379" i="25" s="1"/>
  <c r="Y379" i="25" s="1"/>
  <c r="G379" i="25"/>
  <c r="CF379" i="6" s="1"/>
  <c r="AM7" i="24"/>
  <c r="E17" i="19" l="1"/>
  <c r="F17" i="19" s="1"/>
  <c r="AJ6" i="25"/>
  <c r="AK6" i="25"/>
  <c r="C18" i="19"/>
  <c r="F42" i="19"/>
  <c r="AJ8" i="24"/>
  <c r="D9" i="24"/>
  <c r="D11" i="24" s="1"/>
  <c r="D381" i="24"/>
  <c r="E15" i="24"/>
  <c r="AJ9" i="24" s="1"/>
  <c r="AJ11" i="24" s="1"/>
  <c r="D383" i="24"/>
  <c r="D382" i="24"/>
  <c r="B70" i="19"/>
  <c r="V380" i="25"/>
  <c r="V381" i="25" s="1"/>
  <c r="I379" i="25"/>
  <c r="J379" i="25"/>
  <c r="F381" i="23"/>
  <c r="F382" i="23"/>
  <c r="AA15" i="23"/>
  <c r="AL10" i="23" s="1"/>
  <c r="F383" i="23"/>
  <c r="F9" i="23"/>
  <c r="H15" i="23"/>
  <c r="AK10" i="23"/>
  <c r="AK12" i="23" s="1"/>
  <c r="AK13" i="23" s="1"/>
  <c r="G15" i="23"/>
  <c r="CD15" i="6" s="1"/>
  <c r="AM10" i="23"/>
  <c r="AA104" i="25"/>
  <c r="Z104" i="25" s="1"/>
  <c r="Y104" i="25" s="1"/>
  <c r="AD382" i="25"/>
  <c r="AD381" i="25"/>
  <c r="AD383" i="25"/>
  <c r="AJ5" i="25"/>
  <c r="D15" i="25"/>
  <c r="AJ8" i="25" s="1"/>
  <c r="B382" i="25"/>
  <c r="W15" i="25"/>
  <c r="B383" i="25"/>
  <c r="B381" i="25"/>
  <c r="H9" i="25"/>
  <c r="B20" i="19" s="1"/>
  <c r="AK5" i="25"/>
  <c r="AM6" i="22"/>
  <c r="AM12" i="22" s="1"/>
  <c r="Y382" i="22"/>
  <c r="Y381" i="22"/>
  <c r="Y383" i="22"/>
  <c r="X9" i="22"/>
  <c r="AL6" i="22"/>
  <c r="AL12" i="22" s="1"/>
  <c r="AM5" i="23"/>
  <c r="AM11" i="23" s="1"/>
  <c r="AK3" i="23" s="1"/>
  <c r="Q18" i="19" s="1"/>
  <c r="E43" i="19" l="1"/>
  <c r="V383" i="25"/>
  <c r="V382" i="25"/>
  <c r="J17" i="19"/>
  <c r="Z11" i="22"/>
  <c r="Z5" i="22" s="1"/>
  <c r="H17" i="19" s="1"/>
  <c r="AA11" i="22"/>
  <c r="AA5" i="22" s="1"/>
  <c r="I17" i="19" s="1"/>
  <c r="Y11" i="22"/>
  <c r="AK4" i="22"/>
  <c r="R17" i="19" s="1"/>
  <c r="N18" i="19" s="1"/>
  <c r="AM13" i="22"/>
  <c r="B9" i="19"/>
  <c r="G381" i="23"/>
  <c r="G383" i="23"/>
  <c r="G12" i="23" s="1"/>
  <c r="G382" i="23"/>
  <c r="J15" i="23"/>
  <c r="I15" i="23"/>
  <c r="F15" i="24"/>
  <c r="E383" i="24"/>
  <c r="AJ10" i="24"/>
  <c r="AJ12" i="24" s="1"/>
  <c r="AJ13" i="24" s="1"/>
  <c r="E9" i="24"/>
  <c r="E11" i="24" s="1"/>
  <c r="E382" i="24"/>
  <c r="E381" i="24"/>
  <c r="AK8" i="24"/>
  <c r="AJ4" i="22"/>
  <c r="P17" i="19" s="1"/>
  <c r="AL13" i="22"/>
  <c r="AJ7" i="25"/>
  <c r="D381" i="25"/>
  <c r="D383" i="25"/>
  <c r="D382" i="25"/>
  <c r="E15" i="25"/>
  <c r="D9" i="25"/>
  <c r="D11" i="25" s="1"/>
  <c r="AB9" i="23"/>
  <c r="G18" i="19"/>
  <c r="J42" i="19" s="1"/>
  <c r="F11" i="23"/>
  <c r="AA382" i="23"/>
  <c r="AA381" i="23"/>
  <c r="AA9" i="23"/>
  <c r="AL9" i="23"/>
  <c r="AA383" i="23"/>
  <c r="AM8" i="23"/>
  <c r="Z15" i="23"/>
  <c r="AL8" i="23" s="1"/>
  <c r="N70" i="19"/>
  <c r="B59" i="19"/>
  <c r="B58" i="19"/>
  <c r="B57" i="19"/>
  <c r="AM5" i="24"/>
  <c r="AM11" i="24" s="1"/>
  <c r="AK3" i="24" s="1"/>
  <c r="Q19" i="19" s="1"/>
  <c r="H41" i="19" l="1"/>
  <c r="E44" i="19"/>
  <c r="I41" i="19"/>
  <c r="AJ10" i="25"/>
  <c r="AJ12" i="25" s="1"/>
  <c r="AK8" i="25"/>
  <c r="N58" i="19"/>
  <c r="N57" i="19"/>
  <c r="N59" i="19"/>
  <c r="G42" i="19"/>
  <c r="D18" i="19"/>
  <c r="AJ9" i="25"/>
  <c r="AJ11" i="25" s="1"/>
  <c r="E383" i="25"/>
  <c r="AK7" i="25"/>
  <c r="E382" i="25"/>
  <c r="F15" i="25"/>
  <c r="E9" i="25"/>
  <c r="E11" i="25" s="1"/>
  <c r="E381" i="25"/>
  <c r="C19" i="19"/>
  <c r="F43" i="19"/>
  <c r="I382" i="23"/>
  <c r="I381" i="23"/>
  <c r="I383" i="23"/>
  <c r="AL7" i="23"/>
  <c r="Z9" i="23"/>
  <c r="Z382" i="23"/>
  <c r="Y15" i="23"/>
  <c r="AL6" i="23" s="1"/>
  <c r="AL12" i="23" s="1"/>
  <c r="AJ4" i="23" s="1"/>
  <c r="P18" i="19" s="1"/>
  <c r="Z381" i="23"/>
  <c r="Z383" i="23"/>
  <c r="AM10" i="24"/>
  <c r="G15" i="24"/>
  <c r="CE15" i="6" s="1"/>
  <c r="F381" i="24"/>
  <c r="F9" i="24"/>
  <c r="AK10" i="24"/>
  <c r="AK12" i="24" s="1"/>
  <c r="AK13" i="24" s="1"/>
  <c r="F383" i="24"/>
  <c r="F382" i="24"/>
  <c r="AA15" i="24"/>
  <c r="AL9" i="24" s="1"/>
  <c r="H15" i="24"/>
  <c r="J381" i="23"/>
  <c r="J382" i="23"/>
  <c r="J383" i="23"/>
  <c r="AU7" i="7"/>
  <c r="H7" i="6"/>
  <c r="AJ13" i="25" l="1"/>
  <c r="E18" i="19"/>
  <c r="F18" i="19" s="1"/>
  <c r="E33" i="19"/>
  <c r="AK10" i="25"/>
  <c r="AK12" i="25" s="1"/>
  <c r="AM10" i="25"/>
  <c r="AL10" i="24"/>
  <c r="AM8" i="24"/>
  <c r="AA382" i="24"/>
  <c r="Z15" i="24"/>
  <c r="AL7" i="24" s="1"/>
  <c r="AA383" i="24"/>
  <c r="AA9" i="24"/>
  <c r="AA381" i="24"/>
  <c r="F11" i="24"/>
  <c r="AB9" i="24"/>
  <c r="G19" i="19"/>
  <c r="J43" i="19" s="1"/>
  <c r="G383" i="24"/>
  <c r="G12" i="24" s="1"/>
  <c r="G381" i="24"/>
  <c r="G382" i="24"/>
  <c r="Y383" i="23"/>
  <c r="Y382" i="23"/>
  <c r="Y381" i="23"/>
  <c r="AL5" i="23"/>
  <c r="AL11" i="23" s="1"/>
  <c r="X9" i="23"/>
  <c r="Z11" i="23" s="1"/>
  <c r="Z5" i="23" s="1"/>
  <c r="H18" i="19" s="1"/>
  <c r="AM6" i="23"/>
  <c r="AM12" i="23" s="1"/>
  <c r="C20" i="19"/>
  <c r="F44" i="19"/>
  <c r="I15" i="24"/>
  <c r="J15" i="24"/>
  <c r="AK9" i="25"/>
  <c r="AK11" i="25" s="1"/>
  <c r="F9" i="25"/>
  <c r="F383" i="25"/>
  <c r="AM9" i="25"/>
  <c r="G15" i="25"/>
  <c r="CF15" i="6" s="1"/>
  <c r="J2" i="6" s="1"/>
  <c r="F382" i="25"/>
  <c r="AA15" i="25"/>
  <c r="F381" i="25"/>
  <c r="AK13" i="25" l="1"/>
  <c r="F33" i="19"/>
  <c r="H42" i="19"/>
  <c r="AL10" i="25"/>
  <c r="AM8" i="25"/>
  <c r="Y11" i="23"/>
  <c r="F11" i="25"/>
  <c r="AB9" i="25"/>
  <c r="G20" i="19"/>
  <c r="I381" i="24"/>
  <c r="I383" i="24"/>
  <c r="I382" i="24"/>
  <c r="C9" i="19"/>
  <c r="H15" i="25"/>
  <c r="AA382" i="25"/>
  <c r="AL9" i="25"/>
  <c r="AA383" i="25"/>
  <c r="AA9" i="25"/>
  <c r="AA381" i="25"/>
  <c r="AM7" i="25"/>
  <c r="Z15" i="25"/>
  <c r="AL8" i="25" s="1"/>
  <c r="G381" i="25"/>
  <c r="G382" i="25"/>
  <c r="G383" i="25"/>
  <c r="G12" i="25" s="1"/>
  <c r="J383" i="24"/>
  <c r="J382" i="24"/>
  <c r="J381" i="24"/>
  <c r="J18" i="19"/>
  <c r="AA11" i="23"/>
  <c r="AA5" i="23" s="1"/>
  <c r="I18" i="19" s="1"/>
  <c r="G43" i="19"/>
  <c r="D19" i="19"/>
  <c r="Y15" i="24"/>
  <c r="AL5" i="24" s="1"/>
  <c r="AL11" i="24" s="1"/>
  <c r="AJ3" i="24" s="1"/>
  <c r="O19" i="19" s="1"/>
  <c r="Z381" i="24"/>
  <c r="Z9" i="24"/>
  <c r="Z383" i="24"/>
  <c r="Z382" i="24"/>
  <c r="AL8" i="24"/>
  <c r="AJ3" i="23"/>
  <c r="O18" i="19" s="1"/>
  <c r="M18" i="19" s="1"/>
  <c r="AL13" i="23"/>
  <c r="AM13" i="23"/>
  <c r="AK4" i="23"/>
  <c r="R18" i="19" s="1"/>
  <c r="N19" i="19" s="1"/>
  <c r="I7" i="6"/>
  <c r="BA7" i="7"/>
  <c r="E19" i="19" l="1"/>
  <c r="F19" i="19" s="1"/>
  <c r="I42" i="19"/>
  <c r="M19" i="19"/>
  <c r="X9" i="24"/>
  <c r="AM6" i="24"/>
  <c r="AM12" i="24" s="1"/>
  <c r="Y383" i="24"/>
  <c r="AL6" i="24"/>
  <c r="AL12" i="24" s="1"/>
  <c r="Y382" i="24"/>
  <c r="Y381" i="24"/>
  <c r="Z382" i="25"/>
  <c r="Z381" i="25"/>
  <c r="AL7" i="25"/>
  <c r="Y15" i="25"/>
  <c r="Z383" i="25"/>
  <c r="Z9" i="25"/>
  <c r="J7" i="6"/>
  <c r="BG7" i="7"/>
  <c r="J15" i="25"/>
  <c r="I15" i="25"/>
  <c r="J44" i="19"/>
  <c r="J33" i="19" s="1"/>
  <c r="G9" i="19"/>
  <c r="G44" i="19"/>
  <c r="D20" i="19"/>
  <c r="G33" i="19" l="1"/>
  <c r="AL6" i="25"/>
  <c r="AL12" i="25" s="1"/>
  <c r="AJ4" i="25" s="1"/>
  <c r="P20" i="19" s="1"/>
  <c r="AM6" i="25"/>
  <c r="AM12" i="25" s="1"/>
  <c r="AK4" i="25" s="1"/>
  <c r="R20" i="19" s="1"/>
  <c r="I382" i="25"/>
  <c r="I383" i="25"/>
  <c r="I381" i="25"/>
  <c r="D9" i="19"/>
  <c r="E20" i="19"/>
  <c r="J383" i="25"/>
  <c r="J381" i="25"/>
  <c r="J382" i="25"/>
  <c r="Y11" i="24"/>
  <c r="J19" i="19"/>
  <c r="AA11" i="24"/>
  <c r="AA5" i="24" s="1"/>
  <c r="I19" i="19" s="1"/>
  <c r="AM5" i="25"/>
  <c r="AM11" i="25" s="1"/>
  <c r="Y382" i="25"/>
  <c r="Y383" i="25"/>
  <c r="Y381" i="25"/>
  <c r="AL5" i="25"/>
  <c r="AL11" i="25" s="1"/>
  <c r="X9" i="25"/>
  <c r="AJ4" i="24"/>
  <c r="P19" i="19" s="1"/>
  <c r="AL13" i="24"/>
  <c r="AM13" i="24"/>
  <c r="AK4" i="24"/>
  <c r="R19" i="19" s="1"/>
  <c r="Z11" i="24"/>
  <c r="Z5" i="24" s="1"/>
  <c r="H19" i="19" s="1"/>
  <c r="H43" i="19" l="1"/>
  <c r="I43" i="19"/>
  <c r="AL13" i="25"/>
  <c r="AJ3" i="25"/>
  <c r="O20" i="19" s="1"/>
  <c r="M20" i="19" s="1"/>
  <c r="Y11" i="25"/>
  <c r="Z11" i="25"/>
  <c r="Z5" i="25" s="1"/>
  <c r="H20" i="19" s="1"/>
  <c r="O33" i="19" s="1"/>
  <c r="N33" i="19" s="1"/>
  <c r="AA11" i="25"/>
  <c r="AA5" i="25" s="1"/>
  <c r="I20" i="19" s="1"/>
  <c r="J20" i="19"/>
  <c r="AK3" i="25"/>
  <c r="Q20" i="19" s="1"/>
  <c r="N20" i="19" s="1"/>
  <c r="AM13" i="25"/>
  <c r="F20" i="19"/>
  <c r="E9" i="19"/>
  <c r="O36" i="19" l="1"/>
  <c r="N36" i="19" s="1"/>
  <c r="O34" i="19"/>
  <c r="N34" i="19" s="1"/>
  <c r="N32" i="19" s="1"/>
  <c r="O35" i="19"/>
  <c r="N35" i="19" s="1"/>
  <c r="F9" i="19"/>
  <c r="I9" i="19"/>
  <c r="I44" i="19"/>
  <c r="I33" i="19" s="1"/>
  <c r="J9" i="19"/>
  <c r="H44" i="19"/>
  <c r="H33" i="19" s="1"/>
  <c r="H9" i="19"/>
  <c r="O32" i="19" l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modifiée compte tenu des tailles intermédiaires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27" authorId="0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5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Mise en service et programmation onduleur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Février et 17 sept</t>
        </r>
      </text>
    </comment>
  </commentList>
</comments>
</file>

<file path=xl/sharedStrings.xml><?xml version="1.0" encoding="utf-8"?>
<sst xmlns="http://schemas.openxmlformats.org/spreadsheetml/2006/main" count="2206" uniqueCount="401">
  <si>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</si>
  <si>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</si>
  <si>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</si>
  <si>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</si>
  <si>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</si>
  <si>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</si>
  <si>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</si>
  <si>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</si>
  <si>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</si>
  <si>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</si>
  <si>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</si>
  <si>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</si>
  <si>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</si>
  <si>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</si>
  <si>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</si>
  <si>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</si>
  <si>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</si>
  <si>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</si>
  <si>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</si>
  <si>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</si>
  <si>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</si>
  <si>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</si>
  <si>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</si>
  <si>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</si>
  <si>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</si>
  <si>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</si>
  <si>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</si>
  <si>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</si>
  <si>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</si>
  <si>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</si>
  <si>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</si>
  <si>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</si>
  <si>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</si>
  <si>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</si>
  <si>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</si>
  <si>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</si>
  <si>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</si>
  <si>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</si>
  <si>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</si>
  <si>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</si>
  <si>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</si>
  <si>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</si>
  <si>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</si>
  <si>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</si>
  <si>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</si>
  <si>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</si>
  <si>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</si>
  <si>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</si>
  <si>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</si>
  <si>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</si>
  <si>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</si>
  <si>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</si>
  <si>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</si>
  <si>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</si>
  <si>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</si>
  <si>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</si>
  <si>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</si>
  <si>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</si>
  <si>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</si>
  <si>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</si>
  <si>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</si>
  <si>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</si>
  <si>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</si>
  <si>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</si>
  <si>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</si>
  <si>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</si>
  <si>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</si>
  <si>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</si>
  <si>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</si>
  <si>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</si>
  <si>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</si>
  <si>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</si>
  <si>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</si>
  <si>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</si>
  <si>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</si>
  <si>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</si>
  <si>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</si>
  <si>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</si>
  <si>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</si>
  <si>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</si>
  <si>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</si>
  <si>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</si>
  <si>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</si>
  <si>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</si>
  <si>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</si>
  <si>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</si>
  <si>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</si>
  <si>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</si>
  <si>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</si>
  <si>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</si>
  <si>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</si>
  <si>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</si>
  <si>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</si>
  <si>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</si>
  <si>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</si>
  <si>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</si>
  <si>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</si>
  <si>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</si>
  <si>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</si>
  <si>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</si>
  <si>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</si>
  <si>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</si>
  <si>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</si>
  <si>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</si>
  <si>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</si>
  <si>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</si>
  <si>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</si>
  <si>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</si>
  <si>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</si>
  <si>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</si>
  <si>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</si>
  <si>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</si>
  <si>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</si>
  <si>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</si>
  <si>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</si>
  <si>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</si>
  <si>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</si>
  <si>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</si>
  <si>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</si>
  <si>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</si>
  <si>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</si>
  <si>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</si>
  <si>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</si>
  <si>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</si>
  <si>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</si>
  <si>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</si>
  <si>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</si>
  <si>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</si>
  <si>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</si>
  <si>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</si>
  <si>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</si>
  <si>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</si>
  <si>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</si>
  <si>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</si>
  <si>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</si>
  <si>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</si>
  <si>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</si>
  <si>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</si>
  <si>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</si>
  <si>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</si>
  <si>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</si>
  <si>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</si>
  <si>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</si>
  <si>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</si>
  <si>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</si>
  <si>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</si>
  <si>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</si>
  <si>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</si>
  <si>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</si>
  <si>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</si>
  <si>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</si>
  <si>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</si>
  <si>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</si>
  <si>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</si>
  <si>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</si>
  <si>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</si>
  <si>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</si>
  <si>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</si>
  <si>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</si>
  <si>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</si>
  <si>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</si>
  <si>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</si>
  <si>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</si>
  <si>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</si>
  <si>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</si>
  <si>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</si>
  <si>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</si>
  <si>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</si>
  <si>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</si>
  <si>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</si>
  <si>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</si>
  <si>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</si>
  <si>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</si>
  <si>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</si>
  <si>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</si>
  <si>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</si>
  <si>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</si>
  <si>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</si>
  <si>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</si>
  <si>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</si>
  <si>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</si>
  <si>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</si>
  <si>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</si>
  <si>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</si>
  <si>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</si>
  <si>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</si>
  <si>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</si>
  <si>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</si>
  <si>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</si>
  <si>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</si>
  <si>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</si>
  <si>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</si>
  <si>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</si>
  <si>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</si>
  <si>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</si>
  <si>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</si>
  <si>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</si>
  <si>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</si>
  <si>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</si>
  <si>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</si>
  <si>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</si>
  <si>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</si>
  <si>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</si>
  <si>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</si>
  <si>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</si>
  <si>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</si>
  <si>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</si>
  <si>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</si>
  <si>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</si>
  <si>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</si>
  <si>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</si>
  <si>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</si>
  <si>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</si>
  <si>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</si>
  <si>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</si>
  <si>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</si>
  <si>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</si>
  <si>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</si>
  <si>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</si>
  <si>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</si>
  <si>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</si>
  <si>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</si>
  <si>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</si>
  <si>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</si>
  <si>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</si>
  <si>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</si>
  <si>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</si>
  <si>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</si>
  <si>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</si>
  <si>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</si>
  <si>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</si>
  <si>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</si>
  <si>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</si>
  <si>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</si>
  <si>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</si>
  <si>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</si>
  <si>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</si>
  <si>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</si>
  <si>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</si>
  <si>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</si>
  <si>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</si>
  <si>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</si>
  <si>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</si>
  <si>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</si>
  <si>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</si>
  <si>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</si>
  <si>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</si>
  <si>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</si>
  <si>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</si>
  <si>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</si>
  <si>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</si>
  <si>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</si>
  <si>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</si>
  <si>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</si>
  <si>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</si>
  <si>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</si>
  <si>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</si>
  <si>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</si>
  <si>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</si>
  <si>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</si>
  <si>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</si>
  <si>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</si>
  <si>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</si>
  <si>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</si>
  <si>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</si>
  <si>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</si>
  <si>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</si>
  <si>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</si>
  <si>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</si>
  <si>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</si>
  <si>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</si>
  <si>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</si>
  <si>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</si>
  <si>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</si>
  <si>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</si>
  <si>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</si>
  <si>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</si>
  <si>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</si>
  <si>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</si>
  <si>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</si>
  <si>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</si>
  <si>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</si>
  <si>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</si>
  <si>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</si>
  <si>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</si>
  <si>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</si>
  <si>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</si>
  <si>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</si>
  <si>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</si>
  <si>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</si>
  <si>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</si>
  <si>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</si>
  <si>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</si>
  <si>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</si>
  <si>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</si>
  <si>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</si>
  <si>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</si>
  <si>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</si>
  <si>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</si>
  <si>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</si>
  <si>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</si>
  <si>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</si>
  <si>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</si>
  <si>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</si>
  <si>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</si>
  <si>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</si>
  <si>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</si>
  <si>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</si>
  <si>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</si>
  <si>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</si>
  <si>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</si>
  <si>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</si>
  <si>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</si>
  <si>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</si>
  <si>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</si>
  <si>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</si>
  <si>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</si>
  <si>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</si>
  <si>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</si>
  <si>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</si>
  <si>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</si>
  <si>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</si>
  <si>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</si>
  <si>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</si>
  <si>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</si>
  <si>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</si>
  <si>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</si>
  <si>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</si>
  <si>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</si>
  <si>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</si>
  <si>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0</t>
  </si>
  <si>
    <t>Maternelle Labège</t>
  </si>
  <si>
    <t>Arbre 7</t>
  </si>
  <si>
    <t>Arbre 8</t>
  </si>
  <si>
    <t>Arbre 9</t>
  </si>
  <si>
    <t>Arbre 10</t>
  </si>
  <si>
    <t>Arbre 11</t>
  </si>
  <si>
    <t>Arbre 14</t>
  </si>
  <si>
    <t>creux</t>
  </si>
  <si>
    <t>Cloture angle NO</t>
  </si>
  <si>
    <t>Impasse Clément Ader</t>
  </si>
  <si>
    <t>panneaux vitres réfectoire</t>
  </si>
  <si>
    <t>Centre du champ PV G.H.:</t>
  </si>
  <si>
    <t>Centre du champ PV G.B.:</t>
  </si>
  <si>
    <t>Centre du champ PV D.B.:</t>
  </si>
  <si>
    <t>Centre du champ PV D.H.:</t>
  </si>
  <si>
    <t>Sélection champ PV</t>
  </si>
  <si>
    <t>Gauche / Droite:</t>
  </si>
  <si>
    <t>Haut ou Bas  (H/B):</t>
  </si>
  <si>
    <t>H</t>
  </si>
  <si>
    <t>Echelle accès toit réfectoire</t>
  </si>
  <si>
    <t>Mur rive Est</t>
  </si>
  <si>
    <t>Mur faitage</t>
  </si>
  <si>
    <t>Pointe mur</t>
  </si>
  <si>
    <t>toit refectoire G</t>
  </si>
  <si>
    <t>toit refectoire D</t>
  </si>
  <si>
    <t>Gymnase RG</t>
  </si>
  <si>
    <t>Gymnase Faitage</t>
  </si>
  <si>
    <t>Gymnase RD</t>
  </si>
  <si>
    <t>sous Toit ref</t>
  </si>
  <si>
    <t>Hauteur 0 = sol impasse C Ader</t>
  </si>
  <si>
    <t>Faitage PV</t>
  </si>
  <si>
    <t>Rive PV</t>
  </si>
  <si>
    <t>Bord haut PV</t>
  </si>
  <si>
    <t>Centre haut</t>
  </si>
  <si>
    <t>Centre bas</t>
  </si>
  <si>
    <t>Rive</t>
  </si>
  <si>
    <t>Gauche/Droit:</t>
  </si>
  <si>
    <t>G</t>
  </si>
  <si>
    <t>2020-10 Labège Maternelle Strret.jpg</t>
  </si>
  <si>
    <t>2021-12-18 Vue Sud.jpg</t>
  </si>
  <si>
    <t>Arbre 13g</t>
  </si>
  <si>
    <t>Arbre 13d</t>
  </si>
  <si>
    <t>Arbre 12g</t>
  </si>
  <si>
    <t>Arbre 12d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</si>
  <si>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</si>
  <si>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</si>
  <si>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</si>
  <si>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</si>
  <si>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</si>
  <si>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</si>
  <si>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</si>
  <si>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</si>
  <si>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</si>
  <si>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</si>
  <si>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</si>
  <si>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formule de calcul hauteur initiale</t>
  </si>
  <si>
    <t>I</t>
  </si>
  <si>
    <t>Compilation Ratios /MaxiM</t>
  </si>
  <si>
    <t>Moyenne ratios forte prod. &gt;0,97 :</t>
  </si>
  <si>
    <t>periode net</t>
  </si>
  <si>
    <t>gain par an</t>
  </si>
  <si>
    <t>moyennes annuelles</t>
  </si>
  <si>
    <t>action</t>
  </si>
  <si>
    <t>Gains depuis le "début" ou depuis dernière "action":</t>
  </si>
  <si>
    <t>Cumul 23</t>
  </si>
  <si>
    <t>2 hors net</t>
  </si>
  <si>
    <t>A la nouvelle année changer la référence de feuille annuelle (+1) dans colonnes 'B' et 'C'</t>
  </si>
  <si>
    <t>Figer en fin d'année les données production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</si>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</sst>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6" borderId="54" applyNumberFormat="0" applyAlignment="0" applyProtection="0"/>
    <xf numFmtId="0" fontId="14" fillId="0" borderId="55" applyNumberFormat="0" applyFill="0" applyAlignment="0" applyProtection="0"/>
    <xf numFmtId="0" fontId="10" fillId="27" borderId="56" applyNumberFormat="0" applyFont="0" applyAlignment="0" applyProtection="0"/>
    <xf numFmtId="0" fontId="15" fillId="28" borderId="54" applyNumberFormat="0" applyAlignment="0" applyProtection="0"/>
    <xf numFmtId="0" fontId="16" fillId="29" borderId="0" applyNumberFormat="0" applyBorder="0" applyAlignment="0" applyProtection="0"/>
    <xf numFmtId="43" fontId="10" fillId="0" borderId="0" applyFont="0" applyFill="0" applyBorder="0" applyAlignment="0" applyProtection="0"/>
    <xf numFmtId="0" fontId="17" fillId="30" borderId="0" applyNumberFormat="0" applyBorder="0" applyAlignment="0" applyProtection="0"/>
    <xf numFmtId="9" fontId="10" fillId="0" borderId="0" applyFont="0" applyFill="0" applyBorder="0" applyAlignment="0" applyProtection="0"/>
    <xf numFmtId="0" fontId="18" fillId="31" borderId="0" applyNumberFormat="0" applyBorder="0" applyAlignment="0" applyProtection="0"/>
    <xf numFmtId="0" fontId="19" fillId="26" borderId="5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58" applyNumberFormat="0" applyFill="0" applyAlignment="0" applyProtection="0"/>
    <xf numFmtId="0" fontId="23" fillId="0" borderId="59" applyNumberFormat="0" applyFill="0" applyAlignment="0" applyProtection="0"/>
    <xf numFmtId="0" fontId="24" fillId="0" borderId="6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1" applyNumberFormat="0" applyFill="0" applyAlignment="0" applyProtection="0"/>
    <xf numFmtId="0" fontId="26" fillId="32" borderId="62" applyNumberFormat="0" applyAlignment="0" applyProtection="0"/>
  </cellStyleXfs>
  <cellXfs count="1294">
    <xf numFmtId="0" fontId="0" fillId="0" borderId="0" xfId="0"/>
    <xf numFmtId="0" fontId="27" fillId="0" borderId="0" xfId="0" applyFont="1" applyProtection="1"/>
    <xf numFmtId="0" fontId="28" fillId="0" borderId="0" xfId="0" applyFont="1" applyProtection="1"/>
    <xf numFmtId="0" fontId="29" fillId="0" borderId="0" xfId="0" applyFont="1" applyProtection="1"/>
    <xf numFmtId="0" fontId="0" fillId="0" borderId="0" xfId="0" applyFont="1" applyProtection="1"/>
    <xf numFmtId="16" fontId="28" fillId="0" borderId="0" xfId="0" applyNumberFormat="1" applyFont="1" applyProtection="1"/>
    <xf numFmtId="0" fontId="30" fillId="0" borderId="0" xfId="0" applyFont="1" applyProtection="1"/>
    <xf numFmtId="1" fontId="30" fillId="0" borderId="0" xfId="0" applyNumberFormat="1" applyFont="1" applyProtection="1"/>
    <xf numFmtId="0" fontId="31" fillId="0" borderId="0" xfId="0" applyFont="1" applyProtection="1"/>
    <xf numFmtId="1" fontId="32" fillId="0" borderId="0" xfId="0" applyNumberFormat="1" applyFont="1" applyAlignment="1" applyProtection="1">
      <alignment horizontal="center"/>
    </xf>
    <xf numFmtId="0" fontId="33" fillId="0" borderId="0" xfId="0" applyFont="1" applyProtection="1"/>
    <xf numFmtId="170" fontId="33" fillId="0" borderId="0" xfId="0" applyNumberFormat="1" applyFont="1" applyProtection="1"/>
    <xf numFmtId="1" fontId="31" fillId="0" borderId="0" xfId="0" applyNumberFormat="1" applyFont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4" fillId="0" borderId="0" xfId="0" applyFont="1" applyProtection="1"/>
    <xf numFmtId="0" fontId="30" fillId="0" borderId="2" xfId="0" applyFont="1" applyBorder="1" applyProtection="1"/>
    <xf numFmtId="0" fontId="30" fillId="0" borderId="0" xfId="0" applyFont="1" applyBorder="1" applyProtection="1"/>
    <xf numFmtId="0" fontId="35" fillId="0" borderId="0" xfId="0" applyFont="1" applyProtection="1"/>
    <xf numFmtId="0" fontId="0" fillId="0" borderId="0" xfId="0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right"/>
    </xf>
    <xf numFmtId="1" fontId="36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1" fontId="30" fillId="0" borderId="0" xfId="0" applyNumberFormat="1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0" fontId="36" fillId="0" borderId="0" xfId="0" applyFont="1" applyProtection="1"/>
    <xf numFmtId="0" fontId="35" fillId="0" borderId="0" xfId="0" applyFont="1" applyAlignment="1" applyProtection="1">
      <alignment horizontal="center"/>
    </xf>
    <xf numFmtId="1" fontId="35" fillId="0" borderId="0" xfId="0" applyNumberFormat="1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0" fontId="35" fillId="0" borderId="0" xfId="0" applyFont="1" applyBorder="1" applyProtection="1"/>
    <xf numFmtId="168" fontId="37" fillId="0" borderId="0" xfId="0" applyNumberFormat="1" applyFont="1" applyBorder="1" applyAlignment="1" applyProtection="1"/>
    <xf numFmtId="0" fontId="36" fillId="0" borderId="0" xfId="0" applyFont="1" applyBorder="1" applyProtection="1"/>
    <xf numFmtId="0" fontId="38" fillId="0" borderId="0" xfId="0" applyFont="1" applyBorder="1" applyAlignment="1" applyProtection="1"/>
    <xf numFmtId="0" fontId="39" fillId="0" borderId="0" xfId="0" applyFont="1" applyBorder="1" applyAlignment="1" applyProtection="1"/>
    <xf numFmtId="0" fontId="37" fillId="0" borderId="0" xfId="0" applyFont="1" applyBorder="1" applyProtection="1"/>
    <xf numFmtId="1" fontId="40" fillId="0" borderId="0" xfId="0" applyNumberFormat="1" applyFont="1" applyProtection="1"/>
    <xf numFmtId="0" fontId="33" fillId="0" borderId="0" xfId="0" applyFont="1" applyBorder="1" applyProtection="1"/>
    <xf numFmtId="0" fontId="35" fillId="0" borderId="4" xfId="0" applyFont="1" applyBorder="1" applyProtection="1"/>
    <xf numFmtId="0" fontId="35" fillId="0" borderId="1" xfId="0" applyFont="1" applyBorder="1" applyProtection="1"/>
    <xf numFmtId="9" fontId="36" fillId="0" borderId="1" xfId="0" quotePrefix="1" applyNumberFormat="1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0" fontId="38" fillId="0" borderId="5" xfId="33" applyNumberFormat="1" applyFont="1" applyBorder="1" applyAlignment="1" applyProtection="1">
      <alignment horizontal="center"/>
    </xf>
    <xf numFmtId="10" fontId="38" fillId="0" borderId="0" xfId="33" applyNumberFormat="1" applyFont="1" applyBorder="1" applyAlignment="1" applyProtection="1">
      <alignment horizontal="center"/>
    </xf>
    <xf numFmtId="10" fontId="38" fillId="0" borderId="1" xfId="33" applyNumberFormat="1" applyFont="1" applyBorder="1" applyAlignment="1" applyProtection="1">
      <alignment horizontal="center"/>
    </xf>
    <xf numFmtId="1" fontId="41" fillId="0" borderId="1" xfId="0" applyNumberFormat="1" applyFont="1" applyFill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0" fontId="36" fillId="0" borderId="0" xfId="0" quotePrefix="1" applyFont="1" applyAlignment="1" applyProtection="1">
      <alignment horizontal="right"/>
    </xf>
    <xf numFmtId="0" fontId="35" fillId="33" borderId="3" xfId="0" quotePrefix="1" applyFont="1" applyFill="1" applyBorder="1" applyAlignment="1" applyProtection="1">
      <alignment horizontal="center" vertical="center" wrapText="1"/>
    </xf>
    <xf numFmtId="0" fontId="35" fillId="0" borderId="2" xfId="0" applyFont="1" applyBorder="1" applyProtection="1"/>
    <xf numFmtId="10" fontId="10" fillId="0" borderId="0" xfId="33" applyNumberFormat="1" applyFont="1" applyAlignment="1" applyProtection="1">
      <alignment horizontal="center"/>
    </xf>
    <xf numFmtId="171" fontId="30" fillId="0" borderId="2" xfId="0" applyNumberFormat="1" applyFont="1" applyBorder="1" applyProtection="1"/>
    <xf numFmtId="1" fontId="30" fillId="0" borderId="6" xfId="0" applyNumberFormat="1" applyFont="1" applyBorder="1" applyProtection="1"/>
    <xf numFmtId="0" fontId="30" fillId="0" borderId="0" xfId="0" applyFont="1" applyAlignment="1" applyProtection="1"/>
    <xf numFmtId="1" fontId="30" fillId="0" borderId="7" xfId="0" applyNumberFormat="1" applyFont="1" applyBorder="1" applyProtection="1"/>
    <xf numFmtId="1" fontId="30" fillId="0" borderId="8" xfId="0" applyNumberFormat="1" applyFont="1" applyBorder="1" applyProtection="1"/>
    <xf numFmtId="2" fontId="30" fillId="0" borderId="0" xfId="0" applyNumberFormat="1" applyFont="1" applyProtection="1"/>
    <xf numFmtId="0" fontId="31" fillId="0" borderId="0" xfId="0" applyFont="1" applyBorder="1" applyAlignment="1" applyProtection="1">
      <alignment horizontal="center"/>
    </xf>
    <xf numFmtId="1" fontId="30" fillId="0" borderId="0" xfId="0" applyNumberFormat="1" applyFont="1" applyBorder="1" applyAlignment="1" applyProtection="1">
      <alignment horizontal="center"/>
    </xf>
    <xf numFmtId="164" fontId="33" fillId="0" borderId="0" xfId="0" applyNumberFormat="1" applyFont="1" applyBorder="1" applyProtection="1"/>
    <xf numFmtId="164" fontId="33" fillId="0" borderId="9" xfId="0" applyNumberFormat="1" applyFont="1" applyBorder="1" applyProtection="1"/>
    <xf numFmtId="168" fontId="43" fillId="0" borderId="10" xfId="33" applyNumberFormat="1" applyFont="1" applyBorder="1" applyAlignment="1" applyProtection="1">
      <alignment horizontal="center"/>
    </xf>
    <xf numFmtId="168" fontId="43" fillId="0" borderId="9" xfId="33" applyNumberFormat="1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170" fontId="31" fillId="0" borderId="0" xfId="0" applyNumberFormat="1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2" fontId="35" fillId="0" borderId="0" xfId="0" applyNumberFormat="1" applyFont="1" applyProtection="1"/>
    <xf numFmtId="0" fontId="44" fillId="0" borderId="0" xfId="0" applyFont="1" applyAlignment="1" applyProtection="1">
      <alignment horizontal="center" vertical="center"/>
    </xf>
    <xf numFmtId="1" fontId="33" fillId="0" borderId="0" xfId="0" applyNumberFormat="1" applyFont="1" applyBorder="1" applyAlignment="1" applyProtection="1">
      <alignment horizontal="center"/>
    </xf>
    <xf numFmtId="2" fontId="31" fillId="0" borderId="0" xfId="0" applyNumberFormat="1" applyFont="1" applyProtection="1"/>
    <xf numFmtId="0" fontId="33" fillId="0" borderId="0" xfId="0" applyFont="1" applyAlignment="1" applyProtection="1">
      <alignment horizontal="center"/>
    </xf>
    <xf numFmtId="2" fontId="0" fillId="0" borderId="0" xfId="0" applyNumberFormat="1" applyProtection="1"/>
    <xf numFmtId="1" fontId="29" fillId="0" borderId="0" xfId="0" applyNumberFormat="1" applyFont="1" applyAlignment="1" applyProtection="1">
      <alignment horizontal="center"/>
    </xf>
    <xf numFmtId="0" fontId="41" fillId="33" borderId="3" xfId="0" applyFont="1" applyFill="1" applyBorder="1" applyAlignment="1" applyProtection="1">
      <alignment horizontal="center" vertical="center" wrapText="1"/>
    </xf>
    <xf numFmtId="0" fontId="45" fillId="33" borderId="3" xfId="0" applyFont="1" applyFill="1" applyBorder="1" applyAlignment="1" applyProtection="1">
      <alignment horizontal="center" vertical="center" wrapText="1"/>
    </xf>
    <xf numFmtId="1" fontId="40" fillId="0" borderId="0" xfId="0" applyNumberFormat="1" applyFont="1" applyAlignment="1" applyProtection="1">
      <alignment vertical="center"/>
    </xf>
    <xf numFmtId="0" fontId="46" fillId="0" borderId="2" xfId="0" applyFont="1" applyBorder="1" applyAlignment="1" applyProtection="1">
      <alignment horizontal="right"/>
    </xf>
    <xf numFmtId="0" fontId="37" fillId="0" borderId="0" xfId="0" applyFont="1" applyBorder="1" applyAlignment="1" applyProtection="1">
      <alignment horizontal="right"/>
    </xf>
    <xf numFmtId="0" fontId="37" fillId="0" borderId="0" xfId="0" applyFont="1" applyAlignment="1" applyProtection="1">
      <alignment horizontal="right"/>
    </xf>
    <xf numFmtId="1" fontId="31" fillId="0" borderId="11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0" fontId="33" fillId="33" borderId="6" xfId="0" applyFont="1" applyFill="1" applyBorder="1" applyAlignment="1" applyProtection="1">
      <alignment horizontal="center" vertical="center" wrapText="1"/>
    </xf>
    <xf numFmtId="168" fontId="30" fillId="0" borderId="0" xfId="33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1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10" fontId="47" fillId="0" borderId="2" xfId="33" applyNumberFormat="1" applyFont="1" applyBorder="1" applyProtection="1"/>
    <xf numFmtId="10" fontId="47" fillId="0" borderId="4" xfId="33" applyNumberFormat="1" applyFont="1" applyBorder="1" applyProtection="1"/>
    <xf numFmtId="0" fontId="31" fillId="0" borderId="5" xfId="0" applyFont="1" applyBorder="1" applyAlignment="1" applyProtection="1">
      <alignment vertical="center" wrapText="1"/>
    </xf>
    <xf numFmtId="0" fontId="31" fillId="0" borderId="0" xfId="0" applyFont="1" applyBorder="1" applyAlignment="1" applyProtection="1">
      <alignment vertical="center" wrapText="1"/>
    </xf>
    <xf numFmtId="168" fontId="36" fillId="0" borderId="0" xfId="0" applyNumberFormat="1" applyFont="1" applyBorder="1" applyAlignment="1" applyProtection="1"/>
    <xf numFmtId="0" fontId="34" fillId="0" borderId="2" xfId="0" applyFont="1" applyBorder="1" applyProtection="1"/>
    <xf numFmtId="166" fontId="33" fillId="34" borderId="10" xfId="0" applyNumberFormat="1" applyFont="1" applyFill="1" applyBorder="1" applyAlignment="1" applyProtection="1">
      <alignment horizontal="center"/>
    </xf>
    <xf numFmtId="0" fontId="29" fillId="0" borderId="1" xfId="0" applyFont="1" applyBorder="1" applyAlignment="1" applyProtection="1">
      <alignment vertical="center"/>
    </xf>
    <xf numFmtId="1" fontId="37" fillId="0" borderId="0" xfId="0" quotePrefix="1" applyNumberFormat="1" applyFont="1" applyAlignment="1" applyProtection="1">
      <alignment horizontal="left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1" fontId="36" fillId="0" borderId="0" xfId="0" applyNumberFormat="1" applyFont="1" applyFill="1" applyProtection="1"/>
    <xf numFmtId="164" fontId="33" fillId="34" borderId="2" xfId="0" applyNumberFormat="1" applyFont="1" applyFill="1" applyBorder="1" applyProtection="1"/>
    <xf numFmtId="0" fontId="30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right"/>
    </xf>
    <xf numFmtId="0" fontId="49" fillId="0" borderId="0" xfId="0" quotePrefix="1" applyFont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1" fillId="33" borderId="12" xfId="0" applyFont="1" applyFill="1" applyBorder="1" applyAlignment="1" applyProtection="1">
      <alignment horizontal="center" vertical="center" wrapText="1"/>
    </xf>
    <xf numFmtId="168" fontId="50" fillId="0" borderId="12" xfId="33" applyNumberFormat="1" applyFont="1" applyBorder="1" applyAlignment="1" applyProtection="1">
      <alignment horizontal="center"/>
    </xf>
    <xf numFmtId="166" fontId="31" fillId="0" borderId="10" xfId="0" applyNumberFormat="1" applyFont="1" applyBorder="1" applyAlignment="1" applyProtection="1">
      <alignment horizontal="center"/>
    </xf>
    <xf numFmtId="0" fontId="33" fillId="0" borderId="11" xfId="0" applyFont="1" applyBorder="1" applyAlignment="1" applyProtection="1">
      <alignment horizontal="right"/>
    </xf>
    <xf numFmtId="0" fontId="33" fillId="0" borderId="10" xfId="0" applyFont="1" applyBorder="1" applyAlignment="1" applyProtection="1">
      <alignment horizontal="right"/>
    </xf>
    <xf numFmtId="0" fontId="27" fillId="0" borderId="2" xfId="0" applyFont="1" applyBorder="1" applyProtection="1"/>
    <xf numFmtId="10" fontId="39" fillId="35" borderId="2" xfId="33" applyNumberFormat="1" applyFont="1" applyFill="1" applyBorder="1" applyAlignment="1" applyProtection="1">
      <alignment horizontal="center"/>
    </xf>
    <xf numFmtId="0" fontId="39" fillId="35" borderId="13" xfId="0" applyFont="1" applyFill="1" applyBorder="1" applyAlignment="1" applyProtection="1"/>
    <xf numFmtId="0" fontId="35" fillId="0" borderId="14" xfId="0" applyFont="1" applyBorder="1" applyProtection="1"/>
    <xf numFmtId="0" fontId="35" fillId="0" borderId="15" xfId="0" applyFont="1" applyBorder="1" applyProtection="1"/>
    <xf numFmtId="1" fontId="40" fillId="0" borderId="0" xfId="0" applyNumberFormat="1" applyFont="1" applyBorder="1" applyProtection="1"/>
    <xf numFmtId="10" fontId="38" fillId="0" borderId="2" xfId="33" applyNumberFormat="1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 vertical="center" wrapText="1"/>
    </xf>
    <xf numFmtId="164" fontId="33" fillId="34" borderId="4" xfId="0" applyNumberFormat="1" applyFont="1" applyFill="1" applyBorder="1" applyProtection="1"/>
    <xf numFmtId="166" fontId="33" fillId="34" borderId="9" xfId="0" applyNumberFormat="1" applyFont="1" applyFill="1" applyBorder="1" applyAlignment="1" applyProtection="1">
      <alignment horizontal="center"/>
    </xf>
    <xf numFmtId="166" fontId="31" fillId="0" borderId="11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 vertical="center"/>
    </xf>
    <xf numFmtId="166" fontId="31" fillId="0" borderId="6" xfId="0" applyNumberFormat="1" applyFont="1" applyBorder="1" applyAlignment="1" applyProtection="1">
      <alignment horizontal="center"/>
    </xf>
    <xf numFmtId="166" fontId="31" fillId="0" borderId="7" xfId="0" applyNumberFormat="1" applyFont="1" applyBorder="1" applyAlignment="1" applyProtection="1">
      <alignment horizontal="center"/>
    </xf>
    <xf numFmtId="166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71" fontId="30" fillId="0" borderId="2" xfId="0" applyNumberFormat="1" applyFont="1" applyBorder="1" applyProtection="1">
      <protection locked="0"/>
    </xf>
    <xf numFmtId="0" fontId="33" fillId="0" borderId="15" xfId="0" applyFont="1" applyBorder="1" applyAlignment="1" applyProtection="1">
      <alignment horizontal="center" vertical="center"/>
    </xf>
    <xf numFmtId="0" fontId="51" fillId="0" borderId="2" xfId="0" applyFont="1" applyBorder="1" applyProtection="1"/>
    <xf numFmtId="0" fontId="31" fillId="0" borderId="0" xfId="0" applyFont="1" applyBorder="1" applyAlignment="1" applyProtection="1"/>
    <xf numFmtId="0" fontId="29" fillId="0" borderId="0" xfId="0" quotePrefix="1" applyFont="1" applyAlignment="1" applyProtection="1">
      <alignment horizontal="right"/>
    </xf>
    <xf numFmtId="10" fontId="29" fillId="0" borderId="0" xfId="33" applyNumberFormat="1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right"/>
    </xf>
    <xf numFmtId="1" fontId="36" fillId="0" borderId="0" xfId="0" applyNumberFormat="1" applyFont="1" applyBorder="1" applyAlignment="1" applyProtection="1">
      <alignment horizontal="center"/>
    </xf>
    <xf numFmtId="1" fontId="36" fillId="0" borderId="13" xfId="0" applyNumberFormat="1" applyFont="1" applyBorder="1" applyAlignment="1" applyProtection="1">
      <alignment horizontal="center"/>
    </xf>
    <xf numFmtId="1" fontId="36" fillId="0" borderId="5" xfId="0" applyNumberFormat="1" applyFont="1" applyBorder="1" applyAlignment="1" applyProtection="1">
      <alignment horizontal="center"/>
    </xf>
    <xf numFmtId="1" fontId="36" fillId="0" borderId="2" xfId="0" applyNumberFormat="1" applyFont="1" applyBorder="1" applyAlignment="1" applyProtection="1">
      <alignment horizontal="center"/>
    </xf>
    <xf numFmtId="1" fontId="35" fillId="0" borderId="0" xfId="0" applyNumberFormat="1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center"/>
    </xf>
    <xf numFmtId="1" fontId="39" fillId="0" borderId="5" xfId="0" applyNumberFormat="1" applyFont="1" applyBorder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1" fontId="39" fillId="0" borderId="0" xfId="0" applyNumberFormat="1" applyFont="1" applyBorder="1" applyAlignment="1" applyProtection="1">
      <alignment horizontal="center"/>
    </xf>
    <xf numFmtId="10" fontId="47" fillId="0" borderId="6" xfId="33" applyNumberFormat="1" applyFont="1" applyBorder="1" applyAlignment="1" applyProtection="1">
      <alignment horizontal="center"/>
    </xf>
    <xf numFmtId="10" fontId="47" fillId="0" borderId="7" xfId="33" applyNumberFormat="1" applyFont="1" applyBorder="1" applyAlignment="1" applyProtection="1">
      <alignment horizontal="center"/>
    </xf>
    <xf numFmtId="10" fontId="47" fillId="0" borderId="8" xfId="33" applyNumberFormat="1" applyFont="1" applyBorder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1" fontId="28" fillId="0" borderId="0" xfId="0" applyNumberFormat="1" applyFont="1" applyAlignment="1" applyProtection="1">
      <alignment horizontal="center"/>
    </xf>
    <xf numFmtId="1" fontId="31" fillId="0" borderId="10" xfId="0" applyNumberFormat="1" applyFont="1" applyFill="1" applyBorder="1" applyAlignment="1" applyProtection="1">
      <alignment horizontal="center"/>
    </xf>
    <xf numFmtId="10" fontId="33" fillId="34" borderId="4" xfId="33" applyNumberFormat="1" applyFont="1" applyFill="1" applyBorder="1" applyAlignment="1" applyProtection="1">
      <alignment horizontal="center"/>
    </xf>
    <xf numFmtId="10" fontId="33" fillId="34" borderId="1" xfId="33" applyNumberFormat="1" applyFont="1" applyFill="1" applyBorder="1" applyAlignment="1" applyProtection="1">
      <alignment horizontal="center"/>
    </xf>
    <xf numFmtId="0" fontId="33" fillId="0" borderId="2" xfId="0" applyFont="1" applyBorder="1" applyProtection="1"/>
    <xf numFmtId="0" fontId="37" fillId="33" borderId="3" xfId="0" applyFont="1" applyFill="1" applyBorder="1" applyAlignment="1" applyProtection="1">
      <alignment horizontal="center" vertical="center" wrapText="1"/>
    </xf>
    <xf numFmtId="171" fontId="33" fillId="0" borderId="3" xfId="0" applyNumberFormat="1" applyFont="1" applyBorder="1" applyProtection="1"/>
    <xf numFmtId="171" fontId="33" fillId="0" borderId="2" xfId="0" applyNumberFormat="1" applyFont="1" applyBorder="1" applyProtection="1"/>
    <xf numFmtId="0" fontId="29" fillId="0" borderId="0" xfId="0" applyFont="1" applyBorder="1" applyAlignment="1" applyProtection="1">
      <alignment vertical="center"/>
    </xf>
    <xf numFmtId="10" fontId="52" fillId="0" borderId="0" xfId="0" applyNumberFormat="1" applyFont="1" applyBorder="1" applyAlignment="1" applyProtection="1">
      <alignment horizontal="center"/>
    </xf>
    <xf numFmtId="9" fontId="53" fillId="0" borderId="0" xfId="33" applyNumberFormat="1" applyFont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1" fontId="29" fillId="0" borderId="0" xfId="0" applyNumberFormat="1" applyFont="1" applyAlignment="1" applyProtection="1">
      <alignment horizontal="left"/>
    </xf>
    <xf numFmtId="0" fontId="33" fillId="0" borderId="0" xfId="0" applyFont="1" applyBorder="1" applyAlignment="1" applyProtection="1"/>
    <xf numFmtId="1" fontId="30" fillId="0" borderId="6" xfId="0" applyNumberFormat="1" applyFont="1" applyBorder="1" applyAlignment="1" applyProtection="1">
      <alignment horizontal="center"/>
    </xf>
    <xf numFmtId="1" fontId="30" fillId="0" borderId="7" xfId="0" applyNumberFormat="1" applyFont="1" applyBorder="1" applyAlignment="1" applyProtection="1">
      <alignment horizontal="center"/>
    </xf>
    <xf numFmtId="1" fontId="30" fillId="0" borderId="8" xfId="0" applyNumberFormat="1" applyFont="1" applyBorder="1" applyAlignment="1" applyProtection="1">
      <alignment horizontal="center"/>
    </xf>
    <xf numFmtId="10" fontId="43" fillId="0" borderId="13" xfId="33" applyNumberFormat="1" applyFont="1" applyBorder="1" applyAlignment="1" applyProtection="1">
      <alignment horizontal="center"/>
    </xf>
    <xf numFmtId="10" fontId="43" fillId="0" borderId="2" xfId="33" applyNumberFormat="1" applyFont="1" applyBorder="1" applyAlignment="1" applyProtection="1">
      <alignment horizontal="center"/>
    </xf>
    <xf numFmtId="10" fontId="43" fillId="0" borderId="4" xfId="33" applyNumberFormat="1" applyFont="1" applyBorder="1" applyAlignment="1" applyProtection="1">
      <alignment horizontal="center"/>
    </xf>
    <xf numFmtId="1" fontId="54" fillId="0" borderId="16" xfId="0" applyNumberFormat="1" applyFont="1" applyBorder="1" applyAlignment="1" applyProtection="1">
      <alignment horizontal="center"/>
      <protection locked="0"/>
    </xf>
    <xf numFmtId="1" fontId="55" fillId="33" borderId="12" xfId="0" applyNumberFormat="1" applyFont="1" applyFill="1" applyBorder="1" applyAlignment="1" applyProtection="1">
      <alignment horizontal="center" vertical="center" wrapText="1"/>
    </xf>
    <xf numFmtId="170" fontId="31" fillId="0" borderId="0" xfId="0" applyNumberFormat="1" applyFont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 vertical="center" wrapText="1"/>
    </xf>
    <xf numFmtId="170" fontId="33" fillId="0" borderId="0" xfId="0" applyNumberFormat="1" applyFont="1" applyBorder="1" applyAlignment="1" applyProtection="1">
      <alignment horizontal="center"/>
    </xf>
    <xf numFmtId="1" fontId="33" fillId="0" borderId="0" xfId="33" applyNumberFormat="1" applyFont="1" applyBorder="1" applyAlignment="1" applyProtection="1">
      <alignment horizontal="center"/>
    </xf>
    <xf numFmtId="166" fontId="33" fillId="0" borderId="0" xfId="33" applyNumberFormat="1" applyFont="1" applyBorder="1" applyAlignment="1" applyProtection="1">
      <alignment horizontal="center"/>
    </xf>
    <xf numFmtId="1" fontId="33" fillId="0" borderId="0" xfId="0" applyNumberFormat="1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/>
    </xf>
    <xf numFmtId="0" fontId="56" fillId="0" borderId="6" xfId="0" applyFont="1" applyBorder="1" applyAlignment="1" applyProtection="1">
      <alignment horizontal="center"/>
    </xf>
    <xf numFmtId="0" fontId="56" fillId="0" borderId="6" xfId="0" applyFont="1" applyBorder="1" applyAlignment="1" applyProtection="1">
      <alignment horizontal="left"/>
    </xf>
    <xf numFmtId="175" fontId="57" fillId="0" borderId="3" xfId="0" applyNumberFormat="1" applyFont="1" applyBorder="1" applyAlignment="1" applyProtection="1">
      <alignment horizontal="center"/>
    </xf>
    <xf numFmtId="1" fontId="33" fillId="0" borderId="2" xfId="0" applyNumberFormat="1" applyFont="1" applyBorder="1" applyAlignment="1" applyProtection="1">
      <alignment vertical="center" wrapText="1"/>
    </xf>
    <xf numFmtId="1" fontId="33" fillId="0" borderId="0" xfId="0" applyNumberFormat="1" applyFont="1" applyBorder="1" applyAlignment="1" applyProtection="1"/>
    <xf numFmtId="1" fontId="30" fillId="0" borderId="0" xfId="0" applyNumberFormat="1" applyFont="1" applyBorder="1" applyProtection="1"/>
    <xf numFmtId="1" fontId="58" fillId="0" borderId="9" xfId="0" applyNumberFormat="1" applyFont="1" applyFill="1" applyBorder="1" applyAlignment="1" applyProtection="1">
      <alignment horizontal="center"/>
    </xf>
    <xf numFmtId="168" fontId="37" fillId="0" borderId="10" xfId="33" applyNumberFormat="1" applyFont="1" applyFill="1" applyBorder="1" applyAlignment="1" applyProtection="1"/>
    <xf numFmtId="179" fontId="55" fillId="0" borderId="9" xfId="33" applyNumberFormat="1" applyFont="1" applyFill="1" applyBorder="1" applyAlignment="1" applyProtection="1">
      <alignment horizontal="center"/>
    </xf>
    <xf numFmtId="10" fontId="59" fillId="35" borderId="13" xfId="33" applyNumberFormat="1" applyFont="1" applyFill="1" applyBorder="1" applyAlignment="1" applyProtection="1">
      <alignment horizontal="left"/>
    </xf>
    <xf numFmtId="165" fontId="30" fillId="0" borderId="0" xfId="0" applyNumberFormat="1" applyFont="1" applyProtection="1"/>
    <xf numFmtId="165" fontId="35" fillId="0" borderId="0" xfId="0" applyNumberFormat="1" applyFont="1" applyProtection="1"/>
    <xf numFmtId="165" fontId="37" fillId="0" borderId="0" xfId="0" applyNumberFormat="1" applyFont="1" applyProtection="1"/>
    <xf numFmtId="165" fontId="31" fillId="0" borderId="0" xfId="0" applyNumberFormat="1" applyFont="1" applyProtection="1"/>
    <xf numFmtId="165" fontId="40" fillId="0" borderId="0" xfId="0" applyNumberFormat="1" applyFont="1" applyProtection="1"/>
    <xf numFmtId="165" fontId="33" fillId="0" borderId="0" xfId="0" applyNumberFormat="1" applyFont="1" applyAlignment="1" applyProtection="1">
      <alignment horizontal="center" vertical="center"/>
    </xf>
    <xf numFmtId="165" fontId="37" fillId="0" borderId="0" xfId="0" applyNumberFormat="1" applyFont="1" applyBorder="1" applyAlignment="1" applyProtection="1">
      <alignment horizontal="center" vertical="center" wrapText="1"/>
    </xf>
    <xf numFmtId="165" fontId="33" fillId="0" borderId="0" xfId="0" applyNumberFormat="1" applyFont="1" applyBorder="1" applyProtection="1"/>
    <xf numFmtId="165" fontId="33" fillId="0" borderId="1" xfId="0" applyNumberFormat="1" applyFont="1" applyBorder="1" applyProtection="1"/>
    <xf numFmtId="165" fontId="33" fillId="34" borderId="2" xfId="0" applyNumberFormat="1" applyFont="1" applyFill="1" applyBorder="1" applyProtection="1"/>
    <xf numFmtId="165" fontId="33" fillId="0" borderId="10" xfId="0" applyNumberFormat="1" applyFont="1" applyBorder="1" applyAlignment="1" applyProtection="1">
      <alignment horizontal="right"/>
    </xf>
    <xf numFmtId="165" fontId="29" fillId="0" borderId="0" xfId="0" applyNumberFormat="1" applyFont="1" applyProtection="1"/>
    <xf numFmtId="168" fontId="39" fillId="0" borderId="7" xfId="33" applyNumberFormat="1" applyFont="1" applyBorder="1" applyAlignment="1" applyProtection="1">
      <alignment horizontal="center"/>
    </xf>
    <xf numFmtId="0" fontId="60" fillId="0" borderId="0" xfId="0" applyFont="1" applyFill="1" applyBorder="1" applyAlignment="1" applyProtection="1">
      <alignment horizontal="center"/>
    </xf>
    <xf numFmtId="168" fontId="61" fillId="0" borderId="3" xfId="31" applyNumberFormat="1" applyFont="1" applyBorder="1" applyAlignment="1" applyProtection="1">
      <alignment horizontal="center"/>
    </xf>
    <xf numFmtId="178" fontId="39" fillId="0" borderId="8" xfId="31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vertical="center" wrapText="1"/>
    </xf>
    <xf numFmtId="1" fontId="31" fillId="0" borderId="9" xfId="0" applyNumberFormat="1" applyFont="1" applyBorder="1" applyAlignment="1" applyProtection="1">
      <alignment vertical="center" wrapText="1"/>
    </xf>
    <xf numFmtId="0" fontId="35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right" vertical="center"/>
    </xf>
    <xf numFmtId="0" fontId="62" fillId="0" borderId="0" xfId="0" applyFont="1" applyBorder="1" applyAlignment="1" applyProtection="1">
      <alignment horizontal="right"/>
    </xf>
    <xf numFmtId="175" fontId="57" fillId="0" borderId="6" xfId="0" applyNumberFormat="1" applyFont="1" applyBorder="1" applyAlignment="1" applyProtection="1">
      <alignment horizontal="center"/>
    </xf>
    <xf numFmtId="168" fontId="61" fillId="0" borderId="8" xfId="31" applyNumberFormat="1" applyFont="1" applyBorder="1" applyAlignment="1" applyProtection="1">
      <alignment horizontal="center"/>
    </xf>
    <xf numFmtId="0" fontId="36" fillId="0" borderId="15" xfId="0" applyFont="1" applyBorder="1" applyAlignment="1" applyProtection="1">
      <alignment horizontal="right"/>
    </xf>
    <xf numFmtId="10" fontId="33" fillId="34" borderId="7" xfId="33" applyNumberFormat="1" applyFont="1" applyFill="1" applyBorder="1" applyProtection="1"/>
    <xf numFmtId="10" fontId="33" fillId="34" borderId="0" xfId="33" applyNumberFormat="1" applyFont="1" applyFill="1" applyBorder="1" applyAlignment="1" applyProtection="1">
      <alignment horizontal="center"/>
    </xf>
    <xf numFmtId="1" fontId="40" fillId="0" borderId="13" xfId="0" applyNumberFormat="1" applyFont="1" applyBorder="1" applyProtection="1"/>
    <xf numFmtId="1" fontId="35" fillId="0" borderId="13" xfId="0" applyNumberFormat="1" applyFont="1" applyBorder="1" applyAlignment="1" applyProtection="1">
      <alignment horizontal="right"/>
    </xf>
    <xf numFmtId="1" fontId="41" fillId="0" borderId="0" xfId="0" applyNumberFormat="1" applyFont="1" applyFill="1" applyBorder="1" applyAlignment="1" applyProtection="1">
      <alignment horizontal="center"/>
    </xf>
    <xf numFmtId="1" fontId="42" fillId="0" borderId="0" xfId="0" applyNumberFormat="1" applyFont="1" applyFill="1" applyBorder="1" applyAlignment="1" applyProtection="1">
      <alignment horizontal="center"/>
    </xf>
    <xf numFmtId="1" fontId="58" fillId="0" borderId="10" xfId="0" applyNumberFormat="1" applyFont="1" applyFill="1" applyBorder="1" applyAlignment="1" applyProtection="1">
      <alignment horizontal="center"/>
    </xf>
    <xf numFmtId="9" fontId="36" fillId="0" borderId="15" xfId="0" quotePrefix="1" applyNumberFormat="1" applyFont="1" applyBorder="1" applyAlignment="1" applyProtection="1">
      <alignment horizontal="right"/>
    </xf>
    <xf numFmtId="2" fontId="60" fillId="0" borderId="9" xfId="33" applyNumberFormat="1" applyFont="1" applyBorder="1" applyAlignment="1" applyProtection="1">
      <alignment horizontal="center"/>
    </xf>
    <xf numFmtId="175" fontId="63" fillId="0" borderId="7" xfId="0" applyNumberFormat="1" applyFont="1" applyBorder="1" applyAlignment="1" applyProtection="1">
      <alignment horizontal="center"/>
    </xf>
    <xf numFmtId="2" fontId="43" fillId="0" borderId="11" xfId="33" applyNumberFormat="1" applyFont="1" applyFill="1" applyBorder="1" applyAlignment="1" applyProtection="1">
      <alignment horizontal="center"/>
    </xf>
    <xf numFmtId="2" fontId="43" fillId="0" borderId="10" xfId="33" applyNumberFormat="1" applyFont="1" applyBorder="1" applyAlignment="1" applyProtection="1">
      <alignment horizontal="center"/>
    </xf>
    <xf numFmtId="2" fontId="43" fillId="0" borderId="11" xfId="33" applyNumberFormat="1" applyFont="1" applyBorder="1" applyAlignment="1" applyProtection="1">
      <alignment horizontal="center"/>
    </xf>
    <xf numFmtId="2" fontId="43" fillId="0" borderId="9" xfId="33" applyNumberFormat="1" applyFont="1" applyBorder="1" applyAlignment="1" applyProtection="1">
      <alignment horizontal="center"/>
    </xf>
    <xf numFmtId="10" fontId="31" fillId="34" borderId="4" xfId="33" applyNumberFormat="1" applyFont="1" applyFill="1" applyBorder="1" applyAlignment="1" applyProtection="1">
      <alignment horizontal="center"/>
    </xf>
    <xf numFmtId="10" fontId="31" fillId="34" borderId="1" xfId="33" applyNumberFormat="1" applyFont="1" applyFill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10" fontId="43" fillId="0" borderId="2" xfId="33" applyNumberFormat="1" applyFont="1" applyFill="1" applyBorder="1" applyAlignment="1" applyProtection="1">
      <alignment horizontal="center"/>
    </xf>
    <xf numFmtId="0" fontId="64" fillId="0" borderId="7" xfId="0" applyFont="1" applyFill="1" applyBorder="1" applyAlignment="1" applyProtection="1">
      <alignment textRotation="90"/>
    </xf>
    <xf numFmtId="1" fontId="33" fillId="0" borderId="1" xfId="33" applyNumberFormat="1" applyFont="1" applyBorder="1" applyAlignment="1" applyProtection="1">
      <alignment horizontal="center"/>
    </xf>
    <xf numFmtId="165" fontId="33" fillId="0" borderId="2" xfId="0" applyNumberFormat="1" applyFont="1" applyFill="1" applyBorder="1" applyProtection="1"/>
    <xf numFmtId="1" fontId="35" fillId="0" borderId="15" xfId="0" applyNumberFormat="1" applyFont="1" applyBorder="1" applyAlignment="1" applyProtection="1">
      <alignment horizontal="right"/>
    </xf>
    <xf numFmtId="1" fontId="65" fillId="0" borderId="1" xfId="0" applyNumberFormat="1" applyFont="1" applyFill="1" applyBorder="1" applyAlignment="1" applyProtection="1">
      <alignment horizontal="center"/>
    </xf>
    <xf numFmtId="1" fontId="66" fillId="0" borderId="9" xfId="0" applyNumberFormat="1" applyFont="1" applyFill="1" applyBorder="1" applyAlignment="1" applyProtection="1">
      <alignment horizontal="center"/>
    </xf>
    <xf numFmtId="0" fontId="67" fillId="0" borderId="0" xfId="0" applyFont="1" applyBorder="1" applyProtection="1"/>
    <xf numFmtId="0" fontId="2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29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7" fillId="0" borderId="0" xfId="0" applyFont="1" applyBorder="1" applyProtection="1"/>
    <xf numFmtId="0" fontId="60" fillId="0" borderId="13" xfId="0" applyFont="1" applyFill="1" applyBorder="1" applyAlignment="1" applyProtection="1"/>
    <xf numFmtId="0" fontId="60" fillId="0" borderId="5" xfId="0" applyFont="1" applyFill="1" applyBorder="1" applyAlignment="1" applyProtection="1"/>
    <xf numFmtId="0" fontId="60" fillId="0" borderId="11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/>
    </xf>
    <xf numFmtId="1" fontId="40" fillId="0" borderId="0" xfId="0" applyNumberFormat="1" applyFont="1" applyFill="1" applyBorder="1" applyProtection="1"/>
    <xf numFmtId="1" fontId="33" fillId="0" borderId="5" xfId="33" applyNumberFormat="1" applyFont="1" applyFill="1" applyBorder="1" applyAlignment="1" applyProtection="1">
      <alignment horizontal="center"/>
    </xf>
    <xf numFmtId="2" fontId="43" fillId="0" borderId="5" xfId="33" applyNumberFormat="1" applyFont="1" applyFill="1" applyBorder="1" applyAlignment="1" applyProtection="1">
      <alignment horizontal="center"/>
    </xf>
    <xf numFmtId="2" fontId="43" fillId="0" borderId="0" xfId="33" applyNumberFormat="1" applyFont="1" applyBorder="1" applyAlignment="1" applyProtection="1">
      <alignment horizontal="center"/>
    </xf>
    <xf numFmtId="2" fontId="43" fillId="0" borderId="5" xfId="33" applyNumberFormat="1" applyFont="1" applyBorder="1" applyAlignment="1" applyProtection="1">
      <alignment horizontal="center"/>
    </xf>
    <xf numFmtId="2" fontId="43" fillId="0" borderId="1" xfId="33" applyNumberFormat="1" applyFont="1" applyBorder="1" applyAlignment="1" applyProtection="1">
      <alignment horizontal="center"/>
    </xf>
    <xf numFmtId="0" fontId="30" fillId="0" borderId="15" xfId="0" applyFont="1" applyBorder="1" applyProtection="1"/>
    <xf numFmtId="0" fontId="30" fillId="0" borderId="12" xfId="0" applyFont="1" applyBorder="1" applyProtection="1"/>
    <xf numFmtId="175" fontId="68" fillId="0" borderId="7" xfId="0" applyNumberFormat="1" applyFont="1" applyFill="1" applyBorder="1" applyAlignment="1" applyProtection="1">
      <alignment horizontal="center"/>
    </xf>
    <xf numFmtId="168" fontId="60" fillId="0" borderId="7" xfId="33" applyNumberFormat="1" applyFont="1" applyFill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2" xfId="0" applyFont="1" applyBorder="1" applyAlignment="1" applyProtection="1"/>
    <xf numFmtId="2" fontId="33" fillId="0" borderId="13" xfId="0" applyNumberFormat="1" applyFont="1" applyFill="1" applyBorder="1" applyProtection="1"/>
    <xf numFmtId="2" fontId="33" fillId="0" borderId="5" xfId="0" applyNumberFormat="1" applyFont="1" applyFill="1" applyBorder="1" applyProtection="1"/>
    <xf numFmtId="0" fontId="35" fillId="0" borderId="5" xfId="0" applyFont="1" applyFill="1" applyBorder="1" applyProtection="1"/>
    <xf numFmtId="2" fontId="33" fillId="0" borderId="11" xfId="0" applyNumberFormat="1" applyFont="1" applyFill="1" applyBorder="1" applyProtection="1"/>
    <xf numFmtId="0" fontId="33" fillId="0" borderId="3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/>
    </xf>
    <xf numFmtId="182" fontId="60" fillId="0" borderId="7" xfId="33" applyNumberFormat="1" applyFont="1" applyFill="1" applyBorder="1" applyAlignment="1" applyProtection="1">
      <alignment horizontal="center"/>
    </xf>
    <xf numFmtId="182" fontId="60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0" fillId="0" borderId="8" xfId="33" applyNumberFormat="1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166" fontId="50" fillId="0" borderId="8" xfId="33" applyNumberFormat="1" applyFont="1" applyBorder="1" applyAlignment="1" applyProtection="1">
      <alignment horizontal="center" vertical="center"/>
    </xf>
    <xf numFmtId="9" fontId="60" fillId="0" borderId="7" xfId="33" applyNumberFormat="1" applyFont="1" applyFill="1" applyBorder="1" applyAlignment="1" applyProtection="1">
      <alignment horizontal="center"/>
    </xf>
    <xf numFmtId="0" fontId="49" fillId="0" borderId="2" xfId="0" applyFont="1" applyBorder="1" applyAlignment="1" applyProtection="1">
      <alignment horizontal="left"/>
    </xf>
    <xf numFmtId="2" fontId="33" fillId="0" borderId="13" xfId="0" applyNumberFormat="1" applyFont="1" applyBorder="1" applyProtection="1"/>
    <xf numFmtId="2" fontId="33" fillId="0" borderId="5" xfId="0" applyNumberFormat="1" applyFont="1" applyBorder="1" applyProtection="1"/>
    <xf numFmtId="0" fontId="35" fillId="0" borderId="5" xfId="0" applyFont="1" applyBorder="1" applyProtection="1"/>
    <xf numFmtId="0" fontId="35" fillId="0" borderId="2" xfId="0" applyFont="1" applyBorder="1" applyAlignment="1" applyProtection="1">
      <alignment horizontal="center"/>
    </xf>
    <xf numFmtId="0" fontId="60" fillId="0" borderId="4" xfId="0" applyFont="1" applyFill="1" applyBorder="1" applyAlignment="1" applyProtection="1">
      <alignment horizontal="center"/>
    </xf>
    <xf numFmtId="0" fontId="60" fillId="0" borderId="1" xfId="0" applyFont="1" applyFill="1" applyBorder="1" applyAlignment="1" applyProtection="1">
      <alignment horizontal="center"/>
    </xf>
    <xf numFmtId="9" fontId="60" fillId="0" borderId="7" xfId="0" applyNumberFormat="1" applyFont="1" applyBorder="1" applyAlignment="1" applyProtection="1">
      <alignment horizontal="center"/>
    </xf>
    <xf numFmtId="168" fontId="60" fillId="0" borderId="8" xfId="33" applyNumberFormat="1" applyFont="1" applyBorder="1" applyAlignment="1" applyProtection="1">
      <alignment horizontal="center" vertical="center"/>
    </xf>
    <xf numFmtId="10" fontId="30" fillId="0" borderId="0" xfId="0" applyNumberFormat="1" applyFont="1" applyProtection="1"/>
    <xf numFmtId="10" fontId="35" fillId="0" borderId="0" xfId="0" applyNumberFormat="1" applyFont="1" applyProtection="1"/>
    <xf numFmtId="10" fontId="38" fillId="0" borderId="0" xfId="0" applyNumberFormat="1" applyFont="1" applyBorder="1" applyAlignment="1" applyProtection="1"/>
    <xf numFmtId="10" fontId="33" fillId="0" borderId="1" xfId="0" applyNumberFormat="1" applyFont="1" applyBorder="1" applyAlignment="1" applyProtection="1">
      <alignment horizontal="center" vertical="center"/>
    </xf>
    <xf numFmtId="10" fontId="69" fillId="33" borderId="3" xfId="33" applyNumberFormat="1" applyFont="1" applyFill="1" applyBorder="1" applyAlignment="1" applyProtection="1">
      <alignment horizontal="center" vertical="center" wrapText="1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69" fillId="0" borderId="6" xfId="33" applyNumberFormat="1" applyFont="1" applyBorder="1" applyAlignment="1" applyProtection="1">
      <alignment horizontal="center"/>
    </xf>
    <xf numFmtId="10" fontId="70" fillId="0" borderId="6" xfId="33" applyNumberFormat="1" applyFont="1" applyBorder="1" applyAlignment="1" applyProtection="1">
      <alignment horizontal="center"/>
    </xf>
    <xf numFmtId="10" fontId="69" fillId="0" borderId="7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69" fillId="0" borderId="3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9" fontId="37" fillId="0" borderId="0" xfId="33" applyFont="1" applyFill="1" applyBorder="1" applyAlignment="1" applyProtection="1">
      <alignment horizontal="right"/>
    </xf>
    <xf numFmtId="9" fontId="37" fillId="0" borderId="0" xfId="33" applyFont="1" applyFill="1" applyAlignment="1" applyProtection="1">
      <alignment horizontal="right"/>
    </xf>
    <xf numFmtId="9" fontId="60" fillId="0" borderId="7" xfId="0" applyNumberFormat="1" applyFont="1" applyFill="1" applyBorder="1" applyAlignment="1" applyProtection="1">
      <alignment horizontal="center"/>
    </xf>
    <xf numFmtId="182" fontId="60" fillId="0" borderId="8" xfId="0" applyNumberFormat="1" applyFont="1" applyFill="1" applyBorder="1" applyAlignment="1" applyProtection="1">
      <alignment horizontal="center"/>
    </xf>
    <xf numFmtId="0" fontId="30" fillId="0" borderId="15" xfId="0" applyFont="1" applyFill="1" applyBorder="1" applyProtection="1"/>
    <xf numFmtId="0" fontId="30" fillId="0" borderId="12" xfId="0" applyFont="1" applyFill="1" applyBorder="1" applyProtection="1"/>
    <xf numFmtId="1" fontId="33" fillId="0" borderId="0" xfId="33" applyNumberFormat="1" applyFont="1" applyFill="1" applyBorder="1" applyAlignment="1" applyProtection="1">
      <alignment horizontal="center"/>
    </xf>
    <xf numFmtId="2" fontId="43" fillId="0" borderId="0" xfId="33" applyNumberFormat="1" applyFont="1" applyFill="1" applyBorder="1" applyAlignment="1" applyProtection="1">
      <alignment horizontal="center"/>
    </xf>
    <xf numFmtId="10" fontId="43" fillId="0" borderId="13" xfId="33" applyNumberFormat="1" applyFont="1" applyFill="1" applyBorder="1" applyAlignment="1" applyProtection="1">
      <alignment horizontal="center"/>
    </xf>
    <xf numFmtId="9" fontId="43" fillId="0" borderId="5" xfId="33" applyNumberFormat="1" applyFont="1" applyFill="1" applyBorder="1" applyAlignment="1" applyProtection="1">
      <alignment horizontal="center"/>
    </xf>
    <xf numFmtId="166" fontId="33" fillId="0" borderId="5" xfId="33" applyNumberFormat="1" applyFont="1" applyFill="1" applyBorder="1" applyAlignment="1" applyProtection="1">
      <alignment horizontal="center"/>
    </xf>
    <xf numFmtId="9" fontId="43" fillId="0" borderId="0" xfId="33" applyNumberFormat="1" applyFont="1" applyBorder="1" applyAlignment="1" applyProtection="1">
      <alignment horizontal="center"/>
    </xf>
    <xf numFmtId="9" fontId="60" fillId="0" borderId="1" xfId="33" applyNumberFormat="1" applyFont="1" applyBorder="1" applyAlignment="1" applyProtection="1">
      <alignment horizontal="center"/>
    </xf>
    <xf numFmtId="2" fontId="60" fillId="0" borderId="1" xfId="33" applyNumberFormat="1" applyFont="1" applyBorder="1" applyAlignment="1" applyProtection="1">
      <alignment horizontal="center"/>
    </xf>
    <xf numFmtId="2" fontId="31" fillId="34" borderId="1" xfId="33" applyNumberFormat="1" applyFont="1" applyFill="1" applyBorder="1" applyAlignment="1" applyProtection="1">
      <alignment horizontal="center"/>
    </xf>
    <xf numFmtId="10" fontId="31" fillId="34" borderId="9" xfId="33" applyNumberFormat="1" applyFont="1" applyFill="1" applyBorder="1" applyAlignment="1" applyProtection="1">
      <alignment horizontal="center"/>
    </xf>
    <xf numFmtId="168" fontId="43" fillId="0" borderId="5" xfId="33" applyNumberFormat="1" applyFont="1" applyBorder="1" applyAlignment="1" applyProtection="1">
      <alignment horizontal="center"/>
    </xf>
    <xf numFmtId="166" fontId="33" fillId="0" borderId="5" xfId="33" applyNumberFormat="1" applyFont="1" applyBorder="1" applyAlignment="1" applyProtection="1">
      <alignment horizontal="center"/>
    </xf>
    <xf numFmtId="168" fontId="43" fillId="0" borderId="0" xfId="33" applyNumberFormat="1" applyFont="1" applyBorder="1" applyAlignment="1" applyProtection="1">
      <alignment horizontal="center"/>
    </xf>
    <xf numFmtId="168" fontId="43" fillId="0" borderId="1" xfId="33" applyNumberFormat="1" applyFont="1" applyBorder="1" applyAlignment="1" applyProtection="1">
      <alignment horizontal="center"/>
    </xf>
    <xf numFmtId="166" fontId="33" fillId="0" borderId="1" xfId="33" applyNumberFormat="1" applyFont="1" applyBorder="1" applyAlignment="1" applyProtection="1">
      <alignment horizontal="center"/>
    </xf>
    <xf numFmtId="0" fontId="60" fillId="0" borderId="13" xfId="0" applyFont="1" applyFill="1" applyBorder="1" applyAlignment="1" applyProtection="1">
      <alignment vertical="center"/>
    </xf>
    <xf numFmtId="0" fontId="60" fillId="0" borderId="5" xfId="0" applyFont="1" applyFill="1" applyBorder="1" applyAlignment="1" applyProtection="1">
      <alignment vertical="center"/>
    </xf>
    <xf numFmtId="0" fontId="60" fillId="0" borderId="11" xfId="0" applyFont="1" applyFill="1" applyBorder="1" applyAlignment="1" applyProtection="1">
      <alignment vertical="center"/>
    </xf>
    <xf numFmtId="168" fontId="39" fillId="0" borderId="7" xfId="33" applyNumberFormat="1" applyFont="1" applyFill="1" applyBorder="1" applyAlignment="1" applyProtection="1">
      <alignment horizontal="center"/>
    </xf>
    <xf numFmtId="0" fontId="39" fillId="0" borderId="0" xfId="0" applyFont="1" applyAlignment="1" applyProtection="1">
      <alignment horizontal="right"/>
    </xf>
    <xf numFmtId="165" fontId="38" fillId="0" borderId="0" xfId="0" applyNumberFormat="1" applyFont="1" applyProtection="1"/>
    <xf numFmtId="165" fontId="71" fillId="0" borderId="0" xfId="0" applyNumberFormat="1" applyFont="1" applyProtection="1"/>
    <xf numFmtId="10" fontId="43" fillId="34" borderId="2" xfId="33" applyNumberFormat="1" applyFont="1" applyFill="1" applyBorder="1" applyAlignment="1" applyProtection="1">
      <alignment horizontal="center"/>
    </xf>
    <xf numFmtId="2" fontId="43" fillId="34" borderId="0" xfId="33" applyNumberFormat="1" applyFont="1" applyFill="1" applyBorder="1" applyAlignment="1" applyProtection="1">
      <alignment horizontal="center"/>
    </xf>
    <xf numFmtId="10" fontId="38" fillId="0" borderId="0" xfId="33" applyNumberFormat="1" applyFont="1" applyFill="1" applyBorder="1" applyAlignment="1" applyProtection="1">
      <alignment horizontal="center"/>
    </xf>
    <xf numFmtId="175" fontId="63" fillId="0" borderId="7" xfId="0" applyNumberFormat="1" applyFont="1" applyFill="1" applyBorder="1" applyAlignment="1" applyProtection="1">
      <alignment horizontal="center"/>
    </xf>
    <xf numFmtId="171" fontId="33" fillId="0" borderId="4" xfId="0" applyNumberFormat="1" applyFont="1" applyBorder="1" applyProtection="1"/>
    <xf numFmtId="10" fontId="38" fillId="0" borderId="4" xfId="33" applyNumberFormat="1" applyFont="1" applyBorder="1" applyAlignment="1" applyProtection="1">
      <alignment horizontal="center"/>
    </xf>
    <xf numFmtId="9" fontId="43" fillId="0" borderId="1" xfId="33" applyNumberFormat="1" applyFont="1" applyBorder="1" applyAlignment="1" applyProtection="1">
      <alignment horizontal="center"/>
    </xf>
    <xf numFmtId="1" fontId="72" fillId="0" borderId="5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8" fillId="33" borderId="3" xfId="0" applyFont="1" applyFill="1" applyBorder="1" applyAlignment="1" applyProtection="1">
      <alignment horizontal="center" vertical="center" wrapText="1"/>
    </xf>
    <xf numFmtId="1" fontId="71" fillId="33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vertical="center"/>
    </xf>
    <xf numFmtId="1" fontId="73" fillId="0" borderId="0" xfId="0" applyNumberFormat="1" applyFont="1" applyProtection="1"/>
    <xf numFmtId="0" fontId="37" fillId="0" borderId="1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 wrapText="1"/>
    </xf>
    <xf numFmtId="168" fontId="43" fillId="0" borderId="13" xfId="33" applyNumberFormat="1" applyFont="1" applyFill="1" applyBorder="1" applyAlignment="1" applyProtection="1">
      <alignment horizontal="center"/>
    </xf>
    <xf numFmtId="168" fontId="43" fillId="0" borderId="2" xfId="33" applyNumberFormat="1" applyFont="1" applyBorder="1" applyAlignment="1" applyProtection="1">
      <alignment horizontal="center"/>
    </xf>
    <xf numFmtId="168" fontId="43" fillId="34" borderId="2" xfId="33" applyNumberFormat="1" applyFont="1" applyFill="1" applyBorder="1" applyAlignment="1" applyProtection="1">
      <alignment horizontal="center"/>
    </xf>
    <xf numFmtId="168" fontId="43" fillId="0" borderId="13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left"/>
    </xf>
    <xf numFmtId="10" fontId="36" fillId="0" borderId="0" xfId="33" applyNumberFormat="1" applyFont="1" applyAlignment="1" applyProtection="1">
      <alignment horizontal="center"/>
    </xf>
    <xf numFmtId="177" fontId="36" fillId="33" borderId="3" xfId="0" applyNumberFormat="1" applyFont="1" applyFill="1" applyBorder="1" applyAlignment="1" applyProtection="1">
      <alignment horizontal="center" vertical="center" wrapText="1"/>
    </xf>
    <xf numFmtId="2" fontId="36" fillId="0" borderId="5" xfId="0" applyNumberFormat="1" applyFont="1" applyBorder="1" applyAlignment="1" applyProtection="1">
      <alignment horizontal="center"/>
    </xf>
    <xf numFmtId="2" fontId="36" fillId="0" borderId="5" xfId="33" applyNumberFormat="1" applyFont="1" applyBorder="1" applyAlignment="1" applyProtection="1">
      <alignment horizontal="center"/>
    </xf>
    <xf numFmtId="2" fontId="35" fillId="0" borderId="5" xfId="0" applyNumberFormat="1" applyFont="1" applyBorder="1" applyAlignment="1" applyProtection="1">
      <alignment horizontal="center"/>
    </xf>
    <xf numFmtId="2" fontId="35" fillId="0" borderId="0" xfId="0" applyNumberFormat="1" applyFont="1" applyBorder="1" applyAlignment="1" applyProtection="1">
      <alignment horizontal="center"/>
    </xf>
    <xf numFmtId="2" fontId="36" fillId="0" borderId="11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6" fillId="0" borderId="0" xfId="33" applyNumberFormat="1" applyFont="1" applyBorder="1" applyAlignment="1" applyProtection="1">
      <alignment horizontal="center"/>
    </xf>
    <xf numFmtId="2" fontId="36" fillId="0" borderId="10" xfId="0" applyNumberFormat="1" applyFont="1" applyBorder="1" applyAlignment="1" applyProtection="1">
      <alignment horizontal="center"/>
    </xf>
    <xf numFmtId="2" fontId="49" fillId="0" borderId="6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2" fontId="48" fillId="0" borderId="7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184" fontId="29" fillId="0" borderId="0" xfId="0" applyNumberFormat="1" applyFont="1" applyProtection="1"/>
    <xf numFmtId="184" fontId="31" fillId="0" borderId="15" xfId="0" applyNumberFormat="1" applyFont="1" applyBorder="1" applyAlignment="1" applyProtection="1">
      <alignment horizontal="right"/>
    </xf>
    <xf numFmtId="184" fontId="33" fillId="33" borderId="6" xfId="0" applyNumberFormat="1" applyFont="1" applyFill="1" applyBorder="1" applyAlignment="1" applyProtection="1">
      <alignment horizontal="center" vertical="center" wrapText="1"/>
    </xf>
    <xf numFmtId="184" fontId="33" fillId="0" borderId="0" xfId="0" applyNumberFormat="1" applyFont="1" applyBorder="1" applyProtection="1"/>
    <xf numFmtId="184" fontId="33" fillId="0" borderId="9" xfId="0" applyNumberFormat="1" applyFont="1" applyBorder="1" applyProtection="1"/>
    <xf numFmtId="0" fontId="37" fillId="0" borderId="2" xfId="0" applyFont="1" applyBorder="1" applyAlignment="1" applyProtection="1">
      <alignment horizontal="center"/>
    </xf>
    <xf numFmtId="1" fontId="37" fillId="0" borderId="0" xfId="0" applyNumberFormat="1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/>
    </xf>
    <xf numFmtId="1" fontId="36" fillId="0" borderId="18" xfId="0" applyNumberFormat="1" applyFont="1" applyBorder="1" applyAlignment="1" applyProtection="1">
      <alignment horizontal="center"/>
    </xf>
    <xf numFmtId="1" fontId="39" fillId="0" borderId="18" xfId="0" applyNumberFormat="1" applyFont="1" applyBorder="1" applyAlignment="1" applyProtection="1">
      <alignment horizontal="center"/>
    </xf>
    <xf numFmtId="1" fontId="72" fillId="0" borderId="18" xfId="0" applyNumberFormat="1" applyFont="1" applyBorder="1" applyAlignment="1" applyProtection="1">
      <alignment horizontal="center"/>
    </xf>
    <xf numFmtId="9" fontId="74" fillId="0" borderId="19" xfId="33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center"/>
    </xf>
    <xf numFmtId="1" fontId="33" fillId="0" borderId="0" xfId="0" applyNumberFormat="1" applyFont="1" applyAlignment="1" applyProtection="1">
      <alignment horizontal="center"/>
    </xf>
    <xf numFmtId="10" fontId="33" fillId="0" borderId="0" xfId="33" applyNumberFormat="1" applyFont="1" applyAlignment="1" applyProtection="1">
      <alignment horizontal="center"/>
    </xf>
    <xf numFmtId="0" fontId="75" fillId="0" borderId="0" xfId="0" applyFont="1" applyAlignment="1" applyProtection="1">
      <alignment horizontal="center" vertical="center" wrapText="1"/>
    </xf>
    <xf numFmtId="2" fontId="30" fillId="0" borderId="6" xfId="0" applyNumberFormat="1" applyFont="1" applyBorder="1" applyProtection="1"/>
    <xf numFmtId="2" fontId="30" fillId="0" borderId="13" xfId="0" applyNumberFormat="1" applyFont="1" applyBorder="1" applyProtection="1"/>
    <xf numFmtId="2" fontId="30" fillId="0" borderId="7" xfId="0" applyNumberFormat="1" applyFont="1" applyBorder="1" applyProtection="1"/>
    <xf numFmtId="2" fontId="30" fillId="0" borderId="2" xfId="0" applyNumberFormat="1" applyFont="1" applyBorder="1" applyProtection="1"/>
    <xf numFmtId="2" fontId="30" fillId="0" borderId="8" xfId="0" applyNumberFormat="1" applyFont="1" applyBorder="1" applyProtection="1"/>
    <xf numFmtId="2" fontId="30" fillId="0" borderId="4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2" xfId="0" applyNumberFormat="1" applyFont="1" applyBorder="1" applyProtection="1"/>
    <xf numFmtId="2" fontId="31" fillId="0" borderId="4" xfId="0" applyNumberFormat="1" applyFont="1" applyBorder="1" applyProtection="1"/>
    <xf numFmtId="2" fontId="30" fillId="0" borderId="6" xfId="0" applyNumberFormat="1" applyFont="1" applyFill="1" applyBorder="1" applyProtection="1"/>
    <xf numFmtId="2" fontId="30" fillId="0" borderId="7" xfId="0" applyNumberFormat="1" applyFont="1" applyFill="1" applyBorder="1" applyProtection="1"/>
    <xf numFmtId="2" fontId="31" fillId="34" borderId="8" xfId="0" applyNumberFormat="1" applyFont="1" applyFill="1" applyBorder="1" applyProtection="1"/>
    <xf numFmtId="2" fontId="31" fillId="0" borderId="0" xfId="0" applyNumberFormat="1" applyFont="1" applyFill="1" applyBorder="1" applyAlignment="1" applyProtection="1">
      <alignment horizontal="right"/>
    </xf>
    <xf numFmtId="2" fontId="31" fillId="0" borderId="10" xfId="0" applyNumberFormat="1" applyFont="1" applyFill="1" applyBorder="1" applyAlignment="1" applyProtection="1">
      <alignment horizontal="right"/>
    </xf>
    <xf numFmtId="2" fontId="30" fillId="34" borderId="1" xfId="0" applyNumberFormat="1" applyFont="1" applyFill="1" applyBorder="1" applyProtection="1"/>
    <xf numFmtId="2" fontId="30" fillId="34" borderId="9" xfId="0" applyNumberFormat="1" applyFont="1" applyFill="1" applyBorder="1" applyProtection="1"/>
    <xf numFmtId="0" fontId="49" fillId="33" borderId="6" xfId="0" applyFont="1" applyFill="1" applyBorder="1" applyAlignment="1" applyProtection="1">
      <alignment horizontal="center" vertical="center" wrapText="1"/>
    </xf>
    <xf numFmtId="2" fontId="31" fillId="0" borderId="0" xfId="0" applyNumberFormat="1" applyFont="1" applyBorder="1" applyProtection="1"/>
    <xf numFmtId="2" fontId="31" fillId="0" borderId="0" xfId="0" applyNumberFormat="1" applyFont="1" applyAlignment="1" applyProtection="1">
      <alignment horizontal="center"/>
    </xf>
    <xf numFmtId="2" fontId="30" fillId="0" borderId="0" xfId="0" applyNumberFormat="1" applyFont="1" applyAlignment="1" applyProtection="1"/>
    <xf numFmtId="2" fontId="30" fillId="0" borderId="0" xfId="0" applyNumberFormat="1" applyFont="1" applyFill="1" applyBorder="1" applyProtection="1"/>
    <xf numFmtId="2" fontId="33" fillId="34" borderId="0" xfId="0" applyNumberFormat="1" applyFont="1" applyFill="1" applyBorder="1" applyProtection="1"/>
    <xf numFmtId="2" fontId="30" fillId="34" borderId="0" xfId="0" applyNumberFormat="1" applyFont="1" applyFill="1" applyBorder="1" applyProtection="1"/>
    <xf numFmtId="2" fontId="31" fillId="0" borderId="5" xfId="0" applyNumberFormat="1" applyFont="1" applyBorder="1" applyProtection="1"/>
    <xf numFmtId="2" fontId="30" fillId="34" borderId="7" xfId="0" applyNumberFormat="1" applyFont="1" applyFill="1" applyBorder="1" applyProtection="1"/>
    <xf numFmtId="2" fontId="31" fillId="0" borderId="1" xfId="0" applyNumberFormat="1" applyFont="1" applyFill="1" applyBorder="1" applyAlignment="1" applyProtection="1">
      <alignment horizontal="right"/>
    </xf>
    <xf numFmtId="2" fontId="31" fillId="0" borderId="9" xfId="0" applyNumberFormat="1" applyFont="1" applyFill="1" applyBorder="1" applyAlignment="1" applyProtection="1">
      <alignment horizontal="right"/>
    </xf>
    <xf numFmtId="2" fontId="31" fillId="0" borderId="5" xfId="0" applyNumberFormat="1" applyFont="1" applyFill="1" applyBorder="1" applyAlignment="1" applyProtection="1">
      <alignment horizontal="right"/>
    </xf>
    <xf numFmtId="2" fontId="33" fillId="34" borderId="1" xfId="0" applyNumberFormat="1" applyFont="1" applyFill="1" applyBorder="1" applyProtection="1"/>
    <xf numFmtId="2" fontId="76" fillId="0" borderId="0" xfId="0" applyNumberFormat="1" applyFont="1" applyAlignment="1" applyProtection="1"/>
    <xf numFmtId="0" fontId="29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1" fontId="33" fillId="0" borderId="3" xfId="0" applyNumberFormat="1" applyFont="1" applyFill="1" applyBorder="1" applyAlignment="1" applyProtection="1">
      <alignment horizontal="center" vertical="center" wrapText="1"/>
    </xf>
    <xf numFmtId="165" fontId="33" fillId="0" borderId="0" xfId="0" applyNumberFormat="1" applyFont="1" applyFill="1" applyProtection="1"/>
    <xf numFmtId="1" fontId="33" fillId="0" borderId="14" xfId="0" applyNumberFormat="1" applyFont="1" applyFill="1" applyBorder="1" applyAlignment="1" applyProtection="1">
      <alignment horizontal="center" vertical="center" wrapText="1"/>
    </xf>
    <xf numFmtId="1" fontId="33" fillId="0" borderId="12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Protection="1"/>
    <xf numFmtId="2" fontId="76" fillId="0" borderId="20" xfId="0" applyNumberFormat="1" applyFont="1" applyBorder="1" applyProtection="1">
      <protection locked="0"/>
    </xf>
    <xf numFmtId="2" fontId="76" fillId="0" borderId="21" xfId="0" applyNumberFormat="1" applyFont="1" applyBorder="1" applyProtection="1">
      <protection locked="0"/>
    </xf>
    <xf numFmtId="2" fontId="76" fillId="34" borderId="22" xfId="0" applyNumberFormat="1" applyFont="1" applyFill="1" applyBorder="1" applyProtection="1">
      <protection locked="0"/>
    </xf>
    <xf numFmtId="0" fontId="33" fillId="33" borderId="7" xfId="0" applyFont="1" applyFill="1" applyBorder="1" applyAlignment="1" applyProtection="1">
      <alignment horizontal="center" vertical="center" textRotation="90" wrapText="1"/>
    </xf>
    <xf numFmtId="0" fontId="33" fillId="0" borderId="7" xfId="0" applyFont="1" applyBorder="1" applyProtection="1"/>
    <xf numFmtId="0" fontId="45" fillId="33" borderId="12" xfId="0" applyFont="1" applyFill="1" applyBorder="1" applyAlignment="1" applyProtection="1">
      <alignment horizontal="center" vertical="center" wrapText="1"/>
    </xf>
    <xf numFmtId="0" fontId="75" fillId="33" borderId="6" xfId="0" applyFont="1" applyFill="1" applyBorder="1" applyAlignment="1" applyProtection="1">
      <alignment horizontal="center" vertical="top" wrapText="1"/>
    </xf>
    <xf numFmtId="164" fontId="31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  <protection locked="0"/>
    </xf>
    <xf numFmtId="168" fontId="43" fillId="0" borderId="7" xfId="33" applyNumberFormat="1" applyFont="1" applyFill="1" applyBorder="1" applyAlignment="1" applyProtection="1">
      <alignment horizontal="center"/>
    </xf>
    <xf numFmtId="10" fontId="38" fillId="0" borderId="5" xfId="33" applyNumberFormat="1" applyFont="1" applyFill="1" applyBorder="1" applyAlignment="1" applyProtection="1">
      <alignment horizontal="center"/>
    </xf>
    <xf numFmtId="0" fontId="30" fillId="0" borderId="0" xfId="0" applyFont="1" applyFill="1" applyAlignment="1" applyProtection="1"/>
    <xf numFmtId="171" fontId="33" fillId="0" borderId="3" xfId="0" applyNumberFormat="1" applyFont="1" applyFill="1" applyBorder="1" applyProtection="1"/>
    <xf numFmtId="165" fontId="33" fillId="0" borderId="0" xfId="0" applyNumberFormat="1" applyFont="1" applyFill="1" applyBorder="1" applyProtection="1"/>
    <xf numFmtId="10" fontId="38" fillId="0" borderId="2" xfId="33" applyNumberFormat="1" applyFont="1" applyFill="1" applyBorder="1" applyAlignment="1" applyProtection="1">
      <alignment horizontal="center"/>
    </xf>
    <xf numFmtId="0" fontId="51" fillId="0" borderId="0" xfId="0" applyFont="1" applyProtection="1"/>
    <xf numFmtId="0" fontId="35" fillId="0" borderId="0" xfId="0" applyFont="1" applyFill="1" applyProtection="1"/>
    <xf numFmtId="10" fontId="31" fillId="33" borderId="3" xfId="33" applyNumberFormat="1" applyFont="1" applyFill="1" applyBorder="1" applyAlignment="1" applyProtection="1">
      <alignment horizontal="center" vertical="center" wrapText="1"/>
    </xf>
    <xf numFmtId="1" fontId="31" fillId="33" borderId="3" xfId="0" applyNumberFormat="1" applyFont="1" applyFill="1" applyBorder="1" applyAlignment="1" applyProtection="1">
      <alignment horizontal="center" vertical="center" wrapText="1"/>
    </xf>
    <xf numFmtId="168" fontId="35" fillId="0" borderId="15" xfId="0" applyNumberFormat="1" applyFont="1" applyBorder="1" applyProtection="1"/>
    <xf numFmtId="168" fontId="37" fillId="0" borderId="11" xfId="33" applyNumberFormat="1" applyFont="1" applyFill="1" applyBorder="1" applyAlignment="1" applyProtection="1"/>
    <xf numFmtId="175" fontId="63" fillId="0" borderId="15" xfId="0" applyNumberFormat="1" applyFont="1" applyFill="1" applyBorder="1" applyAlignment="1" applyProtection="1">
      <alignment horizontal="center"/>
      <protection locked="0"/>
    </xf>
    <xf numFmtId="9" fontId="74" fillId="0" borderId="15" xfId="33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/>
    <xf numFmtId="0" fontId="30" fillId="0" borderId="2" xfId="0" applyFont="1" applyBorder="1" applyAlignment="1" applyProtection="1">
      <alignment horizontal="right"/>
    </xf>
    <xf numFmtId="10" fontId="47" fillId="0" borderId="7" xfId="33" applyNumberFormat="1" applyFont="1" applyFill="1" applyBorder="1" applyAlignment="1" applyProtection="1">
      <alignment horizontal="center"/>
    </xf>
    <xf numFmtId="10" fontId="38" fillId="0" borderId="7" xfId="33" applyNumberFormat="1" applyFont="1" applyFill="1" applyBorder="1" applyAlignment="1" applyProtection="1">
      <alignment horizontal="center"/>
    </xf>
    <xf numFmtId="168" fontId="65" fillId="0" borderId="15" xfId="33" applyNumberFormat="1" applyFont="1" applyFill="1" applyBorder="1" applyAlignment="1" applyProtection="1">
      <alignment horizontal="center"/>
      <protection locked="0"/>
    </xf>
    <xf numFmtId="9" fontId="65" fillId="0" borderId="15" xfId="33" applyNumberFormat="1" applyFont="1" applyFill="1" applyBorder="1" applyAlignment="1" applyProtection="1">
      <alignment horizontal="center"/>
      <protection locked="0"/>
    </xf>
    <xf numFmtId="174" fontId="65" fillId="0" borderId="15" xfId="33" applyNumberFormat="1" applyFont="1" applyFill="1" applyBorder="1" applyAlignment="1" applyProtection="1">
      <alignment horizont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77" fillId="0" borderId="15" xfId="33" applyNumberFormat="1" applyFont="1" applyFill="1" applyBorder="1" applyAlignment="1" applyProtection="1">
      <alignment horizontal="center"/>
      <protection locked="0"/>
    </xf>
    <xf numFmtId="168" fontId="77" fillId="0" borderId="15" xfId="33" quotePrefix="1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Protection="1"/>
    <xf numFmtId="0" fontId="37" fillId="0" borderId="15" xfId="0" applyFont="1" applyBorder="1" applyAlignment="1" applyProtection="1">
      <alignment horizontal="right"/>
    </xf>
    <xf numFmtId="184" fontId="33" fillId="0" borderId="15" xfId="0" applyNumberFormat="1" applyFont="1" applyBorder="1" applyAlignment="1" applyProtection="1">
      <alignment horizontal="right"/>
    </xf>
    <xf numFmtId="0" fontId="37" fillId="0" borderId="15" xfId="0" applyFont="1" applyFill="1" applyBorder="1" applyAlignment="1" applyProtection="1">
      <alignment horizontal="right"/>
    </xf>
    <xf numFmtId="184" fontId="33" fillId="0" borderId="15" xfId="0" applyNumberFormat="1" applyFont="1" applyFill="1" applyBorder="1" applyAlignment="1" applyProtection="1">
      <alignment horizontal="right"/>
    </xf>
    <xf numFmtId="0" fontId="37" fillId="0" borderId="0" xfId="0" applyFont="1" applyFill="1" applyProtection="1"/>
    <xf numFmtId="0" fontId="80" fillId="35" borderId="5" xfId="0" quotePrefix="1" applyFont="1" applyFill="1" applyBorder="1" applyAlignment="1" applyProtection="1">
      <alignment horizontal="center"/>
    </xf>
    <xf numFmtId="10" fontId="38" fillId="0" borderId="8" xfId="33" applyNumberFormat="1" applyFont="1" applyFill="1" applyBorder="1" applyAlignment="1" applyProtection="1">
      <alignment horizontal="center"/>
    </xf>
    <xf numFmtId="10" fontId="47" fillId="0" borderId="8" xfId="33" applyNumberFormat="1" applyFont="1" applyFill="1" applyBorder="1" applyAlignment="1" applyProtection="1">
      <alignment horizontal="center"/>
    </xf>
    <xf numFmtId="10" fontId="38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0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0" fillId="0" borderId="0" xfId="0" applyNumberFormat="1" applyFont="1" applyAlignment="1" applyProtection="1">
      <alignment vertical="center"/>
    </xf>
    <xf numFmtId="0" fontId="31" fillId="0" borderId="15" xfId="0" applyFont="1" applyFill="1" applyBorder="1" applyAlignment="1" applyProtection="1">
      <alignment horizontal="right"/>
    </xf>
    <xf numFmtId="179" fontId="33" fillId="0" borderId="9" xfId="33" applyNumberFormat="1" applyFont="1" applyFill="1" applyBorder="1" applyAlignment="1" applyProtection="1">
      <alignment horizontal="center"/>
    </xf>
    <xf numFmtId="0" fontId="30" fillId="0" borderId="0" xfId="0" applyFont="1" applyFill="1" applyProtection="1"/>
    <xf numFmtId="0" fontId="73" fillId="35" borderId="5" xfId="0" quotePrefix="1" applyFont="1" applyFill="1" applyBorder="1" applyAlignment="1" applyProtection="1">
      <alignment horizontal="center"/>
    </xf>
    <xf numFmtId="0" fontId="36" fillId="0" borderId="15" xfId="0" applyFont="1" applyFill="1" applyBorder="1" applyAlignment="1" applyProtection="1">
      <alignment horizontal="right"/>
    </xf>
    <xf numFmtId="168" fontId="33" fillId="0" borderId="10" xfId="33" applyNumberFormat="1" applyFont="1" applyFill="1" applyBorder="1" applyAlignment="1" applyProtection="1"/>
    <xf numFmtId="0" fontId="28" fillId="0" borderId="0" xfId="0" applyFont="1" applyFill="1" applyProtection="1"/>
    <xf numFmtId="184" fontId="33" fillId="0" borderId="14" xfId="0" applyNumberFormat="1" applyFont="1" applyFill="1" applyBorder="1" applyAlignment="1" applyProtection="1">
      <alignment horizontal="right"/>
    </xf>
    <xf numFmtId="168" fontId="33" fillId="0" borderId="11" xfId="33" applyNumberFormat="1" applyFont="1" applyFill="1" applyBorder="1" applyAlignment="1" applyProtection="1"/>
    <xf numFmtId="179" fontId="33" fillId="0" borderId="10" xfId="33" applyNumberFormat="1" applyFont="1" applyFill="1" applyBorder="1" applyAlignment="1" applyProtection="1">
      <alignment horizontal="center"/>
    </xf>
    <xf numFmtId="10" fontId="31" fillId="34" borderId="7" xfId="33" applyNumberFormat="1" applyFont="1" applyFill="1" applyBorder="1" applyProtection="1"/>
    <xf numFmtId="10" fontId="31" fillId="34" borderId="0" xfId="33" applyNumberFormat="1" applyFont="1" applyFill="1" applyBorder="1" applyAlignment="1" applyProtection="1">
      <alignment horizontal="center"/>
    </xf>
    <xf numFmtId="0" fontId="81" fillId="0" borderId="0" xfId="0" quotePrefix="1" applyFont="1" applyProtection="1"/>
    <xf numFmtId="0" fontId="35" fillId="0" borderId="7" xfId="0" applyFont="1" applyFill="1" applyBorder="1" applyProtection="1"/>
    <xf numFmtId="0" fontId="31" fillId="0" borderId="1" xfId="0" applyFont="1" applyFill="1" applyBorder="1" applyAlignment="1" applyProtection="1">
      <alignment horizontal="right"/>
    </xf>
    <xf numFmtId="184" fontId="31" fillId="0" borderId="4" xfId="0" applyNumberFormat="1" applyFont="1" applyFill="1" applyBorder="1" applyAlignment="1" applyProtection="1">
      <alignment horizontal="right"/>
    </xf>
    <xf numFmtId="184" fontId="31" fillId="0" borderId="1" xfId="0" applyNumberFormat="1" applyFont="1" applyFill="1" applyBorder="1" applyAlignment="1" applyProtection="1">
      <alignment horizontal="right"/>
    </xf>
    <xf numFmtId="0" fontId="82" fillId="0" borderId="13" xfId="0" applyFont="1" applyBorder="1" applyAlignment="1" applyProtection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82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/>
    </xf>
    <xf numFmtId="0" fontId="31" fillId="0" borderId="11" xfId="0" applyFont="1" applyFill="1" applyBorder="1" applyAlignment="1" applyProtection="1">
      <alignment horizontal="center" vertical="center"/>
    </xf>
    <xf numFmtId="0" fontId="82" fillId="0" borderId="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/>
    </xf>
    <xf numFmtId="184" fontId="31" fillId="0" borderId="2" xfId="0" applyNumberFormat="1" applyFont="1" applyFill="1" applyBorder="1" applyAlignment="1" applyProtection="1">
      <alignment horizontal="right"/>
    </xf>
    <xf numFmtId="184" fontId="31" fillId="0" borderId="0" xfId="0" applyNumberFormat="1" applyFont="1" applyFill="1" applyBorder="1" applyAlignment="1" applyProtection="1">
      <alignment horizontal="right"/>
    </xf>
    <xf numFmtId="0" fontId="27" fillId="0" borderId="2" xfId="0" applyFont="1" applyFill="1" applyBorder="1" applyProtection="1"/>
    <xf numFmtId="0" fontId="27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5" fillId="0" borderId="0" xfId="0" applyNumberFormat="1" applyFont="1" applyFill="1" applyAlignment="1" applyProtection="1">
      <alignment horizontal="center"/>
    </xf>
    <xf numFmtId="0" fontId="83" fillId="0" borderId="2" xfId="0" applyFont="1" applyFill="1" applyBorder="1" applyAlignment="1" applyProtection="1">
      <alignment horizontal="right"/>
    </xf>
    <xf numFmtId="0" fontId="37" fillId="0" borderId="0" xfId="0" applyFont="1" applyFill="1" applyBorder="1" applyProtection="1"/>
    <xf numFmtId="10" fontId="52" fillId="0" borderId="0" xfId="0" applyNumberFormat="1" applyFont="1" applyFill="1" applyBorder="1" applyAlignment="1" applyProtection="1">
      <alignment horizontal="center"/>
    </xf>
    <xf numFmtId="0" fontId="30" fillId="0" borderId="2" xfId="0" applyFont="1" applyFill="1" applyBorder="1" applyProtection="1"/>
    <xf numFmtId="0" fontId="30" fillId="0" borderId="0" xfId="0" applyFont="1" applyFill="1" applyBorder="1" applyProtection="1"/>
    <xf numFmtId="1" fontId="33" fillId="0" borderId="0" xfId="0" applyNumberFormat="1" applyFont="1" applyFill="1" applyBorder="1" applyAlignment="1" applyProtection="1">
      <alignment vertical="center" wrapText="1"/>
    </xf>
    <xf numFmtId="1" fontId="30" fillId="0" borderId="0" xfId="0" applyNumberFormat="1" applyFont="1" applyFill="1" applyAlignment="1" applyProtection="1">
      <alignment horizontal="center"/>
    </xf>
    <xf numFmtId="1" fontId="33" fillId="0" borderId="0" xfId="0" applyNumberFormat="1" applyFont="1" applyFill="1" applyBorder="1" applyAlignment="1" applyProtection="1">
      <alignment vertical="center"/>
    </xf>
    <xf numFmtId="174" fontId="41" fillId="0" borderId="2" xfId="31" applyNumberFormat="1" applyFont="1" applyFill="1" applyBorder="1" applyAlignment="1" applyProtection="1">
      <alignment vertical="center"/>
    </xf>
    <xf numFmtId="174" fontId="41" fillId="0" borderId="0" xfId="31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/>
    <xf numFmtId="0" fontId="35" fillId="0" borderId="0" xfId="0" applyFont="1" applyFill="1" applyBorder="1" applyProtection="1"/>
    <xf numFmtId="0" fontId="35" fillId="0" borderId="2" xfId="0" applyFont="1" applyFill="1" applyBorder="1" applyProtection="1"/>
    <xf numFmtId="9" fontId="53" fillId="0" borderId="0" xfId="33" applyNumberFormat="1" applyFont="1" applyFill="1" applyBorder="1" applyAlignment="1" applyProtection="1">
      <alignment horizontal="center"/>
    </xf>
    <xf numFmtId="168" fontId="37" fillId="0" borderId="0" xfId="0" applyNumberFormat="1" applyFont="1" applyFill="1" applyBorder="1" applyAlignment="1" applyProtection="1"/>
    <xf numFmtId="174" fontId="41" fillId="0" borderId="2" xfId="31" applyNumberFormat="1" applyFont="1" applyFill="1" applyBorder="1" applyAlignment="1" applyProtection="1">
      <alignment vertical="center" wrapText="1"/>
    </xf>
    <xf numFmtId="174" fontId="41" fillId="0" borderId="10" xfId="31" applyNumberFormat="1" applyFont="1" applyFill="1" applyBorder="1" applyAlignment="1" applyProtection="1">
      <alignment vertical="center" wrapText="1"/>
    </xf>
    <xf numFmtId="0" fontId="56" fillId="0" borderId="11" xfId="0" applyFont="1" applyFill="1" applyBorder="1" applyAlignment="1" applyProtection="1">
      <alignment horizontal="left"/>
    </xf>
    <xf numFmtId="0" fontId="56" fillId="0" borderId="6" xfId="0" applyFont="1" applyFill="1" applyBorder="1" applyAlignment="1" applyProtection="1">
      <alignment horizontal="left"/>
    </xf>
    <xf numFmtId="0" fontId="33" fillId="0" borderId="0" xfId="0" applyFont="1" applyFill="1" applyBorder="1" applyProtection="1"/>
    <xf numFmtId="1" fontId="31" fillId="0" borderId="0" xfId="0" applyNumberFormat="1" applyFont="1" applyFill="1" applyBorder="1" applyProtection="1"/>
    <xf numFmtId="1" fontId="30" fillId="0" borderId="0" xfId="0" applyNumberFormat="1" applyFont="1" applyFill="1" applyBorder="1" applyAlignment="1" applyProtection="1">
      <alignment horizontal="center"/>
    </xf>
    <xf numFmtId="1" fontId="84" fillId="0" borderId="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 applyProtection="1">
      <alignment horizontal="center"/>
    </xf>
    <xf numFmtId="1" fontId="40" fillId="0" borderId="0" xfId="0" applyNumberFormat="1" applyFont="1" applyFill="1" applyProtection="1"/>
    <xf numFmtId="1" fontId="40" fillId="0" borderId="2" xfId="0" applyNumberFormat="1" applyFont="1" applyFill="1" applyBorder="1" applyProtection="1"/>
    <xf numFmtId="0" fontId="39" fillId="0" borderId="13" xfId="0" applyFont="1" applyFill="1" applyBorder="1" applyAlignment="1" applyProtection="1"/>
    <xf numFmtId="1" fontId="37" fillId="0" borderId="0" xfId="0" applyNumberFormat="1" applyFont="1" applyFill="1" applyAlignment="1" applyProtection="1">
      <alignment horizontal="center"/>
    </xf>
    <xf numFmtId="0" fontId="56" fillId="0" borderId="6" xfId="0" applyFont="1" applyFill="1" applyBorder="1" applyAlignment="1" applyProtection="1">
      <alignment horizontal="center"/>
    </xf>
    <xf numFmtId="0" fontId="35" fillId="0" borderId="10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1" fontId="40" fillId="0" borderId="10" xfId="0" applyNumberFormat="1" applyFont="1" applyFill="1" applyBorder="1" applyProtection="1"/>
    <xf numFmtId="1" fontId="35" fillId="0" borderId="15" xfId="0" applyNumberFormat="1" applyFont="1" applyFill="1" applyBorder="1" applyAlignment="1" applyProtection="1">
      <alignment horizontal="right"/>
    </xf>
    <xf numFmtId="1" fontId="30" fillId="0" borderId="0" xfId="0" applyNumberFormat="1" applyFont="1" applyFill="1" applyBorder="1" applyProtection="1"/>
    <xf numFmtId="178" fontId="39" fillId="0" borderId="8" xfId="31" applyNumberFormat="1" applyFont="1" applyFill="1" applyBorder="1" applyAlignment="1" applyProtection="1">
      <alignment horizontal="center"/>
    </xf>
    <xf numFmtId="168" fontId="60" fillId="0" borderId="8" xfId="33" applyNumberFormat="1" applyFont="1" applyFill="1" applyBorder="1" applyAlignment="1" applyProtection="1">
      <alignment horizontal="center" vertical="center"/>
    </xf>
    <xf numFmtId="2" fontId="33" fillId="0" borderId="9" xfId="0" applyNumberFormat="1" applyFont="1" applyFill="1" applyBorder="1" applyProtection="1"/>
    <xf numFmtId="0" fontId="30" fillId="0" borderId="0" xfId="0" quotePrefix="1" applyFont="1" applyFill="1" applyProtection="1"/>
    <xf numFmtId="0" fontId="39" fillId="0" borderId="0" xfId="0" applyFont="1" applyFill="1" applyAlignment="1" applyProtection="1">
      <alignment horizontal="right"/>
    </xf>
    <xf numFmtId="0" fontId="38" fillId="0" borderId="12" xfId="0" applyFont="1" applyFill="1" applyBorder="1" applyAlignment="1" applyProtection="1"/>
    <xf numFmtId="0" fontId="35" fillId="0" borderId="0" xfId="0" applyFont="1" applyAlignment="1" applyProtection="1"/>
    <xf numFmtId="0" fontId="36" fillId="0" borderId="0" xfId="0" applyFont="1" applyBorder="1" applyAlignment="1" applyProtection="1"/>
    <xf numFmtId="0" fontId="37" fillId="0" borderId="0" xfId="0" applyFont="1" applyAlignment="1" applyProtection="1"/>
    <xf numFmtId="0" fontId="35" fillId="0" borderId="0" xfId="0" applyFont="1" applyAlignment="1" applyProtection="1">
      <alignment horizontal="right" vertical="center"/>
    </xf>
    <xf numFmtId="0" fontId="35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6" fillId="0" borderId="0" xfId="0" applyFont="1" applyBorder="1" applyAlignment="1" applyProtection="1">
      <alignment horizontal="right" vertical="center"/>
    </xf>
    <xf numFmtId="0" fontId="36" fillId="0" borderId="0" xfId="0" applyFont="1" applyAlignment="1" applyProtection="1">
      <alignment vertical="center"/>
    </xf>
    <xf numFmtId="0" fontId="55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1" fontId="37" fillId="0" borderId="2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1" fontId="37" fillId="0" borderId="4" xfId="0" applyNumberFormat="1" applyFont="1" applyBorder="1" applyAlignment="1" applyProtection="1">
      <alignment horizontal="center"/>
    </xf>
    <xf numFmtId="2" fontId="37" fillId="0" borderId="1" xfId="0" applyNumberFormat="1" applyFont="1" applyBorder="1" applyAlignment="1" applyProtection="1">
      <alignment horizontal="center"/>
    </xf>
    <xf numFmtId="2" fontId="37" fillId="0" borderId="1" xfId="33" applyNumberFormat="1" applyFont="1" applyBorder="1" applyAlignment="1" applyProtection="1">
      <alignment horizontal="center"/>
    </xf>
    <xf numFmtId="2" fontId="37" fillId="0" borderId="9" xfId="0" applyNumberFormat="1" applyFont="1" applyBorder="1" applyAlignment="1" applyProtection="1">
      <alignment horizontal="center"/>
    </xf>
    <xf numFmtId="2" fontId="85" fillId="0" borderId="7" xfId="0" applyNumberFormat="1" applyFont="1" applyBorder="1" applyAlignment="1" applyProtection="1">
      <alignment horizontal="center"/>
    </xf>
    <xf numFmtId="2" fontId="85" fillId="0" borderId="8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168" fontId="37" fillId="0" borderId="0" xfId="0" applyNumberFormat="1" applyFont="1" applyBorder="1" applyAlignment="1" applyProtection="1">
      <protection locked="0"/>
    </xf>
    <xf numFmtId="0" fontId="86" fillId="0" borderId="19" xfId="0" applyFont="1" applyBorder="1" applyAlignment="1" applyProtection="1">
      <alignment horizontal="center"/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8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right"/>
    </xf>
    <xf numFmtId="10" fontId="61" fillId="0" borderId="0" xfId="0" applyNumberFormat="1" applyFont="1" applyBorder="1" applyAlignment="1" applyProtection="1">
      <alignment horizontal="left" vertical="center"/>
    </xf>
    <xf numFmtId="1" fontId="51" fillId="0" borderId="0" xfId="0" applyNumberFormat="1" applyFont="1" applyBorder="1" applyAlignment="1" applyProtection="1">
      <alignment horizontal="center" vertical="center"/>
    </xf>
    <xf numFmtId="0" fontId="30" fillId="0" borderId="0" xfId="0" applyFont="1" applyProtection="1">
      <protection locked="0"/>
    </xf>
    <xf numFmtId="10" fontId="30" fillId="0" borderId="0" xfId="33" applyNumberFormat="1" applyFont="1" applyProtection="1"/>
    <xf numFmtId="43" fontId="30" fillId="0" borderId="0" xfId="31" applyFont="1" applyProtection="1"/>
    <xf numFmtId="10" fontId="32" fillId="0" borderId="0" xfId="0" applyNumberFormat="1" applyFont="1" applyProtection="1"/>
    <xf numFmtId="0" fontId="30" fillId="0" borderId="0" xfId="0" applyFont="1" applyAlignment="1" applyProtection="1">
      <alignment horizontal="left"/>
    </xf>
    <xf numFmtId="0" fontId="60" fillId="0" borderId="0" xfId="0" applyFont="1" applyProtection="1"/>
    <xf numFmtId="10" fontId="35" fillId="0" borderId="0" xfId="33" applyNumberFormat="1" applyFont="1" applyAlignment="1" applyProtection="1">
      <alignment horizontal="center" vertical="center"/>
    </xf>
    <xf numFmtId="10" fontId="48" fillId="0" borderId="0" xfId="33" applyNumberFormat="1" applyFont="1" applyAlignment="1" applyProtection="1">
      <alignment horizontal="center" vertical="center"/>
    </xf>
    <xf numFmtId="0" fontId="32" fillId="0" borderId="0" xfId="0" applyFont="1" applyProtection="1"/>
    <xf numFmtId="10" fontId="82" fillId="0" borderId="0" xfId="0" applyNumberFormat="1" applyFont="1" applyFill="1" applyProtection="1"/>
    <xf numFmtId="0" fontId="30" fillId="0" borderId="0" xfId="0" applyFont="1" applyFill="1" applyAlignment="1" applyProtection="1">
      <alignment horizontal="left"/>
    </xf>
    <xf numFmtId="1" fontId="40" fillId="0" borderId="0" xfId="0" applyNumberFormat="1" applyFont="1" applyProtection="1">
      <protection locked="0"/>
    </xf>
    <xf numFmtId="0" fontId="77" fillId="35" borderId="5" xfId="0" quotePrefix="1" applyFont="1" applyFill="1" applyBorder="1" applyAlignment="1" applyProtection="1">
      <alignment horizontal="center"/>
      <protection locked="0"/>
    </xf>
    <xf numFmtId="175" fontId="63" fillId="0" borderId="15" xfId="0" applyNumberFormat="1" applyFont="1" applyFill="1" applyBorder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Border="1" applyAlignment="1" applyProtection="1">
      <alignment horizontal="center"/>
    </xf>
    <xf numFmtId="168" fontId="80" fillId="0" borderId="15" xfId="33" applyNumberFormat="1" applyFont="1" applyBorder="1" applyAlignment="1" applyProtection="1">
      <alignment horizontal="center"/>
    </xf>
    <xf numFmtId="168" fontId="73" fillId="0" borderId="15" xfId="33" quotePrefix="1" applyNumberFormat="1" applyFont="1" applyFill="1" applyBorder="1" applyAlignment="1" applyProtection="1">
      <alignment horizontal="center"/>
    </xf>
    <xf numFmtId="168" fontId="80" fillId="0" borderId="15" xfId="33" quotePrefix="1" applyNumberFormat="1" applyFont="1" applyFill="1" applyBorder="1" applyAlignment="1" applyProtection="1">
      <alignment horizontal="center"/>
    </xf>
    <xf numFmtId="168" fontId="88" fillId="0" borderId="15" xfId="33" applyNumberFormat="1" applyFont="1" applyFill="1" applyBorder="1" applyAlignment="1" applyProtection="1">
      <alignment horizontal="center"/>
    </xf>
    <xf numFmtId="9" fontId="88" fillId="0" borderId="15" xfId="33" applyNumberFormat="1" applyFont="1" applyFill="1" applyBorder="1" applyAlignment="1" applyProtection="1">
      <alignment horizontal="center"/>
    </xf>
    <xf numFmtId="174" fontId="88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5" fontId="90" fillId="0" borderId="15" xfId="0" applyNumberFormat="1" applyFont="1" applyFill="1" applyBorder="1" applyAlignment="1" applyProtection="1">
      <alignment horizontal="center"/>
    </xf>
    <xf numFmtId="168" fontId="38" fillId="0" borderId="15" xfId="33" applyNumberFormat="1" applyFont="1" applyFill="1" applyBorder="1" applyAlignment="1" applyProtection="1">
      <alignment horizontal="center"/>
    </xf>
    <xf numFmtId="9" fontId="38" fillId="0" borderId="15" xfId="33" applyNumberFormat="1" applyFont="1" applyFill="1" applyBorder="1" applyAlignment="1" applyProtection="1">
      <alignment horizontal="center"/>
    </xf>
    <xf numFmtId="174" fontId="38" fillId="0" borderId="15" xfId="33" applyNumberFormat="1" applyFont="1" applyFill="1" applyBorder="1" applyAlignment="1" applyProtection="1">
      <alignment horizontal="center"/>
    </xf>
    <xf numFmtId="175" fontId="91" fillId="0" borderId="0" xfId="0" applyNumberFormat="1" applyFont="1" applyFill="1" applyBorder="1" applyAlignment="1" applyProtection="1">
      <alignment horizontal="center"/>
    </xf>
    <xf numFmtId="9" fontId="71" fillId="0" borderId="0" xfId="33" applyNumberFormat="1" applyFont="1" applyFill="1" applyBorder="1" applyAlignment="1" applyProtection="1">
      <alignment horizontal="center"/>
    </xf>
    <xf numFmtId="175" fontId="91" fillId="0" borderId="1" xfId="0" applyNumberFormat="1" applyFont="1" applyFill="1" applyBorder="1" applyAlignment="1" applyProtection="1">
      <alignment horizontal="center"/>
    </xf>
    <xf numFmtId="182" fontId="71" fillId="0" borderId="1" xfId="33" applyNumberFormat="1" applyFont="1" applyFill="1" applyBorder="1" applyAlignment="1" applyProtection="1"/>
    <xf numFmtId="175" fontId="79" fillId="0" borderId="15" xfId="0" applyNumberFormat="1" applyFont="1" applyFill="1" applyBorder="1" applyAlignment="1" applyProtection="1">
      <alignment horizontal="center"/>
    </xf>
    <xf numFmtId="168" fontId="80" fillId="0" borderId="15" xfId="33" applyNumberFormat="1" applyFont="1" applyFill="1" applyBorder="1" applyAlignment="1" applyProtection="1">
      <alignment horizontal="center"/>
    </xf>
    <xf numFmtId="0" fontId="80" fillId="0" borderId="5" xfId="0" quotePrefix="1" applyFont="1" applyFill="1" applyBorder="1" applyAlignment="1" applyProtection="1">
      <alignment horizontal="center"/>
    </xf>
    <xf numFmtId="0" fontId="92" fillId="0" borderId="0" xfId="0" applyFont="1" applyProtection="1"/>
    <xf numFmtId="168" fontId="93" fillId="0" borderId="8" xfId="33" applyNumberFormat="1" applyFont="1" applyBorder="1" applyAlignment="1" applyProtection="1">
      <alignment horizontal="center" vertical="center"/>
    </xf>
    <xf numFmtId="2" fontId="30" fillId="0" borderId="1" xfId="0" applyNumberFormat="1" applyFont="1" applyFill="1" applyBorder="1" applyProtection="1"/>
    <xf numFmtId="0" fontId="33" fillId="0" borderId="7" xfId="0" applyFont="1" applyFill="1" applyBorder="1" applyProtection="1"/>
    <xf numFmtId="2" fontId="31" fillId="0" borderId="0" xfId="0" applyNumberFormat="1" applyFont="1" applyFill="1" applyBorder="1" applyProtection="1"/>
    <xf numFmtId="2" fontId="30" fillId="0" borderId="9" xfId="0" applyNumberFormat="1" applyFont="1" applyFill="1" applyBorder="1" applyProtection="1"/>
    <xf numFmtId="2" fontId="31" fillId="0" borderId="1" xfId="0" applyNumberFormat="1" applyFont="1" applyFill="1" applyBorder="1" applyProtection="1"/>
    <xf numFmtId="171" fontId="30" fillId="0" borderId="23" xfId="0" applyNumberFormat="1" applyFont="1" applyBorder="1" applyProtection="1"/>
    <xf numFmtId="171" fontId="30" fillId="34" borderId="23" xfId="0" applyNumberFormat="1" applyFont="1" applyFill="1" applyBorder="1" applyProtection="1"/>
    <xf numFmtId="2" fontId="31" fillId="34" borderId="1" xfId="0" applyNumberFormat="1" applyFont="1" applyFill="1" applyBorder="1" applyProtection="1"/>
    <xf numFmtId="166" fontId="31" fillId="34" borderId="10" xfId="0" applyNumberFormat="1" applyFont="1" applyFill="1" applyBorder="1" applyAlignment="1" applyProtection="1">
      <alignment horizontal="center"/>
    </xf>
    <xf numFmtId="10" fontId="47" fillId="34" borderId="7" xfId="33" applyNumberFormat="1" applyFont="1" applyFill="1" applyBorder="1" applyAlignment="1" applyProtection="1">
      <alignment horizontal="center"/>
    </xf>
    <xf numFmtId="10" fontId="38" fillId="34" borderId="0" xfId="33" applyNumberFormat="1" applyFont="1" applyFill="1" applyBorder="1" applyAlignment="1" applyProtection="1">
      <alignment horizontal="center"/>
    </xf>
    <xf numFmtId="171" fontId="33" fillId="34" borderId="4" xfId="0" applyNumberFormat="1" applyFont="1" applyFill="1" applyBorder="1" applyProtection="1"/>
    <xf numFmtId="10" fontId="38" fillId="34" borderId="2" xfId="33" applyNumberFormat="1" applyFont="1" applyFill="1" applyBorder="1" applyAlignment="1" applyProtection="1">
      <alignment horizontal="center"/>
    </xf>
    <xf numFmtId="2" fontId="43" fillId="34" borderId="10" xfId="33" applyNumberFormat="1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/>
      <protection locked="0"/>
    </xf>
    <xf numFmtId="2" fontId="31" fillId="0" borderId="20" xfId="0" applyNumberFormat="1" applyFont="1" applyBorder="1" applyProtection="1"/>
    <xf numFmtId="2" fontId="31" fillId="0" borderId="21" xfId="0" applyNumberFormat="1" applyFont="1" applyBorder="1" applyProtection="1"/>
    <xf numFmtId="2" fontId="31" fillId="0" borderId="22" xfId="0" applyNumberFormat="1" applyFont="1" applyBorder="1" applyProtection="1"/>
    <xf numFmtId="2" fontId="31" fillId="34" borderId="22" xfId="0" applyNumberFormat="1" applyFont="1" applyFill="1" applyBorder="1" applyProtection="1"/>
    <xf numFmtId="1" fontId="31" fillId="0" borderId="20" xfId="0" applyNumberFormat="1" applyFont="1" applyBorder="1" applyProtection="1"/>
    <xf numFmtId="0" fontId="31" fillId="34" borderId="22" xfId="0" applyFont="1" applyFill="1" applyBorder="1" applyProtection="1"/>
    <xf numFmtId="166" fontId="41" fillId="0" borderId="3" xfId="0" applyNumberFormat="1" applyFont="1" applyBorder="1" applyAlignment="1" applyProtection="1">
      <alignment horizontal="center" vertical="center"/>
    </xf>
    <xf numFmtId="0" fontId="25" fillId="0" borderId="1" xfId="0" applyFont="1" applyBorder="1" applyProtection="1">
      <protection locked="0"/>
    </xf>
    <xf numFmtId="0" fontId="25" fillId="0" borderId="15" xfId="0" applyFont="1" applyBorder="1" applyProtection="1">
      <protection locked="0"/>
    </xf>
    <xf numFmtId="179" fontId="33" fillId="0" borderId="0" xfId="0" applyNumberFormat="1" applyFont="1" applyBorder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179" fontId="94" fillId="0" borderId="15" xfId="0" applyNumberFormat="1" applyFont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5" fillId="0" borderId="0" xfId="33" applyNumberFormat="1" applyFont="1" applyFill="1" applyBorder="1" applyAlignment="1" applyProtection="1">
      <alignment horizontal="center"/>
    </xf>
    <xf numFmtId="168" fontId="96" fillId="0" borderId="0" xfId="33" applyNumberFormat="1" applyFont="1" applyBorder="1" applyAlignment="1" applyProtection="1">
      <alignment horizontal="center" vertical="center"/>
      <protection locked="0"/>
    </xf>
    <xf numFmtId="0" fontId="82" fillId="0" borderId="0" xfId="0" applyFont="1" applyBorder="1" applyProtection="1"/>
    <xf numFmtId="0" fontId="0" fillId="0" borderId="0" xfId="0" applyBorder="1" applyProtection="1"/>
    <xf numFmtId="0" fontId="92" fillId="0" borderId="0" xfId="0" applyFont="1" applyAlignment="1" applyProtection="1">
      <alignment vertical="top"/>
    </xf>
    <xf numFmtId="0" fontId="29" fillId="0" borderId="0" xfId="0" applyFont="1" applyAlignment="1" applyProtection="1">
      <alignment horizontal="right"/>
    </xf>
    <xf numFmtId="0" fontId="85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6" fillId="0" borderId="0" xfId="0" applyNumberFormat="1" applyFont="1" applyProtection="1"/>
    <xf numFmtId="166" fontId="35" fillId="0" borderId="0" xfId="0" applyNumberFormat="1" applyFont="1" applyProtection="1"/>
    <xf numFmtId="166" fontId="45" fillId="33" borderId="3" xfId="0" applyNumberFormat="1" applyFont="1" applyFill="1" applyBorder="1" applyAlignment="1" applyProtection="1">
      <alignment horizontal="center" vertical="center" wrapText="1"/>
    </xf>
    <xf numFmtId="166" fontId="31" fillId="0" borderId="0" xfId="0" applyNumberFormat="1" applyFont="1" applyProtection="1"/>
    <xf numFmtId="166" fontId="0" fillId="0" borderId="0" xfId="0" applyNumberFormat="1" applyProtection="1"/>
    <xf numFmtId="0" fontId="36" fillId="0" borderId="0" xfId="0" applyFont="1" applyAlignment="1" applyProtection="1">
      <alignment horizontal="right" vertical="center"/>
    </xf>
    <xf numFmtId="182" fontId="97" fillId="0" borderId="1" xfId="0" applyNumberFormat="1" applyFont="1" applyBorder="1" applyAlignment="1" applyProtection="1">
      <alignment horizontal="center" vertical="center"/>
      <protection locked="0"/>
    </xf>
    <xf numFmtId="9" fontId="74" fillId="0" borderId="20" xfId="33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</xf>
    <xf numFmtId="182" fontId="97" fillId="0" borderId="1" xfId="0" applyNumberFormat="1" applyFont="1" applyBorder="1" applyAlignment="1" applyProtection="1">
      <alignment horizontal="center" vertical="center"/>
    </xf>
    <xf numFmtId="166" fontId="30" fillId="0" borderId="0" xfId="0" applyNumberFormat="1" applyFont="1" applyProtection="1"/>
    <xf numFmtId="0" fontId="66" fillId="0" borderId="0" xfId="0" applyFont="1" applyAlignment="1" applyProtection="1">
      <alignment horizontal="right" vertical="center"/>
    </xf>
    <xf numFmtId="168" fontId="50" fillId="0" borderId="24" xfId="33" applyNumberFormat="1" applyFont="1" applyBorder="1" applyAlignment="1" applyProtection="1">
      <alignment horizontal="center" vertical="center"/>
    </xf>
    <xf numFmtId="178" fontId="98" fillId="0" borderId="25" xfId="31" applyNumberFormat="1" applyFont="1" applyFill="1" applyBorder="1" applyAlignment="1" applyProtection="1">
      <alignment horizontal="center" vertical="center"/>
    </xf>
    <xf numFmtId="0" fontId="99" fillId="0" borderId="0" xfId="0" applyFont="1" applyProtection="1"/>
    <xf numFmtId="0" fontId="73" fillId="0" borderId="1" xfId="0" applyFont="1" applyBorder="1" applyAlignment="1" applyProtection="1">
      <alignment horizontal="center"/>
      <protection locked="0"/>
    </xf>
    <xf numFmtId="0" fontId="100" fillId="0" borderId="0" xfId="0" applyFont="1" applyAlignment="1" applyProtection="1">
      <alignment vertical="center"/>
    </xf>
    <xf numFmtId="172" fontId="51" fillId="0" borderId="0" xfId="0" applyNumberFormat="1" applyFont="1" applyAlignment="1" applyProtection="1">
      <alignment horizontal="center"/>
    </xf>
    <xf numFmtId="9" fontId="51" fillId="0" borderId="0" xfId="33" applyFont="1" applyAlignment="1" applyProtection="1">
      <alignment horizontal="center"/>
    </xf>
    <xf numFmtId="185" fontId="33" fillId="0" borderId="0" xfId="31" applyNumberFormat="1" applyFont="1" applyBorder="1" applyProtection="1">
      <protection locked="0"/>
    </xf>
    <xf numFmtId="0" fontId="101" fillId="0" borderId="0" xfId="0" applyFont="1" applyProtection="1"/>
    <xf numFmtId="0" fontId="66" fillId="0" borderId="0" xfId="0" applyFont="1" applyFill="1" applyBorder="1" applyAlignment="1" applyProtection="1">
      <alignment horizontal="left"/>
    </xf>
    <xf numFmtId="0" fontId="102" fillId="0" borderId="0" xfId="0" applyFont="1" applyProtection="1"/>
    <xf numFmtId="0" fontId="102" fillId="0" borderId="0" xfId="0" applyFont="1" applyBorder="1" applyProtection="1"/>
    <xf numFmtId="0" fontId="102" fillId="0" borderId="0" xfId="0" applyFont="1" applyAlignment="1" applyProtection="1">
      <alignment horizontal="center"/>
    </xf>
    <xf numFmtId="0" fontId="102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right" vertical="center"/>
    </xf>
    <xf numFmtId="181" fontId="33" fillId="0" borderId="0" xfId="0" applyNumberFormat="1" applyFont="1" applyAlignment="1" applyProtection="1">
      <alignment horizontal="center" vertical="center" wrapText="1"/>
    </xf>
    <xf numFmtId="0" fontId="46" fillId="0" borderId="0" xfId="0" applyFont="1" applyProtection="1"/>
    <xf numFmtId="0" fontId="0" fillId="0" borderId="1" xfId="0" applyBorder="1" applyAlignment="1" applyProtection="1"/>
    <xf numFmtId="0" fontId="30" fillId="33" borderId="3" xfId="0" applyFont="1" applyFill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/>
    </xf>
    <xf numFmtId="0" fontId="25" fillId="0" borderId="14" xfId="0" applyFont="1" applyBorder="1" applyAlignment="1" applyProtection="1">
      <alignment horizontal="right"/>
    </xf>
    <xf numFmtId="166" fontId="51" fillId="0" borderId="12" xfId="0" applyNumberFormat="1" applyFont="1" applyBorder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103" fillId="0" borderId="0" xfId="0" applyFont="1" applyAlignment="1" applyProtection="1">
      <alignment horizontal="left"/>
    </xf>
    <xf numFmtId="0" fontId="25" fillId="0" borderId="0" xfId="0" applyFont="1" applyProtection="1"/>
    <xf numFmtId="0" fontId="36" fillId="0" borderId="0" xfId="0" applyFont="1" applyAlignment="1" applyProtection="1">
      <alignment horizontal="left"/>
    </xf>
    <xf numFmtId="0" fontId="35" fillId="33" borderId="3" xfId="0" applyFont="1" applyFill="1" applyBorder="1" applyProtection="1"/>
    <xf numFmtId="0" fontId="35" fillId="33" borderId="14" xfId="0" applyFont="1" applyFill="1" applyBorder="1" applyProtection="1"/>
    <xf numFmtId="0" fontId="25" fillId="33" borderId="3" xfId="0" applyFont="1" applyFill="1" applyBorder="1" applyProtection="1"/>
    <xf numFmtId="0" fontId="35" fillId="33" borderId="3" xfId="0" applyFont="1" applyFill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/>
    </xf>
    <xf numFmtId="167" fontId="41" fillId="0" borderId="12" xfId="0" applyNumberFormat="1" applyFont="1" applyBorder="1" applyProtection="1"/>
    <xf numFmtId="0" fontId="31" fillId="0" borderId="1" xfId="0" applyFont="1" applyBorder="1" applyAlignment="1" applyProtection="1">
      <alignment horizontal="right"/>
    </xf>
    <xf numFmtId="0" fontId="31" fillId="0" borderId="15" xfId="0" applyFont="1" applyBorder="1" applyAlignment="1" applyProtection="1">
      <alignment horizontal="right"/>
    </xf>
    <xf numFmtId="179" fontId="36" fillId="0" borderId="15" xfId="0" applyNumberFormat="1" applyFont="1" applyBorder="1" applyAlignment="1" applyProtection="1">
      <alignment horizontal="center"/>
    </xf>
    <xf numFmtId="179" fontId="49" fillId="0" borderId="0" xfId="0" applyNumberFormat="1" applyFont="1" applyBorder="1" applyAlignment="1" applyProtection="1">
      <alignment horizontal="center"/>
    </xf>
    <xf numFmtId="0" fontId="48" fillId="0" borderId="0" xfId="0" applyFont="1" applyProtection="1"/>
    <xf numFmtId="0" fontId="35" fillId="33" borderId="6" xfId="0" applyFont="1" applyFill="1" applyBorder="1" applyAlignment="1" applyProtection="1">
      <alignment horizontal="center"/>
    </xf>
    <xf numFmtId="0" fontId="36" fillId="33" borderId="6" xfId="0" applyFont="1" applyFill="1" applyBorder="1" applyAlignment="1" applyProtection="1">
      <alignment horizontal="center"/>
    </xf>
    <xf numFmtId="0" fontId="35" fillId="33" borderId="11" xfId="0" applyFont="1" applyFill="1" applyBorder="1" applyAlignment="1" applyProtection="1">
      <alignment horizontal="right"/>
    </xf>
    <xf numFmtId="0" fontId="37" fillId="0" borderId="0" xfId="0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79" fontId="36" fillId="0" borderId="2" xfId="0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right"/>
    </xf>
    <xf numFmtId="179" fontId="36" fillId="0" borderId="12" xfId="0" applyNumberFormat="1" applyFont="1" applyBorder="1" applyAlignment="1" applyProtection="1">
      <alignment horizontal="center"/>
    </xf>
    <xf numFmtId="179" fontId="36" fillId="0" borderId="0" xfId="0" applyNumberFormat="1" applyFont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49" fillId="0" borderId="0" xfId="0" applyFont="1" applyBorder="1" applyAlignment="1" applyProtection="1">
      <alignment horizontal="center"/>
    </xf>
    <xf numFmtId="183" fontId="35" fillId="0" borderId="3" xfId="33" applyNumberFormat="1" applyFont="1" applyBorder="1" applyAlignment="1" applyProtection="1">
      <alignment horizontal="center"/>
    </xf>
    <xf numFmtId="183" fontId="48" fillId="0" borderId="3" xfId="33" applyNumberFormat="1" applyFont="1" applyBorder="1" applyAlignment="1" applyProtection="1">
      <alignment horizontal="center"/>
    </xf>
    <xf numFmtId="0" fontId="49" fillId="33" borderId="14" xfId="0" applyFont="1" applyFill="1" applyBorder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179" fontId="49" fillId="0" borderId="5" xfId="0" applyNumberFormat="1" applyFont="1" applyBorder="1" applyAlignment="1" applyProtection="1">
      <alignment horizontal="center"/>
    </xf>
    <xf numFmtId="179" fontId="36" fillId="0" borderId="5" xfId="0" applyNumberFormat="1" applyFont="1" applyBorder="1" applyAlignment="1" applyProtection="1">
      <alignment horizontal="center"/>
    </xf>
    <xf numFmtId="179" fontId="36" fillId="0" borderId="1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1" fontId="36" fillId="0" borderId="0" xfId="0" applyNumberFormat="1" applyFont="1" applyBorder="1" applyProtection="1">
      <protection locked="0"/>
    </xf>
    <xf numFmtId="0" fontId="37" fillId="0" borderId="4" xfId="0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1" fontId="72" fillId="0" borderId="1" xfId="0" applyNumberFormat="1" applyFont="1" applyBorder="1" applyAlignment="1" applyProtection="1">
      <alignment horizontal="center"/>
      <protection locked="0"/>
    </xf>
    <xf numFmtId="168" fontId="96" fillId="0" borderId="0" xfId="33" applyNumberFormat="1" applyFont="1" applyBorder="1" applyAlignment="1" applyProtection="1">
      <alignment horizontal="center" vertical="center"/>
    </xf>
    <xf numFmtId="2" fontId="33" fillId="34" borderId="22" xfId="0" applyNumberFormat="1" applyFont="1" applyFill="1" applyBorder="1" applyProtection="1"/>
    <xf numFmtId="0" fontId="25" fillId="33" borderId="6" xfId="0" applyFont="1" applyFill="1" applyBorder="1" applyAlignment="1" applyProtection="1">
      <alignment horizontal="center"/>
    </xf>
    <xf numFmtId="0" fontId="35" fillId="0" borderId="3" xfId="0" applyFont="1" applyBorder="1" applyAlignment="1" applyProtection="1">
      <alignment horizontal="right"/>
    </xf>
    <xf numFmtId="0" fontId="25" fillId="0" borderId="0" xfId="0" applyFont="1" applyFill="1" applyBorder="1" applyAlignment="1" applyProtection="1"/>
    <xf numFmtId="183" fontId="10" fillId="0" borderId="3" xfId="33" applyNumberFormat="1" applyFont="1" applyBorder="1" applyAlignment="1" applyProtection="1">
      <alignment horizontal="center" vertical="center"/>
    </xf>
    <xf numFmtId="183" fontId="10" fillId="0" borderId="14" xfId="33" applyNumberFormat="1" applyFont="1" applyBorder="1" applyAlignment="1" applyProtection="1">
      <alignment horizontal="center" vertical="center"/>
    </xf>
    <xf numFmtId="183" fontId="25" fillId="0" borderId="19" xfId="33" applyNumberFormat="1" applyFont="1" applyBorder="1" applyAlignment="1" applyProtection="1">
      <alignment horizontal="center" vertical="center"/>
    </xf>
    <xf numFmtId="166" fontId="103" fillId="0" borderId="26" xfId="33" applyNumberFormat="1" applyFont="1" applyBorder="1" applyAlignment="1" applyProtection="1">
      <alignment horizontal="center"/>
      <protection locked="0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3" fillId="0" borderId="21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3" fillId="0" borderId="27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3" fillId="0" borderId="28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0" fontId="33" fillId="0" borderId="3" xfId="0" applyFont="1" applyBorder="1" applyAlignment="1" applyProtection="1">
      <alignment horizontal="center"/>
    </xf>
    <xf numFmtId="0" fontId="105" fillId="0" borderId="0" xfId="0" applyFont="1" applyAlignment="1" applyProtection="1">
      <alignment vertical="center"/>
    </xf>
    <xf numFmtId="10" fontId="30" fillId="0" borderId="0" xfId="33" applyNumberFormat="1" applyFont="1" applyAlignment="1" applyProtection="1">
      <alignment horizontal="center" vertical="center"/>
    </xf>
    <xf numFmtId="0" fontId="105" fillId="0" borderId="0" xfId="0" applyFont="1" applyFill="1" applyBorder="1" applyAlignment="1" applyProtection="1"/>
    <xf numFmtId="16" fontId="30" fillId="0" borderId="0" xfId="0" applyNumberFormat="1" applyFont="1" applyBorder="1" applyAlignment="1">
      <alignment horizontal="center" vertical="center"/>
    </xf>
    <xf numFmtId="16" fontId="30" fillId="0" borderId="5" xfId="0" applyNumberFormat="1" applyFont="1" applyBorder="1"/>
    <xf numFmtId="16" fontId="30" fillId="0" borderId="0" xfId="0" applyNumberFormat="1" applyFont="1" applyBorder="1"/>
    <xf numFmtId="16" fontId="33" fillId="0" borderId="0" xfId="0" applyNumberFormat="1" applyFont="1" applyBorder="1"/>
    <xf numFmtId="188" fontId="30" fillId="0" borderId="0" xfId="0" applyNumberFormat="1" applyFont="1" applyAlignment="1">
      <alignment horizontal="center"/>
    </xf>
    <xf numFmtId="1" fontId="33" fillId="36" borderId="0" xfId="0" applyNumberFormat="1" applyFont="1" applyFill="1" applyBorder="1" applyAlignment="1">
      <alignment horizontal="center"/>
    </xf>
    <xf numFmtId="1" fontId="31" fillId="36" borderId="0" xfId="0" applyNumberFormat="1" applyFont="1" applyFill="1" applyBorder="1" applyAlignment="1">
      <alignment horizontal="center"/>
    </xf>
    <xf numFmtId="1" fontId="31" fillId="36" borderId="1" xfId="0" applyNumberFormat="1" applyFont="1" applyFill="1" applyBorder="1" applyAlignment="1">
      <alignment horizontal="center"/>
    </xf>
    <xf numFmtId="0" fontId="31" fillId="33" borderId="14" xfId="0" applyFont="1" applyFill="1" applyBorder="1" applyAlignment="1" applyProtection="1">
      <alignment horizontal="center" vertical="center" wrapText="1"/>
    </xf>
    <xf numFmtId="166" fontId="32" fillId="0" borderId="6" xfId="33" applyNumberFormat="1" applyFont="1" applyBorder="1" applyAlignment="1">
      <alignment horizontal="center"/>
    </xf>
    <xf numFmtId="166" fontId="32" fillId="0" borderId="7" xfId="33" applyNumberFormat="1" applyFont="1" applyBorder="1" applyAlignment="1">
      <alignment horizontal="center"/>
    </xf>
    <xf numFmtId="166" fontId="32" fillId="0" borderId="8" xfId="33" applyNumberFormat="1" applyFont="1" applyBorder="1" applyAlignment="1">
      <alignment horizontal="center"/>
    </xf>
    <xf numFmtId="170" fontId="31" fillId="0" borderId="1" xfId="0" applyNumberFormat="1" applyFont="1" applyBorder="1" applyAlignment="1" applyProtection="1">
      <alignment horizontal="center"/>
    </xf>
    <xf numFmtId="166" fontId="31" fillId="0" borderId="9" xfId="0" applyNumberFormat="1" applyFont="1" applyBorder="1" applyAlignment="1" applyProtection="1">
      <alignment horizontal="center"/>
    </xf>
    <xf numFmtId="1" fontId="31" fillId="0" borderId="5" xfId="0" applyNumberFormat="1" applyFont="1" applyBorder="1" applyAlignment="1" applyProtection="1">
      <alignment horizontal="center"/>
    </xf>
    <xf numFmtId="170" fontId="31" fillId="0" borderId="5" xfId="0" applyNumberFormat="1" applyFont="1" applyBorder="1" applyAlignment="1" applyProtection="1">
      <alignment horizontal="center"/>
    </xf>
    <xf numFmtId="166" fontId="31" fillId="0" borderId="5" xfId="0" applyNumberFormat="1" applyFont="1" applyBorder="1" applyAlignment="1" applyProtection="1">
      <alignment horizontal="center"/>
    </xf>
    <xf numFmtId="166" fontId="31" fillId="0" borderId="0" xfId="0" applyNumberFormat="1" applyFont="1" applyBorder="1" applyAlignment="1" applyProtection="1">
      <alignment horizont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/>
    </xf>
    <xf numFmtId="179" fontId="33" fillId="0" borderId="0" xfId="0" applyNumberFormat="1" applyFont="1" applyAlignment="1">
      <alignment horizontal="right"/>
    </xf>
    <xf numFmtId="1" fontId="93" fillId="0" borderId="14" xfId="0" applyNumberFormat="1" applyFont="1" applyBorder="1" applyAlignment="1" applyProtection="1">
      <alignment horizontal="center"/>
      <protection locked="0"/>
    </xf>
    <xf numFmtId="1" fontId="93" fillId="0" borderId="12" xfId="0" applyNumberFormat="1" applyFont="1" applyBorder="1" applyAlignment="1" applyProtection="1">
      <alignment horizontal="center"/>
      <protection locked="0"/>
    </xf>
    <xf numFmtId="1" fontId="93" fillId="0" borderId="0" xfId="0" applyNumberFormat="1" applyFont="1" applyBorder="1" applyAlignment="1" applyProtection="1">
      <alignment horizontal="center"/>
      <protection locked="0"/>
    </xf>
    <xf numFmtId="1" fontId="33" fillId="0" borderId="0" xfId="0" applyNumberFormat="1" applyFont="1" applyAlignment="1" applyProtection="1">
      <alignment horizontal="left" vertical="center"/>
    </xf>
    <xf numFmtId="1" fontId="93" fillId="0" borderId="15" xfId="0" applyNumberFormat="1" applyFont="1" applyBorder="1" applyAlignment="1" applyProtection="1">
      <alignment horizontal="center"/>
      <protection locked="0"/>
    </xf>
    <xf numFmtId="170" fontId="31" fillId="0" borderId="2" xfId="0" applyNumberFormat="1" applyFont="1" applyBorder="1" applyAlignment="1" applyProtection="1">
      <alignment horizontal="center"/>
    </xf>
    <xf numFmtId="168" fontId="50" fillId="0" borderId="29" xfId="33" applyNumberFormat="1" applyFont="1" applyBorder="1" applyAlignment="1" applyProtection="1">
      <alignment horizontal="center" vertical="center"/>
    </xf>
    <xf numFmtId="1" fontId="31" fillId="0" borderId="3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vertical="center"/>
    </xf>
    <xf numFmtId="1" fontId="28" fillId="0" borderId="0" xfId="0" applyNumberFormat="1" applyFont="1" applyBorder="1" applyAlignment="1" applyProtection="1">
      <alignment horizontal="center"/>
      <protection locked="0"/>
    </xf>
    <xf numFmtId="0" fontId="29" fillId="33" borderId="3" xfId="0" applyFont="1" applyFill="1" applyBorder="1" applyAlignment="1" applyProtection="1">
      <alignment horizontal="center" vertical="center" wrapText="1"/>
    </xf>
    <xf numFmtId="166" fontId="30" fillId="0" borderId="6" xfId="33" applyNumberFormat="1" applyFont="1" applyBorder="1" applyAlignment="1">
      <alignment horizontal="center"/>
    </xf>
    <xf numFmtId="166" fontId="30" fillId="0" borderId="7" xfId="33" applyNumberFormat="1" applyFont="1" applyBorder="1" applyAlignment="1">
      <alignment horizontal="center"/>
    </xf>
    <xf numFmtId="166" fontId="30" fillId="0" borderId="8" xfId="33" applyNumberFormat="1" applyFont="1" applyBorder="1" applyAlignment="1">
      <alignment horizontal="center"/>
    </xf>
    <xf numFmtId="1" fontId="30" fillId="0" borderId="0" xfId="0" applyNumberFormat="1" applyFont="1" applyAlignment="1" applyProtection="1">
      <alignment horizontal="left"/>
    </xf>
    <xf numFmtId="1" fontId="33" fillId="0" borderId="3" xfId="0" applyNumberFormat="1" applyFont="1" applyBorder="1" applyAlignment="1" applyProtection="1">
      <alignment horizontal="center" vertical="center"/>
    </xf>
    <xf numFmtId="1" fontId="31" fillId="0" borderId="12" xfId="0" applyNumberFormat="1" applyFont="1" applyBorder="1" applyAlignment="1" applyProtection="1">
      <alignment horizontal="center" vertical="center"/>
    </xf>
    <xf numFmtId="1" fontId="33" fillId="0" borderId="63" xfId="0" applyNumberFormat="1" applyFont="1" applyBorder="1" applyAlignment="1" applyProtection="1">
      <alignment horizontal="center" vertical="center"/>
    </xf>
    <xf numFmtId="16" fontId="30" fillId="0" borderId="5" xfId="0" applyNumberFormat="1" applyFont="1" applyBorder="1" applyAlignment="1">
      <alignment horizontal="center" vertical="center"/>
    </xf>
    <xf numFmtId="1" fontId="33" fillId="36" borderId="1" xfId="0" applyNumberFormat="1" applyFont="1" applyFill="1" applyBorder="1" applyAlignment="1">
      <alignment horizontal="center"/>
    </xf>
    <xf numFmtId="16" fontId="30" fillId="0" borderId="11" xfId="0" applyNumberFormat="1" applyFont="1" applyBorder="1" applyAlignment="1">
      <alignment horizontal="center" vertical="center"/>
    </xf>
    <xf numFmtId="1" fontId="31" fillId="36" borderId="9" xfId="0" applyNumberFormat="1" applyFont="1" applyFill="1" applyBorder="1" applyAlignment="1">
      <alignment horizontal="center"/>
    </xf>
    <xf numFmtId="16" fontId="30" fillId="0" borderId="11" xfId="0" applyNumberFormat="1" applyFont="1" applyBorder="1"/>
    <xf numFmtId="1" fontId="33" fillId="36" borderId="9" xfId="0" applyNumberFormat="1" applyFont="1" applyFill="1" applyBorder="1" applyAlignment="1">
      <alignment horizontal="center"/>
    </xf>
    <xf numFmtId="16" fontId="33" fillId="0" borderId="10" xfId="0" applyNumberFormat="1" applyFont="1" applyBorder="1"/>
    <xf numFmtId="16" fontId="30" fillId="0" borderId="13" xfId="0" applyNumberFormat="1" applyFont="1" applyBorder="1"/>
    <xf numFmtId="1" fontId="31" fillId="36" borderId="4" xfId="0" applyNumberFormat="1" applyFont="1" applyFill="1" applyBorder="1" applyAlignment="1">
      <alignment horizontal="center"/>
    </xf>
    <xf numFmtId="16" fontId="33" fillId="0" borderId="5" xfId="0" applyNumberFormat="1" applyFont="1" applyBorder="1" applyAlignment="1">
      <alignment horizontal="center" vertical="center"/>
    </xf>
    <xf numFmtId="16" fontId="33" fillId="0" borderId="11" xfId="0" applyNumberFormat="1" applyFont="1" applyBorder="1" applyAlignment="1">
      <alignment horizontal="center" vertical="center"/>
    </xf>
    <xf numFmtId="16" fontId="33" fillId="0" borderId="5" xfId="0" applyNumberFormat="1" applyFont="1" applyBorder="1"/>
    <xf numFmtId="16" fontId="33" fillId="0" borderId="11" xfId="0" applyNumberFormat="1" applyFont="1" applyBorder="1"/>
    <xf numFmtId="16" fontId="33" fillId="0" borderId="13" xfId="0" applyNumberFormat="1" applyFont="1" applyBorder="1"/>
    <xf numFmtId="1" fontId="33" fillId="36" borderId="4" xfId="0" applyNumberFormat="1" applyFont="1" applyFill="1" applyBorder="1" applyAlignment="1">
      <alignment horizontal="center"/>
    </xf>
    <xf numFmtId="0" fontId="83" fillId="0" borderId="0" xfId="0" applyFont="1" applyFill="1" applyBorder="1" applyAlignment="1" applyProtection="1">
      <alignment horizontal="right"/>
    </xf>
    <xf numFmtId="0" fontId="107" fillId="0" borderId="0" xfId="0" applyFont="1" applyFill="1" applyBorder="1" applyAlignment="1" applyProtection="1">
      <alignment horizontal="left"/>
    </xf>
    <xf numFmtId="0" fontId="44" fillId="0" borderId="1" xfId="0" applyFont="1" applyBorder="1" applyAlignment="1" applyProtection="1">
      <alignment horizontal="right"/>
      <protection locked="0"/>
    </xf>
    <xf numFmtId="0" fontId="30" fillId="0" borderId="1" xfId="0" applyFont="1" applyBorder="1" applyAlignment="1" applyProtection="1">
      <alignment horizontal="right"/>
      <protection locked="0"/>
    </xf>
    <xf numFmtId="0" fontId="35" fillId="0" borderId="1" xfId="0" applyFont="1" applyBorder="1" applyAlignment="1" applyProtection="1">
      <alignment horizontal="right"/>
      <protection locked="0"/>
    </xf>
    <xf numFmtId="0" fontId="35" fillId="0" borderId="15" xfId="0" applyFont="1" applyBorder="1" applyAlignment="1" applyProtection="1">
      <alignment horizontal="right"/>
      <protection locked="0"/>
    </xf>
    <xf numFmtId="0" fontId="108" fillId="0" borderId="0" xfId="0" applyFont="1" applyAlignment="1" applyProtection="1">
      <alignment horizontal="left"/>
      <protection locked="0"/>
    </xf>
    <xf numFmtId="0" fontId="109" fillId="0" borderId="0" xfId="0" applyFont="1" applyProtection="1"/>
    <xf numFmtId="0" fontId="108" fillId="0" borderId="0" xfId="0" applyFont="1" applyAlignment="1" applyProtection="1">
      <alignment horizontal="right"/>
    </xf>
    <xf numFmtId="9" fontId="66" fillId="0" borderId="19" xfId="0" applyNumberFormat="1" applyFont="1" applyBorder="1" applyAlignment="1" applyProtection="1">
      <alignment horizontal="center" vertical="center"/>
    </xf>
    <xf numFmtId="10" fontId="33" fillId="0" borderId="0" xfId="0" applyNumberFormat="1" applyFont="1" applyProtection="1"/>
    <xf numFmtId="0" fontId="33" fillId="0" borderId="0" xfId="0" applyFont="1" applyAlignment="1" applyProtection="1">
      <alignment horizontal="left"/>
    </xf>
    <xf numFmtId="9" fontId="33" fillId="0" borderId="0" xfId="33" applyFont="1" applyBorder="1" applyAlignment="1" applyProtection="1">
      <alignment horizontal="center"/>
    </xf>
    <xf numFmtId="2" fontId="110" fillId="0" borderId="28" xfId="0" applyNumberFormat="1" applyFont="1" applyFill="1" applyBorder="1" applyProtection="1">
      <protection locked="0"/>
    </xf>
    <xf numFmtId="0" fontId="110" fillId="0" borderId="0" xfId="0" applyFont="1" applyAlignment="1" applyProtection="1">
      <alignment horizontal="center"/>
    </xf>
    <xf numFmtId="2" fontId="110" fillId="34" borderId="28" xfId="0" applyNumberFormat="1" applyFont="1" applyFill="1" applyBorder="1" applyProtection="1">
      <protection locked="0"/>
    </xf>
    <xf numFmtId="1" fontId="35" fillId="0" borderId="0" xfId="0" applyNumberFormat="1" applyFont="1" applyAlignment="1" applyProtection="1">
      <alignment horizontal="right"/>
    </xf>
    <xf numFmtId="1" fontId="37" fillId="0" borderId="0" xfId="0" applyNumberFormat="1" applyFont="1" applyAlignment="1" applyProtection="1">
      <alignment horizontal="center"/>
    </xf>
    <xf numFmtId="168" fontId="37" fillId="0" borderId="0" xfId="33" applyNumberFormat="1" applyFont="1" applyBorder="1" applyAlignment="1" applyProtection="1">
      <alignment horizontal="center" vertical="center"/>
    </xf>
    <xf numFmtId="0" fontId="105" fillId="0" borderId="0" xfId="0" applyFont="1" applyAlignment="1" applyProtection="1">
      <alignment horizontal="center" vertical="center" wrapText="1"/>
    </xf>
    <xf numFmtId="179" fontId="33" fillId="0" borderId="5" xfId="33" applyNumberFormat="1" applyFont="1" applyFill="1" applyBorder="1" applyAlignment="1" applyProtection="1">
      <alignment horizontal="center"/>
    </xf>
    <xf numFmtId="179" fontId="33" fillId="0" borderId="0" xfId="33" applyNumberFormat="1" applyFont="1" applyBorder="1" applyAlignment="1" applyProtection="1">
      <alignment horizontal="center"/>
    </xf>
    <xf numFmtId="179" fontId="33" fillId="0" borderId="1" xfId="33" applyNumberFormat="1" applyFont="1" applyBorder="1" applyAlignment="1" applyProtection="1">
      <alignment horizontal="center"/>
    </xf>
    <xf numFmtId="10" fontId="43" fillId="0" borderId="4" xfId="33" applyNumberFormat="1" applyFont="1" applyFill="1" applyBorder="1" applyAlignment="1" applyProtection="1">
      <alignment horizontal="center"/>
    </xf>
    <xf numFmtId="10" fontId="38" fillId="33" borderId="3" xfId="33" applyNumberFormat="1" applyFont="1" applyFill="1" applyBorder="1" applyAlignment="1" applyProtection="1">
      <alignment horizontal="center" vertical="center" wrapText="1"/>
    </xf>
    <xf numFmtId="9" fontId="38" fillId="0" borderId="6" xfId="33" applyNumberFormat="1" applyFont="1" applyBorder="1" applyAlignment="1" applyProtection="1">
      <alignment horizontal="center"/>
    </xf>
    <xf numFmtId="9" fontId="38" fillId="0" borderId="7" xfId="33" applyNumberFormat="1" applyFont="1" applyBorder="1" applyAlignment="1" applyProtection="1">
      <alignment horizontal="center"/>
    </xf>
    <xf numFmtId="9" fontId="38" fillId="0" borderId="3" xfId="33" applyNumberFormat="1" applyFont="1" applyBorder="1" applyAlignment="1" applyProtection="1">
      <alignment horizontal="center"/>
    </xf>
    <xf numFmtId="9" fontId="65" fillId="0" borderId="19" xfId="33" applyFont="1" applyBorder="1" applyAlignment="1" applyProtection="1">
      <alignment horizontal="center" vertical="center"/>
      <protection locked="0"/>
    </xf>
    <xf numFmtId="184" fontId="31" fillId="0" borderId="0" xfId="0" applyNumberFormat="1" applyFont="1" applyBorder="1" applyAlignment="1" applyProtection="1">
      <alignment vertical="center"/>
    </xf>
    <xf numFmtId="169" fontId="55" fillId="0" borderId="0" xfId="0" applyNumberFormat="1" applyFont="1" applyAlignment="1" applyProtection="1">
      <alignment horizontal="left" vertical="center"/>
    </xf>
    <xf numFmtId="167" fontId="103" fillId="0" borderId="26" xfId="33" applyNumberFormat="1" applyFont="1" applyBorder="1" applyAlignment="1" applyProtection="1">
      <alignment horizontal="center"/>
      <protection locked="0"/>
    </xf>
    <xf numFmtId="167" fontId="103" fillId="0" borderId="28" xfId="33" applyNumberFormat="1" applyFont="1" applyBorder="1" applyAlignment="1" applyProtection="1">
      <alignment horizontal="center"/>
      <protection locked="0"/>
    </xf>
    <xf numFmtId="0" fontId="35" fillId="0" borderId="1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179" fontId="36" fillId="0" borderId="13" xfId="0" applyNumberFormat="1" applyFont="1" applyBorder="1" applyAlignment="1" applyProtection="1">
      <alignment horizontal="center"/>
    </xf>
    <xf numFmtId="0" fontId="49" fillId="0" borderId="0" xfId="0" applyFont="1" applyBorder="1" applyProtection="1"/>
    <xf numFmtId="1" fontId="49" fillId="0" borderId="0" xfId="0" applyNumberFormat="1" applyFont="1" applyBorder="1" applyAlignment="1" applyProtection="1">
      <alignment horizontal="center" vertical="center"/>
    </xf>
    <xf numFmtId="9" fontId="36" fillId="0" borderId="15" xfId="0" quotePrefix="1" applyNumberFormat="1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/>
    </xf>
    <xf numFmtId="1" fontId="33" fillId="0" borderId="0" xfId="0" applyNumberFormat="1" applyFont="1" applyFill="1" applyBorder="1" applyAlignment="1" applyProtection="1">
      <alignment horizontal="left"/>
    </xf>
    <xf numFmtId="1" fontId="111" fillId="0" borderId="0" xfId="0" applyNumberFormat="1" applyFont="1" applyFill="1" applyBorder="1" applyAlignment="1" applyProtection="1">
      <alignment horizontal="center"/>
    </xf>
    <xf numFmtId="1" fontId="97" fillId="0" borderId="0" xfId="0" applyNumberFormat="1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1" fontId="40" fillId="0" borderId="2" xfId="0" applyNumberFormat="1" applyFont="1" applyBorder="1" applyProtection="1"/>
    <xf numFmtId="0" fontId="33" fillId="0" borderId="2" xfId="0" applyFont="1" applyBorder="1" applyAlignment="1" applyProtection="1">
      <alignment horizontal="left" vertical="center"/>
    </xf>
    <xf numFmtId="0" fontId="75" fillId="0" borderId="0" xfId="0" applyFont="1" applyBorder="1" applyAlignment="1" applyProtection="1">
      <alignment horizontal="center" vertical="center" wrapText="1"/>
    </xf>
    <xf numFmtId="1" fontId="31" fillId="0" borderId="10" xfId="0" applyNumberFormat="1" applyFont="1" applyBorder="1" applyAlignment="1" applyProtection="1">
      <alignment vertical="center" wrapText="1"/>
    </xf>
    <xf numFmtId="1" fontId="35" fillId="0" borderId="0" xfId="0" applyNumberFormat="1" applyFont="1" applyBorder="1" applyAlignment="1" applyProtection="1">
      <alignment horizontal="right"/>
    </xf>
    <xf numFmtId="2" fontId="76" fillId="0" borderId="0" xfId="0" applyNumberFormat="1" applyFont="1" applyBorder="1" applyProtection="1">
      <protection locked="0"/>
    </xf>
    <xf numFmtId="2" fontId="110" fillId="34" borderId="0" xfId="0" applyNumberFormat="1" applyFont="1" applyFill="1" applyBorder="1" applyProtection="1">
      <protection locked="0"/>
    </xf>
    <xf numFmtId="10" fontId="59" fillId="35" borderId="0" xfId="33" applyNumberFormat="1" applyFont="1" applyFill="1" applyBorder="1" applyAlignment="1" applyProtection="1">
      <alignment horizontal="left"/>
    </xf>
    <xf numFmtId="175" fontId="57" fillId="0" borderId="7" xfId="0" applyNumberFormat="1" applyFont="1" applyBorder="1" applyAlignment="1" applyProtection="1">
      <alignment horizontal="center"/>
    </xf>
    <xf numFmtId="10" fontId="47" fillId="0" borderId="0" xfId="33" applyNumberFormat="1" applyFont="1" applyBorder="1" applyAlignment="1" applyProtection="1">
      <alignment horizontal="center"/>
    </xf>
    <xf numFmtId="10" fontId="47" fillId="34" borderId="0" xfId="33" applyNumberFormat="1" applyFont="1" applyFill="1" applyBorder="1" applyAlignment="1" applyProtection="1">
      <alignment horizontal="center"/>
    </xf>
    <xf numFmtId="10" fontId="47" fillId="0" borderId="5" xfId="33" applyNumberFormat="1" applyFont="1" applyBorder="1" applyAlignment="1" applyProtection="1">
      <alignment horizontal="center"/>
    </xf>
    <xf numFmtId="10" fontId="47" fillId="0" borderId="1" xfId="33" applyNumberFormat="1" applyFont="1" applyBorder="1" applyAlignment="1" applyProtection="1">
      <alignment horizontal="center"/>
    </xf>
    <xf numFmtId="2" fontId="76" fillId="34" borderId="0" xfId="0" applyNumberFormat="1" applyFont="1" applyFill="1" applyBorder="1" applyProtection="1">
      <protection locked="0"/>
    </xf>
    <xf numFmtId="10" fontId="33" fillId="34" borderId="0" xfId="33" applyNumberFormat="1" applyFont="1" applyFill="1" applyBorder="1" applyProtection="1"/>
    <xf numFmtId="2" fontId="110" fillId="0" borderId="0" xfId="0" applyNumberFormat="1" applyFont="1" applyFill="1" applyBorder="1" applyProtection="1">
      <protection locked="0"/>
    </xf>
    <xf numFmtId="0" fontId="33" fillId="0" borderId="2" xfId="0" applyFont="1" applyFill="1" applyBorder="1" applyAlignment="1" applyProtection="1">
      <alignment horizontal="left" vertical="center"/>
    </xf>
    <xf numFmtId="2" fontId="31" fillId="34" borderId="0" xfId="0" applyNumberFormat="1" applyFont="1" applyFill="1" applyBorder="1" applyProtection="1"/>
    <xf numFmtId="1" fontId="31" fillId="0" borderId="0" xfId="0" applyNumberFormat="1" applyFont="1" applyBorder="1" applyProtection="1"/>
    <xf numFmtId="0" fontId="31" fillId="34" borderId="0" xfId="0" applyFont="1" applyFill="1" applyBorder="1" applyProtection="1"/>
    <xf numFmtId="10" fontId="47" fillId="0" borderId="0" xfId="33" applyNumberFormat="1" applyFont="1" applyFill="1" applyBorder="1" applyAlignment="1" applyProtection="1">
      <alignment horizontal="center"/>
    </xf>
    <xf numFmtId="10" fontId="31" fillId="34" borderId="0" xfId="33" applyNumberFormat="1" applyFont="1" applyFill="1" applyBorder="1" applyProtection="1"/>
    <xf numFmtId="176" fontId="31" fillId="0" borderId="13" xfId="0" applyNumberFormat="1" applyFont="1" applyBorder="1" applyAlignment="1" applyProtection="1">
      <alignment horizontal="center"/>
    </xf>
    <xf numFmtId="176" fontId="31" fillId="0" borderId="11" xfId="0" applyNumberFormat="1" applyFont="1" applyBorder="1" applyAlignment="1" applyProtection="1">
      <alignment horizontal="center"/>
    </xf>
    <xf numFmtId="176" fontId="31" fillId="0" borderId="2" xfId="0" applyNumberFormat="1" applyFont="1" applyBorder="1" applyAlignment="1" applyProtection="1">
      <alignment horizontal="center"/>
    </xf>
    <xf numFmtId="176" fontId="31" fillId="0" borderId="10" xfId="0" applyNumberFormat="1" applyFont="1" applyBorder="1" applyAlignment="1" applyProtection="1">
      <alignment horizontal="center"/>
    </xf>
    <xf numFmtId="176" fontId="31" fillId="0" borderId="17" xfId="0" applyNumberFormat="1" applyFont="1" applyBorder="1" applyAlignment="1" applyProtection="1">
      <alignment horizontal="center"/>
    </xf>
    <xf numFmtId="176" fontId="31" fillId="0" borderId="30" xfId="0" applyNumberFormat="1" applyFont="1" applyBorder="1" applyAlignment="1" applyProtection="1">
      <alignment horizontal="center"/>
    </xf>
    <xf numFmtId="176" fontId="33" fillId="0" borderId="0" xfId="0" applyNumberFormat="1" applyFont="1" applyBorder="1" applyAlignment="1" applyProtection="1">
      <alignment horizontal="center"/>
    </xf>
    <xf numFmtId="1" fontId="33" fillId="0" borderId="0" xfId="0" applyNumberFormat="1" applyFont="1" applyProtection="1"/>
    <xf numFmtId="1" fontId="37" fillId="0" borderId="2" xfId="0" applyNumberFormat="1" applyFont="1" applyBorder="1" applyProtection="1"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" fontId="37" fillId="0" borderId="4" xfId="0" applyNumberFormat="1" applyFont="1" applyBorder="1" applyProtection="1"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" fontId="112" fillId="0" borderId="13" xfId="0" applyNumberFormat="1" applyFont="1" applyBorder="1" applyAlignment="1" applyProtection="1">
      <alignment horizontal="center"/>
    </xf>
    <xf numFmtId="1" fontId="112" fillId="0" borderId="11" xfId="0" applyNumberFormat="1" applyFont="1" applyBorder="1" applyAlignment="1" applyProtection="1">
      <alignment horizontal="center"/>
    </xf>
    <xf numFmtId="1" fontId="112" fillId="0" borderId="2" xfId="0" applyNumberFormat="1" applyFont="1" applyBorder="1" applyAlignment="1" applyProtection="1">
      <alignment horizontal="center"/>
    </xf>
    <xf numFmtId="1" fontId="112" fillId="0" borderId="10" xfId="0" applyNumberFormat="1" applyFont="1" applyBorder="1" applyAlignment="1" applyProtection="1">
      <alignment horizontal="center"/>
    </xf>
    <xf numFmtId="1" fontId="112" fillId="0" borderId="17" xfId="0" applyNumberFormat="1" applyFont="1" applyBorder="1" applyAlignment="1" applyProtection="1">
      <alignment horizontal="center"/>
    </xf>
    <xf numFmtId="1" fontId="112" fillId="0" borderId="30" xfId="0" applyNumberFormat="1" applyFont="1" applyBorder="1" applyAlignment="1" applyProtection="1">
      <alignment horizontal="center"/>
    </xf>
    <xf numFmtId="176" fontId="31" fillId="0" borderId="2" xfId="0" applyNumberFormat="1" applyFont="1" applyBorder="1" applyAlignment="1" applyProtection="1">
      <alignment horizontal="center"/>
      <protection locked="0"/>
    </xf>
    <xf numFmtId="176" fontId="31" fillId="0" borderId="10" xfId="0" applyNumberFormat="1" applyFont="1" applyBorder="1" applyAlignment="1" applyProtection="1">
      <alignment horizontal="center"/>
      <protection locked="0"/>
    </xf>
    <xf numFmtId="176" fontId="31" fillId="0" borderId="4" xfId="0" applyNumberFormat="1" applyFont="1" applyBorder="1" applyAlignment="1" applyProtection="1">
      <alignment horizontal="center"/>
      <protection locked="0"/>
    </xf>
    <xf numFmtId="176" fontId="31" fillId="0" borderId="9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center"/>
    </xf>
    <xf numFmtId="1" fontId="113" fillId="0" borderId="0" xfId="0" applyNumberFormat="1" applyFont="1" applyAlignment="1" applyProtection="1">
      <alignment horizontal="center"/>
    </xf>
    <xf numFmtId="0" fontId="41" fillId="0" borderId="15" xfId="0" applyFont="1" applyBorder="1" applyAlignment="1" applyProtection="1">
      <alignment horizontal="center"/>
    </xf>
    <xf numFmtId="2" fontId="41" fillId="0" borderId="15" xfId="0" applyNumberFormat="1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114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5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15" fontId="116" fillId="0" borderId="0" xfId="0" applyNumberFormat="1" applyFont="1" applyBorder="1" applyAlignment="1" applyProtection="1">
      <alignment horizontal="center" vertical="center"/>
      <protection locked="0"/>
    </xf>
    <xf numFmtId="9" fontId="116" fillId="0" borderId="19" xfId="33" applyFont="1" applyBorder="1" applyAlignment="1" applyProtection="1">
      <alignment horizontal="center" vertical="center"/>
      <protection locked="0"/>
    </xf>
    <xf numFmtId="173" fontId="37" fillId="0" borderId="0" xfId="0" applyNumberFormat="1" applyFont="1" applyAlignment="1" applyProtection="1">
      <alignment horizontal="left"/>
    </xf>
    <xf numFmtId="173" fontId="116" fillId="0" borderId="19" xfId="0" applyNumberFormat="1" applyFont="1" applyBorder="1" applyAlignment="1" applyProtection="1">
      <alignment horizontal="center" vertical="center"/>
      <protection locked="0"/>
    </xf>
    <xf numFmtId="0" fontId="30" fillId="33" borderId="6" xfId="0" applyFont="1" applyFill="1" applyBorder="1" applyAlignment="1" applyProtection="1">
      <alignment horizontal="center"/>
    </xf>
    <xf numFmtId="0" fontId="31" fillId="33" borderId="6" xfId="0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 vertical="top"/>
    </xf>
    <xf numFmtId="1" fontId="54" fillId="0" borderId="31" xfId="0" applyNumberFormat="1" applyFont="1" applyBorder="1" applyAlignment="1" applyProtection="1">
      <alignment horizontal="center"/>
      <protection locked="0"/>
    </xf>
    <xf numFmtId="1" fontId="54" fillId="0" borderId="32" xfId="0" applyNumberFormat="1" applyFont="1" applyBorder="1" applyAlignment="1" applyProtection="1">
      <alignment horizontal="center"/>
      <protection locked="0"/>
    </xf>
    <xf numFmtId="166" fontId="54" fillId="0" borderId="33" xfId="0" applyNumberFormat="1" applyFont="1" applyBorder="1" applyAlignment="1" applyProtection="1">
      <alignment horizontal="center"/>
      <protection locked="0"/>
    </xf>
    <xf numFmtId="173" fontId="37" fillId="0" borderId="0" xfId="0" applyNumberFormat="1" applyFont="1" applyAlignment="1" applyProtection="1">
      <alignment horizontal="center" vertical="center"/>
    </xf>
    <xf numFmtId="173" fontId="33" fillId="0" borderId="0" xfId="0" applyNumberFormat="1" applyFont="1" applyAlignment="1" applyProtection="1">
      <alignment horizontal="center" vertical="center"/>
    </xf>
    <xf numFmtId="0" fontId="94" fillId="0" borderId="19" xfId="0" applyFont="1" applyBorder="1" applyAlignment="1" applyProtection="1">
      <alignment horizontal="center"/>
      <protection locked="0"/>
    </xf>
    <xf numFmtId="0" fontId="35" fillId="33" borderId="6" xfId="0" applyFont="1" applyFill="1" applyBorder="1" applyProtection="1"/>
    <xf numFmtId="0" fontId="35" fillId="33" borderId="7" xfId="0" applyFont="1" applyFill="1" applyBorder="1" applyProtection="1"/>
    <xf numFmtId="2" fontId="117" fillId="0" borderId="34" xfId="0" applyNumberFormat="1" applyFont="1" applyBorder="1" applyProtection="1">
      <protection locked="0"/>
    </xf>
    <xf numFmtId="2" fontId="117" fillId="0" borderId="35" xfId="0" applyNumberFormat="1" applyFont="1" applyBorder="1" applyProtection="1">
      <protection locked="0"/>
    </xf>
    <xf numFmtId="2" fontId="35" fillId="0" borderId="15" xfId="0" applyNumberFormat="1" applyFont="1" applyBorder="1" applyProtection="1"/>
    <xf numFmtId="179" fontId="94" fillId="0" borderId="34" xfId="0" applyNumberFormat="1" applyFont="1" applyBorder="1" applyAlignment="1" applyProtection="1">
      <alignment horizontal="center"/>
      <protection locked="0"/>
    </xf>
    <xf numFmtId="179" fontId="94" fillId="0" borderId="24" xfId="0" applyNumberFormat="1" applyFont="1" applyBorder="1" applyAlignment="1" applyProtection="1">
      <alignment horizontal="center"/>
      <protection locked="0"/>
    </xf>
    <xf numFmtId="179" fontId="94" fillId="0" borderId="35" xfId="0" applyNumberFormat="1" applyFont="1" applyBorder="1" applyAlignment="1" applyProtection="1">
      <alignment horizontal="center"/>
      <protection locked="0"/>
    </xf>
    <xf numFmtId="2" fontId="117" fillId="0" borderId="26" xfId="0" applyNumberFormat="1" applyFont="1" applyFill="1" applyBorder="1" applyAlignment="1" applyProtection="1">
      <alignment horizontal="center"/>
      <protection locked="0"/>
    </xf>
    <xf numFmtId="2" fontId="117" fillId="0" borderId="36" xfId="0" applyNumberFormat="1" applyFont="1" applyBorder="1" applyProtection="1">
      <protection locked="0"/>
    </xf>
    <xf numFmtId="2" fontId="117" fillId="0" borderId="37" xfId="0" applyNumberFormat="1" applyFont="1" applyBorder="1" applyProtection="1">
      <protection locked="0"/>
    </xf>
    <xf numFmtId="179" fontId="94" fillId="0" borderId="36" xfId="0" applyNumberFormat="1" applyFont="1" applyBorder="1" applyAlignment="1" applyProtection="1">
      <alignment horizontal="center"/>
      <protection locked="0"/>
    </xf>
    <xf numFmtId="179" fontId="94" fillId="0" borderId="37" xfId="0" applyNumberFormat="1" applyFont="1" applyBorder="1" applyAlignment="1" applyProtection="1">
      <alignment horizontal="center"/>
      <protection locked="0"/>
    </xf>
    <xf numFmtId="2" fontId="117" fillId="0" borderId="27" xfId="0" applyNumberFormat="1" applyFont="1" applyBorder="1" applyAlignment="1" applyProtection="1">
      <alignment horizontal="center"/>
      <protection locked="0"/>
    </xf>
    <xf numFmtId="2" fontId="117" fillId="0" borderId="38" xfId="0" applyNumberFormat="1" applyFont="1" applyBorder="1" applyProtection="1">
      <protection locked="0"/>
    </xf>
    <xf numFmtId="2" fontId="117" fillId="0" borderId="39" xfId="0" applyNumberFormat="1" applyFont="1" applyBorder="1" applyProtection="1">
      <protection locked="0"/>
    </xf>
    <xf numFmtId="179" fontId="94" fillId="0" borderId="38" xfId="0" applyNumberFormat="1" applyFont="1" applyBorder="1" applyAlignment="1" applyProtection="1">
      <alignment horizontal="center"/>
      <protection locked="0"/>
    </xf>
    <xf numFmtId="179" fontId="94" fillId="0" borderId="40" xfId="0" applyNumberFormat="1" applyFont="1" applyBorder="1" applyAlignment="1" applyProtection="1">
      <alignment horizontal="center"/>
      <protection locked="0"/>
    </xf>
    <xf numFmtId="179" fontId="94" fillId="0" borderId="39" xfId="0" applyNumberFormat="1" applyFont="1" applyBorder="1" applyAlignment="1" applyProtection="1">
      <alignment horizontal="center"/>
      <protection locked="0"/>
    </xf>
    <xf numFmtId="2" fontId="117" fillId="0" borderId="28" xfId="0" applyNumberFormat="1" applyFont="1" applyBorder="1" applyAlignment="1" applyProtection="1">
      <alignment horizontal="center"/>
      <protection locked="0"/>
    </xf>
    <xf numFmtId="0" fontId="94" fillId="0" borderId="41" xfId="0" applyFont="1" applyBorder="1" applyAlignment="1" applyProtection="1">
      <alignment horizontal="center"/>
      <protection locked="0"/>
    </xf>
    <xf numFmtId="179" fontId="94" fillId="0" borderId="41" xfId="0" applyNumberFormat="1" applyFont="1" applyBorder="1" applyAlignment="1" applyProtection="1">
      <alignment horizontal="center"/>
      <protection locked="0"/>
    </xf>
    <xf numFmtId="0" fontId="94" fillId="0" borderId="0" xfId="0" applyFont="1" applyBorder="1" applyAlignment="1" applyProtection="1">
      <alignment horizontal="center"/>
      <protection locked="0"/>
    </xf>
    <xf numFmtId="179" fontId="94" fillId="0" borderId="0" xfId="0" applyNumberFormat="1" applyFont="1" applyBorder="1" applyAlignment="1" applyProtection="1">
      <alignment horizontal="center"/>
      <protection locked="0"/>
    </xf>
    <xf numFmtId="0" fontId="113" fillId="0" borderId="25" xfId="0" applyFont="1" applyBorder="1" applyAlignment="1" applyProtection="1">
      <alignment horizontal="right"/>
      <protection locked="0"/>
    </xf>
    <xf numFmtId="0" fontId="33" fillId="0" borderId="0" xfId="0" applyFont="1" applyBorder="1" applyProtection="1">
      <protection locked="0"/>
    </xf>
    <xf numFmtId="2" fontId="33" fillId="0" borderId="0" xfId="0" applyNumberFormat="1" applyFont="1" applyBorder="1" applyProtection="1">
      <protection locked="0"/>
    </xf>
    <xf numFmtId="0" fontId="33" fillId="0" borderId="0" xfId="0" applyFont="1" applyBorder="1" applyAlignment="1" applyProtection="1">
      <alignment horizontal="center"/>
      <protection locked="0"/>
    </xf>
    <xf numFmtId="179" fontId="33" fillId="0" borderId="0" xfId="0" applyNumberFormat="1" applyFont="1" applyBorder="1" applyAlignment="1" applyProtection="1">
      <alignment horizontal="center"/>
    </xf>
    <xf numFmtId="0" fontId="29" fillId="0" borderId="0" xfId="0" quotePrefix="1" applyFont="1" applyAlignment="1" applyProtection="1">
      <alignment horizontal="center"/>
    </xf>
    <xf numFmtId="0" fontId="118" fillId="33" borderId="3" xfId="0" applyFont="1" applyFill="1" applyBorder="1" applyAlignment="1" applyProtection="1">
      <alignment horizontal="right"/>
    </xf>
    <xf numFmtId="172" fontId="48" fillId="0" borderId="3" xfId="0" applyNumberFormat="1" applyFont="1" applyFill="1" applyBorder="1" applyAlignment="1" applyProtection="1">
      <alignment horizontal="center"/>
    </xf>
    <xf numFmtId="9" fontId="48" fillId="35" borderId="3" xfId="33" applyFont="1" applyFill="1" applyBorder="1" applyAlignment="1" applyProtection="1">
      <alignment horizontal="center"/>
    </xf>
    <xf numFmtId="0" fontId="28" fillId="0" borderId="6" xfId="0" applyFont="1" applyBorder="1" applyProtection="1"/>
    <xf numFmtId="1" fontId="119" fillId="0" borderId="6" xfId="0" applyNumberFormat="1" applyFont="1" applyBorder="1" applyAlignment="1" applyProtection="1">
      <alignment horizontal="right" vertical="center"/>
    </xf>
    <xf numFmtId="0" fontId="33" fillId="0" borderId="3" xfId="0" applyFont="1" applyBorder="1" applyAlignment="1" applyProtection="1">
      <alignment horizontal="right"/>
    </xf>
    <xf numFmtId="0" fontId="33" fillId="0" borderId="3" xfId="0" applyFont="1" applyBorder="1" applyAlignment="1" applyProtection="1">
      <alignment horizontal="left"/>
    </xf>
    <xf numFmtId="0" fontId="33" fillId="0" borderId="3" xfId="0" applyFont="1" applyFill="1" applyBorder="1" applyAlignment="1" applyProtection="1">
      <alignment horizontal="center"/>
    </xf>
    <xf numFmtId="1" fontId="33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1" fillId="0" borderId="7" xfId="0" applyFont="1" applyBorder="1" applyAlignment="1" applyProtection="1">
      <alignment horizontal="right"/>
    </xf>
    <xf numFmtId="179" fontId="33" fillId="0" borderId="2" xfId="0" applyNumberFormat="1" applyFont="1" applyBorder="1" applyAlignment="1" applyProtection="1">
      <alignment horizontal="center"/>
    </xf>
    <xf numFmtId="179" fontId="33" fillId="0" borderId="10" xfId="0" quotePrefix="1" applyNumberFormat="1" applyFont="1" applyBorder="1" applyAlignment="1" applyProtection="1">
      <alignment horizontal="center" wrapText="1"/>
    </xf>
    <xf numFmtId="179" fontId="37" fillId="0" borderId="0" xfId="0" applyNumberFormat="1" applyFont="1" applyProtection="1"/>
    <xf numFmtId="179" fontId="33" fillId="0" borderId="10" xfId="0" applyNumberFormat="1" applyFont="1" applyBorder="1" applyAlignment="1" applyProtection="1">
      <alignment horizontal="center" vertical="center"/>
    </xf>
    <xf numFmtId="0" fontId="31" fillId="0" borderId="8" xfId="0" applyFont="1" applyBorder="1" applyAlignment="1" applyProtection="1">
      <alignment horizontal="right"/>
    </xf>
    <xf numFmtId="0" fontId="36" fillId="33" borderId="12" xfId="0" applyFont="1" applyFill="1" applyBorder="1" applyAlignment="1" applyProtection="1">
      <alignment horizontal="center"/>
    </xf>
    <xf numFmtId="0" fontId="45" fillId="33" borderId="3" xfId="0" applyFont="1" applyFill="1" applyBorder="1" applyAlignment="1" applyProtection="1">
      <alignment horizontal="center"/>
    </xf>
    <xf numFmtId="172" fontId="49" fillId="0" borderId="3" xfId="0" applyNumberFormat="1" applyFont="1" applyFill="1" applyBorder="1" applyAlignment="1" applyProtection="1">
      <alignment horizontal="center"/>
    </xf>
    <xf numFmtId="0" fontId="49" fillId="33" borderId="11" xfId="0" applyFont="1" applyFill="1" applyBorder="1" applyAlignment="1" applyProtection="1">
      <alignment horizontal="center"/>
    </xf>
    <xf numFmtId="179" fontId="49" fillId="0" borderId="13" xfId="0" applyNumberFormat="1" applyFont="1" applyBorder="1" applyAlignment="1" applyProtection="1">
      <alignment horizontal="center"/>
    </xf>
    <xf numFmtId="179" fontId="49" fillId="0" borderId="11" xfId="0" applyNumberFormat="1" applyFont="1" applyBorder="1" applyAlignment="1" applyProtection="1">
      <alignment horizontal="center"/>
    </xf>
    <xf numFmtId="183" fontId="36" fillId="33" borderId="7" xfId="33" applyNumberFormat="1" applyFont="1" applyFill="1" applyBorder="1" applyAlignment="1" applyProtection="1">
      <alignment horizontal="right"/>
    </xf>
    <xf numFmtId="183" fontId="36" fillId="0" borderId="12" xfId="33" applyNumberFormat="1" applyFont="1" applyBorder="1" applyAlignment="1" applyProtection="1">
      <alignment horizontal="center"/>
    </xf>
    <xf numFmtId="179" fontId="36" fillId="0" borderId="11" xfId="0" applyNumberFormat="1" applyFont="1" applyBorder="1" applyAlignment="1" applyProtection="1">
      <alignment horizontal="center"/>
    </xf>
    <xf numFmtId="0" fontId="36" fillId="33" borderId="7" xfId="33" applyNumberFormat="1" applyFont="1" applyFill="1" applyBorder="1" applyAlignment="1" applyProtection="1">
      <alignment horizontal="center"/>
    </xf>
    <xf numFmtId="179" fontId="36" fillId="0" borderId="10" xfId="0" applyNumberFormat="1" applyFont="1" applyBorder="1" applyAlignment="1" applyProtection="1">
      <alignment horizontal="center"/>
    </xf>
    <xf numFmtId="183" fontId="36" fillId="0" borderId="11" xfId="33" applyNumberFormat="1" applyFont="1" applyBorder="1" applyAlignment="1" applyProtection="1">
      <alignment horizontal="center"/>
    </xf>
    <xf numFmtId="179" fontId="36" fillId="0" borderId="14" xfId="0" applyNumberFormat="1" applyFont="1" applyBorder="1" applyAlignment="1" applyProtection="1">
      <alignment horizontal="center"/>
    </xf>
    <xf numFmtId="183" fontId="36" fillId="0" borderId="9" xfId="33" applyNumberFormat="1" applyFont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179" fontId="36" fillId="0" borderId="4" xfId="0" applyNumberFormat="1" applyFont="1" applyBorder="1" applyAlignment="1" applyProtection="1">
      <alignment horizontal="center"/>
    </xf>
    <xf numFmtId="179" fontId="36" fillId="0" borderId="9" xfId="0" applyNumberFormat="1" applyFont="1" applyBorder="1" applyAlignment="1" applyProtection="1">
      <alignment horizontal="center"/>
    </xf>
    <xf numFmtId="179" fontId="33" fillId="0" borderId="4" xfId="0" applyNumberFormat="1" applyFont="1" applyBorder="1" applyAlignment="1" applyProtection="1">
      <alignment horizontal="center"/>
    </xf>
    <xf numFmtId="179" fontId="33" fillId="0" borderId="9" xfId="0" applyNumberFormat="1" applyFont="1" applyBorder="1" applyAlignment="1" applyProtection="1">
      <alignment horizontal="center" vertical="center"/>
    </xf>
    <xf numFmtId="0" fontId="35" fillId="0" borderId="0" xfId="0" applyFont="1" applyAlignment="1" applyProtection="1">
      <alignment horizontal="left"/>
    </xf>
    <xf numFmtId="168" fontId="31" fillId="0" borderId="14" xfId="33" applyNumberFormat="1" applyFont="1" applyBorder="1" applyAlignment="1" applyProtection="1">
      <alignment horizontal="left" vertical="center" wrapText="1"/>
    </xf>
    <xf numFmtId="0" fontId="36" fillId="0" borderId="0" xfId="0" applyFont="1" applyBorder="1" applyProtection="1">
      <protection locked="0"/>
    </xf>
    <xf numFmtId="0" fontId="113" fillId="0" borderId="42" xfId="0" applyFont="1" applyBorder="1" applyAlignment="1" applyProtection="1">
      <alignment horizontal="right"/>
      <protection locked="0"/>
    </xf>
    <xf numFmtId="0" fontId="94" fillId="0" borderId="43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0" fontId="64" fillId="0" borderId="44" xfId="0" applyFont="1" applyBorder="1" applyAlignment="1" applyProtection="1">
      <alignment horizontal="right"/>
      <protection locked="0"/>
    </xf>
    <xf numFmtId="0" fontId="64" fillId="0" borderId="25" xfId="0" applyFont="1" applyBorder="1" applyAlignment="1" applyProtection="1">
      <alignment horizontal="right"/>
      <protection locked="0"/>
    </xf>
    <xf numFmtId="0" fontId="64" fillId="0" borderId="45" xfId="0" applyFont="1" applyBorder="1" applyAlignment="1" applyProtection="1">
      <alignment horizontal="right"/>
      <protection locked="0"/>
    </xf>
    <xf numFmtId="179" fontId="94" fillId="0" borderId="1" xfId="0" applyNumberFormat="1" applyFont="1" applyBorder="1" applyAlignment="1" applyProtection="1">
      <alignment horizontal="center"/>
      <protection locked="0"/>
    </xf>
    <xf numFmtId="179" fontId="94" fillId="0" borderId="46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Border="1" applyProtection="1">
      <protection locked="0"/>
    </xf>
    <xf numFmtId="0" fontId="33" fillId="0" borderId="0" xfId="0" applyFont="1" applyBorder="1" applyAlignment="1" applyProtection="1">
      <alignment horizontal="right"/>
      <protection locked="0"/>
    </xf>
    <xf numFmtId="2" fontId="117" fillId="0" borderId="43" xfId="0" applyNumberFormat="1" applyFont="1" applyBorder="1" applyProtection="1">
      <protection locked="0"/>
    </xf>
    <xf numFmtId="179" fontId="94" fillId="0" borderId="43" xfId="0" applyNumberFormat="1" applyFont="1" applyBorder="1" applyAlignment="1" applyProtection="1">
      <alignment horizontal="center"/>
      <protection locked="0"/>
    </xf>
    <xf numFmtId="2" fontId="117" fillId="0" borderId="41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Fill="1" applyBorder="1" applyAlignment="1" applyProtection="1">
      <alignment horizontal="center"/>
      <protection locked="0"/>
    </xf>
    <xf numFmtId="1" fontId="94" fillId="0" borderId="47" xfId="0" applyNumberFormat="1" applyFont="1" applyBorder="1" applyAlignment="1" applyProtection="1">
      <alignment horizontal="right"/>
      <protection locked="0"/>
    </xf>
    <xf numFmtId="179" fontId="36" fillId="33" borderId="7" xfId="0" applyNumberFormat="1" applyFont="1" applyFill="1" applyBorder="1" applyAlignment="1" applyProtection="1">
      <alignment horizontal="center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7" fillId="33" borderId="8" xfId="0" applyNumberFormat="1" applyFont="1" applyFill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5" fillId="0" borderId="6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5" fillId="0" borderId="7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5" fillId="0" borderId="8" xfId="0" applyNumberFormat="1" applyFont="1" applyBorder="1" applyAlignment="1" applyProtection="1">
      <alignment horizontal="center"/>
      <protection locked="0"/>
    </xf>
    <xf numFmtId="179" fontId="36" fillId="33" borderId="48" xfId="0" applyNumberFormat="1" applyFont="1" applyFill="1" applyBorder="1" applyAlignment="1" applyProtection="1">
      <alignment horizontal="center"/>
      <protection locked="0"/>
    </xf>
    <xf numFmtId="179" fontId="36" fillId="33" borderId="25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7" fillId="33" borderId="42" xfId="0" applyNumberFormat="1" applyFont="1" applyFill="1" applyBorder="1" applyAlignment="1" applyProtection="1">
      <alignment horizontal="center"/>
      <protection locked="0"/>
    </xf>
    <xf numFmtId="179" fontId="36" fillId="33" borderId="6" xfId="0" applyNumberFormat="1" applyFont="1" applyFill="1" applyBorder="1" applyAlignment="1" applyProtection="1">
      <alignment horizontal="center"/>
      <protection locked="0"/>
    </xf>
    <xf numFmtId="1" fontId="94" fillId="0" borderId="49" xfId="0" applyNumberFormat="1" applyFont="1" applyBorder="1" applyAlignment="1" applyProtection="1">
      <alignment horizontal="right"/>
      <protection locked="0"/>
    </xf>
    <xf numFmtId="179" fontId="62" fillId="0" borderId="5" xfId="0" applyNumberFormat="1" applyFont="1" applyBorder="1" applyProtection="1">
      <protection locked="0"/>
    </xf>
    <xf numFmtId="2" fontId="62" fillId="0" borderId="0" xfId="0" applyNumberFormat="1" applyFont="1" applyBorder="1" applyProtection="1">
      <protection locked="0"/>
    </xf>
    <xf numFmtId="179" fontId="62" fillId="0" borderId="0" xfId="0" applyNumberFormat="1" applyFont="1" applyBorder="1" applyProtection="1">
      <protection locked="0"/>
    </xf>
    <xf numFmtId="2" fontId="62" fillId="0" borderId="1" xfId="0" applyNumberFormat="1" applyFont="1" applyBorder="1" applyProtection="1">
      <protection locked="0"/>
    </xf>
    <xf numFmtId="179" fontId="62" fillId="0" borderId="1" xfId="0" applyNumberFormat="1" applyFont="1" applyBorder="1" applyProtection="1">
      <protection locked="0"/>
    </xf>
    <xf numFmtId="2" fontId="62" fillId="0" borderId="13" xfId="0" applyNumberFormat="1" applyFont="1" applyBorder="1" applyProtection="1">
      <protection locked="0"/>
    </xf>
    <xf numFmtId="179" fontId="62" fillId="33" borderId="5" xfId="0" applyNumberFormat="1" applyFont="1" applyFill="1" applyBorder="1" applyProtection="1">
      <protection locked="0"/>
    </xf>
    <xf numFmtId="2" fontId="62" fillId="0" borderId="2" xfId="0" applyNumberFormat="1" applyFont="1" applyBorder="1" applyProtection="1">
      <protection locked="0"/>
    </xf>
    <xf numFmtId="179" fontId="62" fillId="33" borderId="0" xfId="0" applyNumberFormat="1" applyFont="1" applyFill="1" applyBorder="1" applyProtection="1">
      <protection locked="0"/>
    </xf>
    <xf numFmtId="2" fontId="62" fillId="0" borderId="4" xfId="0" applyNumberFormat="1" applyFont="1" applyBorder="1" applyProtection="1">
      <protection locked="0"/>
    </xf>
    <xf numFmtId="2" fontId="85" fillId="0" borderId="1" xfId="0" applyNumberFormat="1" applyFont="1" applyBorder="1" applyAlignment="1" applyProtection="1">
      <alignment horizontal="center"/>
      <protection locked="0"/>
    </xf>
    <xf numFmtId="179" fontId="62" fillId="33" borderId="1" xfId="0" applyNumberFormat="1" applyFont="1" applyFill="1" applyBorder="1" applyProtection="1">
      <protection locked="0"/>
    </xf>
    <xf numFmtId="179" fontId="62" fillId="0" borderId="10" xfId="0" applyNumberFormat="1" applyFont="1" applyBorder="1" applyAlignment="1" applyProtection="1">
      <alignment horizontal="right"/>
      <protection locked="0"/>
    </xf>
    <xf numFmtId="0" fontId="31" fillId="0" borderId="10" xfId="0" applyFont="1" applyBorder="1" applyAlignment="1" applyProtection="1">
      <alignment horizontal="right"/>
      <protection locked="0"/>
    </xf>
    <xf numFmtId="0" fontId="31" fillId="0" borderId="9" xfId="0" applyFont="1" applyBorder="1" applyAlignment="1" applyProtection="1">
      <alignment horizontal="right"/>
      <protection locked="0"/>
    </xf>
    <xf numFmtId="0" fontId="31" fillId="0" borderId="11" xfId="0" applyFont="1" applyBorder="1" applyAlignment="1" applyProtection="1">
      <alignment horizontal="right"/>
    </xf>
    <xf numFmtId="0" fontId="31" fillId="0" borderId="10" xfId="0" applyFont="1" applyBorder="1" applyAlignment="1" applyProtection="1">
      <alignment horizontal="right"/>
    </xf>
    <xf numFmtId="0" fontId="31" fillId="0" borderId="9" xfId="0" applyFont="1" applyBorder="1" applyAlignment="1" applyProtection="1">
      <alignment horizontal="right"/>
    </xf>
    <xf numFmtId="185" fontId="31" fillId="0" borderId="0" xfId="31" applyNumberFormat="1" applyFont="1" applyBorder="1" applyAlignment="1" applyProtection="1">
      <alignment horizontal="right"/>
      <protection locked="0"/>
    </xf>
    <xf numFmtId="183" fontId="40" fillId="0" borderId="1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right"/>
    </xf>
    <xf numFmtId="0" fontId="113" fillId="0" borderId="48" xfId="0" applyFont="1" applyBorder="1" applyAlignment="1" applyProtection="1">
      <alignment horizontal="right"/>
      <protection locked="0"/>
    </xf>
    <xf numFmtId="0" fontId="94" fillId="0" borderId="5" xfId="0" applyFont="1" applyBorder="1" applyAlignment="1" applyProtection="1">
      <alignment horizontal="center"/>
      <protection locked="0"/>
    </xf>
    <xf numFmtId="2" fontId="117" fillId="0" borderId="5" xfId="0" applyNumberFormat="1" applyFont="1" applyBorder="1" applyAlignment="1" applyProtection="1">
      <alignment horizontal="center"/>
      <protection locked="0"/>
    </xf>
    <xf numFmtId="179" fontId="94" fillId="0" borderId="5" xfId="0" applyNumberFormat="1" applyFont="1" applyBorder="1" applyAlignment="1" applyProtection="1">
      <alignment horizontal="center"/>
      <protection locked="0"/>
    </xf>
    <xf numFmtId="1" fontId="94" fillId="0" borderId="50" xfId="0" applyNumberFormat="1" applyFont="1" applyBorder="1" applyAlignment="1" applyProtection="1">
      <alignment horizontal="right"/>
      <protection locked="0"/>
    </xf>
    <xf numFmtId="0" fontId="41" fillId="0" borderId="0" xfId="0" applyFont="1" applyProtection="1"/>
    <xf numFmtId="0" fontId="41" fillId="0" borderId="0" xfId="0" applyFont="1" applyAlignment="1" applyProtection="1">
      <alignment horizontal="center"/>
    </xf>
    <xf numFmtId="0" fontId="25" fillId="0" borderId="0" xfId="0" applyFont="1"/>
    <xf numFmtId="0" fontId="35" fillId="0" borderId="0" xfId="0" applyFont="1"/>
    <xf numFmtId="0" fontId="31" fillId="33" borderId="7" xfId="0" applyFont="1" applyFill="1" applyBorder="1" applyAlignment="1" applyProtection="1">
      <alignment horizontal="center"/>
    </xf>
    <xf numFmtId="0" fontId="31" fillId="33" borderId="6" xfId="0" applyFont="1" applyFill="1" applyBorder="1" applyAlignment="1" applyProtection="1">
      <alignment horizontal="right"/>
    </xf>
    <xf numFmtId="0" fontId="36" fillId="0" borderId="5" xfId="0" applyFont="1" applyFill="1" applyBorder="1" applyAlignment="1" applyProtection="1"/>
    <xf numFmtId="0" fontId="36" fillId="0" borderId="1" xfId="0" applyFont="1" applyFill="1" applyBorder="1" applyAlignment="1" applyProtection="1"/>
    <xf numFmtId="0" fontId="36" fillId="0" borderId="1" xfId="0" applyFont="1" applyFill="1" applyBorder="1" applyAlignment="1" applyProtection="1">
      <alignment horizontal="right"/>
    </xf>
    <xf numFmtId="186" fontId="51" fillId="0" borderId="1" xfId="0" applyNumberFormat="1" applyFont="1" applyBorder="1" applyAlignment="1" applyProtection="1">
      <alignment horizontal="center"/>
    </xf>
    <xf numFmtId="0" fontId="36" fillId="0" borderId="2" xfId="0" applyFont="1" applyBorder="1" applyProtection="1">
      <protection locked="0"/>
    </xf>
    <xf numFmtId="0" fontId="36" fillId="0" borderId="2" xfId="0" applyFont="1" applyBorder="1" applyAlignment="1" applyProtection="1">
      <alignment horizontal="left"/>
      <protection locked="0"/>
    </xf>
    <xf numFmtId="0" fontId="36" fillId="0" borderId="4" xfId="0" applyFont="1" applyBorder="1" applyAlignment="1" applyProtection="1">
      <alignment horizontal="left"/>
      <protection locked="0"/>
    </xf>
    <xf numFmtId="9" fontId="94" fillId="0" borderId="20" xfId="33" applyFont="1" applyBorder="1" applyAlignment="1" applyProtection="1">
      <alignment horizontal="center"/>
      <protection locked="0"/>
    </xf>
    <xf numFmtId="9" fontId="94" fillId="0" borderId="21" xfId="33" applyFont="1" applyBorder="1" applyAlignment="1" applyProtection="1">
      <alignment horizontal="center"/>
      <protection locked="0"/>
    </xf>
    <xf numFmtId="9" fontId="94" fillId="0" borderId="22" xfId="33" applyFont="1" applyBorder="1" applyAlignment="1" applyProtection="1">
      <alignment horizontal="center"/>
      <protection locked="0"/>
    </xf>
    <xf numFmtId="179" fontId="37" fillId="0" borderId="0" xfId="0" applyNumberFormat="1" applyFont="1" applyAlignment="1" applyProtection="1">
      <alignment vertical="center"/>
    </xf>
    <xf numFmtId="0" fontId="37" fillId="0" borderId="0" xfId="0" applyFont="1" applyAlignment="1" applyProtection="1">
      <alignment vertical="center"/>
    </xf>
    <xf numFmtId="168" fontId="31" fillId="0" borderId="15" xfId="33" applyNumberFormat="1" applyFont="1" applyBorder="1" applyAlignment="1" applyProtection="1">
      <alignment horizontal="left" vertical="center" wrapText="1"/>
    </xf>
    <xf numFmtId="0" fontId="30" fillId="0" borderId="6" xfId="0" applyFont="1" applyBorder="1" applyAlignment="1" applyProtection="1">
      <alignment horizontal="center"/>
    </xf>
    <xf numFmtId="2" fontId="30" fillId="0" borderId="7" xfId="0" applyNumberFormat="1" applyFont="1" applyBorder="1" applyAlignment="1" applyProtection="1">
      <alignment horizontal="center"/>
    </xf>
    <xf numFmtId="167" fontId="30" fillId="0" borderId="7" xfId="0" applyNumberFormat="1" applyFont="1" applyBorder="1" applyAlignment="1" applyProtection="1">
      <alignment horizontal="center"/>
    </xf>
    <xf numFmtId="0" fontId="30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0" fillId="0" borderId="6" xfId="0" applyNumberFormat="1" applyFont="1" applyFill="1" applyBorder="1" applyAlignment="1" applyProtection="1">
      <alignment horizontal="center"/>
    </xf>
    <xf numFmtId="166" fontId="30" fillId="0" borderId="7" xfId="0" applyNumberFormat="1" applyFont="1" applyFill="1" applyBorder="1" applyAlignment="1" applyProtection="1">
      <alignment horizontal="center"/>
    </xf>
    <xf numFmtId="166" fontId="30" fillId="0" borderId="3" xfId="0" applyNumberFormat="1" applyFont="1" applyFill="1" applyBorder="1" applyAlignment="1" applyProtection="1">
      <alignment horizontal="center"/>
    </xf>
    <xf numFmtId="170" fontId="33" fillId="0" borderId="0" xfId="0" applyNumberFormat="1" applyFont="1" applyAlignment="1" applyProtection="1">
      <alignment horizontal="right"/>
    </xf>
    <xf numFmtId="2" fontId="31" fillId="0" borderId="5" xfId="0" applyNumberFormat="1" applyFont="1" applyBorder="1" applyAlignment="1" applyProtection="1">
      <alignment horizontal="center"/>
    </xf>
    <xf numFmtId="2" fontId="31" fillId="0" borderId="0" xfId="0" applyNumberFormat="1" applyFont="1" applyBorder="1" applyAlignment="1" applyProtection="1">
      <alignment horizontal="center"/>
    </xf>
    <xf numFmtId="0" fontId="45" fillId="33" borderId="6" xfId="0" applyFont="1" applyFill="1" applyBorder="1" applyAlignment="1" applyProtection="1">
      <alignment horizontal="center" vertical="center" wrapText="1"/>
    </xf>
    <xf numFmtId="166" fontId="31" fillId="0" borderId="0" xfId="0" applyNumberFormat="1" applyFont="1" applyAlignment="1" applyProtection="1">
      <alignment horizontal="left"/>
    </xf>
    <xf numFmtId="166" fontId="31" fillId="33" borderId="6" xfId="0" applyNumberFormat="1" applyFont="1" applyFill="1" applyBorder="1" applyAlignment="1" applyProtection="1">
      <alignment horizontal="left" vertical="center" wrapText="1"/>
    </xf>
    <xf numFmtId="166" fontId="30" fillId="0" borderId="11" xfId="0" applyNumberFormat="1" applyFont="1" applyBorder="1" applyAlignment="1" applyProtection="1">
      <alignment horizontal="left"/>
    </xf>
    <xf numFmtId="166" fontId="30" fillId="0" borderId="10" xfId="0" applyNumberFormat="1" applyFont="1" applyBorder="1" applyAlignment="1" applyProtection="1">
      <alignment horizontal="left"/>
    </xf>
    <xf numFmtId="166" fontId="30" fillId="0" borderId="9" xfId="0" applyNumberFormat="1" applyFont="1" applyBorder="1" applyAlignment="1" applyProtection="1">
      <alignment horizontal="left"/>
    </xf>
    <xf numFmtId="166" fontId="54" fillId="0" borderId="51" xfId="33" applyNumberFormat="1" applyFont="1" applyBorder="1" applyAlignment="1" applyProtection="1">
      <alignment horizontal="center"/>
      <protection locked="0"/>
    </xf>
    <xf numFmtId="179" fontId="37" fillId="0" borderId="13" xfId="0" applyNumberFormat="1" applyFont="1" applyBorder="1" applyAlignment="1" applyProtection="1">
      <alignment horizontal="center" vertical="center"/>
    </xf>
    <xf numFmtId="179" fontId="37" fillId="0" borderId="5" xfId="0" applyNumberFormat="1" applyFont="1" applyBorder="1" applyAlignment="1" applyProtection="1">
      <alignment horizontal="center"/>
    </xf>
    <xf numFmtId="0" fontId="37" fillId="0" borderId="5" xfId="0" applyFont="1" applyFill="1" applyBorder="1" applyProtection="1"/>
    <xf numFmtId="179" fontId="37" fillId="0" borderId="11" xfId="0" applyNumberFormat="1" applyFont="1" applyFill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 vertical="center"/>
    </xf>
    <xf numFmtId="179" fontId="37" fillId="0" borderId="0" xfId="0" applyNumberFormat="1" applyFont="1" applyBorder="1" applyAlignment="1" applyProtection="1">
      <alignment horizontal="center"/>
    </xf>
    <xf numFmtId="179" fontId="37" fillId="0" borderId="10" xfId="0" applyNumberFormat="1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 vertical="center"/>
    </xf>
    <xf numFmtId="179" fontId="37" fillId="0" borderId="1" xfId="0" applyNumberFormat="1" applyFont="1" applyBorder="1" applyAlignment="1" applyProtection="1">
      <alignment horizontal="center"/>
    </xf>
    <xf numFmtId="0" fontId="37" fillId="0" borderId="1" xfId="0" applyFont="1" applyBorder="1" applyProtection="1"/>
    <xf numFmtId="179" fontId="37" fillId="0" borderId="9" xfId="0" applyNumberFormat="1" applyFont="1" applyFill="1" applyBorder="1" applyAlignment="1" applyProtection="1">
      <alignment horizontal="center"/>
    </xf>
    <xf numFmtId="0" fontId="28" fillId="0" borderId="0" xfId="0" applyFont="1" applyAlignment="1" applyProtection="1">
      <alignment horizontal="right"/>
    </xf>
    <xf numFmtId="0" fontId="93" fillId="0" borderId="0" xfId="0" applyFont="1" applyAlignment="1" applyProtection="1">
      <alignment horizontal="right"/>
    </xf>
    <xf numFmtId="0" fontId="28" fillId="0" borderId="5" xfId="0" applyFont="1" applyBorder="1" applyAlignment="1" applyProtection="1">
      <alignment horizontal="right"/>
    </xf>
    <xf numFmtId="179" fontId="36" fillId="0" borderId="7" xfId="0" applyNumberFormat="1" applyFont="1" applyFill="1" applyBorder="1" applyAlignment="1" applyProtection="1">
      <alignment horizontal="center" vertical="center"/>
    </xf>
    <xf numFmtId="179" fontId="37" fillId="0" borderId="0" xfId="0" applyNumberFormat="1" applyFont="1" applyBorder="1" applyAlignment="1" applyProtection="1">
      <alignment horizontal="right"/>
    </xf>
    <xf numFmtId="179" fontId="36" fillId="0" borderId="8" xfId="0" applyNumberFormat="1" applyFont="1" applyFill="1" applyBorder="1" applyAlignment="1" applyProtection="1">
      <alignment horizontal="center" vertical="center"/>
    </xf>
    <xf numFmtId="0" fontId="37" fillId="0" borderId="1" xfId="0" applyFont="1" applyBorder="1" applyAlignment="1" applyProtection="1">
      <alignment horizontal="right"/>
    </xf>
    <xf numFmtId="179" fontId="37" fillId="0" borderId="1" xfId="0" applyNumberFormat="1" applyFont="1" applyBorder="1" applyAlignment="1" applyProtection="1">
      <alignment horizontal="right"/>
    </xf>
    <xf numFmtId="179" fontId="117" fillId="0" borderId="2" xfId="0" applyNumberFormat="1" applyFont="1" applyBorder="1" applyAlignment="1" applyProtection="1">
      <alignment vertical="center"/>
      <protection locked="0"/>
    </xf>
    <xf numFmtId="179" fontId="117" fillId="0" borderId="10" xfId="0" applyNumberFormat="1" applyFont="1" applyBorder="1" applyAlignment="1" applyProtection="1">
      <alignment horizontal="center" vertical="center"/>
      <protection locked="0"/>
    </xf>
    <xf numFmtId="2" fontId="54" fillId="0" borderId="19" xfId="0" applyNumberFormat="1" applyFont="1" applyBorder="1" applyAlignment="1" applyProtection="1">
      <alignment horizontal="center" vertical="center"/>
    </xf>
    <xf numFmtId="0" fontId="36" fillId="33" borderId="8" xfId="0" applyFont="1" applyFill="1" applyBorder="1" applyAlignment="1" applyProtection="1">
      <alignment horizontal="right" vertical="center"/>
    </xf>
    <xf numFmtId="0" fontId="36" fillId="33" borderId="8" xfId="0" applyFont="1" applyFill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179" fontId="49" fillId="0" borderId="2" xfId="0" applyNumberFormat="1" applyFont="1" applyBorder="1" applyAlignment="1" applyProtection="1">
      <alignment vertical="center"/>
    </xf>
    <xf numFmtId="179" fontId="49" fillId="0" borderId="10" xfId="0" applyNumberFormat="1" applyFont="1" applyBorder="1" applyAlignment="1" applyProtection="1">
      <alignment horizontal="center" vertical="center"/>
    </xf>
    <xf numFmtId="179" fontId="49" fillId="0" borderId="4" xfId="0" applyNumberFormat="1" applyFont="1" applyBorder="1" applyAlignment="1" applyProtection="1">
      <alignment vertical="center"/>
    </xf>
    <xf numFmtId="179" fontId="49" fillId="0" borderId="9" xfId="0" applyNumberFormat="1" applyFont="1" applyBorder="1" applyAlignment="1" applyProtection="1">
      <alignment horizontal="center" vertical="center"/>
    </xf>
    <xf numFmtId="179" fontId="117" fillId="0" borderId="4" xfId="0" applyNumberFormat="1" applyFont="1" applyBorder="1" applyAlignment="1" applyProtection="1">
      <alignment vertical="center"/>
      <protection locked="0"/>
    </xf>
    <xf numFmtId="179" fontId="117" fillId="0" borderId="9" xfId="0" applyNumberFormat="1" applyFont="1" applyBorder="1" applyAlignment="1" applyProtection="1">
      <alignment horizontal="center" vertical="center"/>
      <protection locked="0"/>
    </xf>
    <xf numFmtId="187" fontId="36" fillId="0" borderId="0" xfId="31" applyNumberFormat="1" applyFont="1" applyBorder="1" applyAlignment="1" applyProtection="1">
      <alignment horizontal="center"/>
    </xf>
    <xf numFmtId="187" fontId="36" fillId="0" borderId="10" xfId="31" applyNumberFormat="1" applyFont="1" applyBorder="1" applyAlignment="1" applyProtection="1">
      <alignment horizontal="center"/>
    </xf>
    <xf numFmtId="187" fontId="49" fillId="0" borderId="7" xfId="31" applyNumberFormat="1" applyFont="1" applyBorder="1" applyAlignment="1" applyProtection="1">
      <alignment horizontal="center"/>
    </xf>
    <xf numFmtId="187" fontId="36" fillId="0" borderId="2" xfId="31" applyNumberFormat="1" applyFont="1" applyBorder="1" applyAlignment="1" applyProtection="1">
      <alignment horizontal="center"/>
    </xf>
    <xf numFmtId="179" fontId="36" fillId="0" borderId="2" xfId="0" applyNumberFormat="1" applyFont="1" applyFill="1" applyBorder="1" applyAlignment="1" applyProtection="1">
      <alignment horizontal="center"/>
    </xf>
    <xf numFmtId="179" fontId="49" fillId="0" borderId="7" xfId="0" applyNumberFormat="1" applyFont="1" applyBorder="1" applyAlignment="1" applyProtection="1">
      <alignment horizontal="center"/>
    </xf>
    <xf numFmtId="187" fontId="49" fillId="0" borderId="0" xfId="31" applyNumberFormat="1" applyFont="1" applyBorder="1" applyAlignment="1" applyProtection="1">
      <alignment horizontal="center"/>
    </xf>
    <xf numFmtId="187" fontId="49" fillId="0" borderId="8" xfId="31" applyNumberFormat="1" applyFont="1" applyBorder="1" applyAlignment="1" applyProtection="1">
      <alignment horizontal="center"/>
    </xf>
    <xf numFmtId="187" fontId="36" fillId="0" borderId="4" xfId="31" applyNumberFormat="1" applyFont="1" applyBorder="1" applyAlignment="1" applyProtection="1">
      <alignment horizontal="center"/>
    </xf>
    <xf numFmtId="187" fontId="49" fillId="0" borderId="1" xfId="31" applyNumberFormat="1" applyFont="1" applyBorder="1" applyAlignment="1" applyProtection="1">
      <alignment horizontal="center"/>
    </xf>
    <xf numFmtId="187" fontId="36" fillId="0" borderId="1" xfId="31" applyNumberFormat="1" applyFont="1" applyBorder="1" applyAlignment="1" applyProtection="1">
      <alignment horizontal="center"/>
    </xf>
    <xf numFmtId="187" fontId="36" fillId="0" borderId="9" xfId="31" applyNumberFormat="1" applyFont="1" applyBorder="1" applyAlignment="1" applyProtection="1">
      <alignment horizontal="center"/>
    </xf>
    <xf numFmtId="179" fontId="49" fillId="0" borderId="8" xfId="0" applyNumberFormat="1" applyFont="1" applyBorder="1" applyAlignment="1" applyProtection="1">
      <alignment horizontal="center"/>
    </xf>
    <xf numFmtId="0" fontId="25" fillId="0" borderId="0" xfId="0" applyFont="1" applyProtection="1">
      <protection locked="0"/>
    </xf>
    <xf numFmtId="183" fontId="51" fillId="0" borderId="3" xfId="0" applyNumberFormat="1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/>
    </xf>
    <xf numFmtId="2" fontId="33" fillId="0" borderId="0" xfId="0" applyNumberFormat="1" applyFont="1" applyProtection="1"/>
    <xf numFmtId="179" fontId="62" fillId="34" borderId="52" xfId="0" applyNumberFormat="1" applyFont="1" applyFill="1" applyBorder="1" applyAlignment="1" applyProtection="1">
      <alignment horizontal="right"/>
      <protection locked="0"/>
    </xf>
    <xf numFmtId="183" fontId="85" fillId="0" borderId="0" xfId="33" applyNumberFormat="1" applyFont="1" applyBorder="1" applyAlignment="1" applyProtection="1">
      <alignment horizontal="center"/>
    </xf>
    <xf numFmtId="186" fontId="49" fillId="0" borderId="53" xfId="0" applyNumberFormat="1" applyFont="1" applyBorder="1" applyAlignment="1" applyProtection="1">
      <alignment horizontal="center"/>
    </xf>
    <xf numFmtId="2" fontId="30" fillId="0" borderId="0" xfId="0" applyNumberFormat="1" applyFont="1" applyProtection="1">
      <protection locked="0"/>
    </xf>
    <xf numFmtId="2" fontId="31" fillId="0" borderId="0" xfId="0" applyNumberFormat="1" applyFont="1" applyProtection="1">
      <protection locked="0"/>
    </xf>
    <xf numFmtId="167" fontId="82" fillId="0" borderId="0" xfId="0" applyNumberFormat="1" applyFont="1" applyProtection="1">
      <protection locked="0"/>
    </xf>
    <xf numFmtId="0" fontId="30" fillId="0" borderId="0" xfId="0" applyFont="1" applyBorder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82" fillId="0" borderId="0" xfId="0" applyFont="1" applyBorder="1" applyAlignment="1" applyProtection="1">
      <alignment horizontal="right"/>
      <protection locked="0"/>
    </xf>
    <xf numFmtId="179" fontId="32" fillId="0" borderId="0" xfId="0" applyNumberFormat="1" applyFont="1" applyBorder="1" applyAlignment="1" applyProtection="1">
      <alignment horizontal="center"/>
      <protection locked="0"/>
    </xf>
    <xf numFmtId="179" fontId="82" fillId="0" borderId="0" xfId="0" applyNumberFormat="1" applyFont="1" applyBorder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173" fontId="33" fillId="0" borderId="0" xfId="0" applyNumberFormat="1" applyFont="1" applyAlignment="1" applyProtection="1">
      <alignment horizontal="center" vertical="center"/>
      <protection locked="0"/>
    </xf>
    <xf numFmtId="0" fontId="82" fillId="0" borderId="0" xfId="0" applyFont="1" applyAlignment="1" applyProtection="1">
      <alignment horizontal="left"/>
      <protection locked="0"/>
    </xf>
    <xf numFmtId="0" fontId="35" fillId="0" borderId="0" xfId="0" applyFont="1" applyBorder="1" applyAlignment="1" applyProtection="1">
      <alignment horizontal="left"/>
    </xf>
    <xf numFmtId="2" fontId="37" fillId="0" borderId="0" xfId="0" applyNumberFormat="1" applyFont="1" applyAlignment="1" applyProtection="1">
      <alignment horizontal="center" vertical="center"/>
    </xf>
    <xf numFmtId="0" fontId="32" fillId="0" borderId="0" xfId="0" applyFont="1" applyAlignment="1" applyProtection="1">
      <alignment horizontal="center"/>
    </xf>
    <xf numFmtId="179" fontId="108" fillId="0" borderId="37" xfId="0" applyNumberFormat="1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right"/>
      <protection locked="0"/>
    </xf>
    <xf numFmtId="2" fontId="31" fillId="0" borderId="0" xfId="0" applyNumberFormat="1" applyFont="1" applyAlignment="1" applyProtection="1">
      <alignment horizontal="center"/>
      <protection locked="0"/>
    </xf>
    <xf numFmtId="2" fontId="94" fillId="0" borderId="5" xfId="0" applyNumberFormat="1" applyFont="1" applyBorder="1" applyProtection="1">
      <protection locked="0"/>
    </xf>
    <xf numFmtId="2" fontId="94" fillId="0" borderId="0" xfId="0" applyNumberFormat="1" applyFont="1" applyBorder="1" applyProtection="1">
      <protection locked="0"/>
    </xf>
    <xf numFmtId="2" fontId="94" fillId="0" borderId="1" xfId="0" applyNumberFormat="1" applyFont="1" applyBorder="1" applyProtection="1">
      <protection locked="0"/>
    </xf>
    <xf numFmtId="186" fontId="41" fillId="0" borderId="3" xfId="0" applyNumberFormat="1" applyFont="1" applyBorder="1" applyAlignment="1" applyProtection="1">
      <alignment horizontal="center"/>
    </xf>
    <xf numFmtId="2" fontId="117" fillId="0" borderId="43" xfId="0" applyNumberFormat="1" applyFont="1" applyBorder="1" applyAlignment="1" applyProtection="1">
      <alignment horizontal="center"/>
      <protection locked="0"/>
    </xf>
    <xf numFmtId="1" fontId="27" fillId="0" borderId="0" xfId="0" applyNumberFormat="1" applyFont="1" applyAlignment="1" applyProtection="1">
      <alignment horizontal="left"/>
    </xf>
    <xf numFmtId="2" fontId="31" fillId="0" borderId="20" xfId="0" applyNumberFormat="1" applyFont="1" applyBorder="1" applyProtection="1">
      <protection locked="0"/>
    </xf>
    <xf numFmtId="2" fontId="31" fillId="0" borderId="21" xfId="0" applyNumberFormat="1" applyFont="1" applyBorder="1" applyProtection="1">
      <protection locked="0"/>
    </xf>
    <xf numFmtId="174" fontId="65" fillId="0" borderId="21" xfId="33" applyNumberFormat="1" applyFont="1" applyFill="1" applyBorder="1" applyAlignment="1" applyProtection="1">
      <alignment horizontal="center" vertical="center"/>
      <protection locked="0"/>
    </xf>
    <xf numFmtId="168" fontId="61" fillId="0" borderId="2" xfId="33" applyNumberFormat="1" applyFont="1" applyBorder="1" applyAlignment="1" applyProtection="1">
      <alignment horizontal="center"/>
    </xf>
    <xf numFmtId="168" fontId="39" fillId="0" borderId="0" xfId="33" applyNumberFormat="1" applyFont="1" applyBorder="1" applyAlignment="1" applyProtection="1">
      <alignment horizontal="center"/>
    </xf>
    <xf numFmtId="168" fontId="72" fillId="0" borderId="10" xfId="33" applyNumberFormat="1" applyFont="1" applyBorder="1" applyAlignment="1" applyProtection="1">
      <alignment horizontal="center"/>
    </xf>
    <xf numFmtId="168" fontId="65" fillId="0" borderId="0" xfId="33" applyNumberFormat="1" applyFont="1" applyAlignment="1" applyProtection="1">
      <alignment horizontal="center"/>
    </xf>
    <xf numFmtId="168" fontId="115" fillId="0" borderId="0" xfId="33" applyNumberFormat="1" applyFont="1" applyAlignment="1" applyProtection="1">
      <alignment horizontal="center"/>
    </xf>
    <xf numFmtId="168" fontId="36" fillId="0" borderId="9" xfId="33" applyNumberFormat="1" applyFont="1" applyBorder="1" applyAlignment="1" applyProtection="1">
      <alignment horizontal="center"/>
    </xf>
    <xf numFmtId="168" fontId="47" fillId="33" borderId="3" xfId="0" applyNumberFormat="1" applyFont="1" applyFill="1" applyBorder="1" applyAlignment="1" applyProtection="1">
      <alignment horizontal="center" vertical="center" wrapText="1"/>
    </xf>
    <xf numFmtId="168" fontId="38" fillId="33" borderId="3" xfId="0" applyNumberFormat="1" applyFont="1" applyFill="1" applyBorder="1" applyAlignment="1" applyProtection="1">
      <alignment horizontal="center" vertical="center" wrapText="1"/>
    </xf>
    <xf numFmtId="168" fontId="71" fillId="33" borderId="3" xfId="0" applyNumberFormat="1" applyFont="1" applyFill="1" applyBorder="1" applyAlignment="1" applyProtection="1">
      <alignment horizontal="center" vertical="center" wrapText="1"/>
    </xf>
    <xf numFmtId="168" fontId="61" fillId="0" borderId="13" xfId="33" applyNumberFormat="1" applyFont="1" applyBorder="1" applyAlignment="1" applyProtection="1">
      <alignment horizontal="center"/>
    </xf>
    <xf numFmtId="168" fontId="39" fillId="0" borderId="5" xfId="33" applyNumberFormat="1" applyFont="1" applyBorder="1" applyAlignment="1" applyProtection="1">
      <alignment horizontal="center"/>
    </xf>
    <xf numFmtId="168" fontId="72" fillId="0" borderId="11" xfId="33" applyNumberFormat="1" applyFont="1" applyBorder="1" applyAlignment="1" applyProtection="1">
      <alignment horizontal="center"/>
    </xf>
    <xf numFmtId="168" fontId="39" fillId="0" borderId="13" xfId="33" applyNumberFormat="1" applyFont="1" applyBorder="1" applyAlignment="1" applyProtection="1">
      <alignment horizontal="center"/>
    </xf>
    <xf numFmtId="10" fontId="72" fillId="0" borderId="5" xfId="33" applyNumberFormat="1" applyFont="1" applyBorder="1" applyAlignment="1" applyProtection="1">
      <alignment horizontal="center"/>
    </xf>
    <xf numFmtId="168" fontId="36" fillId="0" borderId="11" xfId="33" applyNumberFormat="1" applyFont="1" applyBorder="1" applyAlignment="1" applyProtection="1">
      <alignment horizontal="center"/>
    </xf>
    <xf numFmtId="10" fontId="112" fillId="0" borderId="11" xfId="33" applyNumberFormat="1" applyFont="1" applyBorder="1" applyAlignment="1" applyProtection="1">
      <alignment horizontal="center"/>
    </xf>
    <xf numFmtId="168" fontId="39" fillId="0" borderId="2" xfId="33" applyNumberFormat="1" applyFont="1" applyBorder="1" applyAlignment="1" applyProtection="1">
      <alignment horizontal="center"/>
    </xf>
    <xf numFmtId="10" fontId="72" fillId="0" borderId="0" xfId="33" applyNumberFormat="1" applyFont="1" applyBorder="1" applyAlignment="1" applyProtection="1">
      <alignment horizontal="center"/>
    </xf>
    <xf numFmtId="168" fontId="36" fillId="0" borderId="10" xfId="33" applyNumberFormat="1" applyFont="1" applyBorder="1" applyAlignment="1" applyProtection="1">
      <alignment horizontal="center"/>
    </xf>
    <xf numFmtId="10" fontId="112" fillId="0" borderId="10" xfId="33" applyNumberFormat="1" applyFont="1" applyBorder="1" applyAlignment="1" applyProtection="1">
      <alignment horizontal="center"/>
    </xf>
    <xf numFmtId="168" fontId="61" fillId="0" borderId="17" xfId="33" applyNumberFormat="1" applyFont="1" applyBorder="1" applyAlignment="1" applyProtection="1">
      <alignment horizontal="center"/>
    </xf>
    <xf numFmtId="168" fontId="39" fillId="0" borderId="18" xfId="33" applyNumberFormat="1" applyFont="1" applyBorder="1" applyAlignment="1" applyProtection="1">
      <alignment horizontal="center"/>
    </xf>
    <xf numFmtId="168" fontId="72" fillId="0" borderId="30" xfId="33" applyNumberFormat="1" applyFont="1" applyBorder="1" applyAlignment="1" applyProtection="1">
      <alignment horizontal="center"/>
    </xf>
    <xf numFmtId="168" fontId="39" fillId="0" borderId="17" xfId="33" applyNumberFormat="1" applyFont="1" applyBorder="1" applyAlignment="1" applyProtection="1">
      <alignment horizontal="center"/>
    </xf>
    <xf numFmtId="10" fontId="72" fillId="0" borderId="18" xfId="33" applyNumberFormat="1" applyFont="1" applyBorder="1" applyAlignment="1" applyProtection="1">
      <alignment horizontal="center"/>
    </xf>
    <xf numFmtId="168" fontId="36" fillId="0" borderId="30" xfId="33" applyNumberFormat="1" applyFont="1" applyBorder="1" applyAlignment="1" applyProtection="1">
      <alignment horizontal="center"/>
    </xf>
    <xf numFmtId="10" fontId="112" fillId="0" borderId="30" xfId="33" applyNumberFormat="1" applyFont="1" applyBorder="1" applyAlignment="1" applyProtection="1">
      <alignment horizontal="center"/>
    </xf>
    <xf numFmtId="0" fontId="62" fillId="0" borderId="2" xfId="0" applyFont="1" applyBorder="1" applyAlignment="1" applyProtection="1">
      <alignment horizontal="center"/>
    </xf>
    <xf numFmtId="168" fontId="62" fillId="0" borderId="2" xfId="33" applyNumberFormat="1" applyFont="1" applyBorder="1" applyAlignment="1" applyProtection="1">
      <alignment horizontal="center"/>
    </xf>
    <xf numFmtId="168" fontId="62" fillId="0" borderId="0" xfId="33" applyNumberFormat="1" applyFont="1" applyBorder="1" applyAlignment="1" applyProtection="1">
      <alignment horizontal="center"/>
    </xf>
    <xf numFmtId="168" fontId="62" fillId="0" borderId="10" xfId="33" applyNumberFormat="1" applyFont="1" applyBorder="1" applyAlignment="1" applyProtection="1">
      <alignment horizontal="center"/>
    </xf>
    <xf numFmtId="10" fontId="62" fillId="0" borderId="0" xfId="33" applyNumberFormat="1" applyFont="1" applyBorder="1" applyAlignment="1" applyProtection="1">
      <alignment horizontal="center"/>
    </xf>
    <xf numFmtId="10" fontId="37" fillId="0" borderId="0" xfId="33" applyNumberFormat="1" applyFont="1" applyBorder="1" applyProtection="1">
      <protection locked="0"/>
    </xf>
    <xf numFmtId="1" fontId="37" fillId="0" borderId="10" xfId="0" applyNumberFormat="1" applyFont="1" applyBorder="1" applyProtection="1">
      <protection locked="0"/>
    </xf>
    <xf numFmtId="1" fontId="36" fillId="0" borderId="2" xfId="0" applyNumberFormat="1" applyFont="1" applyBorder="1" applyProtection="1">
      <protection locked="0"/>
    </xf>
    <xf numFmtId="1" fontId="37" fillId="0" borderId="9" xfId="0" applyNumberFormat="1" applyFont="1" applyBorder="1" applyProtection="1">
      <protection locked="0"/>
    </xf>
    <xf numFmtId="1" fontId="36" fillId="0" borderId="4" xfId="0" applyNumberFormat="1" applyFont="1" applyBorder="1" applyProtection="1">
      <protection locked="0"/>
    </xf>
    <xf numFmtId="0" fontId="37" fillId="0" borderId="0" xfId="0" applyFont="1" applyBorder="1" applyProtection="1">
      <protection locked="0"/>
    </xf>
    <xf numFmtId="176" fontId="31" fillId="0" borderId="0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9" fontId="65" fillId="37" borderId="15" xfId="33" applyNumberFormat="1" applyFont="1" applyFill="1" applyBorder="1" applyAlignment="1" applyProtection="1">
      <alignment horizontal="center"/>
      <protection locked="0"/>
    </xf>
    <xf numFmtId="183" fontId="124" fillId="0" borderId="3" xfId="33" applyNumberFormat="1" applyFont="1" applyBorder="1" applyAlignment="1" applyProtection="1">
      <alignment horizontal="center"/>
    </xf>
    <xf numFmtId="10" fontId="77" fillId="37" borderId="19" xfId="0" applyNumberFormat="1" applyFont="1" applyFill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0" fillId="0" borderId="2" xfId="0" quotePrefix="1" applyNumberFormat="1" applyFont="1" applyBorder="1" applyProtection="1"/>
    <xf numFmtId="166" fontId="30" fillId="0" borderId="0" xfId="0" quotePrefix="1" applyNumberFormat="1" applyFont="1" applyBorder="1" applyProtection="1"/>
    <xf numFmtId="166" fontId="30" fillId="0" borderId="10" xfId="0" quotePrefix="1" applyNumberFormat="1" applyFont="1" applyBorder="1" applyProtection="1"/>
    <xf numFmtId="166" fontId="30" fillId="0" borderId="2" xfId="0" applyNumberFormat="1" applyFont="1" applyBorder="1" applyProtection="1"/>
    <xf numFmtId="166" fontId="30" fillId="0" borderId="4" xfId="0" applyNumberFormat="1" applyFont="1" applyBorder="1" applyProtection="1"/>
    <xf numFmtId="166" fontId="30" fillId="0" borderId="1" xfId="0" quotePrefix="1" applyNumberFormat="1" applyFont="1" applyBorder="1" applyProtection="1"/>
    <xf numFmtId="166" fontId="30" fillId="0" borderId="9" xfId="0" quotePrefix="1" applyNumberFormat="1" applyFont="1" applyBorder="1" applyProtection="1"/>
    <xf numFmtId="0" fontId="30" fillId="37" borderId="0" xfId="0" applyFont="1" applyFill="1" applyAlignment="1" applyProtection="1">
      <alignment horizontal="right"/>
    </xf>
    <xf numFmtId="166" fontId="51" fillId="37" borderId="3" xfId="0" applyNumberFormat="1" applyFont="1" applyFill="1" applyBorder="1" applyAlignment="1" applyProtection="1">
      <alignment horizontal="center" vertical="center"/>
    </xf>
    <xf numFmtId="168" fontId="39" fillId="0" borderId="6" xfId="33" applyNumberFormat="1" applyFont="1" applyFill="1" applyBorder="1" applyAlignment="1" applyProtection="1"/>
    <xf numFmtId="168" fontId="38" fillId="0" borderId="9" xfId="33" applyNumberFormat="1" applyFont="1" applyFill="1" applyBorder="1" applyAlignment="1" applyProtection="1"/>
    <xf numFmtId="0" fontId="36" fillId="0" borderId="5" xfId="0" applyFont="1" applyBorder="1" applyAlignment="1" applyProtection="1">
      <alignment horizontal="left"/>
    </xf>
    <xf numFmtId="0" fontId="38" fillId="0" borderId="3" xfId="0" applyFont="1" applyBorder="1" applyAlignment="1" applyProtection="1">
      <alignment horizontal="center" vertical="center" wrapText="1"/>
    </xf>
    <xf numFmtId="1" fontId="65" fillId="0" borderId="3" xfId="0" applyNumberFormat="1" applyFont="1" applyBorder="1" applyAlignment="1" applyProtection="1">
      <alignment horizontal="center"/>
    </xf>
    <xf numFmtId="10" fontId="65" fillId="0" borderId="3" xfId="33" applyNumberFormat="1" applyFont="1" applyBorder="1" applyAlignment="1" applyProtection="1">
      <alignment horizontal="center"/>
    </xf>
    <xf numFmtId="1" fontId="33" fillId="0" borderId="6" xfId="0" applyNumberFormat="1" applyFont="1" applyBorder="1" applyAlignment="1" applyProtection="1">
      <alignment horizontal="center"/>
      <protection locked="0"/>
    </xf>
    <xf numFmtId="10" fontId="33" fillId="0" borderId="6" xfId="33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center"/>
      <protection locked="0"/>
    </xf>
    <xf numFmtId="10" fontId="33" fillId="0" borderId="7" xfId="33" applyNumberFormat="1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right"/>
      <protection locked="0"/>
    </xf>
    <xf numFmtId="1" fontId="33" fillId="0" borderId="0" xfId="0" applyNumberFormat="1" applyFont="1" applyAlignment="1" applyProtection="1">
      <alignment horizontal="left"/>
      <protection locked="0"/>
    </xf>
    <xf numFmtId="0" fontId="84" fillId="0" borderId="0" xfId="0" applyFont="1" applyAlignment="1" applyProtection="1">
      <alignment horizontal="left"/>
    </xf>
    <xf numFmtId="174" fontId="65" fillId="37" borderId="15" xfId="33" applyNumberFormat="1" applyFont="1" applyFill="1" applyBorder="1" applyAlignment="1" applyProtection="1">
      <alignment horizontal="center"/>
      <protection locked="0"/>
    </xf>
    <xf numFmtId="1" fontId="33" fillId="0" borderId="4" xfId="0" applyNumberFormat="1" applyFont="1" applyBorder="1" applyAlignment="1" applyProtection="1">
      <alignment horizontal="center"/>
    </xf>
    <xf numFmtId="1" fontId="33" fillId="0" borderId="9" xfId="0" applyNumberFormat="1" applyFont="1" applyBorder="1" applyAlignment="1" applyProtection="1">
      <alignment horizontal="center"/>
    </xf>
    <xf numFmtId="0" fontId="120" fillId="0" borderId="31" xfId="0" applyFont="1" applyBorder="1" applyAlignment="1" applyProtection="1">
      <alignment horizontal="center"/>
      <protection locked="0"/>
    </xf>
    <xf numFmtId="0" fontId="120" fillId="0" borderId="33" xfId="0" applyFont="1" applyBorder="1" applyAlignment="1" applyProtection="1">
      <alignment horizontal="center"/>
      <protection locked="0"/>
    </xf>
    <xf numFmtId="14" fontId="51" fillId="0" borderId="14" xfId="0" applyNumberFormat="1" applyFont="1" applyBorder="1" applyAlignment="1" applyProtection="1">
      <alignment horizontal="center" vertical="center"/>
    </xf>
    <xf numFmtId="14" fontId="51" fillId="0" borderId="12" xfId="0" applyNumberFormat="1" applyFont="1" applyBorder="1" applyAlignment="1" applyProtection="1">
      <alignment horizontal="center" vertical="center"/>
    </xf>
    <xf numFmtId="14" fontId="49" fillId="0" borderId="1" xfId="0" applyNumberFormat="1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27" fillId="0" borderId="12" xfId="0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/>
    </xf>
    <xf numFmtId="14" fontId="51" fillId="0" borderId="12" xfId="0" applyNumberFormat="1" applyFont="1" applyBorder="1" applyAlignment="1" applyProtection="1">
      <alignment horizontal="center"/>
    </xf>
    <xf numFmtId="0" fontId="37" fillId="0" borderId="14" xfId="0" applyFont="1" applyBorder="1" applyAlignment="1" applyProtection="1">
      <alignment horizontal="center"/>
    </xf>
    <xf numFmtId="0" fontId="37" fillId="0" borderId="12" xfId="0" applyFont="1" applyBorder="1" applyAlignment="1" applyProtection="1">
      <alignment horizontal="center"/>
    </xf>
    <xf numFmtId="0" fontId="28" fillId="33" borderId="14" xfId="0" applyFont="1" applyFill="1" applyBorder="1" applyAlignment="1" applyProtection="1">
      <alignment horizontal="center" vertical="center"/>
    </xf>
    <xf numFmtId="0" fontId="28" fillId="33" borderId="12" xfId="0" applyFont="1" applyFill="1" applyBorder="1" applyAlignment="1" applyProtection="1">
      <alignment horizontal="center" vertical="center"/>
    </xf>
    <xf numFmtId="0" fontId="49" fillId="0" borderId="14" xfId="0" applyFont="1" applyBorder="1" applyAlignment="1" applyProtection="1">
      <alignment horizontal="center"/>
    </xf>
    <xf numFmtId="0" fontId="49" fillId="0" borderId="12" xfId="0" applyFont="1" applyBorder="1" applyAlignment="1" applyProtection="1">
      <alignment horizontal="center"/>
    </xf>
    <xf numFmtId="0" fontId="41" fillId="33" borderId="14" xfId="0" applyFont="1" applyFill="1" applyBorder="1" applyAlignment="1" applyProtection="1">
      <alignment horizontal="center" vertical="center"/>
    </xf>
    <xf numFmtId="0" fontId="41" fillId="33" borderId="12" xfId="0" applyFont="1" applyFill="1" applyBorder="1" applyAlignment="1" applyProtection="1">
      <alignment horizontal="center" vertical="center"/>
    </xf>
    <xf numFmtId="0" fontId="36" fillId="33" borderId="6" xfId="0" applyFont="1" applyFill="1" applyBorder="1" applyAlignment="1" applyProtection="1">
      <alignment horizontal="center" vertical="center" wrapText="1"/>
    </xf>
    <xf numFmtId="0" fontId="36" fillId="33" borderId="8" xfId="0" applyFont="1" applyFill="1" applyBorder="1" applyAlignment="1" applyProtection="1">
      <alignment horizontal="center" vertic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5" fillId="0" borderId="7" xfId="0" applyFont="1" applyBorder="1" applyAlignment="1" applyProtection="1">
      <alignment horizontal="center" wrapText="1"/>
    </xf>
    <xf numFmtId="15" fontId="116" fillId="0" borderId="31" xfId="0" applyNumberFormat="1" applyFont="1" applyBorder="1" applyAlignment="1" applyProtection="1">
      <alignment horizontal="center" vertical="center"/>
      <protection locked="0"/>
    </xf>
    <xf numFmtId="15" fontId="116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center" vertical="center"/>
    </xf>
    <xf numFmtId="0" fontId="27" fillId="0" borderId="11" xfId="0" applyFont="1" applyBorder="1" applyAlignment="1" applyProtection="1">
      <alignment horizontal="center" vertical="center"/>
    </xf>
    <xf numFmtId="0" fontId="27" fillId="0" borderId="4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9" xfId="0" applyFont="1" applyBorder="1" applyAlignment="1" applyProtection="1">
      <alignment horizontal="center" vertical="center"/>
    </xf>
    <xf numFmtId="0" fontId="25" fillId="0" borderId="14" xfId="0" applyFont="1" applyBorder="1" applyAlignment="1" applyProtection="1">
      <alignment horizontal="center"/>
    </xf>
    <xf numFmtId="0" fontId="25" fillId="0" borderId="15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/>
    </xf>
    <xf numFmtId="0" fontId="105" fillId="0" borderId="0" xfId="0" applyFont="1" applyAlignment="1" applyProtection="1">
      <alignment horizontal="center" vertical="center" wrapText="1"/>
    </xf>
    <xf numFmtId="10" fontId="32" fillId="33" borderId="13" xfId="33" applyNumberFormat="1" applyFont="1" applyFill="1" applyBorder="1" applyAlignment="1" applyProtection="1">
      <alignment horizontal="center" wrapText="1"/>
    </xf>
    <xf numFmtId="10" fontId="32" fillId="33" borderId="11" xfId="33" applyNumberFormat="1" applyFont="1" applyFill="1" applyBorder="1" applyAlignment="1" applyProtection="1">
      <alignment horizontal="center" wrapText="1"/>
    </xf>
    <xf numFmtId="10" fontId="32" fillId="33" borderId="4" xfId="33" applyNumberFormat="1" applyFont="1" applyFill="1" applyBorder="1" applyAlignment="1" applyProtection="1">
      <alignment horizontal="center" wrapText="1"/>
    </xf>
    <xf numFmtId="10" fontId="32" fillId="33" borderId="9" xfId="33" applyNumberFormat="1" applyFont="1" applyFill="1" applyBorder="1" applyAlignment="1" applyProtection="1">
      <alignment horizontal="center" wrapText="1"/>
    </xf>
    <xf numFmtId="10" fontId="32" fillId="33" borderId="6" xfId="33" applyNumberFormat="1" applyFont="1" applyFill="1" applyBorder="1" applyAlignment="1" applyProtection="1">
      <alignment horizontal="center" wrapText="1"/>
    </xf>
    <xf numFmtId="10" fontId="32" fillId="33" borderId="8" xfId="33" applyNumberFormat="1" applyFont="1" applyFill="1" applyBorder="1" applyAlignment="1" applyProtection="1">
      <alignment horizontal="center" wrapText="1"/>
    </xf>
    <xf numFmtId="168" fontId="65" fillId="0" borderId="31" xfId="33" applyNumberFormat="1" applyFont="1" applyBorder="1" applyAlignment="1" applyProtection="1">
      <alignment horizontal="center" vertical="center"/>
      <protection locked="0"/>
    </xf>
    <xf numFmtId="168" fontId="65" fillId="0" borderId="33" xfId="33" applyNumberFormat="1" applyFont="1" applyBorder="1" applyAlignment="1" applyProtection="1">
      <alignment horizontal="center" vertical="center"/>
      <protection locked="0"/>
    </xf>
    <xf numFmtId="168" fontId="74" fillId="0" borderId="15" xfId="33" applyNumberFormat="1" applyFont="1" applyBorder="1" applyAlignment="1" applyProtection="1">
      <alignment horizontal="center"/>
    </xf>
    <xf numFmtId="168" fontId="74" fillId="0" borderId="12" xfId="33" applyNumberFormat="1" applyFont="1" applyBorder="1" applyAlignment="1" applyProtection="1">
      <alignment horizontal="center"/>
    </xf>
    <xf numFmtId="0" fontId="51" fillId="0" borderId="14" xfId="0" applyFont="1" applyBorder="1" applyAlignment="1" applyProtection="1">
      <alignment horizontal="center" vertical="center"/>
    </xf>
    <xf numFmtId="0" fontId="51" fillId="0" borderId="15" xfId="0" applyFont="1" applyBorder="1" applyAlignment="1" applyProtection="1">
      <alignment horizontal="center" vertical="center"/>
    </xf>
    <xf numFmtId="0" fontId="51" fillId="0" borderId="12" xfId="0" applyFont="1" applyBorder="1" applyAlignment="1" applyProtection="1">
      <alignment horizontal="center" vertical="center"/>
    </xf>
    <xf numFmtId="0" fontId="121" fillId="0" borderId="0" xfId="0" applyFont="1" applyBorder="1" applyAlignment="1" applyProtection="1">
      <alignment horizontal="center"/>
    </xf>
    <xf numFmtId="182" fontId="89" fillId="0" borderId="15" xfId="33" applyNumberFormat="1" applyFont="1" applyFill="1" applyBorder="1" applyAlignment="1" applyProtection="1">
      <alignment horizontal="center"/>
    </xf>
    <xf numFmtId="183" fontId="74" fillId="0" borderId="31" xfId="0" applyNumberFormat="1" applyFont="1" applyBorder="1" applyAlignment="1" applyProtection="1">
      <alignment horizontal="center" vertical="center"/>
      <protection locked="0"/>
    </xf>
    <xf numFmtId="183" fontId="74" fillId="0" borderId="33" xfId="0" applyNumberFormat="1" applyFont="1" applyBorder="1" applyAlignment="1" applyProtection="1">
      <alignment horizontal="center" vertical="center"/>
      <protection locked="0"/>
    </xf>
    <xf numFmtId="182" fontId="74" fillId="0" borderId="15" xfId="33" applyNumberFormat="1" applyFont="1" applyFill="1" applyBorder="1" applyAlignment="1" applyProtection="1">
      <alignment horizontal="center"/>
      <protection locked="0"/>
    </xf>
    <xf numFmtId="0" fontId="51" fillId="0" borderId="1" xfId="0" applyFont="1" applyBorder="1" applyAlignment="1" applyProtection="1">
      <alignment horizontal="center" vertical="center"/>
    </xf>
    <xf numFmtId="0" fontId="51" fillId="37" borderId="14" xfId="0" applyFont="1" applyFill="1" applyBorder="1" applyAlignment="1" applyProtection="1">
      <alignment horizontal="center" vertical="center"/>
    </xf>
    <xf numFmtId="0" fontId="51" fillId="37" borderId="15" xfId="0" applyFont="1" applyFill="1" applyBorder="1" applyAlignment="1" applyProtection="1">
      <alignment horizontal="center" vertical="center"/>
    </xf>
    <xf numFmtId="0" fontId="51" fillId="37" borderId="12" xfId="0" applyFont="1" applyFill="1" applyBorder="1" applyAlignment="1" applyProtection="1">
      <alignment horizontal="center" vertical="center"/>
    </xf>
    <xf numFmtId="1" fontId="51" fillId="0" borderId="2" xfId="0" applyNumberFormat="1" applyFont="1" applyFill="1" applyBorder="1" applyAlignment="1" applyProtection="1">
      <alignment horizontal="center"/>
    </xf>
    <xf numFmtId="1" fontId="51" fillId="0" borderId="0" xfId="0" applyNumberFormat="1" applyFont="1" applyFill="1" applyBorder="1" applyAlignment="1" applyProtection="1">
      <alignment horizontal="center"/>
    </xf>
    <xf numFmtId="1" fontId="31" fillId="0" borderId="2" xfId="0" applyNumberFormat="1" applyFont="1" applyFill="1" applyBorder="1" applyAlignment="1" applyProtection="1">
      <alignment horizontal="center"/>
    </xf>
    <xf numFmtId="1" fontId="31" fillId="0" borderId="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</xf>
    <xf numFmtId="0" fontId="34" fillId="0" borderId="10" xfId="0" applyFont="1" applyBorder="1" applyAlignment="1" applyProtection="1">
      <alignment horizontal="left"/>
    </xf>
    <xf numFmtId="180" fontId="27" fillId="0" borderId="14" xfId="0" applyNumberFormat="1" applyFont="1" applyBorder="1" applyAlignment="1" applyProtection="1">
      <alignment horizontal="center" vertical="center"/>
    </xf>
    <xf numFmtId="180" fontId="27" fillId="0" borderId="15" xfId="0" applyNumberFormat="1" applyFont="1" applyBorder="1" applyAlignment="1" applyProtection="1">
      <alignment horizontal="center" vertical="center"/>
    </xf>
    <xf numFmtId="180" fontId="27" fillId="0" borderId="12" xfId="0" applyNumberFormat="1" applyFont="1" applyBorder="1" applyAlignment="1" applyProtection="1">
      <alignment horizontal="center" vertical="center"/>
    </xf>
    <xf numFmtId="14" fontId="54" fillId="0" borderId="31" xfId="0" applyNumberFormat="1" applyFont="1" applyBorder="1" applyAlignment="1" applyProtection="1">
      <alignment horizontal="center" vertical="center"/>
      <protection locked="0"/>
    </xf>
    <xf numFmtId="14" fontId="54" fillId="0" borderId="33" xfId="0" applyNumberFormat="1" applyFont="1" applyBorder="1" applyAlignment="1" applyProtection="1">
      <alignment horizontal="center" vertical="center"/>
      <protection locked="0"/>
    </xf>
    <xf numFmtId="0" fontId="122" fillId="0" borderId="31" xfId="0" applyFont="1" applyBorder="1" applyAlignment="1" applyProtection="1">
      <alignment horizontal="center" vertical="center"/>
      <protection locked="0"/>
    </xf>
    <xf numFmtId="0" fontId="122" fillId="0" borderId="32" xfId="0" applyFont="1" applyBorder="1" applyAlignment="1" applyProtection="1">
      <alignment horizontal="center" vertical="center"/>
      <protection locked="0"/>
    </xf>
    <xf numFmtId="0" fontId="122" fillId="0" borderId="33" xfId="0" applyFont="1" applyBorder="1" applyAlignment="1" applyProtection="1">
      <alignment horizontal="center" vertical="center"/>
      <protection locked="0"/>
    </xf>
    <xf numFmtId="14" fontId="37" fillId="0" borderId="0" xfId="0" applyNumberFormat="1" applyFont="1" applyBorder="1" applyAlignment="1" applyProtection="1">
      <alignment horizontal="center" vertical="center"/>
    </xf>
    <xf numFmtId="14" fontId="28" fillId="0" borderId="5" xfId="0" applyNumberFormat="1" applyFont="1" applyBorder="1" applyAlignment="1" applyProtection="1">
      <alignment horizontal="center"/>
    </xf>
    <xf numFmtId="14" fontId="28" fillId="0" borderId="0" xfId="0" applyNumberFormat="1" applyFont="1" applyBorder="1" applyAlignment="1" applyProtection="1">
      <alignment horizontal="center" vertical="center"/>
    </xf>
    <xf numFmtId="0" fontId="36" fillId="33" borderId="6" xfId="0" applyFont="1" applyFill="1" applyBorder="1" applyAlignment="1" applyProtection="1">
      <alignment horizontal="center" vertical="top" wrapText="1"/>
    </xf>
    <xf numFmtId="2" fontId="99" fillId="0" borderId="0" xfId="0" applyNumberFormat="1" applyFont="1" applyFill="1" applyBorder="1" applyProtection="1"/>
    <xf numFmtId="2" fontId="92" fillId="34" borderId="22" xfId="0" applyNumberFormat="1" applyFont="1" applyFill="1" applyBorder="1" applyProtection="1"/>
    <xf numFmtId="0" fontId="30" fillId="0" borderId="0" xfId="0" applyFont="1" applyAlignment="1">
      <alignment horizontal="center"/>
    </xf>
    <xf numFmtId="0" fontId="30" fillId="0" borderId="0" xfId="0" applyFont="1"/>
    <xf numFmtId="2" fontId="30" fillId="0" borderId="0" xfId="0" applyNumberFormat="1" applyFont="1"/>
    <xf numFmtId="0" fontId="75" fillId="33" borderId="6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9">
    <dxf>
      <font>
        <color rgb="FF9966FF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6.879113116437753</c:v>
                </c:pt>
                <c:pt idx="6">
                  <c:v>6.5466445581837167</c:v>
                </c:pt>
                <c:pt idx="7">
                  <c:v>5.8558957314625495</c:v>
                </c:pt>
                <c:pt idx="8">
                  <c:v>4.696317383888573</c:v>
                </c:pt>
                <c:pt idx="9">
                  <c:v>3.3170270375751496</c:v>
                </c:pt>
                <c:pt idx="10">
                  <c:v>2.2506126001993163</c:v>
                </c:pt>
                <c:pt idx="11">
                  <c:v>1.8736167707276747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2.307939903522457</c:v>
                </c:pt>
                <c:pt idx="1">
                  <c:v>3.2374997066951425</c:v>
                </c:pt>
                <c:pt idx="2">
                  <c:v>4.5163565897221876</c:v>
                </c:pt>
                <c:pt idx="3">
                  <c:v>5.7817594646708432</c:v>
                </c:pt>
                <c:pt idx="4">
                  <c:v>6.4230810942291043</c:v>
                </c:pt>
                <c:pt idx="5">
                  <c:v>6.4563307551519786</c:v>
                </c:pt>
                <c:pt idx="6">
                  <c:v>6.109533747116128</c:v>
                </c:pt>
                <c:pt idx="7">
                  <c:v>5.4520334750329571</c:v>
                </c:pt>
                <c:pt idx="8">
                  <c:v>4.3513384959972496</c:v>
                </c:pt>
                <c:pt idx="9">
                  <c:v>3.0792527781598764</c:v>
                </c:pt>
                <c:pt idx="10">
                  <c:v>2.0973163207532091</c:v>
                </c:pt>
                <c:pt idx="11">
                  <c:v>1.7661867857501796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2.1931625573451439</c:v>
                </c:pt>
                <c:pt idx="1">
                  <c:v>3.0949469731260772</c:v>
                </c:pt>
                <c:pt idx="2">
                  <c:v>4.3443294994267827</c:v>
                </c:pt>
                <c:pt idx="3">
                  <c:v>5.5207387686967682</c:v>
                </c:pt>
                <c:pt idx="4">
                  <c:v>6.109468141820547</c:v>
                </c:pt>
                <c:pt idx="5">
                  <c:v>6.1335580540203374</c:v>
                </c:pt>
                <c:pt idx="6">
                  <c:v>5.800265812765379</c:v>
                </c:pt>
                <c:pt idx="7">
                  <c:v>5.114538533105133</c:v>
                </c:pt>
                <c:pt idx="8">
                  <c:v>4.0958721477861122</c:v>
                </c:pt>
                <c:pt idx="9">
                  <c:v>2.8968082042960561</c:v>
                </c:pt>
                <c:pt idx="10">
                  <c:v>1.9764578222107734</c:v>
                </c:pt>
                <c:pt idx="11">
                  <c:v>1.6727190923513096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2.0633847029074275</c:v>
                </c:pt>
                <c:pt idx="1">
                  <c:v>2.9012857481671617</c:v>
                </c:pt>
                <c:pt idx="2">
                  <c:v>4.0564945677270039</c:v>
                </c:pt>
                <c:pt idx="3">
                  <c:v>5.398479056361543</c:v>
                </c:pt>
                <c:pt idx="4">
                  <c:v>6.3892036032476121</c:v>
                </c:pt>
                <c:pt idx="5">
                  <c:v>6.404471985312437</c:v>
                </c:pt>
                <c:pt idx="6">
                  <c:v>6.0425832989452966</c:v>
                </c:pt>
                <c:pt idx="7">
                  <c:v>5.3758714664160854</c:v>
                </c:pt>
                <c:pt idx="8">
                  <c:v>4.2780972868252976</c:v>
                </c:pt>
                <c:pt idx="9">
                  <c:v>3.0188116425765377</c:v>
                </c:pt>
                <c:pt idx="10">
                  <c:v>2.0504961816878402</c:v>
                </c:pt>
                <c:pt idx="11">
                  <c:v>1.7060910965780307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2.1189139981695004</c:v>
                </c:pt>
                <c:pt idx="1">
                  <c:v>2.9839331277632142</c:v>
                </c:pt>
                <c:pt idx="2">
                  <c:v>4.1613585383074945</c:v>
                </c:pt>
                <c:pt idx="3">
                  <c:v>5.3024854727669162</c:v>
                </c:pt>
                <c:pt idx="4">
                  <c:v>5.877805954304212</c:v>
                </c:pt>
                <c:pt idx="5">
                  <c:v>5.9031111329506452</c:v>
                </c:pt>
                <c:pt idx="6">
                  <c:v>5.5231342658931384</c:v>
                </c:pt>
                <c:pt idx="7">
                  <c:v>4.929491570996114</c:v>
                </c:pt>
                <c:pt idx="8">
                  <c:v>3.9607437236130423</c:v>
                </c:pt>
                <c:pt idx="9">
                  <c:v>2.8055254303951545</c:v>
                </c:pt>
                <c:pt idx="10">
                  <c:v>1.9109236326236418</c:v>
                </c:pt>
                <c:pt idx="11">
                  <c:v>1.5956184462332559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1.9693259492147186</c:v>
                </c:pt>
                <c:pt idx="1">
                  <c:v>2.7669891922939223</c:v>
                </c:pt>
                <c:pt idx="2">
                  <c:v>3.8661658176708156</c:v>
                </c:pt>
                <c:pt idx="3">
                  <c:v>4.9788671139322647</c:v>
                </c:pt>
                <c:pt idx="4">
                  <c:v>6.2308252995541515</c:v>
                </c:pt>
                <c:pt idx="5">
                  <c:v>6.250164322940174</c:v>
                </c:pt>
                <c:pt idx="6">
                  <c:v>5.9010201391945856</c:v>
                </c:pt>
                <c:pt idx="7">
                  <c:v>5.2533506630855822</c:v>
                </c:pt>
                <c:pt idx="8">
                  <c:v>4.1831615163975533</c:v>
                </c:pt>
                <c:pt idx="9">
                  <c:v>2.9533981951921171</c:v>
                </c:pt>
                <c:pt idx="10">
                  <c:v>2.0069894870558951</c:v>
                </c:pt>
                <c:pt idx="11">
                  <c:v>1.6707187530871583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2.0606699803821726</c:v>
                </c:pt>
                <c:pt idx="1">
                  <c:v>2.8955588370459449</c:v>
                </c:pt>
                <c:pt idx="2">
                  <c:v>4.0335119792437109</c:v>
                </c:pt>
                <c:pt idx="3">
                  <c:v>5.1790587944946758</c:v>
                </c:pt>
                <c:pt idx="4">
                  <c:v>5.7573678613586905</c:v>
                </c:pt>
                <c:pt idx="5">
                  <c:v>5.7744730077394486</c:v>
                </c:pt>
                <c:pt idx="6">
                  <c:v>5.4616752370992501</c:v>
                </c:pt>
                <c:pt idx="7">
                  <c:v>4.864585054001977</c:v>
                </c:pt>
                <c:pt idx="8">
                  <c:v>3.8472314038493138</c:v>
                </c:pt>
                <c:pt idx="9">
                  <c:v>2.7311098231120137</c:v>
                </c:pt>
                <c:pt idx="10">
                  <c:v>1.8616544233741459</c:v>
                </c:pt>
                <c:pt idx="11">
                  <c:v>1.5568037114456854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1.9253391381837548</c:v>
                </c:pt>
                <c:pt idx="1">
                  <c:v>2.7177030293990909</c:v>
                </c:pt>
                <c:pt idx="2">
                  <c:v>3.7849486849856535</c:v>
                </c:pt>
                <c:pt idx="3">
                  <c:v>4.9052364695798705</c:v>
                </c:pt>
                <c:pt idx="4">
                  <c:v>6.0951109824175793</c:v>
                </c:pt>
                <c:pt idx="5">
                  <c:v>6.0999368408761514</c:v>
                </c:pt>
                <c:pt idx="6">
                  <c:v>5.7577741266292159</c:v>
                </c:pt>
                <c:pt idx="7">
                  <c:v>5.0912808069000164</c:v>
                </c:pt>
                <c:pt idx="8">
                  <c:v>3.9813812748458508</c:v>
                </c:pt>
                <c:pt idx="9">
                  <c:v>2.8311787535847284</c:v>
                </c:pt>
                <c:pt idx="10">
                  <c:v>1.921337364935739</c:v>
                </c:pt>
                <c:pt idx="11">
                  <c:v>1.6089531719328631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1.9852359158868558</c:v>
                </c:pt>
                <c:pt idx="1">
                  <c:v>2.8019247401601732</c:v>
                </c:pt>
                <c:pt idx="2">
                  <c:v>3.8916611643261061</c:v>
                </c:pt>
                <c:pt idx="3">
                  <c:v>5.0185093306322761</c:v>
                </c:pt>
                <c:pt idx="4">
                  <c:v>5.6233352061806539</c:v>
                </c:pt>
                <c:pt idx="5">
                  <c:v>5.6341375038541308</c:v>
                </c:pt>
                <c:pt idx="6">
                  <c:v>5.3259762095457184</c:v>
                </c:pt>
                <c:pt idx="7">
                  <c:v>4.6889216406063765</c:v>
                </c:pt>
                <c:pt idx="8">
                  <c:v>3.6454399617463071</c:v>
                </c:pt>
                <c:pt idx="9">
                  <c:v>2.6153197304456457</c:v>
                </c:pt>
                <c:pt idx="10">
                  <c:v>1.7777879770357738</c:v>
                </c:pt>
                <c:pt idx="11">
                  <c:v>1.5009679427182991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1.8543271583100953</c:v>
                </c:pt>
                <c:pt idx="1">
                  <c:v>2.6248621785216599</c:v>
                </c:pt>
                <c:pt idx="2">
                  <c:v>3.650223819471945</c:v>
                </c:pt>
                <c:pt idx="3">
                  <c:v>4.7324077433825238</c:v>
                </c:pt>
                <c:pt idx="4">
                  <c:v>5.9414187500785047</c:v>
                </c:pt>
                <c:pt idx="5">
                  <c:v>5.9495900103100245</c:v>
                </c:pt>
                <c:pt idx="6">
                  <c:v>5.6043065987812799</c:v>
                </c:pt>
                <c:pt idx="7">
                  <c:v>4.8698718741926958</c:v>
                </c:pt>
                <c:pt idx="8">
                  <c:v>3.7664306858405805</c:v>
                </c:pt>
                <c:pt idx="9">
                  <c:v>2.7083124707632598</c:v>
                </c:pt>
                <c:pt idx="10">
                  <c:v>1.8355883534288542</c:v>
                </c:pt>
                <c:pt idx="11">
                  <c:v>1.5573685176786145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18304"/>
        <c:axId val="205953816"/>
      </c:lineChart>
      <c:dateAx>
        <c:axId val="9431830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595381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205953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431830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5.8288779783619821E-2</c:v>
                </c:pt>
                <c:pt idx="1">
                  <c:v>5.8983132124166088E-2</c:v>
                </c:pt>
                <c:pt idx="2">
                  <c:v>5.960985866883553E-2</c:v>
                </c:pt>
                <c:pt idx="3">
                  <c:v>6.0303258295484136E-2</c:v>
                </c:pt>
                <c:pt idx="4">
                  <c:v>6.0973814070045568E-2</c:v>
                </c:pt>
                <c:pt idx="5">
                  <c:v>6.1666230061817401E-2</c:v>
                </c:pt>
                <c:pt idx="6">
                  <c:v>6.2335834607071289E-2</c:v>
                </c:pt>
                <c:pt idx="7">
                  <c:v>6.3027268359319849E-2</c:v>
                </c:pt>
                <c:pt idx="8">
                  <c:v>6.3718203474770446E-2</c:v>
                </c:pt>
                <c:pt idx="9">
                  <c:v>6.438637593074939E-2</c:v>
                </c:pt>
                <c:pt idx="10">
                  <c:v>6.5076330907401309E-2</c:v>
                </c:pt>
                <c:pt idx="11">
                  <c:v>6.5743555514973379E-2</c:v>
                </c:pt>
                <c:pt idx="12">
                  <c:v>6.643253174322053E-2</c:v>
                </c:pt>
                <c:pt idx="13">
                  <c:v>6.7121011106946377E-2</c:v>
                </c:pt>
                <c:pt idx="14">
                  <c:v>6.7742436667872302E-2</c:v>
                </c:pt>
                <c:pt idx="15">
                  <c:v>6.842997137595333E-2</c:v>
                </c:pt>
                <c:pt idx="16">
                  <c:v>6.9094855450009401E-2</c:v>
                </c:pt>
                <c:pt idx="17">
                  <c:v>6.9781414843002515E-2</c:v>
                </c:pt>
                <c:pt idx="18">
                  <c:v>7.0445355733446818E-2</c:v>
                </c:pt>
                <c:pt idx="19">
                  <c:v>7.113094119490318E-2</c:v>
                </c:pt>
                <c:pt idx="20">
                  <c:v>7.1816032237135535E-2</c:v>
                </c:pt>
                <c:pt idx="21">
                  <c:v>7.247855315121457E-2</c:v>
                </c:pt>
                <c:pt idx="22">
                  <c:v>7.3162672344866425E-2</c:v>
                </c:pt>
                <c:pt idx="23">
                  <c:v>7.3824253427638015E-2</c:v>
                </c:pt>
                <c:pt idx="24">
                  <c:v>7.4529431002549634E-2</c:v>
                </c:pt>
                <c:pt idx="25">
                  <c:v>7.5212071177913425E-2</c:v>
                </c:pt>
                <c:pt idx="26">
                  <c:v>7.5828226252758785E-2</c:v>
                </c:pt>
                <c:pt idx="27">
                  <c:v>7.6509929784369574E-2</c:v>
                </c:pt>
                <c:pt idx="28">
                  <c:v>7.7169174788394052E-2</c:v>
                </c:pt>
                <c:pt idx="29">
                  <c:v>7.7849911276840184E-2</c:v>
                </c:pt>
                <c:pt idx="30">
                  <c:v>7.850822109666003E-2</c:v>
                </c:pt>
                <c:pt idx="31">
                  <c:v>7.9187991913758499E-2</c:v>
                </c:pt>
                <c:pt idx="32">
                  <c:v>7.9867272504942549E-2</c:v>
                </c:pt>
                <c:pt idx="33">
                  <c:v>8.0524174391618547E-2</c:v>
                </c:pt>
                <c:pt idx="34">
                  <c:v>8.1202491376744873E-2</c:v>
                </c:pt>
                <c:pt idx="35">
                  <c:v>8.185846140308875E-2</c:v>
                </c:pt>
                <c:pt idx="36">
                  <c:v>8.253581614909869E-2</c:v>
                </c:pt>
                <c:pt idx="37">
                  <c:v>8.321268241157645E-2</c:v>
                </c:pt>
                <c:pt idx="38">
                  <c:v>8.3823625918373473E-2</c:v>
                </c:pt>
                <c:pt idx="39">
                  <c:v>8.4499563459426247E-2</c:v>
                </c:pt>
                <c:pt idx="40">
                  <c:v>8.5153232431800091E-2</c:v>
                </c:pt>
                <c:pt idx="41">
                  <c:v>8.5828211109140989E-2</c:v>
                </c:pt>
                <c:pt idx="42">
                  <c:v>8.6480952807293204E-2</c:v>
                </c:pt>
                <c:pt idx="43">
                  <c:v>8.7154973981135947E-2</c:v>
                </c:pt>
                <c:pt idx="44">
                  <c:v>8.7828509075497135E-2</c:v>
                </c:pt>
                <c:pt idx="45">
                  <c:v>8.8479854749097392E-2</c:v>
                </c:pt>
                <c:pt idx="46">
                  <c:v>8.9152434387781782E-2</c:v>
                </c:pt>
                <c:pt idx="47">
                  <c:v>8.9802856082918964E-2</c:v>
                </c:pt>
                <c:pt idx="48">
                  <c:v>9.0474481621305919E-2</c:v>
                </c:pt>
                <c:pt idx="49">
                  <c:v>9.1145622807856236E-2</c:v>
                </c:pt>
                <c:pt idx="50">
                  <c:v>9.1751398827133707E-2</c:v>
                </c:pt>
                <c:pt idx="51">
                  <c:v>9.2421619147578543E-2</c:v>
                </c:pt>
                <c:pt idx="52">
                  <c:v>9.3069759251539735E-2</c:v>
                </c:pt>
                <c:pt idx="53">
                  <c:v>9.3739028818541709E-2</c:v>
                </c:pt>
                <c:pt idx="54">
                  <c:v>9.4386249491359903E-2</c:v>
                </c:pt>
                <c:pt idx="55">
                  <c:v>9.5054569653627824E-2</c:v>
                </c:pt>
                <c:pt idx="56">
                  <c:v>9.5722407847775887E-2</c:v>
                </c:pt>
                <c:pt idx="57">
                  <c:v>9.6368244303908807E-2</c:v>
                </c:pt>
                <c:pt idx="58">
                  <c:v>9.7035135123823363E-2</c:v>
                </c:pt>
                <c:pt idx="59">
                  <c:v>9.7680055416695472E-2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0.12317863335107883</c:v>
                </c:pt>
                <c:pt idx="1">
                  <c:v>0.12593686362535583</c:v>
                </c:pt>
                <c:pt idx="2">
                  <c:v>0.12834632151202935</c:v>
                </c:pt>
                <c:pt idx="3">
                  <c:v>0.1313706681778315</c:v>
                </c:pt>
                <c:pt idx="4">
                  <c:v>2.1779802357397397E-2</c:v>
                </c:pt>
                <c:pt idx="5">
                  <c:v>2.9203398963944745E-2</c:v>
                </c:pt>
                <c:pt idx="6">
                  <c:v>3.5972558409859801E-2</c:v>
                </c:pt>
                <c:pt idx="7">
                  <c:v>4.2436410070456648E-2</c:v>
                </c:pt>
                <c:pt idx="8">
                  <c:v>4.8466584041187269E-2</c:v>
                </c:pt>
                <c:pt idx="9">
                  <c:v>5.3594809532838766E-2</c:v>
                </c:pt>
                <c:pt idx="10">
                  <c:v>5.7989276318076606E-2</c:v>
                </c:pt>
                <c:pt idx="11">
                  <c:v>6.2370635821213979E-2</c:v>
                </c:pt>
                <c:pt idx="12">
                  <c:v>6.7235657373795873E-2</c:v>
                </c:pt>
                <c:pt idx="13">
                  <c:v>7.200336855687349E-2</c:v>
                </c:pt>
                <c:pt idx="14">
                  <c:v>7.6170668533153685E-2</c:v>
                </c:pt>
                <c:pt idx="15">
                  <c:v>8.0912676385410789E-2</c:v>
                </c:pt>
                <c:pt idx="16">
                  <c:v>8.628854529204634E-2</c:v>
                </c:pt>
                <c:pt idx="17">
                  <c:v>9.2244281888951118E-2</c:v>
                </c:pt>
                <c:pt idx="18">
                  <c:v>9.6933809220702466E-2</c:v>
                </c:pt>
                <c:pt idx="19">
                  <c:v>0.10082038310977744</c:v>
                </c:pt>
                <c:pt idx="20">
                  <c:v>0.10419789873207019</c:v>
                </c:pt>
                <c:pt idx="21">
                  <c:v>0.1064582435640065</c:v>
                </c:pt>
                <c:pt idx="22">
                  <c:v>0.10758255057344716</c:v>
                </c:pt>
                <c:pt idx="23">
                  <c:v>0.10939761085410894</c:v>
                </c:pt>
                <c:pt idx="24">
                  <c:v>0.11228801709028673</c:v>
                </c:pt>
                <c:pt idx="25">
                  <c:v>0.11515175138660137</c:v>
                </c:pt>
                <c:pt idx="26">
                  <c:v>0.1176873206950603</c:v>
                </c:pt>
                <c:pt idx="27">
                  <c:v>0.12084672389424767</c:v>
                </c:pt>
                <c:pt idx="28">
                  <c:v>2.1779802357397397E-2</c:v>
                </c:pt>
                <c:pt idx="29">
                  <c:v>2.9203398963944745E-2</c:v>
                </c:pt>
                <c:pt idx="30">
                  <c:v>3.5972558409859801E-2</c:v>
                </c:pt>
                <c:pt idx="31">
                  <c:v>4.2436410070456648E-2</c:v>
                </c:pt>
                <c:pt idx="32">
                  <c:v>4.8466584041187269E-2</c:v>
                </c:pt>
                <c:pt idx="33">
                  <c:v>5.3594809532838766E-2</c:v>
                </c:pt>
                <c:pt idx="34">
                  <c:v>5.7989276318076606E-2</c:v>
                </c:pt>
                <c:pt idx="35">
                  <c:v>6.2370635821213979E-2</c:v>
                </c:pt>
                <c:pt idx="36">
                  <c:v>6.7235657373795873E-2</c:v>
                </c:pt>
                <c:pt idx="37">
                  <c:v>7.200336855687349E-2</c:v>
                </c:pt>
                <c:pt idx="38">
                  <c:v>7.6170668533153685E-2</c:v>
                </c:pt>
                <c:pt idx="39">
                  <c:v>8.0912676385410789E-2</c:v>
                </c:pt>
                <c:pt idx="40">
                  <c:v>8.628854529204634E-2</c:v>
                </c:pt>
                <c:pt idx="41">
                  <c:v>9.2244281888951118E-2</c:v>
                </c:pt>
                <c:pt idx="42">
                  <c:v>9.6933809220702466E-2</c:v>
                </c:pt>
                <c:pt idx="43">
                  <c:v>0.10082038310977744</c:v>
                </c:pt>
                <c:pt idx="44">
                  <c:v>0.10419789873207019</c:v>
                </c:pt>
                <c:pt idx="45">
                  <c:v>0.1064582435640065</c:v>
                </c:pt>
                <c:pt idx="46">
                  <c:v>0.10758255057344716</c:v>
                </c:pt>
                <c:pt idx="47">
                  <c:v>0.10939761085410894</c:v>
                </c:pt>
                <c:pt idx="48">
                  <c:v>0.11219358305095324</c:v>
                </c:pt>
                <c:pt idx="49">
                  <c:v>0.11506130826426637</c:v>
                </c:pt>
                <c:pt idx="50">
                  <c:v>0.11760029783570457</c:v>
                </c:pt>
                <c:pt idx="51">
                  <c:v>0.12076301832506268</c:v>
                </c:pt>
                <c:pt idx="52">
                  <c:v>2.1779802357397397E-2</c:v>
                </c:pt>
                <c:pt idx="53">
                  <c:v>2.9203398963944745E-2</c:v>
                </c:pt>
                <c:pt idx="54">
                  <c:v>3.5972558409859801E-2</c:v>
                </c:pt>
                <c:pt idx="55">
                  <c:v>4.2436410070456648E-2</c:v>
                </c:pt>
                <c:pt idx="56">
                  <c:v>4.8466584041187269E-2</c:v>
                </c:pt>
                <c:pt idx="57">
                  <c:v>5.3594809532838766E-2</c:v>
                </c:pt>
                <c:pt idx="58">
                  <c:v>5.7989276318076606E-2</c:v>
                </c:pt>
                <c:pt idx="59">
                  <c:v>6.2370635821213979E-2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7.1640464904118729E-3</c:v>
                </c:pt>
                <c:pt idx="1">
                  <c:v>4.9620549164450193E-3</c:v>
                </c:pt>
                <c:pt idx="2">
                  <c:v>6.5219677340043825E-3</c:v>
                </c:pt>
                <c:pt idx="3">
                  <c:v>2.4054369721492291E-3</c:v>
                </c:pt>
                <c:pt idx="4">
                  <c:v>2.0313085612297544E-3</c:v>
                </c:pt>
                <c:pt idx="5">
                  <c:v>3.8927844801715872E-3</c:v>
                </c:pt>
                <c:pt idx="6">
                  <c:v>4.8287039543285885E-3</c:v>
                </c:pt>
                <c:pt idx="7">
                  <c:v>4.3067699603332055E-3</c:v>
                </c:pt>
                <c:pt idx="8">
                  <c:v>1.7818130115574704E-2</c:v>
                </c:pt>
                <c:pt idx="9">
                  <c:v>1.9336087348872485E-2</c:v>
                </c:pt>
                <c:pt idx="10">
                  <c:v>1.6086250247796929E-2</c:v>
                </c:pt>
                <c:pt idx="11">
                  <c:v>1.7660083377106381E-2</c:v>
                </c:pt>
                <c:pt idx="12">
                  <c:v>1.5252877857296947E-2</c:v>
                </c:pt>
                <c:pt idx="13">
                  <c:v>1.0395835402126069E-2</c:v>
                </c:pt>
                <c:pt idx="14">
                  <c:v>1.3871214351930661E-2</c:v>
                </c:pt>
                <c:pt idx="15">
                  <c:v>5.9720438338251441E-3</c:v>
                </c:pt>
                <c:pt idx="16">
                  <c:v>3.9926631833626762E-3</c:v>
                </c:pt>
                <c:pt idx="17">
                  <c:v>7.3093282443528768E-3</c:v>
                </c:pt>
                <c:pt idx="18">
                  <c:v>8.3055602668167718E-3</c:v>
                </c:pt>
                <c:pt idx="19">
                  <c:v>8.9643984849545524E-3</c:v>
                </c:pt>
                <c:pt idx="20">
                  <c:v>3.324007688299447E-2</c:v>
                </c:pt>
                <c:pt idx="21">
                  <c:v>3.0722963008040911E-2</c:v>
                </c:pt>
                <c:pt idx="22">
                  <c:v>2.8881580257775111E-2</c:v>
                </c:pt>
                <c:pt idx="23">
                  <c:v>2.783739990928381E-2</c:v>
                </c:pt>
                <c:pt idx="24">
                  <c:v>2.5191281128307905E-2</c:v>
                </c:pt>
                <c:pt idx="25">
                  <c:v>1.6807333004389625E-2</c:v>
                </c:pt>
                <c:pt idx="26">
                  <c:v>2.2986076140382696E-2</c:v>
                </c:pt>
                <c:pt idx="27">
                  <c:v>1.1397292803640852E-2</c:v>
                </c:pt>
                <c:pt idx="28">
                  <c:v>6.193981705165782E-3</c:v>
                </c:pt>
                <c:pt idx="29">
                  <c:v>1.0874996775455678E-2</c:v>
                </c:pt>
                <c:pt idx="30">
                  <c:v>1.1880446431893978E-2</c:v>
                </c:pt>
                <c:pt idx="31">
                  <c:v>1.6691308054488759E-2</c:v>
                </c:pt>
                <c:pt idx="32">
                  <c:v>5.099486920108702E-2</c:v>
                </c:pt>
                <c:pt idx="33">
                  <c:v>4.2035480176266377E-2</c:v>
                </c:pt>
                <c:pt idx="34">
                  <c:v>4.2881267706954003E-2</c:v>
                </c:pt>
                <c:pt idx="35">
                  <c:v>3.7011130327758934E-2</c:v>
                </c:pt>
                <c:pt idx="36">
                  <c:v>3.5036954693177247E-2</c:v>
                </c:pt>
                <c:pt idx="37">
                  <c:v>2.4907356029680552E-2</c:v>
                </c:pt>
                <c:pt idx="38">
                  <c:v>3.1967825180518293E-2</c:v>
                </c:pt>
                <c:pt idx="39">
                  <c:v>2.0371941183599317E-2</c:v>
                </c:pt>
                <c:pt idx="40">
                  <c:v>9.6383533802940676E-3</c:v>
                </c:pt>
                <c:pt idx="41">
                  <c:v>1.4546692376549987E-2</c:v>
                </c:pt>
                <c:pt idx="42">
                  <c:v>1.5564211779263785E-2</c:v>
                </c:pt>
                <c:pt idx="43">
                  <c:v>2.6434266400322384E-2</c:v>
                </c:pt>
                <c:pt idx="44">
                  <c:v>7.0018821635761327E-2</c:v>
                </c:pt>
                <c:pt idx="45">
                  <c:v>5.3309780337958357E-2</c:v>
                </c:pt>
                <c:pt idx="46">
                  <c:v>5.748929997202111E-2</c:v>
                </c:pt>
                <c:pt idx="47">
                  <c:v>4.5680363531900213E-2</c:v>
                </c:pt>
                <c:pt idx="48">
                  <c:v>4.4836263297124639E-2</c:v>
                </c:pt>
                <c:pt idx="49">
                  <c:v>3.3836762632077806E-2</c:v>
                </c:pt>
                <c:pt idx="50">
                  <c:v>4.083932854604827E-2</c:v>
                </c:pt>
                <c:pt idx="51">
                  <c:v>3.0756415220208121E-2</c:v>
                </c:pt>
                <c:pt idx="52">
                  <c:v>1.3828956356909039E-2</c:v>
                </c:pt>
                <c:pt idx="53">
                  <c:v>1.8379252481821633E-2</c:v>
                </c:pt>
                <c:pt idx="54">
                  <c:v>2.0652444435627623E-2</c:v>
                </c:pt>
                <c:pt idx="55">
                  <c:v>4.2300833452943311E-2</c:v>
                </c:pt>
                <c:pt idx="56">
                  <c:v>8.821874410126597E-2</c:v>
                </c:pt>
                <c:pt idx="57">
                  <c:v>6.5992522538063744E-2</c:v>
                </c:pt>
                <c:pt idx="58">
                  <c:v>7.0521061248937103E-2</c:v>
                </c:pt>
                <c:pt idx="59">
                  <c:v>5.1033717511190284E-2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102784"/>
        <c:axId val="406102000"/>
      </c:lineChart>
      <c:dateAx>
        <c:axId val="406102784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10200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4061020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10278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2.8276250618840468E-2</c:v>
                </c:pt>
                <c:pt idx="32">
                  <c:v>2.8985035265341505E-2</c:v>
                </c:pt>
                <c:pt idx="33">
                  <c:v>2.9670469204683012E-2</c:v>
                </c:pt>
                <c:pt idx="34">
                  <c:v>3.0378248391602566E-2</c:v>
                </c:pt>
                <c:pt idx="35">
                  <c:v>3.1062709995940449E-2</c:v>
                </c:pt>
                <c:pt idx="36">
                  <c:v>3.1792275859953964E-2</c:v>
                </c:pt>
                <c:pt idx="37">
                  <c:v>3.2498524877319454E-2</c:v>
                </c:pt>
                <c:pt idx="38">
                  <c:v>3.3135989433111954E-2</c:v>
                </c:pt>
                <c:pt idx="39">
                  <c:v>3.3841269413268635E-2</c:v>
                </c:pt>
                <c:pt idx="40">
                  <c:v>3.4523314146494719E-2</c:v>
                </c:pt>
                <c:pt idx="41">
                  <c:v>3.5227593638679264E-2</c:v>
                </c:pt>
                <c:pt idx="42">
                  <c:v>3.5908670844722865E-2</c:v>
                </c:pt>
                <c:pt idx="43">
                  <c:v>3.6611951268195983E-2</c:v>
                </c:pt>
                <c:pt idx="44">
                  <c:v>3.731472451148414E-2</c:v>
                </c:pt>
                <c:pt idx="45">
                  <c:v>3.7994345091569778E-2</c:v>
                </c:pt>
                <c:pt idx="46">
                  <c:v>3.8696121402863756E-2</c:v>
                </c:pt>
                <c:pt idx="47">
                  <c:v>3.9374777894594135E-2</c:v>
                </c:pt>
                <c:pt idx="48">
                  <c:v>4.0075558688110233E-2</c:v>
                </c:pt>
                <c:pt idx="49">
                  <c:v>4.0775834104083294E-2</c:v>
                </c:pt>
                <c:pt idx="50">
                  <c:v>4.1407906851796003E-2</c:v>
                </c:pt>
                <c:pt idx="51">
                  <c:v>4.210722142687888E-2</c:v>
                </c:pt>
                <c:pt idx="52">
                  <c:v>4.2783497283592695E-2</c:v>
                </c:pt>
                <c:pt idx="53">
                  <c:v>4.3481819833039267E-2</c:v>
                </c:pt>
                <c:pt idx="54">
                  <c:v>5.4157136346117102E-2</c:v>
                </c:pt>
                <c:pt idx="55">
                  <c:v>5.4854468277183571E-2</c:v>
                </c:pt>
                <c:pt idx="56">
                  <c:v>5.5551297317900789E-2</c:v>
                </c:pt>
                <c:pt idx="57">
                  <c:v>5.6225169525466662E-2</c:v>
                </c:pt>
                <c:pt idx="58">
                  <c:v>5.6921010066448258E-2</c:v>
                </c:pt>
                <c:pt idx="59">
                  <c:v>5.75939263401192E-2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2.7164848471170188E-3</c:v>
                </c:pt>
                <c:pt idx="8">
                  <c:v>8.5568777580736968E-3</c:v>
                </c:pt>
                <c:pt idx="9">
                  <c:v>1.3877445368534467E-2</c:v>
                </c:pt>
                <c:pt idx="10">
                  <c:v>1.8893900818007445E-2</c:v>
                </c:pt>
                <c:pt idx="11">
                  <c:v>2.3585647365447857E-2</c:v>
                </c:pt>
                <c:pt idx="12">
                  <c:v>2.8435887993583913E-2</c:v>
                </c:pt>
                <c:pt idx="13">
                  <c:v>3.3165488908618673E-2</c:v>
                </c:pt>
                <c:pt idx="14">
                  <c:v>3.7318337491193565E-2</c:v>
                </c:pt>
                <c:pt idx="15">
                  <c:v>4.1934470897323377E-2</c:v>
                </c:pt>
                <c:pt idx="16">
                  <c:v>4.6799805347852094E-2</c:v>
                </c:pt>
                <c:pt idx="17">
                  <c:v>5.206885108430772E-2</c:v>
                </c:pt>
                <c:pt idx="18">
                  <c:v>5.6572593155706861E-2</c:v>
                </c:pt>
                <c:pt idx="19">
                  <c:v>6.0641856843293082E-2</c:v>
                </c:pt>
                <c:pt idx="20">
                  <c:v>6.4362196081447762E-2</c:v>
                </c:pt>
                <c:pt idx="21">
                  <c:v>6.7285126334917067E-2</c:v>
                </c:pt>
                <c:pt idx="22">
                  <c:v>6.9461489758797068E-2</c:v>
                </c:pt>
                <c:pt idx="23">
                  <c:v>7.1965947264670566E-2</c:v>
                </c:pt>
                <c:pt idx="24">
                  <c:v>7.5115677901104919E-2</c:v>
                </c:pt>
                <c:pt idx="25">
                  <c:v>7.8286309426268116E-2</c:v>
                </c:pt>
                <c:pt idx="26">
                  <c:v>8.1095610179962321E-2</c:v>
                </c:pt>
                <c:pt idx="27">
                  <c:v>8.4432698896595507E-2</c:v>
                </c:pt>
                <c:pt idx="28">
                  <c:v>8.8544538920790283E-2</c:v>
                </c:pt>
                <c:pt idx="29">
                  <c:v>9.3241282741207271E-2</c:v>
                </c:pt>
                <c:pt idx="30">
                  <c:v>9.6743362279864992E-2</c:v>
                </c:pt>
                <c:pt idx="31">
                  <c:v>9.9470394866401343E-2</c:v>
                </c:pt>
                <c:pt idx="32">
                  <c:v>0.10176961962900535</c:v>
                </c:pt>
                <c:pt idx="33">
                  <c:v>0.10308536549895937</c:v>
                </c:pt>
                <c:pt idx="34">
                  <c:v>0.10335795830549845</c:v>
                </c:pt>
                <c:pt idx="35">
                  <c:v>0.10439623212033562</c:v>
                </c:pt>
                <c:pt idx="36">
                  <c:v>0.10647576031915912</c:v>
                </c:pt>
                <c:pt idx="37">
                  <c:v>0.10859905618470489</c:v>
                </c:pt>
                <c:pt idx="38">
                  <c:v>0.11050574425034351</c:v>
                </c:pt>
                <c:pt idx="39">
                  <c:v>0.11298355431644178</c:v>
                </c:pt>
                <c:pt idx="40">
                  <c:v>2.4367059408882438E-2</c:v>
                </c:pt>
                <c:pt idx="41">
                  <c:v>3.2485279847425171E-2</c:v>
                </c:pt>
                <c:pt idx="42">
                  <c:v>3.9886961467855635E-2</c:v>
                </c:pt>
                <c:pt idx="43">
                  <c:v>4.6955267298000751E-2</c:v>
                </c:pt>
                <c:pt idx="44">
                  <c:v>5.3552384183406507E-2</c:v>
                </c:pt>
                <c:pt idx="45">
                  <c:v>5.9162940065070578E-2</c:v>
                </c:pt>
                <c:pt idx="46">
                  <c:v>6.3969809844287712E-2</c:v>
                </c:pt>
                <c:pt idx="47">
                  <c:v>6.8770282011572426E-2</c:v>
                </c:pt>
                <c:pt idx="48">
                  <c:v>7.4328451101000323E-2</c:v>
                </c:pt>
                <c:pt idx="49">
                  <c:v>7.9961860634693391E-2</c:v>
                </c:pt>
                <c:pt idx="50">
                  <c:v>8.4802873322483138E-2</c:v>
                </c:pt>
                <c:pt idx="51">
                  <c:v>9.0212842812768368E-2</c:v>
                </c:pt>
                <c:pt idx="52">
                  <c:v>9.6241863309627876E-2</c:v>
                </c:pt>
                <c:pt idx="53">
                  <c:v>0.10283810315862864</c:v>
                </c:pt>
                <c:pt idx="54">
                  <c:v>0.10795077148502602</c:v>
                </c:pt>
                <c:pt idx="55">
                  <c:v>0.11209745482718042</c:v>
                </c:pt>
                <c:pt idx="56">
                  <c:v>0.11561746623023145</c:v>
                </c:pt>
                <c:pt idx="57">
                  <c:v>0.11785651655661977</c:v>
                </c:pt>
                <c:pt idx="58">
                  <c:v>0.11879056199771248</c:v>
                </c:pt>
                <c:pt idx="59">
                  <c:v>0.12046627696213187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7.7693320077456889E-6</c:v>
                </c:pt>
                <c:pt idx="1">
                  <c:v>3.652063313671452E-5</c:v>
                </c:pt>
                <c:pt idx="2">
                  <c:v>1.6481276280363771E-4</c:v>
                </c:pt>
                <c:pt idx="3">
                  <c:v>1.9835390960382912E-4</c:v>
                </c:pt>
                <c:pt idx="4">
                  <c:v>4.1275491193885433E-4</c:v>
                </c:pt>
                <c:pt idx="5">
                  <c:v>1.3834888972877172E-3</c:v>
                </c:pt>
                <c:pt idx="6">
                  <c:v>2.1047395284585352E-3</c:v>
                </c:pt>
                <c:pt idx="7">
                  <c:v>1.7154640242729737E-3</c:v>
                </c:pt>
                <c:pt idx="8">
                  <c:v>7.6428949042079463E-3</c:v>
                </c:pt>
                <c:pt idx="9">
                  <c:v>9.3188627988846414E-3</c:v>
                </c:pt>
                <c:pt idx="10">
                  <c:v>7.101681602316081E-3</c:v>
                </c:pt>
                <c:pt idx="11">
                  <c:v>8.5669375362237721E-3</c:v>
                </c:pt>
                <c:pt idx="12">
                  <c:v>7.1718158224196183E-3</c:v>
                </c:pt>
                <c:pt idx="13">
                  <c:v>4.9674024051343879E-3</c:v>
                </c:pt>
                <c:pt idx="14">
                  <c:v>6.5288694856418155E-3</c:v>
                </c:pt>
                <c:pt idx="15">
                  <c:v>2.4078331287963268E-3</c:v>
                </c:pt>
                <c:pt idx="16">
                  <c:v>2.0330657710743898E-3</c:v>
                </c:pt>
                <c:pt idx="17">
                  <c:v>3.8955087388968242E-3</c:v>
                </c:pt>
                <c:pt idx="18">
                  <c:v>4.8324745679156301E-3</c:v>
                </c:pt>
                <c:pt idx="19">
                  <c:v>4.3118211087902879E-3</c:v>
                </c:pt>
                <c:pt idx="20">
                  <c:v>1.7834855052354805E-2</c:v>
                </c:pt>
                <c:pt idx="21">
                  <c:v>1.9348436294073419E-2</c:v>
                </c:pt>
                <c:pt idx="22">
                  <c:v>1.6100126646718855E-2</c:v>
                </c:pt>
                <c:pt idx="23">
                  <c:v>0</c:v>
                </c:pt>
                <c:pt idx="24">
                  <c:v>8.5602399545588652E-6</c:v>
                </c:pt>
                <c:pt idx="25">
                  <c:v>3.706500056697769E-5</c:v>
                </c:pt>
                <c:pt idx="26">
                  <c:v>1.6551535219118629E-4</c:v>
                </c:pt>
                <c:pt idx="27">
                  <c:v>1.9859783525047578E-4</c:v>
                </c:pt>
                <c:pt idx="28">
                  <c:v>4.1293379362764796E-4</c:v>
                </c:pt>
                <c:pt idx="29">
                  <c:v>1.383766223301436E-3</c:v>
                </c:pt>
                <c:pt idx="30">
                  <c:v>2.1050270343011086E-3</c:v>
                </c:pt>
                <c:pt idx="31">
                  <c:v>1.7156659344579061E-3</c:v>
                </c:pt>
                <c:pt idx="32">
                  <c:v>7.6437540817436691E-3</c:v>
                </c:pt>
                <c:pt idx="33">
                  <c:v>9.319896830497899E-3</c:v>
                </c:pt>
                <c:pt idx="34">
                  <c:v>7.102466553589021E-3</c:v>
                </c:pt>
                <c:pt idx="35">
                  <c:v>8.56788342722253E-3</c:v>
                </c:pt>
                <c:pt idx="36">
                  <c:v>7.1726067303664312E-3</c:v>
                </c:pt>
                <c:pt idx="37">
                  <c:v>4.9679467725646511E-3</c:v>
                </c:pt>
                <c:pt idx="38">
                  <c:v>6.5295720750293629E-3</c:v>
                </c:pt>
                <c:pt idx="39">
                  <c:v>2.4080770544429738E-3</c:v>
                </c:pt>
                <c:pt idx="40">
                  <c:v>2.0332446527631829E-3</c:v>
                </c:pt>
                <c:pt idx="41">
                  <c:v>3.8957860649105427E-3</c:v>
                </c:pt>
                <c:pt idx="42">
                  <c:v>4.8328584115005591E-3</c:v>
                </c:pt>
                <c:pt idx="43">
                  <c:v>4.3123353091682973E-3</c:v>
                </c:pt>
                <c:pt idx="44">
                  <c:v>1.783655762928113E-2</c:v>
                </c:pt>
                <c:pt idx="45">
                  <c:v>1.9349693400718421E-2</c:v>
                </c:pt>
                <c:pt idx="46">
                  <c:v>1.6101539246176515E-2</c:v>
                </c:pt>
                <c:pt idx="47">
                  <c:v>1.7672244140122861E-2</c:v>
                </c:pt>
                <c:pt idx="48">
                  <c:v>0</c:v>
                </c:pt>
                <c:pt idx="49">
                  <c:v>3.1173144447346087E-5</c:v>
                </c:pt>
                <c:pt idx="50">
                  <c:v>1.5791101116620392E-4</c:v>
                </c:pt>
                <c:pt idx="51">
                  <c:v>1.959577529567313E-4</c:v>
                </c:pt>
                <c:pt idx="52">
                  <c:v>4.1099770209421894E-4</c:v>
                </c:pt>
                <c:pt idx="53">
                  <c:v>1.3807646385624807E-3</c:v>
                </c:pt>
                <c:pt idx="54">
                  <c:v>2.1019152701436256E-3</c:v>
                </c:pt>
                <c:pt idx="55">
                  <c:v>1.7134805984282803E-3</c:v>
                </c:pt>
                <c:pt idx="56">
                  <c:v>7.6344549390317956E-3</c:v>
                </c:pt>
                <c:pt idx="57">
                  <c:v>9.3087051883279683E-3</c:v>
                </c:pt>
                <c:pt idx="58">
                  <c:v>7.0939707845477902E-3</c:v>
                </c:pt>
                <c:pt idx="59">
                  <c:v>8.5576457580312567E-3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57248"/>
        <c:axId val="416557640"/>
      </c:lineChart>
      <c:dateAx>
        <c:axId val="416557248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55764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4165576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55724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18.517109595269318</c:v>
                </c:pt>
                <c:pt idx="1">
                  <c:v>18.649426756596753</c:v>
                </c:pt>
                <c:pt idx="2">
                  <c:v>18.789030644098364</c:v>
                </c:pt>
                <c:pt idx="3">
                  <c:v>18.936274922892792</c:v>
                </c:pt>
                <c:pt idx="4">
                  <c:v>19.091513252065589</c:v>
                </c:pt>
                <c:pt idx="5">
                  <c:v>19.255099296269194</c:v>
                </c:pt>
                <c:pt idx="6">
                  <c:v>19.427386711195346</c:v>
                </c:pt>
                <c:pt idx="7">
                  <c:v>19.608729165405336</c:v>
                </c:pt>
                <c:pt idx="8">
                  <c:v>19.800159339334947</c:v>
                </c:pt>
                <c:pt idx="9">
                  <c:v>20.001975117766051</c:v>
                </c:pt>
                <c:pt idx="10">
                  <c:v>20.213427855359235</c:v>
                </c:pt>
                <c:pt idx="11">
                  <c:v>20.433768893141487</c:v>
                </c:pt>
                <c:pt idx="12">
                  <c:v>20.662249577099896</c:v>
                </c:pt>
                <c:pt idx="13">
                  <c:v>20.898121255732431</c:v>
                </c:pt>
                <c:pt idx="14">
                  <c:v>21.140635290390758</c:v>
                </c:pt>
                <c:pt idx="15">
                  <c:v>21.389043081987676</c:v>
                </c:pt>
                <c:pt idx="16">
                  <c:v>21.642595947825324</c:v>
                </c:pt>
                <c:pt idx="17">
                  <c:v>21.900545254677137</c:v>
                </c:pt>
                <c:pt idx="18">
                  <c:v>22.162142380123928</c:v>
                </c:pt>
                <c:pt idx="19">
                  <c:v>22.426638704320066</c:v>
                </c:pt>
                <c:pt idx="20">
                  <c:v>22.693285612309474</c:v>
                </c:pt>
                <c:pt idx="21">
                  <c:v>22.961334502760742</c:v>
                </c:pt>
                <c:pt idx="22">
                  <c:v>23.232389857134937</c:v>
                </c:pt>
                <c:pt idx="23">
                  <c:v>23.508406702730962</c:v>
                </c:pt>
                <c:pt idx="24">
                  <c:v>23.789162448289119</c:v>
                </c:pt>
                <c:pt idx="25">
                  <c:v>24.074434866673201</c:v>
                </c:pt>
                <c:pt idx="26">
                  <c:v>24.364001720644275</c:v>
                </c:pt>
                <c:pt idx="27">
                  <c:v>24.657640767235218</c:v>
                </c:pt>
                <c:pt idx="28">
                  <c:v>24.955129759011268</c:v>
                </c:pt>
                <c:pt idx="29">
                  <c:v>25.256245866565269</c:v>
                </c:pt>
                <c:pt idx="30">
                  <c:v>25.560766596794714</c:v>
                </c:pt>
                <c:pt idx="31">
                  <c:v>25.86846954293911</c:v>
                </c:pt>
                <c:pt idx="32">
                  <c:v>26.179132278172837</c:v>
                </c:pt>
                <c:pt idx="33">
                  <c:v>26.492532355379815</c:v>
                </c:pt>
                <c:pt idx="34">
                  <c:v>26.808447302613608</c:v>
                </c:pt>
                <c:pt idx="35">
                  <c:v>27.126654626345843</c:v>
                </c:pt>
                <c:pt idx="36">
                  <c:v>27.446524515275907</c:v>
                </c:pt>
                <c:pt idx="37">
                  <c:v>27.76787112506382</c:v>
                </c:pt>
                <c:pt idx="38">
                  <c:v>28.091139476098483</c:v>
                </c:pt>
                <c:pt idx="39">
                  <c:v>28.416773563013876</c:v>
                </c:pt>
                <c:pt idx="40">
                  <c:v>28.745217354826682</c:v>
                </c:pt>
                <c:pt idx="41">
                  <c:v>29.076914800592039</c:v>
                </c:pt>
                <c:pt idx="42">
                  <c:v>29.412309819328847</c:v>
                </c:pt>
                <c:pt idx="43">
                  <c:v>29.751845860903906</c:v>
                </c:pt>
                <c:pt idx="44">
                  <c:v>30.095967988979165</c:v>
                </c:pt>
                <c:pt idx="45">
                  <c:v>30.445120155314854</c:v>
                </c:pt>
                <c:pt idx="46">
                  <c:v>30.799746289166357</c:v>
                </c:pt>
                <c:pt idx="47">
                  <c:v>31.160290292741738</c:v>
                </c:pt>
                <c:pt idx="48">
                  <c:v>31.527196049879354</c:v>
                </c:pt>
                <c:pt idx="49">
                  <c:v>31.900907408451104</c:v>
                </c:pt>
                <c:pt idx="50">
                  <c:v>32.281720090307857</c:v>
                </c:pt>
                <c:pt idx="51">
                  <c:v>32.66933714116184</c:v>
                </c:pt>
                <c:pt idx="52">
                  <c:v>33.063314344297794</c:v>
                </c:pt>
                <c:pt idx="53">
                  <c:v>33.463206876427236</c:v>
                </c:pt>
                <c:pt idx="54">
                  <c:v>33.868569870309123</c:v>
                </c:pt>
                <c:pt idx="55">
                  <c:v>34.278958434248366</c:v>
                </c:pt>
                <c:pt idx="56">
                  <c:v>34.693927638732703</c:v>
                </c:pt>
                <c:pt idx="57">
                  <c:v>35.113033182657787</c:v>
                </c:pt>
                <c:pt idx="58">
                  <c:v>35.535831059268332</c:v>
                </c:pt>
                <c:pt idx="59">
                  <c:v>35.961876452135627</c:v>
                </c:pt>
                <c:pt idx="60">
                  <c:v>36.390724521664573</c:v>
                </c:pt>
                <c:pt idx="61">
                  <c:v>36.821930405057508</c:v>
                </c:pt>
                <c:pt idx="62">
                  <c:v>37.25504921037966</c:v>
                </c:pt>
                <c:pt idx="63">
                  <c:v>37.689636022791575</c:v>
                </c:pt>
                <c:pt idx="64">
                  <c:v>38.128282048574782</c:v>
                </c:pt>
                <c:pt idx="65">
                  <c:v>38.573286706250734</c:v>
                </c:pt>
                <c:pt idx="66">
                  <c:v>39.023761698884812</c:v>
                </c:pt>
                <c:pt idx="67">
                  <c:v>39.478818372821465</c:v>
                </c:pt>
                <c:pt idx="68">
                  <c:v>39.9375680934969</c:v>
                </c:pt>
                <c:pt idx="69">
                  <c:v>40.399122251226473</c:v>
                </c:pt>
                <c:pt idx="70">
                  <c:v>40.862592262152035</c:v>
                </c:pt>
                <c:pt idx="71">
                  <c:v>41.327099435384781</c:v>
                </c:pt>
                <c:pt idx="72">
                  <c:v>41.791755261841473</c:v>
                </c:pt>
                <c:pt idx="73">
                  <c:v>42.255672478871006</c:v>
                </c:pt>
                <c:pt idx="74">
                  <c:v>42.717963961663912</c:v>
                </c:pt>
                <c:pt idx="75">
                  <c:v>43.177742731762336</c:v>
                </c:pt>
                <c:pt idx="76">
                  <c:v>43.634121968657837</c:v>
                </c:pt>
                <c:pt idx="77">
                  <c:v>44.086215020618027</c:v>
                </c:pt>
                <c:pt idx="78">
                  <c:v>44.538004369906282</c:v>
                </c:pt>
                <c:pt idx="79">
                  <c:v>44.993254889655944</c:v>
                </c:pt>
                <c:pt idx="80">
                  <c:v>45.450739383840805</c:v>
                </c:pt>
                <c:pt idx="81">
                  <c:v>45.90923830353087</c:v>
                </c:pt>
                <c:pt idx="82">
                  <c:v>46.367532306027471</c:v>
                </c:pt>
                <c:pt idx="83">
                  <c:v>46.824402268762526</c:v>
                </c:pt>
                <c:pt idx="84">
                  <c:v>47.278629303517256</c:v>
                </c:pt>
                <c:pt idx="85">
                  <c:v>47.728990386824776</c:v>
                </c:pt>
                <c:pt idx="86">
                  <c:v>48.174248037217716</c:v>
                </c:pt>
                <c:pt idx="87">
                  <c:v>48.613181202976882</c:v>
                </c:pt>
                <c:pt idx="88">
                  <c:v>49.044568900542842</c:v>
                </c:pt>
                <c:pt idx="89">
                  <c:v>49.4671902083794</c:v>
                </c:pt>
                <c:pt idx="90">
                  <c:v>49.879824283533111</c:v>
                </c:pt>
                <c:pt idx="91">
                  <c:v>50.281250356375843</c:v>
                </c:pt>
                <c:pt idx="92">
                  <c:v>50.673061733701985</c:v>
                </c:pt>
                <c:pt idx="93">
                  <c:v>51.057743333817051</c:v>
                </c:pt>
                <c:pt idx="94">
                  <c:v>51.435399753874911</c:v>
                </c:pt>
                <c:pt idx="95">
                  <c:v>51.806142888459505</c:v>
                </c:pt>
                <c:pt idx="96">
                  <c:v>52.170084678966788</c:v>
                </c:pt>
                <c:pt idx="97">
                  <c:v>52.527337117460966</c:v>
                </c:pt>
                <c:pt idx="98">
                  <c:v>52.878012258426658</c:v>
                </c:pt>
                <c:pt idx="99">
                  <c:v>53.222217601512526</c:v>
                </c:pt>
                <c:pt idx="100">
                  <c:v>53.560072938804026</c:v>
                </c:pt>
                <c:pt idx="101">
                  <c:v>53.891690910547389</c:v>
                </c:pt>
                <c:pt idx="102">
                  <c:v>54.217184253301575</c:v>
                </c:pt>
                <c:pt idx="103">
                  <c:v>54.536665815270801</c:v>
                </c:pt>
                <c:pt idx="104">
                  <c:v>54.85024854553474</c:v>
                </c:pt>
                <c:pt idx="105">
                  <c:v>55.158045518617534</c:v>
                </c:pt>
                <c:pt idx="106">
                  <c:v>55.459892220435002</c:v>
                </c:pt>
                <c:pt idx="107">
                  <c:v>55.75551739131992</c:v>
                </c:pt>
                <c:pt idx="108">
                  <c:v>56.044913827016003</c:v>
                </c:pt>
                <c:pt idx="109">
                  <c:v>56.328078818708228</c:v>
                </c:pt>
                <c:pt idx="110">
                  <c:v>56.605009343623323</c:v>
                </c:pt>
                <c:pt idx="111">
                  <c:v>56.875702072777557</c:v>
                </c:pt>
                <c:pt idx="112">
                  <c:v>57.140153378313592</c:v>
                </c:pt>
                <c:pt idx="113">
                  <c:v>57.398335687562096</c:v>
                </c:pt>
                <c:pt idx="114">
                  <c:v>57.650250241568862</c:v>
                </c:pt>
                <c:pt idx="115">
                  <c:v>57.895890145721836</c:v>
                </c:pt>
                <c:pt idx="116">
                  <c:v>58.135247913002267</c:v>
                </c:pt>
                <c:pt idx="117">
                  <c:v>58.368315427585742</c:v>
                </c:pt>
                <c:pt idx="118">
                  <c:v>58.595083914553037</c:v>
                </c:pt>
                <c:pt idx="119">
                  <c:v>58.815543905877554</c:v>
                </c:pt>
                <c:pt idx="120">
                  <c:v>59.030166542808303</c:v>
                </c:pt>
                <c:pt idx="121">
                  <c:v>59.239274343130475</c:v>
                </c:pt>
                <c:pt idx="122">
                  <c:v>59.442694173037317</c:v>
                </c:pt>
                <c:pt idx="123">
                  <c:v>59.640198797045983</c:v>
                </c:pt>
                <c:pt idx="124">
                  <c:v>59.831560671162556</c:v>
                </c:pt>
                <c:pt idx="125">
                  <c:v>60.016551930321199</c:v>
                </c:pt>
                <c:pt idx="126">
                  <c:v>60.194944392057415</c:v>
                </c:pt>
                <c:pt idx="127">
                  <c:v>60.366511487607312</c:v>
                </c:pt>
                <c:pt idx="128">
                  <c:v>60.531067841596162</c:v>
                </c:pt>
                <c:pt idx="129">
                  <c:v>60.688389678901444</c:v>
                </c:pt>
                <c:pt idx="130">
                  <c:v>60.838253251998857</c:v>
                </c:pt>
                <c:pt idx="131">
                  <c:v>60.980434836785363</c:v>
                </c:pt>
                <c:pt idx="132">
                  <c:v>61.114710753246577</c:v>
                </c:pt>
                <c:pt idx="133">
                  <c:v>61.240857361763503</c:v>
                </c:pt>
                <c:pt idx="134">
                  <c:v>61.35824380070612</c:v>
                </c:pt>
                <c:pt idx="135">
                  <c:v>61.466689873614513</c:v>
                </c:pt>
                <c:pt idx="136">
                  <c:v>61.566638892878657</c:v>
                </c:pt>
                <c:pt idx="137">
                  <c:v>61.658534676879626</c:v>
                </c:pt>
                <c:pt idx="138">
                  <c:v>61.742821193713617</c:v>
                </c:pt>
                <c:pt idx="139">
                  <c:v>61.819942543049734</c:v>
                </c:pt>
                <c:pt idx="140">
                  <c:v>61.890342991252545</c:v>
                </c:pt>
                <c:pt idx="141">
                  <c:v>61.954480614988391</c:v>
                </c:pt>
                <c:pt idx="142">
                  <c:v>62.012798272118431</c:v>
                </c:pt>
                <c:pt idx="143">
                  <c:v>62.065742110887818</c:v>
                </c:pt>
                <c:pt idx="144">
                  <c:v>62.113758300157329</c:v>
                </c:pt>
                <c:pt idx="145">
                  <c:v>62.157293234826852</c:v>
                </c:pt>
                <c:pt idx="146">
                  <c:v>62.196793548697336</c:v>
                </c:pt>
                <c:pt idx="147">
                  <c:v>62.232706106930209</c:v>
                </c:pt>
                <c:pt idx="148">
                  <c:v>62.263645210607017</c:v>
                </c:pt>
                <c:pt idx="149">
                  <c:v>62.288163176506934</c:v>
                </c:pt>
                <c:pt idx="150">
                  <c:v>62.306587081041506</c:v>
                </c:pt>
                <c:pt idx="151">
                  <c:v>62.319253795923707</c:v>
                </c:pt>
                <c:pt idx="152">
                  <c:v>62.326500413493633</c:v>
                </c:pt>
                <c:pt idx="153">
                  <c:v>62.328664234723689</c:v>
                </c:pt>
                <c:pt idx="154">
                  <c:v>62.326082751780902</c:v>
                </c:pt>
                <c:pt idx="155">
                  <c:v>62.319099762303402</c:v>
                </c:pt>
                <c:pt idx="156">
                  <c:v>62.308031728835608</c:v>
                </c:pt>
                <c:pt idx="157">
                  <c:v>62.293215359207721</c:v>
                </c:pt>
                <c:pt idx="158">
                  <c:v>62.274987475128</c:v>
                </c:pt>
                <c:pt idx="159">
                  <c:v>62.253685003217527</c:v>
                </c:pt>
                <c:pt idx="160">
                  <c:v>62.229644955733747</c:v>
                </c:pt>
                <c:pt idx="161">
                  <c:v>62.203204423461266</c:v>
                </c:pt>
                <c:pt idx="162">
                  <c:v>62.173867457036877</c:v>
                </c:pt>
                <c:pt idx="163">
                  <c:v>62.140924999164042</c:v>
                </c:pt>
                <c:pt idx="164">
                  <c:v>62.104363840553084</c:v>
                </c:pt>
                <c:pt idx="165">
                  <c:v>62.064187356569818</c:v>
                </c:pt>
                <c:pt idx="166">
                  <c:v>62.020398915752551</c:v>
                </c:pt>
                <c:pt idx="167">
                  <c:v>61.973001855618421</c:v>
                </c:pt>
                <c:pt idx="168">
                  <c:v>61.921999473542087</c:v>
                </c:pt>
                <c:pt idx="169">
                  <c:v>61.867405283962988</c:v>
                </c:pt>
                <c:pt idx="170">
                  <c:v>61.809214324315121</c:v>
                </c:pt>
                <c:pt idx="171">
                  <c:v>61.7474297754991</c:v>
                </c:pt>
                <c:pt idx="172">
                  <c:v>61.682054720829576</c:v>
                </c:pt>
                <c:pt idx="173">
                  <c:v>61.613093170126504</c:v>
                </c:pt>
                <c:pt idx="174">
                  <c:v>61.540549142019842</c:v>
                </c:pt>
                <c:pt idx="175">
                  <c:v>61.464425543614183</c:v>
                </c:pt>
                <c:pt idx="176">
                  <c:v>61.384725142042093</c:v>
                </c:pt>
                <c:pt idx="177">
                  <c:v>61.301460465553134</c:v>
                </c:pt>
                <c:pt idx="178">
                  <c:v>61.214622384533058</c:v>
                </c:pt>
                <c:pt idx="179">
                  <c:v>61.124213086569668</c:v>
                </c:pt>
                <c:pt idx="180">
                  <c:v>61.030234597081872</c:v>
                </c:pt>
                <c:pt idx="181">
                  <c:v>60.932688769938046</c:v>
                </c:pt>
                <c:pt idx="182">
                  <c:v>60.83157728538545</c:v>
                </c:pt>
                <c:pt idx="183">
                  <c:v>60.726926649262801</c:v>
                </c:pt>
                <c:pt idx="184">
                  <c:v>60.618726052734999</c:v>
                </c:pt>
                <c:pt idx="185">
                  <c:v>60.506977090695017</c:v>
                </c:pt>
                <c:pt idx="186">
                  <c:v>60.391681169434008</c:v>
                </c:pt>
                <c:pt idx="187">
                  <c:v>60.272839508045465</c:v>
                </c:pt>
                <c:pt idx="188">
                  <c:v>60.15045314840166</c:v>
                </c:pt>
                <c:pt idx="189">
                  <c:v>60.024522954233689</c:v>
                </c:pt>
                <c:pt idx="190">
                  <c:v>59.894327609226615</c:v>
                </c:pt>
                <c:pt idx="191">
                  <c:v>59.759408941913087</c:v>
                </c:pt>
                <c:pt idx="192">
                  <c:v>59.620089803022687</c:v>
                </c:pt>
                <c:pt idx="193">
                  <c:v>59.476704439879285</c:v>
                </c:pt>
                <c:pt idx="194">
                  <c:v>59.329586918496823</c:v>
                </c:pt>
                <c:pt idx="195">
                  <c:v>59.179071136660951</c:v>
                </c:pt>
                <c:pt idx="196">
                  <c:v>59.025490829245825</c:v>
                </c:pt>
                <c:pt idx="197">
                  <c:v>58.869204380045744</c:v>
                </c:pt>
                <c:pt idx="198">
                  <c:v>58.710516813752776</c:v>
                </c:pt>
                <c:pt idx="199">
                  <c:v>58.549761356006421</c:v>
                </c:pt>
                <c:pt idx="200">
                  <c:v>58.387271123361991</c:v>
                </c:pt>
                <c:pt idx="201">
                  <c:v>58.223379138924116</c:v>
                </c:pt>
                <c:pt idx="202">
                  <c:v>58.058418340624037</c:v>
                </c:pt>
                <c:pt idx="203">
                  <c:v>57.89272159174034</c:v>
                </c:pt>
                <c:pt idx="204">
                  <c:v>57.726751477122697</c:v>
                </c:pt>
                <c:pt idx="205">
                  <c:v>57.560463202672977</c:v>
                </c:pt>
                <c:pt idx="206">
                  <c:v>57.393366342938165</c:v>
                </c:pt>
                <c:pt idx="207">
                  <c:v>57.225015546756254</c:v>
                </c:pt>
                <c:pt idx="208">
                  <c:v>57.054965462269891</c:v>
                </c:pt>
                <c:pt idx="209">
                  <c:v>56.882770741684162</c:v>
                </c:pt>
                <c:pt idx="210">
                  <c:v>56.707986043778227</c:v>
                </c:pt>
                <c:pt idx="211">
                  <c:v>56.530167865002561</c:v>
                </c:pt>
                <c:pt idx="212">
                  <c:v>56.348843915313687</c:v>
                </c:pt>
                <c:pt idx="213">
                  <c:v>56.151281962254863</c:v>
                </c:pt>
                <c:pt idx="214">
                  <c:v>55.949418935990252</c:v>
                </c:pt>
                <c:pt idx="215">
                  <c:v>55.742812419943981</c:v>
                </c:pt>
                <c:pt idx="216">
                  <c:v>55.531020410627036</c:v>
                </c:pt>
                <c:pt idx="217">
                  <c:v>55.313601319898851</c:v>
                </c:pt>
                <c:pt idx="218">
                  <c:v>55.091463661412639</c:v>
                </c:pt>
                <c:pt idx="219">
                  <c:v>54.865488982975613</c:v>
                </c:pt>
                <c:pt idx="220">
                  <c:v>54.63555398246551</c:v>
                </c:pt>
                <c:pt idx="221">
                  <c:v>54.401547223298913</c:v>
                </c:pt>
                <c:pt idx="222">
                  <c:v>54.163357580694125</c:v>
                </c:pt>
                <c:pt idx="223">
                  <c:v>53.920874231208451</c:v>
                </c:pt>
                <c:pt idx="224">
                  <c:v>53.67398664455304</c:v>
                </c:pt>
                <c:pt idx="225">
                  <c:v>53.422135678599837</c:v>
                </c:pt>
                <c:pt idx="226">
                  <c:v>53.165206748501838</c:v>
                </c:pt>
                <c:pt idx="227">
                  <c:v>52.903087733438781</c:v>
                </c:pt>
                <c:pt idx="228">
                  <c:v>52.635667070691355</c:v>
                </c:pt>
                <c:pt idx="229">
                  <c:v>52.362833736013989</c:v>
                </c:pt>
                <c:pt idx="230">
                  <c:v>52.084477243265653</c:v>
                </c:pt>
                <c:pt idx="231">
                  <c:v>51.800487622786733</c:v>
                </c:pt>
                <c:pt idx="232">
                  <c:v>51.511271545802352</c:v>
                </c:pt>
                <c:pt idx="233">
                  <c:v>51.217146781272071</c:v>
                </c:pt>
                <c:pt idx="234">
                  <c:v>50.918259190913538</c:v>
                </c:pt>
                <c:pt idx="235">
                  <c:v>50.614500615208001</c:v>
                </c:pt>
                <c:pt idx="236">
                  <c:v>50.305763218736956</c:v>
                </c:pt>
                <c:pt idx="237">
                  <c:v>49.991939619952511</c:v>
                </c:pt>
                <c:pt idx="238">
                  <c:v>49.672922804153558</c:v>
                </c:pt>
                <c:pt idx="239">
                  <c:v>49.348678257230965</c:v>
                </c:pt>
                <c:pt idx="240">
                  <c:v>49.019557492425157</c:v>
                </c:pt>
                <c:pt idx="241">
                  <c:v>48.685455417750426</c:v>
                </c:pt>
                <c:pt idx="242">
                  <c:v>48.346267030670809</c:v>
                </c:pt>
                <c:pt idx="243">
                  <c:v>48.001887418518862</c:v>
                </c:pt>
                <c:pt idx="244">
                  <c:v>47.652211775551145</c:v>
                </c:pt>
                <c:pt idx="245">
                  <c:v>47.297135401099524</c:v>
                </c:pt>
                <c:pt idx="246">
                  <c:v>46.936351540275616</c:v>
                </c:pt>
                <c:pt idx="247">
                  <c:v>46.56962079812596</c:v>
                </c:pt>
                <c:pt idx="248">
                  <c:v>46.197259317942802</c:v>
                </c:pt>
                <c:pt idx="249">
                  <c:v>45.819493446118877</c:v>
                </c:pt>
                <c:pt idx="250">
                  <c:v>45.436549422028548</c:v>
                </c:pt>
                <c:pt idx="251">
                  <c:v>45.048653383279841</c:v>
                </c:pt>
                <c:pt idx="252">
                  <c:v>44.656031371275752</c:v>
                </c:pt>
                <c:pt idx="253">
                  <c:v>44.259105985840158</c:v>
                </c:pt>
                <c:pt idx="254">
                  <c:v>43.858030608896705</c:v>
                </c:pt>
                <c:pt idx="255">
                  <c:v>43.453030734139546</c:v>
                </c:pt>
                <c:pt idx="256">
                  <c:v>43.044331721863905</c:v>
                </c:pt>
                <c:pt idx="257">
                  <c:v>42.632158805019294</c:v>
                </c:pt>
                <c:pt idx="258">
                  <c:v>42.216737088076215</c:v>
                </c:pt>
                <c:pt idx="259">
                  <c:v>41.798291551143073</c:v>
                </c:pt>
                <c:pt idx="260">
                  <c:v>41.373400574174568</c:v>
                </c:pt>
                <c:pt idx="261">
                  <c:v>40.94006754326395</c:v>
                </c:pt>
                <c:pt idx="262">
                  <c:v>40.499879312080864</c:v>
                </c:pt>
                <c:pt idx="263">
                  <c:v>40.054268721983554</c:v>
                </c:pt>
                <c:pt idx="264">
                  <c:v>39.604666971780517</c:v>
                </c:pt>
                <c:pt idx="265">
                  <c:v>39.152501550825583</c:v>
                </c:pt>
                <c:pt idx="266">
                  <c:v>38.69919923990382</c:v>
                </c:pt>
                <c:pt idx="267">
                  <c:v>38.246543228819277</c:v>
                </c:pt>
                <c:pt idx="268">
                  <c:v>37.795763513907843</c:v>
                </c:pt>
                <c:pt idx="269">
                  <c:v>37.348282331383594</c:v>
                </c:pt>
                <c:pt idx="270">
                  <c:v>36.905520098447305</c:v>
                </c:pt>
                <c:pt idx="271">
                  <c:v>36.468895372556744</c:v>
                </c:pt>
                <c:pt idx="272">
                  <c:v>36.039824821591075</c:v>
                </c:pt>
                <c:pt idx="273">
                  <c:v>35.619723186756723</c:v>
                </c:pt>
                <c:pt idx="274">
                  <c:v>35.206440305873294</c:v>
                </c:pt>
                <c:pt idx="275">
                  <c:v>34.796951086135095</c:v>
                </c:pt>
                <c:pt idx="276">
                  <c:v>34.390647383167263</c:v>
                </c:pt>
                <c:pt idx="277">
                  <c:v>33.987522275182094</c:v>
                </c:pt>
                <c:pt idx="278">
                  <c:v>33.587568336296854</c:v>
                </c:pt>
                <c:pt idx="279">
                  <c:v>33.190777626080347</c:v>
                </c:pt>
                <c:pt idx="280">
                  <c:v>32.797141682798113</c:v>
                </c:pt>
                <c:pt idx="281">
                  <c:v>32.40661966115006</c:v>
                </c:pt>
                <c:pt idx="282">
                  <c:v>32.018861182208795</c:v>
                </c:pt>
                <c:pt idx="283">
                  <c:v>31.63386079849035</c:v>
                </c:pt>
                <c:pt idx="284">
                  <c:v>31.251612872018107</c:v>
                </c:pt>
                <c:pt idx="285">
                  <c:v>30.872111581645939</c:v>
                </c:pt>
                <c:pt idx="286">
                  <c:v>30.495350934446133</c:v>
                </c:pt>
                <c:pt idx="287">
                  <c:v>30.121324778564329</c:v>
                </c:pt>
                <c:pt idx="288">
                  <c:v>29.749553077654497</c:v>
                </c:pt>
                <c:pt idx="289">
                  <c:v>29.379610660143292</c:v>
                </c:pt>
                <c:pt idx="290">
                  <c:v>29.011641778886336</c:v>
                </c:pt>
                <c:pt idx="291">
                  <c:v>28.64586129702667</c:v>
                </c:pt>
                <c:pt idx="292">
                  <c:v>28.282483960076231</c:v>
                </c:pt>
                <c:pt idx="293">
                  <c:v>27.921724410162348</c:v>
                </c:pt>
                <c:pt idx="294">
                  <c:v>27.563797204154568</c:v>
                </c:pt>
                <c:pt idx="295">
                  <c:v>27.208830228538059</c:v>
                </c:pt>
                <c:pt idx="296">
                  <c:v>26.857066445204371</c:v>
                </c:pt>
                <c:pt idx="297">
                  <c:v>26.508719834324111</c:v>
                </c:pt>
                <c:pt idx="298">
                  <c:v>26.164006235524585</c:v>
                </c:pt>
                <c:pt idx="299">
                  <c:v>25.823141473531976</c:v>
                </c:pt>
                <c:pt idx="300">
                  <c:v>25.486341358457505</c:v>
                </c:pt>
                <c:pt idx="301">
                  <c:v>25.153821693972656</c:v>
                </c:pt>
                <c:pt idx="302">
                  <c:v>24.823599447710659</c:v>
                </c:pt>
                <c:pt idx="303">
                  <c:v>24.493830687285644</c:v>
                </c:pt>
                <c:pt idx="304">
                  <c:v>24.165366139070915</c:v>
                </c:pt>
                <c:pt idx="305">
                  <c:v>23.838971372416495</c:v>
                </c:pt>
                <c:pt idx="306">
                  <c:v>23.5154115342254</c:v>
                </c:pt>
                <c:pt idx="307">
                  <c:v>23.195451340954467</c:v>
                </c:pt>
                <c:pt idx="308">
                  <c:v>22.879855050770725</c:v>
                </c:pt>
                <c:pt idx="309">
                  <c:v>22.569113862239945</c:v>
                </c:pt>
                <c:pt idx="310">
                  <c:v>22.264075119604879</c:v>
                </c:pt>
                <c:pt idx="311">
                  <c:v>21.965505708019851</c:v>
                </c:pt>
                <c:pt idx="312">
                  <c:v>21.674171913678855</c:v>
                </c:pt>
                <c:pt idx="313">
                  <c:v>21.390839368935818</c:v>
                </c:pt>
                <c:pt idx="314">
                  <c:v>21.11627302507619</c:v>
                </c:pt>
                <c:pt idx="315">
                  <c:v>20.851237111576587</c:v>
                </c:pt>
                <c:pt idx="316">
                  <c:v>20.594356310229553</c:v>
                </c:pt>
                <c:pt idx="317">
                  <c:v>20.343864004972168</c:v>
                </c:pt>
                <c:pt idx="318">
                  <c:v>20.100074608724118</c:v>
                </c:pt>
                <c:pt idx="319">
                  <c:v>19.863094897373976</c:v>
                </c:pt>
                <c:pt idx="320">
                  <c:v>19.633031436846167</c:v>
                </c:pt>
                <c:pt idx="321">
                  <c:v>19.40999058219063</c:v>
                </c:pt>
                <c:pt idx="322">
                  <c:v>19.194078472423818</c:v>
                </c:pt>
                <c:pt idx="323">
                  <c:v>18.985610190855965</c:v>
                </c:pt>
                <c:pt idx="324">
                  <c:v>18.784933421429731</c:v>
                </c:pt>
                <c:pt idx="325">
                  <c:v>18.592145479633341</c:v>
                </c:pt>
                <c:pt idx="326">
                  <c:v>18.407344943421784</c:v>
                </c:pt>
                <c:pt idx="327">
                  <c:v>18.230630067315548</c:v>
                </c:pt>
                <c:pt idx="328">
                  <c:v>18.062098614142428</c:v>
                </c:pt>
                <c:pt idx="329">
                  <c:v>17.901848665657116</c:v>
                </c:pt>
                <c:pt idx="330">
                  <c:v>17.748532329415589</c:v>
                </c:pt>
                <c:pt idx="331">
                  <c:v>17.601144570999509</c:v>
                </c:pt>
                <c:pt idx="332">
                  <c:v>17.460179777945577</c:v>
                </c:pt>
                <c:pt idx="333">
                  <c:v>17.326172133668269</c:v>
                </c:pt>
                <c:pt idx="334">
                  <c:v>17.199655899699469</c:v>
                </c:pt>
                <c:pt idx="335">
                  <c:v>17.081165390382953</c:v>
                </c:pt>
                <c:pt idx="336">
                  <c:v>16.971234971856358</c:v>
                </c:pt>
                <c:pt idx="337">
                  <c:v>16.870364222767201</c:v>
                </c:pt>
                <c:pt idx="338">
                  <c:v>16.778894350317486</c:v>
                </c:pt>
                <c:pt idx="339">
                  <c:v>16.697362317446292</c:v>
                </c:pt>
                <c:pt idx="340">
                  <c:v>16.626304802080558</c:v>
                </c:pt>
                <c:pt idx="341">
                  <c:v>16.566258193347323</c:v>
                </c:pt>
                <c:pt idx="342">
                  <c:v>16.517758576069593</c:v>
                </c:pt>
                <c:pt idx="343">
                  <c:v>16.481341715289211</c:v>
                </c:pt>
                <c:pt idx="344">
                  <c:v>16.458223358232026</c:v>
                </c:pt>
                <c:pt idx="345">
                  <c:v>16.448632473255905</c:v>
                </c:pt>
                <c:pt idx="346">
                  <c:v>16.451539731920498</c:v>
                </c:pt>
                <c:pt idx="347">
                  <c:v>16.46600234089011</c:v>
                </c:pt>
                <c:pt idx="348">
                  <c:v>16.491078147180946</c:v>
                </c:pt>
                <c:pt idx="349">
                  <c:v>16.525825626509768</c:v>
                </c:pt>
                <c:pt idx="350">
                  <c:v>16.569303879437019</c:v>
                </c:pt>
                <c:pt idx="351">
                  <c:v>16.620537150703697</c:v>
                </c:pt>
                <c:pt idx="352">
                  <c:v>16.67861944142329</c:v>
                </c:pt>
                <c:pt idx="353">
                  <c:v>16.742611698118363</c:v>
                </c:pt>
                <c:pt idx="354">
                  <c:v>16.811575481935407</c:v>
                </c:pt>
                <c:pt idx="355">
                  <c:v>16.884572965915442</c:v>
                </c:pt>
                <c:pt idx="356">
                  <c:v>16.960668692148822</c:v>
                </c:pt>
                <c:pt idx="357">
                  <c:v>17.038924418515215</c:v>
                </c:pt>
                <c:pt idx="358">
                  <c:v>17.119942461706618</c:v>
                </c:pt>
                <c:pt idx="359">
                  <c:v>17.205177367419296</c:v>
                </c:pt>
                <c:pt idx="360">
                  <c:v>17.294938483344342</c:v>
                </c:pt>
                <c:pt idx="361">
                  <c:v>17.389603249344738</c:v>
                </c:pt>
                <c:pt idx="362">
                  <c:v>17.489513582646136</c:v>
                </c:pt>
                <c:pt idx="363">
                  <c:v>17.59501106995933</c:v>
                </c:pt>
                <c:pt idx="364">
                  <c:v>17.706436973157917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39">
                  <c:v>28.984999999999999</c:v>
                </c:pt>
                <c:pt idx="240">
                  <c:v>34.466999999999999</c:v>
                </c:pt>
                <c:pt idx="241">
                  <c:v>40.466999999999999</c:v>
                </c:pt>
                <c:pt idx="242">
                  <c:v>40.289000000000001</c:v>
                </c:pt>
                <c:pt idx="243">
                  <c:v>47.155000000000001</c:v>
                </c:pt>
                <c:pt idx="244">
                  <c:v>44.725999999999999</c:v>
                </c:pt>
                <c:pt idx="245">
                  <c:v>44.863</c:v>
                </c:pt>
                <c:pt idx="246">
                  <c:v>41.765000000000001</c:v>
                </c:pt>
                <c:pt idx="247">
                  <c:v>39.451000000000001</c:v>
                </c:pt>
                <c:pt idx="248">
                  <c:v>29.050999999999998</c:v>
                </c:pt>
                <c:pt idx="249">
                  <c:v>33.094999999999999</c:v>
                </c:pt>
                <c:pt idx="250">
                  <c:v>42.186</c:v>
                </c:pt>
                <c:pt idx="251">
                  <c:v>30.643000000000001</c:v>
                </c:pt>
                <c:pt idx="252">
                  <c:v>36.804000000000002</c:v>
                </c:pt>
                <c:pt idx="253">
                  <c:v>39.277999999999999</c:v>
                </c:pt>
                <c:pt idx="254">
                  <c:v>25.838999999999999</c:v>
                </c:pt>
                <c:pt idx="255">
                  <c:v>20.512</c:v>
                </c:pt>
                <c:pt idx="256">
                  <c:v>27.402999999999999</c:v>
                </c:pt>
                <c:pt idx="257">
                  <c:v>33.351999999999997</c:v>
                </c:pt>
                <c:pt idx="258">
                  <c:v>38.847999999999999</c:v>
                </c:pt>
                <c:pt idx="259">
                  <c:v>37.636000000000003</c:v>
                </c:pt>
                <c:pt idx="260">
                  <c:v>35.636000000000003</c:v>
                </c:pt>
                <c:pt idx="261">
                  <c:v>34.046999999999997</c:v>
                </c:pt>
                <c:pt idx="262">
                  <c:v>37.518000000000001</c:v>
                </c:pt>
                <c:pt idx="263">
                  <c:v>30.52</c:v>
                </c:pt>
                <c:pt idx="264">
                  <c:v>36.469000000000001</c:v>
                </c:pt>
                <c:pt idx="265">
                  <c:v>36.555999999999997</c:v>
                </c:pt>
                <c:pt idx="266">
                  <c:v>35.497999999999998</c:v>
                </c:pt>
                <c:pt idx="267">
                  <c:v>36.938000000000002</c:v>
                </c:pt>
                <c:pt idx="268">
                  <c:v>37.506999999999998</c:v>
                </c:pt>
                <c:pt idx="269">
                  <c:v>36.159999999999997</c:v>
                </c:pt>
                <c:pt idx="270">
                  <c:v>34.448</c:v>
                </c:pt>
                <c:pt idx="271">
                  <c:v>35.893000000000001</c:v>
                </c:pt>
                <c:pt idx="272">
                  <c:v>34.567</c:v>
                </c:pt>
                <c:pt idx="273">
                  <c:v>24.224</c:v>
                </c:pt>
                <c:pt idx="274">
                  <c:v>35.9</c:v>
                </c:pt>
                <c:pt idx="275">
                  <c:v>34.076000000000001</c:v>
                </c:pt>
                <c:pt idx="276">
                  <c:v>33.478999999999999</c:v>
                </c:pt>
                <c:pt idx="277">
                  <c:v>32.825000000000003</c:v>
                </c:pt>
                <c:pt idx="278">
                  <c:v>30.5</c:v>
                </c:pt>
                <c:pt idx="279">
                  <c:v>13.026</c:v>
                </c:pt>
                <c:pt idx="280">
                  <c:v>12.933999999999999</c:v>
                </c:pt>
                <c:pt idx="281">
                  <c:v>30.283000000000001</c:v>
                </c:pt>
                <c:pt idx="282">
                  <c:v>17.809999999999999</c:v>
                </c:pt>
                <c:pt idx="283">
                  <c:v>23.963999999999999</c:v>
                </c:pt>
                <c:pt idx="284">
                  <c:v>27.478000000000002</c:v>
                </c:pt>
                <c:pt idx="285">
                  <c:v>23.065000000000001</c:v>
                </c:pt>
                <c:pt idx="286">
                  <c:v>26.611999999999998</c:v>
                </c:pt>
                <c:pt idx="287">
                  <c:v>10.492000000000001</c:v>
                </c:pt>
                <c:pt idx="288">
                  <c:v>16.488</c:v>
                </c:pt>
                <c:pt idx="289">
                  <c:v>17.689</c:v>
                </c:pt>
                <c:pt idx="290">
                  <c:v>10.672000000000001</c:v>
                </c:pt>
                <c:pt idx="291">
                  <c:v>21.984999999999999</c:v>
                </c:pt>
                <c:pt idx="292">
                  <c:v>10.749000000000001</c:v>
                </c:pt>
                <c:pt idx="293">
                  <c:v>16.620999999999999</c:v>
                </c:pt>
                <c:pt idx="294">
                  <c:v>20.102</c:v>
                </c:pt>
                <c:pt idx="295">
                  <c:v>27.687000000000001</c:v>
                </c:pt>
                <c:pt idx="296">
                  <c:v>27.699000000000002</c:v>
                </c:pt>
                <c:pt idx="297">
                  <c:v>26.853000000000002</c:v>
                </c:pt>
                <c:pt idx="298">
                  <c:v>3.7519999999999998</c:v>
                </c:pt>
                <c:pt idx="299">
                  <c:v>9.048</c:v>
                </c:pt>
                <c:pt idx="300">
                  <c:v>3.851</c:v>
                </c:pt>
                <c:pt idx="301">
                  <c:v>4.3760000000000003</c:v>
                </c:pt>
                <c:pt idx="302">
                  <c:v>22.524000000000001</c:v>
                </c:pt>
                <c:pt idx="303">
                  <c:v>8.8580000000000005</c:v>
                </c:pt>
                <c:pt idx="304">
                  <c:v>18.364000000000001</c:v>
                </c:pt>
                <c:pt idx="305">
                  <c:v>8.0470000000000006</c:v>
                </c:pt>
                <c:pt idx="306">
                  <c:v>23.931000000000001</c:v>
                </c:pt>
                <c:pt idx="307">
                  <c:v>20.213999999999999</c:v>
                </c:pt>
                <c:pt idx="308">
                  <c:v>10.233000000000001</c:v>
                </c:pt>
                <c:pt idx="309">
                  <c:v>17.100000000000001</c:v>
                </c:pt>
                <c:pt idx="310">
                  <c:v>8.7439999999999998</c:v>
                </c:pt>
                <c:pt idx="311">
                  <c:v>12.86</c:v>
                </c:pt>
                <c:pt idx="312">
                  <c:v>5.2830000000000004</c:v>
                </c:pt>
                <c:pt idx="313">
                  <c:v>15.362</c:v>
                </c:pt>
                <c:pt idx="314">
                  <c:v>18.263999999999999</c:v>
                </c:pt>
                <c:pt idx="315">
                  <c:v>19.905999999999999</c:v>
                </c:pt>
                <c:pt idx="316">
                  <c:v>8.1440000000000001</c:v>
                </c:pt>
                <c:pt idx="317">
                  <c:v>14.548999999999999</c:v>
                </c:pt>
                <c:pt idx="318">
                  <c:v>13.788</c:v>
                </c:pt>
                <c:pt idx="319">
                  <c:v>17.449000000000002</c:v>
                </c:pt>
                <c:pt idx="320">
                  <c:v>19.071000000000002</c:v>
                </c:pt>
                <c:pt idx="321">
                  <c:v>16.712</c:v>
                </c:pt>
                <c:pt idx="322">
                  <c:v>14.814</c:v>
                </c:pt>
                <c:pt idx="323">
                  <c:v>8.0090000000000003</c:v>
                </c:pt>
                <c:pt idx="324">
                  <c:v>18.012</c:v>
                </c:pt>
                <c:pt idx="325">
                  <c:v>14.913</c:v>
                </c:pt>
                <c:pt idx="326">
                  <c:v>10.456</c:v>
                </c:pt>
                <c:pt idx="327">
                  <c:v>14.074999999999999</c:v>
                </c:pt>
                <c:pt idx="328">
                  <c:v>10.738</c:v>
                </c:pt>
                <c:pt idx="329">
                  <c:v>3.649</c:v>
                </c:pt>
                <c:pt idx="330">
                  <c:v>15.763</c:v>
                </c:pt>
                <c:pt idx="331">
                  <c:v>12.340999999999999</c:v>
                </c:pt>
                <c:pt idx="332">
                  <c:v>17.472999999999999</c:v>
                </c:pt>
                <c:pt idx="333">
                  <c:v>8.8260000000000005</c:v>
                </c:pt>
                <c:pt idx="334">
                  <c:v>14.016999999999999</c:v>
                </c:pt>
                <c:pt idx="335">
                  <c:v>6.3239999999999998</c:v>
                </c:pt>
                <c:pt idx="336">
                  <c:v>6.8479999999999999</c:v>
                </c:pt>
                <c:pt idx="337">
                  <c:v>5.8739999999999997</c:v>
                </c:pt>
                <c:pt idx="338">
                  <c:v>12.96</c:v>
                </c:pt>
                <c:pt idx="339">
                  <c:v>10.173</c:v>
                </c:pt>
                <c:pt idx="340">
                  <c:v>13.981999999999999</c:v>
                </c:pt>
                <c:pt idx="341">
                  <c:v>10.555</c:v>
                </c:pt>
                <c:pt idx="342">
                  <c:v>4.7699999999999996</c:v>
                </c:pt>
                <c:pt idx="343">
                  <c:v>9.4190000000000005</c:v>
                </c:pt>
                <c:pt idx="344">
                  <c:v>14.352</c:v>
                </c:pt>
                <c:pt idx="345">
                  <c:v>2.8820000000000001</c:v>
                </c:pt>
                <c:pt idx="346">
                  <c:v>1.9490000000000001</c:v>
                </c:pt>
                <c:pt idx="347">
                  <c:v>2.7759999999999998</c:v>
                </c:pt>
                <c:pt idx="348">
                  <c:v>5.5910000000000002</c:v>
                </c:pt>
                <c:pt idx="349">
                  <c:v>3.081</c:v>
                </c:pt>
                <c:pt idx="350">
                  <c:v>13.416</c:v>
                </c:pt>
                <c:pt idx="351">
                  <c:v>10.462</c:v>
                </c:pt>
                <c:pt idx="352">
                  <c:v>15.488</c:v>
                </c:pt>
                <c:pt idx="353">
                  <c:v>8.5489999999999995</c:v>
                </c:pt>
                <c:pt idx="354">
                  <c:v>7.4820000000000002</c:v>
                </c:pt>
                <c:pt idx="355">
                  <c:v>5.7670000000000003</c:v>
                </c:pt>
                <c:pt idx="356">
                  <c:v>4.9530000000000003</c:v>
                </c:pt>
                <c:pt idx="357">
                  <c:v>5.0049999999999999</c:v>
                </c:pt>
                <c:pt idx="358">
                  <c:v>13.118</c:v>
                </c:pt>
                <c:pt idx="359">
                  <c:v>15.553000000000001</c:v>
                </c:pt>
                <c:pt idx="360">
                  <c:v>16.099</c:v>
                </c:pt>
                <c:pt idx="361">
                  <c:v>3.327</c:v>
                </c:pt>
                <c:pt idx="362">
                  <c:v>4.5010000000000003</c:v>
                </c:pt>
                <c:pt idx="363">
                  <c:v>3.3090000000000002</c:v>
                </c:pt>
                <c:pt idx="364">
                  <c:v>6.1479999999999997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075696"/>
        <c:axId val="416076088"/>
      </c:lineChart>
      <c:dateAx>
        <c:axId val="416075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076088"/>
        <c:crosses val="autoZero"/>
        <c:auto val="1"/>
        <c:lblOffset val="100"/>
        <c:baseTimeUnit val="days"/>
        <c:majorUnit val="1"/>
        <c:majorTimeUnit val="months"/>
      </c:dateAx>
      <c:valAx>
        <c:axId val="4160760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0756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1.9549813094950794E-4</c:v>
                </c:pt>
                <c:pt idx="214">
                  <c:v>3.9077563726979113E-4</c:v>
                </c:pt>
                <c:pt idx="215">
                  <c:v>5.8583127309492925E-4</c:v>
                </c:pt>
                <c:pt idx="216">
                  <c:v>7.8066387211572655E-4</c:v>
                </c:pt>
                <c:pt idx="217">
                  <c:v>9.7527232650977604E-4</c:v>
                </c:pt>
                <c:pt idx="218">
                  <c:v>1.1696555670883976E-3</c:v>
                </c:pt>
                <c:pt idx="219">
                  <c:v>1.3638125447541245E-3</c:v>
                </c:pt>
                <c:pt idx="220">
                  <c:v>1.5577422133358847E-3</c:v>
                </c:pt>
                <c:pt idx="221">
                  <c:v>1.7514435138419487E-3</c:v>
                </c:pt>
                <c:pt idx="222">
                  <c:v>1.9449153601445507E-3</c:v>
                </c:pt>
                <c:pt idx="223">
                  <c:v>2.1381566260843974E-3</c:v>
                </c:pt>
                <c:pt idx="224">
                  <c:v>2.331166133959321E-3</c:v>
                </c:pt>
                <c:pt idx="225">
                  <c:v>2.5239426443376574E-3</c:v>
                </c:pt>
                <c:pt idx="226">
                  <c:v>2.7164848471170188E-3</c:v>
                </c:pt>
                <c:pt idx="227">
                  <c:v>2.9087913537289294E-3</c:v>
                </c:pt>
                <c:pt idx="228">
                  <c:v>3.1008606903746212E-3</c:v>
                </c:pt>
                <c:pt idx="229">
                  <c:v>3.292691292162237E-3</c:v>
                </c:pt>
                <c:pt idx="230">
                  <c:v>3.4842814980053432E-3</c:v>
                </c:pt>
                <c:pt idx="231">
                  <c:v>3.6756295461345206E-3</c:v>
                </c:pt>
                <c:pt idx="232">
                  <c:v>3.8667335700682372E-3</c:v>
                </c:pt>
                <c:pt idx="233">
                  <c:v>4.0575915948883479E-3</c:v>
                </c:pt>
                <c:pt idx="234">
                  <c:v>4.2482015336659205E-3</c:v>
                </c:pt>
                <c:pt idx="235">
                  <c:v>4.4385611838885395E-3</c:v>
                </c:pt>
                <c:pt idx="236">
                  <c:v>4.6286682237471344E-3</c:v>
                </c:pt>
                <c:pt idx="237">
                  <c:v>4.8185202081517855E-3</c:v>
                </c:pt>
                <c:pt idx="238">
                  <c:v>5.0081145643586936E-3</c:v>
                </c:pt>
                <c:pt idx="239">
                  <c:v>5.1974485871073223E-3</c:v>
                </c:pt>
                <c:pt idx="240">
                  <c:v>5.3865194331851451E-3</c:v>
                </c:pt>
                <c:pt idx="241">
                  <c:v>5.5753241153578218E-3</c:v>
                </c:pt>
                <c:pt idx="242">
                  <c:v>5.7638594956259583E-3</c:v>
                </c:pt>
                <c:pt idx="243">
                  <c:v>5.952122277793021E-3</c:v>
                </c:pt>
                <c:pt idx="244">
                  <c:v>6.1401089993548368E-3</c:v>
                </c:pt>
                <c:pt idx="245">
                  <c:v>6.3278160227469701E-3</c:v>
                </c:pt>
                <c:pt idx="246">
                  <c:v>6.5152395260128079E-3</c:v>
                </c:pt>
                <c:pt idx="247">
                  <c:v>6.7023754929816564E-3</c:v>
                </c:pt>
                <c:pt idx="248">
                  <c:v>6.8892197030723063E-3</c:v>
                </c:pt>
                <c:pt idx="249">
                  <c:v>7.0757677208628132E-3</c:v>
                </c:pt>
                <c:pt idx="250">
                  <c:v>7.2620148855909762E-3</c:v>
                </c:pt>
                <c:pt idx="251">
                  <c:v>7.4479563007727361E-3</c:v>
                </c:pt>
                <c:pt idx="252">
                  <c:v>7.6335868241455794E-3</c:v>
                </c:pt>
                <c:pt idx="253">
                  <c:v>7.8189010581627416E-3</c:v>
                </c:pt>
                <c:pt idx="254">
                  <c:v>8.0038933412781219E-3</c:v>
                </c:pt>
                <c:pt idx="255">
                  <c:v>8.1885577402751788E-3</c:v>
                </c:pt>
                <c:pt idx="256">
                  <c:v>8.3728880439011416E-3</c:v>
                </c:pt>
                <c:pt idx="257">
                  <c:v>8.5568777580736968E-3</c:v>
                </c:pt>
                <c:pt idx="258">
                  <c:v>8.7405201029284608E-3</c:v>
                </c:pt>
                <c:pt idx="259">
                  <c:v>8.9238080119739653E-3</c:v>
                </c:pt>
                <c:pt idx="260">
                  <c:v>9.1067341336139446E-3</c:v>
                </c:pt>
                <c:pt idx="261">
                  <c:v>9.2892908352866978E-3</c:v>
                </c:pt>
                <c:pt idx="262">
                  <c:v>9.4714702104574024E-3</c:v>
                </c:pt>
                <c:pt idx="263">
                  <c:v>9.6532640886799748E-3</c:v>
                </c:pt>
                <c:pt idx="264">
                  <c:v>9.8346640489240678E-3</c:v>
                </c:pt>
                <c:pt idx="265">
                  <c:v>1.0015661436335992E-2</c:v>
                </c:pt>
                <c:pt idx="266">
                  <c:v>1.0196247382573192E-2</c:v>
                </c:pt>
                <c:pt idx="267">
                  <c:v>1.0376412829819682E-2</c:v>
                </c:pt>
                <c:pt idx="268">
                  <c:v>1.0556148558553295E-2</c:v>
                </c:pt>
                <c:pt idx="269">
                  <c:v>1.0735445219098333E-2</c:v>
                </c:pt>
                <c:pt idx="270">
                  <c:v>1.0914293366955678E-2</c:v>
                </c:pt>
                <c:pt idx="271">
                  <c:v>1.1092683501861263E-2</c:v>
                </c:pt>
                <c:pt idx="272">
                  <c:v>1.127060611047895E-2</c:v>
                </c:pt>
                <c:pt idx="273">
                  <c:v>1.144805171259018E-2</c:v>
                </c:pt>
                <c:pt idx="274">
                  <c:v>1.1625010910597314E-2</c:v>
                </c:pt>
                <c:pt idx="275">
                  <c:v>1.1801474442113295E-2</c:v>
                </c:pt>
                <c:pt idx="276">
                  <c:v>1.1977433235365209E-2</c:v>
                </c:pt>
                <c:pt idx="277">
                  <c:v>1.2152878467097786E-2</c:v>
                </c:pt>
                <c:pt idx="278">
                  <c:v>1.2327801622619941E-2</c:v>
                </c:pt>
                <c:pt idx="279">
                  <c:v>1.2502194557600332E-2</c:v>
                </c:pt>
                <c:pt idx="280">
                  <c:v>1.2676049561180052E-2</c:v>
                </c:pt>
                <c:pt idx="281">
                  <c:v>1.2849359419938826E-2</c:v>
                </c:pt>
                <c:pt idx="282">
                  <c:v>1.3022117482221131E-2</c:v>
                </c:pt>
                <c:pt idx="283">
                  <c:v>1.3194317722303783E-2</c:v>
                </c:pt>
                <c:pt idx="284">
                  <c:v>1.3365954803865985E-2</c:v>
                </c:pt>
                <c:pt idx="285">
                  <c:v>1.3537024142207081E-2</c:v>
                </c:pt>
                <c:pt idx="286">
                  <c:v>1.3707521964646271E-2</c:v>
                </c:pt>
                <c:pt idx="287">
                  <c:v>1.3877445368534467E-2</c:v>
                </c:pt>
                <c:pt idx="288">
                  <c:v>1.4046792376307548E-2</c:v>
                </c:pt>
                <c:pt idx="289">
                  <c:v>1.4215561987017752E-2</c:v>
                </c:pt>
                <c:pt idx="290">
                  <c:v>1.438375422379134E-2</c:v>
                </c:pt>
                <c:pt idx="291">
                  <c:v>1.4551370176678475E-2</c:v>
                </c:pt>
                <c:pt idx="292">
                  <c:v>1.4718412040385733E-2</c:v>
                </c:pt>
                <c:pt idx="293">
                  <c:v>1.4884883146409813E-2</c:v>
                </c:pt>
                <c:pt idx="294">
                  <c:v>1.5050787989127158E-2</c:v>
                </c:pt>
                <c:pt idx="295">
                  <c:v>1.5216132245433446E-2</c:v>
                </c:pt>
                <c:pt idx="296">
                  <c:v>1.5380922787572074E-2</c:v>
                </c:pt>
                <c:pt idx="297">
                  <c:v>1.5545167688841189E-2</c:v>
                </c:pt>
                <c:pt idx="298">
                  <c:v>1.5708876221921523E-2</c:v>
                </c:pt>
                <c:pt idx="299">
                  <c:v>1.5872058849625819E-2</c:v>
                </c:pt>
                <c:pt idx="300">
                  <c:v>1.6034727207931077E-2</c:v>
                </c:pt>
                <c:pt idx="301">
                  <c:v>1.6196894081218077E-2</c:v>
                </c:pt>
                <c:pt idx="302">
                  <c:v>1.6358573369708643E-2</c:v>
                </c:pt>
                <c:pt idx="303">
                  <c:v>1.6519780049157339E-2</c:v>
                </c:pt>
                <c:pt idx="304">
                  <c:v>1.6680530122922983E-2</c:v>
                </c:pt>
                <c:pt idx="305">
                  <c:v>1.6840840566612274E-2</c:v>
                </c:pt>
                <c:pt idx="306">
                  <c:v>1.7000729265555528E-2</c:v>
                </c:pt>
                <c:pt idx="307">
                  <c:v>1.7160214945441014E-2</c:v>
                </c:pt>
                <c:pt idx="308">
                  <c:v>1.7319317096497845E-2</c:v>
                </c:pt>
                <c:pt idx="309">
                  <c:v>1.7478055891679476E-2</c:v>
                </c:pt>
                <c:pt idx="310">
                  <c:v>1.7636452099358369E-2</c:v>
                </c:pt>
                <c:pt idx="311">
                  <c:v>1.7794526991096436E-2</c:v>
                </c:pt>
                <c:pt idx="312">
                  <c:v>1.7952302245106942E-2</c:v>
                </c:pt>
                <c:pt idx="313">
                  <c:v>1.810979984606783E-2</c:v>
                </c:pt>
                <c:pt idx="314">
                  <c:v>1.8267041981987007E-2</c:v>
                </c:pt>
                <c:pt idx="315">
                  <c:v>1.8424050938853281E-2</c:v>
                </c:pt>
                <c:pt idx="316">
                  <c:v>1.8580848993834786E-2</c:v>
                </c:pt>
                <c:pt idx="317">
                  <c:v>1.8737458307807122E-2</c:v>
                </c:pt>
                <c:pt idx="318">
                  <c:v>1.8893900818007445E-2</c:v>
                </c:pt>
                <c:pt idx="319">
                  <c:v>1.9050198131617711E-2</c:v>
                </c:pt>
                <c:pt idx="320">
                  <c:v>1.9206371421079591E-2</c:v>
                </c:pt>
                <c:pt idx="321">
                  <c:v>1.9362441321935757E-2</c:v>
                </c:pt>
                <c:pt idx="322">
                  <c:v>1.9518427833977101E-2</c:v>
                </c:pt>
                <c:pt idx="323">
                  <c:v>1.9674350226453044E-2</c:v>
                </c:pt>
                <c:pt idx="324">
                  <c:v>1.9830226948072398E-2</c:v>
                </c:pt>
                <c:pt idx="325">
                  <c:v>1.9986075542486357E-2</c:v>
                </c:pt>
                <c:pt idx="326">
                  <c:v>2.0141912569901534E-2</c:v>
                </c:pt>
                <c:pt idx="327">
                  <c:v>2.0297753535422743E-2</c:v>
                </c:pt>
                <c:pt idx="328">
                  <c:v>2.0453612824669575E-2</c:v>
                </c:pt>
                <c:pt idx="329">
                  <c:v>2.0609503647151476E-2</c:v>
                </c:pt>
                <c:pt idx="330">
                  <c:v>2.0765437987820441E-2</c:v>
                </c:pt>
                <c:pt idx="331">
                  <c:v>2.0921426567152616E-2</c:v>
                </c:pt>
                <c:pt idx="332">
                  <c:v>2.1077478810036656E-2</c:v>
                </c:pt>
                <c:pt idx="333">
                  <c:v>2.1233602823672634E-2</c:v>
                </c:pt>
                <c:pt idx="334">
                  <c:v>2.1389805384607375E-2</c:v>
                </c:pt>
                <c:pt idx="335">
                  <c:v>2.1546091934954277E-2</c:v>
                </c:pt>
                <c:pt idx="336">
                  <c:v>2.1702466587766398E-2</c:v>
                </c:pt>
                <c:pt idx="337">
                  <c:v>2.1858932141452972E-2</c:v>
                </c:pt>
                <c:pt idx="338">
                  <c:v>2.201549010305167E-2</c:v>
                </c:pt>
                <c:pt idx="339">
                  <c:v>2.2172140720092996E-2</c:v>
                </c:pt>
                <c:pt idx="340">
                  <c:v>2.2328883020719583E-2</c:v>
                </c:pt>
                <c:pt idx="341">
                  <c:v>2.2485714861653069E-2</c:v>
                </c:pt>
                <c:pt idx="342">
                  <c:v>2.2642632983534208E-2</c:v>
                </c:pt>
                <c:pt idx="343">
                  <c:v>2.2799633073100716E-2</c:v>
                </c:pt>
                <c:pt idx="344">
                  <c:v>2.2956709831609912E-2</c:v>
                </c:pt>
                <c:pt idx="345">
                  <c:v>2.3113857048862624E-2</c:v>
                </c:pt>
                <c:pt idx="346">
                  <c:v>2.3271067682139497E-2</c:v>
                </c:pt>
                <c:pt idx="347">
                  <c:v>2.3428333939323174E-2</c:v>
                </c:pt>
                <c:pt idx="348">
                  <c:v>2.3585647365447857E-2</c:v>
                </c:pt>
                <c:pt idx="349">
                  <c:v>2.3742998931894313E-2</c:v>
                </c:pt>
                <c:pt idx="350">
                  <c:v>2.3900379127431971E-2</c:v>
                </c:pt>
                <c:pt idx="351">
                  <c:v>2.4057778050300408E-2</c:v>
                </c:pt>
                <c:pt idx="352">
                  <c:v>2.4215185500522162E-2</c:v>
                </c:pt>
                <c:pt idx="353">
                  <c:v>2.4372591071644932E-2</c:v>
                </c:pt>
                <c:pt idx="354">
                  <c:v>2.4529984241125981E-2</c:v>
                </c:pt>
                <c:pt idx="355">
                  <c:v>2.4687354458593058E-2</c:v>
                </c:pt>
                <c:pt idx="356">
                  <c:v>2.4844691231245143E-2</c:v>
                </c:pt>
                <c:pt idx="357">
                  <c:v>2.5001984205692444E-2</c:v>
                </c:pt>
                <c:pt idx="358">
                  <c:v>2.5159223245577338E-2</c:v>
                </c:pt>
                <c:pt idx="359">
                  <c:v>2.5316398504366698E-2</c:v>
                </c:pt>
                <c:pt idx="360">
                  <c:v>2.547350049275977E-2</c:v>
                </c:pt>
                <c:pt idx="361">
                  <c:v>2.5630520140215253E-2</c:v>
                </c:pt>
                <c:pt idx="362">
                  <c:v>2.5787448850164572E-2</c:v>
                </c:pt>
                <c:pt idx="363">
                  <c:v>2.5944278548545301E-2</c:v>
                </c:pt>
                <c:pt idx="364">
                  <c:v>2.6101001725359299E-2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1.8987173556927652E-8</c:v>
                </c:pt>
                <c:pt idx="1">
                  <c:v>4.8191221074159209E-7</c:v>
                </c:pt>
                <c:pt idx="2">
                  <c:v>9.6169569694949778E-7</c:v>
                </c:pt>
                <c:pt idx="3">
                  <c:v>1.4583533382938201E-6</c:v>
                </c:pt>
                <c:pt idx="4">
                  <c:v>1.9718534915437711E-6</c:v>
                </c:pt>
                <c:pt idx="5">
                  <c:v>2.5021171985214327E-6</c:v>
                </c:pt>
                <c:pt idx="6">
                  <c:v>3.0490185846886374E-6</c:v>
                </c:pt>
                <c:pt idx="7">
                  <c:v>3.6123856116929491E-6</c:v>
                </c:pt>
                <c:pt idx="8">
                  <c:v>4.1918574259135476E-6</c:v>
                </c:pt>
                <c:pt idx="9">
                  <c:v>4.7811634043646196E-6</c:v>
                </c:pt>
                <c:pt idx="10">
                  <c:v>5.3768348027542377E-6</c:v>
                </c:pt>
                <c:pt idx="11">
                  <c:v>5.976195625517578E-6</c:v>
                </c:pt>
                <c:pt idx="12">
                  <c:v>6.5765494666785116E-6</c:v>
                </c:pt>
                <c:pt idx="13">
                  <c:v>7.175177185369381E-6</c:v>
                </c:pt>
                <c:pt idx="14">
                  <c:v>7.7693320077456889E-6</c:v>
                </c:pt>
                <c:pt idx="15">
                  <c:v>8.3541444336632072E-6</c:v>
                </c:pt>
                <c:pt idx="16">
                  <c:v>8.9292895143361875E-6</c:v>
                </c:pt>
                <c:pt idx="17">
                  <c:v>9.4920385088585673E-6</c:v>
                </c:pt>
                <c:pt idx="18">
                  <c:v>1.0039598956249507E-5</c:v>
                </c:pt>
                <c:pt idx="19">
                  <c:v>1.0569158407896934E-5</c:v>
                </c:pt>
                <c:pt idx="20">
                  <c:v>1.1077847762805129E-5</c:v>
                </c:pt>
                <c:pt idx="21">
                  <c:v>1.1562648311667108E-5</c:v>
                </c:pt>
                <c:pt idx="22">
                  <c:v>1.2019193616012914E-5</c:v>
                </c:pt>
                <c:pt idx="23">
                  <c:v>1.2463695520766116E-5</c:v>
                </c:pt>
                <c:pt idx="24">
                  <c:v>1.2914531354253446E-5</c:v>
                </c:pt>
                <c:pt idx="25">
                  <c:v>1.3374342958701629E-5</c:v>
                </c:pt>
                <c:pt idx="26">
                  <c:v>1.3845902555628725E-5</c:v>
                </c:pt>
                <c:pt idx="27">
                  <c:v>1.4332118022570848E-5</c:v>
                </c:pt>
                <c:pt idx="28">
                  <c:v>1.4836039056151849E-5</c:v>
                </c:pt>
                <c:pt idx="29">
                  <c:v>1.5383494011389923E-5</c:v>
                </c:pt>
                <c:pt idx="30">
                  <c:v>1.598601888695723E-5</c:v>
                </c:pt>
                <c:pt idx="31">
                  <c:v>1.6651202996454665E-5</c:v>
                </c:pt>
                <c:pt idx="32">
                  <c:v>1.738701997760002E-5</c:v>
                </c:pt>
                <c:pt idx="33">
                  <c:v>1.8201853519751188E-5</c:v>
                </c:pt>
                <c:pt idx="34">
                  <c:v>1.9104525115027808E-5</c:v>
                </c:pt>
                <c:pt idx="35">
                  <c:v>2.0104323880040479E-5</c:v>
                </c:pt>
                <c:pt idx="36">
                  <c:v>2.1211353280476048E-5</c:v>
                </c:pt>
                <c:pt idx="37">
                  <c:v>2.2447597514121189E-5</c:v>
                </c:pt>
                <c:pt idx="38">
                  <c:v>2.3782888286880623E-5</c:v>
                </c:pt>
                <c:pt idx="39">
                  <c:v>2.5224492203593338E-5</c:v>
                </c:pt>
                <c:pt idx="40">
                  <c:v>2.6779994738748866E-5</c:v>
                </c:pt>
                <c:pt idx="41">
                  <c:v>2.8457307680387968E-5</c:v>
                </c:pt>
                <c:pt idx="42">
                  <c:v>3.0264676136919691E-5</c:v>
                </c:pt>
                <c:pt idx="43">
                  <c:v>3.2225685410144918E-5</c:v>
                </c:pt>
                <c:pt idx="44">
                  <c:v>3.4308899687485723E-5</c:v>
                </c:pt>
                <c:pt idx="45">
                  <c:v>3.652063313671452E-5</c:v>
                </c:pt>
                <c:pt idx="46">
                  <c:v>3.886740302520945E-5</c:v>
                </c:pt>
                <c:pt idx="47">
                  <c:v>4.1355931844873081E-5</c:v>
                </c:pt>
                <c:pt idx="48">
                  <c:v>4.3993149557449111E-5</c:v>
                </c:pt>
                <c:pt idx="49">
                  <c:v>4.6786196093944328E-5</c:v>
                </c:pt>
                <c:pt idx="50">
                  <c:v>4.9742652318509599E-5</c:v>
                </c:pt>
                <c:pt idx="51">
                  <c:v>5.287807546245637E-5</c:v>
                </c:pt>
                <c:pt idx="52">
                  <c:v>5.6182002795602181E-5</c:v>
                </c:pt>
                <c:pt idx="53">
                  <c:v>5.9662662858929278E-5</c:v>
                </c:pt>
                <c:pt idx="54">
                  <c:v>6.3329000205613985E-5</c:v>
                </c:pt>
                <c:pt idx="55">
                  <c:v>6.7190458471352122E-5</c:v>
                </c:pt>
                <c:pt idx="56">
                  <c:v>7.125701210389685E-5</c:v>
                </c:pt>
                <c:pt idx="57">
                  <c:v>7.5520344446919292E-5</c:v>
                </c:pt>
                <c:pt idx="58">
                  <c:v>7.9964348634537589E-5</c:v>
                </c:pt>
                <c:pt idx="59">
                  <c:v>8.4596266039509163E-5</c:v>
                </c:pt>
                <c:pt idx="60">
                  <c:v>8.9423758203320685E-5</c:v>
                </c:pt>
                <c:pt idx="61">
                  <c:v>9.4454931415576327E-5</c:v>
                </c:pt>
                <c:pt idx="62">
                  <c:v>9.9698362892155771E-5</c:v>
                </c:pt>
                <c:pt idx="63">
                  <c:v>1.0516312860741443E-4</c:v>
                </c:pt>
                <c:pt idx="64">
                  <c:v>1.1085000624826625E-4</c:v>
                </c:pt>
                <c:pt idx="65">
                  <c:v>1.1664439501690462E-4</c:v>
                </c:pt>
                <c:pt idx="66">
                  <c:v>1.2253400760234856E-4</c:v>
                </c:pt>
                <c:pt idx="67">
                  <c:v>1.2851666647919178E-4</c:v>
                </c:pt>
                <c:pt idx="68">
                  <c:v>1.3459021664778931E-4</c:v>
                </c:pt>
                <c:pt idx="69">
                  <c:v>1.4075249608887444E-4</c:v>
                </c:pt>
                <c:pt idx="70">
                  <c:v>1.4700130297862964E-4</c:v>
                </c:pt>
                <c:pt idx="71">
                  <c:v>1.5309568641409471E-4</c:v>
                </c:pt>
                <c:pt idx="72">
                  <c:v>1.5904085460670229E-4</c:v>
                </c:pt>
                <c:pt idx="73">
                  <c:v>1.6481276280363771E-4</c:v>
                </c:pt>
                <c:pt idx="74">
                  <c:v>1.7038569008006501E-4</c:v>
                </c:pt>
                <c:pt idx="75">
                  <c:v>1.7573204403164617E-4</c:v>
                </c:pt>
                <c:pt idx="76">
                  <c:v>1.8082214825651747E-4</c:v>
                </c:pt>
                <c:pt idx="77">
                  <c:v>1.856240111075004E-4</c:v>
                </c:pt>
                <c:pt idx="78">
                  <c:v>1.9008230192326924E-4</c:v>
                </c:pt>
                <c:pt idx="79">
                  <c:v>1.9404214697557324E-4</c:v>
                </c:pt>
                <c:pt idx="80">
                  <c:v>1.976401959327566E-4</c:v>
                </c:pt>
                <c:pt idx="81">
                  <c:v>2.0084161321832461E-4</c:v>
                </c:pt>
                <c:pt idx="82">
                  <c:v>2.036089333648988E-4</c:v>
                </c:pt>
                <c:pt idx="83">
                  <c:v>2.0590175534073324E-4</c:v>
                </c:pt>
                <c:pt idx="84">
                  <c:v>2.0767641177028414E-4</c:v>
                </c:pt>
                <c:pt idx="85">
                  <c:v>2.0897763464245418E-4</c:v>
                </c:pt>
                <c:pt idx="86">
                  <c:v>2.1014840570509954E-4</c:v>
                </c:pt>
                <c:pt idx="87">
                  <c:v>2.1118120483402386E-4</c:v>
                </c:pt>
                <c:pt idx="88">
                  <c:v>2.1206749108768796E-4</c:v>
                </c:pt>
                <c:pt idx="89">
                  <c:v>2.1279761186733569E-4</c:v>
                </c:pt>
                <c:pt idx="90">
                  <c:v>2.1336070496915882E-4</c:v>
                </c:pt>
                <c:pt idx="91">
                  <c:v>2.1374459273900692E-4</c:v>
                </c:pt>
                <c:pt idx="92">
                  <c:v>2.1392378928793967E-4</c:v>
                </c:pt>
                <c:pt idx="93">
                  <c:v>2.1381128643688493E-4</c:v>
                </c:pt>
                <c:pt idx="94">
                  <c:v>2.135390690776856E-4</c:v>
                </c:pt>
                <c:pt idx="95">
                  <c:v>2.1309436681069772E-4</c:v>
                </c:pt>
                <c:pt idx="96">
                  <c:v>2.1246368005183131E-4</c:v>
                </c:pt>
                <c:pt idx="97">
                  <c:v>2.1163274585795223E-4</c:v>
                </c:pt>
                <c:pt idx="98">
                  <c:v>2.1058650388504921E-4</c:v>
                </c:pt>
                <c:pt idx="99">
                  <c:v>2.0939553597589265E-4</c:v>
                </c:pt>
                <c:pt idx="100">
                  <c:v>2.078991631812703E-4</c:v>
                </c:pt>
                <c:pt idx="101">
                  <c:v>2.0607321680851665E-4</c:v>
                </c:pt>
                <c:pt idx="102">
                  <c:v>2.038920646841922E-4</c:v>
                </c:pt>
                <c:pt idx="103">
                  <c:v>2.013285465054195E-4</c:v>
                </c:pt>
                <c:pt idx="104">
                  <c:v>1.9835390960382912E-4</c:v>
                </c:pt>
                <c:pt idx="105">
                  <c:v>1.949377453157955E-4</c:v>
                </c:pt>
                <c:pt idx="106">
                  <c:v>1.9104888316784973E-4</c:v>
                </c:pt>
                <c:pt idx="107">
                  <c:v>1.8724310363594387E-4</c:v>
                </c:pt>
                <c:pt idx="108">
                  <c:v>1.8364637325784825E-4</c:v>
                </c:pt>
                <c:pt idx="109">
                  <c:v>1.8030234131039851E-4</c:v>
                </c:pt>
                <c:pt idx="110">
                  <c:v>1.7725949799305644E-4</c:v>
                </c:pt>
                <c:pt idx="111">
                  <c:v>1.745709670840481E-4</c:v>
                </c:pt>
                <c:pt idx="112">
                  <c:v>1.7229434923660033E-4</c:v>
                </c:pt>
                <c:pt idx="113">
                  <c:v>1.7090347047184743E-4</c:v>
                </c:pt>
                <c:pt idx="114">
                  <c:v>1.7036446804898566E-4</c:v>
                </c:pt>
                <c:pt idx="115">
                  <c:v>1.7078512857981171E-4</c:v>
                </c:pt>
                <c:pt idx="116">
                  <c:v>1.7228219534256889E-4</c:v>
                </c:pt>
                <c:pt idx="117">
                  <c:v>1.7498188849690864E-4</c:v>
                </c:pt>
                <c:pt idx="118">
                  <c:v>1.7902043307086138E-4</c:v>
                </c:pt>
                <c:pt idx="119">
                  <c:v>1.8454459187403592E-4</c:v>
                </c:pt>
                <c:pt idx="120">
                  <c:v>1.9171063710892458E-4</c:v>
                </c:pt>
                <c:pt idx="121">
                  <c:v>2.0068250152537303E-4</c:v>
                </c:pt>
                <c:pt idx="122">
                  <c:v>2.106197798013296E-4</c:v>
                </c:pt>
                <c:pt idx="123">
                  <c:v>2.2160135095361687E-4</c:v>
                </c:pt>
                <c:pt idx="124">
                  <c:v>2.3371095269831378E-4</c:v>
                </c:pt>
                <c:pt idx="125">
                  <c:v>2.4703736035705238E-4</c:v>
                </c:pt>
                <c:pt idx="126">
                  <c:v>2.6167455938044332E-4</c:v>
                </c:pt>
                <c:pt idx="127">
                  <c:v>2.7768965718934463E-4</c:v>
                </c:pt>
                <c:pt idx="128">
                  <c:v>2.9446987231747721E-4</c:v>
                </c:pt>
                <c:pt idx="129">
                  <c:v>3.1204245349618121E-4</c:v>
                </c:pt>
                <c:pt idx="130">
                  <c:v>3.3043481846095683E-4</c:v>
                </c:pt>
                <c:pt idx="131">
                  <c:v>3.496744809095038E-4</c:v>
                </c:pt>
                <c:pt idx="132">
                  <c:v>3.6978897291692732E-4</c:v>
                </c:pt>
                <c:pt idx="133">
                  <c:v>3.908057634664618E-4</c:v>
                </c:pt>
                <c:pt idx="134">
                  <c:v>4.1275491193885433E-4</c:v>
                </c:pt>
                <c:pt idx="135">
                  <c:v>4.3556130048286065E-4</c:v>
                </c:pt>
                <c:pt idx="136">
                  <c:v>4.5924328100441545E-4</c:v>
                </c:pt>
                <c:pt idx="137">
                  <c:v>4.8381068829509642E-4</c:v>
                </c:pt>
                <c:pt idx="138">
                  <c:v>5.092711122219308E-4</c:v>
                </c:pt>
                <c:pt idx="139">
                  <c:v>5.3562969708347637E-4</c:v>
                </c:pt>
                <c:pt idx="140">
                  <c:v>5.6288894132746497E-4</c:v>
                </c:pt>
                <c:pt idx="141">
                  <c:v>5.9082815546815848E-4</c:v>
                </c:pt>
                <c:pt idx="142">
                  <c:v>6.1947267230707116E-4</c:v>
                </c:pt>
                <c:pt idx="143">
                  <c:v>6.4879426366079411E-4</c:v>
                </c:pt>
                <c:pt idx="144">
                  <c:v>6.7876403870847197E-4</c:v>
                </c:pt>
                <c:pt idx="145">
                  <c:v>7.0934894335353998E-4</c:v>
                </c:pt>
                <c:pt idx="146">
                  <c:v>7.4051167059185105E-4</c:v>
                </c:pt>
                <c:pt idx="147">
                  <c:v>7.7221059536020282E-4</c:v>
                </c:pt>
                <c:pt idx="148">
                  <c:v>8.0442339501462026E-4</c:v>
                </c:pt>
                <c:pt idx="149">
                  <c:v>8.3693829696806219E-4</c:v>
                </c:pt>
                <c:pt idx="150">
                  <c:v>8.6985908246288044E-4</c:v>
                </c:pt>
                <c:pt idx="151">
                  <c:v>9.031318141424936E-4</c:v>
                </c:pt>
                <c:pt idx="152">
                  <c:v>9.3669862384347473E-4</c:v>
                </c:pt>
                <c:pt idx="153">
                  <c:v>9.7049780401367006E-4</c:v>
                </c:pt>
                <c:pt idx="154">
                  <c:v>1.0044639280155148E-3</c:v>
                </c:pt>
                <c:pt idx="155">
                  <c:v>1.0384299143755815E-3</c:v>
                </c:pt>
                <c:pt idx="156">
                  <c:v>1.0726661247186921E-3</c:v>
                </c:pt>
                <c:pt idx="157">
                  <c:v>1.107117830759364E-3</c:v>
                </c:pt>
                <c:pt idx="158">
                  <c:v>1.1417277298610342E-3</c:v>
                </c:pt>
                <c:pt idx="159">
                  <c:v>1.1764361245180357E-3</c:v>
                </c:pt>
                <c:pt idx="160">
                  <c:v>1.2111811217016097E-3</c:v>
                </c:pt>
                <c:pt idx="161">
                  <c:v>1.245898850306658E-3</c:v>
                </c:pt>
                <c:pt idx="162">
                  <c:v>1.2805408320240737E-3</c:v>
                </c:pt>
                <c:pt idx="163">
                  <c:v>1.3149188785324972E-3</c:v>
                </c:pt>
                <c:pt idx="164">
                  <c:v>1.3492510322706637E-3</c:v>
                </c:pt>
                <c:pt idx="165">
                  <c:v>1.3834888972877172E-3</c:v>
                </c:pt>
                <c:pt idx="166">
                  <c:v>1.4175841124328577E-3</c:v>
                </c:pt>
                <c:pt idx="167">
                  <c:v>1.4514885700078312E-3</c:v>
                </c:pt>
                <c:pt idx="168">
                  <c:v>1.4851546315388022E-3</c:v>
                </c:pt>
                <c:pt idx="169">
                  <c:v>1.5183695067601405E-3</c:v>
                </c:pt>
                <c:pt idx="170">
                  <c:v>1.5512181013304606E-3</c:v>
                </c:pt>
                <c:pt idx="171">
                  <c:v>1.5836537371788036E-3</c:v>
                </c:pt>
                <c:pt idx="172">
                  <c:v>1.6156310274629451E-3</c:v>
                </c:pt>
                <c:pt idx="173">
                  <c:v>1.6470892105385031E-3</c:v>
                </c:pt>
                <c:pt idx="174">
                  <c:v>1.6779669832216481E-3</c:v>
                </c:pt>
                <c:pt idx="175">
                  <c:v>1.7082205604368372E-3</c:v>
                </c:pt>
                <c:pt idx="176">
                  <c:v>1.7378080549395249E-3</c:v>
                </c:pt>
                <c:pt idx="177">
                  <c:v>1.7665281213131352E-3</c:v>
                </c:pt>
                <c:pt idx="178">
                  <c:v>1.7945313315696659E-3</c:v>
                </c:pt>
                <c:pt idx="179">
                  <c:v>1.8217838921364318E-3</c:v>
                </c:pt>
                <c:pt idx="180">
                  <c:v>1.8482542792328232E-3</c:v>
                </c:pt>
                <c:pt idx="181">
                  <c:v>1.8739132885249559E-3</c:v>
                </c:pt>
                <c:pt idx="182">
                  <c:v>1.8987340658332831E-3</c:v>
                </c:pt>
                <c:pt idx="183">
                  <c:v>1.9222813188117191E-3</c:v>
                </c:pt>
                <c:pt idx="184">
                  <c:v>1.9447307270110128E-3</c:v>
                </c:pt>
                <c:pt idx="185">
                  <c:v>1.9660541877992194E-3</c:v>
                </c:pt>
                <c:pt idx="186">
                  <c:v>1.9862261229193789E-3</c:v>
                </c:pt>
                <c:pt idx="187">
                  <c:v>2.0052234234245046E-3</c:v>
                </c:pt>
                <c:pt idx="188">
                  <c:v>2.0230253773717206E-3</c:v>
                </c:pt>
                <c:pt idx="189">
                  <c:v>2.0396135822088731E-3</c:v>
                </c:pt>
                <c:pt idx="190">
                  <c:v>2.0549965640505223E-3</c:v>
                </c:pt>
                <c:pt idx="191">
                  <c:v>2.0684911066426578E-3</c:v>
                </c:pt>
                <c:pt idx="192">
                  <c:v>2.0802499569371065E-3</c:v>
                </c:pt>
                <c:pt idx="193">
                  <c:v>2.0902349914202756E-3</c:v>
                </c:pt>
                <c:pt idx="194">
                  <c:v>2.0984097857912835E-3</c:v>
                </c:pt>
                <c:pt idx="195">
                  <c:v>2.1047395284585352E-3</c:v>
                </c:pt>
                <c:pt idx="196">
                  <c:v>2.1091909313654144E-3</c:v>
                </c:pt>
                <c:pt idx="197">
                  <c:v>2.1113118380372037E-3</c:v>
                </c:pt>
                <c:pt idx="198">
                  <c:v>2.1115514973491633E-3</c:v>
                </c:pt>
                <c:pt idx="199">
                  <c:v>2.1098828607497597E-3</c:v>
                </c:pt>
                <c:pt idx="200">
                  <c:v>2.1062799962422939E-3</c:v>
                </c:pt>
                <c:pt idx="201">
                  <c:v>2.100718012139337E-3</c:v>
                </c:pt>
                <c:pt idx="202">
                  <c:v>2.0931729889044517E-3</c:v>
                </c:pt>
                <c:pt idx="203">
                  <c:v>2.0836219201266683E-3</c:v>
                </c:pt>
                <c:pt idx="204">
                  <c:v>2.0720346758697356E-3</c:v>
                </c:pt>
                <c:pt idx="205">
                  <c:v>2.0582090141415461E-3</c:v>
                </c:pt>
                <c:pt idx="206">
                  <c:v>2.0429426311711061E-3</c:v>
                </c:pt>
                <c:pt idx="207">
                  <c:v>2.0262559013120417E-3</c:v>
                </c:pt>
                <c:pt idx="208">
                  <c:v>2.0081687527482772E-3</c:v>
                </c:pt>
                <c:pt idx="209">
                  <c:v>1.9887004826351601E-3</c:v>
                </c:pt>
                <c:pt idx="210">
                  <c:v>1.9678695826928919E-3</c:v>
                </c:pt>
                <c:pt idx="211">
                  <c:v>1.9456613512200207E-3</c:v>
                </c:pt>
                <c:pt idx="212">
                  <c:v>1.9225696064807767E-3</c:v>
                </c:pt>
                <c:pt idx="213">
                  <c:v>1.8986193221778793E-3</c:v>
                </c:pt>
                <c:pt idx="214">
                  <c:v>1.8738339991696802E-3</c:v>
                </c:pt>
                <c:pt idx="215">
                  <c:v>1.8482355926296822E-3</c:v>
                </c:pt>
                <c:pt idx="216">
                  <c:v>1.8218444464378322E-3</c:v>
                </c:pt>
                <c:pt idx="217">
                  <c:v>1.7946792329306752E-3</c:v>
                </c:pt>
                <c:pt idx="218">
                  <c:v>1.7667136897614249E-3</c:v>
                </c:pt>
                <c:pt idx="219">
                  <c:v>1.7424275441796076E-3</c:v>
                </c:pt>
                <c:pt idx="220">
                  <c:v>1.7221350156293117E-3</c:v>
                </c:pt>
                <c:pt idx="221">
                  <c:v>1.7059409512969418E-3</c:v>
                </c:pt>
                <c:pt idx="222">
                  <c:v>1.6939495711581437E-3</c:v>
                </c:pt>
                <c:pt idx="223">
                  <c:v>1.6862647671653862E-3</c:v>
                </c:pt>
                <c:pt idx="224">
                  <c:v>1.6829904034918308E-3</c:v>
                </c:pt>
                <c:pt idx="225">
                  <c:v>1.692619297840906E-3</c:v>
                </c:pt>
                <c:pt idx="226">
                  <c:v>1.7154640242729737E-3</c:v>
                </c:pt>
                <c:pt idx="227">
                  <c:v>1.7518050708340905E-3</c:v>
                </c:pt>
                <c:pt idx="228">
                  <c:v>1.8019267736217163E-3</c:v>
                </c:pt>
                <c:pt idx="229">
                  <c:v>1.8661181741065759E-3</c:v>
                </c:pt>
                <c:pt idx="230">
                  <c:v>1.9446738938613314E-3</c:v>
                </c:pt>
                <c:pt idx="231">
                  <c:v>2.0378950317778148E-3</c:v>
                </c:pt>
                <c:pt idx="232">
                  <c:v>2.1460686292110384E-3</c:v>
                </c:pt>
                <c:pt idx="233">
                  <c:v>2.2712176540779527E-3</c:v>
                </c:pt>
                <c:pt idx="234">
                  <c:v>2.4086929158928364E-3</c:v>
                </c:pt>
                <c:pt idx="235">
                  <c:v>2.5587537438992352E-3</c:v>
                </c:pt>
                <c:pt idx="236">
                  <c:v>2.7216685539352896E-3</c:v>
                </c:pt>
                <c:pt idx="237">
                  <c:v>2.8977131873744277E-3</c:v>
                </c:pt>
                <c:pt idx="238">
                  <c:v>3.0871732328102116E-3</c:v>
                </c:pt>
                <c:pt idx="239">
                  <c:v>3.2888880441783344E-3</c:v>
                </c:pt>
                <c:pt idx="240">
                  <c:v>3.4938306399236604E-3</c:v>
                </c:pt>
                <c:pt idx="241">
                  <c:v>3.7020887959085141E-3</c:v>
                </c:pt>
                <c:pt idx="242">
                  <c:v>3.9137564702971849E-3</c:v>
                </c:pt>
                <c:pt idx="243">
                  <c:v>4.1289340708610773E-3</c:v>
                </c:pt>
                <c:pt idx="244">
                  <c:v>4.3477287412470094E-3</c:v>
                </c:pt>
                <c:pt idx="245">
                  <c:v>4.5702546712534046E-3</c:v>
                </c:pt>
                <c:pt idx="246">
                  <c:v>4.7966539928741029E-3</c:v>
                </c:pt>
                <c:pt idx="247">
                  <c:v>5.0303354784941431E-3</c:v>
                </c:pt>
                <c:pt idx="248">
                  <c:v>5.2695476147710633E-3</c:v>
                </c:pt>
                <c:pt idx="249">
                  <c:v>5.5144282863611623E-3</c:v>
                </c:pt>
                <c:pt idx="250">
                  <c:v>5.7651172410347323E-3</c:v>
                </c:pt>
                <c:pt idx="251">
                  <c:v>6.021755892660817E-3</c:v>
                </c:pt>
                <c:pt idx="252">
                  <c:v>6.2844871019794163E-3</c:v>
                </c:pt>
                <c:pt idx="253">
                  <c:v>6.5490409916094481E-3</c:v>
                </c:pt>
                <c:pt idx="254">
                  <c:v>6.817086753227875E-3</c:v>
                </c:pt>
                <c:pt idx="255">
                  <c:v>7.0886974687868597E-3</c:v>
                </c:pt>
                <c:pt idx="256">
                  <c:v>7.3639440470297289E-3</c:v>
                </c:pt>
                <c:pt idx="257">
                  <c:v>7.6428949042079463E-3</c:v>
                </c:pt>
                <c:pt idx="258">
                  <c:v>7.9256156360428733E-3</c:v>
                </c:pt>
                <c:pt idx="259">
                  <c:v>8.2121686806641593E-3</c:v>
                </c:pt>
                <c:pt idx="260">
                  <c:v>8.5033559875288215E-3</c:v>
                </c:pt>
                <c:pt idx="261">
                  <c:v>8.7850232850343341E-3</c:v>
                </c:pt>
                <c:pt idx="262">
                  <c:v>9.0530133516355769E-3</c:v>
                </c:pt>
                <c:pt idx="263">
                  <c:v>9.306717844446517E-3</c:v>
                </c:pt>
                <c:pt idx="264">
                  <c:v>9.5454622954055084E-3</c:v>
                </c:pt>
                <c:pt idx="265">
                  <c:v>9.7685592335356054E-3</c:v>
                </c:pt>
                <c:pt idx="266">
                  <c:v>9.9752357273303893E-3</c:v>
                </c:pt>
                <c:pt idx="267">
                  <c:v>1.0155391560561881E-2</c:v>
                </c:pt>
                <c:pt idx="268">
                  <c:v>1.031287471206589E-2</c:v>
                </c:pt>
                <c:pt idx="269">
                  <c:v>1.0446569428044479E-2</c:v>
                </c:pt>
                <c:pt idx="270">
                  <c:v>1.0555310510755667E-2</c:v>
                </c:pt>
                <c:pt idx="271">
                  <c:v>1.0637891840127856E-2</c:v>
                </c:pt>
                <c:pt idx="272">
                  <c:v>1.0693076468179574E-2</c:v>
                </c:pt>
                <c:pt idx="273">
                  <c:v>1.0719608432022059E-2</c:v>
                </c:pt>
                <c:pt idx="274">
                  <c:v>1.0717299280514991E-2</c:v>
                </c:pt>
                <c:pt idx="275">
                  <c:v>1.0684188132176526E-2</c:v>
                </c:pt>
                <c:pt idx="276">
                  <c:v>1.0636621874684324E-2</c:v>
                </c:pt>
                <c:pt idx="277">
                  <c:v>1.0574238913208595E-2</c:v>
                </c:pt>
                <c:pt idx="278">
                  <c:v>1.0496681659835879E-2</c:v>
                </c:pt>
                <c:pt idx="279">
                  <c:v>1.0403597339404264E-2</c:v>
                </c:pt>
                <c:pt idx="280">
                  <c:v>1.0294638753646751E-2</c:v>
                </c:pt>
                <c:pt idx="281">
                  <c:v>1.0170437994287875E-2</c:v>
                </c:pt>
                <c:pt idx="282">
                  <c:v>1.00412356922399E-2</c:v>
                </c:pt>
                <c:pt idx="283">
                  <c:v>9.9069878253399551E-3</c:v>
                </c:pt>
                <c:pt idx="284">
                  <c:v>9.7676561206810411E-3</c:v>
                </c:pt>
                <c:pt idx="285">
                  <c:v>9.6232081361743889E-3</c:v>
                </c:pt>
                <c:pt idx="286">
                  <c:v>9.4736172848620473E-3</c:v>
                </c:pt>
                <c:pt idx="287">
                  <c:v>9.3188627988846414E-3</c:v>
                </c:pt>
                <c:pt idx="288">
                  <c:v>9.1590741433133869E-3</c:v>
                </c:pt>
                <c:pt idx="289">
                  <c:v>8.9974122012172492E-3</c:v>
                </c:pt>
                <c:pt idx="290">
                  <c:v>8.8362518026073016E-3</c:v>
                </c:pt>
                <c:pt idx="291">
                  <c:v>8.6756461406464567E-3</c:v>
                </c:pt>
                <c:pt idx="292">
                  <c:v>8.5156532836673706E-3</c:v>
                </c:pt>
                <c:pt idx="293">
                  <c:v>8.3563359388533487E-3</c:v>
                </c:pt>
                <c:pt idx="294">
                  <c:v>8.1977611921188621E-3</c:v>
                </c:pt>
                <c:pt idx="295">
                  <c:v>8.0431572211282082E-3</c:v>
                </c:pt>
                <c:pt idx="296">
                  <c:v>7.8916704162189689E-3</c:v>
                </c:pt>
                <c:pt idx="297">
                  <c:v>7.7434817721478413E-3</c:v>
                </c:pt>
                <c:pt idx="298">
                  <c:v>7.5987071183339127E-3</c:v>
                </c:pt>
                <c:pt idx="299">
                  <c:v>7.457464529443637E-3</c:v>
                </c:pt>
                <c:pt idx="300">
                  <c:v>7.3198738895971774E-3</c:v>
                </c:pt>
                <c:pt idx="301">
                  <c:v>7.1860564452254552E-3</c:v>
                </c:pt>
                <c:pt idx="302">
                  <c:v>7.0567549614810945E-3</c:v>
                </c:pt>
                <c:pt idx="303">
                  <c:v>6.9417584413774295E-3</c:v>
                </c:pt>
                <c:pt idx="304">
                  <c:v>6.8377948802329728E-3</c:v>
                </c:pt>
                <c:pt idx="305">
                  <c:v>6.7449440573309465E-3</c:v>
                </c:pt>
                <c:pt idx="306">
                  <c:v>6.6632902490516158E-3</c:v>
                </c:pt>
                <c:pt idx="307">
                  <c:v>6.5929196863906917E-3</c:v>
                </c:pt>
                <c:pt idx="308">
                  <c:v>6.5339177969131607E-3</c:v>
                </c:pt>
                <c:pt idx="309">
                  <c:v>6.4983658569833565E-3</c:v>
                </c:pt>
                <c:pt idx="310">
                  <c:v>6.4830821237980979E-3</c:v>
                </c:pt>
                <c:pt idx="311">
                  <c:v>6.4882903864234651E-3</c:v>
                </c:pt>
                <c:pt idx="312">
                  <c:v>6.5141918853316161E-3</c:v>
                </c:pt>
                <c:pt idx="313">
                  <c:v>6.5609578519384747E-3</c:v>
                </c:pt>
                <c:pt idx="314">
                  <c:v>6.6287214036214433E-3</c:v>
                </c:pt>
                <c:pt idx="315">
                  <c:v>6.7175688309815719E-3</c:v>
                </c:pt>
                <c:pt idx="316">
                  <c:v>6.8282345433207771E-3</c:v>
                </c:pt>
                <c:pt idx="317">
                  <c:v>6.9595317646333962E-3</c:v>
                </c:pt>
                <c:pt idx="318">
                  <c:v>7.101681602316081E-3</c:v>
                </c:pt>
                <c:pt idx="319">
                  <c:v>7.254774586960124E-3</c:v>
                </c:pt>
                <c:pt idx="320">
                  <c:v>7.4188875235877728E-3</c:v>
                </c:pt>
                <c:pt idx="321">
                  <c:v>7.594082044296205E-3</c:v>
                </c:pt>
                <c:pt idx="322">
                  <c:v>7.7804030382401107E-3</c:v>
                </c:pt>
                <c:pt idx="323">
                  <c:v>7.9669480283678217E-3</c:v>
                </c:pt>
                <c:pt idx="324">
                  <c:v>8.1406024808053801E-3</c:v>
                </c:pt>
                <c:pt idx="325">
                  <c:v>8.3010638489871089E-3</c:v>
                </c:pt>
                <c:pt idx="326">
                  <c:v>8.4479753021407551E-3</c:v>
                </c:pt>
                <c:pt idx="327">
                  <c:v>8.5810113234788456E-3</c:v>
                </c:pt>
                <c:pt idx="328">
                  <c:v>8.6998906107662623E-3</c:v>
                </c:pt>
                <c:pt idx="329">
                  <c:v>8.8043352421600454E-3</c:v>
                </c:pt>
                <c:pt idx="330">
                  <c:v>8.8947902194360332E-3</c:v>
                </c:pt>
                <c:pt idx="331">
                  <c:v>8.9686665386336639E-3</c:v>
                </c:pt>
                <c:pt idx="332">
                  <c:v>9.0277303237733721E-3</c:v>
                </c:pt>
                <c:pt idx="333">
                  <c:v>9.0715318193321619E-3</c:v>
                </c:pt>
                <c:pt idx="334">
                  <c:v>9.0996112440313495E-3</c:v>
                </c:pt>
                <c:pt idx="335">
                  <c:v>9.1115052103418713E-3</c:v>
                </c:pt>
                <c:pt idx="336">
                  <c:v>9.1067539389952656E-3</c:v>
                </c:pt>
                <c:pt idx="337">
                  <c:v>9.0869556736388139E-3</c:v>
                </c:pt>
                <c:pt idx="338">
                  <c:v>9.0631284838976443E-3</c:v>
                </c:pt>
                <c:pt idx="339">
                  <c:v>9.0349208899352176E-3</c:v>
                </c:pt>
                <c:pt idx="340">
                  <c:v>9.0019872078159462E-3</c:v>
                </c:pt>
                <c:pt idx="341">
                  <c:v>8.9639918702582103E-3</c:v>
                </c:pt>
                <c:pt idx="342">
                  <c:v>8.9206140065060495E-3</c:v>
                </c:pt>
                <c:pt idx="343">
                  <c:v>8.871552200599115E-3</c:v>
                </c:pt>
                <c:pt idx="344">
                  <c:v>8.8161681126680044E-3</c:v>
                </c:pt>
                <c:pt idx="345">
                  <c:v>8.7543821133633706E-3</c:v>
                </c:pt>
                <c:pt idx="346">
                  <c:v>8.6918970647161756E-3</c:v>
                </c:pt>
                <c:pt idx="347">
                  <c:v>8.6292425965128032E-3</c:v>
                </c:pt>
                <c:pt idx="348">
                  <c:v>8.5669375362237721E-3</c:v>
                </c:pt>
                <c:pt idx="349">
                  <c:v>8.5054867804862239E-3</c:v>
                </c:pt>
                <c:pt idx="350">
                  <c:v>8.4453788644373601E-3</c:v>
                </c:pt>
                <c:pt idx="351">
                  <c:v>8.3892006064099304E-3</c:v>
                </c:pt>
                <c:pt idx="352">
                  <c:v>8.3353804481456888E-3</c:v>
                </c:pt>
                <c:pt idx="353">
                  <c:v>8.2843471952708456E-3</c:v>
                </c:pt>
                <c:pt idx="354">
                  <c:v>8.2365106502453166E-3</c:v>
                </c:pt>
                <c:pt idx="355">
                  <c:v>8.1922623799147165E-3</c:v>
                </c:pt>
                <c:pt idx="356">
                  <c:v>8.1518738801084119E-3</c:v>
                </c:pt>
                <c:pt idx="357">
                  <c:v>8.1158003240580905E-3</c:v>
                </c:pt>
                <c:pt idx="358">
                  <c:v>8.0836298091067574E-3</c:v>
                </c:pt>
                <c:pt idx="359">
                  <c:v>8.0545680852149894E-3</c:v>
                </c:pt>
                <c:pt idx="360">
                  <c:v>8.0302652920526442E-3</c:v>
                </c:pt>
                <c:pt idx="361">
                  <c:v>8.0084340803659605E-3</c:v>
                </c:pt>
                <c:pt idx="362">
                  <c:v>7.9888335414415885E-3</c:v>
                </c:pt>
                <c:pt idx="363">
                  <c:v>7.9712297961162474E-3</c:v>
                </c:pt>
                <c:pt idx="364">
                  <c:v>7.9553959288349452E-3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076872"/>
        <c:axId val="416077264"/>
      </c:lineChart>
      <c:dateAx>
        <c:axId val="4160768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077264"/>
        <c:crosses val="autoZero"/>
        <c:auto val="1"/>
        <c:lblOffset val="100"/>
        <c:baseTimeUnit val="days"/>
        <c:majorUnit val="1"/>
        <c:majorTimeUnit val="months"/>
      </c:dateAx>
      <c:valAx>
        <c:axId val="4160772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076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2.6257611469032348E-2</c:v>
                </c:pt>
                <c:pt idx="1">
                  <c:v>2.641410149342624E-2</c:v>
                </c:pt>
                <c:pt idx="2">
                  <c:v>2.6570466157429154E-2</c:v>
                </c:pt>
                <c:pt idx="3">
                  <c:v>2.6726700477124971E-2</c:v>
                </c:pt>
                <c:pt idx="4">
                  <c:v>2.6882800130616349E-2</c:v>
                </c:pt>
                <c:pt idx="5">
                  <c:v>2.7038761455649079E-2</c:v>
                </c:pt>
                <c:pt idx="6">
                  <c:v>2.7194581440255713E-2</c:v>
                </c:pt>
                <c:pt idx="7">
                  <c:v>2.735025770670365E-2</c:v>
                </c:pt>
                <c:pt idx="8">
                  <c:v>2.7505788489097644E-2</c:v>
                </c:pt>
                <c:pt idx="9">
                  <c:v>2.7661172605044942E-2</c:v>
                </c:pt>
                <c:pt idx="10">
                  <c:v>2.7816409421848001E-2</c:v>
                </c:pt>
                <c:pt idx="11">
                  <c:v>2.7971498817737504E-2</c:v>
                </c:pt>
                <c:pt idx="12">
                  <c:v>2.8126441138703523E-2</c:v>
                </c:pt>
                <c:pt idx="13">
                  <c:v>2.8281237151519343E-2</c:v>
                </c:pt>
                <c:pt idx="14">
                  <c:v>2.8435887993583913E-2</c:v>
                </c:pt>
                <c:pt idx="15">
                  <c:v>2.8590395120233005E-2</c:v>
                </c:pt>
                <c:pt idx="16">
                  <c:v>2.8744760250186012E-2</c:v>
                </c:pt>
                <c:pt idx="17">
                  <c:v>2.8898985309805836E-2</c:v>
                </c:pt>
                <c:pt idx="18">
                  <c:v>2.9053072376851952E-2</c:v>
                </c:pt>
                <c:pt idx="19">
                  <c:v>2.9207023624402261E-2</c:v>
                </c:pt>
                <c:pt idx="20">
                  <c:v>2.9360841265608485E-2</c:v>
                </c:pt>
                <c:pt idx="21">
                  <c:v>2.9514527499931636E-2</c:v>
                </c:pt>
                <c:pt idx="22">
                  <c:v>2.9668084461478811E-2</c:v>
                </c:pt>
                <c:pt idx="23">
                  <c:v>2.98215141700327E-2</c:v>
                </c:pt>
                <c:pt idx="24">
                  <c:v>2.9974818485327348E-2</c:v>
                </c:pt>
                <c:pt idx="25">
                  <c:v>3.0127999065081949E-2</c:v>
                </c:pt>
                <c:pt idx="26">
                  <c:v>3.0281057327257398E-2</c:v>
                </c:pt>
                <c:pt idx="27">
                  <c:v>3.0433994416948402E-2</c:v>
                </c:pt>
                <c:pt idx="28">
                  <c:v>3.0586811178269051E-2</c:v>
                </c:pt>
                <c:pt idx="29">
                  <c:v>3.0739508131531201E-2</c:v>
                </c:pt>
                <c:pt idx="30">
                  <c:v>3.0892085455954177E-2</c:v>
                </c:pt>
                <c:pt idx="31">
                  <c:v>3.104454297808127E-2</c:v>
                </c:pt>
                <c:pt idx="32">
                  <c:v>3.1196880166015503E-2</c:v>
                </c:pt>
                <c:pt idx="33">
                  <c:v>3.134909612952208E-2</c:v>
                </c:pt>
                <c:pt idx="34">
                  <c:v>3.1501189625981606E-2</c:v>
                </c:pt>
                <c:pt idx="35">
                  <c:v>3.1653159072115182E-2</c:v>
                </c:pt>
                <c:pt idx="36">
                  <c:v>3.180500256134091E-2</c:v>
                </c:pt>
                <c:pt idx="37">
                  <c:v>3.1956717886562881E-2</c:v>
                </c:pt>
                <c:pt idx="38">
                  <c:v>3.2108302568137306E-2</c:v>
                </c:pt>
                <c:pt idx="39">
                  <c:v>3.2259753886707848E-2</c:v>
                </c:pt>
                <c:pt idx="40">
                  <c:v>3.2411068920554363E-2</c:v>
                </c:pt>
                <c:pt idx="41">
                  <c:v>3.256224458705393E-2</c:v>
                </c:pt>
                <c:pt idx="42">
                  <c:v>3.2713277687815366E-2</c:v>
                </c:pt>
                <c:pt idx="43">
                  <c:v>3.2864164957013518E-2</c:v>
                </c:pt>
                <c:pt idx="44">
                  <c:v>3.3014903112421702E-2</c:v>
                </c:pt>
                <c:pt idx="45">
                  <c:v>3.3165488908618673E-2</c:v>
                </c:pt>
                <c:pt idx="46">
                  <c:v>3.3315919191828802E-2</c:v>
                </c:pt>
                <c:pt idx="47">
                  <c:v>3.3466190955845555E-2</c:v>
                </c:pt>
                <c:pt idx="48">
                  <c:v>3.3616301398482262E-2</c:v>
                </c:pt>
                <c:pt idx="49">
                  <c:v>3.3766247977997224E-2</c:v>
                </c:pt>
                <c:pt idx="50">
                  <c:v>3.391602846894734E-2</c:v>
                </c:pt>
                <c:pt idx="51">
                  <c:v>3.4065641016938042E-2</c:v>
                </c:pt>
                <c:pt idx="52">
                  <c:v>3.421508419175627E-2</c:v>
                </c:pt>
                <c:pt idx="53">
                  <c:v>3.4364357038397721E-2</c:v>
                </c:pt>
                <c:pt idx="54">
                  <c:v>3.4513459125528154E-2</c:v>
                </c:pt>
                <c:pt idx="55">
                  <c:v>3.4662390590952448E-2</c:v>
                </c:pt>
                <c:pt idx="56">
                  <c:v>3.4811152183702378E-2</c:v>
                </c:pt>
                <c:pt idx="57">
                  <c:v>3.4959745302394887E-2</c:v>
                </c:pt>
                <c:pt idx="58">
                  <c:v>3.5108172029556899E-2</c:v>
                </c:pt>
                <c:pt idx="59">
                  <c:v>3.5256435161658148E-2</c:v>
                </c:pt>
                <c:pt idx="60">
                  <c:v>3.5404538234642187E-2</c:v>
                </c:pt>
                <c:pt idx="61">
                  <c:v>3.5552485544794406E-2</c:v>
                </c:pt>
                <c:pt idx="62">
                  <c:v>3.5700282164835756E-2</c:v>
                </c:pt>
                <c:pt idx="63">
                  <c:v>3.5847933955180065E-2</c:v>
                </c:pt>
                <c:pt idx="64">
                  <c:v>3.5995447570342773E-2</c:v>
                </c:pt>
                <c:pt idx="65">
                  <c:v>3.6142830460534986E-2</c:v>
                </c:pt>
                <c:pt idx="66">
                  <c:v>3.6290090868524305E-2</c:v>
                </c:pt>
                <c:pt idx="67">
                  <c:v>3.6437237821886466E-2</c:v>
                </c:pt>
                <c:pt idx="68">
                  <c:v>3.6584281120812509E-2</c:v>
                </c:pt>
                <c:pt idx="69">
                  <c:v>3.6731231321674135E-2</c:v>
                </c:pt>
                <c:pt idx="70">
                  <c:v>3.6878099716583311E-2</c:v>
                </c:pt>
                <c:pt idx="71">
                  <c:v>3.7024898309211539E-2</c:v>
                </c:pt>
                <c:pt idx="72">
                  <c:v>3.717163978716026E-2</c:v>
                </c:pt>
                <c:pt idx="73">
                  <c:v>3.7318337491193565E-2</c:v>
                </c:pt>
                <c:pt idx="74">
                  <c:v>3.7465005381661177E-2</c:v>
                </c:pt>
                <c:pt idx="75">
                  <c:v>3.7611658002449942E-2</c:v>
                </c:pt>
                <c:pt idx="76">
                  <c:v>3.7758310442808751E-2</c:v>
                </c:pt>
                <c:pt idx="77">
                  <c:v>3.7904978297392179E-2</c:v>
                </c:pt>
                <c:pt idx="78">
                  <c:v>3.8051677624865228E-2</c:v>
                </c:pt>
                <c:pt idx="79">
                  <c:v>3.8198424905402255E-2</c:v>
                </c:pt>
                <c:pt idx="80">
                  <c:v>3.8345236997400854E-2</c:v>
                </c:pt>
                <c:pt idx="81">
                  <c:v>3.8492131093713952E-2</c:v>
                </c:pt>
                <c:pt idx="82">
                  <c:v>3.8639124677682296E-2</c:v>
                </c:pt>
                <c:pt idx="83">
                  <c:v>3.8786235479224968E-2</c:v>
                </c:pt>
                <c:pt idx="84">
                  <c:v>3.8933481431217665E-2</c:v>
                </c:pt>
                <c:pt idx="85">
                  <c:v>3.9080880626358352E-2</c:v>
                </c:pt>
                <c:pt idx="86">
                  <c:v>3.9228451274686604E-2</c:v>
                </c:pt>
                <c:pt idx="87">
                  <c:v>3.9376211661889982E-2</c:v>
                </c:pt>
                <c:pt idx="88">
                  <c:v>3.9524180108494247E-2</c:v>
                </c:pt>
                <c:pt idx="89">
                  <c:v>3.9672374929998956E-2</c:v>
                </c:pt>
                <c:pt idx="90">
                  <c:v>3.9820814397984815E-2</c:v>
                </c:pt>
                <c:pt idx="91">
                  <c:v>3.9969516702182621E-2</c:v>
                </c:pt>
                <c:pt idx="92">
                  <c:v>4.0118499913461364E-2</c:v>
                </c:pt>
                <c:pt idx="93">
                  <c:v>4.0267781947659412E-2</c:v>
                </c:pt>
                <c:pt idx="94">
                  <c:v>4.0417380530154014E-2</c:v>
                </c:pt>
                <c:pt idx="95">
                  <c:v>4.0567313161036088E-2</c:v>
                </c:pt>
                <c:pt idx="96">
                  <c:v>4.0717597080734337E-2</c:v>
                </c:pt>
                <c:pt idx="97">
                  <c:v>4.0868249235911681E-2</c:v>
                </c:pt>
                <c:pt idx="98">
                  <c:v>4.101928624544126E-2</c:v>
                </c:pt>
                <c:pt idx="99">
                  <c:v>4.1170724366257204E-2</c:v>
                </c:pt>
                <c:pt idx="100">
                  <c:v>4.132257945886781E-2</c:v>
                </c:pt>
                <c:pt idx="101">
                  <c:v>4.1474866952316808E-2</c:v>
                </c:pt>
                <c:pt idx="102">
                  <c:v>4.162760180838021E-2</c:v>
                </c:pt>
                <c:pt idx="103">
                  <c:v>4.1780798484794518E-2</c:v>
                </c:pt>
                <c:pt idx="104">
                  <c:v>4.1934470897323377E-2</c:v>
                </c:pt>
                <c:pt idx="105">
                  <c:v>4.2088632380488364E-2</c:v>
                </c:pt>
                <c:pt idx="106">
                  <c:v>4.2243295646810938E-2</c:v>
                </c:pt>
                <c:pt idx="107">
                  <c:v>4.2398472744439822E-2</c:v>
                </c:pt>
                <c:pt idx="108">
                  <c:v>4.2554175013068886E-2</c:v>
                </c:pt>
                <c:pt idx="109">
                  <c:v>4.2710413038085759E-2</c:v>
                </c:pt>
                <c:pt idx="110">
                  <c:v>4.2867196602930063E-2</c:v>
                </c:pt>
                <c:pt idx="111">
                  <c:v>4.3024534639681866E-2</c:v>
                </c:pt>
                <c:pt idx="112">
                  <c:v>4.3182435177944983E-2</c:v>
                </c:pt>
                <c:pt idx="113">
                  <c:v>4.3340905292136613E-2</c:v>
                </c:pt>
                <c:pt idx="114">
                  <c:v>4.3499951047341931E-2</c:v>
                </c:pt>
                <c:pt idx="115">
                  <c:v>4.3659577443941534E-2</c:v>
                </c:pt>
                <c:pt idx="116">
                  <c:v>4.3819788361267632E-2</c:v>
                </c:pt>
                <c:pt idx="117">
                  <c:v>4.3980586500594145E-2</c:v>
                </c:pt>
                <c:pt idx="118">
                  <c:v>4.4141973327811189E-2</c:v>
                </c:pt>
                <c:pt idx="119">
                  <c:v>4.4303949016181704E-2</c:v>
                </c:pt>
                <c:pt idx="120">
                  <c:v>4.4466512389618906E-2</c:v>
                </c:pt>
                <c:pt idx="121">
                  <c:v>4.4629660866963058E-2</c:v>
                </c:pt>
                <c:pt idx="122">
                  <c:v>4.4793390407771833E-2</c:v>
                </c:pt>
                <c:pt idx="123">
                  <c:v>4.4957695460169665E-2</c:v>
                </c:pt>
                <c:pt idx="124">
                  <c:v>4.5122568911326488E-2</c:v>
                </c:pt>
                <c:pt idx="125">
                  <c:v>4.5288002041157988E-2</c:v>
                </c:pt>
                <c:pt idx="126">
                  <c:v>4.545398447985332E-2</c:v>
                </c:pt>
                <c:pt idx="127">
                  <c:v>4.562050416984384E-2</c:v>
                </c:pt>
                <c:pt idx="128">
                  <c:v>4.5787547332828735E-2</c:v>
                </c:pt>
                <c:pt idx="129">
                  <c:v>4.5955098442466688E-2</c:v>
                </c:pt>
                <c:pt idx="130">
                  <c:v>4.6123140203330304E-2</c:v>
                </c:pt>
                <c:pt idx="131">
                  <c:v>4.6291653536699708E-2</c:v>
                </c:pt>
                <c:pt idx="132">
                  <c:v>4.6460617573743986E-2</c:v>
                </c:pt>
                <c:pt idx="133">
                  <c:v>4.6630009656604514E-2</c:v>
                </c:pt>
                <c:pt idx="134">
                  <c:v>4.6799805347852094E-2</c:v>
                </c:pt>
                <c:pt idx="135">
                  <c:v>4.6969978448741352E-2</c:v>
                </c:pt>
                <c:pt idx="136">
                  <c:v>4.7140501026629353E-2</c:v>
                </c:pt>
                <c:pt idx="137">
                  <c:v>4.7311343451865738E-2</c:v>
                </c:pt>
                <c:pt idx="138">
                  <c:v>4.7482474444392214E-2</c:v>
                </c:pt>
                <c:pt idx="139">
                  <c:v>4.7653861130218668E-2</c:v>
                </c:pt>
                <c:pt idx="140">
                  <c:v>4.7825469107864796E-2</c:v>
                </c:pt>
                <c:pt idx="141">
                  <c:v>4.7997262524776735E-2</c:v>
                </c:pt>
                <c:pt idx="142">
                  <c:v>4.8169204163643217E-2</c:v>
                </c:pt>
                <c:pt idx="143">
                  <c:v>4.8341255538450291E-2</c:v>
                </c:pt>
                <c:pt idx="144">
                  <c:v>4.8513377000025955E-2</c:v>
                </c:pt>
                <c:pt idx="145">
                  <c:v>4.8685527850737979E-2</c:v>
                </c:pt>
                <c:pt idx="146">
                  <c:v>4.8857666467920065E-2</c:v>
                </c:pt>
                <c:pt idx="147">
                  <c:v>4.9029750435515641E-2</c:v>
                </c:pt>
                <c:pt idx="148">
                  <c:v>4.9201736683343315E-2</c:v>
                </c:pt>
                <c:pt idx="149">
                  <c:v>4.9373581633307212E-2</c:v>
                </c:pt>
                <c:pt idx="150">
                  <c:v>4.9545241351798122E-2</c:v>
                </c:pt>
                <c:pt idx="151">
                  <c:v>4.9716671707458283E-2</c:v>
                </c:pt>
                <c:pt idx="152">
                  <c:v>4.9887828533416501E-2</c:v>
                </c:pt>
                <c:pt idx="153">
                  <c:v>5.005866779303908E-2</c:v>
                </c:pt>
                <c:pt idx="154">
                  <c:v>5.0229145748189812E-2</c:v>
                </c:pt>
                <c:pt idx="155">
                  <c:v>5.0399219128945877E-2</c:v>
                </c:pt>
                <c:pt idx="156">
                  <c:v>5.0568845303680658E-2</c:v>
                </c:pt>
                <c:pt idx="157">
                  <c:v>5.07379824483963E-2</c:v>
                </c:pt>
                <c:pt idx="158">
                  <c:v>5.0906589714170017E-2</c:v>
                </c:pt>
                <c:pt idx="159">
                  <c:v>5.1074627391570676E-2</c:v>
                </c:pt>
                <c:pt idx="160">
                  <c:v>5.124205707090293E-2</c:v>
                </c:pt>
                <c:pt idx="161">
                  <c:v>5.1408841797148018E-2</c:v>
                </c:pt>
                <c:pt idx="162">
                  <c:v>5.1574946218492963E-2</c:v>
                </c:pt>
                <c:pt idx="163">
                  <c:v>5.1740336727371529E-2</c:v>
                </c:pt>
                <c:pt idx="164">
                  <c:v>5.1904981592983117E-2</c:v>
                </c:pt>
                <c:pt idx="165">
                  <c:v>5.206885108430772E-2</c:v>
                </c:pt>
                <c:pt idx="166">
                  <c:v>5.223191758269688E-2</c:v>
                </c:pt>
                <c:pt idx="167">
                  <c:v>5.2394155683190863E-2</c:v>
                </c:pt>
                <c:pt idx="168">
                  <c:v>5.2555542283791612E-2</c:v>
                </c:pt>
                <c:pt idx="169">
                  <c:v>5.2716056662007724E-2</c:v>
                </c:pt>
                <c:pt idx="170">
                  <c:v>5.2875680538081109E-2</c:v>
                </c:pt>
                <c:pt idx="171">
                  <c:v>5.3034398124405704E-2</c:v>
                </c:pt>
                <c:pt idx="172">
                  <c:v>5.3192196160752714E-2</c:v>
                </c:pt>
                <c:pt idx="173">
                  <c:v>5.3349063935027856E-2</c:v>
                </c:pt>
                <c:pt idx="174">
                  <c:v>5.3504993289397583E-2</c:v>
                </c:pt>
                <c:pt idx="175">
                  <c:v>5.365997861173722E-2</c:v>
                </c:pt>
                <c:pt idx="176">
                  <c:v>5.3814016812470465E-2</c:v>
                </c:pt>
                <c:pt idx="177">
                  <c:v>5.3967107286984957E-2</c:v>
                </c:pt>
                <c:pt idx="178">
                  <c:v>5.4119251863925417E-2</c:v>
                </c:pt>
                <c:pt idx="179">
                  <c:v>5.4270454739777887E-2</c:v>
                </c:pt>
                <c:pt idx="180">
                  <c:v>5.4420722400268878E-2</c:v>
                </c:pt>
                <c:pt idx="181">
                  <c:v>5.4570063529208852E-2</c:v>
                </c:pt>
                <c:pt idx="182">
                  <c:v>5.4718488905509108E-2</c:v>
                </c:pt>
                <c:pt idx="183">
                  <c:v>5.4866011289195417E-2</c:v>
                </c:pt>
                <c:pt idx="184">
                  <c:v>5.501264529732721E-2</c:v>
                </c:pt>
                <c:pt idx="185">
                  <c:v>5.5158407270810207E-2</c:v>
                </c:pt>
                <c:pt idx="186">
                  <c:v>5.5303315133158483E-2</c:v>
                </c:pt>
                <c:pt idx="187">
                  <c:v>5.5447388242321878E-2</c:v>
                </c:pt>
                <c:pt idx="188">
                  <c:v>5.5590647236743722E-2</c:v>
                </c:pt>
                <c:pt idx="189">
                  <c:v>5.573311387685146E-2</c:v>
                </c:pt>
                <c:pt idx="190">
                  <c:v>5.5874810883210307E-2</c:v>
                </c:pt>
                <c:pt idx="191">
                  <c:v>5.6015761772585236E-2</c:v>
                </c:pt>
                <c:pt idx="192">
                  <c:v>5.6155990693160185E-2</c:v>
                </c:pt>
                <c:pt idx="193">
                  <c:v>5.6295522260155599E-2</c:v>
                </c:pt>
                <c:pt idx="194">
                  <c:v>5.6434381393065926E-2</c:v>
                </c:pt>
                <c:pt idx="195">
                  <c:v>5.6572593155706861E-2</c:v>
                </c:pt>
                <c:pt idx="196">
                  <c:v>5.6710182600220795E-2</c:v>
                </c:pt>
                <c:pt idx="197">
                  <c:v>5.684717461613522E-2</c:v>
                </c:pt>
                <c:pt idx="198">
                  <c:v>5.6983593785506097E-2</c:v>
                </c:pt>
                <c:pt idx="199">
                  <c:v>5.7119464245105236E-2</c:v>
                </c:pt>
                <c:pt idx="200">
                  <c:v>5.7254809556529625E-2</c:v>
                </c:pt>
                <c:pt idx="201">
                  <c:v>5.7389652585021059E-2</c:v>
                </c:pt>
                <c:pt idx="202">
                  <c:v>5.7524015387687949E-2</c:v>
                </c:pt>
                <c:pt idx="203">
                  <c:v>5.7657919111719483E-2</c:v>
                </c:pt>
                <c:pt idx="204">
                  <c:v>5.7791383903074436E-2</c:v>
                </c:pt>
                <c:pt idx="205">
                  <c:v>5.7924428826016366E-2</c:v>
                </c:pt>
                <c:pt idx="206">
                  <c:v>5.8057071793753516E-2</c:v>
                </c:pt>
                <c:pt idx="207">
                  <c:v>5.8189329510326376E-2</c:v>
                </c:pt>
                <c:pt idx="208">
                  <c:v>5.8321217423771297E-2</c:v>
                </c:pt>
                <c:pt idx="209">
                  <c:v>5.8452749690474287E-2</c:v>
                </c:pt>
                <c:pt idx="210">
                  <c:v>5.8583939150517524E-2</c:v>
                </c:pt>
                <c:pt idx="211">
                  <c:v>5.8714797313712833E-2</c:v>
                </c:pt>
                <c:pt idx="212">
                  <c:v>5.8845334355912826E-2</c:v>
                </c:pt>
                <c:pt idx="213">
                  <c:v>5.8975559125092933E-2</c:v>
                </c:pt>
                <c:pt idx="214">
                  <c:v>5.9105479156605932E-2</c:v>
                </c:pt>
                <c:pt idx="215">
                  <c:v>5.9235100696928042E-2</c:v>
                </c:pt>
                <c:pt idx="216">
                  <c:v>5.9364428735141035E-2</c:v>
                </c:pt>
                <c:pt idx="217">
                  <c:v>5.9493467041329615E-2</c:v>
                </c:pt>
                <c:pt idx="218">
                  <c:v>5.9622218211018943E-2</c:v>
                </c:pt>
                <c:pt idx="219">
                  <c:v>5.9750683714732966E-2</c:v>
                </c:pt>
                <c:pt idx="220">
                  <c:v>5.9878863951722178E-2</c:v>
                </c:pt>
                <c:pt idx="221">
                  <c:v>6.0006758306887675E-2</c:v>
                </c:pt>
                <c:pt idx="222">
                  <c:v>6.0134365209919903E-2</c:v>
                </c:pt>
                <c:pt idx="223">
                  <c:v>6.0261682195673509E-2</c:v>
                </c:pt>
                <c:pt idx="224">
                  <c:v>6.0388705964813882E-2</c:v>
                </c:pt>
                <c:pt idx="225">
                  <c:v>6.0515432443798457E-2</c:v>
                </c:pt>
                <c:pt idx="226">
                  <c:v>6.0641856843293082E-2</c:v>
                </c:pt>
                <c:pt idx="227">
                  <c:v>6.0767973714173897E-2</c:v>
                </c:pt>
                <c:pt idx="228">
                  <c:v>6.089377700032373E-2</c:v>
                </c:pt>
                <c:pt idx="229">
                  <c:v>6.1019260087502553E-2</c:v>
                </c:pt>
                <c:pt idx="230">
                  <c:v>6.1144415847648688E-2</c:v>
                </c:pt>
                <c:pt idx="231">
                  <c:v>6.1269236678055602E-2</c:v>
                </c:pt>
                <c:pt idx="232">
                  <c:v>6.1393714534961383E-2</c:v>
                </c:pt>
                <c:pt idx="233">
                  <c:v>6.151784096118857E-2</c:v>
                </c:pt>
                <c:pt idx="234">
                  <c:v>6.164160710757647E-2</c:v>
                </c:pt>
                <c:pt idx="235">
                  <c:v>6.1765003748056123E-2</c:v>
                </c:pt>
                <c:pt idx="236">
                  <c:v>6.1888021288329396E-2</c:v>
                </c:pt>
                <c:pt idx="237">
                  <c:v>6.2010649768224596E-2</c:v>
                </c:pt>
                <c:pt idx="238">
                  <c:v>6.2132878857913437E-2</c:v>
                </c:pt>
                <c:pt idx="239">
                  <c:v>6.2254697848283642E-2</c:v>
                </c:pt>
                <c:pt idx="240">
                  <c:v>6.2376095635868892E-2</c:v>
                </c:pt>
                <c:pt idx="241">
                  <c:v>6.2497060702840147E-2</c:v>
                </c:pt>
                <c:pt idx="242">
                  <c:v>6.261758109266094E-2</c:v>
                </c:pt>
                <c:pt idx="243">
                  <c:v>6.2737644382098445E-2</c:v>
                </c:pt>
                <c:pt idx="244">
                  <c:v>6.2857237650366327E-2</c:v>
                </c:pt>
                <c:pt idx="245">
                  <c:v>6.2976347446248332E-2</c:v>
                </c:pt>
                <c:pt idx="246">
                  <c:v>6.3094959754116275E-2</c:v>
                </c:pt>
                <c:pt idx="247">
                  <c:v>6.3213059959808499E-2</c:v>
                </c:pt>
                <c:pt idx="248">
                  <c:v>6.3330632817377414E-2</c:v>
                </c:pt>
                <c:pt idx="249">
                  <c:v>6.3447662417742412E-2</c:v>
                </c:pt>
                <c:pt idx="250">
                  <c:v>6.3564132160303252E-2</c:v>
                </c:pt>
                <c:pt idx="251">
                  <c:v>6.3680024728569762E-2</c:v>
                </c:pt>
                <c:pt idx="252">
                  <c:v>6.3795322070855531E-2</c:v>
                </c:pt>
                <c:pt idx="253">
                  <c:v>6.3910005387058724E-2</c:v>
                </c:pt>
                <c:pt idx="254">
                  <c:v>6.4024055122516105E-2</c:v>
                </c:pt>
                <c:pt idx="255">
                  <c:v>6.4137450969865992E-2</c:v>
                </c:pt>
                <c:pt idx="256">
                  <c:v>6.4250171879792525E-2</c:v>
                </c:pt>
                <c:pt idx="257">
                  <c:v>6.4362196081447762E-2</c:v>
                </c:pt>
                <c:pt idx="258">
                  <c:v>6.447350111326039E-2</c:v>
                </c:pt>
                <c:pt idx="259">
                  <c:v>6.4584063864741331E-2</c:v>
                </c:pt>
                <c:pt idx="260">
                  <c:v>6.4693860629787506E-2</c:v>
                </c:pt>
                <c:pt idx="261">
                  <c:v>6.4802867171867382E-2</c:v>
                </c:pt>
                <c:pt idx="262">
                  <c:v>6.4911058801345747E-2</c:v>
                </c:pt>
                <c:pt idx="263">
                  <c:v>6.5018410465072549E-2</c:v>
                </c:pt>
                <c:pt idx="264">
                  <c:v>6.512489684822334E-2</c:v>
                </c:pt>
                <c:pt idx="265">
                  <c:v>6.5230492488235842E-2</c:v>
                </c:pt>
                <c:pt idx="266">
                  <c:v>6.5335171900543207E-2</c:v>
                </c:pt>
                <c:pt idx="267">
                  <c:v>6.5438909715659924E-2</c:v>
                </c:pt>
                <c:pt idx="268">
                  <c:v>6.5541680827029491E-2</c:v>
                </c:pt>
                <c:pt idx="269">
                  <c:v>6.5643460548902716E-2</c:v>
                </c:pt>
                <c:pt idx="270">
                  <c:v>6.5744224783374008E-2</c:v>
                </c:pt>
                <c:pt idx="271">
                  <c:v>6.5843950195571516E-2</c:v>
                </c:pt>
                <c:pt idx="272">
                  <c:v>6.5942614395868321E-2</c:v>
                </c:pt>
                <c:pt idx="273">
                  <c:v>6.6040196127864118E-2</c:v>
                </c:pt>
                <c:pt idx="274">
                  <c:v>6.6136675460777269E-2</c:v>
                </c:pt>
                <c:pt idx="275">
                  <c:v>6.6232033984789163E-2</c:v>
                </c:pt>
                <c:pt idx="276">
                  <c:v>6.6326255007796917E-2</c:v>
                </c:pt>
                <c:pt idx="277">
                  <c:v>6.6419323751957832E-2</c:v>
                </c:pt>
                <c:pt idx="278">
                  <c:v>6.6511227548350274E-2</c:v>
                </c:pt>
                <c:pt idx="279">
                  <c:v>6.6601956028033454E-2</c:v>
                </c:pt>
                <c:pt idx="280">
                  <c:v>6.6691501307760026E-2</c:v>
                </c:pt>
                <c:pt idx="281">
                  <c:v>6.6779858168585865E-2</c:v>
                </c:pt>
                <c:pt idx="282">
                  <c:v>6.6867024225626112E-2</c:v>
                </c:pt>
                <c:pt idx="283">
                  <c:v>6.6953000087231082E-2</c:v>
                </c:pt>
                <c:pt idx="284">
                  <c:v>6.7037789501894346E-2</c:v>
                </c:pt>
                <c:pt idx="285">
                  <c:v>6.7121399491263806E-2</c:v>
                </c:pt>
                <c:pt idx="286">
                  <c:v>6.7203840467700088E-2</c:v>
                </c:pt>
                <c:pt idx="287">
                  <c:v>6.7285126334917067E-2</c:v>
                </c:pt>
                <c:pt idx="288">
                  <c:v>6.7365274570344941E-2</c:v>
                </c:pt>
                <c:pt idx="289">
                  <c:v>6.7444306287978692E-2</c:v>
                </c:pt>
                <c:pt idx="290">
                  <c:v>6.7522246280607712E-2</c:v>
                </c:pt>
                <c:pt idx="291">
                  <c:v>6.7599123040472039E-2</c:v>
                </c:pt>
                <c:pt idx="292">
                  <c:v>6.7674968757549234E-2</c:v>
                </c:pt>
                <c:pt idx="293">
                  <c:v>6.77498192948459E-2</c:v>
                </c:pt>
                <c:pt idx="294">
                  <c:v>6.782371414024696E-2</c:v>
                </c:pt>
                <c:pt idx="295">
                  <c:v>6.7896696334661097E-2</c:v>
                </c:pt>
                <c:pt idx="296">
                  <c:v>6.7968812376392601E-2</c:v>
                </c:pt>
                <c:pt idx="297">
                  <c:v>6.8040112101865488E-2</c:v>
                </c:pt>
                <c:pt idx="298">
                  <c:v>6.8110648543022539E-2</c:v>
                </c:pt>
                <c:pt idx="299">
                  <c:v>6.8180477761920183E-2</c:v>
                </c:pt>
                <c:pt idx="300">
                  <c:v>6.8249658663235638E-2</c:v>
                </c:pt>
                <c:pt idx="301">
                  <c:v>6.831825278559564E-2</c:v>
                </c:pt>
                <c:pt idx="302">
                  <c:v>6.8386324072823315E-2</c:v>
                </c:pt>
                <c:pt idx="303">
                  <c:v>6.8453938626379371E-2</c:v>
                </c:pt>
                <c:pt idx="304">
                  <c:v>6.852116444044587E-2</c:v>
                </c:pt>
                <c:pt idx="305">
                  <c:v>6.8588071121260641E-2</c:v>
                </c:pt>
                <c:pt idx="306">
                  <c:v>6.8654729592459968E-2</c:v>
                </c:pt>
                <c:pt idx="307">
                  <c:v>6.8721211788321399E-2</c:v>
                </c:pt>
                <c:pt idx="308">
                  <c:v>6.8787590336918683E-2</c:v>
                </c:pt>
                <c:pt idx="309">
                  <c:v>6.8853938235305501E-2</c:v>
                </c:pt>
                <c:pt idx="310">
                  <c:v>6.8920328518929624E-2</c:v>
                </c:pt>
                <c:pt idx="311">
                  <c:v>6.8986833927549063E-2</c:v>
                </c:pt>
                <c:pt idx="312">
                  <c:v>6.9053526569970033E-2</c:v>
                </c:pt>
                <c:pt idx="313">
                  <c:v>6.9120477589956847E-2</c:v>
                </c:pt>
                <c:pt idx="314">
                  <c:v>6.9187756835673145E-2</c:v>
                </c:pt>
                <c:pt idx="315">
                  <c:v>6.9255432535004255E-2</c:v>
                </c:pt>
                <c:pt idx="316">
                  <c:v>6.9323570979079138E-2</c:v>
                </c:pt>
                <c:pt idx="317">
                  <c:v>6.9392236216259978E-2</c:v>
                </c:pt>
                <c:pt idx="318">
                  <c:v>6.9461489758797068E-2</c:v>
                </c:pt>
                <c:pt idx="319">
                  <c:v>6.9531390304257729E-2</c:v>
                </c:pt>
                <c:pt idx="320">
                  <c:v>6.9601993473728793E-2</c:v>
                </c:pt>
                <c:pt idx="321">
                  <c:v>6.967335156866801E-2</c:v>
                </c:pt>
                <c:pt idx="322">
                  <c:v>6.974551334813732E-2</c:v>
                </c:pt>
                <c:pt idx="323">
                  <c:v>6.9818523827993445E-2</c:v>
                </c:pt>
                <c:pt idx="324">
                  <c:v>6.9892424103440987E-2</c:v>
                </c:pt>
                <c:pt idx="325">
                  <c:v>6.9967251196169533E-2</c:v>
                </c:pt>
                <c:pt idx="326">
                  <c:v>7.0043037927101981E-2</c:v>
                </c:pt>
                <c:pt idx="327">
                  <c:v>7.0119812815578941E-2</c:v>
                </c:pt>
                <c:pt idx="328">
                  <c:v>7.0197600005593316E-2</c:v>
                </c:pt>
                <c:pt idx="329">
                  <c:v>7.0276419219474251E-2</c:v>
                </c:pt>
                <c:pt idx="330">
                  <c:v>7.0356285739200095E-2</c:v>
                </c:pt>
                <c:pt idx="331">
                  <c:v>7.0437210415301266E-2</c:v>
                </c:pt>
                <c:pt idx="332">
                  <c:v>7.051919970309288E-2</c:v>
                </c:pt>
                <c:pt idx="333">
                  <c:v>7.0602255725761606E-2</c:v>
                </c:pt>
                <c:pt idx="334">
                  <c:v>7.0686376363617714E-2</c:v>
                </c:pt>
                <c:pt idx="335">
                  <c:v>7.0771555368618955E-2</c:v>
                </c:pt>
                <c:pt idx="336">
                  <c:v>7.0857782503073855E-2</c:v>
                </c:pt>
                <c:pt idx="337">
                  <c:v>7.0945043701246352E-2</c:v>
                </c:pt>
                <c:pt idx="338">
                  <c:v>7.1033321252407272E-2</c:v>
                </c:pt>
                <c:pt idx="339">
                  <c:v>7.1122594003716219E-2</c:v>
                </c:pt>
                <c:pt idx="340">
                  <c:v>7.1212837581170543E-2</c:v>
                </c:pt>
                <c:pt idx="341">
                  <c:v>7.1304024626726567E-2</c:v>
                </c:pt>
                <c:pt idx="342">
                  <c:v>7.139612504958387E-2</c:v>
                </c:pt>
                <c:pt idx="343">
                  <c:v>7.148910628952887E-2</c:v>
                </c:pt>
                <c:pt idx="344">
                  <c:v>7.1582933590155925E-2</c:v>
                </c:pt>
                <c:pt idx="345">
                  <c:v>7.1677570279727584E-2</c:v>
                </c:pt>
                <c:pt idx="346">
                  <c:v>7.1772978057398421E-2</c:v>
                </c:pt>
                <c:pt idx="347">
                  <c:v>7.1869117282510456E-2</c:v>
                </c:pt>
                <c:pt idx="348">
                  <c:v>7.1965947264670566E-2</c:v>
                </c:pt>
                <c:pt idx="349">
                  <c:v>7.2063426552345142E-2</c:v>
                </c:pt>
                <c:pt idx="350">
                  <c:v>7.216151321774994E-2</c:v>
                </c:pt>
                <c:pt idx="351">
                  <c:v>7.2260165135876242E-2</c:v>
                </c:pt>
                <c:pt idx="352">
                  <c:v>7.2359340255575361E-2</c:v>
                </c:pt>
                <c:pt idx="353">
                  <c:v>7.2458996860723018E-2</c:v>
                </c:pt>
                <c:pt idx="354">
                  <c:v>7.2559093819600559E-2</c:v>
                </c:pt>
                <c:pt idx="355">
                  <c:v>7.2659590820761122E-2</c:v>
                </c:pt>
                <c:pt idx="356">
                  <c:v>7.2760448593794477E-2</c:v>
                </c:pt>
                <c:pt idx="357">
                  <c:v>7.2861629113561463E-2</c:v>
                </c:pt>
                <c:pt idx="358">
                  <c:v>7.2963095786638552E-2</c:v>
                </c:pt>
                <c:pt idx="359">
                  <c:v>7.3064813618891333E-2</c:v>
                </c:pt>
                <c:pt idx="360">
                  <c:v>7.3166749363281186E-2</c:v>
                </c:pt>
                <c:pt idx="361">
                  <c:v>7.3268871647201708E-2</c:v>
                </c:pt>
                <c:pt idx="362">
                  <c:v>7.3371151078836988E-2</c:v>
                </c:pt>
                <c:pt idx="363">
                  <c:v>7.3473560332231541E-2</c:v>
                </c:pt>
                <c:pt idx="364">
                  <c:v>7.3576074210959477E-2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7.94113096282964E-3</c:v>
                </c:pt>
                <c:pt idx="1">
                  <c:v>7.9240326782294285E-3</c:v>
                </c:pt>
                <c:pt idx="2">
                  <c:v>7.9035712530320015E-3</c:v>
                </c:pt>
                <c:pt idx="3">
                  <c:v>7.8796582875820653E-3</c:v>
                </c:pt>
                <c:pt idx="4">
                  <c:v>7.8522201663686619E-3</c:v>
                </c:pt>
                <c:pt idx="5">
                  <c:v>7.821198443160449E-3</c:v>
                </c:pt>
                <c:pt idx="6">
                  <c:v>7.786550119832693E-3</c:v>
                </c:pt>
                <c:pt idx="7">
                  <c:v>7.7482477886178748E-3</c:v>
                </c:pt>
                <c:pt idx="8">
                  <c:v>7.7060153923154085E-3</c:v>
                </c:pt>
                <c:pt idx="9">
                  <c:v>7.6503429574733229E-3</c:v>
                </c:pt>
                <c:pt idx="10">
                  <c:v>7.5802782786194099E-3</c:v>
                </c:pt>
                <c:pt idx="11">
                  <c:v>7.4966151196282959E-3</c:v>
                </c:pt>
                <c:pt idx="12">
                  <c:v>7.4001397161743265E-3</c:v>
                </c:pt>
                <c:pt idx="13">
                  <c:v>7.2916233219989558E-3</c:v>
                </c:pt>
                <c:pt idx="14">
                  <c:v>7.1718158224196183E-3</c:v>
                </c:pt>
                <c:pt idx="15">
                  <c:v>7.0396811078075362E-3</c:v>
                </c:pt>
                <c:pt idx="16">
                  <c:v>6.8982827767620509E-3</c:v>
                </c:pt>
                <c:pt idx="17">
                  <c:v>6.7482579936683088E-3</c:v>
                </c:pt>
                <c:pt idx="18">
                  <c:v>6.59020671220525E-3</c:v>
                </c:pt>
                <c:pt idx="19">
                  <c:v>6.4247257690711055E-3</c:v>
                </c:pt>
                <c:pt idx="20">
                  <c:v>6.2523838196230979E-3</c:v>
                </c:pt>
                <c:pt idx="21">
                  <c:v>6.0736765887860113E-3</c:v>
                </c:pt>
                <c:pt idx="22">
                  <c:v>5.8884592136878178E-3</c:v>
                </c:pt>
                <c:pt idx="23">
                  <c:v>5.7061907499486239E-3</c:v>
                </c:pt>
                <c:pt idx="24">
                  <c:v>5.5349883219989781E-3</c:v>
                </c:pt>
                <c:pt idx="25">
                  <c:v>5.3746265526016298E-3</c:v>
                </c:pt>
                <c:pt idx="26">
                  <c:v>5.2248714978026089E-3</c:v>
                </c:pt>
                <c:pt idx="27">
                  <c:v>5.0854826503158703E-3</c:v>
                </c:pt>
                <c:pt idx="28">
                  <c:v>4.9562147857362361E-3</c:v>
                </c:pt>
                <c:pt idx="29">
                  <c:v>4.8439453036215694E-3</c:v>
                </c:pt>
                <c:pt idx="30">
                  <c:v>4.7496488435166094E-3</c:v>
                </c:pt>
                <c:pt idx="31">
                  <c:v>4.6727804079448425E-3</c:v>
                </c:pt>
                <c:pt idx="32">
                  <c:v>4.6128055982737224E-3</c:v>
                </c:pt>
                <c:pt idx="33">
                  <c:v>4.5692022415311584E-3</c:v>
                </c:pt>
                <c:pt idx="34">
                  <c:v>4.5414617792534258E-3</c:v>
                </c:pt>
                <c:pt idx="35">
                  <c:v>4.5290904374559503E-3</c:v>
                </c:pt>
                <c:pt idx="36">
                  <c:v>4.5316774469940299E-3</c:v>
                </c:pt>
                <c:pt idx="37">
                  <c:v>4.5511153987533165E-3</c:v>
                </c:pt>
                <c:pt idx="38">
                  <c:v>4.5786882532948825E-3</c:v>
                </c:pt>
                <c:pt idx="39">
                  <c:v>4.6140553732395449E-3</c:v>
                </c:pt>
                <c:pt idx="40">
                  <c:v>4.6568866872435171E-3</c:v>
                </c:pt>
                <c:pt idx="41">
                  <c:v>4.7068613202571616E-3</c:v>
                </c:pt>
                <c:pt idx="42">
                  <c:v>4.7636664151614449E-3</c:v>
                </c:pt>
                <c:pt idx="43">
                  <c:v>4.8292440267371783E-3</c:v>
                </c:pt>
                <c:pt idx="44">
                  <c:v>4.8972122319963203E-3</c:v>
                </c:pt>
                <c:pt idx="45">
                  <c:v>4.9674024051343879E-3</c:v>
                </c:pt>
                <c:pt idx="46">
                  <c:v>5.0396485378882781E-3</c:v>
                </c:pt>
                <c:pt idx="47">
                  <c:v>5.1137872502800075E-3</c:v>
                </c:pt>
                <c:pt idx="48">
                  <c:v>5.1896578590903035E-3</c:v>
                </c:pt>
                <c:pt idx="49">
                  <c:v>5.267102505015153E-3</c:v>
                </c:pt>
                <c:pt idx="50">
                  <c:v>5.3459908486019015E-3</c:v>
                </c:pt>
                <c:pt idx="51">
                  <c:v>5.4269878138187453E-3</c:v>
                </c:pt>
                <c:pt idx="52">
                  <c:v>5.5080428596335426E-3</c:v>
                </c:pt>
                <c:pt idx="53">
                  <c:v>5.5891689661987714E-3</c:v>
                </c:pt>
                <c:pt idx="54">
                  <c:v>5.6704095443738441E-3</c:v>
                </c:pt>
                <c:pt idx="55">
                  <c:v>5.7518118993244247E-3</c:v>
                </c:pt>
                <c:pt idx="56">
                  <c:v>5.833427212814872E-3</c:v>
                </c:pt>
                <c:pt idx="57">
                  <c:v>5.9138339793862486E-3</c:v>
                </c:pt>
                <c:pt idx="58">
                  <c:v>5.9912410990277691E-3</c:v>
                </c:pt>
                <c:pt idx="59">
                  <c:v>6.0658221968186085E-3</c:v>
                </c:pt>
                <c:pt idx="60">
                  <c:v>6.1377506038099447E-3</c:v>
                </c:pt>
                <c:pt idx="61">
                  <c:v>6.2071991167290137E-3</c:v>
                </c:pt>
                <c:pt idx="62">
                  <c:v>6.2743398066240005E-3</c:v>
                </c:pt>
                <c:pt idx="63">
                  <c:v>6.3393438681772383E-3</c:v>
                </c:pt>
                <c:pt idx="64">
                  <c:v>6.4018717446843836E-3</c:v>
                </c:pt>
                <c:pt idx="65">
                  <c:v>6.4552517660003139E-3</c:v>
                </c:pt>
                <c:pt idx="66">
                  <c:v>6.4993485069922662E-3</c:v>
                </c:pt>
                <c:pt idx="67">
                  <c:v>6.5346254459761792E-3</c:v>
                </c:pt>
                <c:pt idx="68">
                  <c:v>6.5615361354797348E-3</c:v>
                </c:pt>
                <c:pt idx="69">
                  <c:v>6.5805221874702773E-3</c:v>
                </c:pt>
                <c:pt idx="70">
                  <c:v>6.5920115633988858E-3</c:v>
                </c:pt>
                <c:pt idx="71">
                  <c:v>6.5861494639214467E-3</c:v>
                </c:pt>
                <c:pt idx="72">
                  <c:v>6.5648934301173875E-3</c:v>
                </c:pt>
                <c:pt idx="73">
                  <c:v>6.5288694856418155E-3</c:v>
                </c:pt>
                <c:pt idx="74">
                  <c:v>6.4786676676316648E-3</c:v>
                </c:pt>
                <c:pt idx="75">
                  <c:v>6.4148402059056499E-3</c:v>
                </c:pt>
                <c:pt idx="76">
                  <c:v>6.3378999762600738E-3</c:v>
                </c:pt>
                <c:pt idx="77">
                  <c:v>6.248319184331442E-3</c:v>
                </c:pt>
                <c:pt idx="78">
                  <c:v>6.1458566231570918E-3</c:v>
                </c:pt>
                <c:pt idx="79">
                  <c:v>6.0273301309999453E-3</c:v>
                </c:pt>
                <c:pt idx="80">
                  <c:v>5.8988728236881241E-3</c:v>
                </c:pt>
                <c:pt idx="81">
                  <c:v>5.7608863547647642E-3</c:v>
                </c:pt>
                <c:pt idx="82">
                  <c:v>5.613732499649692E-3</c:v>
                </c:pt>
                <c:pt idx="83">
                  <c:v>5.4577316609874032E-3</c:v>
                </c:pt>
                <c:pt idx="84">
                  <c:v>5.2931616207838811E-3</c:v>
                </c:pt>
                <c:pt idx="85">
                  <c:v>5.1225122012314057E-3</c:v>
                </c:pt>
                <c:pt idx="86">
                  <c:v>4.9550119225337357E-3</c:v>
                </c:pt>
                <c:pt idx="87">
                  <c:v>4.7906057266727097E-3</c:v>
                </c:pt>
                <c:pt idx="88">
                  <c:v>4.6292221204483402E-3</c:v>
                </c:pt>
                <c:pt idx="89">
                  <c:v>4.470774429540551E-3</c:v>
                </c:pt>
                <c:pt idx="90">
                  <c:v>4.3151619192778766E-3</c:v>
                </c:pt>
                <c:pt idx="91">
                  <c:v>4.1622707851782133E-3</c:v>
                </c:pt>
                <c:pt idx="92">
                  <c:v>4.0117522626478457E-3</c:v>
                </c:pt>
                <c:pt idx="93">
                  <c:v>3.862195650241965E-3</c:v>
                </c:pt>
                <c:pt idx="94">
                  <c:v>3.7162077111375629E-3</c:v>
                </c:pt>
                <c:pt idx="95">
                  <c:v>3.5735974371122127E-3</c:v>
                </c:pt>
                <c:pt idx="96">
                  <c:v>3.4341807971035036E-3</c:v>
                </c:pt>
                <c:pt idx="97">
                  <c:v>3.2977802347931868E-3</c:v>
                </c:pt>
                <c:pt idx="98">
                  <c:v>3.1642242109724719E-3</c:v>
                </c:pt>
                <c:pt idx="99">
                  <c:v>3.0345999743316625E-3</c:v>
                </c:pt>
                <c:pt idx="100">
                  <c:v>2.9066019835353061E-3</c:v>
                </c:pt>
                <c:pt idx="101">
                  <c:v>2.7800764718537785E-3</c:v>
                </c:pt>
                <c:pt idx="102">
                  <c:v>2.6548721767220076E-3</c:v>
                </c:pt>
                <c:pt idx="103">
                  <c:v>2.530840072577601E-3</c:v>
                </c:pt>
                <c:pt idx="104">
                  <c:v>2.4078331287963268E-3</c:v>
                </c:pt>
                <c:pt idx="105">
                  <c:v>2.2857060884065986E-3</c:v>
                </c:pt>
                <c:pt idx="106">
                  <c:v>2.164326105393936E-3</c:v>
                </c:pt>
                <c:pt idx="107">
                  <c:v>2.0500059050676416E-3</c:v>
                </c:pt>
                <c:pt idx="108">
                  <c:v>1.9436699348809375E-3</c:v>
                </c:pt>
                <c:pt idx="109">
                  <c:v>1.8452477760564872E-3</c:v>
                </c:pt>
                <c:pt idx="110">
                  <c:v>1.754691636249887E-3</c:v>
                </c:pt>
                <c:pt idx="111">
                  <c:v>1.6719705492778754E-3</c:v>
                </c:pt>
                <c:pt idx="112">
                  <c:v>1.5970660079018641E-3</c:v>
                </c:pt>
                <c:pt idx="113">
                  <c:v>1.533664733849341E-3</c:v>
                </c:pt>
                <c:pt idx="114">
                  <c:v>1.4805441607659421E-3</c:v>
                </c:pt>
                <c:pt idx="115">
                  <c:v>1.4377813893711945E-3</c:v>
                </c:pt>
                <c:pt idx="116">
                  <c:v>1.4054775759179204E-3</c:v>
                </c:pt>
                <c:pt idx="117">
                  <c:v>1.3837580865089288E-3</c:v>
                </c:pt>
                <c:pt idx="118">
                  <c:v>1.3727726508899886E-3</c:v>
                </c:pt>
                <c:pt idx="119">
                  <c:v>1.3726955105889801E-3</c:v>
                </c:pt>
                <c:pt idx="120">
                  <c:v>1.3837142747567955E-3</c:v>
                </c:pt>
                <c:pt idx="121">
                  <c:v>1.4060150086405534E-3</c:v>
                </c:pt>
                <c:pt idx="122">
                  <c:v>1.4328977419879433E-3</c:v>
                </c:pt>
                <c:pt idx="123">
                  <c:v>1.4644743801110688E-3</c:v>
                </c:pt>
                <c:pt idx="124">
                  <c:v>1.5008657171966964E-3</c:v>
                </c:pt>
                <c:pt idx="125">
                  <c:v>1.542201562965634E-3</c:v>
                </c:pt>
                <c:pt idx="126">
                  <c:v>1.5886208549255264E-3</c:v>
                </c:pt>
                <c:pt idx="127">
                  <c:v>1.6400812652510941E-3</c:v>
                </c:pt>
                <c:pt idx="128">
                  <c:v>1.6926303419755244E-3</c:v>
                </c:pt>
                <c:pt idx="129">
                  <c:v>1.7463092743621969E-3</c:v>
                </c:pt>
                <c:pt idx="130">
                  <c:v>1.8011587263612751E-3</c:v>
                </c:pt>
                <c:pt idx="131">
                  <c:v>1.8572187594109932E-3</c:v>
                </c:pt>
                <c:pt idx="132">
                  <c:v>1.9145287540534904E-3</c:v>
                </c:pt>
                <c:pt idx="133">
                  <c:v>1.973127332527354E-3</c:v>
                </c:pt>
                <c:pt idx="134">
                  <c:v>2.0330657710743898E-3</c:v>
                </c:pt>
                <c:pt idx="135">
                  <c:v>2.0938886539230159E-3</c:v>
                </c:pt>
                <c:pt idx="136">
                  <c:v>2.1556263164028266E-3</c:v>
                </c:pt>
                <c:pt idx="137">
                  <c:v>2.2182718233194369E-3</c:v>
                </c:pt>
                <c:pt idx="138">
                  <c:v>2.2818134691182722E-3</c:v>
                </c:pt>
                <c:pt idx="139">
                  <c:v>2.3462346071833938E-3</c:v>
                </c:pt>
                <c:pt idx="140">
                  <c:v>2.4115134847277186E-3</c:v>
                </c:pt>
                <c:pt idx="141">
                  <c:v>2.476699423452495E-3</c:v>
                </c:pt>
                <c:pt idx="142">
                  <c:v>2.5419363498866408E-3</c:v>
                </c:pt>
                <c:pt idx="143">
                  <c:v>2.6071458841976499E-3</c:v>
                </c:pt>
                <c:pt idx="144">
                  <c:v>2.6722580099783695E-3</c:v>
                </c:pt>
                <c:pt idx="145">
                  <c:v>2.7371965975905347E-3</c:v>
                </c:pt>
                <c:pt idx="146">
                  <c:v>2.8018794792275489E-3</c:v>
                </c:pt>
                <c:pt idx="147">
                  <c:v>2.8662185593553288E-3</c:v>
                </c:pt>
                <c:pt idx="148">
                  <c:v>2.9302061428682284E-3</c:v>
                </c:pt>
                <c:pt idx="149">
                  <c:v>2.9931607484807894E-3</c:v>
                </c:pt>
                <c:pt idx="150">
                  <c:v>3.0555606968515939E-3</c:v>
                </c:pt>
                <c:pt idx="151">
                  <c:v>3.1173088030613831E-3</c:v>
                </c:pt>
                <c:pt idx="152">
                  <c:v>3.1783031977664447E-3</c:v>
                </c:pt>
                <c:pt idx="153">
                  <c:v>3.2384375988995986E-3</c:v>
                </c:pt>
                <c:pt idx="154">
                  <c:v>3.2976016149931665E-3</c:v>
                </c:pt>
                <c:pt idx="155">
                  <c:v>3.3553641480424945E-3</c:v>
                </c:pt>
                <c:pt idx="156">
                  <c:v>3.4127127014851855E-3</c:v>
                </c:pt>
                <c:pt idx="157">
                  <c:v>3.4695564331994259E-3</c:v>
                </c:pt>
                <c:pt idx="158">
                  <c:v>3.5258021116842658E-3</c:v>
                </c:pt>
                <c:pt idx="159">
                  <c:v>3.5813544253031622E-3</c:v>
                </c:pt>
                <c:pt idx="160">
                  <c:v>3.636116310326979E-3</c:v>
                </c:pt>
                <c:pt idx="161">
                  <c:v>3.6899892943340284E-3</c:v>
                </c:pt>
                <c:pt idx="162">
                  <c:v>3.7429239425427422E-3</c:v>
                </c:pt>
                <c:pt idx="163">
                  <c:v>3.7944687370606951E-3</c:v>
                </c:pt>
                <c:pt idx="164">
                  <c:v>3.8453505720895884E-3</c:v>
                </c:pt>
                <c:pt idx="165">
                  <c:v>3.8955087388968242E-3</c:v>
                </c:pt>
                <c:pt idx="166">
                  <c:v>3.9448837574952537E-3</c:v>
                </c:pt>
                <c:pt idx="167">
                  <c:v>3.9934176335380571E-3</c:v>
                </c:pt>
                <c:pt idx="168">
                  <c:v>4.0410541040676604E-3</c:v>
                </c:pt>
                <c:pt idx="169">
                  <c:v>4.0872924677972508E-3</c:v>
                </c:pt>
                <c:pt idx="170">
                  <c:v>4.1324434154532954E-3</c:v>
                </c:pt>
                <c:pt idx="171">
                  <c:v>4.1764550099401831E-3</c:v>
                </c:pt>
                <c:pt idx="172">
                  <c:v>4.2192779237403997E-3</c:v>
                </c:pt>
                <c:pt idx="173">
                  <c:v>4.2608220324279579E-3</c:v>
                </c:pt>
                <c:pt idx="174">
                  <c:v>4.3009961522490958E-3</c:v>
                </c:pt>
                <c:pt idx="175">
                  <c:v>4.3397537498477429E-3</c:v>
                </c:pt>
                <c:pt idx="176">
                  <c:v>4.3770514797712946E-3</c:v>
                </c:pt>
                <c:pt idx="177">
                  <c:v>4.413512596004544E-3</c:v>
                </c:pt>
                <c:pt idx="178">
                  <c:v>4.4573135942489574E-3</c:v>
                </c:pt>
                <c:pt idx="179">
                  <c:v>4.4993777276346476E-3</c:v>
                </c:pt>
                <c:pt idx="180">
                  <c:v>4.5396359623961751E-3</c:v>
                </c:pt>
                <c:pt idx="181">
                  <c:v>4.5780239979541061E-3</c:v>
                </c:pt>
                <c:pt idx="182">
                  <c:v>4.6144823147115412E-3</c:v>
                </c:pt>
                <c:pt idx="183">
                  <c:v>4.6479793328757565E-3</c:v>
                </c:pt>
                <c:pt idx="184">
                  <c:v>4.6789974601266363E-3</c:v>
                </c:pt>
                <c:pt idx="185">
                  <c:v>4.7074994969466665E-3</c:v>
                </c:pt>
                <c:pt idx="186">
                  <c:v>4.733452624431222E-3</c:v>
                </c:pt>
                <c:pt idx="187">
                  <c:v>4.7568282285239023E-3</c:v>
                </c:pt>
                <c:pt idx="188">
                  <c:v>4.7776016965422261E-3</c:v>
                </c:pt>
                <c:pt idx="189">
                  <c:v>4.7957521901533639E-3</c:v>
                </c:pt>
                <c:pt idx="190">
                  <c:v>4.8113202758350666E-3</c:v>
                </c:pt>
                <c:pt idx="191">
                  <c:v>4.8228154042305443E-3</c:v>
                </c:pt>
                <c:pt idx="192">
                  <c:v>4.8307115519241068E-3</c:v>
                </c:pt>
                <c:pt idx="193">
                  <c:v>4.8349748778110328E-3</c:v>
                </c:pt>
                <c:pt idx="194">
                  <c:v>4.8355729523522472E-3</c:v>
                </c:pt>
                <c:pt idx="195">
                  <c:v>4.8324745679156301E-3</c:v>
                </c:pt>
                <c:pt idx="196">
                  <c:v>4.825649555433663E-3</c:v>
                </c:pt>
                <c:pt idx="197">
                  <c:v>4.8141502643049118E-3</c:v>
                </c:pt>
                <c:pt idx="198">
                  <c:v>4.7990070035158448E-3</c:v>
                </c:pt>
                <c:pt idx="199">
                  <c:v>4.7801946538358377E-3</c:v>
                </c:pt>
                <c:pt idx="200">
                  <c:v>4.757688460532177E-3</c:v>
                </c:pt>
                <c:pt idx="201">
                  <c:v>4.7314639215992457E-3</c:v>
                </c:pt>
                <c:pt idx="202">
                  <c:v>4.7014966983679385E-3</c:v>
                </c:pt>
                <c:pt idx="203">
                  <c:v>4.6677625495952458E-3</c:v>
                </c:pt>
                <c:pt idx="204">
                  <c:v>4.6302194404603059E-3</c:v>
                </c:pt>
                <c:pt idx="205">
                  <c:v>4.5893226015051303E-3</c:v>
                </c:pt>
                <c:pt idx="206">
                  <c:v>4.546793981290877E-3</c:v>
                </c:pt>
                <c:pt idx="207">
                  <c:v>4.5027463924236276E-3</c:v>
                </c:pt>
                <c:pt idx="208">
                  <c:v>4.457287736319677E-3</c:v>
                </c:pt>
                <c:pt idx="209">
                  <c:v>4.4105209016393416E-3</c:v>
                </c:pt>
                <c:pt idx="210">
                  <c:v>4.3625436989706235E-3</c:v>
                </c:pt>
                <c:pt idx="211">
                  <c:v>4.3154656009242072E-3</c:v>
                </c:pt>
                <c:pt idx="212">
                  <c:v>4.2704934202179657E-3</c:v>
                </c:pt>
                <c:pt idx="213">
                  <c:v>4.2278475223151198E-3</c:v>
                </c:pt>
                <c:pt idx="214">
                  <c:v>4.1877392190171015E-3</c:v>
                </c:pt>
                <c:pt idx="215">
                  <c:v>4.1503714342923962E-3</c:v>
                </c:pt>
                <c:pt idx="216">
                  <c:v>4.1159394105589565E-3</c:v>
                </c:pt>
                <c:pt idx="217">
                  <c:v>4.0846314498990339E-3</c:v>
                </c:pt>
                <c:pt idx="218">
                  <c:v>4.056530479841388E-3</c:v>
                </c:pt>
                <c:pt idx="219">
                  <c:v>4.0404894493930865E-3</c:v>
                </c:pt>
                <c:pt idx="220">
                  <c:v>4.0360425746584798E-3</c:v>
                </c:pt>
                <c:pt idx="221">
                  <c:v>4.0434094513504704E-3</c:v>
                </c:pt>
                <c:pt idx="222">
                  <c:v>4.0628109517858802E-3</c:v>
                </c:pt>
                <c:pt idx="223">
                  <c:v>4.0944699677620084E-3</c:v>
                </c:pt>
                <c:pt idx="224">
                  <c:v>4.1386121533876054E-3</c:v>
                </c:pt>
                <c:pt idx="225">
                  <c:v>4.2117676613676932E-3</c:v>
                </c:pt>
                <c:pt idx="226">
                  <c:v>4.3118211087902879E-3</c:v>
                </c:pt>
                <c:pt idx="227">
                  <c:v>4.4391599274715152E-3</c:v>
                </c:pt>
                <c:pt idx="228">
                  <c:v>4.5941890233425148E-3</c:v>
                </c:pt>
                <c:pt idx="229">
                  <c:v>4.7773319949814983E-3</c:v>
                </c:pt>
                <c:pt idx="230">
                  <c:v>4.9890323957310018E-3</c:v>
                </c:pt>
                <c:pt idx="231">
                  <c:v>5.2297550511263445E-3</c:v>
                </c:pt>
                <c:pt idx="232">
                  <c:v>5.4999324463900993E-3</c:v>
                </c:pt>
                <c:pt idx="233">
                  <c:v>5.805457482374877E-3</c:v>
                </c:pt>
                <c:pt idx="234">
                  <c:v>6.1375024632978267E-3</c:v>
                </c:pt>
                <c:pt idx="235">
                  <c:v>6.4965811656872681E-3</c:v>
                </c:pt>
                <c:pt idx="236">
                  <c:v>6.8832306569673726E-3</c:v>
                </c:pt>
                <c:pt idx="237">
                  <c:v>7.2980065775914947E-3</c:v>
                </c:pt>
                <c:pt idx="238">
                  <c:v>7.7414885626298164E-3</c:v>
                </c:pt>
                <c:pt idx="239">
                  <c:v>8.210049016933672E-3</c:v>
                </c:pt>
                <c:pt idx="240">
                  <c:v>8.6865283245054718E-3</c:v>
                </c:pt>
                <c:pt idx="241">
                  <c:v>9.1711633725727083E-3</c:v>
                </c:pt>
                <c:pt idx="242">
                  <c:v>9.6642050061505839E-3</c:v>
                </c:pt>
                <c:pt idx="243">
                  <c:v>1.016591873632996E-2</c:v>
                </c:pt>
                <c:pt idx="244">
                  <c:v>1.067658549412677E-2</c:v>
                </c:pt>
                <c:pt idx="245">
                  <c:v>1.1196502442286158E-2</c:v>
                </c:pt>
                <c:pt idx="246">
                  <c:v>1.1726034110799999E-2</c:v>
                </c:pt>
                <c:pt idx="247">
                  <c:v>1.2266961238582369E-2</c:v>
                </c:pt>
                <c:pt idx="248">
                  <c:v>1.2813401081441911E-2</c:v>
                </c:pt>
                <c:pt idx="249">
                  <c:v>1.3365458732444881E-2</c:v>
                </c:pt>
                <c:pt idx="250">
                  <c:v>1.3923239071234363E-2</c:v>
                </c:pt>
                <c:pt idx="251">
                  <c:v>1.448684605748346E-2</c:v>
                </c:pt>
                <c:pt idx="252">
                  <c:v>1.5056382002145281E-2</c:v>
                </c:pt>
                <c:pt idx="253">
                  <c:v>1.5618392978564105E-2</c:v>
                </c:pt>
                <c:pt idx="254">
                  <c:v>1.6177397880923518E-2</c:v>
                </c:pt>
                <c:pt idx="255">
                  <c:v>1.67332508130042E-2</c:v>
                </c:pt>
                <c:pt idx="256">
                  <c:v>1.7285793615532188E-2</c:v>
                </c:pt>
                <c:pt idx="257">
                  <c:v>1.7834855052354805E-2</c:v>
                </c:pt>
                <c:pt idx="258">
                  <c:v>1.8380250026925785E-2</c:v>
                </c:pt>
                <c:pt idx="259">
                  <c:v>1.8921778830338343E-2</c:v>
                </c:pt>
                <c:pt idx="260">
                  <c:v>1.9460926899716E-2</c:v>
                </c:pt>
                <c:pt idx="261">
                  <c:v>1.9969743332753538E-2</c:v>
                </c:pt>
                <c:pt idx="262">
                  <c:v>2.0445519112268822E-2</c:v>
                </c:pt>
                <c:pt idx="263">
                  <c:v>2.0886825635003773E-2</c:v>
                </c:pt>
                <c:pt idx="264">
                  <c:v>2.1292096785552241E-2</c:v>
                </c:pt>
                <c:pt idx="265">
                  <c:v>2.1659748315462562E-2</c:v>
                </c:pt>
                <c:pt idx="266">
                  <c:v>2.1988016514538387E-2</c:v>
                </c:pt>
                <c:pt idx="267">
                  <c:v>2.2259442960356195E-2</c:v>
                </c:pt>
                <c:pt idx="268">
                  <c:v>2.2487081672293567E-2</c:v>
                </c:pt>
                <c:pt idx="269">
                  <c:v>2.2668764721568972E-2</c:v>
                </c:pt>
                <c:pt idx="270">
                  <c:v>2.2802234932535255E-2</c:v>
                </c:pt>
                <c:pt idx="271">
                  <c:v>2.2885162972730154E-2</c:v>
                </c:pt>
                <c:pt idx="272">
                  <c:v>2.2915167488899209E-2</c:v>
                </c:pt>
                <c:pt idx="273">
                  <c:v>2.2889838562214652E-2</c:v>
                </c:pt>
                <c:pt idx="274">
                  <c:v>2.2809048044066246E-2</c:v>
                </c:pt>
                <c:pt idx="275">
                  <c:v>2.2670617011916382E-2</c:v>
                </c:pt>
                <c:pt idx="276">
                  <c:v>2.2506660965203613E-2</c:v>
                </c:pt>
                <c:pt idx="277">
                  <c:v>2.2316599806485888E-2</c:v>
                </c:pt>
                <c:pt idx="278">
                  <c:v>2.2099861578077598E-2</c:v>
                </c:pt>
                <c:pt idx="279">
                  <c:v>2.1855883917602591E-2</c:v>
                </c:pt>
                <c:pt idx="280">
                  <c:v>2.1584115422594082E-2</c:v>
                </c:pt>
                <c:pt idx="281">
                  <c:v>2.1287558225880431E-2</c:v>
                </c:pt>
                <c:pt idx="282">
                  <c:v>2.0983382492380458E-2</c:v>
                </c:pt>
                <c:pt idx="283">
                  <c:v>2.0671582638060959E-2</c:v>
                </c:pt>
                <c:pt idx="284">
                  <c:v>2.0352164676903196E-2</c:v>
                </c:pt>
                <c:pt idx="285">
                  <c:v>2.0025146258941428E-2</c:v>
                </c:pt>
                <c:pt idx="286">
                  <c:v>1.9690556599215363E-2</c:v>
                </c:pt>
                <c:pt idx="287">
                  <c:v>1.9348436294073419E-2</c:v>
                </c:pt>
                <c:pt idx="288">
                  <c:v>1.8999136792645876E-2</c:v>
                </c:pt>
                <c:pt idx="289">
                  <c:v>1.8652530468140496E-2</c:v>
                </c:pt>
                <c:pt idx="290">
                  <c:v>1.8311833831635222E-2</c:v>
                </c:pt>
                <c:pt idx="291">
                  <c:v>1.7977267495295636E-2</c:v>
                </c:pt>
                <c:pt idx="292">
                  <c:v>1.7649061582382143E-2</c:v>
                </c:pt>
                <c:pt idx="293">
                  <c:v>1.7327454948932532E-2</c:v>
                </c:pt>
                <c:pt idx="294">
                  <c:v>1.7012694357026448E-2</c:v>
                </c:pt>
                <c:pt idx="295">
                  <c:v>1.6715821562835041E-2</c:v>
                </c:pt>
                <c:pt idx="296">
                  <c:v>1.6433548044766478E-2</c:v>
                </c:pt>
                <c:pt idx="297">
                  <c:v>1.6166407754408477E-2</c:v>
                </c:pt>
                <c:pt idx="298">
                  <c:v>1.5914797053754186E-2</c:v>
                </c:pt>
                <c:pt idx="299">
                  <c:v>1.5679114219479106E-2</c:v>
                </c:pt>
                <c:pt idx="300">
                  <c:v>1.5459758136150642E-2</c:v>
                </c:pt>
                <c:pt idx="301">
                  <c:v>1.5257126950569792E-2</c:v>
                </c:pt>
                <c:pt idx="302">
                  <c:v>1.5072942289583236E-2</c:v>
                </c:pt>
                <c:pt idx="303">
                  <c:v>1.4924083587539421E-2</c:v>
                </c:pt>
                <c:pt idx="304">
                  <c:v>1.480026168347664E-2</c:v>
                </c:pt>
                <c:pt idx="305">
                  <c:v>1.4701661963239378E-2</c:v>
                </c:pt>
                <c:pt idx="306">
                  <c:v>1.4628471410442361E-2</c:v>
                </c:pt>
                <c:pt idx="307">
                  <c:v>1.4580872155656992E-2</c:v>
                </c:pt>
                <c:pt idx="308">
                  <c:v>1.4559034467231452E-2</c:v>
                </c:pt>
                <c:pt idx="309">
                  <c:v>1.4578903462911574E-2</c:v>
                </c:pt>
                <c:pt idx="310">
                  <c:v>1.4628965588766975E-2</c:v>
                </c:pt>
                <c:pt idx="311">
                  <c:v>1.4709369202157102E-2</c:v>
                </c:pt>
                <c:pt idx="312">
                  <c:v>1.4820211635660486E-2</c:v>
                </c:pt>
                <c:pt idx="313">
                  <c:v>1.4961527220403828E-2</c:v>
                </c:pt>
                <c:pt idx="314">
                  <c:v>1.5133274518279661E-2</c:v>
                </c:pt>
                <c:pt idx="315">
                  <c:v>1.5335322875795731E-2</c:v>
                </c:pt>
                <c:pt idx="316">
                  <c:v>1.5569044106527334E-2</c:v>
                </c:pt>
                <c:pt idx="317">
                  <c:v>1.5829492280271942E-2</c:v>
                </c:pt>
                <c:pt idx="318">
                  <c:v>1.6100126646718855E-2</c:v>
                </c:pt>
                <c:pt idx="319">
                  <c:v>1.6380951402761801E-2</c:v>
                </c:pt>
                <c:pt idx="320">
                  <c:v>1.6671949605675869E-2</c:v>
                </c:pt>
                <c:pt idx="321">
                  <c:v>1.6973080947308684E-2</c:v>
                </c:pt>
                <c:pt idx="322">
                  <c:v>1.7284279433315192E-2</c:v>
                </c:pt>
                <c:pt idx="323">
                  <c:v>1.7586809099208744E-2</c:v>
                </c:pt>
                <c:pt idx="324">
                  <c:v>1.7863255379933718E-2</c:v>
                </c:pt>
                <c:pt idx="325">
                  <c:v>1.8113040115033882E-2</c:v>
                </c:pt>
                <c:pt idx="326">
                  <c:v>1.8335468687781485E-2</c:v>
                </c:pt>
                <c:pt idx="327">
                  <c:v>1.852991791519152E-2</c:v>
                </c:pt>
                <c:pt idx="328">
                  <c:v>1.8695861933302853E-2</c:v>
                </c:pt>
                <c:pt idx="329">
                  <c:v>1.8832782704228054E-2</c:v>
                </c:pt>
                <c:pt idx="330">
                  <c:v>1.8941702438557698E-2</c:v>
                </c:pt>
                <c:pt idx="331">
                  <c:v>1.9019927776012982E-2</c:v>
                </c:pt>
                <c:pt idx="332">
                  <c:v>1.9073700867357938E-2</c:v>
                </c:pt>
                <c:pt idx="333">
                  <c:v>1.9102162462871213E-2</c:v>
                </c:pt>
                <c:pt idx="334">
                  <c:v>1.9104435794989608E-2</c:v>
                </c:pt>
                <c:pt idx="335">
                  <c:v>1.9079638062659946E-2</c:v>
                </c:pt>
                <c:pt idx="336">
                  <c:v>1.902689333070947E-2</c:v>
                </c:pt>
                <c:pt idx="337">
                  <c:v>1.8950081981309215E-2</c:v>
                </c:pt>
                <c:pt idx="338">
                  <c:v>1.8867905224781548E-2</c:v>
                </c:pt>
                <c:pt idx="339">
                  <c:v>1.8779679728897138E-2</c:v>
                </c:pt>
                <c:pt idx="340">
                  <c:v>1.8684732532343103E-2</c:v>
                </c:pt>
                <c:pt idx="341">
                  <c:v>1.8582408699400463E-2</c:v>
                </c:pt>
                <c:pt idx="342">
                  <c:v>1.8472079443000534E-2</c:v>
                </c:pt>
                <c:pt idx="343">
                  <c:v>1.8353150572715259E-2</c:v>
                </c:pt>
                <c:pt idx="344">
                  <c:v>1.8224324403111392E-2</c:v>
                </c:pt>
                <c:pt idx="345">
                  <c:v>1.8085450940103203E-2</c:v>
                </c:pt>
                <c:pt idx="346">
                  <c:v>1.7946228784683885E-2</c:v>
                </c:pt>
                <c:pt idx="347">
                  <c:v>1.7807760432894323E-2</c:v>
                </c:pt>
                <c:pt idx="348">
                  <c:v>0</c:v>
                </c:pt>
                <c:pt idx="349">
                  <c:v>1.5123279688558247E-7</c:v>
                </c:pt>
                <c:pt idx="350">
                  <c:v>2.9428203482419798E-7</c:v>
                </c:pt>
                <c:pt idx="351">
                  <c:v>4.2971979578006272E-7</c:v>
                </c:pt>
                <c:pt idx="352">
                  <c:v>5.5798038065635966E-7</c:v>
                </c:pt>
                <c:pt idx="353">
                  <c:v>6.7953656454840035E-7</c:v>
                </c:pt>
                <c:pt idx="354">
                  <c:v>7.9486077419885201E-7</c:v>
                </c:pt>
                <c:pt idx="355">
                  <c:v>9.0442258119526506E-7</c:v>
                </c:pt>
                <c:pt idx="356">
                  <c:v>8.9996370652240388E-7</c:v>
                </c:pt>
                <c:pt idx="357">
                  <c:v>8.9598119996153101E-7</c:v>
                </c:pt>
                <c:pt idx="358">
                  <c:v>8.9242958761968506E-7</c:v>
                </c:pt>
                <c:pt idx="359">
                  <c:v>8.8922118460191344E-7</c:v>
                </c:pt>
                <c:pt idx="360">
                  <c:v>8.8653816568732802E-7</c:v>
                </c:pt>
                <c:pt idx="361">
                  <c:v>8.8412800840607934E-7</c:v>
                </c:pt>
                <c:pt idx="362">
                  <c:v>8.8196411653107043E-7</c:v>
                </c:pt>
                <c:pt idx="363">
                  <c:v>8.8002066989134522E-7</c:v>
                </c:pt>
                <c:pt idx="364">
                  <c:v>8.7827261710115152E-7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078048"/>
        <c:axId val="416078440"/>
      </c:lineChart>
      <c:dateAx>
        <c:axId val="4160780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078440"/>
        <c:crosses val="autoZero"/>
        <c:auto val="1"/>
        <c:lblOffset val="100"/>
        <c:baseTimeUnit val="days"/>
        <c:majorUnit val="1"/>
        <c:majorTimeUnit val="months"/>
      </c:dateAx>
      <c:valAx>
        <c:axId val="4160784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078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17.824131894649998</c:v>
                </c:pt>
                <c:pt idx="1">
                  <c:v>17.948512240983046</c:v>
                </c:pt>
                <c:pt idx="2">
                  <c:v>18.079925878191506</c:v>
                </c:pt>
                <c:pt idx="3">
                  <c:v>18.218712753429593</c:v>
                </c:pt>
                <c:pt idx="4">
                  <c:v>18.365212511883481</c:v>
                </c:pt>
                <c:pt idx="5">
                  <c:v>18.519764508158101</c:v>
                </c:pt>
                <c:pt idx="6">
                  <c:v>18.682707792965687</c:v>
                </c:pt>
                <c:pt idx="7">
                  <c:v>18.854381135676526</c:v>
                </c:pt>
                <c:pt idx="8">
                  <c:v>19.035780879439876</c:v>
                </c:pt>
                <c:pt idx="9">
                  <c:v>19.227375692757803</c:v>
                </c:pt>
                <c:pt idx="10">
                  <c:v>19.42846863247561</c:v>
                </c:pt>
                <c:pt idx="11">
                  <c:v>19.638330096763124</c:v>
                </c:pt>
                <c:pt idx="12">
                  <c:v>19.856230980772622</c:v>
                </c:pt>
                <c:pt idx="13">
                  <c:v>20.081442671565451</c:v>
                </c:pt>
                <c:pt idx="14">
                  <c:v>20.313237056289285</c:v>
                </c:pt>
                <c:pt idx="15">
                  <c:v>20.550922914756615</c:v>
                </c:pt>
                <c:pt idx="16">
                  <c:v>20.793724733738621</c:v>
                </c:pt>
                <c:pt idx="17">
                  <c:v>21.040915867439789</c:v>
                </c:pt>
                <c:pt idx="18">
                  <c:v>21.291770166820875</c:v>
                </c:pt>
                <c:pt idx="19">
                  <c:v>21.545561195785503</c:v>
                </c:pt>
                <c:pt idx="20">
                  <c:v>21.801562712298754</c:v>
                </c:pt>
                <c:pt idx="21">
                  <c:v>22.059049638565945</c:v>
                </c:pt>
                <c:pt idx="22">
                  <c:v>22.319571430004455</c:v>
                </c:pt>
                <c:pt idx="23">
                  <c:v>22.584796904012844</c:v>
                </c:pt>
                <c:pt idx="24">
                  <c:v>22.854323807113232</c:v>
                </c:pt>
                <c:pt idx="25">
                  <c:v>23.127934992141029</c:v>
                </c:pt>
                <c:pt idx="26">
                  <c:v>23.405413492932677</c:v>
                </c:pt>
                <c:pt idx="27">
                  <c:v>23.686542526757105</c:v>
                </c:pt>
                <c:pt idx="28">
                  <c:v>23.971105493585881</c:v>
                </c:pt>
                <c:pt idx="29">
                  <c:v>24.258712267818879</c:v>
                </c:pt>
                <c:pt idx="30">
                  <c:v>24.549110212991696</c:v>
                </c:pt>
                <c:pt idx="31">
                  <c:v>24.842083230685553</c:v>
                </c:pt>
                <c:pt idx="32">
                  <c:v>25.137415370467913</c:v>
                </c:pt>
                <c:pt idx="33">
                  <c:v>25.434890826609021</c:v>
                </c:pt>
                <c:pt idx="34">
                  <c:v>25.734293931053081</c:v>
                </c:pt>
                <c:pt idx="35">
                  <c:v>26.035409154269857</c:v>
                </c:pt>
                <c:pt idx="36">
                  <c:v>26.337628491784383</c:v>
                </c:pt>
                <c:pt idx="37">
                  <c:v>26.640709367146414</c:v>
                </c:pt>
                <c:pt idx="38">
                  <c:v>26.945297829490983</c:v>
                </c:pt>
                <c:pt idx="39">
                  <c:v>27.251820877539107</c:v>
                </c:pt>
                <c:pt idx="40">
                  <c:v>27.560705183462815</c:v>
                </c:pt>
                <c:pt idx="41">
                  <c:v>27.872377096882929</c:v>
                </c:pt>
                <c:pt idx="42">
                  <c:v>28.187262633295372</c:v>
                </c:pt>
                <c:pt idx="43">
                  <c:v>28.505723089668095</c:v>
                </c:pt>
                <c:pt idx="44">
                  <c:v>28.828357815212829</c:v>
                </c:pt>
                <c:pt idx="45">
                  <c:v>29.155591907801043</c:v>
                </c:pt>
                <c:pt idx="46">
                  <c:v>29.487850130637273</c:v>
                </c:pt>
                <c:pt idx="47">
                  <c:v>29.825556902752982</c:v>
                </c:pt>
                <c:pt idx="48">
                  <c:v>30.169136301551838</c:v>
                </c:pt>
                <c:pt idx="49">
                  <c:v>30.519012039400412</c:v>
                </c:pt>
                <c:pt idx="50">
                  <c:v>30.875465063334204</c:v>
                </c:pt>
                <c:pt idx="51">
                  <c:v>31.238184735922999</c:v>
                </c:pt>
                <c:pt idx="52">
                  <c:v>31.606804392407987</c:v>
                </c:pt>
                <c:pt idx="53">
                  <c:v>31.980894474955623</c:v>
                </c:pt>
                <c:pt idx="54">
                  <c:v>32.360024839270572</c:v>
                </c:pt>
                <c:pt idx="55">
                  <c:v>32.743765578192509</c:v>
                </c:pt>
                <c:pt idx="56">
                  <c:v>33.131686998505913</c:v>
                </c:pt>
                <c:pt idx="57">
                  <c:v>33.523409408039818</c:v>
                </c:pt>
                <c:pt idx="58">
                  <c:v>33.918568416834411</c:v>
                </c:pt>
                <c:pt idx="59">
                  <c:v>34.316735125203159</c:v>
                </c:pt>
                <c:pt idx="60">
                  <c:v>34.717480818049751</c:v>
                </c:pt>
                <c:pt idx="61">
                  <c:v>35.120376955240381</c:v>
                </c:pt>
                <c:pt idx="62">
                  <c:v>35.524995156890512</c:v>
                </c:pt>
                <c:pt idx="63">
                  <c:v>35.930907200984905</c:v>
                </c:pt>
                <c:pt idx="64">
                  <c:v>36.340597129139617</c:v>
                </c:pt>
                <c:pt idx="65">
                  <c:v>36.756499222226722</c:v>
                </c:pt>
                <c:pt idx="66">
                  <c:v>37.177779300417981</c:v>
                </c:pt>
                <c:pt idx="67">
                  <c:v>37.603581753247916</c:v>
                </c:pt>
                <c:pt idx="68">
                  <c:v>38.033051468983508</c:v>
                </c:pt>
                <c:pt idx="69">
                  <c:v>38.465333844135131</c:v>
                </c:pt>
                <c:pt idx="70">
                  <c:v>38.899574790124568</c:v>
                </c:pt>
                <c:pt idx="71">
                  <c:v>39.335327302711114</c:v>
                </c:pt>
                <c:pt idx="72">
                  <c:v>39.77168936750715</c:v>
                </c:pt>
                <c:pt idx="73">
                  <c:v>40.207809924796074</c:v>
                </c:pt>
                <c:pt idx="74">
                  <c:v>40.642838662070709</c:v>
                </c:pt>
                <c:pt idx="75">
                  <c:v>41.075926050563481</c:v>
                </c:pt>
                <c:pt idx="76">
                  <c:v>41.506223386605278</c:v>
                </c:pt>
                <c:pt idx="77">
                  <c:v>41.932882833874402</c:v>
                </c:pt>
                <c:pt idx="78">
                  <c:v>42.359716030266746</c:v>
                </c:pt>
                <c:pt idx="79">
                  <c:v>42.790449113231681</c:v>
                </c:pt>
                <c:pt idx="80">
                  <c:v>43.22367285705257</c:v>
                </c:pt>
                <c:pt idx="81">
                  <c:v>43.658219504074935</c:v>
                </c:pt>
                <c:pt idx="82">
                  <c:v>44.092922570587262</c:v>
                </c:pt>
                <c:pt idx="83">
                  <c:v>44.526616890759975</c:v>
                </c:pt>
                <c:pt idx="84">
                  <c:v>44.958138660959669</c:v>
                </c:pt>
                <c:pt idx="85">
                  <c:v>45.386222587350382</c:v>
                </c:pt>
                <c:pt idx="86">
                  <c:v>45.809288782013844</c:v>
                </c:pt>
                <c:pt idx="87">
                  <c:v>46.226173180164103</c:v>
                </c:pt>
                <c:pt idx="88">
                  <c:v>46.635712719872096</c:v>
                </c:pt>
                <c:pt idx="89">
                  <c:v>47.036745343384283</c:v>
                </c:pt>
                <c:pt idx="90">
                  <c:v>47.428110020030765</c:v>
                </c:pt>
                <c:pt idx="91">
                  <c:v>47.808646748212695</c:v>
                </c:pt>
                <c:pt idx="92">
                  <c:v>48.179882315105267</c:v>
                </c:pt>
                <c:pt idx="93">
                  <c:v>48.544240454270728</c:v>
                </c:pt>
                <c:pt idx="94">
                  <c:v>48.901697046457095</c:v>
                </c:pt>
                <c:pt idx="95">
                  <c:v>49.25236269796919</c:v>
                </c:pt>
                <c:pt idx="96">
                  <c:v>49.596348055412427</c:v>
                </c:pt>
                <c:pt idx="97">
                  <c:v>49.933763807316751</c:v>
                </c:pt>
                <c:pt idx="98">
                  <c:v>50.264720693063026</c:v>
                </c:pt>
                <c:pt idx="99">
                  <c:v>50.589265896346113</c:v>
                </c:pt>
                <c:pt idx="100">
                  <c:v>50.907618571841695</c:v>
                </c:pt>
                <c:pt idx="101">
                  <c:v>51.219890322041238</c:v>
                </c:pt>
                <c:pt idx="102">
                  <c:v>51.52619285959365</c:v>
                </c:pt>
                <c:pt idx="103">
                  <c:v>51.826638019916359</c:v>
                </c:pt>
                <c:pt idx="104">
                  <c:v>52.121337748737595</c:v>
                </c:pt>
                <c:pt idx="105">
                  <c:v>52.410404123119619</c:v>
                </c:pt>
                <c:pt idx="106">
                  <c:v>52.693684964747334</c:v>
                </c:pt>
                <c:pt idx="107">
                  <c:v>52.970615887838719</c:v>
                </c:pt>
                <c:pt idx="108">
                  <c:v>53.24114196529424</c:v>
                </c:pt>
                <c:pt idx="109">
                  <c:v>53.50526094308799</c:v>
                </c:pt>
                <c:pt idx="110">
                  <c:v>53.762969763995962</c:v>
                </c:pt>
                <c:pt idx="111">
                  <c:v>54.014264853339803</c:v>
                </c:pt>
                <c:pt idx="112">
                  <c:v>54.259142339010879</c:v>
                </c:pt>
                <c:pt idx="113">
                  <c:v>54.497396478558898</c:v>
                </c:pt>
                <c:pt idx="114">
                  <c:v>54.729087587449833</c:v>
                </c:pt>
                <c:pt idx="115">
                  <c:v>54.954206040930487</c:v>
                </c:pt>
                <c:pt idx="116">
                  <c:v>55.17274127191039</c:v>
                </c:pt>
                <c:pt idx="117">
                  <c:v>55.384681744134973</c:v>
                </c:pt>
                <c:pt idx="118">
                  <c:v>55.590014933457574</c:v>
                </c:pt>
                <c:pt idx="119">
                  <c:v>55.788727307936547</c:v>
                </c:pt>
                <c:pt idx="120">
                  <c:v>55.981261330633544</c:v>
                </c:pt>
                <c:pt idx="121">
                  <c:v>56.167919115166555</c:v>
                </c:pt>
                <c:pt idx="122">
                  <c:v>56.348865036283755</c:v>
                </c:pt>
                <c:pt idx="123">
                  <c:v>56.523883284275641</c:v>
                </c:pt>
                <c:pt idx="124">
                  <c:v>56.692757928779237</c:v>
                </c:pt>
                <c:pt idx="125">
                  <c:v>56.855272921400719</c:v>
                </c:pt>
                <c:pt idx="126">
                  <c:v>57.011212114381721</c:v>
                </c:pt>
                <c:pt idx="127">
                  <c:v>57.160370167182833</c:v>
                </c:pt>
                <c:pt idx="128">
                  <c:v>57.302766746616228</c:v>
                </c:pt>
                <c:pt idx="129">
                  <c:v>57.438194468006181</c:v>
                </c:pt>
                <c:pt idx="130">
                  <c:v>57.566446354914284</c:v>
                </c:pt>
                <c:pt idx="131">
                  <c:v>57.687315839525034</c:v>
                </c:pt>
                <c:pt idx="132">
                  <c:v>57.800596785607745</c:v>
                </c:pt>
                <c:pt idx="133">
                  <c:v>57.906083487341355</c:v>
                </c:pt>
                <c:pt idx="134">
                  <c:v>58.00318505207656</c:v>
                </c:pt>
                <c:pt idx="135">
                  <c:v>58.091760611766546</c:v>
                </c:pt>
                <c:pt idx="136">
                  <c:v>58.172236000961405</c:v>
                </c:pt>
                <c:pt idx="137">
                  <c:v>58.245038938048211</c:v>
                </c:pt>
                <c:pt idx="138">
                  <c:v>58.310597159660951</c:v>
                </c:pt>
                <c:pt idx="139">
                  <c:v>58.369338394747658</c:v>
                </c:pt>
                <c:pt idx="140">
                  <c:v>58.421690387992555</c:v>
                </c:pt>
                <c:pt idx="141">
                  <c:v>58.468135013147233</c:v>
                </c:pt>
                <c:pt idx="142">
                  <c:v>58.509089793537143</c:v>
                </c:pt>
                <c:pt idx="143">
                  <c:v>58.544984911237414</c:v>
                </c:pt>
                <c:pt idx="144">
                  <c:v>58.576249702811495</c:v>
                </c:pt>
                <c:pt idx="145">
                  <c:v>58.603313488539968</c:v>
                </c:pt>
                <c:pt idx="146">
                  <c:v>58.626605566951085</c:v>
                </c:pt>
                <c:pt idx="147">
                  <c:v>58.646555189453146</c:v>
                </c:pt>
                <c:pt idx="148">
                  <c:v>58.661861086903748</c:v>
                </c:pt>
                <c:pt idx="149">
                  <c:v>58.671193374329846</c:v>
                </c:pt>
                <c:pt idx="150">
                  <c:v>58.674845037639592</c:v>
                </c:pt>
                <c:pt idx="151">
                  <c:v>58.673142565352741</c:v>
                </c:pt>
                <c:pt idx="152">
                  <c:v>58.666412367553463</c:v>
                </c:pt>
                <c:pt idx="153">
                  <c:v>58.654980742974537</c:v>
                </c:pt>
                <c:pt idx="154">
                  <c:v>58.639173841190335</c:v>
                </c:pt>
                <c:pt idx="155">
                  <c:v>58.619336278081732</c:v>
                </c:pt>
                <c:pt idx="156">
                  <c:v>58.595728819726155</c:v>
                </c:pt>
                <c:pt idx="157">
                  <c:v>58.568675286368745</c:v>
                </c:pt>
                <c:pt idx="158">
                  <c:v>58.53849921841099</c:v>
                </c:pt>
                <c:pt idx="159">
                  <c:v>58.505523851661188</c:v>
                </c:pt>
                <c:pt idx="160">
                  <c:v>58.470072083827844</c:v>
                </c:pt>
                <c:pt idx="161">
                  <c:v>58.43246645355412</c:v>
                </c:pt>
                <c:pt idx="162">
                  <c:v>58.392244747790492</c:v>
                </c:pt>
                <c:pt idx="163">
                  <c:v>58.348760306462296</c:v>
                </c:pt>
                <c:pt idx="164">
                  <c:v>58.301974837515594</c:v>
                </c:pt>
                <c:pt idx="165">
                  <c:v>58.251896071213608</c:v>
                </c:pt>
                <c:pt idx="166">
                  <c:v>58.198531492751542</c:v>
                </c:pt>
                <c:pt idx="167">
                  <c:v>58.141888310500093</c:v>
                </c:pt>
                <c:pt idx="168">
                  <c:v>58.081973439854522</c:v>
                </c:pt>
                <c:pt idx="169">
                  <c:v>58.018819486295499</c:v>
                </c:pt>
                <c:pt idx="170">
                  <c:v>57.952411523229685</c:v>
                </c:pt>
                <c:pt idx="171">
                  <c:v>57.882755576921831</c:v>
                </c:pt>
                <c:pt idx="172">
                  <c:v>57.809857309409175</c:v>
                </c:pt>
                <c:pt idx="173">
                  <c:v>57.733724530585228</c:v>
                </c:pt>
                <c:pt idx="174">
                  <c:v>57.65436488350084</c:v>
                </c:pt>
                <c:pt idx="175">
                  <c:v>57.571783193413559</c:v>
                </c:pt>
                <c:pt idx="176">
                  <c:v>57.48598388570641</c:v>
                </c:pt>
                <c:pt idx="177">
                  <c:v>57.396932735803261</c:v>
                </c:pt>
                <c:pt idx="178">
                  <c:v>57.304160783678704</c:v>
                </c:pt>
                <c:pt idx="179">
                  <c:v>57.20819344381129</c:v>
                </c:pt>
                <c:pt idx="180">
                  <c:v>57.109035823888362</c:v>
                </c:pt>
                <c:pt idx="181">
                  <c:v>57.006692546166832</c:v>
                </c:pt>
                <c:pt idx="182">
                  <c:v>56.901167752295805</c:v>
                </c:pt>
                <c:pt idx="183">
                  <c:v>56.792520853145035</c:v>
                </c:pt>
                <c:pt idx="184">
                  <c:v>56.680724420461026</c:v>
                </c:pt>
                <c:pt idx="185">
                  <c:v>56.565780600665754</c:v>
                </c:pt>
                <c:pt idx="186">
                  <c:v>56.447691119475586</c:v>
                </c:pt>
                <c:pt idx="187">
                  <c:v>56.326457301402527</c:v>
                </c:pt>
                <c:pt idx="188">
                  <c:v>56.202080098172893</c:v>
                </c:pt>
                <c:pt idx="189">
                  <c:v>56.074560107635008</c:v>
                </c:pt>
                <c:pt idx="190">
                  <c:v>55.943221353343574</c:v>
                </c:pt>
                <c:pt idx="191">
                  <c:v>55.807681179349416</c:v>
                </c:pt>
                <c:pt idx="192">
                  <c:v>55.668222682229811</c:v>
                </c:pt>
                <c:pt idx="193">
                  <c:v>55.525157204413532</c:v>
                </c:pt>
                <c:pt idx="194">
                  <c:v>55.378795665308395</c:v>
                </c:pt>
                <c:pt idx="195">
                  <c:v>55.229448597967625</c:v>
                </c:pt>
                <c:pt idx="196">
                  <c:v>55.077426177332853</c:v>
                </c:pt>
                <c:pt idx="197">
                  <c:v>54.923088940138165</c:v>
                </c:pt>
                <c:pt idx="198">
                  <c:v>54.766687741436243</c:v>
                </c:pt>
                <c:pt idx="199">
                  <c:v>54.608531786651902</c:v>
                </c:pt>
                <c:pt idx="200">
                  <c:v>54.448930054460398</c:v>
                </c:pt>
                <c:pt idx="201">
                  <c:v>54.288191327048089</c:v>
                </c:pt>
                <c:pt idx="202">
                  <c:v>54.126624211832379</c:v>
                </c:pt>
                <c:pt idx="203">
                  <c:v>53.964537163599481</c:v>
                </c:pt>
                <c:pt idx="204">
                  <c:v>53.802360001731422</c:v>
                </c:pt>
                <c:pt idx="205">
                  <c:v>53.640013498273312</c:v>
                </c:pt>
                <c:pt idx="206">
                  <c:v>53.47698926688814</c:v>
                </c:pt>
                <c:pt idx="207">
                  <c:v>53.312866511608057</c:v>
                </c:pt>
                <c:pt idx="208">
                  <c:v>53.147225040993419</c:v>
                </c:pt>
                <c:pt idx="209">
                  <c:v>52.97964526491365</c:v>
                </c:pt>
                <c:pt idx="210">
                  <c:v>52.809708188000045</c:v>
                </c:pt>
                <c:pt idx="211">
                  <c:v>52.636888788459842</c:v>
                </c:pt>
                <c:pt idx="212">
                  <c:v>52.460711356259459</c:v>
                </c:pt>
                <c:pt idx="213">
                  <c:v>52.28075313971781</c:v>
                </c:pt>
                <c:pt idx="214">
                  <c:v>52.096592335730683</c:v>
                </c:pt>
                <c:pt idx="215">
                  <c:v>51.907808066964442</c:v>
                </c:pt>
                <c:pt idx="216">
                  <c:v>51.713980347797893</c:v>
                </c:pt>
                <c:pt idx="217">
                  <c:v>51.514690057851958</c:v>
                </c:pt>
                <c:pt idx="218">
                  <c:v>51.310778867244288</c:v>
                </c:pt>
                <c:pt idx="219">
                  <c:v>51.102844471038026</c:v>
                </c:pt>
                <c:pt idx="220">
                  <c:v>50.890816439501435</c:v>
                </c:pt>
                <c:pt idx="221">
                  <c:v>50.674589427794501</c:v>
                </c:pt>
                <c:pt idx="222">
                  <c:v>50.454058583337904</c:v>
                </c:pt>
                <c:pt idx="223">
                  <c:v>50.229119522961845</c:v>
                </c:pt>
                <c:pt idx="224">
                  <c:v>49.999668313267236</c:v>
                </c:pt>
                <c:pt idx="225">
                  <c:v>49.764786809524672</c:v>
                </c:pt>
                <c:pt idx="226">
                  <c:v>49.524500313129138</c:v>
                </c:pt>
                <c:pt idx="227">
                  <c:v>49.278709043461141</c:v>
                </c:pt>
                <c:pt idx="228">
                  <c:v>49.027313550686692</c:v>
                </c:pt>
                <c:pt idx="229">
                  <c:v>48.770214711570922</c:v>
                </c:pt>
                <c:pt idx="230">
                  <c:v>48.507313743937502</c:v>
                </c:pt>
                <c:pt idx="231">
                  <c:v>48.238512201863976</c:v>
                </c:pt>
                <c:pt idx="232">
                  <c:v>47.964194196301712</c:v>
                </c:pt>
                <c:pt idx="233">
                  <c:v>47.684482516390908</c:v>
                </c:pt>
                <c:pt idx="234">
                  <c:v>47.3997293056796</c:v>
                </c:pt>
                <c:pt idx="235">
                  <c:v>47.109835095513517</c:v>
                </c:pt>
                <c:pt idx="236">
                  <c:v>46.814700737627923</c:v>
                </c:pt>
                <c:pt idx="237">
                  <c:v>46.514227712749218</c:v>
                </c:pt>
                <c:pt idx="238">
                  <c:v>46.208317946395681</c:v>
                </c:pt>
                <c:pt idx="239">
                  <c:v>45.897069707627274</c:v>
                </c:pt>
                <c:pt idx="240">
                  <c:v>45.581200187562693</c:v>
                </c:pt>
                <c:pt idx="241">
                  <c:v>45.260612187602369</c:v>
                </c:pt>
                <c:pt idx="242">
                  <c:v>44.935208637102697</c:v>
                </c:pt>
                <c:pt idx="243">
                  <c:v>44.604892597785501</c:v>
                </c:pt>
                <c:pt idx="244">
                  <c:v>44.269567284155642</c:v>
                </c:pt>
                <c:pt idx="245">
                  <c:v>43.929136066651154</c:v>
                </c:pt>
                <c:pt idx="246">
                  <c:v>43.583313443213392</c:v>
                </c:pt>
                <c:pt idx="247">
                  <c:v>43.231957145161807</c:v>
                </c:pt>
                <c:pt idx="248">
                  <c:v>42.875548986158108</c:v>
                </c:pt>
                <c:pt idx="249">
                  <c:v>42.514304487209934</c:v>
                </c:pt>
                <c:pt idx="250">
                  <c:v>42.148438904819507</c:v>
                </c:pt>
                <c:pt idx="251">
                  <c:v>41.77816725232141</c:v>
                </c:pt>
                <c:pt idx="252">
                  <c:v>41.403704320198266</c:v>
                </c:pt>
                <c:pt idx="253">
                  <c:v>41.025829578737842</c:v>
                </c:pt>
                <c:pt idx="254">
                  <c:v>40.644559951280996</c:v>
                </c:pt>
                <c:pt idx="255">
                  <c:v>40.260109229367195</c:v>
                </c:pt>
                <c:pt idx="256">
                  <c:v>39.872690821814601</c:v>
                </c:pt>
                <c:pt idx="257">
                  <c:v>39.482517765872608</c:v>
                </c:pt>
                <c:pt idx="258">
                  <c:v>39.089802729196187</c:v>
                </c:pt>
                <c:pt idx="259">
                  <c:v>38.694758014264281</c:v>
                </c:pt>
                <c:pt idx="260">
                  <c:v>38.294182753146679</c:v>
                </c:pt>
                <c:pt idx="261">
                  <c:v>37.886764298147042</c:v>
                </c:pt>
                <c:pt idx="262">
                  <c:v>37.473897009439575</c:v>
                </c:pt>
                <c:pt idx="263">
                  <c:v>37.056917595619169</c:v>
                </c:pt>
                <c:pt idx="264">
                  <c:v>36.637161124786779</c:v>
                </c:pt>
                <c:pt idx="265">
                  <c:v>36.215956723502956</c:v>
                </c:pt>
                <c:pt idx="266">
                  <c:v>35.794633883910912</c:v>
                </c:pt>
                <c:pt idx="267">
                  <c:v>35.375083917775584</c:v>
                </c:pt>
                <c:pt idx="268">
                  <c:v>34.958075191800837</c:v>
                </c:pt>
                <c:pt idx="269">
                  <c:v>34.544934044225762</c:v>
                </c:pt>
                <c:pt idx="270">
                  <c:v>34.136985062197631</c:v>
                </c:pt>
                <c:pt idx="271">
                  <c:v>33.735551003816802</c:v>
                </c:pt>
                <c:pt idx="272">
                  <c:v>33.341952732679083</c:v>
                </c:pt>
                <c:pt idx="273">
                  <c:v>32.957509148384183</c:v>
                </c:pt>
                <c:pt idx="274">
                  <c:v>32.580199160780417</c:v>
                </c:pt>
                <c:pt idx="275">
                  <c:v>32.207201554363685</c:v>
                </c:pt>
                <c:pt idx="276">
                  <c:v>31.837402887664666</c:v>
                </c:pt>
                <c:pt idx="277">
                  <c:v>31.470791945697055</c:v>
                </c:pt>
                <c:pt idx="278">
                  <c:v>31.107356685690586</c:v>
                </c:pt>
                <c:pt idx="279">
                  <c:v>30.747084219053253</c:v>
                </c:pt>
                <c:pt idx="280">
                  <c:v>30.389960800030607</c:v>
                </c:pt>
                <c:pt idx="281">
                  <c:v>30.035863137739028</c:v>
                </c:pt>
                <c:pt idx="282">
                  <c:v>29.684243127376487</c:v>
                </c:pt>
                <c:pt idx="283">
                  <c:v>29.335092591307973</c:v>
                </c:pt>
                <c:pt idx="284">
                  <c:v>28.988403035702003</c:v>
                </c:pt>
                <c:pt idx="285">
                  <c:v>28.644165670253155</c:v>
                </c:pt>
                <c:pt idx="286">
                  <c:v>28.302371433362726</c:v>
                </c:pt>
                <c:pt idx="287">
                  <c:v>27.96301102024653</c:v>
                </c:pt>
                <c:pt idx="288">
                  <c:v>27.625630583216324</c:v>
                </c:pt>
                <c:pt idx="289">
                  <c:v>27.289645762964561</c:v>
                </c:pt>
                <c:pt idx="290">
                  <c:v>26.955171708466874</c:v>
                </c:pt>
                <c:pt idx="291">
                  <c:v>26.622409372314344</c:v>
                </c:pt>
                <c:pt idx="292">
                  <c:v>26.291559820579881</c:v>
                </c:pt>
                <c:pt idx="293">
                  <c:v>25.962824259874633</c:v>
                </c:pt>
                <c:pt idx="294">
                  <c:v>25.636404066847522</c:v>
                </c:pt>
                <c:pt idx="295">
                  <c:v>25.312223098961805</c:v>
                </c:pt>
                <c:pt idx="296">
                  <c:v>24.990584124623201</c:v>
                </c:pt>
                <c:pt idx="297">
                  <c:v>24.671689504269558</c:v>
                </c:pt>
                <c:pt idx="298">
                  <c:v>24.355745551908885</c:v>
                </c:pt>
                <c:pt idx="299">
                  <c:v>24.042958868205954</c:v>
                </c:pt>
                <c:pt idx="300">
                  <c:v>23.733536332708862</c:v>
                </c:pt>
                <c:pt idx="301">
                  <c:v>23.427685101020185</c:v>
                </c:pt>
                <c:pt idx="302">
                  <c:v>23.123547679454109</c:v>
                </c:pt>
                <c:pt idx="303">
                  <c:v>22.819252853536746</c:v>
                </c:pt>
                <c:pt idx="304">
                  <c:v>22.515772934902202</c:v>
                </c:pt>
                <c:pt idx="305">
                  <c:v>22.213831215757729</c:v>
                </c:pt>
                <c:pt idx="306">
                  <c:v>21.914150958161986</c:v>
                </c:pt>
                <c:pt idx="307">
                  <c:v>21.617455368095694</c:v>
                </c:pt>
                <c:pt idx="308">
                  <c:v>21.324467548966126</c:v>
                </c:pt>
                <c:pt idx="309">
                  <c:v>21.035573313262237</c:v>
                </c:pt>
                <c:pt idx="310">
                  <c:v>20.751754120048474</c:v>
                </c:pt>
                <c:pt idx="311">
                  <c:v>20.473734440863172</c:v>
                </c:pt>
                <c:pt idx="312">
                  <c:v>20.202238428964598</c:v>
                </c:pt>
                <c:pt idx="313">
                  <c:v>19.937989853415747</c:v>
                </c:pt>
                <c:pt idx="314">
                  <c:v>19.681712058493122</c:v>
                </c:pt>
                <c:pt idx="315">
                  <c:v>19.434127909950671</c:v>
                </c:pt>
                <c:pt idx="316">
                  <c:v>19.193948693387796</c:v>
                </c:pt>
                <c:pt idx="317">
                  <c:v>18.959606427476231</c:v>
                </c:pt>
                <c:pt idx="318">
                  <c:v>18.731527665415769</c:v>
                </c:pt>
                <c:pt idx="319">
                  <c:v>18.509811978278268</c:v>
                </c:pt>
                <c:pt idx="320">
                  <c:v>18.294558871221987</c:v>
                </c:pt>
                <c:pt idx="321">
                  <c:v>18.085867792072836</c:v>
                </c:pt>
                <c:pt idx="322">
                  <c:v>17.883838135140625</c:v>
                </c:pt>
                <c:pt idx="323">
                  <c:v>17.688904908082133</c:v>
                </c:pt>
                <c:pt idx="324">
                  <c:v>17.501465138769607</c:v>
                </c:pt>
                <c:pt idx="325">
                  <c:v>17.321606669856745</c:v>
                </c:pt>
                <c:pt idx="326">
                  <c:v>17.1494200172611</c:v>
                </c:pt>
                <c:pt idx="327">
                  <c:v>16.984995085446347</c:v>
                </c:pt>
                <c:pt idx="328">
                  <c:v>16.828420851398668</c:v>
                </c:pt>
                <c:pt idx="329">
                  <c:v>16.679787025619987</c:v>
                </c:pt>
                <c:pt idx="330">
                  <c:v>16.537822622061359</c:v>
                </c:pt>
                <c:pt idx="331">
                  <c:v>16.40158871125228</c:v>
                </c:pt>
                <c:pt idx="332">
                  <c:v>16.271467175192775</c:v>
                </c:pt>
                <c:pt idx="333">
                  <c:v>16.147960684550007</c:v>
                </c:pt>
                <c:pt idx="334">
                  <c:v>16.031572448758343</c:v>
                </c:pt>
                <c:pt idx="335">
                  <c:v>15.922806176440979</c:v>
                </c:pt>
                <c:pt idx="336">
                  <c:v>15.822166056834719</c:v>
                </c:pt>
                <c:pt idx="337">
                  <c:v>15.730080818265613</c:v>
                </c:pt>
                <c:pt idx="338">
                  <c:v>15.646745467391224</c:v>
                </c:pt>
                <c:pt idx="339">
                  <c:v>15.572669631239222</c:v>
                </c:pt>
                <c:pt idx="340">
                  <c:v>15.508362808960623</c:v>
                </c:pt>
                <c:pt idx="341">
                  <c:v>15.454334351653095</c:v>
                </c:pt>
                <c:pt idx="342">
                  <c:v>15.411093432016626</c:v>
                </c:pt>
                <c:pt idx="343">
                  <c:v>15.379149014962726</c:v>
                </c:pt>
                <c:pt idx="344">
                  <c:v>15.359650820203598</c:v>
                </c:pt>
                <c:pt idx="345">
                  <c:v>15.35281899346975</c:v>
                </c:pt>
                <c:pt idx="346">
                  <c:v>15.357634964084353</c:v>
                </c:pt>
                <c:pt idx="347">
                  <c:v>15.373214770676098</c:v>
                </c:pt>
                <c:pt idx="348">
                  <c:v>15.675681584626338</c:v>
                </c:pt>
                <c:pt idx="349">
                  <c:v>15.708616581811961</c:v>
                </c:pt>
                <c:pt idx="350">
                  <c:v>15.7498620721063</c:v>
                </c:pt>
                <c:pt idx="351">
                  <c:v>15.798532278282829</c:v>
                </c:pt>
                <c:pt idx="352">
                  <c:v>15.853741871536375</c:v>
                </c:pt>
                <c:pt idx="353">
                  <c:v>15.914605956464923</c:v>
                </c:pt>
                <c:pt idx="354">
                  <c:v>15.98024008424283</c:v>
                </c:pt>
                <c:pt idx="355">
                  <c:v>16.049760254767179</c:v>
                </c:pt>
                <c:pt idx="356">
                  <c:v>16.122284668118688</c:v>
                </c:pt>
                <c:pt idx="357">
                  <c:v>16.196928394945697</c:v>
                </c:pt>
                <c:pt idx="358">
                  <c:v>16.274258692317883</c:v>
                </c:pt>
                <c:pt idx="359">
                  <c:v>16.355646620984508</c:v>
                </c:pt>
                <c:pt idx="360">
                  <c:v>16.441414986005586</c:v>
                </c:pt>
                <c:pt idx="361">
                  <c:v>16.531886397502817</c:v>
                </c:pt>
                <c:pt idx="362">
                  <c:v>16.627383264528319</c:v>
                </c:pt>
                <c:pt idx="363">
                  <c:v>16.728227789847963</c:v>
                </c:pt>
                <c:pt idx="364">
                  <c:v>16.83474197125291</c:v>
                </c:pt>
                <c:pt idx="365">
                  <c:v>17.329436932951452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1.6779999999999999</c:v>
                </c:pt>
                <c:pt idx="1">
                  <c:v>7.0960000000000001</c:v>
                </c:pt>
                <c:pt idx="2">
                  <c:v>17.811</c:v>
                </c:pt>
                <c:pt idx="3">
                  <c:v>18.001999999999999</c:v>
                </c:pt>
                <c:pt idx="4">
                  <c:v>17.757999999999999</c:v>
                </c:pt>
                <c:pt idx="5">
                  <c:v>4.431</c:v>
                </c:pt>
                <c:pt idx="6">
                  <c:v>2.7309999999999999</c:v>
                </c:pt>
                <c:pt idx="7">
                  <c:v>4.3159999999999998</c:v>
                </c:pt>
                <c:pt idx="8">
                  <c:v>9.3550000000000004</c:v>
                </c:pt>
                <c:pt idx="9">
                  <c:v>8.6820000000000004</c:v>
                </c:pt>
                <c:pt idx="10">
                  <c:v>16.463999999999999</c:v>
                </c:pt>
                <c:pt idx="11">
                  <c:v>8.7850000000000001</c:v>
                </c:pt>
                <c:pt idx="12">
                  <c:v>3.9609999999999999</c:v>
                </c:pt>
                <c:pt idx="13">
                  <c:v>5.516</c:v>
                </c:pt>
                <c:pt idx="14">
                  <c:v>19.789000000000001</c:v>
                </c:pt>
                <c:pt idx="15">
                  <c:v>19.286000000000001</c:v>
                </c:pt>
                <c:pt idx="16">
                  <c:v>9.3979999999999997</c:v>
                </c:pt>
                <c:pt idx="17">
                  <c:v>12.198</c:v>
                </c:pt>
                <c:pt idx="18">
                  <c:v>13.635999999999999</c:v>
                </c:pt>
                <c:pt idx="19">
                  <c:v>6.6029999999999998</c:v>
                </c:pt>
                <c:pt idx="20">
                  <c:v>6.08</c:v>
                </c:pt>
                <c:pt idx="21">
                  <c:v>9.0640000000000001</c:v>
                </c:pt>
                <c:pt idx="22">
                  <c:v>9.4410000000000007</c:v>
                </c:pt>
                <c:pt idx="23">
                  <c:v>10.105</c:v>
                </c:pt>
                <c:pt idx="24">
                  <c:v>5.3250000000000002</c:v>
                </c:pt>
                <c:pt idx="25">
                  <c:v>11.507999999999999</c:v>
                </c:pt>
                <c:pt idx="26">
                  <c:v>12.471</c:v>
                </c:pt>
                <c:pt idx="27">
                  <c:v>12.295999999999999</c:v>
                </c:pt>
                <c:pt idx="28">
                  <c:v>5.5359999999999996</c:v>
                </c:pt>
                <c:pt idx="29">
                  <c:v>7.117</c:v>
                </c:pt>
                <c:pt idx="30">
                  <c:v>7.3739999999999997</c:v>
                </c:pt>
                <c:pt idx="31">
                  <c:v>19.093</c:v>
                </c:pt>
                <c:pt idx="32">
                  <c:v>3.2919999999999998</c:v>
                </c:pt>
                <c:pt idx="33">
                  <c:v>12.214</c:v>
                </c:pt>
                <c:pt idx="34">
                  <c:v>19.131</c:v>
                </c:pt>
                <c:pt idx="35">
                  <c:v>3.8460000000000001</c:v>
                </c:pt>
                <c:pt idx="36">
                  <c:v>10.35</c:v>
                </c:pt>
                <c:pt idx="37">
                  <c:v>7.0659999999999998</c:v>
                </c:pt>
                <c:pt idx="38">
                  <c:v>22.379000000000001</c:v>
                </c:pt>
                <c:pt idx="39">
                  <c:v>24.041</c:v>
                </c:pt>
                <c:pt idx="40">
                  <c:v>8.0660000000000007</c:v>
                </c:pt>
                <c:pt idx="41">
                  <c:v>18.318999999999999</c:v>
                </c:pt>
                <c:pt idx="42">
                  <c:v>28.699000000000002</c:v>
                </c:pt>
                <c:pt idx="43">
                  <c:v>29.503</c:v>
                </c:pt>
                <c:pt idx="44">
                  <c:v>29.6</c:v>
                </c:pt>
                <c:pt idx="45">
                  <c:v>29.870999999999999</c:v>
                </c:pt>
                <c:pt idx="46">
                  <c:v>30.472000000000001</c:v>
                </c:pt>
                <c:pt idx="47">
                  <c:v>30.763000000000002</c:v>
                </c:pt>
                <c:pt idx="48">
                  <c:v>30.483000000000001</c:v>
                </c:pt>
                <c:pt idx="49">
                  <c:v>27.613</c:v>
                </c:pt>
                <c:pt idx="50">
                  <c:v>30.899000000000001</c:v>
                </c:pt>
                <c:pt idx="51">
                  <c:v>30.901</c:v>
                </c:pt>
                <c:pt idx="52">
                  <c:v>31.457999999999998</c:v>
                </c:pt>
                <c:pt idx="53">
                  <c:v>31.849</c:v>
                </c:pt>
                <c:pt idx="54">
                  <c:v>32.088000000000001</c:v>
                </c:pt>
                <c:pt idx="55">
                  <c:v>32.521999999999998</c:v>
                </c:pt>
                <c:pt idx="56">
                  <c:v>29.437000000000001</c:v>
                </c:pt>
                <c:pt idx="57">
                  <c:v>33.371000000000002</c:v>
                </c:pt>
                <c:pt idx="58">
                  <c:v>26.454000000000001</c:v>
                </c:pt>
                <c:pt idx="59">
                  <c:v>14.224</c:v>
                </c:pt>
                <c:pt idx="60">
                  <c:v>21.396000000000001</c:v>
                </c:pt>
                <c:pt idx="61">
                  <c:v>31.446000000000002</c:v>
                </c:pt>
                <c:pt idx="62">
                  <c:v>13.218</c:v>
                </c:pt>
                <c:pt idx="63">
                  <c:v>35.537999999999997</c:v>
                </c:pt>
                <c:pt idx="64">
                  <c:v>21.699000000000002</c:v>
                </c:pt>
                <c:pt idx="65">
                  <c:v>35.073</c:v>
                </c:pt>
                <c:pt idx="66">
                  <c:v>20.709</c:v>
                </c:pt>
                <c:pt idx="67">
                  <c:v>19.478000000000002</c:v>
                </c:pt>
                <c:pt idx="68">
                  <c:v>13.632999999999999</c:v>
                </c:pt>
                <c:pt idx="69">
                  <c:v>25.431000000000001</c:v>
                </c:pt>
                <c:pt idx="70">
                  <c:v>32.241</c:v>
                </c:pt>
                <c:pt idx="71">
                  <c:v>24.542000000000002</c:v>
                </c:pt>
                <c:pt idx="72">
                  <c:v>22.173999999999999</c:v>
                </c:pt>
                <c:pt idx="73">
                  <c:v>12.083</c:v>
                </c:pt>
                <c:pt idx="74">
                  <c:v>39.783000000000001</c:v>
                </c:pt>
                <c:pt idx="75">
                  <c:v>15.815</c:v>
                </c:pt>
                <c:pt idx="76">
                  <c:v>30.244</c:v>
                </c:pt>
                <c:pt idx="77">
                  <c:v>11.784000000000001</c:v>
                </c:pt>
                <c:pt idx="78">
                  <c:v>42.481999999999999</c:v>
                </c:pt>
                <c:pt idx="79">
                  <c:v>42.76</c:v>
                </c:pt>
                <c:pt idx="80">
                  <c:v>41.951000000000001</c:v>
                </c:pt>
                <c:pt idx="81">
                  <c:v>39.887999999999998</c:v>
                </c:pt>
                <c:pt idx="82">
                  <c:v>43.39</c:v>
                </c:pt>
                <c:pt idx="83">
                  <c:v>38.128999999999998</c:v>
                </c:pt>
                <c:pt idx="84">
                  <c:v>46.466000000000001</c:v>
                </c:pt>
                <c:pt idx="85">
                  <c:v>45.872999999999998</c:v>
                </c:pt>
                <c:pt idx="86">
                  <c:v>45.121000000000002</c:v>
                </c:pt>
                <c:pt idx="87">
                  <c:v>45.460999999999999</c:v>
                </c:pt>
                <c:pt idx="88">
                  <c:v>46.445</c:v>
                </c:pt>
                <c:pt idx="89">
                  <c:v>38.387</c:v>
                </c:pt>
                <c:pt idx="90">
                  <c:v>35.732999999999997</c:v>
                </c:pt>
                <c:pt idx="91">
                  <c:v>16.574000000000002</c:v>
                </c:pt>
                <c:pt idx="92">
                  <c:v>15.343999999999999</c:v>
                </c:pt>
                <c:pt idx="93">
                  <c:v>39.715000000000003</c:v>
                </c:pt>
                <c:pt idx="94">
                  <c:v>44.771000000000001</c:v>
                </c:pt>
                <c:pt idx="95">
                  <c:v>20.440999999999999</c:v>
                </c:pt>
                <c:pt idx="96">
                  <c:v>35.639000000000003</c:v>
                </c:pt>
                <c:pt idx="97">
                  <c:v>31.853999999999999</c:v>
                </c:pt>
                <c:pt idx="98">
                  <c:v>40.499000000000002</c:v>
                </c:pt>
                <c:pt idx="99">
                  <c:v>33.017000000000003</c:v>
                </c:pt>
                <c:pt idx="100">
                  <c:v>11.307</c:v>
                </c:pt>
                <c:pt idx="101">
                  <c:v>52.335999999999999</c:v>
                </c:pt>
                <c:pt idx="102">
                  <c:v>52.113999999999997</c:v>
                </c:pt>
                <c:pt idx="103">
                  <c:v>28.076000000000001</c:v>
                </c:pt>
                <c:pt idx="104">
                  <c:v>35.902000000000001</c:v>
                </c:pt>
                <c:pt idx="105">
                  <c:v>36.454000000000001</c:v>
                </c:pt>
                <c:pt idx="106">
                  <c:v>35.334000000000003</c:v>
                </c:pt>
                <c:pt idx="107">
                  <c:v>26.808</c:v>
                </c:pt>
                <c:pt idx="108">
                  <c:v>49.383000000000003</c:v>
                </c:pt>
                <c:pt idx="109">
                  <c:v>45.578000000000003</c:v>
                </c:pt>
                <c:pt idx="110">
                  <c:v>17.8</c:v>
                </c:pt>
                <c:pt idx="111">
                  <c:v>31.391999999999999</c:v>
                </c:pt>
                <c:pt idx="112">
                  <c:v>31.861000000000001</c:v>
                </c:pt>
                <c:pt idx="113">
                  <c:v>48.704999999999998</c:v>
                </c:pt>
                <c:pt idx="114">
                  <c:v>34.011000000000003</c:v>
                </c:pt>
                <c:pt idx="115">
                  <c:v>29.116</c:v>
                </c:pt>
                <c:pt idx="116">
                  <c:v>29.472000000000001</c:v>
                </c:pt>
                <c:pt idx="117">
                  <c:v>41.606000000000002</c:v>
                </c:pt>
                <c:pt idx="118">
                  <c:v>50.776000000000003</c:v>
                </c:pt>
                <c:pt idx="119">
                  <c:v>56.076999999999998</c:v>
                </c:pt>
                <c:pt idx="120">
                  <c:v>50.85</c:v>
                </c:pt>
                <c:pt idx="121">
                  <c:v>32.633000000000003</c:v>
                </c:pt>
                <c:pt idx="122">
                  <c:v>19.25</c:v>
                </c:pt>
                <c:pt idx="123">
                  <c:v>32.631</c:v>
                </c:pt>
                <c:pt idx="124">
                  <c:v>45.747</c:v>
                </c:pt>
                <c:pt idx="125">
                  <c:v>58.3</c:v>
                </c:pt>
                <c:pt idx="126">
                  <c:v>41.601999999999997</c:v>
                </c:pt>
                <c:pt idx="127">
                  <c:v>29.079000000000001</c:v>
                </c:pt>
                <c:pt idx="128">
                  <c:v>43.131999999999998</c:v>
                </c:pt>
                <c:pt idx="129">
                  <c:v>35.646999999999998</c:v>
                </c:pt>
                <c:pt idx="130">
                  <c:v>36.712000000000003</c:v>
                </c:pt>
                <c:pt idx="131">
                  <c:v>56.689</c:v>
                </c:pt>
                <c:pt idx="132">
                  <c:v>59.718000000000004</c:v>
                </c:pt>
                <c:pt idx="133">
                  <c:v>58.183999999999997</c:v>
                </c:pt>
                <c:pt idx="134">
                  <c:v>59.075000000000003</c:v>
                </c:pt>
                <c:pt idx="135">
                  <c:v>49.469000000000001</c:v>
                </c:pt>
                <c:pt idx="136">
                  <c:v>7.3579999999999997</c:v>
                </c:pt>
                <c:pt idx="137">
                  <c:v>36.67</c:v>
                </c:pt>
                <c:pt idx="138">
                  <c:v>26.847000000000001</c:v>
                </c:pt>
                <c:pt idx="139">
                  <c:v>52.811999999999998</c:v>
                </c:pt>
                <c:pt idx="140">
                  <c:v>50.917999999999999</c:v>
                </c:pt>
                <c:pt idx="141">
                  <c:v>56.692</c:v>
                </c:pt>
                <c:pt idx="142">
                  <c:v>46.872999999999998</c:v>
                </c:pt>
                <c:pt idx="143">
                  <c:v>12.458</c:v>
                </c:pt>
                <c:pt idx="144">
                  <c:v>26.260999999999999</c:v>
                </c:pt>
                <c:pt idx="145">
                  <c:v>26.457999999999998</c:v>
                </c:pt>
                <c:pt idx="146">
                  <c:v>29.731000000000002</c:v>
                </c:pt>
                <c:pt idx="147">
                  <c:v>27.841999999999999</c:v>
                </c:pt>
                <c:pt idx="148">
                  <c:v>38.228999999999999</c:v>
                </c:pt>
                <c:pt idx="149">
                  <c:v>51.194000000000003</c:v>
                </c:pt>
                <c:pt idx="150">
                  <c:v>58.776000000000003</c:v>
                </c:pt>
                <c:pt idx="151">
                  <c:v>58.956000000000003</c:v>
                </c:pt>
                <c:pt idx="152">
                  <c:v>57.670999999999999</c:v>
                </c:pt>
                <c:pt idx="153">
                  <c:v>46.628</c:v>
                </c:pt>
                <c:pt idx="154">
                  <c:v>53.042000000000002</c:v>
                </c:pt>
                <c:pt idx="155">
                  <c:v>11.388999999999999</c:v>
                </c:pt>
                <c:pt idx="156">
                  <c:v>59.83</c:v>
                </c:pt>
                <c:pt idx="157">
                  <c:v>19.96</c:v>
                </c:pt>
                <c:pt idx="158">
                  <c:v>59.302999999999997</c:v>
                </c:pt>
                <c:pt idx="159">
                  <c:v>46.488999999999997</c:v>
                </c:pt>
                <c:pt idx="160">
                  <c:v>21.196999999999999</c:v>
                </c:pt>
                <c:pt idx="161">
                  <c:v>33.366</c:v>
                </c:pt>
                <c:pt idx="162">
                  <c:v>53.636000000000003</c:v>
                </c:pt>
                <c:pt idx="163">
                  <c:v>59.603999999999999</c:v>
                </c:pt>
                <c:pt idx="164">
                  <c:v>23.704000000000001</c:v>
                </c:pt>
                <c:pt idx="165">
                  <c:v>24.65</c:v>
                </c:pt>
                <c:pt idx="166">
                  <c:v>60.661999999999999</c:v>
                </c:pt>
                <c:pt idx="167">
                  <c:v>57.918999999999997</c:v>
                </c:pt>
                <c:pt idx="168">
                  <c:v>57.185000000000002</c:v>
                </c:pt>
                <c:pt idx="169">
                  <c:v>46.046999999999997</c:v>
                </c:pt>
                <c:pt idx="170">
                  <c:v>27.423999999999999</c:v>
                </c:pt>
                <c:pt idx="171">
                  <c:v>10.744999999999999</c:v>
                </c:pt>
                <c:pt idx="172">
                  <c:v>53.081000000000003</c:v>
                </c:pt>
                <c:pt idx="173">
                  <c:v>50.929000000000002</c:v>
                </c:pt>
                <c:pt idx="174">
                  <c:v>37.219000000000001</c:v>
                </c:pt>
                <c:pt idx="175">
                  <c:v>53.841999999999999</c:v>
                </c:pt>
                <c:pt idx="176">
                  <c:v>55.500999999999998</c:v>
                </c:pt>
                <c:pt idx="177">
                  <c:v>55.335999999999999</c:v>
                </c:pt>
                <c:pt idx="178">
                  <c:v>55.792999999999999</c:v>
                </c:pt>
                <c:pt idx="179">
                  <c:v>53.042999999999999</c:v>
                </c:pt>
                <c:pt idx="180">
                  <c:v>50.395000000000003</c:v>
                </c:pt>
                <c:pt idx="181">
                  <c:v>18.343</c:v>
                </c:pt>
                <c:pt idx="182">
                  <c:v>31.757000000000001</c:v>
                </c:pt>
                <c:pt idx="183">
                  <c:v>48.45</c:v>
                </c:pt>
                <c:pt idx="184">
                  <c:v>54.118000000000002</c:v>
                </c:pt>
                <c:pt idx="185">
                  <c:v>52.238999999999997</c:v>
                </c:pt>
                <c:pt idx="186">
                  <c:v>50.734999999999999</c:v>
                </c:pt>
                <c:pt idx="187">
                  <c:v>50.954999999999998</c:v>
                </c:pt>
                <c:pt idx="188">
                  <c:v>32.588999999999999</c:v>
                </c:pt>
                <c:pt idx="189">
                  <c:v>19.640999999999998</c:v>
                </c:pt>
                <c:pt idx="190">
                  <c:v>56.837000000000003</c:v>
                </c:pt>
                <c:pt idx="191">
                  <c:v>56.527000000000001</c:v>
                </c:pt>
                <c:pt idx="192">
                  <c:v>56.868000000000002</c:v>
                </c:pt>
                <c:pt idx="193">
                  <c:v>49.363</c:v>
                </c:pt>
                <c:pt idx="194">
                  <c:v>56.484999999999999</c:v>
                </c:pt>
                <c:pt idx="195">
                  <c:v>57.575000000000003</c:v>
                </c:pt>
                <c:pt idx="196">
                  <c:v>55.761000000000003</c:v>
                </c:pt>
                <c:pt idx="197">
                  <c:v>47.889000000000003</c:v>
                </c:pt>
                <c:pt idx="198">
                  <c:v>41.49</c:v>
                </c:pt>
                <c:pt idx="199">
                  <c:v>54.183999999999997</c:v>
                </c:pt>
                <c:pt idx="200">
                  <c:v>26.649000000000001</c:v>
                </c:pt>
                <c:pt idx="201">
                  <c:v>43.764000000000003</c:v>
                </c:pt>
                <c:pt idx="202">
                  <c:v>46.529000000000003</c:v>
                </c:pt>
                <c:pt idx="203">
                  <c:v>50.97</c:v>
                </c:pt>
                <c:pt idx="204">
                  <c:v>51.127000000000002</c:v>
                </c:pt>
                <c:pt idx="205">
                  <c:v>51.35</c:v>
                </c:pt>
                <c:pt idx="206">
                  <c:v>19.841999999999999</c:v>
                </c:pt>
                <c:pt idx="207">
                  <c:v>13.205</c:v>
                </c:pt>
                <c:pt idx="208">
                  <c:v>50.884</c:v>
                </c:pt>
                <c:pt idx="209">
                  <c:v>53.296999999999997</c:v>
                </c:pt>
                <c:pt idx="210">
                  <c:v>26.884</c:v>
                </c:pt>
                <c:pt idx="211">
                  <c:v>51.174999999999997</c:v>
                </c:pt>
                <c:pt idx="212">
                  <c:v>46.734000000000002</c:v>
                </c:pt>
                <c:pt idx="213">
                  <c:v>50.973999999999997</c:v>
                </c:pt>
                <c:pt idx="214">
                  <c:v>50.779000000000003</c:v>
                </c:pt>
                <c:pt idx="215">
                  <c:v>47.813000000000002</c:v>
                </c:pt>
                <c:pt idx="216">
                  <c:v>48.362000000000002</c:v>
                </c:pt>
                <c:pt idx="217">
                  <c:v>36.878999999999998</c:v>
                </c:pt>
                <c:pt idx="218">
                  <c:v>38.862000000000002</c:v>
                </c:pt>
                <c:pt idx="219">
                  <c:v>48.76</c:v>
                </c:pt>
                <c:pt idx="220">
                  <c:v>44.231000000000002</c:v>
                </c:pt>
                <c:pt idx="221">
                  <c:v>36.264000000000003</c:v>
                </c:pt>
                <c:pt idx="222">
                  <c:v>25.841000000000001</c:v>
                </c:pt>
                <c:pt idx="223">
                  <c:v>26.486999999999998</c:v>
                </c:pt>
                <c:pt idx="224">
                  <c:v>43.743000000000002</c:v>
                </c:pt>
                <c:pt idx="225">
                  <c:v>49.786999999999999</c:v>
                </c:pt>
                <c:pt idx="226">
                  <c:v>28.033999999999999</c:v>
                </c:pt>
                <c:pt idx="227">
                  <c:v>48.49</c:v>
                </c:pt>
                <c:pt idx="228">
                  <c:v>47.905000000000001</c:v>
                </c:pt>
                <c:pt idx="229">
                  <c:v>30.277000000000001</c:v>
                </c:pt>
                <c:pt idx="230">
                  <c:v>32.186999999999998</c:v>
                </c:pt>
                <c:pt idx="231">
                  <c:v>30.5</c:v>
                </c:pt>
                <c:pt idx="232">
                  <c:v>45.197000000000003</c:v>
                </c:pt>
                <c:pt idx="233">
                  <c:v>48.493000000000002</c:v>
                </c:pt>
                <c:pt idx="234">
                  <c:v>46.073999999999998</c:v>
                </c:pt>
                <c:pt idx="235">
                  <c:v>45.578000000000003</c:v>
                </c:pt>
                <c:pt idx="236">
                  <c:v>41.762999999999998</c:v>
                </c:pt>
                <c:pt idx="237">
                  <c:v>37.658999999999999</c:v>
                </c:pt>
                <c:pt idx="238">
                  <c:v>28.398</c:v>
                </c:pt>
                <c:pt idx="239">
                  <c:v>37.401000000000003</c:v>
                </c:pt>
                <c:pt idx="240">
                  <c:v>43.253999999999998</c:v>
                </c:pt>
                <c:pt idx="241">
                  <c:v>42.47</c:v>
                </c:pt>
                <c:pt idx="242">
                  <c:v>40.496000000000002</c:v>
                </c:pt>
                <c:pt idx="243">
                  <c:v>16.472000000000001</c:v>
                </c:pt>
                <c:pt idx="244">
                  <c:v>43.183999999999997</c:v>
                </c:pt>
                <c:pt idx="245">
                  <c:v>44.627000000000002</c:v>
                </c:pt>
                <c:pt idx="246">
                  <c:v>44.03</c:v>
                </c:pt>
                <c:pt idx="247">
                  <c:v>35.029000000000003</c:v>
                </c:pt>
                <c:pt idx="248">
                  <c:v>44.825000000000003</c:v>
                </c:pt>
                <c:pt idx="249">
                  <c:v>40.637</c:v>
                </c:pt>
                <c:pt idx="250">
                  <c:v>38.756</c:v>
                </c:pt>
                <c:pt idx="251">
                  <c:v>33.19</c:v>
                </c:pt>
                <c:pt idx="252">
                  <c:v>12.759</c:v>
                </c:pt>
                <c:pt idx="253">
                  <c:v>40.008000000000003</c:v>
                </c:pt>
                <c:pt idx="254">
                  <c:v>40.646999999999998</c:v>
                </c:pt>
                <c:pt idx="255">
                  <c:v>31.567</c:v>
                </c:pt>
                <c:pt idx="256">
                  <c:v>35.555</c:v>
                </c:pt>
                <c:pt idx="257">
                  <c:v>35.911000000000001</c:v>
                </c:pt>
                <c:pt idx="258">
                  <c:v>35.534999999999997</c:v>
                </c:pt>
                <c:pt idx="259">
                  <c:v>34.576000000000001</c:v>
                </c:pt>
                <c:pt idx="260">
                  <c:v>24.2</c:v>
                </c:pt>
                <c:pt idx="261">
                  <c:v>35.453000000000003</c:v>
                </c:pt>
                <c:pt idx="262">
                  <c:v>34.643999999999998</c:v>
                </c:pt>
                <c:pt idx="263">
                  <c:v>28.843</c:v>
                </c:pt>
                <c:pt idx="264">
                  <c:v>8.0869999999999997</c:v>
                </c:pt>
                <c:pt idx="265">
                  <c:v>34.137999999999998</c:v>
                </c:pt>
                <c:pt idx="266">
                  <c:v>22.684000000000001</c:v>
                </c:pt>
                <c:pt idx="267">
                  <c:v>26.872</c:v>
                </c:pt>
                <c:pt idx="268">
                  <c:v>28.228999999999999</c:v>
                </c:pt>
                <c:pt idx="269">
                  <c:v>29.335000000000001</c:v>
                </c:pt>
                <c:pt idx="270">
                  <c:v>27.445</c:v>
                </c:pt>
                <c:pt idx="271">
                  <c:v>33.634</c:v>
                </c:pt>
                <c:pt idx="272">
                  <c:v>26.047000000000001</c:v>
                </c:pt>
                <c:pt idx="273">
                  <c:v>25.393000000000001</c:v>
                </c:pt>
                <c:pt idx="274">
                  <c:v>20.038</c:v>
                </c:pt>
                <c:pt idx="275">
                  <c:v>29.221</c:v>
                </c:pt>
                <c:pt idx="276">
                  <c:v>9.66</c:v>
                </c:pt>
                <c:pt idx="277">
                  <c:v>28.57</c:v>
                </c:pt>
                <c:pt idx="278">
                  <c:v>16.873000000000001</c:v>
                </c:pt>
                <c:pt idx="279">
                  <c:v>25.184999999999999</c:v>
                </c:pt>
                <c:pt idx="280">
                  <c:v>29.823</c:v>
                </c:pt>
                <c:pt idx="281">
                  <c:v>9.3829999999999991</c:v>
                </c:pt>
                <c:pt idx="282">
                  <c:v>21.609000000000002</c:v>
                </c:pt>
                <c:pt idx="283">
                  <c:v>30.163</c:v>
                </c:pt>
                <c:pt idx="284">
                  <c:v>18.28</c:v>
                </c:pt>
                <c:pt idx="285">
                  <c:v>28.51</c:v>
                </c:pt>
                <c:pt idx="286">
                  <c:v>9.69</c:v>
                </c:pt>
                <c:pt idx="287">
                  <c:v>24.274000000000001</c:v>
                </c:pt>
                <c:pt idx="288">
                  <c:v>25.271999999999998</c:v>
                </c:pt>
                <c:pt idx="289">
                  <c:v>17.78</c:v>
                </c:pt>
                <c:pt idx="290">
                  <c:v>13.965</c:v>
                </c:pt>
                <c:pt idx="291">
                  <c:v>25.241</c:v>
                </c:pt>
                <c:pt idx="292">
                  <c:v>11.265000000000001</c:v>
                </c:pt>
                <c:pt idx="293">
                  <c:v>20.745999999999999</c:v>
                </c:pt>
                <c:pt idx="294">
                  <c:v>4.766</c:v>
                </c:pt>
                <c:pt idx="295">
                  <c:v>15.329000000000001</c:v>
                </c:pt>
                <c:pt idx="296">
                  <c:v>15.103999999999999</c:v>
                </c:pt>
                <c:pt idx="297">
                  <c:v>22.89</c:v>
                </c:pt>
                <c:pt idx="298">
                  <c:v>25.134</c:v>
                </c:pt>
                <c:pt idx="299">
                  <c:v>18.352</c:v>
                </c:pt>
                <c:pt idx="300">
                  <c:v>9.0380000000000003</c:v>
                </c:pt>
                <c:pt idx="301">
                  <c:v>22.175000000000001</c:v>
                </c:pt>
                <c:pt idx="302">
                  <c:v>17.843</c:v>
                </c:pt>
                <c:pt idx="303">
                  <c:v>14.340999999999999</c:v>
                </c:pt>
                <c:pt idx="304">
                  <c:v>7.2130000000000001</c:v>
                </c:pt>
                <c:pt idx="305">
                  <c:v>4.6529999999999996</c:v>
                </c:pt>
                <c:pt idx="306">
                  <c:v>10.831</c:v>
                </c:pt>
                <c:pt idx="307">
                  <c:v>7.923</c:v>
                </c:pt>
                <c:pt idx="308">
                  <c:v>10.67</c:v>
                </c:pt>
                <c:pt idx="309">
                  <c:v>11.632</c:v>
                </c:pt>
                <c:pt idx="310">
                  <c:v>4.0389999999999997</c:v>
                </c:pt>
                <c:pt idx="311">
                  <c:v>11.787000000000001</c:v>
                </c:pt>
                <c:pt idx="312">
                  <c:v>13.933999999999999</c:v>
                </c:pt>
                <c:pt idx="313">
                  <c:v>13.53</c:v>
                </c:pt>
                <c:pt idx="314">
                  <c:v>16.792000000000002</c:v>
                </c:pt>
                <c:pt idx="315">
                  <c:v>15.907</c:v>
                </c:pt>
                <c:pt idx="316">
                  <c:v>15.058999999999999</c:v>
                </c:pt>
                <c:pt idx="317">
                  <c:v>5.7370000000000001</c:v>
                </c:pt>
                <c:pt idx="318">
                  <c:v>8.8119999999999994</c:v>
                </c:pt>
                <c:pt idx="319">
                  <c:v>11.183999999999999</c:v>
                </c:pt>
                <c:pt idx="320">
                  <c:v>10.423999999999999</c:v>
                </c:pt>
                <c:pt idx="321">
                  <c:v>9.9909999999999997</c:v>
                </c:pt>
                <c:pt idx="322">
                  <c:v>15.286</c:v>
                </c:pt>
                <c:pt idx="323">
                  <c:v>18.343</c:v>
                </c:pt>
                <c:pt idx="324">
                  <c:v>18.295999999999999</c:v>
                </c:pt>
                <c:pt idx="325">
                  <c:v>9.952</c:v>
                </c:pt>
                <c:pt idx="326">
                  <c:v>6.1050000000000004</c:v>
                </c:pt>
                <c:pt idx="327">
                  <c:v>11.711</c:v>
                </c:pt>
                <c:pt idx="328">
                  <c:v>10.265000000000001</c:v>
                </c:pt>
                <c:pt idx="329">
                  <c:v>13.254</c:v>
                </c:pt>
                <c:pt idx="330">
                  <c:v>12.728999999999999</c:v>
                </c:pt>
                <c:pt idx="331">
                  <c:v>8.9589999999999996</c:v>
                </c:pt>
                <c:pt idx="332">
                  <c:v>14.045999999999999</c:v>
                </c:pt>
                <c:pt idx="333">
                  <c:v>9.8569999999999993</c:v>
                </c:pt>
                <c:pt idx="334">
                  <c:v>6.83</c:v>
                </c:pt>
                <c:pt idx="335">
                  <c:v>3.8650000000000002</c:v>
                </c:pt>
                <c:pt idx="336">
                  <c:v>4.4649999999999999</c:v>
                </c:pt>
                <c:pt idx="337">
                  <c:v>5.7030000000000003</c:v>
                </c:pt>
                <c:pt idx="338">
                  <c:v>7.1989999999999998</c:v>
                </c:pt>
                <c:pt idx="339">
                  <c:v>6.952</c:v>
                </c:pt>
                <c:pt idx="340">
                  <c:v>11.595000000000001</c:v>
                </c:pt>
                <c:pt idx="341">
                  <c:v>11.933999999999999</c:v>
                </c:pt>
                <c:pt idx="342">
                  <c:v>8.7260000000000009</c:v>
                </c:pt>
                <c:pt idx="343">
                  <c:v>14.042999999999999</c:v>
                </c:pt>
                <c:pt idx="344">
                  <c:v>1.8540000000000001</c:v>
                </c:pt>
                <c:pt idx="345">
                  <c:v>5.101</c:v>
                </c:pt>
                <c:pt idx="346">
                  <c:v>2.3039999999999998</c:v>
                </c:pt>
                <c:pt idx="347">
                  <c:v>14.004</c:v>
                </c:pt>
                <c:pt idx="348">
                  <c:v>15.157</c:v>
                </c:pt>
                <c:pt idx="349">
                  <c:v>11.097</c:v>
                </c:pt>
                <c:pt idx="350">
                  <c:v>8.7520000000000007</c:v>
                </c:pt>
                <c:pt idx="351">
                  <c:v>12.788</c:v>
                </c:pt>
                <c:pt idx="352">
                  <c:v>7.5469999999999997</c:v>
                </c:pt>
                <c:pt idx="353">
                  <c:v>7.141</c:v>
                </c:pt>
                <c:pt idx="354">
                  <c:v>12.435</c:v>
                </c:pt>
                <c:pt idx="355">
                  <c:v>5.3970000000000002</c:v>
                </c:pt>
                <c:pt idx="356">
                  <c:v>5.3230000000000004</c:v>
                </c:pt>
                <c:pt idx="357">
                  <c:v>12.183999999999999</c:v>
                </c:pt>
                <c:pt idx="358">
                  <c:v>10.547000000000001</c:v>
                </c:pt>
                <c:pt idx="359">
                  <c:v>7.7709999999999999</c:v>
                </c:pt>
                <c:pt idx="360">
                  <c:v>13.839</c:v>
                </c:pt>
                <c:pt idx="361">
                  <c:v>3.9980000000000002</c:v>
                </c:pt>
                <c:pt idx="362">
                  <c:v>17.29</c:v>
                </c:pt>
                <c:pt idx="363">
                  <c:v>15.94</c:v>
                </c:pt>
                <c:pt idx="364">
                  <c:v>9.8520000000000003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079224"/>
        <c:axId val="415890120"/>
      </c:lineChart>
      <c:dateAx>
        <c:axId val="416079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5890120"/>
        <c:crosses val="autoZero"/>
        <c:auto val="1"/>
        <c:lblOffset val="100"/>
        <c:baseTimeUnit val="days"/>
        <c:majorUnit val="1"/>
        <c:majorTimeUnit val="months"/>
      </c:dateAx>
      <c:valAx>
        <c:axId val="4158901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60792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2.7978866137667244E-2</c:v>
                </c:pt>
                <c:pt idx="214">
                  <c:v>2.8001745061271552E-2</c:v>
                </c:pt>
                <c:pt idx="215">
                  <c:v>2.8024623452449868E-2</c:v>
                </c:pt>
                <c:pt idx="216">
                  <c:v>2.8047501311214626E-2</c:v>
                </c:pt>
                <c:pt idx="217">
                  <c:v>2.807037863757815E-2</c:v>
                </c:pt>
                <c:pt idx="218">
                  <c:v>2.8093255431552874E-2</c:v>
                </c:pt>
                <c:pt idx="219">
                  <c:v>2.8116131693151233E-2</c:v>
                </c:pt>
                <c:pt idx="220">
                  <c:v>2.8139007422385551E-2</c:v>
                </c:pt>
                <c:pt idx="221">
                  <c:v>2.816188261926815E-2</c:v>
                </c:pt>
                <c:pt idx="222">
                  <c:v>2.8184757283811576E-2</c:v>
                </c:pt>
                <c:pt idx="223">
                  <c:v>2.8207631416028153E-2</c:v>
                </c:pt>
                <c:pt idx="224">
                  <c:v>2.8230505015930205E-2</c:v>
                </c:pt>
                <c:pt idx="225">
                  <c:v>2.8253378083530165E-2</c:v>
                </c:pt>
                <c:pt idx="226">
                  <c:v>2.8276250618840468E-2</c:v>
                </c:pt>
                <c:pt idx="227">
                  <c:v>2.8299122621873438E-2</c:v>
                </c:pt>
                <c:pt idx="228">
                  <c:v>2.8321994092641509E-2</c:v>
                </c:pt>
                <c:pt idx="229">
                  <c:v>2.8344865031157004E-2</c:v>
                </c:pt>
                <c:pt idx="230">
                  <c:v>2.8367735437432359E-2</c:v>
                </c:pt>
                <c:pt idx="231">
                  <c:v>2.8390605311480008E-2</c:v>
                </c:pt>
                <c:pt idx="232">
                  <c:v>2.8413474653312162E-2</c:v>
                </c:pt>
                <c:pt idx="233">
                  <c:v>2.8436343462941369E-2</c:v>
                </c:pt>
                <c:pt idx="234">
                  <c:v>2.8459211740380061E-2</c:v>
                </c:pt>
                <c:pt idx="235">
                  <c:v>2.8482079485640452E-2</c:v>
                </c:pt>
                <c:pt idx="236">
                  <c:v>2.8504946698734976E-2</c:v>
                </c:pt>
                <c:pt idx="237">
                  <c:v>2.8527813379676067E-2</c:v>
                </c:pt>
                <c:pt idx="238">
                  <c:v>2.855067952847605E-2</c:v>
                </c:pt>
                <c:pt idx="239">
                  <c:v>2.8573545145147358E-2</c:v>
                </c:pt>
                <c:pt idx="240">
                  <c:v>2.8596410229702426E-2</c:v>
                </c:pt>
                <c:pt idx="241">
                  <c:v>2.8619274782153578E-2</c:v>
                </c:pt>
                <c:pt idx="242">
                  <c:v>2.8642138802513137E-2</c:v>
                </c:pt>
                <c:pt idx="243">
                  <c:v>2.8665002290793537E-2</c:v>
                </c:pt>
                <c:pt idx="244">
                  <c:v>2.8687865247007213E-2</c:v>
                </c:pt>
                <c:pt idx="245">
                  <c:v>2.8710727671166378E-2</c:v>
                </c:pt>
                <c:pt idx="246">
                  <c:v>2.8733589563283687E-2</c:v>
                </c:pt>
                <c:pt idx="247">
                  <c:v>2.8756450923371243E-2</c:v>
                </c:pt>
                <c:pt idx="248">
                  <c:v>2.8779311751441591E-2</c:v>
                </c:pt>
                <c:pt idx="249">
                  <c:v>2.8802172047507166E-2</c:v>
                </c:pt>
                <c:pt idx="250">
                  <c:v>2.8825031811580179E-2</c:v>
                </c:pt>
                <c:pt idx="251">
                  <c:v>2.8847891043673066E-2</c:v>
                </c:pt>
                <c:pt idx="252">
                  <c:v>2.887074974379826E-2</c:v>
                </c:pt>
                <c:pt idx="253">
                  <c:v>2.8893607911968086E-2</c:v>
                </c:pt>
                <c:pt idx="254">
                  <c:v>2.8916465548194867E-2</c:v>
                </c:pt>
                <c:pt idx="255">
                  <c:v>2.8939322652491148E-2</c:v>
                </c:pt>
                <c:pt idx="256">
                  <c:v>2.8962179224869253E-2</c:v>
                </c:pt>
                <c:pt idx="257">
                  <c:v>2.8985035265341505E-2</c:v>
                </c:pt>
                <c:pt idx="258">
                  <c:v>2.9007890773920228E-2</c:v>
                </c:pt>
                <c:pt idx="259">
                  <c:v>2.9030745750617967E-2</c:v>
                </c:pt>
                <c:pt idx="260">
                  <c:v>2.9053600195446935E-2</c:v>
                </c:pt>
                <c:pt idx="261">
                  <c:v>2.9076454108419678E-2</c:v>
                </c:pt>
                <c:pt idx="262">
                  <c:v>2.9099307489548407E-2</c:v>
                </c:pt>
                <c:pt idx="263">
                  <c:v>2.9122160338845668E-2</c:v>
                </c:pt>
                <c:pt idx="264">
                  <c:v>2.9145012656323563E-2</c:v>
                </c:pt>
                <c:pt idx="265">
                  <c:v>2.9167864441994748E-2</c:v>
                </c:pt>
                <c:pt idx="266">
                  <c:v>2.9190715695871547E-2</c:v>
                </c:pt>
                <c:pt idx="267">
                  <c:v>2.9213566417966283E-2</c:v>
                </c:pt>
                <c:pt idx="268">
                  <c:v>2.923641660829128E-2</c:v>
                </c:pt>
                <c:pt idx="269">
                  <c:v>2.9259266266858971E-2</c:v>
                </c:pt>
                <c:pt idx="270">
                  <c:v>2.9282115393681682E-2</c:v>
                </c:pt>
                <c:pt idx="271">
                  <c:v>2.9304963988771845E-2</c:v>
                </c:pt>
                <c:pt idx="272">
                  <c:v>2.9327812052141897E-2</c:v>
                </c:pt>
                <c:pt idx="273">
                  <c:v>2.9350659583804048E-2</c:v>
                </c:pt>
                <c:pt idx="274">
                  <c:v>2.9373506583770845E-2</c:v>
                </c:pt>
                <c:pt idx="275">
                  <c:v>2.93963530520545E-2</c:v>
                </c:pt>
                <c:pt idx="276">
                  <c:v>2.9419198988667447E-2</c:v>
                </c:pt>
                <c:pt idx="277">
                  <c:v>2.9442044393622122E-2</c:v>
                </c:pt>
                <c:pt idx="278">
                  <c:v>2.9464889266930847E-2</c:v>
                </c:pt>
                <c:pt idx="279">
                  <c:v>2.9487733608606057E-2</c:v>
                </c:pt>
                <c:pt idx="280">
                  <c:v>2.9510577418659964E-2</c:v>
                </c:pt>
                <c:pt idx="281">
                  <c:v>2.9533420697105114E-2</c:v>
                </c:pt>
                <c:pt idx="282">
                  <c:v>2.955626344395372E-2</c:v>
                </c:pt>
                <c:pt idx="283">
                  <c:v>2.9579105659218327E-2</c:v>
                </c:pt>
                <c:pt idx="284">
                  <c:v>2.9601947342911147E-2</c:v>
                </c:pt>
                <c:pt idx="285">
                  <c:v>2.9624788495044616E-2</c:v>
                </c:pt>
                <c:pt idx="286">
                  <c:v>2.9647629115631166E-2</c:v>
                </c:pt>
                <c:pt idx="287">
                  <c:v>2.9670469204683012E-2</c:v>
                </c:pt>
                <c:pt idx="288">
                  <c:v>2.9693308762212697E-2</c:v>
                </c:pt>
                <c:pt idx="289">
                  <c:v>2.9716147788232436E-2</c:v>
                </c:pt>
                <c:pt idx="290">
                  <c:v>2.9738986282754773E-2</c:v>
                </c:pt>
                <c:pt idx="291">
                  <c:v>2.9761824245791921E-2</c:v>
                </c:pt>
                <c:pt idx="292">
                  <c:v>2.9784661677356314E-2</c:v>
                </c:pt>
                <c:pt idx="293">
                  <c:v>2.9807498577460276E-2</c:v>
                </c:pt>
                <c:pt idx="294">
                  <c:v>2.9830334946116241E-2</c:v>
                </c:pt>
                <c:pt idx="295">
                  <c:v>2.9853170783336533E-2</c:v>
                </c:pt>
                <c:pt idx="296">
                  <c:v>2.9876006089133586E-2</c:v>
                </c:pt>
                <c:pt idx="297">
                  <c:v>2.9898840863519724E-2</c:v>
                </c:pt>
                <c:pt idx="298">
                  <c:v>2.9921675106507159E-2</c:v>
                </c:pt>
                <c:pt idx="299">
                  <c:v>2.9944508818108548E-2</c:v>
                </c:pt>
                <c:pt idx="300">
                  <c:v>2.9967341998336103E-2</c:v>
                </c:pt>
                <c:pt idx="301">
                  <c:v>2.9990174647202147E-2</c:v>
                </c:pt>
                <c:pt idx="302">
                  <c:v>3.0013006764719116E-2</c:v>
                </c:pt>
                <c:pt idx="303">
                  <c:v>3.0035838350899333E-2</c:v>
                </c:pt>
                <c:pt idx="304">
                  <c:v>3.005866940575512E-2</c:v>
                </c:pt>
                <c:pt idx="305">
                  <c:v>3.0081499929299024E-2</c:v>
                </c:pt>
                <c:pt idx="306">
                  <c:v>3.0104329921543257E-2</c:v>
                </c:pt>
                <c:pt idx="307">
                  <c:v>3.0127159382500143E-2</c:v>
                </c:pt>
                <c:pt idx="308">
                  <c:v>3.0149988312182227E-2</c:v>
                </c:pt>
                <c:pt idx="309">
                  <c:v>3.0172816710601721E-2</c:v>
                </c:pt>
                <c:pt idx="310">
                  <c:v>3.0195644577771061E-2</c:v>
                </c:pt>
                <c:pt idx="311">
                  <c:v>3.0218471913702569E-2</c:v>
                </c:pt>
                <c:pt idx="312">
                  <c:v>3.0241298718408569E-2</c:v>
                </c:pt>
                <c:pt idx="313">
                  <c:v>3.0264124991901495E-2</c:v>
                </c:pt>
                <c:pt idx="314">
                  <c:v>3.0286950734193782E-2</c:v>
                </c:pt>
                <c:pt idx="315">
                  <c:v>3.0309775945297532E-2</c:v>
                </c:pt>
                <c:pt idx="316">
                  <c:v>3.03326006252254E-2</c:v>
                </c:pt>
                <c:pt idx="317">
                  <c:v>3.03554247739896E-2</c:v>
                </c:pt>
                <c:pt idx="318">
                  <c:v>3.0378248391602566E-2</c:v>
                </c:pt>
                <c:pt idx="319">
                  <c:v>3.0401071478076511E-2</c:v>
                </c:pt>
                <c:pt idx="320">
                  <c:v>3.0423894033423868E-2</c:v>
                </c:pt>
                <c:pt idx="321">
                  <c:v>3.0446716057657183E-2</c:v>
                </c:pt>
                <c:pt idx="322">
                  <c:v>3.0469537550788447E-2</c:v>
                </c:pt>
                <c:pt idx="323">
                  <c:v>3.0492358512830428E-2</c:v>
                </c:pt>
                <c:pt idx="324">
                  <c:v>3.0515178943795115E-2</c:v>
                </c:pt>
                <c:pt idx="325">
                  <c:v>3.0537998843695166E-2</c:v>
                </c:pt>
                <c:pt idx="326">
                  <c:v>3.0560818212542681E-2</c:v>
                </c:pt>
                <c:pt idx="327">
                  <c:v>3.0583637050350207E-2</c:v>
                </c:pt>
                <c:pt idx="328">
                  <c:v>3.0606455357130066E-2</c:v>
                </c:pt>
                <c:pt idx="329">
                  <c:v>3.0629273132894583E-2</c:v>
                </c:pt>
                <c:pt idx="330">
                  <c:v>3.065209037765608E-2</c:v>
                </c:pt>
                <c:pt idx="331">
                  <c:v>3.0674907091426992E-2</c:v>
                </c:pt>
                <c:pt idx="332">
                  <c:v>3.0697723274219643E-2</c:v>
                </c:pt>
                <c:pt idx="333">
                  <c:v>3.0720538926046467E-2</c:v>
                </c:pt>
                <c:pt idx="334">
                  <c:v>3.0743354046919566E-2</c:v>
                </c:pt>
                <c:pt idx="335">
                  <c:v>3.0766168636851596E-2</c:v>
                </c:pt>
                <c:pt idx="336">
                  <c:v>3.0788982695854769E-2</c:v>
                </c:pt>
                <c:pt idx="337">
                  <c:v>3.0811796223941409E-2</c:v>
                </c:pt>
                <c:pt idx="338">
                  <c:v>3.0834609221123951E-2</c:v>
                </c:pt>
                <c:pt idx="339">
                  <c:v>3.0857421687414829E-2</c:v>
                </c:pt>
                <c:pt idx="340">
                  <c:v>3.0880233622826145E-2</c:v>
                </c:pt>
                <c:pt idx="341">
                  <c:v>3.0903045027370443E-2</c:v>
                </c:pt>
                <c:pt idx="342">
                  <c:v>3.0925855901060048E-2</c:v>
                </c:pt>
                <c:pt idx="343">
                  <c:v>3.0948666243907283E-2</c:v>
                </c:pt>
                <c:pt idx="344">
                  <c:v>3.0971476055924471E-2</c:v>
                </c:pt>
                <c:pt idx="345">
                  <c:v>3.0994285337124047E-2</c:v>
                </c:pt>
                <c:pt idx="346">
                  <c:v>3.1017094087518335E-2</c:v>
                </c:pt>
                <c:pt idx="347">
                  <c:v>3.1039902307119768E-2</c:v>
                </c:pt>
                <c:pt idx="348">
                  <c:v>3.1062709995940449E-2</c:v>
                </c:pt>
                <c:pt idx="349">
                  <c:v>3.1085517153993034E-2</c:v>
                </c:pt>
                <c:pt idx="350">
                  <c:v>3.1108323781289623E-2</c:v>
                </c:pt>
                <c:pt idx="351">
                  <c:v>3.1131129877842653E-2</c:v>
                </c:pt>
                <c:pt idx="352">
                  <c:v>3.1153935443664557E-2</c:v>
                </c:pt>
                <c:pt idx="353">
                  <c:v>3.1176740478767659E-2</c:v>
                </c:pt>
                <c:pt idx="354">
                  <c:v>3.1199544983164282E-2</c:v>
                </c:pt>
                <c:pt idx="355">
                  <c:v>3.1222348956866749E-2</c:v>
                </c:pt>
                <c:pt idx="356">
                  <c:v>3.1245152399887385E-2</c:v>
                </c:pt>
                <c:pt idx="357">
                  <c:v>3.1267955312238624E-2</c:v>
                </c:pt>
                <c:pt idx="358">
                  <c:v>3.1290757693932789E-2</c:v>
                </c:pt>
                <c:pt idx="359">
                  <c:v>3.1313559544982203E-2</c:v>
                </c:pt>
                <c:pt idx="360">
                  <c:v>3.1336360865399301E-2</c:v>
                </c:pt>
                <c:pt idx="361">
                  <c:v>3.1359161655196297E-2</c:v>
                </c:pt>
                <c:pt idx="362">
                  <c:v>3.1381961914385623E-2</c:v>
                </c:pt>
                <c:pt idx="363">
                  <c:v>3.1404761642979603E-2</c:v>
                </c:pt>
                <c:pt idx="364">
                  <c:v>3.1427560840990562E-2</c:v>
                </c:pt>
                <c:pt idx="365">
                  <c:v>3.1450359508430933E-2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7.3678669690477289E-2</c:v>
                </c:pt>
                <c:pt idx="1">
                  <c:v>7.3781325939436565E-2</c:v>
                </c:pt>
                <c:pt idx="2">
                  <c:v>7.3884024320420572E-2</c:v>
                </c:pt>
                <c:pt idx="3">
                  <c:v>7.3986748370749186E-2</c:v>
                </c:pt>
                <c:pt idx="4">
                  <c:v>7.4089483764167324E-2</c:v>
                </c:pt>
                <c:pt idx="5">
                  <c:v>7.419221825439419E-2</c:v>
                </c:pt>
                <c:pt idx="6">
                  <c:v>7.4294941601659184E-2</c:v>
                </c:pt>
                <c:pt idx="7">
                  <c:v>7.4397645483487637E-2</c:v>
                </c:pt>
                <c:pt idx="8">
                  <c:v>7.4500323391121323E-2</c:v>
                </c:pt>
                <c:pt idx="9">
                  <c:v>7.4602970513065844E-2</c:v>
                </c:pt>
                <c:pt idx="10">
                  <c:v>7.4705583607348719E-2</c:v>
                </c:pt>
                <c:pt idx="11">
                  <c:v>7.4808160864145101E-2</c:v>
                </c:pt>
                <c:pt idx="12">
                  <c:v>7.4910701760486656E-2</c:v>
                </c:pt>
                <c:pt idx="13">
                  <c:v>7.5013206908807736E-2</c:v>
                </c:pt>
                <c:pt idx="14">
                  <c:v>7.5115677901104919E-2</c:v>
                </c:pt>
                <c:pt idx="15">
                  <c:v>7.5218117150491037E-2</c:v>
                </c:pt>
                <c:pt idx="16">
                  <c:v>7.5320527731910156E-2</c:v>
                </c:pt>
                <c:pt idx="17">
                  <c:v>7.5422913223750512E-2</c:v>
                </c:pt>
                <c:pt idx="18">
                  <c:v>7.5525277552045259E-2</c:v>
                </c:pt>
                <c:pt idx="19">
                  <c:v>7.5627624838887617E-2</c:v>
                </c:pt>
                <c:pt idx="20">
                  <c:v>7.5729959256609358E-2</c:v>
                </c:pt>
                <c:pt idx="21">
                  <c:v>7.5832284889179771E-2</c:v>
                </c:pt>
                <c:pt idx="22">
                  <c:v>7.5934605602176852E-2</c:v>
                </c:pt>
                <c:pt idx="23">
                  <c:v>7.6036924922567084E-2</c:v>
                </c:pt>
                <c:pt idx="24">
                  <c:v>7.6139245929401952E-2</c:v>
                </c:pt>
                <c:pt idx="25">
                  <c:v>7.62415711564048E-2</c:v>
                </c:pt>
                <c:pt idx="26">
                  <c:v>7.6343902507278419E-2</c:v>
                </c:pt>
                <c:pt idx="27">
                  <c:v>7.6446241184414343E-2</c:v>
                </c:pt>
                <c:pt idx="28">
                  <c:v>7.65485876315328E-2</c:v>
                </c:pt>
                <c:pt idx="29">
                  <c:v>7.6650941490625873E-2</c:v>
                </c:pt>
                <c:pt idx="30">
                  <c:v>7.6753301573420599E-2</c:v>
                </c:pt>
                <c:pt idx="31">
                  <c:v>7.6855665847422386E-2</c:v>
                </c:pt>
                <c:pt idx="32">
                  <c:v>7.6958031436446458E-2</c:v>
                </c:pt>
                <c:pt idx="33">
                  <c:v>7.7060394635394228E-2</c:v>
                </c:pt>
                <c:pt idx="34">
                  <c:v>7.7162750938888316E-2</c:v>
                </c:pt>
                <c:pt idx="35">
                  <c:v>7.7265095083241683E-2</c:v>
                </c:pt>
                <c:pt idx="36">
                  <c:v>7.7367421101106892E-2</c:v>
                </c:pt>
                <c:pt idx="37">
                  <c:v>7.7469722388030959E-2</c:v>
                </c:pt>
                <c:pt idx="38">
                  <c:v>7.7571991780032143E-2</c:v>
                </c:pt>
                <c:pt idx="39">
                  <c:v>7.7674221641214972E-2</c:v>
                </c:pt>
                <c:pt idx="40">
                  <c:v>7.7776403960354706E-2</c:v>
                </c:pt>
                <c:pt idx="41">
                  <c:v>7.7878530455307932E-2</c:v>
                </c:pt>
                <c:pt idx="42">
                  <c:v>7.7980592684045766E-2</c:v>
                </c:pt>
                <c:pt idx="43">
                  <c:v>7.8082582161060496E-2</c:v>
                </c:pt>
                <c:pt idx="44">
                  <c:v>7.8184490477862481E-2</c:v>
                </c:pt>
                <c:pt idx="45">
                  <c:v>7.8286309426268116E-2</c:v>
                </c:pt>
                <c:pt idx="46">
                  <c:v>7.838803112317265E-2</c:v>
                </c:pt>
                <c:pt idx="47">
                  <c:v>7.8489648135513623E-2</c:v>
                </c:pt>
                <c:pt idx="48">
                  <c:v>7.8591153604152197E-2</c:v>
                </c:pt>
                <c:pt idx="49">
                  <c:v>7.8692541365436131E-2</c:v>
                </c:pt>
                <c:pt idx="50">
                  <c:v>7.8793806069255942E-2</c:v>
                </c:pt>
                <c:pt idx="51">
                  <c:v>7.889494329246631E-2</c:v>
                </c:pt>
                <c:pt idx="52">
                  <c:v>7.8995949646613633E-2</c:v>
                </c:pt>
                <c:pt idx="53">
                  <c:v>7.9096822878992487E-2</c:v>
                </c:pt>
                <c:pt idx="54">
                  <c:v>7.9197561966140209E-2</c:v>
                </c:pt>
                <c:pt idx="55">
                  <c:v>7.9298167198976116E-2</c:v>
                </c:pt>
                <c:pt idx="56">
                  <c:v>7.9398640258893163E-2</c:v>
                </c:pt>
                <c:pt idx="57">
                  <c:v>7.9498984284216548E-2</c:v>
                </c:pt>
                <c:pt idx="58">
                  <c:v>7.9599203926554729E-2</c:v>
                </c:pt>
                <c:pt idx="59">
                  <c:v>7.969930539667984E-2</c:v>
                </c:pt>
                <c:pt idx="60">
                  <c:v>7.9799296499689393E-2</c:v>
                </c:pt>
                <c:pt idx="61">
                  <c:v>7.9899186659312449E-2</c:v>
                </c:pt>
                <c:pt idx="62">
                  <c:v>7.9998986931335891E-2</c:v>
                </c:pt>
                <c:pt idx="63">
                  <c:v>8.0098710006234114E-2</c:v>
                </c:pt>
                <c:pt idx="64">
                  <c:v>8.0198370201189598E-2</c:v>
                </c:pt>
                <c:pt idx="65">
                  <c:v>8.0297983441790288E-2</c:v>
                </c:pt>
                <c:pt idx="66">
                  <c:v>8.03975672337819E-2</c:v>
                </c:pt>
                <c:pt idx="67">
                  <c:v>8.0497140625338914E-2</c:v>
                </c:pt>
                <c:pt idx="68">
                  <c:v>8.0596724160393235E-2</c:v>
                </c:pt>
                <c:pt idx="69">
                  <c:v>8.0696339823628907E-2</c:v>
                </c:pt>
                <c:pt idx="70">
                  <c:v>8.0796010977808197E-2</c:v>
                </c:pt>
                <c:pt idx="71">
                  <c:v>8.0895762294143095E-2</c:v>
                </c:pt>
                <c:pt idx="72">
                  <c:v>8.0995619676463709E-2</c:v>
                </c:pt>
                <c:pt idx="73">
                  <c:v>8.1095610179962321E-2</c:v>
                </c:pt>
                <c:pt idx="74">
                  <c:v>8.1195761925307711E-2</c:v>
                </c:pt>
                <c:pt idx="75">
                  <c:v>8.1296104008930753E-2</c:v>
                </c:pt>
                <c:pt idx="76">
                  <c:v>8.1396666410276292E-2</c:v>
                </c:pt>
                <c:pt idx="77">
                  <c:v>8.1497479896802033E-2</c:v>
                </c:pt>
                <c:pt idx="78">
                  <c:v>8.1598575927480085E-2</c:v>
                </c:pt>
                <c:pt idx="79">
                  <c:v>8.1699986555522075E-2</c:v>
                </c:pt>
                <c:pt idx="80">
                  <c:v>8.1801744331007065E-2</c:v>
                </c:pt>
                <c:pt idx="81">
                  <c:v>8.1903882204039713E-2</c:v>
                </c:pt>
                <c:pt idx="82">
                  <c:v>8.2006433429010317E-2</c:v>
                </c:pt>
                <c:pt idx="83">
                  <c:v>8.2109431470463234E-2</c:v>
                </c:pt>
                <c:pt idx="84">
                  <c:v>8.2212909911013182E-2</c:v>
                </c:pt>
                <c:pt idx="85">
                  <c:v>8.2316902361676034E-2</c:v>
                </c:pt>
                <c:pt idx="86">
                  <c:v>8.2421442374905646E-2</c:v>
                </c:pt>
                <c:pt idx="87">
                  <c:v>8.2526563360551808E-2</c:v>
                </c:pt>
                <c:pt idx="88">
                  <c:v>8.2632298504877549E-2</c:v>
                </c:pt>
                <c:pt idx="89">
                  <c:v>8.2738680692696298E-2</c:v>
                </c:pt>
                <c:pt idx="90">
                  <c:v>8.2845742432616637E-2</c:v>
                </c:pt>
                <c:pt idx="91">
                  <c:v>8.2953515785308976E-2</c:v>
                </c:pt>
                <c:pt idx="92">
                  <c:v>8.3062032294641666E-2</c:v>
                </c:pt>
                <c:pt idx="93">
                  <c:v>8.31713229214711E-2</c:v>
                </c:pt>
                <c:pt idx="94">
                  <c:v>8.3281417979813852E-2</c:v>
                </c:pt>
                <c:pt idx="95">
                  <c:v>8.3392347075078477E-2</c:v>
                </c:pt>
                <c:pt idx="96">
                  <c:v>8.3504139043992676E-2</c:v>
                </c:pt>
                <c:pt idx="97">
                  <c:v>8.3616821895827684E-2</c:v>
                </c:pt>
                <c:pt idx="98">
                  <c:v>8.3730422754495604E-2</c:v>
                </c:pt>
                <c:pt idx="99">
                  <c:v>8.3844967801080708E-2</c:v>
                </c:pt>
                <c:pt idx="100">
                  <c:v>8.3960482216357837E-2</c:v>
                </c:pt>
                <c:pt idx="101">
                  <c:v>8.4076990122855855E-2</c:v>
                </c:pt>
                <c:pt idx="102">
                  <c:v>8.4194514526035588E-2</c:v>
                </c:pt>
                <c:pt idx="103">
                  <c:v>8.4313077254176291E-2</c:v>
                </c:pt>
                <c:pt idx="104">
                  <c:v>8.4432698896595507E-2</c:v>
                </c:pt>
                <c:pt idx="105">
                  <c:v>8.4553398739869334E-2</c:v>
                </c:pt>
                <c:pt idx="106">
                  <c:v>8.4675194701770623E-2</c:v>
                </c:pt>
                <c:pt idx="107">
                  <c:v>8.4798103262699681E-2</c:v>
                </c:pt>
                <c:pt idx="108">
                  <c:v>8.492213939444955E-2</c:v>
                </c:pt>
                <c:pt idx="109">
                  <c:v>8.5047316486217814E-2</c:v>
                </c:pt>
                <c:pt idx="110">
                  <c:v>8.5173646267856798E-2</c:v>
                </c:pt>
                <c:pt idx="111">
                  <c:v>8.5301138730434989E-2</c:v>
                </c:pt>
                <c:pt idx="112">
                  <c:v>8.5429802044269282E-2</c:v>
                </c:pt>
                <c:pt idx="113">
                  <c:v>8.5559642474675471E-2</c:v>
                </c:pt>
                <c:pt idx="114">
                  <c:v>8.5690664295774141E-2</c:v>
                </c:pt>
                <c:pt idx="115">
                  <c:v>8.5822869702778706E-2</c:v>
                </c:pt>
                <c:pt idx="116">
                  <c:v>8.5956258723280388E-2</c:v>
                </c:pt>
                <c:pt idx="117">
                  <c:v>8.6090829128130375E-2</c:v>
                </c:pt>
                <c:pt idx="118">
                  <c:v>8.6226576342601446E-2</c:v>
                </c:pt>
                <c:pt idx="119">
                  <c:v>8.6363493358587715E-2</c:v>
                </c:pt>
                <c:pt idx="120">
                  <c:v>8.6501570648672421E-2</c:v>
                </c:pt>
                <c:pt idx="121">
                  <c:v>8.6640796082955329E-2</c:v>
                </c:pt>
                <c:pt idx="122">
                  <c:v>8.6781154849587622E-2</c:v>
                </c:pt>
                <c:pt idx="123">
                  <c:v>8.6922629380006416E-2</c:v>
                </c:pt>
                <c:pt idx="124">
                  <c:v>8.7065199279896033E-2</c:v>
                </c:pt>
                <c:pt idx="125">
                  <c:v>8.7208841266926865E-2</c:v>
                </c:pt>
                <c:pt idx="126">
                  <c:v>8.7353529116336107E-2</c:v>
                </c:pt>
                <c:pt idx="127">
                  <c:v>8.7499233615411676E-2</c:v>
                </c:pt>
                <c:pt idx="128">
                  <c:v>8.7645922527930659E-2</c:v>
                </c:pt>
                <c:pt idx="129">
                  <c:v>8.7793560569576032E-2</c:v>
                </c:pt>
                <c:pt idx="130">
                  <c:v>8.7942109395316506E-2</c:v>
                </c:pt>
                <c:pt idx="131">
                  <c:v>8.8091527599683528E-2</c:v>
                </c:pt>
                <c:pt idx="132">
                  <c:v>8.8241770730813809E-2</c:v>
                </c:pt>
                <c:pt idx="133">
                  <c:v>8.8392791319048231E-2</c:v>
                </c:pt>
                <c:pt idx="134">
                  <c:v>8.8544538920790283E-2</c:v>
                </c:pt>
                <c:pt idx="135">
                  <c:v>8.8696960178225065E-2</c:v>
                </c:pt>
                <c:pt idx="136">
                  <c:v>8.884999889538947E-2</c:v>
                </c:pt>
                <c:pt idx="137">
                  <c:v>8.9003596130964049E-2</c:v>
                </c:pt>
                <c:pt idx="138">
                  <c:v>8.9157690308026533E-2</c:v>
                </c:pt>
                <c:pt idx="139">
                  <c:v>8.9312217340871733E-2</c:v>
                </c:pt>
                <c:pt idx="140">
                  <c:v>8.9467110778858522E-2</c:v>
                </c:pt>
                <c:pt idx="141">
                  <c:v>8.9622301967097695E-2</c:v>
                </c:pt>
                <c:pt idx="142">
                  <c:v>8.9777720223643734E-2</c:v>
                </c:pt>
                <c:pt idx="143">
                  <c:v>8.9933293032700035E-2</c:v>
                </c:pt>
                <c:pt idx="144">
                  <c:v>9.0088946253194635E-2</c:v>
                </c:pt>
                <c:pt idx="145">
                  <c:v>9.0244604341932141E-2</c:v>
                </c:pt>
                <c:pt idx="146">
                  <c:v>9.0400190590377322E-2</c:v>
                </c:pt>
                <c:pt idx="147">
                  <c:v>9.0555627373983455E-2</c:v>
                </c:pt>
                <c:pt idx="148">
                  <c:v>9.0710836412838544E-2</c:v>
                </c:pt>
                <c:pt idx="149">
                  <c:v>9.0865739042273047E-2</c:v>
                </c:pt>
                <c:pt idx="150">
                  <c:v>9.1020256491950322E-2</c:v>
                </c:pt>
                <c:pt idx="151">
                  <c:v>9.1174310171851028E-2</c:v>
                </c:pt>
                <c:pt idx="152">
                  <c:v>9.1327821963462147E-2</c:v>
                </c:pt>
                <c:pt idx="153">
                  <c:v>9.1480714514396808E-2</c:v>
                </c:pt>
                <c:pt idx="154">
                  <c:v>9.1632911534597405E-2</c:v>
                </c:pt>
                <c:pt idx="155">
                  <c:v>9.1784338092218795E-2</c:v>
                </c:pt>
                <c:pt idx="156">
                  <c:v>9.1934920907247322E-2</c:v>
                </c:pt>
                <c:pt idx="157">
                  <c:v>9.2084588640886603E-2</c:v>
                </c:pt>
                <c:pt idx="158">
                  <c:v>9.2233272178734463E-2</c:v>
                </c:pt>
                <c:pt idx="159">
                  <c:v>9.2380904905785391E-2</c:v>
                </c:pt>
                <c:pt idx="160">
                  <c:v>9.2527422971321535E-2</c:v>
                </c:pt>
                <c:pt idx="161">
                  <c:v>9.2672765541800151E-2</c:v>
                </c:pt>
                <c:pt idx="162">
                  <c:v>9.2816875039909569E-2</c:v>
                </c:pt>
                <c:pt idx="163">
                  <c:v>9.2959697368044811E-2</c:v>
                </c:pt>
                <c:pt idx="164">
                  <c:v>9.3101182114552788E-2</c:v>
                </c:pt>
                <c:pt idx="165">
                  <c:v>9.3241282741207271E-2</c:v>
                </c:pt>
                <c:pt idx="166">
                  <c:v>9.3379956750503701E-2</c:v>
                </c:pt>
                <c:pt idx="167">
                  <c:v>9.351716583150399E-2</c:v>
                </c:pt>
                <c:pt idx="168">
                  <c:v>9.3652875983116807E-2</c:v>
                </c:pt>
                <c:pt idx="169">
                  <c:v>9.3787057613863523E-2</c:v>
                </c:pt>
                <c:pt idx="170">
                  <c:v>9.3919685617356113E-2</c:v>
                </c:pt>
                <c:pt idx="171">
                  <c:v>9.4050739422897267E-2</c:v>
                </c:pt>
                <c:pt idx="172">
                  <c:v>9.4180203020802669E-2</c:v>
                </c:pt>
                <c:pt idx="173">
                  <c:v>9.4308064962241922E-2</c:v>
                </c:pt>
                <c:pt idx="174">
                  <c:v>9.4434318333591782E-2</c:v>
                </c:pt>
                <c:pt idx="175">
                  <c:v>9.4558960705495951E-2</c:v>
                </c:pt>
                <c:pt idx="176">
                  <c:v>9.4681994057023877E-2</c:v>
                </c:pt>
                <c:pt idx="177">
                  <c:v>9.4803424675518097E-2</c:v>
                </c:pt>
                <c:pt idx="178">
                  <c:v>9.4923263032910016E-2</c:v>
                </c:pt>
                <c:pt idx="179">
                  <c:v>9.5041523639471437E-2</c:v>
                </c:pt>
                <c:pt idx="180">
                  <c:v>9.5158224876144851E-2</c:v>
                </c:pt>
                <c:pt idx="181">
                  <c:v>9.5273388806763351E-2</c:v>
                </c:pt>
                <c:pt idx="182">
                  <c:v>9.5387040971627632E-2</c:v>
                </c:pt>
                <c:pt idx="183">
                  <c:v>9.5499210164049442E-2</c:v>
                </c:pt>
                <c:pt idx="184">
                  <c:v>9.5609928191599969E-2</c:v>
                </c:pt>
                <c:pt idx="185">
                  <c:v>9.5719229623913923E-2</c:v>
                </c:pt>
                <c:pt idx="186">
                  <c:v>9.5827151528996221E-2</c:v>
                </c:pt>
                <c:pt idx="187">
                  <c:v>9.5933733200056215E-2</c:v>
                </c:pt>
                <c:pt idx="188">
                  <c:v>9.6039015874953906E-2</c:v>
                </c:pt>
                <c:pt idx="189">
                  <c:v>9.6143042450382493E-2</c:v>
                </c:pt>
                <c:pt idx="190">
                  <c:v>9.6245857192933659E-2</c:v>
                </c:pt>
                <c:pt idx="191">
                  <c:v>9.6347505449191573E-2</c:v>
                </c:pt>
                <c:pt idx="192">
                  <c:v>9.6448033356983889E-2</c:v>
                </c:pt>
                <c:pt idx="193">
                  <c:v>9.6547487559879741E-2</c:v>
                </c:pt>
                <c:pt idx="194">
                  <c:v>9.6645914926966947E-2</c:v>
                </c:pt>
                <c:pt idx="195">
                  <c:v>9.6743362279864992E-2</c:v>
                </c:pt>
                <c:pt idx="196">
                  <c:v>9.683987612883678E-2</c:v>
                </c:pt>
                <c:pt idx="197">
                  <c:v>9.6935502419751796E-2</c:v>
                </c:pt>
                <c:pt idx="198">
                  <c:v>9.7030286293526363E-2</c:v>
                </c:pt>
                <c:pt idx="199">
                  <c:v>9.7124271859527947E-2</c:v>
                </c:pt>
                <c:pt idx="200">
                  <c:v>9.7217501984275034E-2</c:v>
                </c:pt>
                <c:pt idx="201">
                  <c:v>9.7310018096601295E-2</c:v>
                </c:pt>
                <c:pt idx="202">
                  <c:v>9.7401860010278049E-2</c:v>
                </c:pt>
                <c:pt idx="203">
                  <c:v>9.7493065764906045E-2</c:v>
                </c:pt>
                <c:pt idx="204">
                  <c:v>9.7583671485701629E-2</c:v>
                </c:pt>
                <c:pt idx="205">
                  <c:v>9.7673711262609195E-2</c:v>
                </c:pt>
                <c:pt idx="206">
                  <c:v>9.7763217048978432E-2</c:v>
                </c:pt>
                <c:pt idx="207">
                  <c:v>9.785221857985224E-2</c:v>
                </c:pt>
                <c:pt idx="208">
                  <c:v>9.7940743309718012E-2</c:v>
                </c:pt>
                <c:pt idx="209">
                  <c:v>9.8028816369389621E-2</c:v>
                </c:pt>
                <c:pt idx="210">
                  <c:v>9.8116460541504399E-2</c:v>
                </c:pt>
                <c:pt idx="211">
                  <c:v>9.8203696253947453E-2</c:v>
                </c:pt>
                <c:pt idx="212">
                  <c:v>9.8290541590350916E-2</c:v>
                </c:pt>
                <c:pt idx="213">
                  <c:v>9.8377012316664861E-2</c:v>
                </c:pt>
                <c:pt idx="214">
                  <c:v>9.846312192265623E-2</c:v>
                </c:pt>
                <c:pt idx="215">
                  <c:v>9.8548881677068476E-2</c:v>
                </c:pt>
                <c:pt idx="216">
                  <c:v>9.8634300695065222E-2</c:v>
                </c:pt>
                <c:pt idx="217">
                  <c:v>9.871938601649019E-2</c:v>
                </c:pt>
                <c:pt idx="218">
                  <c:v>9.8804142693399544E-2</c:v>
                </c:pt>
                <c:pt idx="219">
                  <c:v>9.8888573885270142E-2</c:v>
                </c:pt>
                <c:pt idx="220">
                  <c:v>9.8972680960247431E-2</c:v>
                </c:pt>
                <c:pt idx="221">
                  <c:v>9.9056463600782726E-2</c:v>
                </c:pt>
                <c:pt idx="222">
                  <c:v>9.9139919912009836E-2</c:v>
                </c:pt>
                <c:pt idx="223">
                  <c:v>9.9223046531234121E-2</c:v>
                </c:pt>
                <c:pt idx="224">
                  <c:v>9.9305838736948288E-2</c:v>
                </c:pt>
                <c:pt idx="225">
                  <c:v>9.938829055584833E-2</c:v>
                </c:pt>
                <c:pt idx="226">
                  <c:v>9.9470394866401343E-2</c:v>
                </c:pt>
                <c:pt idx="227">
                  <c:v>9.9552143497611809E-2</c:v>
                </c:pt>
                <c:pt idx="228">
                  <c:v>9.9633527321742674E-2</c:v>
                </c:pt>
                <c:pt idx="229">
                  <c:v>9.9714536339874565E-2</c:v>
                </c:pt>
                <c:pt idx="230">
                  <c:v>9.9795159759322752E-2</c:v>
                </c:pt>
                <c:pt idx="231">
                  <c:v>9.9875386062083474E-2</c:v>
                </c:pt>
                <c:pt idx="232">
                  <c:v>9.9955203063639891E-2</c:v>
                </c:pt>
                <c:pt idx="233">
                  <c:v>0.10003459796162624</c:v>
                </c:pt>
                <c:pt idx="234">
                  <c:v>0.10011355737402229</c:v>
                </c:pt>
                <c:pt idx="235">
                  <c:v>0.10019206736672837</c:v>
                </c:pt>
                <c:pt idx="236">
                  <c:v>0.10027011347055113</c:v>
                </c:pt>
                <c:pt idx="237">
                  <c:v>0.10034768068780883</c:v>
                </c:pt>
                <c:pt idx="238">
                  <c:v>0.1004247534889441</c:v>
                </c:pt>
                <c:pt idx="239">
                  <c:v>0.10050131579970231</c:v>
                </c:pt>
                <c:pt idx="240">
                  <c:v>0.10057735097960341</c:v>
                </c:pt>
                <c:pt idx="241">
                  <c:v>0.10065284179258982</c:v>
                </c:pt>
                <c:pt idx="242">
                  <c:v>0.10072777037088285</c:v>
                </c:pt>
                <c:pt idx="243">
                  <c:v>0.10080211817321426</c:v>
                </c:pt>
                <c:pt idx="244">
                  <c:v>0.10087586593872164</c:v>
                </c:pt>
                <c:pt idx="245">
                  <c:v>0.10094899363790114</c:v>
                </c:pt>
                <c:pt idx="246">
                  <c:v>0.10102148042210217</c:v>
                </c:pt>
                <c:pt idx="247">
                  <c:v>0.1010933045731174</c:v>
                </c:pt>
                <c:pt idx="248">
                  <c:v>0.10116444345447495</c:v>
                </c:pt>
                <c:pt idx="249">
                  <c:v>0.10123487346607095</c:v>
                </c:pt>
                <c:pt idx="250">
                  <c:v>0.10130457000379237</c:v>
                </c:pt>
                <c:pt idx="251">
                  <c:v>0.10137350742576989</c:v>
                </c:pt>
                <c:pt idx="252">
                  <c:v>0.10144165902687154</c:v>
                </c:pt>
                <c:pt idx="253">
                  <c:v>0.10150899702299411</c:v>
                </c:pt>
                <c:pt idx="254">
                  <c:v>0.1015754925466395</c:v>
                </c:pt>
                <c:pt idx="255">
                  <c:v>0.10164111565516835</c:v>
                </c:pt>
                <c:pt idx="256">
                  <c:v>0.10170583535301372</c:v>
                </c:pt>
                <c:pt idx="257">
                  <c:v>0.10176961962900535</c:v>
                </c:pt>
                <c:pt idx="258">
                  <c:v>0.10183243550980949</c:v>
                </c:pt>
                <c:pt idx="259">
                  <c:v>0.1018942491303238</c:v>
                </c:pt>
                <c:pt idx="260">
                  <c:v>0.10195502582169147</c:v>
                </c:pt>
                <c:pt idx="261">
                  <c:v>0.10201473021740715</c:v>
                </c:pt>
                <c:pt idx="262">
                  <c:v>0.1020733263777869</c:v>
                </c:pt>
                <c:pt idx="263">
                  <c:v>0.10213077793286589</c:v>
                </c:pt>
                <c:pt idx="264">
                  <c:v>0.10218704824357086</c:v>
                </c:pt>
                <c:pt idx="265">
                  <c:v>0.10224210058079536</c:v>
                </c:pt>
                <c:pt idx="266">
                  <c:v>0.1022958983217845</c:v>
                </c:pt>
                <c:pt idx="267">
                  <c:v>0.10234840516301358</c:v>
                </c:pt>
                <c:pt idx="268">
                  <c:v>0.10239958534852858</c:v>
                </c:pt>
                <c:pt idx="269">
                  <c:v>0.10244940391250279</c:v>
                </c:pt>
                <c:pt idx="270">
                  <c:v>0.1024978269345585</c:v>
                </c:pt>
                <c:pt idx="271">
                  <c:v>0.10254482180620893</c:v>
                </c:pt>
                <c:pt idx="272">
                  <c:v>0.10259035750659139</c:v>
                </c:pt>
                <c:pt idx="273">
                  <c:v>0.10263440488549484</c:v>
                </c:pt>
                <c:pt idx="274">
                  <c:v>0.10267693695153322</c:v>
                </c:pt>
                <c:pt idx="275">
                  <c:v>0.10271792916318126</c:v>
                </c:pt>
                <c:pt idx="276">
                  <c:v>0.1027573597202761</c:v>
                </c:pt>
                <c:pt idx="277">
                  <c:v>0.10279520985349572</c:v>
                </c:pt>
                <c:pt idx="278">
                  <c:v>0.10283146410925448</c:v>
                </c:pt>
                <c:pt idx="279">
                  <c:v>0.1028661106274113</c:v>
                </c:pt>
                <c:pt idx="280">
                  <c:v>0.10289914140916337</c:v>
                </c:pt>
                <c:pt idx="281">
                  <c:v>0.10293055257250393</c:v>
                </c:pt>
                <c:pt idx="282">
                  <c:v>0.10296034459265004</c:v>
                </c:pt>
                <c:pt idx="283">
                  <c:v>0.10298852252490448</c:v>
                </c:pt>
                <c:pt idx="284">
                  <c:v>0.10301509620749394</c:v>
                </c:pt>
                <c:pt idx="285">
                  <c:v>0.1030400804420345</c:v>
                </c:pt>
                <c:pt idx="286">
                  <c:v>0.10306349514940438</c:v>
                </c:pt>
                <c:pt idx="287">
                  <c:v>0.10308536549895937</c:v>
                </c:pt>
                <c:pt idx="288">
                  <c:v>0.10310572200920247</c:v>
                </c:pt>
                <c:pt idx="289">
                  <c:v>0.1031246006182181</c:v>
                </c:pt>
                <c:pt idx="290">
                  <c:v>0.10314204272239731</c:v>
                </c:pt>
                <c:pt idx="291">
                  <c:v>0.10315809518221737</c:v>
                </c:pt>
                <c:pt idx="292">
                  <c:v>0.1031728102940872</c:v>
                </c:pt>
                <c:pt idx="293">
                  <c:v>0.10318624572753671</c:v>
                </c:pt>
                <c:pt idx="294">
                  <c:v>0.10319846442730099</c:v>
                </c:pt>
                <c:pt idx="295">
                  <c:v>0.10320953448013563</c:v>
                </c:pt>
                <c:pt idx="296">
                  <c:v>0.10321952894648788</c:v>
                </c:pt>
                <c:pt idx="297">
                  <c:v>0.10322852565744225</c:v>
                </c:pt>
                <c:pt idx="298">
                  <c:v>0.10323660697765208</c:v>
                </c:pt>
                <c:pt idx="299">
                  <c:v>0.10324385953526087</c:v>
                </c:pt>
                <c:pt idx="300">
                  <c:v>0.10325037392010314</c:v>
                </c:pt>
                <c:pt idx="301">
                  <c:v>0.10325624435175407</c:v>
                </c:pt>
                <c:pt idx="302">
                  <c:v>0.10326156831926589</c:v>
                </c:pt>
                <c:pt idx="303">
                  <c:v>0.10326644619468506</c:v>
                </c:pt>
                <c:pt idx="304">
                  <c:v>0.10327098082268454</c:v>
                </c:pt>
                <c:pt idx="305">
                  <c:v>0.10327527708886938</c:v>
                </c:pt>
                <c:pt idx="306">
                  <c:v>0.10327944146951548</c:v>
                </c:pt>
                <c:pt idx="307">
                  <c:v>0.10328358156568442</c:v>
                </c:pt>
                <c:pt idx="308">
                  <c:v>0.10328780562481246</c:v>
                </c:pt>
                <c:pt idx="309">
                  <c:v>0.1032922220530065</c:v>
                </c:pt>
                <c:pt idx="310">
                  <c:v>0.10329693892138267</c:v>
                </c:pt>
                <c:pt idx="311">
                  <c:v>0.10330206346986257</c:v>
                </c:pt>
                <c:pt idx="312">
                  <c:v>0.1033077016118898</c:v>
                </c:pt>
                <c:pt idx="313">
                  <c:v>0.10331395744354965</c:v>
                </c:pt>
                <c:pt idx="314">
                  <c:v>0.10332093276056366</c:v>
                </c:pt>
                <c:pt idx="315">
                  <c:v>0.10332872658659134</c:v>
                </c:pt>
                <c:pt idx="316">
                  <c:v>0.10333743471620181</c:v>
                </c:pt>
                <c:pt idx="317">
                  <c:v>0.10334714927577916</c:v>
                </c:pt>
                <c:pt idx="318">
                  <c:v>0.10335795830549845</c:v>
                </c:pt>
                <c:pt idx="319">
                  <c:v>0.10336994536535575</c:v>
                </c:pt>
                <c:pt idx="320">
                  <c:v>0.10338318916805526</c:v>
                </c:pt>
                <c:pt idx="321">
                  <c:v>0.10339776324135248</c:v>
                </c:pt>
                <c:pt idx="322">
                  <c:v>0.10341373562222518</c:v>
                </c:pt>
                <c:pt idx="323">
                  <c:v>0.1034311685849971</c:v>
                </c:pt>
                <c:pt idx="324">
                  <c:v>0.10345011840527291</c:v>
                </c:pt>
                <c:pt idx="325">
                  <c:v>0.10347063516126181</c:v>
                </c:pt>
                <c:pt idx="326">
                  <c:v>0.10349276257377077</c:v>
                </c:pt>
                <c:pt idx="327">
                  <c:v>0.10351653788584356</c:v>
                </c:pt>
                <c:pt idx="328">
                  <c:v>0.10354199178270637</c:v>
                </c:pt>
                <c:pt idx="329">
                  <c:v>0.10356914835236185</c:v>
                </c:pt>
                <c:pt idx="330">
                  <c:v>0.10359802508685129</c:v>
                </c:pt>
                <c:pt idx="331">
                  <c:v>0.10362863292388305</c:v>
                </c:pt>
                <c:pt idx="332">
                  <c:v>0.10366097632820756</c:v>
                </c:pt>
                <c:pt idx="333">
                  <c:v>0.10369505341180735</c:v>
                </c:pt>
                <c:pt idx="334">
                  <c:v>0.1037308560916671</c:v>
                </c:pt>
                <c:pt idx="335">
                  <c:v>0.10376837028359877</c:v>
                </c:pt>
                <c:pt idx="336">
                  <c:v>0.10380757613031916</c:v>
                </c:pt>
                <c:pt idx="337">
                  <c:v>0.10384844826171759</c:v>
                </c:pt>
                <c:pt idx="338">
                  <c:v>0.10389095608501048</c:v>
                </c:pt>
                <c:pt idx="339">
                  <c:v>0.10393506410225993</c:v>
                </c:pt>
                <c:pt idx="340">
                  <c:v>0.10398073225253614</c:v>
                </c:pt>
                <c:pt idx="341">
                  <c:v>0.10402791627583276</c:v>
                </c:pt>
                <c:pt idx="342">
                  <c:v>0.10407656809569646</c:v>
                </c:pt>
                <c:pt idx="343">
                  <c:v>0.10412663621741604</c:v>
                </c:pt>
                <c:pt idx="344">
                  <c:v>0.1041780661385238</c:v>
                </c:pt>
                <c:pt idx="345">
                  <c:v>0.10423080076830253</c:v>
                </c:pt>
                <c:pt idx="346">
                  <c:v>0.10428478085295843</c:v>
                </c:pt>
                <c:pt idx="347">
                  <c:v>0.10433994540311819</c:v>
                </c:pt>
                <c:pt idx="348">
                  <c:v>0.10439623212033562</c:v>
                </c:pt>
                <c:pt idx="349">
                  <c:v>0.10445357781934754</c:v>
                </c:pt>
                <c:pt idx="350">
                  <c:v>0.10451191884290405</c:v>
                </c:pt>
                <c:pt idx="351">
                  <c:v>0.10457119146610713</c:v>
                </c:pt>
                <c:pt idx="352">
                  <c:v>0.1046313322873296</c:v>
                </c:pt>
                <c:pt idx="353">
                  <c:v>0.10469227860294628</c:v>
                </c:pt>
                <c:pt idx="354">
                  <c:v>0.10475396876329438</c:v>
                </c:pt>
                <c:pt idx="355">
                  <c:v>0.10481634250748219</c:v>
                </c:pt>
                <c:pt idx="356">
                  <c:v>0.10487934127489108</c:v>
                </c:pt>
                <c:pt idx="357">
                  <c:v>0.10494290849145353</c:v>
                </c:pt>
                <c:pt idx="358">
                  <c:v>0.10500698982904452</c:v>
                </c:pt>
                <c:pt idx="359">
                  <c:v>0.10507153343658832</c:v>
                </c:pt>
                <c:pt idx="360">
                  <c:v>0.10513649014175828</c:v>
                </c:pt>
                <c:pt idx="361">
                  <c:v>0.10520181362242684</c:v>
                </c:pt>
                <c:pt idx="362">
                  <c:v>0.10526746054730682</c:v>
                </c:pt>
                <c:pt idx="363">
                  <c:v>0.10533339068551296</c:v>
                </c:pt>
                <c:pt idx="364">
                  <c:v>0.10539956698505228</c:v>
                </c:pt>
                <c:pt idx="365">
                  <c:v>0.10546595562053501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8.9568284778069109E-7</c:v>
                </c:pt>
                <c:pt idx="1">
                  <c:v>1.3566691342504273E-6</c:v>
                </c:pt>
                <c:pt idx="2">
                  <c:v>1.8341407191629469E-6</c:v>
                </c:pt>
                <c:pt idx="3">
                  <c:v>2.3281035476097634E-6</c:v>
                </c:pt>
                <c:pt idx="4">
                  <c:v>2.8385178527302182E-6</c:v>
                </c:pt>
                <c:pt idx="5">
                  <c:v>3.3652982326201765E-6</c:v>
                </c:pt>
                <c:pt idx="6">
                  <c:v>3.908314079665127E-6</c:v>
                </c:pt>
                <c:pt idx="7">
                  <c:v>4.4673903486954911E-6</c:v>
                </c:pt>
                <c:pt idx="8">
                  <c:v>5.04213574932386E-6</c:v>
                </c:pt>
                <c:pt idx="9">
                  <c:v>5.6252304534665714E-6</c:v>
                </c:pt>
                <c:pt idx="10">
                  <c:v>6.2131009766633141E-6</c:v>
                </c:pt>
                <c:pt idx="11">
                  <c:v>6.80315925000512E-6</c:v>
                </c:pt>
                <c:pt idx="12">
                  <c:v>7.3927959653088785E-6</c:v>
                </c:pt>
                <c:pt idx="13">
                  <c:v>7.9793774280112885E-6</c:v>
                </c:pt>
                <c:pt idx="14">
                  <c:v>8.5602399545588652E-6</c:v>
                </c:pt>
                <c:pt idx="15">
                  <c:v>9.1304001962999328E-6</c:v>
                </c:pt>
                <c:pt idx="16">
                  <c:v>9.6898714604145002E-6</c:v>
                </c:pt>
                <c:pt idx="17">
                  <c:v>1.0235995649950289E-5</c:v>
                </c:pt>
                <c:pt idx="18">
                  <c:v>1.0766046846864412E-5</c:v>
                </c:pt>
                <c:pt idx="19">
                  <c:v>1.1277278803581122E-5</c:v>
                </c:pt>
                <c:pt idx="20">
                  <c:v>1.1766885515177913E-5</c:v>
                </c:pt>
                <c:pt idx="21">
                  <c:v>1.2231903333453177E-5</c:v>
                </c:pt>
                <c:pt idx="22">
                  <c:v>1.2667950309185365E-5</c:v>
                </c:pt>
                <c:pt idx="23">
                  <c:v>1.309228077357959E-5</c:v>
                </c:pt>
                <c:pt idx="24">
                  <c:v>1.3524166153491366E-5</c:v>
                </c:pt>
                <c:pt idx="25">
                  <c:v>1.3966223117932734E-5</c:v>
                </c:pt>
                <c:pt idx="26">
                  <c:v>1.4421197755044873E-5</c:v>
                </c:pt>
                <c:pt idx="27">
                  <c:v>1.4891971069427807E-5</c:v>
                </c:pt>
                <c:pt idx="28">
                  <c:v>1.5381565348337864E-5</c:v>
                </c:pt>
                <c:pt idx="29">
                  <c:v>1.5916565357592279E-5</c:v>
                </c:pt>
                <c:pt idx="30">
                  <c:v>1.6508613422118966E-5</c:v>
                </c:pt>
                <c:pt idx="31">
                  <c:v>1.71652378501519E-5</c:v>
                </c:pt>
                <c:pt idx="32">
                  <c:v>1.7894352401722795E-5</c:v>
                </c:pt>
                <c:pt idx="33">
                  <c:v>1.8704282192939134E-5</c:v>
                </c:pt>
                <c:pt idx="34">
                  <c:v>1.960379159737382E-5</c:v>
                </c:pt>
                <c:pt idx="35">
                  <c:v>2.0602114193667746E-5</c:v>
                </c:pt>
                <c:pt idx="36">
                  <c:v>2.1709306983334361E-5</c:v>
                </c:pt>
                <c:pt idx="37">
                  <c:v>2.2947560678412083E-5</c:v>
                </c:pt>
                <c:pt idx="38">
                  <c:v>2.4285748068009209E-5</c:v>
                </c:pt>
                <c:pt idx="39">
                  <c:v>2.5731097348500773E-5</c:v>
                </c:pt>
                <c:pt idx="40">
                  <c:v>2.7291156717190955E-5</c:v>
                </c:pt>
                <c:pt idx="41">
                  <c:v>2.8973801664186428E-5</c:v>
                </c:pt>
                <c:pt idx="42">
                  <c:v>3.0787241848332053E-5</c:v>
                </c:pt>
                <c:pt idx="43">
                  <c:v>3.2755274369714611E-5</c:v>
                </c:pt>
                <c:pt idx="44">
                  <c:v>3.4845762324439992E-5</c:v>
                </c:pt>
                <c:pt idx="45">
                  <c:v>3.706500056697769E-5</c:v>
                </c:pt>
                <c:pt idx="46">
                  <c:v>3.9419487317953023E-5</c:v>
                </c:pt>
                <c:pt idx="47">
                  <c:v>4.1915926290021148E-5</c:v>
                </c:pt>
                <c:pt idx="48">
                  <c:v>4.4561228940498208E-5</c:v>
                </c:pt>
                <c:pt idx="49">
                  <c:v>4.7362516984538571E-5</c:v>
                </c:pt>
                <c:pt idx="50">
                  <c:v>5.0327356059942707E-5</c:v>
                </c:pt>
                <c:pt idx="51">
                  <c:v>5.3471375087856835E-5</c:v>
                </c:pt>
                <c:pt idx="52">
                  <c:v>5.6783886114249829E-5</c:v>
                </c:pt>
                <c:pt idx="53">
                  <c:v>6.0273118204678932E-5</c:v>
                </c:pt>
                <c:pt idx="54">
                  <c:v>6.3948019717386135E-5</c:v>
                </c:pt>
                <c:pt idx="55">
                  <c:v>6.7818038467967181E-5</c:v>
                </c:pt>
                <c:pt idx="56">
                  <c:v>7.1893153453445464E-5</c:v>
                </c:pt>
                <c:pt idx="57">
                  <c:v>7.6164892001997613E-5</c:v>
                </c:pt>
                <c:pt idx="58">
                  <c:v>8.0616951289190408E-5</c:v>
                </c:pt>
                <c:pt idx="59">
                  <c:v>8.5256591056477929E-5</c:v>
                </c:pt>
                <c:pt idx="60">
                  <c:v>9.0091491135194595E-5</c:v>
                </c:pt>
                <c:pt idx="61">
                  <c:v>9.5129775996704072E-5</c:v>
                </c:pt>
                <c:pt idx="62">
                  <c:v>1.003800409065441E-4</c:v>
                </c:pt>
                <c:pt idx="63">
                  <c:v>1.0585137973691243E-4</c:v>
                </c:pt>
                <c:pt idx="64">
                  <c:v>1.1154453260193692E-4</c:v>
                </c:pt>
                <c:pt idx="65">
                  <c:v>1.1734417480590432E-4</c:v>
                </c:pt>
                <c:pt idx="66">
                  <c:v>1.2323800544346782E-4</c:v>
                </c:pt>
                <c:pt idx="67">
                  <c:v>1.292238983974436E-4</c:v>
                </c:pt>
                <c:pt idx="68">
                  <c:v>1.3529974897812076E-4</c:v>
                </c:pt>
                <c:pt idx="69">
                  <c:v>1.414634441587102E-4</c:v>
                </c:pt>
                <c:pt idx="70">
                  <c:v>1.4771282960524885E-4</c:v>
                </c:pt>
                <c:pt idx="71">
                  <c:v>1.5380589304964931E-4</c:v>
                </c:pt>
                <c:pt idx="72">
                  <c:v>1.5974805824013475E-4</c:v>
                </c:pt>
                <c:pt idx="73">
                  <c:v>1.6551535219118629E-4</c:v>
                </c:pt>
                <c:pt idx="74">
                  <c:v>1.7108212195742146E-4</c:v>
                </c:pt>
                <c:pt idx="75">
                  <c:v>1.7642083914665122E-4</c:v>
                </c:pt>
                <c:pt idx="76">
                  <c:v>1.8150188725455971E-4</c:v>
                </c:pt>
                <c:pt idx="77">
                  <c:v>1.8629333029715519E-4</c:v>
                </c:pt>
                <c:pt idx="78">
                  <c:v>1.9073981709244017E-4</c:v>
                </c:pt>
                <c:pt idx="79">
                  <c:v>1.946861397007455E-4</c:v>
                </c:pt>
                <c:pt idx="80">
                  <c:v>1.9826960979794583E-4</c:v>
                </c:pt>
                <c:pt idx="81">
                  <c:v>2.0145543999577705E-4</c:v>
                </c:pt>
                <c:pt idx="82">
                  <c:v>2.042062089028992E-4</c:v>
                </c:pt>
                <c:pt idx="83">
                  <c:v>2.0648155532015133E-4</c:v>
                </c:pt>
                <c:pt idx="84">
                  <c:v>2.0823784735987688E-4</c:v>
                </c:pt>
                <c:pt idx="85">
                  <c:v>2.095200869479862E-4</c:v>
                </c:pt>
                <c:pt idx="86">
                  <c:v>2.1067223679232483E-4</c:v>
                </c:pt>
                <c:pt idx="87">
                  <c:v>2.1168677152053368E-4</c:v>
                </c:pt>
                <c:pt idx="88">
                  <c:v>2.1255514324116655E-4</c:v>
                </c:pt>
                <c:pt idx="89">
                  <c:v>2.1326769085229982E-4</c:v>
                </c:pt>
                <c:pt idx="90">
                  <c:v>2.138135422282401E-4</c:v>
                </c:pt>
                <c:pt idx="91">
                  <c:v>2.1418050849527476E-4</c:v>
                </c:pt>
                <c:pt idx="92">
                  <c:v>2.1434306807461943E-4</c:v>
                </c:pt>
                <c:pt idx="93">
                  <c:v>2.142140666519809E-4</c:v>
                </c:pt>
                <c:pt idx="94">
                  <c:v>2.1392576233376221E-4</c:v>
                </c:pt>
                <c:pt idx="95">
                  <c:v>2.1346536504293314E-4</c:v>
                </c:pt>
                <c:pt idx="96">
                  <c:v>2.1281935636879455E-4</c:v>
                </c:pt>
                <c:pt idx="97">
                  <c:v>2.1197345534068745E-4</c:v>
                </c:pt>
                <c:pt idx="98">
                  <c:v>2.1091258433939428E-4</c:v>
                </c:pt>
                <c:pt idx="99">
                  <c:v>2.0970743744731104E-4</c:v>
                </c:pt>
                <c:pt idx="100">
                  <c:v>2.0819709892325121E-4</c:v>
                </c:pt>
                <c:pt idx="101">
                  <c:v>2.0635738576697682E-4</c:v>
                </c:pt>
                <c:pt idx="102">
                  <c:v>2.0416265193550171E-4</c:v>
                </c:pt>
                <c:pt idx="103">
                  <c:v>2.0158572367207133E-4</c:v>
                </c:pt>
                <c:pt idx="104">
                  <c:v>1.9859783525047578E-4</c:v>
                </c:pt>
                <c:pt idx="105">
                  <c:v>1.9516856532788115E-4</c:v>
                </c:pt>
                <c:pt idx="106">
                  <c:v>1.9126673220587795E-4</c:v>
                </c:pt>
                <c:pt idx="107">
                  <c:v>1.8744875192488973E-4</c:v>
                </c:pt>
                <c:pt idx="108">
                  <c:v>1.838406791746692E-4</c:v>
                </c:pt>
                <c:pt idx="109">
                  <c:v>1.8048615063898327E-4</c:v>
                </c:pt>
                <c:pt idx="110">
                  <c:v>1.7743364588773808E-4</c:v>
                </c:pt>
                <c:pt idx="111">
                  <c:v>1.747362794156612E-4</c:v>
                </c:pt>
                <c:pt idx="112">
                  <c:v>1.7245164347369694E-4</c:v>
                </c:pt>
                <c:pt idx="113">
                  <c:v>1.7105391878541684E-4</c:v>
                </c:pt>
                <c:pt idx="114">
                  <c:v>1.7050911137760021E-4</c:v>
                </c:pt>
                <c:pt idx="115">
                  <c:v>1.7092500447433385E-4</c:v>
                </c:pt>
                <c:pt idx="116">
                  <c:v>1.7241833963305852E-4</c:v>
                </c:pt>
                <c:pt idx="117">
                  <c:v>1.7511533691913879E-4</c:v>
                </c:pt>
                <c:pt idx="118">
                  <c:v>1.7915222285152016E-4</c:v>
                </c:pt>
                <c:pt idx="119">
                  <c:v>1.8467576327345185E-4</c:v>
                </c:pt>
                <c:pt idx="120">
                  <c:v>1.9184223384701235E-4</c:v>
                </c:pt>
                <c:pt idx="121">
                  <c:v>2.0081556976546703E-4</c:v>
                </c:pt>
                <c:pt idx="122">
                  <c:v>2.1075471881307407E-4</c:v>
                </c:pt>
                <c:pt idx="123">
                  <c:v>2.2173856365274695E-4</c:v>
                </c:pt>
                <c:pt idx="124">
                  <c:v>2.3385084609158321E-4</c:v>
                </c:pt>
                <c:pt idx="125">
                  <c:v>2.4718034598139826E-4</c:v>
                </c:pt>
                <c:pt idx="126">
                  <c:v>2.6182105373549037E-4</c:v>
                </c:pt>
                <c:pt idx="127">
                  <c:v>2.7784006469311085E-4</c:v>
                </c:pt>
                <c:pt idx="128">
                  <c:v>2.9462422868965527E-4</c:v>
                </c:pt>
                <c:pt idx="129">
                  <c:v>3.1220079599549266E-4</c:v>
                </c:pt>
                <c:pt idx="130">
                  <c:v>3.3059718580850055E-4</c:v>
                </c:pt>
                <c:pt idx="131">
                  <c:v>3.4984091321164392E-4</c:v>
                </c:pt>
                <c:pt idx="132">
                  <c:v>3.6995951158809513E-4</c:v>
                </c:pt>
                <c:pt idx="133">
                  <c:v>3.909804511524029E-4</c:v>
                </c:pt>
                <c:pt idx="134">
                  <c:v>4.1293379362764796E-4</c:v>
                </c:pt>
                <c:pt idx="135">
                  <c:v>4.3574437917784262E-4</c:v>
                </c:pt>
                <c:pt idx="136">
                  <c:v>4.5943056103188716E-4</c:v>
                </c:pt>
                <c:pt idx="137">
                  <c:v>4.8400217212996087E-4</c:v>
                </c:pt>
                <c:pt idx="138">
                  <c:v>5.0946680020888199E-4</c:v>
                </c:pt>
                <c:pt idx="139">
                  <c:v>5.3582958716150055E-4</c:v>
                </c:pt>
                <c:pt idx="140">
                  <c:v>5.6309302875822212E-4</c:v>
                </c:pt>
                <c:pt idx="141">
                  <c:v>5.9103635492282591E-4</c:v>
                </c:pt>
                <c:pt idx="142">
                  <c:v>6.1968491154952966E-4</c:v>
                </c:pt>
                <c:pt idx="143">
                  <c:v>6.4901046491819942E-4</c:v>
                </c:pt>
                <c:pt idx="144">
                  <c:v>6.7898411966773372E-4</c:v>
                </c:pt>
                <c:pt idx="145">
                  <c:v>7.0957281694604315E-4</c:v>
                </c:pt>
                <c:pt idx="146">
                  <c:v>7.4073924479636474E-4</c:v>
                </c:pt>
                <c:pt idx="147">
                  <c:v>7.7244177302517676E-4</c:v>
                </c:pt>
                <c:pt idx="148">
                  <c:v>8.0465808060337627E-4</c:v>
                </c:pt>
                <c:pt idx="149">
                  <c:v>8.3717634308826604E-4</c:v>
                </c:pt>
                <c:pt idx="150">
                  <c:v>8.7010038307120286E-4</c:v>
                </c:pt>
                <c:pt idx="151">
                  <c:v>9.033762584210915E-4</c:v>
                </c:pt>
                <c:pt idx="152">
                  <c:v>9.3694609611679196E-4</c:v>
                </c:pt>
                <c:pt idx="153">
                  <c:v>9.7074818368514078E-4</c:v>
                </c:pt>
                <c:pt idx="154">
                  <c:v>1.0047170895244736E-3</c:v>
                </c:pt>
                <c:pt idx="155">
                  <c:v>1.0386857030140419E-3</c:v>
                </c:pt>
                <c:pt idx="156">
                  <c:v>1.0729244649508444E-3</c:v>
                </c:pt>
                <c:pt idx="157">
                  <c:v>1.1073786430624431E-3</c:v>
                </c:pt>
                <c:pt idx="158">
                  <c:v>1.141990930745744E-3</c:v>
                </c:pt>
                <c:pt idx="159">
                  <c:v>1.1767016265632941E-3</c:v>
                </c:pt>
                <c:pt idx="160">
                  <c:v>1.2114488336035024E-3</c:v>
                </c:pt>
                <c:pt idx="161">
                  <c:v>1.2461686769412986E-3</c:v>
                </c:pt>
                <c:pt idx="162">
                  <c:v>1.2808126781619809E-3</c:v>
                </c:pt>
                <c:pt idx="163">
                  <c:v>1.31519261987271E-3</c:v>
                </c:pt>
                <c:pt idx="164">
                  <c:v>1.3495266006892561E-3</c:v>
                </c:pt>
                <c:pt idx="165">
                  <c:v>1.383766223301436E-3</c:v>
                </c:pt>
                <c:pt idx="166">
                  <c:v>1.4178631253309352E-3</c:v>
                </c:pt>
                <c:pt idx="167">
                  <c:v>1.4517691979880202E-3</c:v>
                </c:pt>
                <c:pt idx="168">
                  <c:v>1.4854368018467124E-3</c:v>
                </c:pt>
                <c:pt idx="169">
                  <c:v>1.5186531148561181E-3</c:v>
                </c:pt>
                <c:pt idx="170">
                  <c:v>1.5515030676014347E-3</c:v>
                </c:pt>
                <c:pt idx="171">
                  <c:v>1.5839399814311101E-3</c:v>
                </c:pt>
                <c:pt idx="172">
                  <c:v>1.6159184690678703E-3</c:v>
                </c:pt>
                <c:pt idx="173">
                  <c:v>1.6473777656256941E-3</c:v>
                </c:pt>
                <c:pt idx="174">
                  <c:v>1.6782565646219481E-3</c:v>
                </c:pt>
                <c:pt idx="175">
                  <c:v>1.7085110806776807E-3</c:v>
                </c:pt>
                <c:pt idx="176">
                  <c:v>1.7380994263873615E-3</c:v>
                </c:pt>
                <c:pt idx="177">
                  <c:v>1.7668202296090443E-3</c:v>
                </c:pt>
                <c:pt idx="178">
                  <c:v>1.7948240942575802E-3</c:v>
                </c:pt>
                <c:pt idx="179">
                  <c:v>1.8220772270579491E-3</c:v>
                </c:pt>
                <c:pt idx="180">
                  <c:v>1.848548104645274E-3</c:v>
                </c:pt>
                <c:pt idx="181">
                  <c:v>1.8742075232122291E-3</c:v>
                </c:pt>
                <c:pt idx="182">
                  <c:v>1.8990286292087872E-3</c:v>
                </c:pt>
                <c:pt idx="183">
                  <c:v>1.9225760680236089E-3</c:v>
                </c:pt>
                <c:pt idx="184">
                  <c:v>1.9450255521394606E-3</c:v>
                </c:pt>
                <c:pt idx="185">
                  <c:v>1.9663489795410877E-3</c:v>
                </c:pt>
                <c:pt idx="186">
                  <c:v>1.9865207726609416E-3</c:v>
                </c:pt>
                <c:pt idx="187">
                  <c:v>2.0055178233026345E-3</c:v>
                </c:pt>
                <c:pt idx="188">
                  <c:v>2.0233194203232233E-3</c:v>
                </c:pt>
                <c:pt idx="189">
                  <c:v>2.0399071620078417E-3</c:v>
                </c:pt>
                <c:pt idx="190">
                  <c:v>2.0552895788585081E-3</c:v>
                </c:pt>
                <c:pt idx="191">
                  <c:v>2.0687833608624747E-3</c:v>
                </c:pt>
                <c:pt idx="192">
                  <c:v>2.0805412813508441E-3</c:v>
                </c:pt>
                <c:pt idx="193">
                  <c:v>2.0905252154395973E-3</c:v>
                </c:pt>
                <c:pt idx="194">
                  <c:v>2.0986987374305164E-3</c:v>
                </c:pt>
                <c:pt idx="195">
                  <c:v>2.1050270343011086E-3</c:v>
                </c:pt>
                <c:pt idx="196">
                  <c:v>2.109476816524345E-3</c:v>
                </c:pt>
                <c:pt idx="197">
                  <c:v>2.111595869567892E-3</c:v>
                </c:pt>
                <c:pt idx="198">
                  <c:v>2.1118335060445938E-3</c:v>
                </c:pt>
                <c:pt idx="199">
                  <c:v>2.1101626758631168E-3</c:v>
                </c:pt>
                <c:pt idx="200">
                  <c:v>2.1065574454330648E-3</c:v>
                </c:pt>
                <c:pt idx="201">
                  <c:v>2.1009929214184098E-3</c:v>
                </c:pt>
                <c:pt idx="202">
                  <c:v>2.0934451825794769E-3</c:v>
                </c:pt>
                <c:pt idx="203">
                  <c:v>2.0838912207489534E-3</c:v>
                </c:pt>
                <c:pt idx="204">
                  <c:v>2.0723009031576836E-3</c:v>
                </c:pt>
                <c:pt idx="205">
                  <c:v>2.0584719628639479E-3</c:v>
                </c:pt>
                <c:pt idx="206">
                  <c:v>2.0432021985581808E-3</c:v>
                </c:pt>
                <c:pt idx="207">
                  <c:v>2.0265119864496303E-3</c:v>
                </c:pt>
                <c:pt idx="208">
                  <c:v>2.0084212563969668E-3</c:v>
                </c:pt>
                <c:pt idx="209">
                  <c:v>1.9889493070415131E-3</c:v>
                </c:pt>
                <c:pt idx="210">
                  <c:v>1.9681146313935004E-3</c:v>
                </c:pt>
                <c:pt idx="211">
                  <c:v>1.9459025248447536E-3</c:v>
                </c:pt>
                <c:pt idx="212">
                  <c:v>1.9228068655086756E-3</c:v>
                </c:pt>
                <c:pt idx="213">
                  <c:v>1.8988526282592967E-3</c:v>
                </c:pt>
                <c:pt idx="214">
                  <c:v>1.874063314935842E-3</c:v>
                </c:pt>
                <c:pt idx="215">
                  <c:v>1.8484608815025889E-3</c:v>
                </c:pt>
                <c:pt idx="216">
                  <c:v>1.8220656724406118E-3</c:v>
                </c:pt>
                <c:pt idx="217">
                  <c:v>1.7948963604982832E-3</c:v>
                </c:pt>
                <c:pt idx="218">
                  <c:v>1.7669266783425972E-3</c:v>
                </c:pt>
                <c:pt idx="219">
                  <c:v>1.7426368897086081E-3</c:v>
                </c:pt>
                <c:pt idx="220">
                  <c:v>1.7223412446884221E-3</c:v>
                </c:pt>
                <c:pt idx="221">
                  <c:v>1.706144596122598E-3</c:v>
                </c:pt>
                <c:pt idx="222">
                  <c:v>1.6941511698884352E-3</c:v>
                </c:pt>
                <c:pt idx="223">
                  <c:v>1.6864648641099417E-3</c:v>
                </c:pt>
                <c:pt idx="224">
                  <c:v>1.6831895494239535E-3</c:v>
                </c:pt>
                <c:pt idx="225">
                  <c:v>1.6928190402421921E-3</c:v>
                </c:pt>
                <c:pt idx="226">
                  <c:v>1.7156659344579061E-3</c:v>
                </c:pt>
                <c:pt idx="227">
                  <c:v>1.7520107408169859E-3</c:v>
                </c:pt>
                <c:pt idx="228">
                  <c:v>1.8021378172087281E-3</c:v>
                </c:pt>
                <c:pt idx="229">
                  <c:v>1.8663362280508858E-3</c:v>
                </c:pt>
                <c:pt idx="230">
                  <c:v>1.9449006190841028E-3</c:v>
                </c:pt>
                <c:pt idx="231">
                  <c:v>2.0381321146581421E-3</c:v>
                </c:pt>
                <c:pt idx="232">
                  <c:v>2.1463177804573689E-3</c:v>
                </c:pt>
                <c:pt idx="233">
                  <c:v>2.2714808103538701E-3</c:v>
                </c:pt>
                <c:pt idx="234">
                  <c:v>2.4089714671484529E-3</c:v>
                </c:pt>
                <c:pt idx="235">
                  <c:v>2.5590491047023322E-3</c:v>
                </c:pt>
                <c:pt idx="236">
                  <c:v>2.7219821647924201E-3</c:v>
                </c:pt>
                <c:pt idx="237">
                  <c:v>2.8980465158386036E-3</c:v>
                </c:pt>
                <c:pt idx="238">
                  <c:v>3.0875277748359841E-3</c:v>
                </c:pt>
                <c:pt idx="239">
                  <c:v>3.2892651585092886E-3</c:v>
                </c:pt>
                <c:pt idx="240">
                  <c:v>3.4942306486842054E-3</c:v>
                </c:pt>
                <c:pt idx="241">
                  <c:v>3.7025120329647419E-3</c:v>
                </c:pt>
                <c:pt idx="242">
                  <c:v>3.9142032818460975E-3</c:v>
                </c:pt>
                <c:pt idx="243">
                  <c:v>4.1294048160524363E-3</c:v>
                </c:pt>
                <c:pt idx="244">
                  <c:v>4.348223792839891E-3</c:v>
                </c:pt>
                <c:pt idx="245">
                  <c:v>4.5707744163100764E-3</c:v>
                </c:pt>
                <c:pt idx="246">
                  <c:v>4.7971988358294394E-3</c:v>
                </c:pt>
                <c:pt idx="247">
                  <c:v>5.0309062116706852E-3</c:v>
                </c:pt>
                <c:pt idx="248">
                  <c:v>5.2701448318119857E-3</c:v>
                </c:pt>
                <c:pt idx="249">
                  <c:v>5.5150525970435989E-3</c:v>
                </c:pt>
                <c:pt idx="250">
                  <c:v>5.7657692714287853E-3</c:v>
                </c:pt>
                <c:pt idx="251">
                  <c:v>6.022436285268805E-3</c:v>
                </c:pt>
                <c:pt idx="252">
                  <c:v>6.2851965158528282E-3</c:v>
                </c:pt>
                <c:pt idx="253">
                  <c:v>6.5497796046283356E-3</c:v>
                </c:pt>
                <c:pt idx="254">
                  <c:v>6.8178549330199451E-3</c:v>
                </c:pt>
                <c:pt idx="255">
                  <c:v>7.0894955923073519E-3</c:v>
                </c:pt>
                <c:pt idx="256">
                  <c:v>7.3647725002440982E-3</c:v>
                </c:pt>
                <c:pt idx="257">
                  <c:v>7.6437540817436691E-3</c:v>
                </c:pt>
                <c:pt idx="258">
                  <c:v>7.9265059408092139E-3</c:v>
                </c:pt>
                <c:pt idx="259">
                  <c:v>8.2130905234386719E-3</c:v>
                </c:pt>
                <c:pt idx="260">
                  <c:v>8.504309869858789E-3</c:v>
                </c:pt>
                <c:pt idx="261">
                  <c:v>8.7860081223147795E-3</c:v>
                </c:pt>
                <c:pt idx="262">
                  <c:v>9.0540275970692786E-3</c:v>
                </c:pt>
                <c:pt idx="263">
                  <c:v>9.3077598872608087E-3</c:v>
                </c:pt>
                <c:pt idx="264">
                  <c:v>9.5465304533000391E-3</c:v>
                </c:pt>
                <c:pt idx="265">
                  <c:v>9.769651751095695E-3</c:v>
                </c:pt>
                <c:pt idx="266">
                  <c:v>9.9763507663473191E-3</c:v>
                </c:pt>
                <c:pt idx="267">
                  <c:v>1.0156526157849635E-2</c:v>
                </c:pt>
                <c:pt idx="268">
                  <c:v>1.0314026338979531E-2</c:v>
                </c:pt>
                <c:pt idx="269">
                  <c:v>1.0447735435247954E-2</c:v>
                </c:pt>
                <c:pt idx="270">
                  <c:v>1.0556488122615946E-2</c:v>
                </c:pt>
                <c:pt idx="271">
                  <c:v>1.0639078150069734E-2</c:v>
                </c:pt>
                <c:pt idx="272">
                  <c:v>1.0694268435173182E-2</c:v>
                </c:pt>
                <c:pt idx="273">
                  <c:v>1.0720802878391361E-2</c:v>
                </c:pt>
                <c:pt idx="274">
                  <c:v>1.0718493010769272E-2</c:v>
                </c:pt>
                <c:pt idx="275">
                  <c:v>1.0685377735414685E-2</c:v>
                </c:pt>
                <c:pt idx="276">
                  <c:v>1.0637805762350861E-2</c:v>
                </c:pt>
                <c:pt idx="277">
                  <c:v>1.057541545728467E-2</c:v>
                </c:pt>
                <c:pt idx="278">
                  <c:v>1.0497849193242575E-2</c:v>
                </c:pt>
                <c:pt idx="279">
                  <c:v>1.0404754156496783E-2</c:v>
                </c:pt>
                <c:pt idx="280">
                  <c:v>1.0295783110794722E-2</c:v>
                </c:pt>
                <c:pt idx="281">
                  <c:v>1.0171568218663985E-2</c:v>
                </c:pt>
                <c:pt idx="282">
                  <c:v>1.0042351249148299E-2</c:v>
                </c:pt>
                <c:pt idx="283">
                  <c:v>9.9080881746409256E-3</c:v>
                </c:pt>
                <c:pt idx="284">
                  <c:v>9.7687407174450371E-3</c:v>
                </c:pt>
                <c:pt idx="285">
                  <c:v>9.624276431344175E-3</c:v>
                </c:pt>
                <c:pt idx="286">
                  <c:v>9.4746687259165269E-3</c:v>
                </c:pt>
                <c:pt idx="287">
                  <c:v>9.319896830497899E-3</c:v>
                </c:pt>
                <c:pt idx="288">
                  <c:v>9.1600902240337664E-3</c:v>
                </c:pt>
                <c:pt idx="289">
                  <c:v>8.9984101396926378E-3</c:v>
                </c:pt>
                <c:pt idx="290">
                  <c:v>8.8372316701494421E-3</c:v>
                </c:pt>
                <c:pt idx="291">
                  <c:v>8.6766080136563041E-3</c:v>
                </c:pt>
                <c:pt idx="292">
                  <c:v>8.516597244210812E-3</c:v>
                </c:pt>
                <c:pt idx="293">
                  <c:v>8.3572620752087948E-3</c:v>
                </c:pt>
                <c:pt idx="294">
                  <c:v>8.198669599294179E-3</c:v>
                </c:pt>
                <c:pt idx="295">
                  <c:v>8.0440483511194771E-3</c:v>
                </c:pt>
                <c:pt idx="296">
                  <c:v>7.8925446256552425E-3</c:v>
                </c:pt>
                <c:pt idx="297">
                  <c:v>7.7443394369857733E-3</c:v>
                </c:pt>
                <c:pt idx="298">
                  <c:v>7.5995486266691257E-3</c:v>
                </c:pt>
                <c:pt idx="299">
                  <c:v>7.458290281790402E-3</c:v>
                </c:pt>
                <c:pt idx="300">
                  <c:v>7.3206842991183404E-3</c:v>
                </c:pt>
                <c:pt idx="301">
                  <c:v>7.186851937911483E-3</c:v>
                </c:pt>
                <c:pt idx="302">
                  <c:v>7.057536044970409E-3</c:v>
                </c:pt>
                <c:pt idx="303">
                  <c:v>6.9425267061235313E-3</c:v>
                </c:pt>
                <c:pt idx="304">
                  <c:v>6.8385515537115376E-3</c:v>
                </c:pt>
                <c:pt idx="305">
                  <c:v>6.7456903751267269E-3</c:v>
                </c:pt>
                <c:pt idx="306">
                  <c:v>6.6640274553995136E-3</c:v>
                </c:pt>
                <c:pt idx="307">
                  <c:v>6.5936490344328585E-3</c:v>
                </c:pt>
                <c:pt idx="308">
                  <c:v>6.5346405486485784E-3</c:v>
                </c:pt>
                <c:pt idx="309">
                  <c:v>6.4990846101074988E-3</c:v>
                </c:pt>
                <c:pt idx="310">
                  <c:v>6.4837991232486345E-3</c:v>
                </c:pt>
                <c:pt idx="311">
                  <c:v>6.4890079011675492E-3</c:v>
                </c:pt>
                <c:pt idx="312">
                  <c:v>6.5149122059168663E-3</c:v>
                </c:pt>
                <c:pt idx="313">
                  <c:v>6.5616832872175236E-3</c:v>
                </c:pt>
                <c:pt idx="314">
                  <c:v>6.6294542765791059E-3</c:v>
                </c:pt>
                <c:pt idx="315">
                  <c:v>6.7183114735978652E-3</c:v>
                </c:pt>
                <c:pt idx="316">
                  <c:v>6.8289893682557988E-3</c:v>
                </c:pt>
                <c:pt idx="317">
                  <c:v>6.9603010528819466E-3</c:v>
                </c:pt>
                <c:pt idx="318">
                  <c:v>7.102466553589021E-3</c:v>
                </c:pt>
                <c:pt idx="319">
                  <c:v>7.255576410785133E-3</c:v>
                </c:pt>
                <c:pt idx="320">
                  <c:v>7.4197074378050407E-3</c:v>
                </c:pt>
                <c:pt idx="321">
                  <c:v>7.5949212733938233E-3</c:v>
                </c:pt>
                <c:pt idx="322">
                  <c:v>7.7812628115156435E-3</c:v>
                </c:pt>
                <c:pt idx="323">
                  <c:v>7.967828370263776E-3</c:v>
                </c:pt>
                <c:pt idx="324">
                  <c:v>8.1415019667414688E-3</c:v>
                </c:pt>
                <c:pt idx="325">
                  <c:v>8.301981021210195E-3</c:v>
                </c:pt>
                <c:pt idx="326">
                  <c:v>8.4489086637133254E-3</c:v>
                </c:pt>
                <c:pt idx="327">
                  <c:v>8.5819593417262915E-3</c:v>
                </c:pt>
                <c:pt idx="328">
                  <c:v>8.7008517221491572E-3</c:v>
                </c:pt>
                <c:pt idx="329">
                  <c:v>8.8053078526351206E-3</c:v>
                </c:pt>
                <c:pt idx="330">
                  <c:v>8.8957727843022427E-3</c:v>
                </c:pt>
                <c:pt idx="331">
                  <c:v>8.9696572273694763E-3</c:v>
                </c:pt>
                <c:pt idx="332">
                  <c:v>9.0287275011183988E-3</c:v>
                </c:pt>
                <c:pt idx="333">
                  <c:v>9.0725338004933043E-3</c:v>
                </c:pt>
                <c:pt idx="334">
                  <c:v>9.100616293568925E-3</c:v>
                </c:pt>
                <c:pt idx="335">
                  <c:v>9.1125115417651763E-3</c:v>
                </c:pt>
                <c:pt idx="336">
                  <c:v>9.1077597151552683E-3</c:v>
                </c:pt>
                <c:pt idx="337">
                  <c:v>9.0879592340098198E-3</c:v>
                </c:pt>
                <c:pt idx="338">
                  <c:v>9.0641293848398863E-3</c:v>
                </c:pt>
                <c:pt idx="339">
                  <c:v>9.03591864897468E-3</c:v>
                </c:pt>
                <c:pt idx="340">
                  <c:v>9.0029813042878451E-3</c:v>
                </c:pt>
                <c:pt idx="341">
                  <c:v>8.9649817464271999E-3</c:v>
                </c:pt>
                <c:pt idx="342">
                  <c:v>8.9215990691917726E-3</c:v>
                </c:pt>
                <c:pt idx="343">
                  <c:v>8.8725318233267205E-3</c:v>
                </c:pt>
                <c:pt idx="344">
                  <c:v>8.8171415984667541E-3</c:v>
                </c:pt>
                <c:pt idx="345">
                  <c:v>8.7553487564632597E-3</c:v>
                </c:pt>
                <c:pt idx="346">
                  <c:v>8.6928567890267837E-3</c:v>
                </c:pt>
                <c:pt idx="347">
                  <c:v>8.6301953843769992E-3</c:v>
                </c:pt>
                <c:pt idx="348">
                  <c:v>8.56788342722253E-3</c:v>
                </c:pt>
                <c:pt idx="349">
                  <c:v>8.5064258698985089E-3</c:v>
                </c:pt>
                <c:pt idx="350">
                  <c:v>8.4463113014320804E-3</c:v>
                </c:pt>
                <c:pt idx="351">
                  <c:v>8.3901268257081055E-3</c:v>
                </c:pt>
                <c:pt idx="352">
                  <c:v>8.3363007109018006E-3</c:v>
                </c:pt>
                <c:pt idx="353">
                  <c:v>8.2852618099323785E-3</c:v>
                </c:pt>
                <c:pt idx="354">
                  <c:v>8.2374199704546291E-3</c:v>
                </c:pt>
                <c:pt idx="355">
                  <c:v>8.19316680249591E-3</c:v>
                </c:pt>
                <c:pt idx="356">
                  <c:v>8.1527738438149349E-3</c:v>
                </c:pt>
                <c:pt idx="357">
                  <c:v>8.1166963052580546E-3</c:v>
                </c:pt>
                <c:pt idx="358">
                  <c:v>8.084522238694377E-3</c:v>
                </c:pt>
                <c:pt idx="359">
                  <c:v>8.0554573063995917E-3</c:v>
                </c:pt>
                <c:pt idx="360">
                  <c:v>8.0311518302183336E-3</c:v>
                </c:pt>
                <c:pt idx="361">
                  <c:v>8.0093182083743678E-3</c:v>
                </c:pt>
                <c:pt idx="362">
                  <c:v>7.9897155055581159E-3</c:v>
                </c:pt>
                <c:pt idx="363">
                  <c:v>7.972109816786142E-3</c:v>
                </c:pt>
                <c:pt idx="364">
                  <c:v>7.9562742014520453E-3</c:v>
                </c:pt>
                <c:pt idx="365">
                  <c:v>7.9419886718202909E-3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890904"/>
        <c:axId val="415891296"/>
      </c:lineChart>
      <c:dateAx>
        <c:axId val="4158909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5891296"/>
        <c:crosses val="autoZero"/>
        <c:auto val="1"/>
        <c:lblOffset val="100"/>
        <c:baseTimeUnit val="days"/>
        <c:majorUnit val="1"/>
        <c:majorTimeUnit val="months"/>
      </c:dateAx>
      <c:valAx>
        <c:axId val="4158912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5890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16.94724728207181</c:v>
                </c:pt>
                <c:pt idx="1">
                  <c:v>17.066058058031651</c:v>
                </c:pt>
                <c:pt idx="2">
                  <c:v>17.191502856499167</c:v>
                </c:pt>
                <c:pt idx="3">
                  <c:v>17.323902838585333</c:v>
                </c:pt>
                <c:pt idx="4">
                  <c:v>17.463578954298516</c:v>
                </c:pt>
                <c:pt idx="5">
                  <c:v>17.610851953737725</c:v>
                </c:pt>
                <c:pt idx="6">
                  <c:v>17.766042374607686</c:v>
                </c:pt>
                <c:pt idx="7">
                  <c:v>17.929470563193949</c:v>
                </c:pt>
                <c:pt idx="8">
                  <c:v>18.102077443435725</c:v>
                </c:pt>
                <c:pt idx="9">
                  <c:v>18.284131735461987</c:v>
                </c:pt>
                <c:pt idx="10">
                  <c:v>18.474945449284334</c:v>
                </c:pt>
                <c:pt idx="11">
                  <c:v>18.673830922264148</c:v>
                </c:pt>
                <c:pt idx="12">
                  <c:v>18.880100840908934</c:v>
                </c:pt>
                <c:pt idx="13">
                  <c:v>19.093068240102728</c:v>
                </c:pt>
                <c:pt idx="14">
                  <c:v>19.312046514179645</c:v>
                </c:pt>
                <c:pt idx="15">
                  <c:v>19.536349446904275</c:v>
                </c:pt>
                <c:pt idx="16">
                  <c:v>19.765291088338</c:v>
                </c:pt>
                <c:pt idx="17">
                  <c:v>19.998185892463169</c:v>
                </c:pt>
                <c:pt idx="18">
                  <c:v>20.234348679192571</c:v>
                </c:pt>
                <c:pt idx="19">
                  <c:v>20.473094629316456</c:v>
                </c:pt>
                <c:pt idx="20">
                  <c:v>20.713739289367869</c:v>
                </c:pt>
                <c:pt idx="21">
                  <c:v>20.955598582516362</c:v>
                </c:pt>
                <c:pt idx="22">
                  <c:v>21.200136047188717</c:v>
                </c:pt>
                <c:pt idx="23">
                  <c:v>21.449134257334894</c:v>
                </c:pt>
                <c:pt idx="24">
                  <c:v>21.702388241024646</c:v>
                </c:pt>
                <c:pt idx="25">
                  <c:v>21.959693496262307</c:v>
                </c:pt>
                <c:pt idx="26">
                  <c:v>22.220845632887791</c:v>
                </c:pt>
                <c:pt idx="27">
                  <c:v>22.485640379109547</c:v>
                </c:pt>
                <c:pt idx="28">
                  <c:v>22.753873585024156</c:v>
                </c:pt>
                <c:pt idx="29">
                  <c:v>23.025340680227391</c:v>
                </c:pt>
                <c:pt idx="30">
                  <c:v>23.299837545473519</c:v>
                </c:pt>
                <c:pt idx="31">
                  <c:v>23.577160275779548</c:v>
                </c:pt>
                <c:pt idx="32">
                  <c:v>23.857105080937266</c:v>
                </c:pt>
                <c:pt idx="33">
                  <c:v>24.139468286292811</c:v>
                </c:pt>
                <c:pt idx="34">
                  <c:v>24.424046329223547</c:v>
                </c:pt>
                <c:pt idx="35">
                  <c:v>24.71063576231731</c:v>
                </c:pt>
                <c:pt idx="36">
                  <c:v>24.998662282163544</c:v>
                </c:pt>
                <c:pt idx="37">
                  <c:v>25.287956228905568</c:v>
                </c:pt>
                <c:pt idx="38">
                  <c:v>25.578922533108415</c:v>
                </c:pt>
                <c:pt idx="39">
                  <c:v>25.871964974023477</c:v>
                </c:pt>
                <c:pt idx="40">
                  <c:v>26.16748711173199</c:v>
                </c:pt>
                <c:pt idx="41">
                  <c:v>26.465892290331769</c:v>
                </c:pt>
                <c:pt idx="42">
                  <c:v>26.767583626491835</c:v>
                </c:pt>
                <c:pt idx="43">
                  <c:v>27.072963600636356</c:v>
                </c:pt>
                <c:pt idx="44">
                  <c:v>27.382435980901171</c:v>
                </c:pt>
                <c:pt idx="45">
                  <c:v>27.696403296680998</c:v>
                </c:pt>
                <c:pt idx="46">
                  <c:v>28.015267844904361</c:v>
                </c:pt>
                <c:pt idx="47">
                  <c:v>28.339431682351677</c:v>
                </c:pt>
                <c:pt idx="48">
                  <c:v>28.669296629802222</c:v>
                </c:pt>
                <c:pt idx="49">
                  <c:v>29.00526425210834</c:v>
                </c:pt>
                <c:pt idx="50">
                  <c:v>29.347601224045988</c:v>
                </c:pt>
                <c:pt idx="51">
                  <c:v>29.696035322455099</c:v>
                </c:pt>
                <c:pt idx="52">
                  <c:v>30.050160613042248</c:v>
                </c:pt>
                <c:pt idx="53">
                  <c:v>30.409570791393662</c:v>
                </c:pt>
                <c:pt idx="54">
                  <c:v>30.773859695208376</c:v>
                </c:pt>
                <c:pt idx="55">
                  <c:v>31.142621316273168</c:v>
                </c:pt>
                <c:pt idx="56">
                  <c:v>31.515449782485334</c:v>
                </c:pt>
                <c:pt idx="57">
                  <c:v>31.891939962320823</c:v>
                </c:pt>
                <c:pt idx="58">
                  <c:v>32.271687151814383</c:v>
                </c:pt>
                <c:pt idx="59">
                  <c:v>32.65428605817462</c:v>
                </c:pt>
                <c:pt idx="60">
                  <c:v>33.039331515748557</c:v>
                </c:pt>
                <c:pt idx="61">
                  <c:v>33.426418481022154</c:v>
                </c:pt>
                <c:pt idx="62">
                  <c:v>33.815142022614744</c:v>
                </c:pt>
                <c:pt idx="63">
                  <c:v>34.205097322720789</c:v>
                </c:pt>
                <c:pt idx="64">
                  <c:v>34.598634754493027</c:v>
                </c:pt>
                <c:pt idx="65">
                  <c:v>34.997838651256657</c:v>
                </c:pt>
                <c:pt idx="66">
                  <c:v>35.401900279143362</c:v>
                </c:pt>
                <c:pt idx="67">
                  <c:v>35.810010912809808</c:v>
                </c:pt>
                <c:pt idx="68">
                  <c:v>36.221362176011759</c:v>
                </c:pt>
                <c:pt idx="69">
                  <c:v>36.635146044809161</c:v>
                </c:pt>
                <c:pt idx="70">
                  <c:v>37.050554847130591</c:v>
                </c:pt>
                <c:pt idx="71">
                  <c:v>37.466790249234599</c:v>
                </c:pt>
                <c:pt idx="72">
                  <c:v>37.883045294419865</c:v>
                </c:pt>
                <c:pt idx="73">
                  <c:v>38.298514490294565</c:v>
                </c:pt>
                <c:pt idx="74">
                  <c:v>38.712392800332374</c:v>
                </c:pt>
                <c:pt idx="75">
                  <c:v>39.123875654473125</c:v>
                </c:pt>
                <c:pt idx="76">
                  <c:v>39.532158963414069</c:v>
                </c:pt>
                <c:pt idx="77">
                  <c:v>39.936439133093302</c:v>
                </c:pt>
                <c:pt idx="78">
                  <c:v>40.340323141206312</c:v>
                </c:pt>
                <c:pt idx="79">
                  <c:v>40.747218901227541</c:v>
                </c:pt>
                <c:pt idx="80">
                  <c:v>41.156012020096476</c:v>
                </c:pt>
                <c:pt idx="81">
                  <c:v>41.565595566979027</c:v>
                </c:pt>
                <c:pt idx="82">
                  <c:v>41.974863315583349</c:v>
                </c:pt>
                <c:pt idx="83">
                  <c:v>42.382709764861659</c:v>
                </c:pt>
                <c:pt idx="84">
                  <c:v>42.788030160950136</c:v>
                </c:pt>
                <c:pt idx="85">
                  <c:v>43.189716542825046</c:v>
                </c:pt>
                <c:pt idx="86">
                  <c:v>43.586648394953805</c:v>
                </c:pt>
                <c:pt idx="87">
                  <c:v>43.977720684055662</c:v>
                </c:pt>
                <c:pt idx="88">
                  <c:v>44.361829020614387</c:v>
                </c:pt>
                <c:pt idx="89">
                  <c:v>44.737869666967526</c:v>
                </c:pt>
                <c:pt idx="90">
                  <c:v>45.104739566729513</c:v>
                </c:pt>
                <c:pt idx="91">
                  <c:v>45.461336355250701</c:v>
                </c:pt>
                <c:pt idx="92">
                  <c:v>45.809102271784894</c:v>
                </c:pt>
                <c:pt idx="93">
                  <c:v>46.150284682812675</c:v>
                </c:pt>
                <c:pt idx="94">
                  <c:v>46.484978451078177</c:v>
                </c:pt>
                <c:pt idx="95">
                  <c:v>46.813285016822434</c:v>
                </c:pt>
                <c:pt idx="96">
                  <c:v>47.135305834352437</c:v>
                </c:pt>
                <c:pt idx="97">
                  <c:v>47.451142380957982</c:v>
                </c:pt>
                <c:pt idx="98">
                  <c:v>47.760896172892188</c:v>
                </c:pt>
                <c:pt idx="99">
                  <c:v>48.06466459467012</c:v>
                </c:pt>
                <c:pt idx="100">
                  <c:v>48.362556142818192</c:v>
                </c:pt>
                <c:pt idx="101">
                  <c:v>48.654672840831168</c:v>
                </c:pt>
                <c:pt idx="102">
                  <c:v>48.941116802656076</c:v>
                </c:pt>
                <c:pt idx="103">
                  <c:v>49.221990251806012</c:v>
                </c:pt>
                <c:pt idx="104">
                  <c:v>49.497395516954555</c:v>
                </c:pt>
                <c:pt idx="105">
                  <c:v>49.76743505949112</c:v>
                </c:pt>
                <c:pt idx="106">
                  <c:v>50.031960945100565</c:v>
                </c:pt>
                <c:pt idx="107">
                  <c:v>50.290729112302778</c:v>
                </c:pt>
                <c:pt idx="108">
                  <c:v>50.543733921696884</c:v>
                </c:pt>
                <c:pt idx="109">
                  <c:v>50.790973908644077</c:v>
                </c:pt>
                <c:pt idx="110">
                  <c:v>51.032447446377311</c:v>
                </c:pt>
                <c:pt idx="111">
                  <c:v>51.268152760748706</c:v>
                </c:pt>
                <c:pt idx="112">
                  <c:v>51.498087944711479</c:v>
                </c:pt>
                <c:pt idx="113">
                  <c:v>51.72222963992008</c:v>
                </c:pt>
                <c:pt idx="114">
                  <c:v>51.940580639537501</c:v>
                </c:pt>
                <c:pt idx="115">
                  <c:v>52.153136558738751</c:v>
                </c:pt>
                <c:pt idx="116">
                  <c:v>52.359892649022797</c:v>
                </c:pt>
                <c:pt idx="117">
                  <c:v>52.560843773701038</c:v>
                </c:pt>
                <c:pt idx="118">
                  <c:v>52.75598438883199</c:v>
                </c:pt>
                <c:pt idx="119">
                  <c:v>52.945308520687867</c:v>
                </c:pt>
                <c:pt idx="120">
                  <c:v>53.129242962926789</c:v>
                </c:pt>
                <c:pt idx="121">
                  <c:v>53.308080671505941</c:v>
                </c:pt>
                <c:pt idx="122">
                  <c:v>53.481668691590912</c:v>
                </c:pt>
                <c:pt idx="123">
                  <c:v>53.649805688069989</c:v>
                </c:pt>
                <c:pt idx="124">
                  <c:v>53.812290412735109</c:v>
                </c:pt>
                <c:pt idx="125">
                  <c:v>53.968921700887655</c:v>
                </c:pt>
                <c:pt idx="126">
                  <c:v>54.119498481802474</c:v>
                </c:pt>
                <c:pt idx="127">
                  <c:v>54.263821521858603</c:v>
                </c:pt>
                <c:pt idx="128">
                  <c:v>54.401729018660298</c:v>
                </c:pt>
                <c:pt idx="129">
                  <c:v>54.533025011012015</c:v>
                </c:pt>
                <c:pt idx="130">
                  <c:v>54.65751395689994</c:v>
                </c:pt>
                <c:pt idx="131">
                  <c:v>54.775000731298881</c:v>
                </c:pt>
                <c:pt idx="132">
                  <c:v>54.885290644952782</c:v>
                </c:pt>
                <c:pt idx="133">
                  <c:v>54.988189439835395</c:v>
                </c:pt>
                <c:pt idx="134">
                  <c:v>55.083137674674006</c:v>
                </c:pt>
                <c:pt idx="135">
                  <c:v>55.169981075781607</c:v>
                </c:pt>
                <c:pt idx="136">
                  <c:v>55.249125249825603</c:v>
                </c:pt>
                <c:pt idx="137">
                  <c:v>55.320976173997707</c:v>
                </c:pt>
                <c:pt idx="138">
                  <c:v>55.385939863142987</c:v>
                </c:pt>
                <c:pt idx="139">
                  <c:v>55.444422339789639</c:v>
                </c:pt>
                <c:pt idx="140">
                  <c:v>55.496829651123775</c:v>
                </c:pt>
                <c:pt idx="141">
                  <c:v>55.543580089781507</c:v>
                </c:pt>
                <c:pt idx="142">
                  <c:v>55.585078136226613</c:v>
                </c:pt>
                <c:pt idx="143">
                  <c:v>55.621731049160054</c:v>
                </c:pt>
                <c:pt idx="144">
                  <c:v>55.653945914813441</c:v>
                </c:pt>
                <c:pt idx="145">
                  <c:v>55.68212981353485</c:v>
                </c:pt>
                <c:pt idx="146">
                  <c:v>55.706689813279574</c:v>
                </c:pt>
                <c:pt idx="147">
                  <c:v>55.728032944578487</c:v>
                </c:pt>
                <c:pt idx="148">
                  <c:v>55.74492527164206</c:v>
                </c:pt>
                <c:pt idx="149">
                  <c:v>55.756078367130833</c:v>
                </c:pt>
                <c:pt idx="150">
                  <c:v>55.761793141472772</c:v>
                </c:pt>
                <c:pt idx="151">
                  <c:v>55.762379026867251</c:v>
                </c:pt>
                <c:pt idx="152">
                  <c:v>55.758145379578195</c:v>
                </c:pt>
                <c:pt idx="153">
                  <c:v>55.749401448306187</c:v>
                </c:pt>
                <c:pt idx="154">
                  <c:v>55.736456338172083</c:v>
                </c:pt>
                <c:pt idx="155">
                  <c:v>55.719624459050152</c:v>
                </c:pt>
                <c:pt idx="156">
                  <c:v>55.699195421536558</c:v>
                </c:pt>
                <c:pt idx="157">
                  <c:v>55.675476578316278</c:v>
                </c:pt>
                <c:pt idx="158">
                  <c:v>55.648774995984404</c:v>
                </c:pt>
                <c:pt idx="159">
                  <c:v>55.619397431002739</c:v>
                </c:pt>
                <c:pt idx="160">
                  <c:v>55.587650297679829</c:v>
                </c:pt>
                <c:pt idx="161">
                  <c:v>55.553839648363898</c:v>
                </c:pt>
                <c:pt idx="162">
                  <c:v>55.517527236297113</c:v>
                </c:pt>
                <c:pt idx="163">
                  <c:v>55.47808464123505</c:v>
                </c:pt>
                <c:pt idx="164">
                  <c:v>55.435504764584088</c:v>
                </c:pt>
                <c:pt idx="165">
                  <c:v>55.389795048063483</c:v>
                </c:pt>
                <c:pt idx="166">
                  <c:v>55.340962641508959</c:v>
                </c:pt>
                <c:pt idx="167">
                  <c:v>55.289014371765333</c:v>
                </c:pt>
                <c:pt idx="168">
                  <c:v>55.23395672668422</c:v>
                </c:pt>
                <c:pt idx="169">
                  <c:v>55.175804998460805</c:v>
                </c:pt>
                <c:pt idx="170">
                  <c:v>55.114557680439077</c:v>
                </c:pt>
                <c:pt idx="171">
                  <c:v>55.050220216166579</c:v>
                </c:pt>
                <c:pt idx="172">
                  <c:v>54.982797644936753</c:v>
                </c:pt>
                <c:pt idx="173">
                  <c:v>54.91229551565484</c:v>
                </c:pt>
                <c:pt idx="174">
                  <c:v>54.838719070957588</c:v>
                </c:pt>
                <c:pt idx="175">
                  <c:v>54.76207225334565</c:v>
                </c:pt>
                <c:pt idx="176">
                  <c:v>54.682358577797643</c:v>
                </c:pt>
                <c:pt idx="177">
                  <c:v>54.599589959812782</c:v>
                </c:pt>
                <c:pt idx="178">
                  <c:v>54.513758733711079</c:v>
                </c:pt>
                <c:pt idx="179">
                  <c:v>54.424867044465103</c:v>
                </c:pt>
                <c:pt idx="180">
                  <c:v>54.332916630829075</c:v>
                </c:pt>
                <c:pt idx="181">
                  <c:v>54.237908830785614</c:v>
                </c:pt>
                <c:pt idx="182">
                  <c:v>54.139844594708173</c:v>
                </c:pt>
                <c:pt idx="183">
                  <c:v>54.038746750777804</c:v>
                </c:pt>
                <c:pt idx="184">
                  <c:v>53.934604708844724</c:v>
                </c:pt>
                <c:pt idx="185">
                  <c:v>53.82741873919462</c:v>
                </c:pt>
                <c:pt idx="186">
                  <c:v>53.717188780505701</c:v>
                </c:pt>
                <c:pt idx="187">
                  <c:v>53.603914460120961</c:v>
                </c:pt>
                <c:pt idx="188">
                  <c:v>53.487595122305251</c:v>
                </c:pt>
                <c:pt idx="189">
                  <c:v>53.368229847018178</c:v>
                </c:pt>
                <c:pt idx="190">
                  <c:v>53.245175620311578</c:v>
                </c:pt>
                <c:pt idx="191">
                  <c:v>53.118023615370461</c:v>
                </c:pt>
                <c:pt idx="192">
                  <c:v>52.987059295671656</c:v>
                </c:pt>
                <c:pt idx="193">
                  <c:v>52.852578064708553</c:v>
                </c:pt>
                <c:pt idx="194">
                  <c:v>52.714874992885136</c:v>
                </c:pt>
                <c:pt idx="195">
                  <c:v>52.574244850560447</c:v>
                </c:pt>
                <c:pt idx="196">
                  <c:v>52.430982133109154</c:v>
                </c:pt>
                <c:pt idx="197">
                  <c:v>52.285403119969828</c:v>
                </c:pt>
                <c:pt idx="198">
                  <c:v>52.137776594107592</c:v>
                </c:pt>
                <c:pt idx="199">
                  <c:v>51.988396318698442</c:v>
                </c:pt>
                <c:pt idx="200">
                  <c:v>51.837555898322243</c:v>
                </c:pt>
                <c:pt idx="201">
                  <c:v>51.685548806430326</c:v>
                </c:pt>
                <c:pt idx="202">
                  <c:v>51.532668404775343</c:v>
                </c:pt>
                <c:pt idx="203">
                  <c:v>51.379207963314116</c:v>
                </c:pt>
                <c:pt idx="204">
                  <c:v>51.225575847906747</c:v>
                </c:pt>
                <c:pt idx="205">
                  <c:v>51.071730177269274</c:v>
                </c:pt>
                <c:pt idx="206">
                  <c:v>50.917233877832757</c:v>
                </c:pt>
                <c:pt idx="207">
                  <c:v>50.761690221650703</c:v>
                </c:pt>
                <c:pt idx="208">
                  <c:v>50.604702817276859</c:v>
                </c:pt>
                <c:pt idx="209">
                  <c:v>50.445875612717458</c:v>
                </c:pt>
                <c:pt idx="210">
                  <c:v>50.284812895479881</c:v>
                </c:pt>
                <c:pt idx="211">
                  <c:v>50.121120913206944</c:v>
                </c:pt>
                <c:pt idx="212">
                  <c:v>49.954380716489922</c:v>
                </c:pt>
                <c:pt idx="213">
                  <c:v>49.221548981450752</c:v>
                </c:pt>
                <c:pt idx="214">
                  <c:v>49.049481516628056</c:v>
                </c:pt>
                <c:pt idx="215">
                  <c:v>48.873229922447798</c:v>
                </c:pt>
                <c:pt idx="216">
                  <c:v>48.692404725192034</c:v>
                </c:pt>
                <c:pt idx="217">
                  <c:v>48.506616777638023</c:v>
                </c:pt>
                <c:pt idx="218">
                  <c:v>48.316660961921897</c:v>
                </c:pt>
                <c:pt idx="219">
                  <c:v>48.12330890366043</c:v>
                </c:pt>
                <c:pt idx="220">
                  <c:v>47.926451201886486</c:v>
                </c:pt>
                <c:pt idx="221">
                  <c:v>47.725988909924546</c:v>
                </c:pt>
                <c:pt idx="222">
                  <c:v>47.521823394056646</c:v>
                </c:pt>
                <c:pt idx="223">
                  <c:v>47.31385631622144</c:v>
                </c:pt>
                <c:pt idx="224">
                  <c:v>47.10198961886347</c:v>
                </c:pt>
                <c:pt idx="225">
                  <c:v>46.885731490889881</c:v>
                </c:pt>
                <c:pt idx="226">
                  <c:v>46.664980219173493</c:v>
                </c:pt>
                <c:pt idx="227">
                  <c:v>46.439636252597964</c:v>
                </c:pt>
                <c:pt idx="228">
                  <c:v>46.209600522923864</c:v>
                </c:pt>
                <c:pt idx="229">
                  <c:v>45.974774421477335</c:v>
                </c:pt>
                <c:pt idx="230">
                  <c:v>45.735059793243231</c:v>
                </c:pt>
                <c:pt idx="231">
                  <c:v>45.490358912823893</c:v>
                </c:pt>
                <c:pt idx="232">
                  <c:v>45.241027778853848</c:v>
                </c:pt>
                <c:pt idx="233">
                  <c:v>44.98734444675415</c:v>
                </c:pt>
                <c:pt idx="234">
                  <c:v>44.729436113790769</c:v>
                </c:pt>
                <c:pt idx="235">
                  <c:v>44.467206836793501</c:v>
                </c:pt>
                <c:pt idx="236">
                  <c:v>44.200560917866689</c:v>
                </c:pt>
                <c:pt idx="237">
                  <c:v>43.929403016577126</c:v>
                </c:pt>
                <c:pt idx="238">
                  <c:v>43.653638072098182</c:v>
                </c:pt>
                <c:pt idx="239">
                  <c:v>43.373234708814508</c:v>
                </c:pt>
                <c:pt idx="240">
                  <c:v>43.088500892593586</c:v>
                </c:pt>
                <c:pt idx="241">
                  <c:v>42.799343266780937</c:v>
                </c:pt>
                <c:pt idx="242">
                  <c:v>42.505668509348318</c:v>
                </c:pt>
                <c:pt idx="243">
                  <c:v>42.207383333038855</c:v>
                </c:pt>
                <c:pt idx="244">
                  <c:v>41.904394500176195</c:v>
                </c:pt>
                <c:pt idx="245">
                  <c:v>41.596608820813422</c:v>
                </c:pt>
                <c:pt idx="246">
                  <c:v>41.283755339257759</c:v>
                </c:pt>
                <c:pt idx="247">
                  <c:v>40.96562221608427</c:v>
                </c:pt>
                <c:pt idx="248">
                  <c:v>40.642486278043172</c:v>
                </c:pt>
                <c:pt idx="249">
                  <c:v>40.314545447654069</c:v>
                </c:pt>
                <c:pt idx="250">
                  <c:v>39.981997632043701</c:v>
                </c:pt>
                <c:pt idx="251">
                  <c:v>39.645040727130116</c:v>
                </c:pt>
                <c:pt idx="252">
                  <c:v>39.303872621707747</c:v>
                </c:pt>
                <c:pt idx="253">
                  <c:v>38.958864320168658</c:v>
                </c:pt>
                <c:pt idx="254">
                  <c:v>38.610149948022169</c:v>
                </c:pt>
                <c:pt idx="255">
                  <c:v>38.257927172861912</c:v>
                </c:pt>
                <c:pt idx="256">
                  <c:v>37.902393615284666</c:v>
                </c:pt>
                <c:pt idx="257">
                  <c:v>37.543746851240726</c:v>
                </c:pt>
                <c:pt idx="258">
                  <c:v>37.182184407627787</c:v>
                </c:pt>
                <c:pt idx="259">
                  <c:v>36.817903762103327</c:v>
                </c:pt>
                <c:pt idx="260">
                  <c:v>36.447889973602813</c:v>
                </c:pt>
                <c:pt idx="261">
                  <c:v>36.070382211267891</c:v>
                </c:pt>
                <c:pt idx="262">
                  <c:v>35.68677630371581</c:v>
                </c:pt>
                <c:pt idx="263">
                  <c:v>35.298332924481194</c:v>
                </c:pt>
                <c:pt idx="264">
                  <c:v>34.906311824325137</c:v>
                </c:pt>
                <c:pt idx="265">
                  <c:v>34.511970012371336</c:v>
                </c:pt>
                <c:pt idx="266">
                  <c:v>34.116564404787525</c:v>
                </c:pt>
                <c:pt idx="267">
                  <c:v>33.721666733232283</c:v>
                </c:pt>
                <c:pt idx="268">
                  <c:v>33.328361567308932</c:v>
                </c:pt>
                <c:pt idx="269">
                  <c:v>32.93790350043713</c:v>
                </c:pt>
                <c:pt idx="270">
                  <c:v>32.551546079741307</c:v>
                </c:pt>
                <c:pt idx="271">
                  <c:v>32.170541778440658</c:v>
                </c:pt>
                <c:pt idx="272">
                  <c:v>31.796141978787823</c:v>
                </c:pt>
                <c:pt idx="273">
                  <c:v>31.429596949530836</c:v>
                </c:pt>
                <c:pt idx="274">
                  <c:v>31.069011594256473</c:v>
                </c:pt>
                <c:pt idx="275">
                  <c:v>30.711717553034269</c:v>
                </c:pt>
                <c:pt idx="276">
                  <c:v>30.357178384095661</c:v>
                </c:pt>
                <c:pt idx="277">
                  <c:v>30.005388105286944</c:v>
                </c:pt>
                <c:pt idx="278">
                  <c:v>29.656340189584778</c:v>
                </c:pt>
                <c:pt idx="279">
                  <c:v>29.310027554429386</c:v>
                </c:pt>
                <c:pt idx="280">
                  <c:v>28.966442555036448</c:v>
                </c:pt>
                <c:pt idx="281">
                  <c:v>28.625548836554636</c:v>
                </c:pt>
                <c:pt idx="282">
                  <c:v>28.287036439466199</c:v>
                </c:pt>
                <c:pt idx="283">
                  <c:v>27.950899939949984</c:v>
                </c:pt>
                <c:pt idx="284">
                  <c:v>27.617133648895031</c:v>
                </c:pt>
                <c:pt idx="285">
                  <c:v>27.285731621845773</c:v>
                </c:pt>
                <c:pt idx="286">
                  <c:v>26.956687673346842</c:v>
                </c:pt>
                <c:pt idx="287">
                  <c:v>26.629995393375765</c:v>
                </c:pt>
                <c:pt idx="288">
                  <c:v>26.305229273861457</c:v>
                </c:pt>
                <c:pt idx="289">
                  <c:v>25.982011995025545</c:v>
                </c:pt>
                <c:pt idx="290">
                  <c:v>25.660469598704751</c:v>
                </c:pt>
                <c:pt idx="291">
                  <c:v>25.34079061711893</c:v>
                </c:pt>
                <c:pt idx="292">
                  <c:v>25.023163546779077</c:v>
                </c:pt>
                <c:pt idx="293">
                  <c:v>24.707776872271143</c:v>
                </c:pt>
                <c:pt idx="294">
                  <c:v>24.394819093724244</c:v>
                </c:pt>
                <c:pt idx="295">
                  <c:v>24.084402087385978</c:v>
                </c:pt>
                <c:pt idx="296">
                  <c:v>23.776739684289943</c:v>
                </c:pt>
                <c:pt idx="297">
                  <c:v>23.472020192161935</c:v>
                </c:pt>
                <c:pt idx="298">
                  <c:v>23.170433702361517</c:v>
                </c:pt>
                <c:pt idx="299">
                  <c:v>22.872170441960542</c:v>
                </c:pt>
                <c:pt idx="300">
                  <c:v>22.577420784725952</c:v>
                </c:pt>
                <c:pt idx="301">
                  <c:v>22.286375268590998</c:v>
                </c:pt>
                <c:pt idx="302">
                  <c:v>21.997276124775489</c:v>
                </c:pt>
                <c:pt idx="303">
                  <c:v>21.708487799913478</c:v>
                </c:pt>
                <c:pt idx="304">
                  <c:v>21.420762425790599</c:v>
                </c:pt>
                <c:pt idx="305">
                  <c:v>21.134777192069709</c:v>
                </c:pt>
                <c:pt idx="306">
                  <c:v>20.851209438559678</c:v>
                </c:pt>
                <c:pt idx="307">
                  <c:v>20.570736654956573</c:v>
                </c:pt>
                <c:pt idx="308">
                  <c:v>20.294036460972237</c:v>
                </c:pt>
                <c:pt idx="309">
                  <c:v>20.021544751691653</c:v>
                </c:pt>
                <c:pt idx="310">
                  <c:v>19.754013840495173</c:v>
                </c:pt>
                <c:pt idx="311">
                  <c:v>19.492125219631873</c:v>
                </c:pt>
                <c:pt idx="312">
                  <c:v>19.236560388064362</c:v>
                </c:pt>
                <c:pt idx="313">
                  <c:v>18.988000797219076</c:v>
                </c:pt>
                <c:pt idx="314">
                  <c:v>18.747127819255457</c:v>
                </c:pt>
                <c:pt idx="315">
                  <c:v>18.514622701417501</c:v>
                </c:pt>
                <c:pt idx="316">
                  <c:v>18.289267122350786</c:v>
                </c:pt>
                <c:pt idx="317">
                  <c:v>18.069494576165816</c:v>
                </c:pt>
                <c:pt idx="318">
                  <c:v>17.855586394287322</c:v>
                </c:pt>
                <c:pt idx="319">
                  <c:v>17.647639675548174</c:v>
                </c:pt>
                <c:pt idx="320">
                  <c:v>17.445751483802482</c:v>
                </c:pt>
                <c:pt idx="321">
                  <c:v>17.250018841094334</c:v>
                </c:pt>
                <c:pt idx="322">
                  <c:v>17.060538716523215</c:v>
                </c:pt>
                <c:pt idx="323">
                  <c:v>16.877593976716717</c:v>
                </c:pt>
                <c:pt idx="324">
                  <c:v>16.701496703534541</c:v>
                </c:pt>
                <c:pt idx="325">
                  <c:v>16.532336555753972</c:v>
                </c:pt>
                <c:pt idx="326">
                  <c:v>16.370204415976456</c:v>
                </c:pt>
                <c:pt idx="327">
                  <c:v>16.215190972664718</c:v>
                </c:pt>
                <c:pt idx="328">
                  <c:v>16.067386562203954</c:v>
                </c:pt>
                <c:pt idx="329">
                  <c:v>15.926881881840032</c:v>
                </c:pt>
                <c:pt idx="330">
                  <c:v>15.792481082265613</c:v>
                </c:pt>
                <c:pt idx="331">
                  <c:v>15.663292848254775</c:v>
                </c:pt>
                <c:pt idx="332">
                  <c:v>15.53975994427382</c:v>
                </c:pt>
                <c:pt idx="333">
                  <c:v>15.422360803911033</c:v>
                </c:pt>
                <c:pt idx="334">
                  <c:v>15.31157417540758</c:v>
                </c:pt>
                <c:pt idx="335">
                  <c:v>15.207879084914383</c:v>
                </c:pt>
                <c:pt idx="336">
                  <c:v>15.111754821772333</c:v>
                </c:pt>
                <c:pt idx="337">
                  <c:v>15.02364989615862</c:v>
                </c:pt>
                <c:pt idx="338">
                  <c:v>14.943871928504153</c:v>
                </c:pt>
                <c:pt idx="339">
                  <c:v>14.872903028080975</c:v>
                </c:pt>
                <c:pt idx="340">
                  <c:v>14.811225221031346</c:v>
                </c:pt>
                <c:pt idx="341">
                  <c:v>14.759320436317619</c:v>
                </c:pt>
                <c:pt idx="342">
                  <c:v>14.717670482098654</c:v>
                </c:pt>
                <c:pt idx="343">
                  <c:v>14.68675702302073</c:v>
                </c:pt>
                <c:pt idx="344">
                  <c:v>14.66766786201709</c:v>
                </c:pt>
                <c:pt idx="345">
                  <c:v>14.660611661529058</c:v>
                </c:pt>
                <c:pt idx="346">
                  <c:v>14.664675452075766</c:v>
                </c:pt>
                <c:pt idx="347">
                  <c:v>14.679022976126269</c:v>
                </c:pt>
                <c:pt idx="348">
                  <c:v>14.70281814914353</c:v>
                </c:pt>
                <c:pt idx="349">
                  <c:v>14.735225059998099</c:v>
                </c:pt>
                <c:pt idx="350">
                  <c:v>14.775407977469948</c:v>
                </c:pt>
                <c:pt idx="351">
                  <c:v>14.822499713467414</c:v>
                </c:pt>
                <c:pt idx="352">
                  <c:v>14.875694930526038</c:v>
                </c:pt>
                <c:pt idx="353">
                  <c:v>14.934158461936866</c:v>
                </c:pt>
                <c:pt idx="354">
                  <c:v>14.997055342514747</c:v>
                </c:pt>
                <c:pt idx="355">
                  <c:v>15.063550811627911</c:v>
                </c:pt>
                <c:pt idx="356">
                  <c:v>15.132811885624175</c:v>
                </c:pt>
                <c:pt idx="357">
                  <c:v>15.204002764170042</c:v>
                </c:pt>
                <c:pt idx="358">
                  <c:v>15.277662096905299</c:v>
                </c:pt>
                <c:pt idx="359">
                  <c:v>15.355089282975529</c:v>
                </c:pt>
                <c:pt idx="360">
                  <c:v>15.436561997615984</c:v>
                </c:pt>
                <c:pt idx="361">
                  <c:v>15.522418760934675</c:v>
                </c:pt>
                <c:pt idx="362">
                  <c:v>15.612966454513801</c:v>
                </c:pt>
                <c:pt idx="363">
                  <c:v>15.708511727914376</c:v>
                </c:pt>
                <c:pt idx="364">
                  <c:v>15.809361002087885</c:v>
                </c:pt>
                <c:pt idx="365">
                  <c:v>15.9158204729421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11.585000000000001</c:v>
                </c:pt>
                <c:pt idx="1">
                  <c:v>14.932</c:v>
                </c:pt>
                <c:pt idx="2">
                  <c:v>7.3360000000000003</c:v>
                </c:pt>
                <c:pt idx="3">
                  <c:v>5.9660000000000002</c:v>
                </c:pt>
                <c:pt idx="4">
                  <c:v>12.186</c:v>
                </c:pt>
                <c:pt idx="5">
                  <c:v>16.440999999999999</c:v>
                </c:pt>
                <c:pt idx="6">
                  <c:v>6.5979999999999999</c:v>
                </c:pt>
                <c:pt idx="7">
                  <c:v>10.874000000000001</c:v>
                </c:pt>
                <c:pt idx="8">
                  <c:v>16.483000000000001</c:v>
                </c:pt>
                <c:pt idx="9">
                  <c:v>8.0820000000000007</c:v>
                </c:pt>
                <c:pt idx="10">
                  <c:v>18.120999999999999</c:v>
                </c:pt>
                <c:pt idx="11">
                  <c:v>17.774999999999999</c:v>
                </c:pt>
                <c:pt idx="12">
                  <c:v>12.752000000000001</c:v>
                </c:pt>
                <c:pt idx="13">
                  <c:v>17.795999999999999</c:v>
                </c:pt>
                <c:pt idx="14">
                  <c:v>15.872</c:v>
                </c:pt>
                <c:pt idx="15">
                  <c:v>17.292000000000002</c:v>
                </c:pt>
                <c:pt idx="16">
                  <c:v>4.5190000000000001</c:v>
                </c:pt>
                <c:pt idx="17">
                  <c:v>15.493</c:v>
                </c:pt>
                <c:pt idx="18">
                  <c:v>20.818999999999999</c:v>
                </c:pt>
                <c:pt idx="19">
                  <c:v>10.153</c:v>
                </c:pt>
                <c:pt idx="20">
                  <c:v>3.2309999999999999</c:v>
                </c:pt>
                <c:pt idx="21">
                  <c:v>1.2190000000000001</c:v>
                </c:pt>
                <c:pt idx="22">
                  <c:v>11.114000000000001</c:v>
                </c:pt>
                <c:pt idx="23">
                  <c:v>14.2</c:v>
                </c:pt>
                <c:pt idx="24">
                  <c:v>12.512</c:v>
                </c:pt>
                <c:pt idx="25">
                  <c:v>6.87</c:v>
                </c:pt>
                <c:pt idx="26">
                  <c:v>9.8620000000000001</c:v>
                </c:pt>
                <c:pt idx="27">
                  <c:v>15.164999999999999</c:v>
                </c:pt>
                <c:pt idx="28">
                  <c:v>14.151999999999999</c:v>
                </c:pt>
                <c:pt idx="29">
                  <c:v>10.333</c:v>
                </c:pt>
                <c:pt idx="30">
                  <c:v>17.905999999999999</c:v>
                </c:pt>
                <c:pt idx="31">
                  <c:v>12.917</c:v>
                </c:pt>
                <c:pt idx="32">
                  <c:v>21.202000000000002</c:v>
                </c:pt>
                <c:pt idx="33">
                  <c:v>19.891999999999999</c:v>
                </c:pt>
                <c:pt idx="34">
                  <c:v>14.071</c:v>
                </c:pt>
                <c:pt idx="35">
                  <c:v>24.663</c:v>
                </c:pt>
                <c:pt idx="36">
                  <c:v>25.277000000000001</c:v>
                </c:pt>
                <c:pt idx="37">
                  <c:v>17.792999999999999</c:v>
                </c:pt>
                <c:pt idx="38">
                  <c:v>20.099</c:v>
                </c:pt>
                <c:pt idx="39">
                  <c:v>21.15</c:v>
                </c:pt>
                <c:pt idx="40">
                  <c:v>8.1739999999999995</c:v>
                </c:pt>
                <c:pt idx="41">
                  <c:v>8.6969999999999992</c:v>
                </c:pt>
                <c:pt idx="42">
                  <c:v>17.02</c:v>
                </c:pt>
                <c:pt idx="43">
                  <c:v>15.786</c:v>
                </c:pt>
                <c:pt idx="44">
                  <c:v>22.802</c:v>
                </c:pt>
                <c:pt idx="45">
                  <c:v>26.616</c:v>
                </c:pt>
                <c:pt idx="46">
                  <c:v>16.387</c:v>
                </c:pt>
                <c:pt idx="47">
                  <c:v>5.14</c:v>
                </c:pt>
                <c:pt idx="48">
                  <c:v>22.847999999999999</c:v>
                </c:pt>
                <c:pt idx="49">
                  <c:v>21.151</c:v>
                </c:pt>
                <c:pt idx="50">
                  <c:v>29.963999999999999</c:v>
                </c:pt>
                <c:pt idx="51">
                  <c:v>12.497</c:v>
                </c:pt>
                <c:pt idx="52">
                  <c:v>29.198</c:v>
                </c:pt>
                <c:pt idx="53">
                  <c:v>30.805</c:v>
                </c:pt>
                <c:pt idx="54">
                  <c:v>31.751000000000001</c:v>
                </c:pt>
                <c:pt idx="55">
                  <c:v>16.227</c:v>
                </c:pt>
                <c:pt idx="56">
                  <c:v>16.337</c:v>
                </c:pt>
                <c:pt idx="57">
                  <c:v>7.319</c:v>
                </c:pt>
                <c:pt idx="58">
                  <c:v>16.908000000000001</c:v>
                </c:pt>
                <c:pt idx="59">
                  <c:v>12.946999999999999</c:v>
                </c:pt>
                <c:pt idx="60">
                  <c:v>22.061</c:v>
                </c:pt>
                <c:pt idx="61">
                  <c:v>20.381</c:v>
                </c:pt>
                <c:pt idx="62">
                  <c:v>5.101</c:v>
                </c:pt>
                <c:pt idx="63">
                  <c:v>8.5850000000000009</c:v>
                </c:pt>
                <c:pt idx="64">
                  <c:v>9.83</c:v>
                </c:pt>
                <c:pt idx="65">
                  <c:v>19.79</c:v>
                </c:pt>
                <c:pt idx="66">
                  <c:v>23.718</c:v>
                </c:pt>
                <c:pt idx="67">
                  <c:v>26.114000000000001</c:v>
                </c:pt>
                <c:pt idx="68">
                  <c:v>23</c:v>
                </c:pt>
                <c:pt idx="69">
                  <c:v>29.63</c:v>
                </c:pt>
                <c:pt idx="70">
                  <c:v>35.841000000000001</c:v>
                </c:pt>
                <c:pt idx="71">
                  <c:v>14.461</c:v>
                </c:pt>
                <c:pt idx="72">
                  <c:v>34.045000000000002</c:v>
                </c:pt>
                <c:pt idx="73">
                  <c:v>27.16</c:v>
                </c:pt>
                <c:pt idx="74">
                  <c:v>38.869</c:v>
                </c:pt>
                <c:pt idx="75">
                  <c:v>8.7010000000000005</c:v>
                </c:pt>
                <c:pt idx="76">
                  <c:v>12.792999999999999</c:v>
                </c:pt>
                <c:pt idx="77">
                  <c:v>37.295000000000002</c:v>
                </c:pt>
                <c:pt idx="78">
                  <c:v>37.843000000000004</c:v>
                </c:pt>
                <c:pt idx="79">
                  <c:v>41.676000000000002</c:v>
                </c:pt>
                <c:pt idx="80">
                  <c:v>39.69</c:v>
                </c:pt>
                <c:pt idx="81">
                  <c:v>37.046999999999997</c:v>
                </c:pt>
                <c:pt idx="82">
                  <c:v>30.608000000000001</c:v>
                </c:pt>
                <c:pt idx="83">
                  <c:v>37.737000000000002</c:v>
                </c:pt>
                <c:pt idx="84">
                  <c:v>43.546999999999997</c:v>
                </c:pt>
                <c:pt idx="85">
                  <c:v>26.774999999999999</c:v>
                </c:pt>
                <c:pt idx="86">
                  <c:v>42.006</c:v>
                </c:pt>
                <c:pt idx="87">
                  <c:v>42.451000000000001</c:v>
                </c:pt>
                <c:pt idx="88">
                  <c:v>23.33</c:v>
                </c:pt>
                <c:pt idx="89">
                  <c:v>18.053999999999998</c:v>
                </c:pt>
                <c:pt idx="90">
                  <c:v>40.110999999999997</c:v>
                </c:pt>
                <c:pt idx="91">
                  <c:v>36</c:v>
                </c:pt>
                <c:pt idx="92">
                  <c:v>25.056000000000001</c:v>
                </c:pt>
                <c:pt idx="93">
                  <c:v>47.662999999999997</c:v>
                </c:pt>
                <c:pt idx="94">
                  <c:v>48.454000000000001</c:v>
                </c:pt>
                <c:pt idx="95">
                  <c:v>48.9</c:v>
                </c:pt>
                <c:pt idx="96">
                  <c:v>27.952000000000002</c:v>
                </c:pt>
                <c:pt idx="97">
                  <c:v>31.736999999999998</c:v>
                </c:pt>
                <c:pt idx="98">
                  <c:v>39.133000000000003</c:v>
                </c:pt>
                <c:pt idx="99">
                  <c:v>48.265000000000001</c:v>
                </c:pt>
                <c:pt idx="100">
                  <c:v>49.057000000000002</c:v>
                </c:pt>
                <c:pt idx="101">
                  <c:v>47.932000000000002</c:v>
                </c:pt>
                <c:pt idx="102">
                  <c:v>40.825000000000003</c:v>
                </c:pt>
                <c:pt idx="103">
                  <c:v>14.101000000000001</c:v>
                </c:pt>
                <c:pt idx="104">
                  <c:v>49.014000000000003</c:v>
                </c:pt>
                <c:pt idx="105">
                  <c:v>41.399000000000001</c:v>
                </c:pt>
                <c:pt idx="106">
                  <c:v>38.478000000000002</c:v>
                </c:pt>
                <c:pt idx="107">
                  <c:v>31.507000000000001</c:v>
                </c:pt>
                <c:pt idx="108">
                  <c:v>40.356000000000002</c:v>
                </c:pt>
                <c:pt idx="109">
                  <c:v>17.236999999999998</c:v>
                </c:pt>
                <c:pt idx="110">
                  <c:v>15.598000000000001</c:v>
                </c:pt>
                <c:pt idx="111">
                  <c:v>14.827</c:v>
                </c:pt>
                <c:pt idx="112">
                  <c:v>9.8379999999999992</c:v>
                </c:pt>
                <c:pt idx="113">
                  <c:v>15.673999999999999</c:v>
                </c:pt>
                <c:pt idx="114">
                  <c:v>49.869</c:v>
                </c:pt>
                <c:pt idx="115">
                  <c:v>40.423000000000002</c:v>
                </c:pt>
                <c:pt idx="116">
                  <c:v>24.094000000000001</c:v>
                </c:pt>
                <c:pt idx="117">
                  <c:v>20.303999999999998</c:v>
                </c:pt>
                <c:pt idx="118">
                  <c:v>30.311</c:v>
                </c:pt>
                <c:pt idx="119">
                  <c:v>46.116</c:v>
                </c:pt>
                <c:pt idx="120">
                  <c:v>41.423000000000002</c:v>
                </c:pt>
                <c:pt idx="121">
                  <c:v>18.806000000000001</c:v>
                </c:pt>
                <c:pt idx="122">
                  <c:v>37.036000000000001</c:v>
                </c:pt>
                <c:pt idx="123">
                  <c:v>50.514000000000003</c:v>
                </c:pt>
                <c:pt idx="124">
                  <c:v>50.624000000000002</c:v>
                </c:pt>
                <c:pt idx="125">
                  <c:v>46.777000000000001</c:v>
                </c:pt>
                <c:pt idx="126">
                  <c:v>52.496000000000002</c:v>
                </c:pt>
                <c:pt idx="127">
                  <c:v>46.198999999999998</c:v>
                </c:pt>
                <c:pt idx="128">
                  <c:v>48.058999999999997</c:v>
                </c:pt>
                <c:pt idx="129">
                  <c:v>45.347000000000001</c:v>
                </c:pt>
                <c:pt idx="130">
                  <c:v>11.42</c:v>
                </c:pt>
                <c:pt idx="131">
                  <c:v>8.4960000000000004</c:v>
                </c:pt>
                <c:pt idx="132">
                  <c:v>20.143999999999998</c:v>
                </c:pt>
                <c:pt idx="133">
                  <c:v>30.686</c:v>
                </c:pt>
                <c:pt idx="134">
                  <c:v>19.63</c:v>
                </c:pt>
                <c:pt idx="135">
                  <c:v>15.669</c:v>
                </c:pt>
                <c:pt idx="136">
                  <c:v>33.743000000000002</c:v>
                </c:pt>
                <c:pt idx="137">
                  <c:v>56.738999999999997</c:v>
                </c:pt>
                <c:pt idx="138">
                  <c:v>56.015000000000001</c:v>
                </c:pt>
                <c:pt idx="139">
                  <c:v>54.415999999999997</c:v>
                </c:pt>
                <c:pt idx="140">
                  <c:v>54.07</c:v>
                </c:pt>
                <c:pt idx="141">
                  <c:v>52.076999999999998</c:v>
                </c:pt>
                <c:pt idx="142">
                  <c:v>51.411000000000001</c:v>
                </c:pt>
                <c:pt idx="143">
                  <c:v>17.137</c:v>
                </c:pt>
                <c:pt idx="144">
                  <c:v>52.515999999999998</c:v>
                </c:pt>
                <c:pt idx="145">
                  <c:v>55.040999999999997</c:v>
                </c:pt>
                <c:pt idx="146">
                  <c:v>54.792999999999999</c:v>
                </c:pt>
                <c:pt idx="147">
                  <c:v>53.658000000000001</c:v>
                </c:pt>
                <c:pt idx="148">
                  <c:v>53.854999999999997</c:v>
                </c:pt>
                <c:pt idx="149">
                  <c:v>50.401000000000003</c:v>
                </c:pt>
                <c:pt idx="150">
                  <c:v>54.703000000000003</c:v>
                </c:pt>
                <c:pt idx="151">
                  <c:v>53.984999999999999</c:v>
                </c:pt>
                <c:pt idx="152">
                  <c:v>27.616</c:v>
                </c:pt>
                <c:pt idx="153">
                  <c:v>48.686999999999998</c:v>
                </c:pt>
                <c:pt idx="154">
                  <c:v>24.529</c:v>
                </c:pt>
                <c:pt idx="155">
                  <c:v>33.604999999999997</c:v>
                </c:pt>
                <c:pt idx="156">
                  <c:v>25.141999999999999</c:v>
                </c:pt>
                <c:pt idx="157">
                  <c:v>24.645</c:v>
                </c:pt>
                <c:pt idx="158">
                  <c:v>36.667999999999999</c:v>
                </c:pt>
                <c:pt idx="159">
                  <c:v>39.03</c:v>
                </c:pt>
                <c:pt idx="160">
                  <c:v>24.355</c:v>
                </c:pt>
                <c:pt idx="161">
                  <c:v>37.548999999999999</c:v>
                </c:pt>
                <c:pt idx="162">
                  <c:v>25.425000000000001</c:v>
                </c:pt>
                <c:pt idx="163">
                  <c:v>52.698</c:v>
                </c:pt>
                <c:pt idx="164">
                  <c:v>35.247999999999998</c:v>
                </c:pt>
                <c:pt idx="165">
                  <c:v>49.945</c:v>
                </c:pt>
                <c:pt idx="166">
                  <c:v>38.718000000000004</c:v>
                </c:pt>
                <c:pt idx="167">
                  <c:v>27.172000000000001</c:v>
                </c:pt>
                <c:pt idx="168">
                  <c:v>47.582999999999998</c:v>
                </c:pt>
                <c:pt idx="169">
                  <c:v>42.765000000000001</c:v>
                </c:pt>
                <c:pt idx="170">
                  <c:v>48.222999999999999</c:v>
                </c:pt>
                <c:pt idx="171">
                  <c:v>46.32</c:v>
                </c:pt>
                <c:pt idx="172">
                  <c:v>56.158000000000001</c:v>
                </c:pt>
                <c:pt idx="173">
                  <c:v>48.451999999999998</c:v>
                </c:pt>
                <c:pt idx="174">
                  <c:v>54.871000000000002</c:v>
                </c:pt>
                <c:pt idx="175">
                  <c:v>48.201000000000001</c:v>
                </c:pt>
                <c:pt idx="176">
                  <c:v>44.478000000000002</c:v>
                </c:pt>
                <c:pt idx="177">
                  <c:v>42.265000000000001</c:v>
                </c:pt>
                <c:pt idx="178">
                  <c:v>38.706000000000003</c:v>
                </c:pt>
                <c:pt idx="179">
                  <c:v>44.484000000000002</c:v>
                </c:pt>
                <c:pt idx="180">
                  <c:v>24.356000000000002</c:v>
                </c:pt>
                <c:pt idx="181">
                  <c:v>52.637999999999998</c:v>
                </c:pt>
                <c:pt idx="182">
                  <c:v>35.223999999999997</c:v>
                </c:pt>
                <c:pt idx="183">
                  <c:v>17.86</c:v>
                </c:pt>
                <c:pt idx="184">
                  <c:v>39.682000000000002</c:v>
                </c:pt>
                <c:pt idx="185">
                  <c:v>53.500999999999998</c:v>
                </c:pt>
                <c:pt idx="186">
                  <c:v>53.127000000000002</c:v>
                </c:pt>
                <c:pt idx="187">
                  <c:v>38.682000000000002</c:v>
                </c:pt>
                <c:pt idx="188">
                  <c:v>54.551000000000002</c:v>
                </c:pt>
                <c:pt idx="189">
                  <c:v>52.357999999999997</c:v>
                </c:pt>
                <c:pt idx="190">
                  <c:v>49.180999999999997</c:v>
                </c:pt>
                <c:pt idx="191">
                  <c:v>42.502000000000002</c:v>
                </c:pt>
                <c:pt idx="192">
                  <c:v>48.064</c:v>
                </c:pt>
                <c:pt idx="193">
                  <c:v>33.161999999999999</c:v>
                </c:pt>
                <c:pt idx="194">
                  <c:v>53.192999999999998</c:v>
                </c:pt>
                <c:pt idx="195">
                  <c:v>43.158000000000001</c:v>
                </c:pt>
                <c:pt idx="196">
                  <c:v>19.736999999999998</c:v>
                </c:pt>
                <c:pt idx="197">
                  <c:v>22.46</c:v>
                </c:pt>
                <c:pt idx="198">
                  <c:v>24.298999999999999</c:v>
                </c:pt>
                <c:pt idx="199">
                  <c:v>52.061999999999998</c:v>
                </c:pt>
                <c:pt idx="200">
                  <c:v>50.371000000000002</c:v>
                </c:pt>
                <c:pt idx="201">
                  <c:v>43.073</c:v>
                </c:pt>
                <c:pt idx="202">
                  <c:v>46.296999999999997</c:v>
                </c:pt>
                <c:pt idx="203">
                  <c:v>46.762</c:v>
                </c:pt>
                <c:pt idx="204">
                  <c:v>42.594999999999999</c:v>
                </c:pt>
                <c:pt idx="205">
                  <c:v>50.140999999999998</c:v>
                </c:pt>
                <c:pt idx="206">
                  <c:v>49.103999999999999</c:v>
                </c:pt>
                <c:pt idx="207">
                  <c:v>42.783000000000001</c:v>
                </c:pt>
                <c:pt idx="208">
                  <c:v>46.765000000000001</c:v>
                </c:pt>
                <c:pt idx="209">
                  <c:v>31.914999999999999</c:v>
                </c:pt>
                <c:pt idx="210">
                  <c:v>43.972000000000001</c:v>
                </c:pt>
                <c:pt idx="211">
                  <c:v>46.427999999999997</c:v>
                </c:pt>
                <c:pt idx="212">
                  <c:v>44.72</c:v>
                </c:pt>
                <c:pt idx="213">
                  <c:v>40.741</c:v>
                </c:pt>
                <c:pt idx="214">
                  <c:v>31.388999999999999</c:v>
                </c:pt>
                <c:pt idx="215">
                  <c:v>42.822000000000003</c:v>
                </c:pt>
                <c:pt idx="216">
                  <c:v>48.378999999999998</c:v>
                </c:pt>
                <c:pt idx="217">
                  <c:v>48.061</c:v>
                </c:pt>
                <c:pt idx="218">
                  <c:v>46.308999999999997</c:v>
                </c:pt>
                <c:pt idx="219">
                  <c:v>44.198999999999998</c:v>
                </c:pt>
                <c:pt idx="220">
                  <c:v>43.347000000000001</c:v>
                </c:pt>
                <c:pt idx="221">
                  <c:v>34.893000000000001</c:v>
                </c:pt>
                <c:pt idx="222">
                  <c:v>31.183</c:v>
                </c:pt>
                <c:pt idx="223">
                  <c:v>38.289000000000001</c:v>
                </c:pt>
                <c:pt idx="224">
                  <c:v>23.411000000000001</c:v>
                </c:pt>
                <c:pt idx="225">
                  <c:v>15.879</c:v>
                </c:pt>
                <c:pt idx="226">
                  <c:v>40.713999999999999</c:v>
                </c:pt>
                <c:pt idx="227">
                  <c:v>38.790999999999997</c:v>
                </c:pt>
                <c:pt idx="228">
                  <c:v>18.725000000000001</c:v>
                </c:pt>
                <c:pt idx="229">
                  <c:v>37.494</c:v>
                </c:pt>
                <c:pt idx="230">
                  <c:v>35.392000000000003</c:v>
                </c:pt>
                <c:pt idx="231">
                  <c:v>42.389000000000003</c:v>
                </c:pt>
                <c:pt idx="232">
                  <c:v>42.168999999999997</c:v>
                </c:pt>
                <c:pt idx="233">
                  <c:v>39.814999999999998</c:v>
                </c:pt>
                <c:pt idx="234">
                  <c:v>33.088999999999999</c:v>
                </c:pt>
                <c:pt idx="235">
                  <c:v>37.433999999999997</c:v>
                </c:pt>
                <c:pt idx="236">
                  <c:v>40.32</c:v>
                </c:pt>
                <c:pt idx="237">
                  <c:v>41.448</c:v>
                </c:pt>
                <c:pt idx="238">
                  <c:v>23.087</c:v>
                </c:pt>
                <c:pt idx="239">
                  <c:v>40.048000000000002</c:v>
                </c:pt>
                <c:pt idx="240">
                  <c:v>8.766</c:v>
                </c:pt>
                <c:pt idx="241">
                  <c:v>20.047999999999998</c:v>
                </c:pt>
                <c:pt idx="242">
                  <c:v>28.963999999999999</c:v>
                </c:pt>
                <c:pt idx="243">
                  <c:v>38.854999999999997</c:v>
                </c:pt>
                <c:pt idx="244">
                  <c:v>41.003999999999998</c:v>
                </c:pt>
                <c:pt idx="245">
                  <c:v>41.557000000000002</c:v>
                </c:pt>
                <c:pt idx="246">
                  <c:v>40.125</c:v>
                </c:pt>
                <c:pt idx="247">
                  <c:v>39.463000000000001</c:v>
                </c:pt>
                <c:pt idx="248">
                  <c:v>37.704999999999998</c:v>
                </c:pt>
                <c:pt idx="249">
                  <c:v>26.155999999999999</c:v>
                </c:pt>
                <c:pt idx="250">
                  <c:v>35.622</c:v>
                </c:pt>
                <c:pt idx="251">
                  <c:v>37.651000000000003</c:v>
                </c:pt>
                <c:pt idx="252">
                  <c:v>22.757999999999999</c:v>
                </c:pt>
                <c:pt idx="253">
                  <c:v>31.827000000000002</c:v>
                </c:pt>
                <c:pt idx="254">
                  <c:v>35.56</c:v>
                </c:pt>
                <c:pt idx="255">
                  <c:v>35.816000000000003</c:v>
                </c:pt>
                <c:pt idx="256">
                  <c:v>35.1</c:v>
                </c:pt>
                <c:pt idx="257">
                  <c:v>35.243000000000002</c:v>
                </c:pt>
                <c:pt idx="258">
                  <c:v>31.864999999999998</c:v>
                </c:pt>
                <c:pt idx="259">
                  <c:v>32.146000000000001</c:v>
                </c:pt>
                <c:pt idx="260">
                  <c:v>32.274000000000001</c:v>
                </c:pt>
                <c:pt idx="261">
                  <c:v>16.352</c:v>
                </c:pt>
                <c:pt idx="262">
                  <c:v>27.158000000000001</c:v>
                </c:pt>
                <c:pt idx="263">
                  <c:v>25.945</c:v>
                </c:pt>
                <c:pt idx="264">
                  <c:v>23.576000000000001</c:v>
                </c:pt>
                <c:pt idx="265">
                  <c:v>21.518000000000001</c:v>
                </c:pt>
                <c:pt idx="266">
                  <c:v>27.321000000000002</c:v>
                </c:pt>
                <c:pt idx="267">
                  <c:v>17.158999999999999</c:v>
                </c:pt>
                <c:pt idx="268">
                  <c:v>17.917000000000002</c:v>
                </c:pt>
                <c:pt idx="269">
                  <c:v>13.590999999999999</c:v>
                </c:pt>
                <c:pt idx="270">
                  <c:v>10.98</c:v>
                </c:pt>
                <c:pt idx="271">
                  <c:v>25.456</c:v>
                </c:pt>
                <c:pt idx="272">
                  <c:v>27.620999999999999</c:v>
                </c:pt>
                <c:pt idx="273">
                  <c:v>30.716000000000001</c:v>
                </c:pt>
                <c:pt idx="274">
                  <c:v>8.0449999999999999</c:v>
                </c:pt>
                <c:pt idx="275">
                  <c:v>5.133</c:v>
                </c:pt>
                <c:pt idx="276">
                  <c:v>14.343</c:v>
                </c:pt>
                <c:pt idx="277">
                  <c:v>18.513000000000002</c:v>
                </c:pt>
                <c:pt idx="278">
                  <c:v>21.039000000000001</c:v>
                </c:pt>
                <c:pt idx="279">
                  <c:v>6.7720000000000002</c:v>
                </c:pt>
                <c:pt idx="280">
                  <c:v>23.434999999999999</c:v>
                </c:pt>
                <c:pt idx="281">
                  <c:v>27.242000000000001</c:v>
                </c:pt>
                <c:pt idx="282">
                  <c:v>19.719000000000001</c:v>
                </c:pt>
                <c:pt idx="283">
                  <c:v>18.669</c:v>
                </c:pt>
                <c:pt idx="284">
                  <c:v>14.186</c:v>
                </c:pt>
                <c:pt idx="285">
                  <c:v>18.931999999999999</c:v>
                </c:pt>
                <c:pt idx="286">
                  <c:v>16.927</c:v>
                </c:pt>
                <c:pt idx="287">
                  <c:v>12.199</c:v>
                </c:pt>
                <c:pt idx="288">
                  <c:v>15.125999999999999</c:v>
                </c:pt>
                <c:pt idx="289">
                  <c:v>9.0210000000000008</c:v>
                </c:pt>
                <c:pt idx="290">
                  <c:v>25.934000000000001</c:v>
                </c:pt>
                <c:pt idx="291">
                  <c:v>24.419</c:v>
                </c:pt>
                <c:pt idx="292">
                  <c:v>21.218</c:v>
                </c:pt>
                <c:pt idx="293">
                  <c:v>5.4550000000000001</c:v>
                </c:pt>
                <c:pt idx="294">
                  <c:v>19.225000000000001</c:v>
                </c:pt>
                <c:pt idx="295">
                  <c:v>4.4039999999999999</c:v>
                </c:pt>
                <c:pt idx="296">
                  <c:v>8.4600000000000009</c:v>
                </c:pt>
                <c:pt idx="297">
                  <c:v>21.209</c:v>
                </c:pt>
                <c:pt idx="298">
                  <c:v>16.376000000000001</c:v>
                </c:pt>
                <c:pt idx="299">
                  <c:v>20.292999999999999</c:v>
                </c:pt>
                <c:pt idx="300">
                  <c:v>18.72</c:v>
                </c:pt>
                <c:pt idx="301">
                  <c:v>11.451000000000001</c:v>
                </c:pt>
                <c:pt idx="302">
                  <c:v>20.154</c:v>
                </c:pt>
                <c:pt idx="303">
                  <c:v>21.652000000000001</c:v>
                </c:pt>
                <c:pt idx="304">
                  <c:v>21.041</c:v>
                </c:pt>
                <c:pt idx="305">
                  <c:v>19.305</c:v>
                </c:pt>
                <c:pt idx="306">
                  <c:v>18.491</c:v>
                </c:pt>
                <c:pt idx="307">
                  <c:v>4.6520000000000001</c:v>
                </c:pt>
                <c:pt idx="308">
                  <c:v>13.553000000000001</c:v>
                </c:pt>
                <c:pt idx="309">
                  <c:v>17.242999999999999</c:v>
                </c:pt>
                <c:pt idx="310">
                  <c:v>11.797000000000001</c:v>
                </c:pt>
                <c:pt idx="311">
                  <c:v>4.5679999999999996</c:v>
                </c:pt>
                <c:pt idx="312">
                  <c:v>14.759</c:v>
                </c:pt>
                <c:pt idx="313">
                  <c:v>12.69</c:v>
                </c:pt>
                <c:pt idx="314">
                  <c:v>8.5549999999999997</c:v>
                </c:pt>
                <c:pt idx="315">
                  <c:v>16.782</c:v>
                </c:pt>
                <c:pt idx="316">
                  <c:v>17.946999999999999</c:v>
                </c:pt>
                <c:pt idx="317">
                  <c:v>13.968999999999999</c:v>
                </c:pt>
                <c:pt idx="318">
                  <c:v>17.658000000000001</c:v>
                </c:pt>
                <c:pt idx="319">
                  <c:v>13.253</c:v>
                </c:pt>
                <c:pt idx="320">
                  <c:v>15.074999999999999</c:v>
                </c:pt>
                <c:pt idx="321">
                  <c:v>15.919</c:v>
                </c:pt>
                <c:pt idx="322">
                  <c:v>16.096</c:v>
                </c:pt>
                <c:pt idx="323">
                  <c:v>6.968</c:v>
                </c:pt>
                <c:pt idx="324">
                  <c:v>12.734</c:v>
                </c:pt>
                <c:pt idx="325">
                  <c:v>16.582000000000001</c:v>
                </c:pt>
                <c:pt idx="326">
                  <c:v>16.271000000000001</c:v>
                </c:pt>
                <c:pt idx="327">
                  <c:v>15.397</c:v>
                </c:pt>
                <c:pt idx="328">
                  <c:v>15.462999999999999</c:v>
                </c:pt>
                <c:pt idx="329">
                  <c:v>15.491</c:v>
                </c:pt>
                <c:pt idx="330">
                  <c:v>11.849</c:v>
                </c:pt>
                <c:pt idx="331">
                  <c:v>9.5510000000000002</c:v>
                </c:pt>
                <c:pt idx="332">
                  <c:v>6.6260000000000003</c:v>
                </c:pt>
                <c:pt idx="333">
                  <c:v>14.180999999999999</c:v>
                </c:pt>
                <c:pt idx="334">
                  <c:v>14.645</c:v>
                </c:pt>
                <c:pt idx="335">
                  <c:v>4.3339999999999996</c:v>
                </c:pt>
                <c:pt idx="336">
                  <c:v>1.381</c:v>
                </c:pt>
                <c:pt idx="337">
                  <c:v>9.2249999999999996</c:v>
                </c:pt>
                <c:pt idx="338">
                  <c:v>7.5659999999999998</c:v>
                </c:pt>
                <c:pt idx="339">
                  <c:v>11.516999999999999</c:v>
                </c:pt>
                <c:pt idx="340">
                  <c:v>8.8140000000000001</c:v>
                </c:pt>
                <c:pt idx="341">
                  <c:v>2.5569999999999999</c:v>
                </c:pt>
                <c:pt idx="342">
                  <c:v>6.8170000000000002</c:v>
                </c:pt>
                <c:pt idx="343">
                  <c:v>7.3639999999999999</c:v>
                </c:pt>
                <c:pt idx="344">
                  <c:v>4.0869999999999997</c:v>
                </c:pt>
                <c:pt idx="345">
                  <c:v>5.1349999999999998</c:v>
                </c:pt>
                <c:pt idx="346">
                  <c:v>8.9879999999999995</c:v>
                </c:pt>
                <c:pt idx="347">
                  <c:v>7.68</c:v>
                </c:pt>
                <c:pt idx="348">
                  <c:v>3.3849999999999998</c:v>
                </c:pt>
                <c:pt idx="349">
                  <c:v>2.226</c:v>
                </c:pt>
                <c:pt idx="350">
                  <c:v>9.4789999999999992</c:v>
                </c:pt>
                <c:pt idx="351">
                  <c:v>7.7290000000000001</c:v>
                </c:pt>
                <c:pt idx="352">
                  <c:v>7.8940000000000001</c:v>
                </c:pt>
                <c:pt idx="353">
                  <c:v>6.9059999999999997</c:v>
                </c:pt>
                <c:pt idx="354">
                  <c:v>6.0170000000000003</c:v>
                </c:pt>
                <c:pt idx="355">
                  <c:v>6.4859999999999998</c:v>
                </c:pt>
                <c:pt idx="356">
                  <c:v>12.388</c:v>
                </c:pt>
                <c:pt idx="357">
                  <c:v>7.2809999999999997</c:v>
                </c:pt>
                <c:pt idx="358">
                  <c:v>7.7969999999999997</c:v>
                </c:pt>
                <c:pt idx="359">
                  <c:v>3.7749999999999999</c:v>
                </c:pt>
                <c:pt idx="360">
                  <c:v>9.1280000000000001</c:v>
                </c:pt>
                <c:pt idx="361">
                  <c:v>5.8419999999999996</c:v>
                </c:pt>
                <c:pt idx="362">
                  <c:v>5.9770000000000003</c:v>
                </c:pt>
                <c:pt idx="363">
                  <c:v>7.2850000000000001</c:v>
                </c:pt>
                <c:pt idx="364">
                  <c:v>8.7539999999999996</c:v>
                </c:pt>
                <c:pt idx="365">
                  <c:v>9.7859999999999996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892080"/>
        <c:axId val="415892472"/>
      </c:lineChart>
      <c:dateAx>
        <c:axId val="415892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5892472"/>
        <c:crosses val="autoZero"/>
        <c:auto val="1"/>
        <c:lblOffset val="100"/>
        <c:baseTimeUnit val="days"/>
        <c:majorUnit val="1"/>
        <c:majorTimeUnit val="months"/>
      </c:dateAx>
      <c:valAx>
        <c:axId val="4158924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58920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0.60006758130876403</c:v>
                </c:pt>
                <c:pt idx="1">
                  <c:v>0.60010263884555715</c:v>
                </c:pt>
                <c:pt idx="2">
                  <c:v>0.60013916276014456</c:v>
                </c:pt>
                <c:pt idx="3">
                  <c:v>0.60017721419769876</c:v>
                </c:pt>
                <c:pt idx="4">
                  <c:v>0.60021685683677273</c:v>
                </c:pt>
                <c:pt idx="5">
                  <c:v>0.60025815699287355</c:v>
                </c:pt>
                <c:pt idx="6">
                  <c:v>0.60030118372614938</c:v>
                </c:pt>
                <c:pt idx="7">
                  <c:v>0.600346008953346</c:v>
                </c:pt>
                <c:pt idx="8">
                  <c:v>0.60039270756418817</c:v>
                </c:pt>
                <c:pt idx="9">
                  <c:v>0.60044135754235162</c:v>
                </c:pt>
                <c:pt idx="10">
                  <c:v>0.60049204009119084</c:v>
                </c:pt>
                <c:pt idx="11">
                  <c:v>0.60054483976439621</c:v>
                </c:pt>
                <c:pt idx="12">
                  <c:v>0.60059984460175908</c:v>
                </c:pt>
                <c:pt idx="13">
                  <c:v>0.60065714627022648</c:v>
                </c:pt>
                <c:pt idx="14">
                  <c:v>0.60071684021043326</c:v>
                </c:pt>
                <c:pt idx="15">
                  <c:v>0.60077902578890519</c:v>
                </c:pt>
                <c:pt idx="16">
                  <c:v>0.60084380645613011</c:v>
                </c:pt>
                <c:pt idx="17">
                  <c:v>0.6009112899107002</c:v>
                </c:pt>
                <c:pt idx="18">
                  <c:v>0.60098158826973325</c:v>
                </c:pt>
                <c:pt idx="19">
                  <c:v>0.60105481824578444</c:v>
                </c:pt>
                <c:pt idx="20">
                  <c:v>0.60113110133046788</c:v>
                </c:pt>
                <c:pt idx="21">
                  <c:v>0.60121056398500639</c:v>
                </c:pt>
                <c:pt idx="22">
                  <c:v>0.60129333783793915</c:v>
                </c:pt>
                <c:pt idx="23">
                  <c:v>0.60137955989021452</c:v>
                </c:pt>
                <c:pt idx="24">
                  <c:v>0.60146937272790435</c:v>
                </c:pt>
                <c:pt idx="25">
                  <c:v>0.60156292474277551</c:v>
                </c:pt>
                <c:pt idx="26">
                  <c:v>0.60166037036096165</c:v>
                </c:pt>
                <c:pt idx="27">
                  <c:v>0.60176187027997674</c:v>
                </c:pt>
                <c:pt idx="28">
                  <c:v>0.60186759171431914</c:v>
                </c:pt>
                <c:pt idx="29">
                  <c:v>0.60197770864991129</c:v>
                </c:pt>
                <c:pt idx="30">
                  <c:v>0.60209240210762738</c:v>
                </c:pt>
                <c:pt idx="31">
                  <c:v>0.60221186041615593</c:v>
                </c:pt>
                <c:pt idx="32">
                  <c:v>0.60233627949444979</c:v>
                </c:pt>
                <c:pt idx="33">
                  <c:v>0.60246586314400941</c:v>
                </c:pt>
                <c:pt idx="34">
                  <c:v>0.60260082335124854</c:v>
                </c:pt>
                <c:pt idx="35">
                  <c:v>0.60274138060018556</c:v>
                </c:pt>
                <c:pt idx="36">
                  <c:v>0.60288776419569856</c:v>
                </c:pt>
                <c:pt idx="37">
                  <c:v>0.60304021259758023</c:v>
                </c:pt>
                <c:pt idx="38">
                  <c:v>0.60319897376561982</c:v>
                </c:pt>
                <c:pt idx="39">
                  <c:v>0.60336430551592912</c:v>
                </c:pt>
                <c:pt idx="40">
                  <c:v>0.60353647588872417</c:v>
                </c:pt>
                <c:pt idx="41">
                  <c:v>0.60371576352775758</c:v>
                </c:pt>
                <c:pt idx="42">
                  <c:v>0.60390245807158505</c:v>
                </c:pt>
                <c:pt idx="43">
                  <c:v>0.60409686055683198</c:v>
                </c:pt>
                <c:pt idx="44">
                  <c:v>0.60429928383361009</c:v>
                </c:pt>
                <c:pt idx="45">
                  <c:v>0.60451005299320659</c:v>
                </c:pt>
                <c:pt idx="46">
                  <c:v>0.60472950580815232</c:v>
                </c:pt>
                <c:pt idx="47">
                  <c:v>0.60495799318473986</c:v>
                </c:pt>
                <c:pt idx="48">
                  <c:v>0.60519587962803778</c:v>
                </c:pt>
                <c:pt idx="49">
                  <c:v>0.60544354371940856</c:v>
                </c:pt>
                <c:pt idx="50">
                  <c:v>0.60570137860650097</c:v>
                </c:pt>
                <c:pt idx="51">
                  <c:v>0.60596979250564487</c:v>
                </c:pt>
                <c:pt idx="52">
                  <c:v>0.60624920921652803</c:v>
                </c:pt>
                <c:pt idx="53">
                  <c:v>0.60654006864898147</c:v>
                </c:pt>
                <c:pt idx="54">
                  <c:v>0.60684282736164341</c:v>
                </c:pt>
                <c:pt idx="55">
                  <c:v>0.60715795911220671</c:v>
                </c:pt>
                <c:pt idx="56">
                  <c:v>0.60748595541888506</c:v>
                </c:pt>
                <c:pt idx="57">
                  <c:v>0.60782732613265722</c:v>
                </c:pt>
                <c:pt idx="58">
                  <c:v>0.60818260001976243</c:v>
                </c:pt>
                <c:pt idx="59">
                  <c:v>0.60855232535383297</c:v>
                </c:pt>
                <c:pt idx="60">
                  <c:v>0.60893707051694679</c:v>
                </c:pt>
                <c:pt idx="61">
                  <c:v>0.60933742460877627</c:v>
                </c:pt>
                <c:pt idx="62">
                  <c:v>0.60975399806289421</c:v>
                </c:pt>
                <c:pt idx="63">
                  <c:v>0.61018742326916897</c:v>
                </c:pt>
                <c:pt idx="64">
                  <c:v>0.6106383552010467</c:v>
                </c:pt>
                <c:pt idx="65">
                  <c:v>0.61110747204636939</c:v>
                </c:pt>
                <c:pt idx="66">
                  <c:v>0.61159547584022145</c:v>
                </c:pt>
                <c:pt idx="67">
                  <c:v>0.61210309309812583</c:v>
                </c:pt>
                <c:pt idx="68">
                  <c:v>0.61263107544772988</c:v>
                </c:pt>
                <c:pt idx="69">
                  <c:v>0.61318020025692777</c:v>
                </c:pt>
                <c:pt idx="70">
                  <c:v>0.61375127125615403</c:v>
                </c:pt>
                <c:pt idx="71">
                  <c:v>0.614345119152369</c:v>
                </c:pt>
                <c:pt idx="72">
                  <c:v>0.61496260223201415</c:v>
                </c:pt>
                <c:pt idx="73">
                  <c:v>0.61560460694997199</c:v>
                </c:pt>
                <c:pt idx="74">
                  <c:v>0.61627204850129835</c:v>
                </c:pt>
                <c:pt idx="75">
                  <c:v>0.61696587137221548</c:v>
                </c:pt>
                <c:pt idx="76">
                  <c:v>0.61768704986656597</c:v>
                </c:pt>
                <c:pt idx="77">
                  <c:v>0.61843658860361383</c:v>
                </c:pt>
                <c:pt idx="78">
                  <c:v>0.61921552298275961</c:v>
                </c:pt>
                <c:pt idx="79">
                  <c:v>0.62002491961039985</c:v>
                </c:pt>
                <c:pt idx="80">
                  <c:v>0.62086587668380955</c:v>
                </c:pt>
                <c:pt idx="81">
                  <c:v>0.6217395243265631</c:v>
                </c:pt>
                <c:pt idx="82">
                  <c:v>0.62264702486963486</c:v>
                </c:pt>
                <c:pt idx="83">
                  <c:v>0.62358957307193152</c:v>
                </c:pt>
                <c:pt idx="84">
                  <c:v>0.62456839627361593</c:v>
                </c:pt>
                <c:pt idx="85">
                  <c:v>0.62558475447517337</c:v>
                </c:pt>
                <c:pt idx="86">
                  <c:v>0.62663994033477044</c:v>
                </c:pt>
                <c:pt idx="87">
                  <c:v>0.6277352790760341</c:v>
                </c:pt>
                <c:pt idx="88">
                  <c:v>0.62887212829797612</c:v>
                </c:pt>
                <c:pt idx="89">
                  <c:v>0.63005187767837323</c:v>
                </c:pt>
                <c:pt idx="90">
                  <c:v>0.63127594856151559</c:v>
                </c:pt>
                <c:pt idx="91">
                  <c:v>0.63254579342084283</c:v>
                </c:pt>
                <c:pt idx="92">
                  <c:v>0.63386289518661909</c:v>
                </c:pt>
                <c:pt idx="93">
                  <c:v>0.63522876642844228</c:v>
                </c:pt>
                <c:pt idx="94">
                  <c:v>0.63664494838206476</c:v>
                </c:pt>
                <c:pt idx="95">
                  <c:v>0.63811300980971297</c:v>
                </c:pt>
                <c:pt idx="96">
                  <c:v>0.63963454568285183</c:v>
                </c:pt>
                <c:pt idx="97">
                  <c:v>0.64121117567614405</c:v>
                </c:pt>
                <c:pt idx="98">
                  <c:v>0.64284454246122336</c:v>
                </c:pt>
                <c:pt idx="99">
                  <c:v>0.64453630978883436</c:v>
                </c:pt>
                <c:pt idx="100">
                  <c:v>0.64628816034791092</c:v>
                </c:pt>
                <c:pt idx="101">
                  <c:v>0.64810179339026486</c:v>
                </c:pt>
                <c:pt idx="102">
                  <c:v>0.64997892210977071</c:v>
                </c:pt>
                <c:pt idx="103">
                  <c:v>0.65192127076524709</c:v>
                </c:pt>
                <c:pt idx="104">
                  <c:v>0.65393057153668488</c:v>
                </c:pt>
                <c:pt idx="105">
                  <c:v>0.65600856110505568</c:v>
                </c:pt>
                <c:pt idx="106">
                  <c:v>0.65815697694666786</c:v>
                </c:pt>
                <c:pt idx="107">
                  <c:v>0.66037755333393533</c:v>
                </c:pt>
                <c:pt idx="108">
                  <c:v>0.66267201703549961</c:v>
                </c:pt>
                <c:pt idx="109">
                  <c:v>0.66504208270990262</c:v>
                </c:pt>
                <c:pt idx="110">
                  <c:v>0.66748944798847032</c:v>
                </c:pt>
                <c:pt idx="111">
                  <c:v>0.67001578824472929</c:v>
                </c:pt>
                <c:pt idx="112">
                  <c:v>0.67262275104956937</c:v>
                </c:pt>
                <c:pt idx="113">
                  <c:v>0.67531195031346714</c:v>
                </c:pt>
                <c:pt idx="114">
                  <c:v>0.67808496011942609</c:v>
                </c:pt>
                <c:pt idx="115">
                  <c:v>0.68094330825285687</c:v>
                </c:pt>
                <c:pt idx="116">
                  <c:v>0.68388846943741888</c:v>
                </c:pt>
                <c:pt idx="117">
                  <c:v>0.68692185828887165</c:v>
                </c:pt>
                <c:pt idx="118">
                  <c:v>0.69004482200223016</c:v>
                </c:pt>
                <c:pt idx="119">
                  <c:v>0.69325863279096511</c:v>
                </c:pt>
                <c:pt idx="120">
                  <c:v>0.6965644801006371</c:v>
                </c:pt>
                <c:pt idx="121">
                  <c:v>0.69996346262315923</c:v>
                </c:pt>
                <c:pt idx="122">
                  <c:v>0.70345658014183565</c:v>
                </c:pt>
                <c:pt idx="123">
                  <c:v>0.70704472524138418</c:v>
                </c:pt>
                <c:pt idx="124">
                  <c:v>0.71072867492127589</c:v>
                </c:pt>
                <c:pt idx="125">
                  <c:v>0.71450908215488551</c:v>
                </c:pt>
                <c:pt idx="126">
                  <c:v>0.71838646744106827</c:v>
                </c:pt>
                <c:pt idx="127">
                  <c:v>0.72236121039882784</c:v>
                </c:pt>
                <c:pt idx="128">
                  <c:v>0.72643354145964234</c:v>
                </c:pt>
                <c:pt idx="129">
                  <c:v>0.73060353371570419</c:v>
                </c:pt>
                <c:pt idx="130">
                  <c:v>0.73487109498574132</c:v>
                </c:pt>
                <c:pt idx="131">
                  <c:v>0.73923596016313575</c:v>
                </c:pt>
                <c:pt idx="132">
                  <c:v>0.7436976839136783</c:v>
                </c:pt>
                <c:pt idx="133">
                  <c:v>0.74825563379240112</c:v>
                </c:pt>
                <c:pt idx="134">
                  <c:v>0.75290898385044869</c:v>
                </c:pt>
                <c:pt idx="135">
                  <c:v>0.75765670880380009</c:v>
                </c:pt>
                <c:pt idx="136">
                  <c:v>0.76249757883576863</c:v>
                </c:pt>
                <c:pt idx="137">
                  <c:v>0.76743015510451718</c:v>
                </c:pt>
                <c:pt idx="138">
                  <c:v>0.7724527860252729</c:v>
                </c:pt>
                <c:pt idx="139">
                  <c:v>0.7775636043944657</c:v>
                </c:pt>
                <c:pt idx="140">
                  <c:v>0.78276052541959718</c:v>
                </c:pt>
                <c:pt idx="141">
                  <c:v>0.78804124571426382</c:v>
                </c:pt>
                <c:pt idx="142">
                  <c:v>0.79340324331239065</c:v>
                </c:pt>
                <c:pt idx="143">
                  <c:v>0.79884377874938606</c:v>
                </c:pt>
                <c:pt idx="144">
                  <c:v>0.8043598972506466</c:v>
                </c:pt>
                <c:pt idx="145">
                  <c:v>0.8099484320596454</c:v>
                </c:pt>
                <c:pt idx="146">
                  <c:v>0.81560600892881641</c:v>
                </c:pt>
                <c:pt idx="147">
                  <c:v>0.82132905178666726</c:v>
                </c:pt>
                <c:pt idx="148">
                  <c:v>0.82711378958413362</c:v>
                </c:pt>
                <c:pt idx="149">
                  <c:v>0.83295626431223868</c:v>
                </c:pt>
                <c:pt idx="150">
                  <c:v>0.83885234017179067</c:v>
                </c:pt>
                <c:pt idx="151">
                  <c:v>0.84479771386428948</c:v>
                </c:pt>
                <c:pt idx="152">
                  <c:v>0.85078792596158459</c:v>
                </c:pt>
                <c:pt idx="153">
                  <c:v>0.85681837330031096</c:v>
                </c:pt>
                <c:pt idx="154">
                  <c:v>0.86288432233590262</c:v>
                </c:pt>
                <c:pt idx="155">
                  <c:v>0.86898092338022903</c:v>
                </c:pt>
                <c:pt idx="156">
                  <c:v>0.87510322563679699</c:v>
                </c:pt>
                <c:pt idx="157">
                  <c:v>0.88124619293818807</c:v>
                </c:pt>
                <c:pt idx="158">
                  <c:v>0.88740472008210791</c:v>
                </c:pt>
                <c:pt idx="159">
                  <c:v>0.89357364965527497</c:v>
                </c:pt>
                <c:pt idx="160">
                  <c:v>0.89974778922848886</c:v>
                </c:pt>
                <c:pt idx="161">
                  <c:v>0.90592192880170264</c:v>
                </c:pt>
                <c:pt idx="162">
                  <c:v>0.9120908583748697</c:v>
                </c:pt>
                <c:pt idx="163">
                  <c:v>0.91824938551878954</c:v>
                </c:pt>
                <c:pt idx="164">
                  <c:v>0.92439235282018073</c:v>
                </c:pt>
                <c:pt idx="165">
                  <c:v>0.93051465507674869</c:v>
                </c:pt>
                <c:pt idx="166">
                  <c:v>0.93661125612107499</c:v>
                </c:pt>
                <c:pt idx="167">
                  <c:v>0.94267720515666675</c:v>
                </c:pt>
                <c:pt idx="168">
                  <c:v>0.94870765249539302</c:v>
                </c:pt>
                <c:pt idx="169">
                  <c:v>0.95469786459268802</c:v>
                </c:pt>
                <c:pt idx="170">
                  <c:v>0.96064323828518683</c:v>
                </c:pt>
                <c:pt idx="171">
                  <c:v>0.96653931414473893</c:v>
                </c:pt>
                <c:pt idx="172">
                  <c:v>0.9723817888728441</c:v>
                </c:pt>
                <c:pt idx="173">
                  <c:v>0.97816652667031034</c:v>
                </c:pt>
                <c:pt idx="174">
                  <c:v>0.9838895695281612</c:v>
                </c:pt>
                <c:pt idx="175">
                  <c:v>0.98954714639733221</c:v>
                </c:pt>
                <c:pt idx="176">
                  <c:v>0.995135681206331</c:v>
                </c:pt>
                <c:pt idx="177">
                  <c:v>1.0006517997075917</c:v>
                </c:pt>
                <c:pt idx="178">
                  <c:v>1.006092335144587</c:v>
                </c:pt>
                <c:pt idx="179">
                  <c:v>1.0114543327427137</c:v>
                </c:pt>
                <c:pt idx="180">
                  <c:v>1.0167350530373804</c:v>
                </c:pt>
                <c:pt idx="181">
                  <c:v>1.0219319740625119</c:v>
                </c:pt>
                <c:pt idx="182">
                  <c:v>1.0270427924317047</c:v>
                </c:pt>
                <c:pt idx="183">
                  <c:v>1.0320654233524604</c:v>
                </c:pt>
                <c:pt idx="184">
                  <c:v>1.0369979996212089</c:v>
                </c:pt>
                <c:pt idx="185">
                  <c:v>1.0418388696531775</c:v>
                </c:pt>
                <c:pt idx="186">
                  <c:v>1.0465865946065289</c:v>
                </c:pt>
                <c:pt idx="187">
                  <c:v>1.0512399446645764</c:v>
                </c:pt>
                <c:pt idx="188">
                  <c:v>1.0557978945432993</c:v>
                </c:pt>
                <c:pt idx="189">
                  <c:v>1.0602596182938417</c:v>
                </c:pt>
                <c:pt idx="190">
                  <c:v>1.0646244834712362</c:v>
                </c:pt>
                <c:pt idx="191">
                  <c:v>1.0688920447412733</c:v>
                </c:pt>
                <c:pt idx="192">
                  <c:v>1.0730620369973352</c:v>
                </c:pt>
                <c:pt idx="193">
                  <c:v>1.0771343680581498</c:v>
                </c:pt>
                <c:pt idx="194">
                  <c:v>1.0811091110159095</c:v>
                </c:pt>
                <c:pt idx="195">
                  <c:v>1.0849864963020921</c:v>
                </c:pt>
                <c:pt idx="196">
                  <c:v>1.0887669035357019</c:v>
                </c:pt>
                <c:pt idx="197">
                  <c:v>1.0924508532155934</c:v>
                </c:pt>
                <c:pt idx="198">
                  <c:v>1.096038998315142</c:v>
                </c:pt>
                <c:pt idx="199">
                  <c:v>1.0995321158338185</c:v>
                </c:pt>
                <c:pt idx="200">
                  <c:v>1.1029310983563407</c:v>
                </c:pt>
                <c:pt idx="201">
                  <c:v>1.1062369456660126</c:v>
                </c:pt>
                <c:pt idx="202">
                  <c:v>1.1094507564547476</c:v>
                </c:pt>
                <c:pt idx="203">
                  <c:v>1.1125737201681061</c:v>
                </c:pt>
                <c:pt idx="204">
                  <c:v>1.1156071090195587</c:v>
                </c:pt>
                <c:pt idx="205">
                  <c:v>1.1185522702041206</c:v>
                </c:pt>
                <c:pt idx="206">
                  <c:v>1.1214106183375514</c:v>
                </c:pt>
                <c:pt idx="207">
                  <c:v>1.1241836281435105</c:v>
                </c:pt>
                <c:pt idx="208">
                  <c:v>1.1268728274074085</c:v>
                </c:pt>
                <c:pt idx="209">
                  <c:v>1.1294797902122484</c:v>
                </c:pt>
                <c:pt idx="210">
                  <c:v>1.1320061304685072</c:v>
                </c:pt>
                <c:pt idx="211">
                  <c:v>1.1344534957470751</c:v>
                </c:pt>
                <c:pt idx="212">
                  <c:v>1.1368235614214781</c:v>
                </c:pt>
                <c:pt idx="213">
                  <c:v>1.1391180251230422</c:v>
                </c:pt>
                <c:pt idx="214">
                  <c:v>1.1413386015103097</c:v>
                </c:pt>
                <c:pt idx="215">
                  <c:v>1.143487017351922</c:v>
                </c:pt>
                <c:pt idx="216">
                  <c:v>1.1455650069202927</c:v>
                </c:pt>
                <c:pt idx="217">
                  <c:v>1.1475743076917306</c:v>
                </c:pt>
                <c:pt idx="218">
                  <c:v>1.149516656347207</c:v>
                </c:pt>
                <c:pt idx="219">
                  <c:v>1.1513937850667126</c:v>
                </c:pt>
                <c:pt idx="220">
                  <c:v>1.1532074181090666</c:v>
                </c:pt>
                <c:pt idx="221">
                  <c:v>1.1549592686681431</c:v>
                </c:pt>
                <c:pt idx="222">
                  <c:v>1.1566510359957543</c:v>
                </c:pt>
                <c:pt idx="223">
                  <c:v>1.1582844027808337</c:v>
                </c:pt>
                <c:pt idx="224">
                  <c:v>1.1598610327741259</c:v>
                </c:pt>
                <c:pt idx="225">
                  <c:v>1.1613825686472645</c:v>
                </c:pt>
                <c:pt idx="226">
                  <c:v>1.1628506300749128</c:v>
                </c:pt>
                <c:pt idx="227">
                  <c:v>1.1642668120285353</c:v>
                </c:pt>
                <c:pt idx="228">
                  <c:v>1.1656326832703585</c:v>
                </c:pt>
                <c:pt idx="229">
                  <c:v>1.166949785036135</c:v>
                </c:pt>
                <c:pt idx="230">
                  <c:v>1.1682196298954621</c:v>
                </c:pt>
                <c:pt idx="231">
                  <c:v>1.1694437007786043</c:v>
                </c:pt>
                <c:pt idx="232">
                  <c:v>1.1706234501590016</c:v>
                </c:pt>
                <c:pt idx="233">
                  <c:v>1.1717602993809435</c:v>
                </c:pt>
                <c:pt idx="234">
                  <c:v>1.1728556381222071</c:v>
                </c:pt>
                <c:pt idx="235">
                  <c:v>1.1739108239818041</c:v>
                </c:pt>
                <c:pt idx="236">
                  <c:v>1.1749271821833616</c:v>
                </c:pt>
                <c:pt idx="237">
                  <c:v>1.1759060053850461</c:v>
                </c:pt>
                <c:pt idx="238">
                  <c:v>1.1768485535873427</c:v>
                </c:pt>
                <c:pt idx="239">
                  <c:v>1.1777560541304144</c:v>
                </c:pt>
                <c:pt idx="240">
                  <c:v>1.1786297017731679</c:v>
                </c:pt>
                <c:pt idx="241">
                  <c:v>1.1794706588465778</c:v>
                </c:pt>
                <c:pt idx="242">
                  <c:v>1.1802800554742179</c:v>
                </c:pt>
                <c:pt idx="243">
                  <c:v>1.1810589898533639</c:v>
                </c:pt>
                <c:pt idx="244">
                  <c:v>1.1818085285904116</c:v>
                </c:pt>
                <c:pt idx="245">
                  <c:v>1.1825297070847622</c:v>
                </c:pt>
                <c:pt idx="246">
                  <c:v>1.1832235299556793</c:v>
                </c:pt>
                <c:pt idx="247">
                  <c:v>1.1838909715070056</c:v>
                </c:pt>
                <c:pt idx="248">
                  <c:v>1.1845329762249635</c:v>
                </c:pt>
                <c:pt idx="249">
                  <c:v>1.1851504593046087</c:v>
                </c:pt>
                <c:pt idx="250">
                  <c:v>1.1857443072008236</c:v>
                </c:pt>
                <c:pt idx="251">
                  <c:v>1.18631537820005</c:v>
                </c:pt>
                <c:pt idx="252">
                  <c:v>1.1868645030092477</c:v>
                </c:pt>
                <c:pt idx="253">
                  <c:v>1.1873924853588518</c:v>
                </c:pt>
                <c:pt idx="254">
                  <c:v>1.1879001026167562</c:v>
                </c:pt>
                <c:pt idx="255">
                  <c:v>1.1883881064106083</c:v>
                </c:pt>
                <c:pt idx="256">
                  <c:v>1.1888572232559311</c:v>
                </c:pt>
                <c:pt idx="257">
                  <c:v>1.1893081551878086</c:v>
                </c:pt>
                <c:pt idx="258">
                  <c:v>1.1897415803940834</c:v>
                </c:pt>
                <c:pt idx="259">
                  <c:v>1.1901581538482016</c:v>
                </c:pt>
                <c:pt idx="260">
                  <c:v>1.1905585079400307</c:v>
                </c:pt>
                <c:pt idx="261">
                  <c:v>1.1909432531031447</c:v>
                </c:pt>
                <c:pt idx="262">
                  <c:v>1.1913129784372152</c:v>
                </c:pt>
                <c:pt idx="263">
                  <c:v>1.1916682523243205</c:v>
                </c:pt>
                <c:pt idx="264">
                  <c:v>1.1920096230380928</c:v>
                </c:pt>
                <c:pt idx="265">
                  <c:v>1.1923376193447708</c:v>
                </c:pt>
                <c:pt idx="266">
                  <c:v>1.1926527510953342</c:v>
                </c:pt>
                <c:pt idx="267">
                  <c:v>1.1929555098079963</c:v>
                </c:pt>
                <c:pt idx="268">
                  <c:v>1.1932463692404496</c:v>
                </c:pt>
                <c:pt idx="269">
                  <c:v>1.1935257859513326</c:v>
                </c:pt>
                <c:pt idx="270">
                  <c:v>1.1937941998504766</c:v>
                </c:pt>
                <c:pt idx="271">
                  <c:v>1.1940520347375689</c:v>
                </c:pt>
                <c:pt idx="272">
                  <c:v>1.1942996988289398</c:v>
                </c:pt>
                <c:pt idx="273">
                  <c:v>1.1945375852722377</c:v>
                </c:pt>
                <c:pt idx="274">
                  <c:v>1.1947660726488254</c:v>
                </c:pt>
                <c:pt idx="275">
                  <c:v>1.1949855254637711</c:v>
                </c:pt>
                <c:pt idx="276">
                  <c:v>1.1951962946233676</c:v>
                </c:pt>
                <c:pt idx="277">
                  <c:v>1.1953987179001455</c:v>
                </c:pt>
                <c:pt idx="278">
                  <c:v>1.1955931203853924</c:v>
                </c:pt>
                <c:pt idx="279">
                  <c:v>1.19577981492922</c:v>
                </c:pt>
                <c:pt idx="280">
                  <c:v>1.1959591025682534</c:v>
                </c:pt>
                <c:pt idx="281">
                  <c:v>1.1961312729410485</c:v>
                </c:pt>
                <c:pt idx="282">
                  <c:v>1.1962966046913577</c:v>
                </c:pt>
                <c:pt idx="283">
                  <c:v>1.1964553658593973</c:v>
                </c:pt>
                <c:pt idx="284">
                  <c:v>1.196607814261279</c:v>
                </c:pt>
                <c:pt idx="285">
                  <c:v>1.1967541978567922</c:v>
                </c:pt>
                <c:pt idx="286">
                  <c:v>1.196894755105729</c:v>
                </c:pt>
                <c:pt idx="287">
                  <c:v>1.1970297153129683</c:v>
                </c:pt>
                <c:pt idx="288">
                  <c:v>1.1971592989625279</c:v>
                </c:pt>
                <c:pt idx="289">
                  <c:v>1.1972837180408216</c:v>
                </c:pt>
                <c:pt idx="290">
                  <c:v>1.1974031763493502</c:v>
                </c:pt>
                <c:pt idx="291">
                  <c:v>1.1975178698070663</c:v>
                </c:pt>
                <c:pt idx="292">
                  <c:v>1.1976279867426585</c:v>
                </c:pt>
                <c:pt idx="293">
                  <c:v>1.197733708177001</c:v>
                </c:pt>
                <c:pt idx="294">
                  <c:v>1.197835208096016</c:v>
                </c:pt>
                <c:pt idx="295">
                  <c:v>1.1979326537142021</c:v>
                </c:pt>
                <c:pt idx="296">
                  <c:v>1.1980262057290734</c:v>
                </c:pt>
                <c:pt idx="297">
                  <c:v>1.1981160185667632</c:v>
                </c:pt>
                <c:pt idx="298">
                  <c:v>1.1982022406190387</c:v>
                </c:pt>
                <c:pt idx="299">
                  <c:v>1.1982850144719714</c:v>
                </c:pt>
                <c:pt idx="300">
                  <c:v>1.1983644771265098</c:v>
                </c:pt>
                <c:pt idx="301">
                  <c:v>1.1984407602111933</c:v>
                </c:pt>
                <c:pt idx="302">
                  <c:v>1.1985139901872444</c:v>
                </c:pt>
                <c:pt idx="303">
                  <c:v>1.1985842885462774</c:v>
                </c:pt>
                <c:pt idx="304">
                  <c:v>1.1986517720008476</c:v>
                </c:pt>
                <c:pt idx="305">
                  <c:v>1.1987165526680723</c:v>
                </c:pt>
                <c:pt idx="306">
                  <c:v>1.1987787382465442</c:v>
                </c:pt>
                <c:pt idx="307">
                  <c:v>1.1988384321867511</c:v>
                </c:pt>
                <c:pt idx="308">
                  <c:v>1.1988957338552184</c:v>
                </c:pt>
                <c:pt idx="309">
                  <c:v>1.1989507386925815</c:v>
                </c:pt>
                <c:pt idx="310">
                  <c:v>1.1990035383657869</c:v>
                </c:pt>
                <c:pt idx="311">
                  <c:v>1.199054220914626</c:v>
                </c:pt>
                <c:pt idx="312">
                  <c:v>1.1991028708927893</c:v>
                </c:pt>
                <c:pt idx="313">
                  <c:v>1.1991495695036316</c:v>
                </c:pt>
                <c:pt idx="314">
                  <c:v>1.1991943947308283</c:v>
                </c:pt>
                <c:pt idx="315">
                  <c:v>1.1992374214641042</c:v>
                </c:pt>
                <c:pt idx="316">
                  <c:v>1.199278721620205</c:v>
                </c:pt>
                <c:pt idx="317">
                  <c:v>1.1993183642592791</c:v>
                </c:pt>
                <c:pt idx="318">
                  <c:v>1.199356415696833</c:v>
                </c:pt>
                <c:pt idx="319">
                  <c:v>1.1993929396114207</c:v>
                </c:pt>
                <c:pt idx="320">
                  <c:v>1.1994279971482136</c:v>
                </c:pt>
                <c:pt idx="321">
                  <c:v>1.1994616470186097</c:v>
                </c:pt>
                <c:pt idx="322">
                  <c:v>1.1994939455960143</c:v>
                </c:pt>
                <c:pt idx="323">
                  <c:v>1.1995249470079412</c:v>
                </c:pt>
                <c:pt idx="324">
                  <c:v>1.1995547032245633</c:v>
                </c:pt>
                <c:pt idx="325">
                  <c:v>1.1995832641438455</c:v>
                </c:pt>
                <c:pt idx="326">
                  <c:v>1.1996106776733853</c:v>
                </c:pt>
                <c:pt idx="327">
                  <c:v>1.1996369898090828</c:v>
                </c:pt>
                <c:pt idx="328">
                  <c:v>1.1996622447107597</c:v>
                </c:pt>
                <c:pt idx="329">
                  <c:v>1.1996864847748376</c:v>
                </c:pt>
                <c:pt idx="330">
                  <c:v>1.1997097507041903</c:v>
                </c:pt>
                <c:pt idx="331">
                  <c:v>1.1997320815752719</c:v>
                </c:pt>
                <c:pt idx="332">
                  <c:v>1.199753514902627</c:v>
                </c:pt>
                <c:pt idx="333">
                  <c:v>1.1997740867008779</c:v>
                </c:pt>
                <c:pt idx="334">
                  <c:v>1.1997938315442886</c:v>
                </c:pt>
                <c:pt idx="335">
                  <c:v>1.1998127826239948</c:v>
                </c:pt>
                <c:pt idx="336">
                  <c:v>1.19983097180299</c:v>
                </c:pt>
                <c:pt idx="337">
                  <c:v>1.1998484296689518</c:v>
                </c:pt>
                <c:pt idx="338">
                  <c:v>1.1998651855849947</c:v>
                </c:pt>
                <c:pt idx="339">
                  <c:v>1.1998812677384221</c:v>
                </c:pt>
                <c:pt idx="340">
                  <c:v>1.1998967031875643</c:v>
                </c:pt>
                <c:pt idx="341">
                  <c:v>1.1999115179067652</c:v>
                </c:pt>
                <c:pt idx="342">
                  <c:v>1.1999257368295972</c:v>
                </c:pt>
                <c:pt idx="343">
                  <c:v>1.1999393838903707</c:v>
                </c:pt>
                <c:pt idx="344">
                  <c:v>1.1999524820640004</c:v>
                </c:pt>
                <c:pt idx="345">
                  <c:v>1.199965053404298</c:v>
                </c:pt>
                <c:pt idx="346">
                  <c:v>1.1999771190807489</c:v>
                </c:pt>
                <c:pt idx="347">
                  <c:v>1.1999886994138322</c:v>
                </c:pt>
                <c:pt idx="348">
                  <c:v>1.1999998139089401</c:v>
                </c:pt>
                <c:pt idx="349">
                  <c:v>1.2000104812889543</c:v>
                </c:pt>
                <c:pt idx="350">
                  <c:v>1.2000207195255292</c:v>
                </c:pt>
                <c:pt idx="351">
                  <c:v>1.2000305458691325</c:v>
                </c:pt>
                <c:pt idx="352">
                  <c:v>1.2000399768778918</c:v>
                </c:pt>
                <c:pt idx="353">
                  <c:v>1.2000490284452978</c:v>
                </c:pt>
                <c:pt idx="354">
                  <c:v>1.200057715826802</c:v>
                </c:pt>
                <c:pt idx="355">
                  <c:v>1.2000660536653589</c:v>
                </c:pt>
                <c:pt idx="356">
                  <c:v>1.2000660536653589</c:v>
                </c:pt>
                <c:pt idx="357">
                  <c:v>1.2000660536653589</c:v>
                </c:pt>
                <c:pt idx="358">
                  <c:v>1.2000660536653589</c:v>
                </c:pt>
                <c:pt idx="359">
                  <c:v>1.2000660536653589</c:v>
                </c:pt>
                <c:pt idx="360">
                  <c:v>1.2000660536653589</c:v>
                </c:pt>
                <c:pt idx="361">
                  <c:v>1.2000660536653589</c:v>
                </c:pt>
                <c:pt idx="362">
                  <c:v>1.2000660536653589</c:v>
                </c:pt>
                <c:pt idx="363">
                  <c:v>1.2000660536653589</c:v>
                </c:pt>
                <c:pt idx="364">
                  <c:v>1.2000660536653589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893256"/>
        <c:axId val="415893648"/>
      </c:lineChart>
      <c:dateAx>
        <c:axId val="415893256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5893648"/>
        <c:crosses val="autoZero"/>
        <c:auto val="1"/>
        <c:lblOffset val="100"/>
        <c:baseTimeUnit val="days"/>
        <c:majorUnit val="1"/>
      </c:dateAx>
      <c:valAx>
        <c:axId val="4158936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5893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3.147315764531293E-2</c:v>
                </c:pt>
                <c:pt idx="1">
                  <c:v>3.1495955251649096E-2</c:v>
                </c:pt>
                <c:pt idx="2">
                  <c:v>3.1518752327451535E-2</c:v>
                </c:pt>
                <c:pt idx="3">
                  <c:v>3.1541548872732791E-2</c:v>
                </c:pt>
                <c:pt idx="4">
                  <c:v>3.1564344887505077E-2</c:v>
                </c:pt>
                <c:pt idx="5">
                  <c:v>3.1587140371780828E-2</c:v>
                </c:pt>
                <c:pt idx="6">
                  <c:v>3.1609935325572366E-2</c:v>
                </c:pt>
                <c:pt idx="7">
                  <c:v>3.1632729748892016E-2</c:v>
                </c:pt>
                <c:pt idx="8">
                  <c:v>3.1655523641752101E-2</c:v>
                </c:pt>
                <c:pt idx="9">
                  <c:v>3.1678317004165055E-2</c:v>
                </c:pt>
                <c:pt idx="10">
                  <c:v>3.170110983614309E-2</c:v>
                </c:pt>
                <c:pt idx="11">
                  <c:v>3.1723902137698753E-2</c:v>
                </c:pt>
                <c:pt idx="12">
                  <c:v>3.1746693908844145E-2</c:v>
                </c:pt>
                <c:pt idx="13">
                  <c:v>3.1769485149591811E-2</c:v>
                </c:pt>
                <c:pt idx="14">
                  <c:v>3.1792275859953964E-2</c:v>
                </c:pt>
                <c:pt idx="15">
                  <c:v>3.1815066039942927E-2</c:v>
                </c:pt>
                <c:pt idx="16">
                  <c:v>3.1837855689571246E-2</c:v>
                </c:pt>
                <c:pt idx="17">
                  <c:v>3.1860644808851021E-2</c:v>
                </c:pt>
                <c:pt idx="18">
                  <c:v>3.18834333977948E-2</c:v>
                </c:pt>
                <c:pt idx="19">
                  <c:v>3.1906221456414682E-2</c:v>
                </c:pt>
                <c:pt idx="20">
                  <c:v>3.1929008984723214E-2</c:v>
                </c:pt>
                <c:pt idx="21">
                  <c:v>3.195179598273272E-2</c:v>
                </c:pt>
                <c:pt idx="22">
                  <c:v>3.197458245045541E-2</c:v>
                </c:pt>
                <c:pt idx="23">
                  <c:v>3.1997368387903832E-2</c:v>
                </c:pt>
                <c:pt idx="24">
                  <c:v>3.2020153795090087E-2</c:v>
                </c:pt>
                <c:pt idx="25">
                  <c:v>3.2042938672026608E-2</c:v>
                </c:pt>
                <c:pt idx="26">
                  <c:v>3.2065723018725831E-2</c:v>
                </c:pt>
                <c:pt idx="27">
                  <c:v>3.2088506835199967E-2</c:v>
                </c:pt>
                <c:pt idx="28">
                  <c:v>3.2111290121461453E-2</c:v>
                </c:pt>
                <c:pt idx="29">
                  <c:v>3.213407287752261E-2</c:v>
                </c:pt>
                <c:pt idx="30">
                  <c:v>3.2156855103395651E-2</c:v>
                </c:pt>
                <c:pt idx="31">
                  <c:v>3.2179636799093123E-2</c:v>
                </c:pt>
                <c:pt idx="32">
                  <c:v>3.2202417964627236E-2</c:v>
                </c:pt>
                <c:pt idx="33">
                  <c:v>3.2225198600010316E-2</c:v>
                </c:pt>
                <c:pt idx="34">
                  <c:v>3.2247978705254685E-2</c:v>
                </c:pt>
                <c:pt idx="35">
                  <c:v>3.2270758280372777E-2</c:v>
                </c:pt>
                <c:pt idx="36">
                  <c:v>3.2293537325376917E-2</c:v>
                </c:pt>
                <c:pt idx="37">
                  <c:v>3.2316315840279317E-2</c:v>
                </c:pt>
                <c:pt idx="38">
                  <c:v>3.233909382509241E-2</c:v>
                </c:pt>
                <c:pt idx="39">
                  <c:v>3.2361871279828522E-2</c:v>
                </c:pt>
                <c:pt idx="40">
                  <c:v>3.2384648204500086E-2</c:v>
                </c:pt>
                <c:pt idx="41">
                  <c:v>3.2407424599119203E-2</c:v>
                </c:pt>
                <c:pt idx="42">
                  <c:v>3.2430200463698419E-2</c:v>
                </c:pt>
                <c:pt idx="43">
                  <c:v>3.2452975798249947E-2</c:v>
                </c:pt>
                <c:pt idx="44">
                  <c:v>3.2475750602786221E-2</c:v>
                </c:pt>
                <c:pt idx="45">
                  <c:v>3.2498524877319454E-2</c:v>
                </c:pt>
                <c:pt idx="46">
                  <c:v>3.252129862186208E-2</c:v>
                </c:pt>
                <c:pt idx="47">
                  <c:v>3.2544071836426422E-2</c:v>
                </c:pt>
                <c:pt idx="48">
                  <c:v>3.2566844521024804E-2</c:v>
                </c:pt>
                <c:pt idx="49">
                  <c:v>3.258961667566955E-2</c:v>
                </c:pt>
                <c:pt idx="50">
                  <c:v>3.2612388300372983E-2</c:v>
                </c:pt>
                <c:pt idx="51">
                  <c:v>3.2635159395147426E-2</c:v>
                </c:pt>
                <c:pt idx="52">
                  <c:v>3.2657929960005203E-2</c:v>
                </c:pt>
                <c:pt idx="53">
                  <c:v>3.2680699994958637E-2</c:v>
                </c:pt>
                <c:pt idx="54">
                  <c:v>3.2703469500020163E-2</c:v>
                </c:pt>
                <c:pt idx="55">
                  <c:v>3.2726238475201994E-2</c:v>
                </c:pt>
                <c:pt idx="56">
                  <c:v>3.2749006920516563E-2</c:v>
                </c:pt>
                <c:pt idx="57">
                  <c:v>3.2771774835976084E-2</c:v>
                </c:pt>
                <c:pt idx="58">
                  <c:v>3.279454222159299E-2</c:v>
                </c:pt>
                <c:pt idx="59">
                  <c:v>3.2817309077379606E-2</c:v>
                </c:pt>
                <c:pt idx="60">
                  <c:v>3.2840075403348254E-2</c:v>
                </c:pt>
                <c:pt idx="61">
                  <c:v>3.2862841199511147E-2</c:v>
                </c:pt>
                <c:pt idx="62">
                  <c:v>3.2885606465880721E-2</c:v>
                </c:pt>
                <c:pt idx="63">
                  <c:v>3.2908371202469297E-2</c:v>
                </c:pt>
                <c:pt idx="64">
                  <c:v>3.29311354092892E-2</c:v>
                </c:pt>
                <c:pt idx="65">
                  <c:v>3.2953899086352753E-2</c:v>
                </c:pt>
                <c:pt idx="66">
                  <c:v>3.297666223367228E-2</c:v>
                </c:pt>
                <c:pt idx="67">
                  <c:v>3.2999424851260103E-2</c:v>
                </c:pt>
                <c:pt idx="68">
                  <c:v>3.3022186939128548E-2</c:v>
                </c:pt>
                <c:pt idx="69">
                  <c:v>3.3044948497290047E-2</c:v>
                </c:pt>
                <c:pt idx="70">
                  <c:v>3.3067709525756703E-2</c:v>
                </c:pt>
                <c:pt idx="71">
                  <c:v>3.309047002454106E-2</c:v>
                </c:pt>
                <c:pt idx="72">
                  <c:v>3.3113229993655333E-2</c:v>
                </c:pt>
                <c:pt idx="73">
                  <c:v>3.3135989433111954E-2</c:v>
                </c:pt>
                <c:pt idx="74">
                  <c:v>3.3158748342923025E-2</c:v>
                </c:pt>
                <c:pt idx="75">
                  <c:v>3.3181506723101092E-2</c:v>
                </c:pt>
                <c:pt idx="76">
                  <c:v>3.3204264573658479E-2</c:v>
                </c:pt>
                <c:pt idx="77">
                  <c:v>3.3227021894607287E-2</c:v>
                </c:pt>
                <c:pt idx="78">
                  <c:v>3.324977868596006E-2</c:v>
                </c:pt>
                <c:pt idx="79">
                  <c:v>3.3272534947729124E-2</c:v>
                </c:pt>
                <c:pt idx="80">
                  <c:v>3.329529067992669E-2</c:v>
                </c:pt>
                <c:pt idx="81">
                  <c:v>3.3318045882565081E-2</c:v>
                </c:pt>
                <c:pt idx="82">
                  <c:v>3.3340800555656622E-2</c:v>
                </c:pt>
                <c:pt idx="83">
                  <c:v>3.3363554699213746E-2</c:v>
                </c:pt>
                <c:pt idx="84">
                  <c:v>3.3386308313248778E-2</c:v>
                </c:pt>
                <c:pt idx="85">
                  <c:v>3.3409061397773818E-2</c:v>
                </c:pt>
                <c:pt idx="86">
                  <c:v>3.3431813952801412E-2</c:v>
                </c:pt>
                <c:pt idx="87">
                  <c:v>3.3454565978343884E-2</c:v>
                </c:pt>
                <c:pt idx="88">
                  <c:v>3.3477317474413334E-2</c:v>
                </c:pt>
                <c:pt idx="89">
                  <c:v>3.350006844102231E-2</c:v>
                </c:pt>
                <c:pt idx="90">
                  <c:v>3.3522818878183133E-2</c:v>
                </c:pt>
                <c:pt idx="91">
                  <c:v>3.3545568785907906E-2</c:v>
                </c:pt>
                <c:pt idx="92">
                  <c:v>3.3568318164209174E-2</c:v>
                </c:pt>
                <c:pt idx="93">
                  <c:v>3.3591067013099149E-2</c:v>
                </c:pt>
                <c:pt idx="94">
                  <c:v>3.3613815332590155E-2</c:v>
                </c:pt>
                <c:pt idx="95">
                  <c:v>3.3636563122694627E-2</c:v>
                </c:pt>
                <c:pt idx="96">
                  <c:v>3.3659310383424665E-2</c:v>
                </c:pt>
                <c:pt idx="97">
                  <c:v>3.3682057114792815E-2</c:v>
                </c:pt>
                <c:pt idx="98">
                  <c:v>3.3704803316811291E-2</c:v>
                </c:pt>
                <c:pt idx="99">
                  <c:v>3.3727548989492304E-2</c:v>
                </c:pt>
                <c:pt idx="100">
                  <c:v>3.3750294132848399E-2</c:v>
                </c:pt>
                <c:pt idx="101">
                  <c:v>3.3773038746891679E-2</c:v>
                </c:pt>
                <c:pt idx="102">
                  <c:v>3.3795782831634688E-2</c:v>
                </c:pt>
                <c:pt idx="103">
                  <c:v>3.3818526387089529E-2</c:v>
                </c:pt>
                <c:pt idx="104">
                  <c:v>3.3841269413268635E-2</c:v>
                </c:pt>
                <c:pt idx="105">
                  <c:v>3.386401191018433E-2</c:v>
                </c:pt>
                <c:pt idx="106">
                  <c:v>3.3886753877848827E-2</c:v>
                </c:pt>
                <c:pt idx="107">
                  <c:v>3.390949531627456E-2</c:v>
                </c:pt>
                <c:pt idx="108">
                  <c:v>3.3932236225473741E-2</c:v>
                </c:pt>
                <c:pt idx="109">
                  <c:v>3.3954976605458806E-2</c:v>
                </c:pt>
                <c:pt idx="110">
                  <c:v>3.3977716456241966E-2</c:v>
                </c:pt>
                <c:pt idx="111">
                  <c:v>3.4000455777835656E-2</c:v>
                </c:pt>
                <c:pt idx="112">
                  <c:v>3.4023194570252088E-2</c:v>
                </c:pt>
                <c:pt idx="113">
                  <c:v>3.4045932833503587E-2</c:v>
                </c:pt>
                <c:pt idx="114">
                  <c:v>3.4068670567602363E-2</c:v>
                </c:pt>
                <c:pt idx="115">
                  <c:v>3.4091407772560964E-2</c:v>
                </c:pt>
                <c:pt idx="116">
                  <c:v>3.4114144448391601E-2</c:v>
                </c:pt>
                <c:pt idx="117">
                  <c:v>3.4136880595106597E-2</c:v>
                </c:pt>
                <c:pt idx="118">
                  <c:v>3.4159616212718166E-2</c:v>
                </c:pt>
                <c:pt idx="119">
                  <c:v>3.4182351301238742E-2</c:v>
                </c:pt>
                <c:pt idx="120">
                  <c:v>3.4205085860680537E-2</c:v>
                </c:pt>
                <c:pt idx="121">
                  <c:v>3.4227819891055986E-2</c:v>
                </c:pt>
                <c:pt idx="122">
                  <c:v>3.42505533923773E-2</c:v>
                </c:pt>
                <c:pt idx="123">
                  <c:v>3.4273286364656805E-2</c:v>
                </c:pt>
                <c:pt idx="124">
                  <c:v>3.4296018807906933E-2</c:v>
                </c:pt>
                <c:pt idx="125">
                  <c:v>3.4318750722139788E-2</c:v>
                </c:pt>
                <c:pt idx="126">
                  <c:v>3.4341482107367913E-2</c:v>
                </c:pt>
                <c:pt idx="127">
                  <c:v>3.436421296360341E-2</c:v>
                </c:pt>
                <c:pt idx="128">
                  <c:v>3.4386943290858604E-2</c:v>
                </c:pt>
                <c:pt idx="129">
                  <c:v>3.440967308914604E-2</c:v>
                </c:pt>
                <c:pt idx="130">
                  <c:v>3.4432402358477707E-2</c:v>
                </c:pt>
                <c:pt idx="131">
                  <c:v>3.4455131098866151E-2</c:v>
                </c:pt>
                <c:pt idx="132">
                  <c:v>3.4477859310323586E-2</c:v>
                </c:pt>
                <c:pt idx="133">
                  <c:v>3.4500586992862334E-2</c:v>
                </c:pt>
                <c:pt idx="134">
                  <c:v>3.4523314146494719E-2</c:v>
                </c:pt>
                <c:pt idx="135">
                  <c:v>3.4546040771233064E-2</c:v>
                </c:pt>
                <c:pt idx="136">
                  <c:v>3.4568766867089581E-2</c:v>
                </c:pt>
                <c:pt idx="137">
                  <c:v>3.4591492434076707E-2</c:v>
                </c:pt>
                <c:pt idx="138">
                  <c:v>3.4614217472206651E-2</c:v>
                </c:pt>
                <c:pt idx="139">
                  <c:v>3.4636941981491851E-2</c:v>
                </c:pt>
                <c:pt idx="140">
                  <c:v>3.4659665961944405E-2</c:v>
                </c:pt>
                <c:pt idx="141">
                  <c:v>3.468238941357675E-2</c:v>
                </c:pt>
                <c:pt idx="142">
                  <c:v>3.4705112336401209E-2</c:v>
                </c:pt>
                <c:pt idx="143">
                  <c:v>3.4727834730430104E-2</c:v>
                </c:pt>
                <c:pt idx="144">
                  <c:v>3.475055659567565E-2</c:v>
                </c:pt>
                <c:pt idx="145">
                  <c:v>3.4773277932150168E-2</c:v>
                </c:pt>
                <c:pt idx="146">
                  <c:v>3.4795998739865983E-2</c:v>
                </c:pt>
                <c:pt idx="147">
                  <c:v>3.4818719018835417E-2</c:v>
                </c:pt>
                <c:pt idx="148">
                  <c:v>3.4841438769070796E-2</c:v>
                </c:pt>
                <c:pt idx="149">
                  <c:v>3.4864157990584441E-2</c:v>
                </c:pt>
                <c:pt idx="150">
                  <c:v>3.4886876683388565E-2</c:v>
                </c:pt>
                <c:pt idx="151">
                  <c:v>3.4909594847495493E-2</c:v>
                </c:pt>
                <c:pt idx="152">
                  <c:v>3.4932312482917546E-2</c:v>
                </c:pt>
                <c:pt idx="153">
                  <c:v>3.4955029589667161E-2</c:v>
                </c:pt>
                <c:pt idx="154">
                  <c:v>3.4977746167756327E-2</c:v>
                </c:pt>
                <c:pt idx="155">
                  <c:v>3.50004622171977E-2</c:v>
                </c:pt>
                <c:pt idx="156">
                  <c:v>3.5023177738003272E-2</c:v>
                </c:pt>
                <c:pt idx="157">
                  <c:v>3.5045892730185588E-2</c:v>
                </c:pt>
                <c:pt idx="158">
                  <c:v>3.5068607193756859E-2</c:v>
                </c:pt>
                <c:pt idx="159">
                  <c:v>3.50913211287293E-2</c:v>
                </c:pt>
                <c:pt idx="160">
                  <c:v>3.5114034535115343E-2</c:v>
                </c:pt>
                <c:pt idx="161">
                  <c:v>3.5136747412927202E-2</c:v>
                </c:pt>
                <c:pt idx="162">
                  <c:v>3.5159459762177311E-2</c:v>
                </c:pt>
                <c:pt idx="163">
                  <c:v>3.5182171582877772E-2</c:v>
                </c:pt>
                <c:pt idx="164">
                  <c:v>3.5204882875041019E-2</c:v>
                </c:pt>
                <c:pt idx="165">
                  <c:v>3.5227593638679264E-2</c:v>
                </c:pt>
                <c:pt idx="166">
                  <c:v>3.5250303873804942E-2</c:v>
                </c:pt>
                <c:pt idx="167">
                  <c:v>3.5273013580430265E-2</c:v>
                </c:pt>
                <c:pt idx="168">
                  <c:v>3.5295722758567447E-2</c:v>
                </c:pt>
                <c:pt idx="169">
                  <c:v>3.5318431408229031E-2</c:v>
                </c:pt>
                <c:pt idx="170">
                  <c:v>3.534113952942701E-2</c:v>
                </c:pt>
                <c:pt idx="171">
                  <c:v>3.5363847122173928E-2</c:v>
                </c:pt>
                <c:pt idx="172">
                  <c:v>3.5386554186481886E-2</c:v>
                </c:pt>
                <c:pt idx="173">
                  <c:v>3.5409260722363431E-2</c:v>
                </c:pt>
                <c:pt idx="174">
                  <c:v>3.5431966729830663E-2</c:v>
                </c:pt>
                <c:pt idx="175">
                  <c:v>3.5454672208895907E-2</c:v>
                </c:pt>
                <c:pt idx="176">
                  <c:v>3.5477377159571485E-2</c:v>
                </c:pt>
                <c:pt idx="177">
                  <c:v>3.5500081581869611E-2</c:v>
                </c:pt>
                <c:pt idx="178">
                  <c:v>3.5522785475802829E-2</c:v>
                </c:pt>
                <c:pt idx="179">
                  <c:v>3.554548884138313E-2</c:v>
                </c:pt>
                <c:pt idx="180">
                  <c:v>3.5568191678622949E-2</c:v>
                </c:pt>
                <c:pt idx="181">
                  <c:v>3.5590893987534608E-2</c:v>
                </c:pt>
                <c:pt idx="182">
                  <c:v>3.5613595768130432E-2</c:v>
                </c:pt>
                <c:pt idx="183">
                  <c:v>3.5636297020422633E-2</c:v>
                </c:pt>
                <c:pt idx="184">
                  <c:v>3.5658997744423535E-2</c:v>
                </c:pt>
                <c:pt idx="185">
                  <c:v>3.5681697940145349E-2</c:v>
                </c:pt>
                <c:pt idx="186">
                  <c:v>3.570439760760051E-2</c:v>
                </c:pt>
                <c:pt idx="187">
                  <c:v>3.5727096746801232E-2</c:v>
                </c:pt>
                <c:pt idx="188">
                  <c:v>3.5749795357759837E-2</c:v>
                </c:pt>
                <c:pt idx="189">
                  <c:v>3.5772493440488537E-2</c:v>
                </c:pt>
                <c:pt idx="190">
                  <c:v>3.5795190994999768E-2</c:v>
                </c:pt>
                <c:pt idx="191">
                  <c:v>3.5817888021305741E-2</c:v>
                </c:pt>
                <c:pt idx="192">
                  <c:v>3.5840584519418781E-2</c:v>
                </c:pt>
                <c:pt idx="193">
                  <c:v>3.5863280489351099E-2</c:v>
                </c:pt>
                <c:pt idx="194">
                  <c:v>3.5885975931115019E-2</c:v>
                </c:pt>
                <c:pt idx="195">
                  <c:v>3.5908670844722865E-2</c:v>
                </c:pt>
                <c:pt idx="196">
                  <c:v>3.593136523018696E-2</c:v>
                </c:pt>
                <c:pt idx="197">
                  <c:v>3.5954059087519516E-2</c:v>
                </c:pt>
                <c:pt idx="198">
                  <c:v>3.5976752416732857E-2</c:v>
                </c:pt>
                <c:pt idx="199">
                  <c:v>3.5999445217839307E-2</c:v>
                </c:pt>
                <c:pt idx="200">
                  <c:v>3.6022137490851078E-2</c:v>
                </c:pt>
                <c:pt idx="201">
                  <c:v>3.6044829235780604E-2</c:v>
                </c:pt>
                <c:pt idx="202">
                  <c:v>3.6067520452639987E-2</c:v>
                </c:pt>
                <c:pt idx="203">
                  <c:v>3.609021114144155E-2</c:v>
                </c:pt>
                <c:pt idx="204">
                  <c:v>3.6112901302197728E-2</c:v>
                </c:pt>
                <c:pt idx="205">
                  <c:v>3.6135590934920733E-2</c:v>
                </c:pt>
                <c:pt idx="206">
                  <c:v>3.6158280039622778E-2</c:v>
                </c:pt>
                <c:pt idx="207">
                  <c:v>3.6180968616316186E-2</c:v>
                </c:pt>
                <c:pt idx="208">
                  <c:v>3.6203656665013392E-2</c:v>
                </c:pt>
                <c:pt idx="209">
                  <c:v>3.6226344185726386E-2</c:v>
                </c:pt>
                <c:pt idx="210">
                  <c:v>3.6249031178467714E-2</c:v>
                </c:pt>
                <c:pt idx="211">
                  <c:v>3.6271717643249587E-2</c:v>
                </c:pt>
                <c:pt idx="212">
                  <c:v>3.6294403580084331E-2</c:v>
                </c:pt>
                <c:pt idx="213">
                  <c:v>3.6317088988984156E-2</c:v>
                </c:pt>
                <c:pt idx="214">
                  <c:v>3.6339773869961275E-2</c:v>
                </c:pt>
                <c:pt idx="215">
                  <c:v>3.6362458223028235E-2</c:v>
                </c:pt>
                <c:pt idx="216">
                  <c:v>3.6385142048197025E-2</c:v>
                </c:pt>
                <c:pt idx="217">
                  <c:v>3.640782534548008E-2</c:v>
                </c:pt>
                <c:pt idx="218">
                  <c:v>3.6430508114889723E-2</c:v>
                </c:pt>
                <c:pt idx="219">
                  <c:v>3.6453190356438167E-2</c:v>
                </c:pt>
                <c:pt idx="220">
                  <c:v>3.6475872070137735E-2</c:v>
                </c:pt>
                <c:pt idx="221">
                  <c:v>3.649855325600064E-2</c:v>
                </c:pt>
                <c:pt idx="222">
                  <c:v>3.6521233914039206E-2</c:v>
                </c:pt>
                <c:pt idx="223">
                  <c:v>3.6543914044265755E-2</c:v>
                </c:pt>
                <c:pt idx="224">
                  <c:v>3.6566593646692611E-2</c:v>
                </c:pt>
                <c:pt idx="225">
                  <c:v>3.6589272721331875E-2</c:v>
                </c:pt>
                <c:pt idx="226">
                  <c:v>3.6611951268195983E-2</c:v>
                </c:pt>
                <c:pt idx="227">
                  <c:v>3.6634629287297146E-2</c:v>
                </c:pt>
                <c:pt idx="228">
                  <c:v>3.6657306778647689E-2</c:v>
                </c:pt>
                <c:pt idx="229">
                  <c:v>3.6679983742259933E-2</c:v>
                </c:pt>
                <c:pt idx="230">
                  <c:v>3.6702660178146093E-2</c:v>
                </c:pt>
                <c:pt idx="231">
                  <c:v>3.672533608631838E-2</c:v>
                </c:pt>
                <c:pt idx="232">
                  <c:v>3.6748011466789229E-2</c:v>
                </c:pt>
                <c:pt idx="233">
                  <c:v>3.6770686319570853E-2</c:v>
                </c:pt>
                <c:pt idx="234">
                  <c:v>3.6793360644675463E-2</c:v>
                </c:pt>
                <c:pt idx="235">
                  <c:v>3.6816034442115494E-2</c:v>
                </c:pt>
                <c:pt idx="236">
                  <c:v>3.6838707711903049E-2</c:v>
                </c:pt>
                <c:pt idx="237">
                  <c:v>3.686138045405056E-2</c:v>
                </c:pt>
                <c:pt idx="238">
                  <c:v>3.688405266857013E-2</c:v>
                </c:pt>
                <c:pt idx="239">
                  <c:v>3.6906724355474305E-2</c:v>
                </c:pt>
                <c:pt idx="240">
                  <c:v>3.6929395514775074E-2</c:v>
                </c:pt>
                <c:pt idx="241">
                  <c:v>3.6952066146484872E-2</c:v>
                </c:pt>
                <c:pt idx="242">
                  <c:v>3.6974736250616022E-2</c:v>
                </c:pt>
                <c:pt idx="243">
                  <c:v>3.6997405827180627E-2</c:v>
                </c:pt>
                <c:pt idx="244">
                  <c:v>3.702007487619112E-2</c:v>
                </c:pt>
                <c:pt idx="245">
                  <c:v>3.7042743397659714E-2</c:v>
                </c:pt>
                <c:pt idx="246">
                  <c:v>3.7065411391598732E-2</c:v>
                </c:pt>
                <c:pt idx="247">
                  <c:v>3.7088078858020387E-2</c:v>
                </c:pt>
                <c:pt idx="248">
                  <c:v>3.7110745796937003E-2</c:v>
                </c:pt>
                <c:pt idx="249">
                  <c:v>3.7133412208360791E-2</c:v>
                </c:pt>
                <c:pt idx="250">
                  <c:v>3.7156078092304076E-2</c:v>
                </c:pt>
                <c:pt idx="251">
                  <c:v>3.7178743448779181E-2</c:v>
                </c:pt>
                <c:pt idx="252">
                  <c:v>3.7201408277798317E-2</c:v>
                </c:pt>
                <c:pt idx="253">
                  <c:v>3.7224072579373699E-2</c:v>
                </c:pt>
                <c:pt idx="254">
                  <c:v>3.7246736353517759E-2</c:v>
                </c:pt>
                <c:pt idx="255">
                  <c:v>3.72693996002426E-2</c:v>
                </c:pt>
                <c:pt idx="256">
                  <c:v>3.7292062319560657E-2</c:v>
                </c:pt>
                <c:pt idx="257">
                  <c:v>3.731472451148414E-2</c:v>
                </c:pt>
                <c:pt idx="258">
                  <c:v>3.7337386176025264E-2</c:v>
                </c:pt>
                <c:pt idx="259">
                  <c:v>3.7360047313196351E-2</c:v>
                </c:pt>
                <c:pt idx="260">
                  <c:v>3.7382707923009725E-2</c:v>
                </c:pt>
                <c:pt idx="261">
                  <c:v>3.7405368005477488E-2</c:v>
                </c:pt>
                <c:pt idx="262">
                  <c:v>3.7428027560612073E-2</c:v>
                </c:pt>
                <c:pt idx="263">
                  <c:v>3.7450686588425805E-2</c:v>
                </c:pt>
                <c:pt idx="264">
                  <c:v>3.7473345088930785E-2</c:v>
                </c:pt>
                <c:pt idx="265">
                  <c:v>3.7496003062139335E-2</c:v>
                </c:pt>
                <c:pt idx="266">
                  <c:v>3.7518660508063781E-2</c:v>
                </c:pt>
                <c:pt idx="267">
                  <c:v>3.7541317426716334E-2</c:v>
                </c:pt>
                <c:pt idx="268">
                  <c:v>3.7563973818109317E-2</c:v>
                </c:pt>
                <c:pt idx="269">
                  <c:v>3.7586629682254943E-2</c:v>
                </c:pt>
                <c:pt idx="270">
                  <c:v>3.7609285019165536E-2</c:v>
                </c:pt>
                <c:pt idx="271">
                  <c:v>3.7631939828853309E-2</c:v>
                </c:pt>
                <c:pt idx="272">
                  <c:v>3.7654594111330583E-2</c:v>
                </c:pt>
                <c:pt idx="273">
                  <c:v>3.7677247866609573E-2</c:v>
                </c:pt>
                <c:pt idx="274">
                  <c:v>3.7699901094702601E-2</c:v>
                </c:pt>
                <c:pt idx="275">
                  <c:v>3.7722553795621991E-2</c:v>
                </c:pt>
                <c:pt idx="276">
                  <c:v>3.7745205969379844E-2</c:v>
                </c:pt>
                <c:pt idx="277">
                  <c:v>3.7767857615988595E-2</c:v>
                </c:pt>
                <c:pt idx="278">
                  <c:v>3.7790508735460346E-2</c:v>
                </c:pt>
                <c:pt idx="279">
                  <c:v>3.781315932780753E-2</c:v>
                </c:pt>
                <c:pt idx="280">
                  <c:v>3.7835809393042361E-2</c:v>
                </c:pt>
                <c:pt idx="281">
                  <c:v>3.785845893117705E-2</c:v>
                </c:pt>
                <c:pt idx="282">
                  <c:v>3.788110794222381E-2</c:v>
                </c:pt>
                <c:pt idx="283">
                  <c:v>3.7903756426195076E-2</c:v>
                </c:pt>
                <c:pt idx="284">
                  <c:v>3.792640438310306E-2</c:v>
                </c:pt>
                <c:pt idx="285">
                  <c:v>3.7949051812959975E-2</c:v>
                </c:pt>
                <c:pt idx="286">
                  <c:v>3.7971698715778143E-2</c:v>
                </c:pt>
                <c:pt idx="287">
                  <c:v>3.7994345091569778E-2</c:v>
                </c:pt>
                <c:pt idx="288">
                  <c:v>3.8016990940347092E-2</c:v>
                </c:pt>
                <c:pt idx="289">
                  <c:v>3.803963626212252E-2</c:v>
                </c:pt>
                <c:pt idx="290">
                  <c:v>3.8062281056908162E-2</c:v>
                </c:pt>
                <c:pt idx="291">
                  <c:v>3.8084925324716454E-2</c:v>
                </c:pt>
                <c:pt idx="292">
                  <c:v>3.8107569065559385E-2</c:v>
                </c:pt>
                <c:pt idx="293">
                  <c:v>3.8130212279449502E-2</c:v>
                </c:pt>
                <c:pt idx="294">
                  <c:v>3.8152854966398905E-2</c:v>
                </c:pt>
                <c:pt idx="295">
                  <c:v>3.8175497126419919E-2</c:v>
                </c:pt>
                <c:pt idx="296">
                  <c:v>3.8198138759524866E-2</c:v>
                </c:pt>
                <c:pt idx="297">
                  <c:v>3.8220779865725849E-2</c:v>
                </c:pt>
                <c:pt idx="298">
                  <c:v>3.8243420445035189E-2</c:v>
                </c:pt>
                <c:pt idx="299">
                  <c:v>3.8266060497465212E-2</c:v>
                </c:pt>
                <c:pt idx="300">
                  <c:v>3.828870002302813E-2</c:v>
                </c:pt>
                <c:pt idx="301">
                  <c:v>3.8311339021736265E-2</c:v>
                </c:pt>
                <c:pt idx="302">
                  <c:v>3.833397749360172E-2</c:v>
                </c:pt>
                <c:pt idx="303">
                  <c:v>3.8356615438636929E-2</c:v>
                </c:pt>
                <c:pt idx="304">
                  <c:v>3.8379252856854104E-2</c:v>
                </c:pt>
                <c:pt idx="305">
                  <c:v>3.8401889748265458E-2</c:v>
                </c:pt>
                <c:pt idx="306">
                  <c:v>3.8424526112883314E-2</c:v>
                </c:pt>
                <c:pt idx="307">
                  <c:v>3.8447161950719885E-2</c:v>
                </c:pt>
                <c:pt idx="308">
                  <c:v>3.8469797261787383E-2</c:v>
                </c:pt>
                <c:pt idx="309">
                  <c:v>3.8492432046098132E-2</c:v>
                </c:pt>
                <c:pt idx="310">
                  <c:v>3.8515066303664455E-2</c:v>
                </c:pt>
                <c:pt idx="311">
                  <c:v>3.8537700034498454E-2</c:v>
                </c:pt>
                <c:pt idx="312">
                  <c:v>3.8560333238612562E-2</c:v>
                </c:pt>
                <c:pt idx="313">
                  <c:v>3.8582965916018883E-2</c:v>
                </c:pt>
                <c:pt idx="314">
                  <c:v>3.8605598066729738E-2</c:v>
                </c:pt>
                <c:pt idx="315">
                  <c:v>3.8628229690757451E-2</c:v>
                </c:pt>
                <c:pt idx="316">
                  <c:v>3.8650860788114125E-2</c:v>
                </c:pt>
                <c:pt idx="317">
                  <c:v>3.8673491358812193E-2</c:v>
                </c:pt>
                <c:pt idx="318">
                  <c:v>3.8696121402863756E-2</c:v>
                </c:pt>
                <c:pt idx="319">
                  <c:v>3.8718750920281139E-2</c:v>
                </c:pt>
                <c:pt idx="320">
                  <c:v>3.8741379911076554E-2</c:v>
                </c:pt>
                <c:pt idx="321">
                  <c:v>3.8764008375262324E-2</c:v>
                </c:pt>
                <c:pt idx="322">
                  <c:v>3.8786636312850661E-2</c:v>
                </c:pt>
                <c:pt idx="323">
                  <c:v>3.880926372385389E-2</c:v>
                </c:pt>
                <c:pt idx="324">
                  <c:v>3.8831890608284111E-2</c:v>
                </c:pt>
                <c:pt idx="325">
                  <c:v>3.885451696615376E-2</c:v>
                </c:pt>
                <c:pt idx="326">
                  <c:v>3.8877142797474937E-2</c:v>
                </c:pt>
                <c:pt idx="327">
                  <c:v>3.8899768102260077E-2</c:v>
                </c:pt>
                <c:pt idx="328">
                  <c:v>3.8922392880521281E-2</c:v>
                </c:pt>
                <c:pt idx="329">
                  <c:v>3.8945017132270762E-2</c:v>
                </c:pt>
                <c:pt idx="330">
                  <c:v>3.8967640857520955E-2</c:v>
                </c:pt>
                <c:pt idx="331">
                  <c:v>3.899026405628396E-2</c:v>
                </c:pt>
                <c:pt idx="332">
                  <c:v>3.9012886728571991E-2</c:v>
                </c:pt>
                <c:pt idx="333">
                  <c:v>3.9035508874397482E-2</c:v>
                </c:pt>
                <c:pt idx="334">
                  <c:v>3.9058130493772644E-2</c:v>
                </c:pt>
                <c:pt idx="335">
                  <c:v>3.9080751586709581E-2</c:v>
                </c:pt>
                <c:pt idx="336">
                  <c:v>3.9103372153220725E-2</c:v>
                </c:pt>
                <c:pt idx="337">
                  <c:v>3.9125992193318179E-2</c:v>
                </c:pt>
                <c:pt idx="338">
                  <c:v>3.9148611707014266E-2</c:v>
                </c:pt>
                <c:pt idx="339">
                  <c:v>3.9171230694321199E-2</c:v>
                </c:pt>
                <c:pt idx="340">
                  <c:v>3.9193849155251301E-2</c:v>
                </c:pt>
                <c:pt idx="341">
                  <c:v>3.9216467089816673E-2</c:v>
                </c:pt>
                <c:pt idx="342">
                  <c:v>3.923908449802975E-2</c:v>
                </c:pt>
                <c:pt idx="343">
                  <c:v>3.9261701379902744E-2</c:v>
                </c:pt>
                <c:pt idx="344">
                  <c:v>3.9284317735447757E-2</c:v>
                </c:pt>
                <c:pt idx="345">
                  <c:v>3.9306933564677224E-2</c:v>
                </c:pt>
                <c:pt idx="346">
                  <c:v>3.9329548867603245E-2</c:v>
                </c:pt>
                <c:pt idx="347">
                  <c:v>3.9352163644238145E-2</c:v>
                </c:pt>
                <c:pt idx="348">
                  <c:v>3.9374777894594135E-2</c:v>
                </c:pt>
                <c:pt idx="349">
                  <c:v>3.9397391618683539E-2</c:v>
                </c:pt>
                <c:pt idx="350">
                  <c:v>3.9420004816518459E-2</c:v>
                </c:pt>
                <c:pt idx="351">
                  <c:v>3.9442617488111328E-2</c:v>
                </c:pt>
                <c:pt idx="352">
                  <c:v>3.946522963347425E-2</c:v>
                </c:pt>
                <c:pt idx="353">
                  <c:v>3.9487841252619435E-2</c:v>
                </c:pt>
                <c:pt idx="354">
                  <c:v>3.9510452345559319E-2</c:v>
                </c:pt>
                <c:pt idx="355">
                  <c:v>3.9533062912306002E-2</c:v>
                </c:pt>
                <c:pt idx="356">
                  <c:v>3.9555672952871809E-2</c:v>
                </c:pt>
                <c:pt idx="357">
                  <c:v>3.9578282467268841E-2</c:v>
                </c:pt>
                <c:pt idx="358">
                  <c:v>3.9600891455509532E-2</c:v>
                </c:pt>
                <c:pt idx="359">
                  <c:v>3.9623499917605984E-2</c:v>
                </c:pt>
                <c:pt idx="360">
                  <c:v>3.964610785357052E-2</c:v>
                </c:pt>
                <c:pt idx="361">
                  <c:v>3.9668715263415352E-2</c:v>
                </c:pt>
                <c:pt idx="362">
                  <c:v>3.9691322147152694E-2</c:v>
                </c:pt>
                <c:pt idx="363">
                  <c:v>3.9713928504794868E-2</c:v>
                </c:pt>
                <c:pt idx="364">
                  <c:v>3.9736534336354087E-2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0.10553674568272284</c:v>
                </c:pt>
                <c:pt idx="1">
                  <c:v>0.1056032357099007</c:v>
                </c:pt>
                <c:pt idx="2">
                  <c:v>0.10566988039265945</c:v>
                </c:pt>
                <c:pt idx="3">
                  <c:v>0.10573665555673786</c:v>
                </c:pt>
                <c:pt idx="4">
                  <c:v>0.10580354015482486</c:v>
                </c:pt>
                <c:pt idx="5">
                  <c:v>0.10587051617378032</c:v>
                </c:pt>
                <c:pt idx="6">
                  <c:v>0.10593756851810264</c:v>
                </c:pt>
                <c:pt idx="7">
                  <c:v>0.10600468487156305</c:v>
                </c:pt>
                <c:pt idx="8">
                  <c:v>0.10607185553908705</c:v>
                </c:pt>
                <c:pt idx="9">
                  <c:v>0.10613907327110322</c:v>
                </c:pt>
                <c:pt idx="10">
                  <c:v>0.10620633307269463</c:v>
                </c:pt>
                <c:pt idx="11">
                  <c:v>0.106273631999979</c:v>
                </c:pt>
                <c:pt idx="12">
                  <c:v>0.10634096894621065</c:v>
                </c:pt>
                <c:pt idx="13">
                  <c:v>0.10640834442013697</c:v>
                </c:pt>
                <c:pt idx="14">
                  <c:v>0.10647576031915912</c:v>
                </c:pt>
                <c:pt idx="15">
                  <c:v>0.10654321969983686</c:v>
                </c:pt>
                <c:pt idx="16">
                  <c:v>0.10661072654824337</c:v>
                </c:pt>
                <c:pt idx="17">
                  <c:v>0.10667828555261877</c:v>
                </c:pt>
                <c:pt idx="18">
                  <c:v>0.10674590188069021</c:v>
                </c:pt>
                <c:pt idx="19">
                  <c:v>0.10681358096392445</c:v>
                </c:pt>
                <c:pt idx="20">
                  <c:v>0.10688132829085553</c:v>
                </c:pt>
                <c:pt idx="21">
                  <c:v>0.10694914921148962</c:v>
                </c:pt>
                <c:pt idx="22">
                  <c:v>0.10701704875462911</c:v>
                </c:pt>
                <c:pt idx="23">
                  <c:v>0.10708503145978597</c:v>
                </c:pt>
                <c:pt idx="24">
                  <c:v>0.10715310122516469</c:v>
                </c:pt>
                <c:pt idx="25">
                  <c:v>0.10722126117299954</c:v>
                </c:pt>
                <c:pt idx="26">
                  <c:v>0.10728951353332092</c:v>
                </c:pt>
                <c:pt idx="27">
                  <c:v>0.10735785954701314</c:v>
                </c:pt>
                <c:pt idx="28">
                  <c:v>0.10742629938880666</c:v>
                </c:pt>
                <c:pt idx="29">
                  <c:v>0.10749483211062705</c:v>
                </c:pt>
                <c:pt idx="30">
                  <c:v>0.10756345560550244</c:v>
                </c:pt>
                <c:pt idx="31">
                  <c:v>0.10763216659201284</c:v>
                </c:pt>
                <c:pt idx="32">
                  <c:v>0.10770096061905064</c:v>
                </c:pt>
                <c:pt idx="33">
                  <c:v>0.10776983209045572</c:v>
                </c:pt>
                <c:pt idx="34">
                  <c:v>0.10783877430888796</c:v>
                </c:pt>
                <c:pt idx="35">
                  <c:v>0.10790777953811491</c:v>
                </c:pt>
                <c:pt idx="36">
                  <c:v>0.10797683908271455</c:v>
                </c:pt>
                <c:pt idx="37">
                  <c:v>0.10804594338403305</c:v>
                </c:pt>
                <c:pt idx="38">
                  <c:v>0.10811508213109024</c:v>
                </c:pt>
                <c:pt idx="39">
                  <c:v>0.10818424438499644</c:v>
                </c:pt>
                <c:pt idx="40">
                  <c:v>0.10825341871533246</c:v>
                </c:pt>
                <c:pt idx="41">
                  <c:v>0.10832259334685018</c:v>
                </c:pt>
                <c:pt idx="42">
                  <c:v>0.10839175631477761</c:v>
                </c:pt>
                <c:pt idx="43">
                  <c:v>0.10846089562695717</c:v>
                </c:pt>
                <c:pt idx="44">
                  <c:v>0.10852999943100998</c:v>
                </c:pt>
                <c:pt idx="45">
                  <c:v>0.10859905618470489</c:v>
                </c:pt>
                <c:pt idx="46">
                  <c:v>0.10866805482771316</c:v>
                </c:pt>
                <c:pt idx="47">
                  <c:v>0.10873698495295361</c:v>
                </c:pt>
                <c:pt idx="48">
                  <c:v>0.10880583697577489</c:v>
                </c:pt>
                <c:pt idx="49">
                  <c:v>0.10887460229927864</c:v>
                </c:pt>
                <c:pt idx="50">
                  <c:v>0.10894327347416452</c:v>
                </c:pt>
                <c:pt idx="51">
                  <c:v>0.10901184435156731</c:v>
                </c:pt>
                <c:pt idx="52">
                  <c:v>0.1090803102274623</c:v>
                </c:pt>
                <c:pt idx="53">
                  <c:v>0.10914866797733187</c:v>
                </c:pt>
                <c:pt idx="54">
                  <c:v>0.10921691617991373</c:v>
                </c:pt>
                <c:pt idx="55">
                  <c:v>0.10928505522899157</c:v>
                </c:pt>
                <c:pt idx="56">
                  <c:v>0.10935308743233051</c:v>
                </c:pt>
                <c:pt idx="57">
                  <c:v>0.10942101709701411</c:v>
                </c:pt>
                <c:pt idx="58">
                  <c:v>0.10948885060059275</c:v>
                </c:pt>
                <c:pt idx="59">
                  <c:v>0.10955659644761087</c:v>
                </c:pt>
                <c:pt idx="60">
                  <c:v>0.10962426531123839</c:v>
                </c:pt>
                <c:pt idx="61">
                  <c:v>0.10969187005988684</c:v>
                </c:pt>
                <c:pt idx="62">
                  <c:v>0.10975942576884373</c:v>
                </c:pt>
                <c:pt idx="63">
                  <c:v>0.10982694971710578</c:v>
                </c:pt>
                <c:pt idx="64">
                  <c:v>0.10989446136973371</c:v>
                </c:pt>
                <c:pt idx="65">
                  <c:v>0.1099619823461824</c:v>
                </c:pt>
                <c:pt idx="66">
                  <c:v>0.11002953637518528</c:v>
                </c:pt>
                <c:pt idx="67">
                  <c:v>0.11009714923688377</c:v>
                </c:pt>
                <c:pt idx="68">
                  <c:v>0.11016484869299283</c:v>
                </c:pt>
                <c:pt idx="69">
                  <c:v>0.11023266440588358</c:v>
                </c:pt>
                <c:pt idx="70">
                  <c:v>0.11030062784753621</c:v>
                </c:pt>
                <c:pt idx="71">
                  <c:v>0.11036877219937904</c:v>
                </c:pt>
                <c:pt idx="72">
                  <c:v>0.11043713224407442</c:v>
                </c:pt>
                <c:pt idx="73">
                  <c:v>0.11050574425034351</c:v>
                </c:pt>
                <c:pt idx="74">
                  <c:v>0.1105746458519395</c:v>
                </c:pt>
                <c:pt idx="75">
                  <c:v>0.11064387592187915</c:v>
                </c:pt>
                <c:pt idx="76">
                  <c:v>0.11071347444303216</c:v>
                </c:pt>
                <c:pt idx="77">
                  <c:v>0.11078348237614037</c:v>
                </c:pt>
                <c:pt idx="78">
                  <c:v>0.11085394152629989</c:v>
                </c:pt>
                <c:pt idx="79">
                  <c:v>0.1109248944088889</c:v>
                </c:pt>
                <c:pt idx="80">
                  <c:v>0.11099638411585952</c:v>
                </c:pt>
                <c:pt idx="81">
                  <c:v>0.11106845418324061</c:v>
                </c:pt>
                <c:pt idx="82">
                  <c:v>0.11114114846061605</c:v>
                </c:pt>
                <c:pt idx="83">
                  <c:v>0.11121451098325358</c:v>
                </c:pt>
                <c:pt idx="84">
                  <c:v>0.11128858584746359</c:v>
                </c:pt>
                <c:pt idx="85">
                  <c:v>0.11136341708966727</c:v>
                </c:pt>
                <c:pt idx="86">
                  <c:v>0.11143904856954938</c:v>
                </c:pt>
                <c:pt idx="87">
                  <c:v>0.11151552385756625</c:v>
                </c:pt>
                <c:pt idx="88">
                  <c:v>0.11159288612697406</c:v>
                </c:pt>
                <c:pt idx="89">
                  <c:v>0.11167117805043845</c:v>
                </c:pt>
                <c:pt idx="90">
                  <c:v>0.11175044170118623</c:v>
                </c:pt>
                <c:pt idx="91">
                  <c:v>0.11183071845856313</c:v>
                </c:pt>
                <c:pt idx="92">
                  <c:v>0.11191204891777157</c:v>
                </c:pt>
                <c:pt idx="93">
                  <c:v>0.1119944728034786</c:v>
                </c:pt>
                <c:pt idx="94">
                  <c:v>0.1120780288869104</c:v>
                </c:pt>
                <c:pt idx="95">
                  <c:v>0.11216275490598331</c:v>
                </c:pt>
                <c:pt idx="96">
                  <c:v>0.11224868748796776</c:v>
                </c:pt>
                <c:pt idx="97">
                  <c:v>0.1123358620741372</c:v>
                </c:pt>
                <c:pt idx="98">
                  <c:v>0.11242431284582395</c:v>
                </c:pt>
                <c:pt idx="99">
                  <c:v>0.11251407265128378</c:v>
                </c:pt>
                <c:pt idx="100">
                  <c:v>0.1126051729327664</c:v>
                </c:pt>
                <c:pt idx="101">
                  <c:v>0.11269764365319544</c:v>
                </c:pt>
                <c:pt idx="102">
                  <c:v>0.11279151322188263</c:v>
                </c:pt>
                <c:pt idx="103">
                  <c:v>0.11288680841873251</c:v>
                </c:pt>
                <c:pt idx="104">
                  <c:v>0.11298355431644178</c:v>
                </c:pt>
                <c:pt idx="105">
                  <c:v>0.11308177420025335</c:v>
                </c:pt>
                <c:pt idx="106">
                  <c:v>0.11318148948489463</c:v>
                </c:pt>
                <c:pt idx="107">
                  <c:v>0.11328271962840965</c:v>
                </c:pt>
                <c:pt idx="108">
                  <c:v>0.1133854820426822</c:v>
                </c:pt>
                <c:pt idx="109">
                  <c:v>0.11348979200054544</c:v>
                </c:pt>
                <c:pt idx="110">
                  <c:v>1.8126319159287287E-2</c:v>
                </c:pt>
                <c:pt idx="111">
                  <c:v>1.8384383787884782E-2</c:v>
                </c:pt>
                <c:pt idx="112">
                  <c:v>1.8642562513314635E-2</c:v>
                </c:pt>
                <c:pt idx="113">
                  <c:v>1.8900866470888757E-2</c:v>
                </c:pt>
                <c:pt idx="114">
                  <c:v>1.9159306348537315E-2</c:v>
                </c:pt>
                <c:pt idx="115">
                  <c:v>1.9417892340350917E-2</c:v>
                </c:pt>
                <c:pt idx="116">
                  <c:v>1.9676634098779438E-2</c:v>
                </c:pt>
                <c:pt idx="117">
                  <c:v>1.9935540685622342E-2</c:v>
                </c:pt>
                <c:pt idx="118">
                  <c:v>2.0194620521977083E-2</c:v>
                </c:pt>
                <c:pt idx="119">
                  <c:v>2.0453881337344552E-2</c:v>
                </c:pt>
                <c:pt idx="120">
                  <c:v>2.0713330118123471E-2</c:v>
                </c:pt>
                <c:pt idx="121">
                  <c:v>2.0972973055757044E-2</c:v>
                </c:pt>
                <c:pt idx="122">
                  <c:v>2.12328154948274E-2</c:v>
                </c:pt>
                <c:pt idx="123">
                  <c:v>2.1492861881422669E-2</c:v>
                </c:pt>
                <c:pt idx="124">
                  <c:v>2.175311571212964E-2</c:v>
                </c:pt>
                <c:pt idx="125">
                  <c:v>2.2013579484031272E-2</c:v>
                </c:pt>
                <c:pt idx="126">
                  <c:v>2.2274254646111043E-2</c:v>
                </c:pt>
                <c:pt idx="127">
                  <c:v>2.2535141552485913E-2</c:v>
                </c:pt>
                <c:pt idx="128">
                  <c:v>2.2796239417905911E-2</c:v>
                </c:pt>
                <c:pt idx="129">
                  <c:v>2.3057546275971213E-2</c:v>
                </c:pt>
                <c:pt idx="130">
                  <c:v>2.3319058940524325E-2</c:v>
                </c:pt>
                <c:pt idx="131">
                  <c:v>2.3580772970679016E-2</c:v>
                </c:pt>
                <c:pt idx="132">
                  <c:v>2.3842682639945923E-2</c:v>
                </c:pt>
                <c:pt idx="133">
                  <c:v>2.4104780909907367E-2</c:v>
                </c:pt>
                <c:pt idx="134">
                  <c:v>2.4367059408882438E-2</c:v>
                </c:pt>
                <c:pt idx="135">
                  <c:v>2.4629508416005808E-2</c:v>
                </c:pt>
                <c:pt idx="136">
                  <c:v>2.4892116851120479E-2</c:v>
                </c:pt>
                <c:pt idx="137">
                  <c:v>2.5154872270857657E-2</c:v>
                </c:pt>
                <c:pt idx="138">
                  <c:v>2.541776087124217E-2</c:v>
                </c:pt>
                <c:pt idx="139">
                  <c:v>2.568076749712497E-2</c:v>
                </c:pt>
                <c:pt idx="140">
                  <c:v>2.5943875658699746E-2</c:v>
                </c:pt>
                <c:pt idx="141">
                  <c:v>2.6207067555314104E-2</c:v>
                </c:pt>
                <c:pt idx="142">
                  <c:v>2.6470324106733088E-2</c:v>
                </c:pt>
                <c:pt idx="143">
                  <c:v>2.6733624991957822E-2</c:v>
                </c:pt>
                <c:pt idx="144">
                  <c:v>2.6996948695643144E-2</c:v>
                </c:pt>
                <c:pt idx="145">
                  <c:v>2.7260272562096302E-2</c:v>
                </c:pt>
                <c:pt idx="146">
                  <c:v>2.7523572856775671E-2</c:v>
                </c:pt>
                <c:pt idx="147">
                  <c:v>2.7786824835142731E-2</c:v>
                </c:pt>
                <c:pt idx="148">
                  <c:v>2.8050002818654808E-2</c:v>
                </c:pt>
                <c:pt idx="149">
                  <c:v>2.8313080277619758E-2</c:v>
                </c:pt>
                <c:pt idx="150">
                  <c:v>2.857602992056766E-2</c:v>
                </c:pt>
                <c:pt idx="151">
                  <c:v>2.8838823789730517E-2</c:v>
                </c:pt>
                <c:pt idx="152">
                  <c:v>2.9101433362157703E-2</c:v>
                </c:pt>
                <c:pt idx="153">
                  <c:v>2.9363829655934533E-2</c:v>
                </c:pt>
                <c:pt idx="154">
                  <c:v>2.9625983340915586E-2</c:v>
                </c:pt>
                <c:pt idx="155">
                  <c:v>2.9887864853329678E-2</c:v>
                </c:pt>
                <c:pt idx="156">
                  <c:v>3.0149444513566732E-2</c:v>
                </c:pt>
                <c:pt idx="157">
                  <c:v>3.0410692646412229E-2</c:v>
                </c:pt>
                <c:pt idx="158">
                  <c:v>3.0671579702958498E-2</c:v>
                </c:pt>
                <c:pt idx="159">
                  <c:v>3.0932076383390041E-2</c:v>
                </c:pt>
                <c:pt idx="160">
                  <c:v>3.1192153759816182E-2</c:v>
                </c:pt>
                <c:pt idx="161">
                  <c:v>3.145178339830676E-2</c:v>
                </c:pt>
                <c:pt idx="162">
                  <c:v>3.1710937479276405E-2</c:v>
                </c:pt>
                <c:pt idx="163">
                  <c:v>3.1969588915360704E-2</c:v>
                </c:pt>
                <c:pt idx="164">
                  <c:v>3.2227711465933194E-2</c:v>
                </c:pt>
                <c:pt idx="165">
                  <c:v>3.2485279847425171E-2</c:v>
                </c:pt>
                <c:pt idx="166">
                  <c:v>3.2742269838631904E-2</c:v>
                </c:pt>
                <c:pt idx="167">
                  <c:v>3.2998658380217656E-2</c:v>
                </c:pt>
                <c:pt idx="168">
                  <c:v>3.3254423667669022E-2</c:v>
                </c:pt>
                <c:pt idx="169">
                  <c:v>3.3509545236990061E-2</c:v>
                </c:pt>
                <c:pt idx="170">
                  <c:v>3.3764004042483878E-2</c:v>
                </c:pt>
                <c:pt idx="171">
                  <c:v>3.4017782526023596E-2</c:v>
                </c:pt>
                <c:pt idx="172">
                  <c:v>3.4270864677279314E-2</c:v>
                </c:pt>
                <c:pt idx="173">
                  <c:v>3.4523236084437997E-2</c:v>
                </c:pt>
                <c:pt idx="174">
                  <c:v>3.4774883975026934E-2</c:v>
                </c:pt>
                <c:pt idx="175">
                  <c:v>3.5025797246531737E-2</c:v>
                </c:pt>
                <c:pt idx="176">
                  <c:v>3.5275966486581205E-2</c:v>
                </c:pt>
                <c:pt idx="177">
                  <c:v>3.5525383982557279E-2</c:v>
                </c:pt>
                <c:pt idx="178">
                  <c:v>3.5774043720575834E-2</c:v>
                </c:pt>
                <c:pt idx="179">
                  <c:v>3.602194137387138E-2</c:v>
                </c:pt>
                <c:pt idx="180">
                  <c:v>3.6269074280708476E-2</c:v>
                </c:pt>
                <c:pt idx="181">
                  <c:v>3.6515441412029614E-2</c:v>
                </c:pt>
                <c:pt idx="182">
                  <c:v>3.6761043329135767E-2</c:v>
                </c:pt>
                <c:pt idx="183">
                  <c:v>3.7005882131779876E-2</c:v>
                </c:pt>
                <c:pt idx="184">
                  <c:v>3.7249961397133435E-2</c:v>
                </c:pt>
                <c:pt idx="185">
                  <c:v>3.7493286110163025E-2</c:v>
                </c:pt>
                <c:pt idx="186">
                  <c:v>3.7735862586024446E-2</c:v>
                </c:pt>
                <c:pt idx="187">
                  <c:v>3.7977698385148174E-2</c:v>
                </c:pt>
                <c:pt idx="188">
                  <c:v>3.8218802221748407E-2</c:v>
                </c:pt>
                <c:pt idx="189">
                  <c:v>3.8459183866540188E-2</c:v>
                </c:pt>
                <c:pt idx="190">
                  <c:v>3.869885404449367E-2</c:v>
                </c:pt>
                <c:pt idx="191">
                  <c:v>3.8937824328490335E-2</c:v>
                </c:pt>
                <c:pt idx="192">
                  <c:v>3.9176107029774088E-2</c:v>
                </c:pt>
                <c:pt idx="193">
                  <c:v>3.9413715086109129E-2</c:v>
                </c:pt>
                <c:pt idx="194">
                  <c:v>3.9650661948565605E-2</c:v>
                </c:pt>
                <c:pt idx="195">
                  <c:v>3.9886961467855635E-2</c:v>
                </c:pt>
                <c:pt idx="196">
                  <c:v>4.0122627781132847E-2</c:v>
                </c:pt>
                <c:pt idx="197">
                  <c:v>4.0357675200151572E-2</c:v>
                </c:pt>
                <c:pt idx="198">
                  <c:v>4.0592118101654265E-2</c:v>
                </c:pt>
                <c:pt idx="199">
                  <c:v>4.0825970820821657E-2</c:v>
                </c:pt>
                <c:pt idx="200">
                  <c:v>4.1059247548574804E-2</c:v>
                </c:pt>
                <c:pt idx="201">
                  <c:v>4.1291962233468281E-2</c:v>
                </c:pt>
                <c:pt idx="202">
                  <c:v>4.1524128488853833E-2</c:v>
                </c:pt>
                <c:pt idx="203">
                  <c:v>4.1755759505928663E-2</c:v>
                </c:pt>
                <c:pt idx="204">
                  <c:v>4.1986867973211425E-2</c:v>
                </c:pt>
                <c:pt idx="205">
                  <c:v>4.2217466002911916E-2</c:v>
                </c:pt>
                <c:pt idx="206">
                  <c:v>4.2447565064579605E-2</c:v>
                </c:pt>
                <c:pt idx="207">
                  <c:v>4.2677175926332536E-2</c:v>
                </c:pt>
                <c:pt idx="208">
                  <c:v>4.2906308603880186E-2</c:v>
                </c:pt>
                <c:pt idx="209">
                  <c:v>4.3134972317466769E-2</c:v>
                </c:pt>
                <c:pt idx="210">
                  <c:v>4.3363175456771832E-2</c:v>
                </c:pt>
                <c:pt idx="211">
                  <c:v>4.3590925553717116E-2</c:v>
                </c:pt>
                <c:pt idx="212">
                  <c:v>4.3818229263041977E-2</c:v>
                </c:pt>
                <c:pt idx="213">
                  <c:v>4.4045092350425023E-2</c:v>
                </c:pt>
                <c:pt idx="214">
                  <c:v>4.4271519687849217E-2</c:v>
                </c:pt>
                <c:pt idx="215">
                  <c:v>4.4497515255831142E-2</c:v>
                </c:pt>
                <c:pt idx="216">
                  <c:v>4.4723082152064157E-2</c:v>
                </c:pt>
                <c:pt idx="217">
                  <c:v>4.4948222605960243E-2</c:v>
                </c:pt>
                <c:pt idx="218">
                  <c:v>4.5172937998517002E-2</c:v>
                </c:pt>
                <c:pt idx="219">
                  <c:v>4.5397228886886951E-2</c:v>
                </c:pt>
                <c:pt idx="220">
                  <c:v>4.5621095032982173E-2</c:v>
                </c:pt>
                <c:pt idx="221">
                  <c:v>4.5844535435416389E-2</c:v>
                </c:pt>
                <c:pt idx="222">
                  <c:v>4.6067548364059803E-2</c:v>
                </c:pt>
                <c:pt idx="223">
                  <c:v>4.6290131396469585E-2</c:v>
                </c:pt>
                <c:pt idx="224">
                  <c:v>4.6512281455451616E-2</c:v>
                </c:pt>
                <c:pt idx="225">
                  <c:v>4.6733994847015868E-2</c:v>
                </c:pt>
                <c:pt idx="226">
                  <c:v>4.6955267298000751E-2</c:v>
                </c:pt>
                <c:pt idx="227">
                  <c:v>4.7176093992666729E-2</c:v>
                </c:pt>
                <c:pt idx="228">
                  <c:v>4.7396469607593222E-2</c:v>
                </c:pt>
                <c:pt idx="229">
                  <c:v>4.7616388344254634E-2</c:v>
                </c:pt>
                <c:pt idx="230">
                  <c:v>4.7835843958703744E-2</c:v>
                </c:pt>
                <c:pt idx="231">
                  <c:v>4.8054829787849064E-2</c:v>
                </c:pt>
                <c:pt idx="232">
                  <c:v>4.8273338771879934E-2</c:v>
                </c:pt>
                <c:pt idx="233">
                  <c:v>4.8491363472466256E-2</c:v>
                </c:pt>
                <c:pt idx="234">
                  <c:v>4.8708896086438754E-2</c:v>
                </c:pt>
                <c:pt idx="235">
                  <c:v>4.8925928454739524E-2</c:v>
                </c:pt>
                <c:pt idx="236">
                  <c:v>4.9142452066520417E-2</c:v>
                </c:pt>
                <c:pt idx="237">
                  <c:v>4.935845805835689E-2</c:v>
                </c:pt>
                <c:pt idx="238">
                  <c:v>4.957393720863796E-2</c:v>
                </c:pt>
                <c:pt idx="239">
                  <c:v>4.978887992728448E-2</c:v>
                </c:pt>
                <c:pt idx="240">
                  <c:v>5.0003276241041138E-2</c:v>
                </c:pt>
                <c:pt idx="241">
                  <c:v>5.021711577467753E-2</c:v>
                </c:pt>
                <c:pt idx="242">
                  <c:v>5.0430387728521091E-2</c:v>
                </c:pt>
                <c:pt idx="243">
                  <c:v>5.0643080852828648E-2</c:v>
                </c:pt>
                <c:pt idx="244">
                  <c:v>5.0855183419581208E-2</c:v>
                </c:pt>
                <c:pt idx="245">
                  <c:v>5.1066683192359484E-2</c:v>
                </c:pt>
                <c:pt idx="246">
                  <c:v>5.1277567395021942E-2</c:v>
                </c:pt>
                <c:pt idx="247">
                  <c:v>5.148782267996483E-2</c:v>
                </c:pt>
                <c:pt idx="248">
                  <c:v>5.1697435096791346E-2</c:v>
                </c:pt>
                <c:pt idx="249">
                  <c:v>5.1906390062255163E-2</c:v>
                </c:pt>
                <c:pt idx="250">
                  <c:v>5.2114672332371964E-2</c:v>
                </c:pt>
                <c:pt idx="251">
                  <c:v>5.2322265977609139E-2</c:v>
                </c:pt>
                <c:pt idx="252">
                  <c:v>5.252915436206964E-2</c:v>
                </c:pt>
                <c:pt idx="253">
                  <c:v>5.2735320127579824E-2</c:v>
                </c:pt>
                <c:pt idx="254">
                  <c:v>5.2940745183573536E-2</c:v>
                </c:pt>
                <c:pt idx="255">
                  <c:v>5.3145410703634044E-2</c:v>
                </c:pt>
                <c:pt idx="256">
                  <c:v>5.334929712951493E-2</c:v>
                </c:pt>
                <c:pt idx="257">
                  <c:v>5.3552384183406507E-2</c:v>
                </c:pt>
                <c:pt idx="258">
                  <c:v>5.3754650889151025E-2</c:v>
                </c:pt>
                <c:pt idx="259">
                  <c:v>5.3956075603033705E-2</c:v>
                </c:pt>
                <c:pt idx="260">
                  <c:v>5.4156636054691502E-2</c:v>
                </c:pt>
                <c:pt idx="261">
                  <c:v>5.4356309398586829E-2</c:v>
                </c:pt>
                <c:pt idx="262">
                  <c:v>5.4555072276389893E-2</c:v>
                </c:pt>
                <c:pt idx="263">
                  <c:v>5.4752900890501943E-2</c:v>
                </c:pt>
                <c:pt idx="264">
                  <c:v>5.4949771088834594E-2</c:v>
                </c:pt>
                <c:pt idx="265">
                  <c:v>5.5145658460837577E-2</c:v>
                </c:pt>
                <c:pt idx="266">
                  <c:v>5.5340538444639452E-2</c:v>
                </c:pt>
                <c:pt idx="267">
                  <c:v>5.5534386445036665E-2</c:v>
                </c:pt>
                <c:pt idx="268">
                  <c:v>5.5727177961934833E-2</c:v>
                </c:pt>
                <c:pt idx="269">
                  <c:v>5.5918888728714249E-2</c:v>
                </c:pt>
                <c:pt idx="270">
                  <c:v>5.6109494859862136E-2</c:v>
                </c:pt>
                <c:pt idx="271">
                  <c:v>5.6298973007086181E-2</c:v>
                </c:pt>
                <c:pt idx="272">
                  <c:v>5.6487300523001709E-2</c:v>
                </c:pt>
                <c:pt idx="273">
                  <c:v>5.6674455631366152E-2</c:v>
                </c:pt>
                <c:pt idx="274">
                  <c:v>5.6860417602725359E-2</c:v>
                </c:pt>
                <c:pt idx="275">
                  <c:v>5.7045166934232956E-2</c:v>
                </c:pt>
                <c:pt idx="276">
                  <c:v>5.7228685532311883E-2</c:v>
                </c:pt>
                <c:pt idx="277">
                  <c:v>5.7410956896745871E-2</c:v>
                </c:pt>
                <c:pt idx="278">
                  <c:v>5.7591966304717357E-2</c:v>
                </c:pt>
                <c:pt idx="279">
                  <c:v>5.7771700993252663E-2</c:v>
                </c:pt>
                <c:pt idx="280">
                  <c:v>5.7950150338490505E-2</c:v>
                </c:pt>
                <c:pt idx="281">
                  <c:v>5.8127306030161675E-2</c:v>
                </c:pt>
                <c:pt idx="282">
                  <c:v>5.8303162239652997E-2</c:v>
                </c:pt>
                <c:pt idx="283">
                  <c:v>5.8477715780030727E-2</c:v>
                </c:pt>
                <c:pt idx="284">
                  <c:v>5.865096625641502E-2</c:v>
                </c:pt>
                <c:pt idx="285">
                  <c:v>5.8822916205130631E-2</c:v>
                </c:pt>
                <c:pt idx="286">
                  <c:v>5.8993571220107538E-2</c:v>
                </c:pt>
                <c:pt idx="287">
                  <c:v>5.9162940065070578E-2</c:v>
                </c:pt>
                <c:pt idx="288">
                  <c:v>5.93310347701358E-2</c:v>
                </c:pt>
                <c:pt idx="289">
                  <c:v>5.9497870711527796E-2</c:v>
                </c:pt>
                <c:pt idx="290">
                  <c:v>5.9663466673239907E-2</c:v>
                </c:pt>
                <c:pt idx="291">
                  <c:v>5.982784488958251E-2</c:v>
                </c:pt>
                <c:pt idx="292">
                  <c:v>5.999103106769911E-2</c:v>
                </c:pt>
                <c:pt idx="293">
                  <c:v>6.0153054389276324E-2</c:v>
                </c:pt>
                <c:pt idx="294">
                  <c:v>6.0313947490830175E-2</c:v>
                </c:pt>
                <c:pt idx="295">
                  <c:v>6.0473746422116108E-2</c:v>
                </c:pt>
                <c:pt idx="296">
                  <c:v>6.0632490582382979E-2</c:v>
                </c:pt>
                <c:pt idx="297">
                  <c:v>6.0790222634368771E-2</c:v>
                </c:pt>
                <c:pt idx="298">
                  <c:v>6.0946988396119339E-2</c:v>
                </c:pt>
                <c:pt idx="299">
                  <c:v>6.1102836710895031E-2</c:v>
                </c:pt>
                <c:pt idx="300">
                  <c:v>6.125781929561757E-2</c:v>
                </c:pt>
                <c:pt idx="301">
                  <c:v>6.14119905684921E-2</c:v>
                </c:pt>
                <c:pt idx="302">
                  <c:v>6.1565407456624102E-2</c:v>
                </c:pt>
                <c:pt idx="303">
                  <c:v>6.1718129184625825E-2</c:v>
                </c:pt>
                <c:pt idx="304">
                  <c:v>6.1870217045380531E-2</c:v>
                </c:pt>
                <c:pt idx="305">
                  <c:v>6.2021734154295266E-2</c:v>
                </c:pt>
                <c:pt idx="306">
                  <c:v>6.2172745188527445E-2</c:v>
                </c:pt>
                <c:pt idx="307">
                  <c:v>6.2323316112813484E-2</c:v>
                </c:pt>
                <c:pt idx="308">
                  <c:v>6.2473513893658794E-2</c:v>
                </c:pt>
                <c:pt idx="309">
                  <c:v>6.2623406203764845E-2</c:v>
                </c:pt>
                <c:pt idx="310">
                  <c:v>6.2773061118670939E-2</c:v>
                </c:pt>
                <c:pt idx="311">
                  <c:v>6.2922546807674354E-2</c:v>
                </c:pt>
                <c:pt idx="312">
                  <c:v>6.3071931221160657E-2</c:v>
                </c:pt>
                <c:pt idx="313">
                  <c:v>6.3221281776527111E-2</c:v>
                </c:pt>
                <c:pt idx="314">
                  <c:v>6.3370665044914162E-2</c:v>
                </c:pt>
                <c:pt idx="315">
                  <c:v>6.3520146440973368E-2</c:v>
                </c:pt>
                <c:pt idx="316">
                  <c:v>6.3669789917894765E-2</c:v>
                </c:pt>
                <c:pt idx="317">
                  <c:v>6.3819657669890367E-2</c:v>
                </c:pt>
                <c:pt idx="318">
                  <c:v>6.3969809844287712E-2</c:v>
                </c:pt>
                <c:pt idx="319">
                  <c:v>6.4120304265323072E-2</c:v>
                </c:pt>
                <c:pt idx="320">
                  <c:v>6.4271196171642342E-2</c:v>
                </c:pt>
                <c:pt idx="321">
                  <c:v>6.4422537969418964E-2</c:v>
                </c:pt>
                <c:pt idx="322">
                  <c:v>6.4574379002880947E-2</c:v>
                </c:pt>
                <c:pt idx="323">
                  <c:v>6.4726765343906756E-2</c:v>
                </c:pt>
                <c:pt idx="324">
                  <c:v>6.4879739602203154E-2</c:v>
                </c:pt>
                <c:pt idx="325">
                  <c:v>6.50333407574165E-2</c:v>
                </c:pt>
                <c:pt idx="326">
                  <c:v>6.5187604014355693E-2</c:v>
                </c:pt>
                <c:pt idx="327">
                  <c:v>6.5342560682322803E-2</c:v>
                </c:pt>
                <c:pt idx="328">
                  <c:v>6.5498238079352608E-2</c:v>
                </c:pt>
                <c:pt idx="329">
                  <c:v>6.5654659461964512E-2</c:v>
                </c:pt>
                <c:pt idx="330">
                  <c:v>6.5811843980823084E-2</c:v>
                </c:pt>
                <c:pt idx="331">
                  <c:v>6.5969806662496119E-2</c:v>
                </c:pt>
                <c:pt idx="332">
                  <c:v>6.6128558417287805E-2</c:v>
                </c:pt>
                <c:pt idx="333">
                  <c:v>6.6288106072914452E-2</c:v>
                </c:pt>
                <c:pt idx="334">
                  <c:v>6.6448452433582106E-2</c:v>
                </c:pt>
                <c:pt idx="335">
                  <c:v>6.6609596363822007E-2</c:v>
                </c:pt>
                <c:pt idx="336">
                  <c:v>6.6771532896240826E-2</c:v>
                </c:pt>
                <c:pt idx="337">
                  <c:v>6.693425336215339E-2</c:v>
                </c:pt>
                <c:pt idx="338">
                  <c:v>6.709774554388466E-2</c:v>
                </c:pt>
                <c:pt idx="339">
                  <c:v>6.7261993847357787E-2</c:v>
                </c:pt>
                <c:pt idx="340">
                  <c:v>6.7426979493428837E-2</c:v>
                </c:pt>
                <c:pt idx="341">
                  <c:v>6.7592680726286353E-2</c:v>
                </c:pt>
                <c:pt idx="342">
                  <c:v>6.775907303710578E-2</c:v>
                </c:pt>
                <c:pt idx="343">
                  <c:v>6.7926129401039051E-2</c:v>
                </c:pt>
                <c:pt idx="344">
                  <c:v>6.8093820525526552E-2</c:v>
                </c:pt>
                <c:pt idx="345">
                  <c:v>6.8262115107842844E-2</c:v>
                </c:pt>
                <c:pt idx="346">
                  <c:v>6.8430980099733543E-2</c:v>
                </c:pt>
                <c:pt idx="347">
                  <c:v>6.8600380976962291E-2</c:v>
                </c:pt>
                <c:pt idx="348">
                  <c:v>6.8770282011572426E-2</c:v>
                </c:pt>
                <c:pt idx="349">
                  <c:v>6.8940646544668749E-2</c:v>
                </c:pt>
                <c:pt idx="350">
                  <c:v>6.911143725754941E-2</c:v>
                </c:pt>
                <c:pt idx="351">
                  <c:v>6.9282616439058434E-2</c:v>
                </c:pt>
                <c:pt idx="352">
                  <c:v>6.9454146247091619E-2</c:v>
                </c:pt>
                <c:pt idx="353">
                  <c:v>6.9625988962266266E-2</c:v>
                </c:pt>
                <c:pt idx="354">
                  <c:v>6.9798107231862888E-2</c:v>
                </c:pt>
                <c:pt idx="355">
                  <c:v>6.9970464302257895E-2</c:v>
                </c:pt>
                <c:pt idx="356">
                  <c:v>7.0143024238195684E-2</c:v>
                </c:pt>
                <c:pt idx="357">
                  <c:v>7.0315752127389053E-2</c:v>
                </c:pt>
                <c:pt idx="358">
                  <c:v>7.0488614269090893E-2</c:v>
                </c:pt>
                <c:pt idx="359">
                  <c:v>7.0661578345445078E-2</c:v>
                </c:pt>
                <c:pt idx="360">
                  <c:v>7.083461357459829E-2</c:v>
                </c:pt>
                <c:pt idx="361">
                  <c:v>7.100769084473578E-2</c:v>
                </c:pt>
                <c:pt idx="362">
                  <c:v>7.1180782828390937E-2</c:v>
                </c:pt>
                <c:pt idx="363">
                  <c:v>7.1353864076570114E-2</c:v>
                </c:pt>
                <c:pt idx="364">
                  <c:v>7.1526911092425802E-2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7.9420076585038617E-3</c:v>
                </c:pt>
                <c:pt idx="1">
                  <c:v>7.9249074351529381E-3</c:v>
                </c:pt>
                <c:pt idx="2">
                  <c:v>7.9044436980542122E-3</c:v>
                </c:pt>
                <c:pt idx="3">
                  <c:v>7.8805280377913806E-3</c:v>
                </c:pt>
                <c:pt idx="4">
                  <c:v>7.8530868307298482E-3</c:v>
                </c:pt>
                <c:pt idx="5">
                  <c:v>7.8220616241945484E-3</c:v>
                </c:pt>
                <c:pt idx="6">
                  <c:v>7.7874094153276684E-3</c:v>
                </c:pt>
                <c:pt idx="7">
                  <c:v>7.7491027933548826E-3</c:v>
                </c:pt>
                <c:pt idx="8">
                  <c:v>7.7068656706388182E-3</c:v>
                </c:pt>
                <c:pt idx="9">
                  <c:v>7.6511870245224278E-3</c:v>
                </c:pt>
                <c:pt idx="10">
                  <c:v>7.5811145447933206E-3</c:v>
                </c:pt>
                <c:pt idx="11">
                  <c:v>7.4974420832527823E-3</c:v>
                </c:pt>
                <c:pt idx="12">
                  <c:v>7.4009559626729551E-3</c:v>
                </c:pt>
                <c:pt idx="13">
                  <c:v>7.2924275222415996E-3</c:v>
                </c:pt>
                <c:pt idx="14">
                  <c:v>7.1726067303664312E-3</c:v>
                </c:pt>
                <c:pt idx="15">
                  <c:v>7.0404573635701739E-3</c:v>
                </c:pt>
                <c:pt idx="16">
                  <c:v>6.8990433587081349E-3</c:v>
                </c:pt>
                <c:pt idx="17">
                  <c:v>6.7490019508094001E-3</c:v>
                </c:pt>
                <c:pt idx="18">
                  <c:v>6.5909331600958691E-3</c:v>
                </c:pt>
                <c:pt idx="19">
                  <c:v>6.4254338894667853E-3</c:v>
                </c:pt>
                <c:pt idx="20">
                  <c:v>6.2530728573754694E-3</c:v>
                </c:pt>
                <c:pt idx="21">
                  <c:v>6.0743458438077954E-3</c:v>
                </c:pt>
                <c:pt idx="22">
                  <c:v>5.8891079703809884E-3</c:v>
                </c:pt>
                <c:pt idx="23">
                  <c:v>5.706819335201437E-3</c:v>
                </c:pt>
                <c:pt idx="24">
                  <c:v>5.5355979567982159E-3</c:v>
                </c:pt>
                <c:pt idx="25">
                  <c:v>5.3752184327608594E-3</c:v>
                </c:pt>
                <c:pt idx="26">
                  <c:v>5.2254467930020251E-3</c:v>
                </c:pt>
                <c:pt idx="27">
                  <c:v>5.0860425033627281E-3</c:v>
                </c:pt>
                <c:pt idx="28">
                  <c:v>4.9567603120284232E-3</c:v>
                </c:pt>
                <c:pt idx="29">
                  <c:v>4.8444783749677731E-3</c:v>
                </c:pt>
                <c:pt idx="30">
                  <c:v>4.750171438051772E-3</c:v>
                </c:pt>
                <c:pt idx="31">
                  <c:v>4.6732944427985406E-3</c:v>
                </c:pt>
                <c:pt idx="32">
                  <c:v>4.6133129306978457E-3</c:v>
                </c:pt>
                <c:pt idx="33">
                  <c:v>4.569704670204346E-3</c:v>
                </c:pt>
                <c:pt idx="34">
                  <c:v>4.5419610457357717E-3</c:v>
                </c:pt>
                <c:pt idx="35">
                  <c:v>4.5295882277695768E-3</c:v>
                </c:pt>
                <c:pt idx="36">
                  <c:v>4.53217540069689E-3</c:v>
                </c:pt>
                <c:pt idx="37">
                  <c:v>4.551615361917608E-3</c:v>
                </c:pt>
                <c:pt idx="38">
                  <c:v>4.5791911130760128E-3</c:v>
                </c:pt>
                <c:pt idx="39">
                  <c:v>4.6145619783844504E-3</c:v>
                </c:pt>
                <c:pt idx="40">
                  <c:v>4.6573978492219607E-3</c:v>
                </c:pt>
                <c:pt idx="41">
                  <c:v>4.7073778142409624E-3</c:v>
                </c:pt>
                <c:pt idx="42">
                  <c:v>4.7641889808728586E-3</c:v>
                </c:pt>
                <c:pt idx="43">
                  <c:v>4.8297736156967469E-3</c:v>
                </c:pt>
                <c:pt idx="44">
                  <c:v>4.8977490946332759E-3</c:v>
                </c:pt>
                <c:pt idx="45">
                  <c:v>4.9679467725646511E-3</c:v>
                </c:pt>
                <c:pt idx="46">
                  <c:v>5.040200622181021E-3</c:v>
                </c:pt>
                <c:pt idx="47">
                  <c:v>5.1143472447251559E-3</c:v>
                </c:pt>
                <c:pt idx="48">
                  <c:v>5.1902259384733534E-3</c:v>
                </c:pt>
                <c:pt idx="49">
                  <c:v>5.2676788259057462E-3</c:v>
                </c:pt>
                <c:pt idx="50">
                  <c:v>5.3465755523433335E-3</c:v>
                </c:pt>
                <c:pt idx="51">
                  <c:v>5.4275811134441463E-3</c:v>
                </c:pt>
                <c:pt idx="52">
                  <c:v>5.508644742952192E-3</c:v>
                </c:pt>
                <c:pt idx="53">
                  <c:v>5.5897794215445194E-3</c:v>
                </c:pt>
                <c:pt idx="54">
                  <c:v>5.6710285638856177E-3</c:v>
                </c:pt>
                <c:pt idx="55">
                  <c:v>5.7524394793210401E-3</c:v>
                </c:pt>
                <c:pt idx="56">
                  <c:v>5.8340633541644205E-3</c:v>
                </c:pt>
                <c:pt idx="57">
                  <c:v>5.9144785269413282E-3</c:v>
                </c:pt>
                <c:pt idx="58">
                  <c:v>5.9918937016824238E-3</c:v>
                </c:pt>
                <c:pt idx="59">
                  <c:v>6.066482521835578E-3</c:v>
                </c:pt>
                <c:pt idx="60">
                  <c:v>6.1384183367418181E-3</c:v>
                </c:pt>
                <c:pt idx="61">
                  <c:v>6.2078739613101418E-3</c:v>
                </c:pt>
                <c:pt idx="62">
                  <c:v>6.2750214846383897E-3</c:v>
                </c:pt>
                <c:pt idx="63">
                  <c:v>6.3400321193067379E-3</c:v>
                </c:pt>
                <c:pt idx="64">
                  <c:v>6.4025662710380567E-3</c:v>
                </c:pt>
                <c:pt idx="65">
                  <c:v>6.4559515457893145E-3</c:v>
                </c:pt>
                <c:pt idx="66">
                  <c:v>6.5000525048333853E-3</c:v>
                </c:pt>
                <c:pt idx="67">
                  <c:v>6.5353326778944312E-3</c:v>
                </c:pt>
                <c:pt idx="68">
                  <c:v>6.5622456678100655E-3</c:v>
                </c:pt>
                <c:pt idx="69">
                  <c:v>6.5812331355401118E-3</c:v>
                </c:pt>
                <c:pt idx="70">
                  <c:v>6.5927230900255035E-3</c:v>
                </c:pt>
                <c:pt idx="71">
                  <c:v>6.5868596705570019E-3</c:v>
                </c:pt>
                <c:pt idx="72">
                  <c:v>6.5656006337508196E-3</c:v>
                </c:pt>
                <c:pt idx="73">
                  <c:v>6.5295720750293629E-3</c:v>
                </c:pt>
                <c:pt idx="74">
                  <c:v>6.4793640995090196E-3</c:v>
                </c:pt>
                <c:pt idx="75">
                  <c:v>6.4155290010206529E-3</c:v>
                </c:pt>
                <c:pt idx="76">
                  <c:v>6.3385797152581171E-3</c:v>
                </c:pt>
                <c:pt idx="77">
                  <c:v>6.2489885035210968E-3</c:v>
                </c:pt>
                <c:pt idx="78">
                  <c:v>6.1465141383262615E-3</c:v>
                </c:pt>
                <c:pt idx="79">
                  <c:v>6.0279741237251171E-3</c:v>
                </c:pt>
                <c:pt idx="80">
                  <c:v>5.8995022375533147E-3</c:v>
                </c:pt>
                <c:pt idx="81">
                  <c:v>5.7615001815422172E-3</c:v>
                </c:pt>
                <c:pt idx="82">
                  <c:v>5.6143297751876948E-3</c:v>
                </c:pt>
                <c:pt idx="83">
                  <c:v>5.4583114609668198E-3</c:v>
                </c:pt>
                <c:pt idx="84">
                  <c:v>5.2937230563734746E-3</c:v>
                </c:pt>
                <c:pt idx="85">
                  <c:v>5.1230546535369357E-3</c:v>
                </c:pt>
                <c:pt idx="86">
                  <c:v>4.9555357536209613E-3</c:v>
                </c:pt>
                <c:pt idx="87">
                  <c:v>4.7911112933592187E-3</c:v>
                </c:pt>
                <c:pt idx="88">
                  <c:v>4.6297097726018177E-3</c:v>
                </c:pt>
                <c:pt idx="89">
                  <c:v>4.4712445085255152E-3</c:v>
                </c:pt>
                <c:pt idx="90">
                  <c:v>4.3156147565369587E-3</c:v>
                </c:pt>
                <c:pt idx="91">
                  <c:v>4.1627067009344819E-3</c:v>
                </c:pt>
                <c:pt idx="92">
                  <c:v>4.0121715414345258E-3</c:v>
                </c:pt>
                <c:pt idx="93">
                  <c:v>3.8625984304570624E-3</c:v>
                </c:pt>
                <c:pt idx="94">
                  <c:v>3.7165944043936398E-3</c:v>
                </c:pt>
                <c:pt idx="95">
                  <c:v>3.5739684353444478E-3</c:v>
                </c:pt>
                <c:pt idx="96">
                  <c:v>3.4345364734204666E-3</c:v>
                </c:pt>
                <c:pt idx="97">
                  <c:v>3.2981209442759216E-3</c:v>
                </c:pt>
                <c:pt idx="98">
                  <c:v>3.1645502914268166E-3</c:v>
                </c:pt>
                <c:pt idx="99">
                  <c:v>3.034911875803081E-3</c:v>
                </c:pt>
                <c:pt idx="100">
                  <c:v>2.9068999192772864E-3</c:v>
                </c:pt>
                <c:pt idx="101">
                  <c:v>2.7803606408122387E-3</c:v>
                </c:pt>
                <c:pt idx="102">
                  <c:v>2.655142763973317E-3</c:v>
                </c:pt>
                <c:pt idx="103">
                  <c:v>2.531097249744253E-3</c:v>
                </c:pt>
                <c:pt idx="104">
                  <c:v>2.4080770544429738E-3</c:v>
                </c:pt>
                <c:pt idx="105">
                  <c:v>2.2859369084186837E-3</c:v>
                </c:pt>
                <c:pt idx="106">
                  <c:v>2.1645439544319646E-3</c:v>
                </c:pt>
                <c:pt idx="107">
                  <c:v>2.0502115533565868E-3</c:v>
                </c:pt>
                <c:pt idx="108">
                  <c:v>1.9438642407977585E-3</c:v>
                </c:pt>
                <c:pt idx="109">
                  <c:v>1.8454315853850723E-3</c:v>
                </c:pt>
                <c:pt idx="110">
                  <c:v>1.7548657841445687E-3</c:v>
                </c:pt>
                <c:pt idx="111">
                  <c:v>1.6721358616094877E-3</c:v>
                </c:pt>
                <c:pt idx="112">
                  <c:v>1.5972233021389606E-3</c:v>
                </c:pt>
                <c:pt idx="113">
                  <c:v>1.5338151821629102E-3</c:v>
                </c:pt>
                <c:pt idx="114">
                  <c:v>1.480688804094557E-3</c:v>
                </c:pt>
                <c:pt idx="115">
                  <c:v>1.4379212652657163E-3</c:v>
                </c:pt>
                <c:pt idx="116">
                  <c:v>1.4056137202084096E-3</c:v>
                </c:pt>
                <c:pt idx="117">
                  <c:v>1.3838915349311588E-3</c:v>
                </c:pt>
                <c:pt idx="118">
                  <c:v>1.3729044406706476E-3</c:v>
                </c:pt>
                <c:pt idx="119">
                  <c:v>1.3728266819883958E-3</c:v>
                </c:pt>
                <c:pt idx="120">
                  <c:v>1.3838458714948831E-3</c:v>
                </c:pt>
                <c:pt idx="121">
                  <c:v>1.4061480768806475E-3</c:v>
                </c:pt>
                <c:pt idx="122">
                  <c:v>1.4330326809996884E-3</c:v>
                </c:pt>
                <c:pt idx="123">
                  <c:v>1.4646115928101985E-3</c:v>
                </c:pt>
                <c:pt idx="124">
                  <c:v>1.5010056105899663E-3</c:v>
                </c:pt>
                <c:pt idx="125">
                  <c:v>1.5423445485899796E-3</c:v>
                </c:pt>
                <c:pt idx="126">
                  <c:v>1.5887673492805739E-3</c:v>
                </c:pt>
                <c:pt idx="127">
                  <c:v>1.6402316727548601E-3</c:v>
                </c:pt>
                <c:pt idx="128">
                  <c:v>1.6927846983477016E-3</c:v>
                </c:pt>
                <c:pt idx="129">
                  <c:v>1.7464676168615083E-3</c:v>
                </c:pt>
                <c:pt idx="130">
                  <c:v>1.8013210937088185E-3</c:v>
                </c:pt>
                <c:pt idx="131">
                  <c:v>1.8573851917131345E-3</c:v>
                </c:pt>
                <c:pt idx="132">
                  <c:v>1.9146992927246583E-3</c:v>
                </c:pt>
                <c:pt idx="133">
                  <c:v>1.9733020202132956E-3</c:v>
                </c:pt>
                <c:pt idx="134">
                  <c:v>2.0332446527631829E-3</c:v>
                </c:pt>
                <c:pt idx="135">
                  <c:v>2.0940717326179987E-3</c:v>
                </c:pt>
                <c:pt idx="136">
                  <c:v>2.1558135964302987E-3</c:v>
                </c:pt>
                <c:pt idx="137">
                  <c:v>2.2184633071543011E-3</c:v>
                </c:pt>
                <c:pt idx="138">
                  <c:v>2.282009157105224E-3</c:v>
                </c:pt>
                <c:pt idx="139">
                  <c:v>2.3464344972614183E-3</c:v>
                </c:pt>
                <c:pt idx="140">
                  <c:v>2.4117175721584754E-3</c:v>
                </c:pt>
                <c:pt idx="141">
                  <c:v>2.4769076229071633E-3</c:v>
                </c:pt>
                <c:pt idx="142">
                  <c:v>2.542148589129099E-3</c:v>
                </c:pt>
                <c:pt idx="143">
                  <c:v>2.6073620854550551E-3</c:v>
                </c:pt>
                <c:pt idx="144">
                  <c:v>2.6724780909376314E-3</c:v>
                </c:pt>
                <c:pt idx="145">
                  <c:v>2.7374204711830374E-3</c:v>
                </c:pt>
                <c:pt idx="146">
                  <c:v>2.8021070534320638E-3</c:v>
                </c:pt>
                <c:pt idx="147">
                  <c:v>2.8664497370203021E-3</c:v>
                </c:pt>
                <c:pt idx="148">
                  <c:v>2.9304408284569834E-3</c:v>
                </c:pt>
                <c:pt idx="149">
                  <c:v>2.9933987946009931E-3</c:v>
                </c:pt>
                <c:pt idx="150">
                  <c:v>3.0558019974599162E-3</c:v>
                </c:pt>
                <c:pt idx="151">
                  <c:v>3.1175532473399804E-3</c:v>
                </c:pt>
                <c:pt idx="152">
                  <c:v>3.1785506700397624E-3</c:v>
                </c:pt>
                <c:pt idx="153">
                  <c:v>3.2386879785710693E-3</c:v>
                </c:pt>
                <c:pt idx="154">
                  <c:v>3.2978547765021254E-3</c:v>
                </c:pt>
                <c:pt idx="155">
                  <c:v>3.3556199366809548E-3</c:v>
                </c:pt>
                <c:pt idx="156">
                  <c:v>3.4129710417173374E-3</c:v>
                </c:pt>
                <c:pt idx="157">
                  <c:v>3.4698172455025042E-3</c:v>
                </c:pt>
                <c:pt idx="158">
                  <c:v>3.526065312568976E-3</c:v>
                </c:pt>
                <c:pt idx="159">
                  <c:v>3.5816199273484219E-3</c:v>
                </c:pt>
                <c:pt idx="160">
                  <c:v>3.6363840222288714E-3</c:v>
                </c:pt>
                <c:pt idx="161">
                  <c:v>3.6902591209686687E-3</c:v>
                </c:pt>
                <c:pt idx="162">
                  <c:v>3.7431957886806494E-3</c:v>
                </c:pt>
                <c:pt idx="163">
                  <c:v>3.7947424784009081E-3</c:v>
                </c:pt>
                <c:pt idx="164">
                  <c:v>3.8456261405081802E-3</c:v>
                </c:pt>
                <c:pt idx="165">
                  <c:v>3.8957860649105427E-3</c:v>
                </c:pt>
                <c:pt idx="166">
                  <c:v>3.9451627703933328E-3</c:v>
                </c:pt>
                <c:pt idx="167">
                  <c:v>3.9936982615182449E-3</c:v>
                </c:pt>
                <c:pt idx="168">
                  <c:v>4.0413362743755713E-3</c:v>
                </c:pt>
                <c:pt idx="169">
                  <c:v>4.0875760758932273E-3</c:v>
                </c:pt>
                <c:pt idx="170">
                  <c:v>4.1327283817242698E-3</c:v>
                </c:pt>
                <c:pt idx="171">
                  <c:v>4.1767412541924903E-3</c:v>
                </c:pt>
                <c:pt idx="172">
                  <c:v>4.2195653653453249E-3</c:v>
                </c:pt>
                <c:pt idx="173">
                  <c:v>4.2611105875151479E-3</c:v>
                </c:pt>
                <c:pt idx="174">
                  <c:v>4.3012857336493966E-3</c:v>
                </c:pt>
                <c:pt idx="175">
                  <c:v>4.3400442700885881E-3</c:v>
                </c:pt>
                <c:pt idx="176">
                  <c:v>4.377342851219131E-3</c:v>
                </c:pt>
                <c:pt idx="177">
                  <c:v>4.4139253691125079E-3</c:v>
                </c:pt>
                <c:pt idx="178">
                  <c:v>4.4577265778961714E-3</c:v>
                </c:pt>
                <c:pt idx="179">
                  <c:v>4.4997906820426429E-3</c:v>
                </c:pt>
                <c:pt idx="180">
                  <c:v>4.5400486473194139E-3</c:v>
                </c:pt>
                <c:pt idx="181">
                  <c:v>4.5784361728714914E-3</c:v>
                </c:pt>
                <c:pt idx="182">
                  <c:v>4.6148937390011833E-3</c:v>
                </c:pt>
                <c:pt idx="183">
                  <c:v>4.6483897123131383E-3</c:v>
                </c:pt>
                <c:pt idx="184">
                  <c:v>4.6794066072577273E-3</c:v>
                </c:pt>
                <c:pt idx="185">
                  <c:v>4.7079072251216313E-3</c:v>
                </c:pt>
                <c:pt idx="186">
                  <c:v>4.7338587478875163E-3</c:v>
                </c:pt>
                <c:pt idx="187">
                  <c:v>4.7572325624506886E-3</c:v>
                </c:pt>
                <c:pt idx="188">
                  <c:v>4.7780040571257761E-3</c:v>
                </c:pt>
                <c:pt idx="189">
                  <c:v>4.7961523946033783E-3</c:v>
                </c:pt>
                <c:pt idx="190">
                  <c:v>4.8117181471782153E-3</c:v>
                </c:pt>
                <c:pt idx="191">
                  <c:v>4.8232107195896445E-3</c:v>
                </c:pt>
                <c:pt idx="192">
                  <c:v>4.8311041874438947E-3</c:v>
                </c:pt>
                <c:pt idx="193">
                  <c:v>4.8353647087247733E-3</c:v>
                </c:pt>
                <c:pt idx="194">
                  <c:v>4.8359598529492832E-3</c:v>
                </c:pt>
                <c:pt idx="195">
                  <c:v>4.8328584115005591E-3</c:v>
                </c:pt>
                <c:pt idx="196">
                  <c:v>4.8260302142781996E-3</c:v>
                </c:pt>
                <c:pt idx="197">
                  <c:v>4.8145275631740437E-3</c:v>
                </c:pt>
                <c:pt idx="198">
                  <c:v>4.7993808216708371E-3</c:v>
                </c:pt>
                <c:pt idx="199">
                  <c:v>4.7805648694072425E-3</c:v>
                </c:pt>
                <c:pt idx="200">
                  <c:v>4.7580549504538574E-3</c:v>
                </c:pt>
                <c:pt idx="201">
                  <c:v>4.7318265615409159E-3</c:v>
                </c:pt>
                <c:pt idx="202">
                  <c:v>4.7018553626676299E-3</c:v>
                </c:pt>
                <c:pt idx="203">
                  <c:v>4.6681171111930576E-3</c:v>
                </c:pt>
                <c:pt idx="204">
                  <c:v>4.6305697694842517E-3</c:v>
                </c:pt>
                <c:pt idx="205">
                  <c:v>4.5896690295920018E-3</c:v>
                </c:pt>
                <c:pt idx="206">
                  <c:v>4.5471368990198909E-3</c:v>
                </c:pt>
                <c:pt idx="207">
                  <c:v>4.5030861972423526E-3</c:v>
                </c:pt>
                <c:pt idx="208">
                  <c:v>4.4576248324125914E-3</c:v>
                </c:pt>
                <c:pt idx="209">
                  <c:v>4.4108556998401363E-3</c:v>
                </c:pt>
                <c:pt idx="210">
                  <c:v>4.3628766167193101E-3</c:v>
                </c:pt>
                <c:pt idx="211">
                  <c:v>4.3157980860633466E-3</c:v>
                </c:pt>
                <c:pt idx="212">
                  <c:v>4.2708269849257964E-3</c:v>
                </c:pt>
                <c:pt idx="213">
                  <c:v>4.2281836956947934E-3</c:v>
                </c:pt>
                <c:pt idx="214">
                  <c:v>4.1880795478617212E-3</c:v>
                </c:pt>
                <c:pt idx="215">
                  <c:v>4.1507174840125357E-3</c:v>
                </c:pt>
                <c:pt idx="216">
                  <c:v>4.1162927662760709E-3</c:v>
                </c:pt>
                <c:pt idx="217">
                  <c:v>4.0849937177088033E-3</c:v>
                </c:pt>
                <c:pt idx="218">
                  <c:v>4.0569032791348911E-3</c:v>
                </c:pt>
                <c:pt idx="219">
                  <c:v>4.0408746767343559E-3</c:v>
                </c:pt>
                <c:pt idx="220">
                  <c:v>4.0364416666505108E-3</c:v>
                </c:pt>
                <c:pt idx="221">
                  <c:v>4.0438238640064421E-3</c:v>
                </c:pt>
                <c:pt idx="222">
                  <c:v>4.0632421614508795E-3</c:v>
                </c:pt>
                <c:pt idx="223">
                  <c:v>4.0949194720882763E-3</c:v>
                </c:pt>
                <c:pt idx="224">
                  <c:v>4.1390814723648618E-3</c:v>
                </c:pt>
                <c:pt idx="225">
                  <c:v>4.2122588953502713E-3</c:v>
                </c:pt>
                <c:pt idx="226">
                  <c:v>4.3123353091682973E-3</c:v>
                </c:pt>
                <c:pt idx="227">
                  <c:v>4.439698164873382E-3</c:v>
                </c:pt>
                <c:pt idx="228">
                  <c:v>4.5947523885562459E-3</c:v>
                </c:pt>
                <c:pt idx="229">
                  <c:v>4.7779215999255026E-3</c:v>
                </c:pt>
                <c:pt idx="230">
                  <c:v>4.9896493744776204E-3</c:v>
                </c:pt>
                <c:pt idx="231">
                  <c:v>5.2304005609818457E-3</c:v>
                </c:pt>
                <c:pt idx="232">
                  <c:v>5.5006076622837411E-3</c:v>
                </c:pt>
                <c:pt idx="233">
                  <c:v>5.8061645296302164E-3</c:v>
                </c:pt>
                <c:pt idx="234">
                  <c:v>6.1382432229380775E-3</c:v>
                </c:pt>
                <c:pt idx="235">
                  <c:v>6.4973575554233909E-3</c:v>
                </c:pt>
                <c:pt idx="236">
                  <c:v>6.8840446332789854E-3</c:v>
                </c:pt>
                <c:pt idx="237">
                  <c:v>7.2988601371565343E-3</c:v>
                </c:pt>
                <c:pt idx="238">
                  <c:v>7.7423837443225197E-3</c:v>
                </c:pt>
                <c:pt idx="239">
                  <c:v>8.2109872660770019E-3</c:v>
                </c:pt>
                <c:pt idx="240">
                  <c:v>8.6875105229788606E-3</c:v>
                </c:pt>
                <c:pt idx="241">
                  <c:v>9.1721904296127883E-3</c:v>
                </c:pt>
                <c:pt idx="242">
                  <c:v>9.6652778597268018E-3</c:v>
                </c:pt>
                <c:pt idx="243">
                  <c:v>1.0167038354598656E-2</c:v>
                </c:pt>
                <c:pt idx="244">
                  <c:v>1.0677752876968693E-2</c:v>
                </c:pt>
                <c:pt idx="245">
                  <c:v>1.1197718622933698E-2</c:v>
                </c:pt>
                <c:pt idx="246">
                  <c:v>1.1727300162987545E-2</c:v>
                </c:pt>
                <c:pt idx="247">
                  <c:v>1.2268276770750413E-2</c:v>
                </c:pt>
                <c:pt idx="248">
                  <c:v>1.2814764685148597E-2</c:v>
                </c:pt>
                <c:pt idx="249">
                  <c:v>1.3366868977192191E-2</c:v>
                </c:pt>
                <c:pt idx="250">
                  <c:v>1.3924694501993127E-2</c:v>
                </c:pt>
                <c:pt idx="251">
                  <c:v>1.4488345192182665E-2</c:v>
                </c:pt>
                <c:pt idx="252">
                  <c:v>1.5057923329125238E-2</c:v>
                </c:pt>
                <c:pt idx="253">
                  <c:v>1.5619972818733938E-2</c:v>
                </c:pt>
                <c:pt idx="254">
                  <c:v>1.6179013175942381E-2</c:v>
                </c:pt>
                <c:pt idx="255">
                  <c:v>1.6734898433341482E-2</c:v>
                </c:pt>
                <c:pt idx="256">
                  <c:v>1.7287470356329659E-2</c:v>
                </c:pt>
                <c:pt idx="257">
                  <c:v>1.783655762928113E-2</c:v>
                </c:pt>
                <c:pt idx="258">
                  <c:v>1.8381975072033187E-2</c:v>
                </c:pt>
                <c:pt idx="259">
                  <c:v>1.8923522887931775E-2</c:v>
                </c:pt>
                <c:pt idx="260">
                  <c:v>1.9462686576004976E-2</c:v>
                </c:pt>
                <c:pt idx="261">
                  <c:v>1.9971513863671547E-2</c:v>
                </c:pt>
                <c:pt idx="262">
                  <c:v>2.0447297238131244E-2</c:v>
                </c:pt>
                <c:pt idx="263">
                  <c:v>2.088860795150221E-2</c:v>
                </c:pt>
                <c:pt idx="264">
                  <c:v>2.1293879735317659E-2</c:v>
                </c:pt>
                <c:pt idx="265">
                  <c:v>2.166152818978995E-2</c:v>
                </c:pt>
                <c:pt idx="266">
                  <c:v>2.198978944161804E-2</c:v>
                </c:pt>
                <c:pt idx="267">
                  <c:v>2.2261204918353476E-2</c:v>
                </c:pt>
                <c:pt idx="268">
                  <c:v>2.2488830878590316E-2</c:v>
                </c:pt>
                <c:pt idx="269">
                  <c:v>2.2670499276707751E-2</c:v>
                </c:pt>
                <c:pt idx="270">
                  <c:v>2.2803952818932736E-2</c:v>
                </c:pt>
                <c:pt idx="271">
                  <c:v>2.2886862054248339E-2</c:v>
                </c:pt>
                <c:pt idx="272">
                  <c:v>2.2916845511422763E-2</c:v>
                </c:pt>
                <c:pt idx="273">
                  <c:v>2.2891493155392247E-2</c:v>
                </c:pt>
                <c:pt idx="274">
                  <c:v>2.2810676887438087E-2</c:v>
                </c:pt>
                <c:pt idx="275">
                  <c:v>2.2672218151123528E-2</c:v>
                </c:pt>
                <c:pt idx="276">
                  <c:v>2.2508234008750433E-2</c:v>
                </c:pt>
                <c:pt idx="277">
                  <c:v>2.231814436303927E-2</c:v>
                </c:pt>
                <c:pt idx="278">
                  <c:v>2.2101377257354907E-2</c:v>
                </c:pt>
                <c:pt idx="279">
                  <c:v>2.1857370331277499E-2</c:v>
                </c:pt>
                <c:pt idx="280">
                  <c:v>2.1585572185214424E-2</c:v>
                </c:pt>
                <c:pt idx="281">
                  <c:v>2.1288985600721198E-2</c:v>
                </c:pt>
                <c:pt idx="282">
                  <c:v>2.0984780732845591E-2</c:v>
                </c:pt>
                <c:pt idx="283">
                  <c:v>2.0672952017838263E-2</c:v>
                </c:pt>
                <c:pt idx="284">
                  <c:v>2.0353505490761318E-2</c:v>
                </c:pt>
                <c:pt idx="285">
                  <c:v>2.0026458823488608E-2</c:v>
                </c:pt>
                <c:pt idx="286">
                  <c:v>1.9691841253615942E-2</c:v>
                </c:pt>
                <c:pt idx="287">
                  <c:v>1.9349693400718421E-2</c:v>
                </c:pt>
                <c:pt idx="288">
                  <c:v>1.9000366757180948E-2</c:v>
                </c:pt>
                <c:pt idx="289">
                  <c:v>1.8653735232553269E-2</c:v>
                </c:pt>
                <c:pt idx="290">
                  <c:v>1.8313015079679688E-2</c:v>
                </c:pt>
                <c:pt idx="291">
                  <c:v>1.7978426952981845E-2</c:v>
                </c:pt>
                <c:pt idx="292">
                  <c:v>1.7650201018534276E-2</c:v>
                </c:pt>
                <c:pt idx="293">
                  <c:v>1.7328576175614407E-2</c:v>
                </c:pt>
                <c:pt idx="294">
                  <c:v>1.7013799229832097E-2</c:v>
                </c:pt>
                <c:pt idx="295">
                  <c:v>1.6716913824796384E-2</c:v>
                </c:pt>
                <c:pt idx="296">
                  <c:v>1.6434630813104287E-2</c:v>
                </c:pt>
                <c:pt idx="297">
                  <c:v>1.6167484221522786E-2</c:v>
                </c:pt>
                <c:pt idx="298">
                  <c:v>1.5915870477786954E-2</c:v>
                </c:pt>
                <c:pt idx="299">
                  <c:v>1.5680187923825743E-2</c:v>
                </c:pt>
                <c:pt idx="300">
                  <c:v>1.5460835508773337E-2</c:v>
                </c:pt>
                <c:pt idx="301">
                  <c:v>1.5258211443106117E-2</c:v>
                </c:pt>
                <c:pt idx="302">
                  <c:v>1.5074037512562527E-2</c:v>
                </c:pt>
                <c:pt idx="303">
                  <c:v>1.492519332500084E-2</c:v>
                </c:pt>
                <c:pt idx="304">
                  <c:v>1.4801388111206563E-2</c:v>
                </c:pt>
                <c:pt idx="305">
                  <c:v>1.470280727586579E-2</c:v>
                </c:pt>
                <c:pt idx="306">
                  <c:v>1.4629637819384287E-2</c:v>
                </c:pt>
                <c:pt idx="307">
                  <c:v>1.4582061886347726E-2</c:v>
                </c:pt>
                <c:pt idx="308">
                  <c:v>1.4560249755549112E-2</c:v>
                </c:pt>
                <c:pt idx="309">
                  <c:v>1.4580145137810406E-2</c:v>
                </c:pt>
                <c:pt idx="310">
                  <c:v>1.463023241840869E-2</c:v>
                </c:pt>
                <c:pt idx="311">
                  <c:v>1.4710659884576448E-2</c:v>
                </c:pt>
                <c:pt idx="312">
                  <c:v>1.4821524794057902E-2</c:v>
                </c:pt>
                <c:pt idx="313">
                  <c:v>1.4962861398609624E-2</c:v>
                </c:pt>
                <c:pt idx="314">
                  <c:v>1.5134628176481762E-2</c:v>
                </c:pt>
                <c:pt idx="315">
                  <c:v>1.5336694386640133E-2</c:v>
                </c:pt>
                <c:pt idx="316">
                  <c:v>1.5570431894841013E-2</c:v>
                </c:pt>
                <c:pt idx="317">
                  <c:v>1.5830893788361378E-2</c:v>
                </c:pt>
                <c:pt idx="318">
                  <c:v>1.6101539246176515E-2</c:v>
                </c:pt>
                <c:pt idx="319">
                  <c:v>1.6382372418641891E-2</c:v>
                </c:pt>
                <c:pt idx="320">
                  <c:v>1.6673376316933646E-2</c:v>
                </c:pt>
                <c:pt idx="321">
                  <c:v>1.6974510587308544E-2</c:v>
                </c:pt>
                <c:pt idx="322">
                  <c:v>1.7285709190443494E-2</c:v>
                </c:pt>
                <c:pt idx="323">
                  <c:v>1.7588235981288163E-2</c:v>
                </c:pt>
                <c:pt idx="324">
                  <c:v>1.7864677876975352E-2</c:v>
                </c:pt>
                <c:pt idx="325">
                  <c:v>1.8114456691604271E-2</c:v>
                </c:pt>
                <c:pt idx="326">
                  <c:v>1.833687777444944E-2</c:v>
                </c:pt>
                <c:pt idx="327">
                  <c:v>1.8531317914949212E-2</c:v>
                </c:pt>
                <c:pt idx="328">
                  <c:v>1.8697251229434657E-2</c:v>
                </c:pt>
                <c:pt idx="329">
                  <c:v>1.8834159661078865E-2</c:v>
                </c:pt>
                <c:pt idx="330">
                  <c:v>1.8943065512609967E-2</c:v>
                </c:pt>
                <c:pt idx="331">
                  <c:v>1.9021275961785374E-2</c:v>
                </c:pt>
                <c:pt idx="332">
                  <c:v>1.9075034252042739E-2</c:v>
                </c:pt>
                <c:pt idx="333">
                  <c:v>1.9103481096222376E-2</c:v>
                </c:pt>
                <c:pt idx="334">
                  <c:v>1.9105739689127006E-2</c:v>
                </c:pt>
                <c:pt idx="335">
                  <c:v>1.9080927192127853E-2</c:v>
                </c:pt>
                <c:pt idx="336">
                  <c:v>1.9028167632819875E-2</c:v>
                </c:pt>
                <c:pt idx="337">
                  <c:v>1.8951341795528188E-2</c:v>
                </c:pt>
                <c:pt idx="338">
                  <c:v>1.8869150999642613E-2</c:v>
                </c:pt>
                <c:pt idx="339">
                  <c:v>1.878091188032182E-2</c:v>
                </c:pt>
                <c:pt idx="340">
                  <c:v>1.8685951443892478E-2</c:v>
                </c:pt>
                <c:pt idx="341">
                  <c:v>1.8583614722675883E-2</c:v>
                </c:pt>
                <c:pt idx="342">
                  <c:v>1.847327289820595E-2</c:v>
                </c:pt>
                <c:pt idx="343">
                  <c:v>1.8354331749390451E-2</c:v>
                </c:pt>
                <c:pt idx="344">
                  <c:v>1.8225493513140741E-2</c:v>
                </c:pt>
                <c:pt idx="345">
                  <c:v>1.8086608189417926E-2</c:v>
                </c:pt>
                <c:pt idx="346">
                  <c:v>1.7947374442756618E-2</c:v>
                </c:pt>
                <c:pt idx="347">
                  <c:v>1.7808894841952885E-2</c:v>
                </c:pt>
                <c:pt idx="348">
                  <c:v>1.7672244140122861E-2</c:v>
                </c:pt>
                <c:pt idx="349">
                  <c:v>1.7538463380139559E-2</c:v>
                </c:pt>
                <c:pt idx="350">
                  <c:v>1.7408555481335641E-2</c:v>
                </c:pt>
                <c:pt idx="351">
                  <c:v>1.7288376906530494E-2</c:v>
                </c:pt>
                <c:pt idx="352">
                  <c:v>1.7174166088062361E-2</c:v>
                </c:pt>
                <c:pt idx="353">
                  <c:v>1.7066792716835234E-2</c:v>
                </c:pt>
                <c:pt idx="354">
                  <c:v>1.6967085536801884E-2</c:v>
                </c:pt>
                <c:pt idx="355">
                  <c:v>1.6875834545053574E-2</c:v>
                </c:pt>
                <c:pt idx="356">
                  <c:v>1.6793677492525791E-2</c:v>
                </c:pt>
                <c:pt idx="357">
                  <c:v>1.6721434267509806E-2</c:v>
                </c:pt>
                <c:pt idx="358">
                  <c:v>1.6658239315400423E-2</c:v>
                </c:pt>
                <c:pt idx="359">
                  <c:v>1.660243846612431E-2</c:v>
                </c:pt>
                <c:pt idx="360">
                  <c:v>1.6557896322372995E-2</c:v>
                </c:pt>
                <c:pt idx="361">
                  <c:v>1.6519365780491967E-2</c:v>
                </c:pt>
                <c:pt idx="362">
                  <c:v>1.6486329414150076E-2</c:v>
                </c:pt>
                <c:pt idx="363">
                  <c:v>1.6458282795307522E-2</c:v>
                </c:pt>
                <c:pt idx="364">
                  <c:v>1.6434734241733091E-2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062264"/>
        <c:axId val="407062656"/>
      </c:lineChart>
      <c:dateAx>
        <c:axId val="4070622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7062656"/>
        <c:crosses val="autoZero"/>
        <c:auto val="1"/>
        <c:lblOffset val="100"/>
        <c:baseTimeUnit val="days"/>
        <c:majorUnit val="1"/>
        <c:majorTimeUnit val="months"/>
      </c:dateAx>
      <c:valAx>
        <c:axId val="4070626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7062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Maternelle Labège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2571.9526095709198</c:v>
                </c:pt>
                <c:pt idx="1">
                  <c:v>11150.279508002366</c:v>
                </c:pt>
                <c:pt idx="2">
                  <c:v>10956.955201205819</c:v>
                </c:pt>
                <c:pt idx="3">
                  <c:v>10754.081053226964</c:v>
                </c:pt>
                <c:pt idx="4">
                  <c:v>10796.211095101049</c:v>
                </c:pt>
                <c:pt idx="5">
                  <c:v>10729.194005614714</c:v>
                </c:pt>
                <c:pt idx="6">
                  <c:v>10722.818769885815</c:v>
                </c:pt>
                <c:pt idx="7">
                  <c:v>10686.938132441892</c:v>
                </c:pt>
                <c:pt idx="8">
                  <c:v>10660.419818611927</c:v>
                </c:pt>
                <c:pt idx="9">
                  <c:v>10631.078826595236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2567.5365045364997</c:v>
                </c:pt>
                <c:pt idx="1">
                  <c:v>11063.174174423748</c:v>
                </c:pt>
                <c:pt idx="2">
                  <c:v>10741.476597199891</c:v>
                </c:pt>
                <c:pt idx="3">
                  <c:v>10369.702944973364</c:v>
                </c:pt>
                <c:pt idx="4">
                  <c:v>10275.55684026277</c:v>
                </c:pt>
                <c:pt idx="5">
                  <c:v>10061.848667325261</c:v>
                </c:pt>
                <c:pt idx="6">
                  <c:v>9964.1648081323929</c:v>
                </c:pt>
                <c:pt idx="7">
                  <c:v>9844.2525127446679</c:v>
                </c:pt>
                <c:pt idx="8">
                  <c:v>9725.702392104231</c:v>
                </c:pt>
                <c:pt idx="9">
                  <c:v>9617.2077177363644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2520.0139999999992</c:v>
                </c:pt>
                <c:pt idx="1">
                  <c:v>10435.095000000001</c:v>
                </c:pt>
                <c:pt idx="2">
                  <c:v>9732.4080000000104</c:v>
                </c:pt>
                <c:pt idx="3">
                  <c:v>9702.1699999999983</c:v>
                </c:pt>
                <c:pt idx="4">
                  <c:v>9210.4259999999995</c:v>
                </c:pt>
                <c:pt idx="5">
                  <c:v>9398.4276015944106</c:v>
                </c:pt>
                <c:pt idx="6">
                  <c:v>8972.382489387699</c:v>
                </c:pt>
                <c:pt idx="7">
                  <c:v>9141.0834525378305</c:v>
                </c:pt>
                <c:pt idx="8">
                  <c:v>8670.8310021355592</c:v>
                </c:pt>
                <c:pt idx="9">
                  <c:v>8826.191753782603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2520.0139999999992</c:v>
                </c:pt>
                <c:pt idx="1">
                  <c:v>10433.274955877185</c:v>
                </c:pt>
                <c:pt idx="2">
                  <c:v>9659.9089488718801</c:v>
                </c:pt>
                <c:pt idx="3">
                  <c:v>8959.3239139295947</c:v>
                </c:pt>
                <c:pt idx="4">
                  <c:v>8633.1699194597877</c:v>
                </c:pt>
                <c:pt idx="5">
                  <c:v>8469.0508136321005</c:v>
                </c:pt>
                <c:pt idx="6">
                  <c:v>8233.3520218315789</c:v>
                </c:pt>
                <c:pt idx="7">
                  <c:v>8242.6767235785028</c:v>
                </c:pt>
                <c:pt idx="8">
                  <c:v>7990.2474013673855</c:v>
                </c:pt>
                <c:pt idx="9">
                  <c:v>7949.6153156763148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-0.14308307026988132</c:v>
                </c:pt>
                <c:pt idx="2">
                  <c:v>-7.5739763569482648</c:v>
                </c:pt>
                <c:pt idx="3">
                  <c:v>644.28772157133847</c:v>
                </c:pt>
                <c:pt idx="4">
                  <c:v>495.28300504935737</c:v>
                </c:pt>
                <c:pt idx="5">
                  <c:v>835.73535619422728</c:v>
                </c:pt>
                <c:pt idx="6">
                  <c:v>630.56535204016348</c:v>
                </c:pt>
                <c:pt idx="7">
                  <c:v>777.52182843251569</c:v>
                </c:pt>
                <c:pt idx="8">
                  <c:v>549.27378888059502</c:v>
                </c:pt>
                <c:pt idx="9">
                  <c:v>738.25206354144996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1.8686414751187357</c:v>
                </c:pt>
                <c:pt idx="2">
                  <c:v>72.872014961241121</c:v>
                </c:pt>
                <c:pt idx="3">
                  <c:v>83.540651782642328</c:v>
                </c:pt>
                <c:pt idx="4">
                  <c:v>64.954744971390653</c:v>
                </c:pt>
                <c:pt idx="5">
                  <c:v>76.039921496784757</c:v>
                </c:pt>
                <c:pt idx="6">
                  <c:v>85.250292153599759</c:v>
                </c:pt>
                <c:pt idx="7">
                  <c:v>92.555289894039362</c:v>
                </c:pt>
                <c:pt idx="8">
                  <c:v>99.66277656399231</c:v>
                </c:pt>
                <c:pt idx="9">
                  <c:v>98.539182759668847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100824"/>
        <c:axId val="406101216"/>
      </c:lineChart>
      <c:catAx>
        <c:axId val="406100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101216"/>
        <c:crosses val="autoZero"/>
        <c:auto val="1"/>
        <c:lblAlgn val="ctr"/>
        <c:lblOffset val="100"/>
        <c:noMultiLvlLbl val="0"/>
      </c:catAx>
      <c:valAx>
        <c:axId val="406101216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1008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15.914186047372315</c:v>
                </c:pt>
                <c:pt idx="1">
                  <c:v>16.02661856227606</c:v>
                </c:pt>
                <c:pt idx="2">
                  <c:v>16.145346507915662</c:v>
                </c:pt>
                <c:pt idx="3">
                  <c:v>16.270675357549859</c:v>
                </c:pt>
                <c:pt idx="4">
                  <c:v>16.402910373348725</c:v>
                </c:pt>
                <c:pt idx="5">
                  <c:v>16.542356616890114</c:v>
                </c:pt>
                <c:pt idx="6">
                  <c:v>16.689318937828041</c:v>
                </c:pt>
                <c:pt idx="7">
                  <c:v>16.844101994799271</c:v>
                </c:pt>
                <c:pt idx="8">
                  <c:v>17.007598020288494</c:v>
                </c:pt>
                <c:pt idx="9">
                  <c:v>17.180228032444532</c:v>
                </c:pt>
                <c:pt idx="10">
                  <c:v>17.36137153983406</c:v>
                </c:pt>
                <c:pt idx="11">
                  <c:v>17.550378615129354</c:v>
                </c:pt>
                <c:pt idx="12">
                  <c:v>17.746599522361265</c:v>
                </c:pt>
                <c:pt idx="13">
                  <c:v>17.949384715870941</c:v>
                </c:pt>
                <c:pt idx="14">
                  <c:v>18.158084851220565</c:v>
                </c:pt>
                <c:pt idx="15">
                  <c:v>18.372083326733595</c:v>
                </c:pt>
                <c:pt idx="16">
                  <c:v>18.590687942453535</c:v>
                </c:pt>
                <c:pt idx="17">
                  <c:v>18.813249948290395</c:v>
                </c:pt>
                <c:pt idx="18">
                  <c:v>19.039120808271235</c:v>
                </c:pt>
                <c:pt idx="19">
                  <c:v>19.267651503838575</c:v>
                </c:pt>
                <c:pt idx="20">
                  <c:v>19.498192968321948</c:v>
                </c:pt>
                <c:pt idx="21">
                  <c:v>19.730096959170307</c:v>
                </c:pt>
                <c:pt idx="22">
                  <c:v>19.964749581637147</c:v>
                </c:pt>
                <c:pt idx="23">
                  <c:v>20.203644153901479</c:v>
                </c:pt>
                <c:pt idx="24">
                  <c:v>20.446421622817191</c:v>
                </c:pt>
                <c:pt idx="25">
                  <c:v>20.692888459845747</c:v>
                </c:pt>
                <c:pt idx="26">
                  <c:v>20.942851244574467</c:v>
                </c:pt>
                <c:pt idx="27">
                  <c:v>21.196116669819279</c:v>
                </c:pt>
                <c:pt idx="28">
                  <c:v>21.452491543688041</c:v>
                </c:pt>
                <c:pt idx="29">
                  <c:v>21.711627305381</c:v>
                </c:pt>
                <c:pt idx="30">
                  <c:v>21.973298377299081</c:v>
                </c:pt>
                <c:pt idx="31">
                  <c:v>22.237311840387957</c:v>
                </c:pt>
                <c:pt idx="32">
                  <c:v>22.503474868077053</c:v>
                </c:pt>
                <c:pt idx="33">
                  <c:v>22.771594724486231</c:v>
                </c:pt>
                <c:pt idx="34">
                  <c:v>23.04147875888717</c:v>
                </c:pt>
                <c:pt idx="35">
                  <c:v>23.312934406810367</c:v>
                </c:pt>
                <c:pt idx="36">
                  <c:v>23.585417603368334</c:v>
                </c:pt>
                <c:pt idx="37">
                  <c:v>23.858711395801588</c:v>
                </c:pt>
                <c:pt idx="38">
                  <c:v>24.13339470495702</c:v>
                </c:pt>
                <c:pt idx="39">
                  <c:v>24.409850425760965</c:v>
                </c:pt>
                <c:pt idx="40">
                  <c:v>24.688461298448836</c:v>
                </c:pt>
                <c:pt idx="41">
                  <c:v>24.969609909147362</c:v>
                </c:pt>
                <c:pt idx="42">
                  <c:v>25.253678676238849</c:v>
                </c:pt>
                <c:pt idx="43">
                  <c:v>25.540992152368261</c:v>
                </c:pt>
                <c:pt idx="44">
                  <c:v>25.832088330428157</c:v>
                </c:pt>
                <c:pt idx="45">
                  <c:v>26.127349202545275</c:v>
                </c:pt>
                <c:pt idx="46">
                  <c:v>26.427156577281242</c:v>
                </c:pt>
                <c:pt idx="47">
                  <c:v>26.731892066849145</c:v>
                </c:pt>
                <c:pt idx="48">
                  <c:v>27.041937084994931</c:v>
                </c:pt>
                <c:pt idx="49">
                  <c:v>27.357672821501463</c:v>
                </c:pt>
                <c:pt idx="50">
                  <c:v>27.679352577952304</c:v>
                </c:pt>
                <c:pt idx="51">
                  <c:v>28.006699320802973</c:v>
                </c:pt>
                <c:pt idx="52">
                  <c:v>28.339385674662132</c:v>
                </c:pt>
                <c:pt idx="53">
                  <c:v>28.677027727243075</c:v>
                </c:pt>
                <c:pt idx="54">
                  <c:v>29.019240883371626</c:v>
                </c:pt>
                <c:pt idx="55">
                  <c:v>29.365640599038919</c:v>
                </c:pt>
                <c:pt idx="56">
                  <c:v>29.715842356294679</c:v>
                </c:pt>
                <c:pt idx="57">
                  <c:v>30.069506321499897</c:v>
                </c:pt>
                <c:pt idx="58">
                  <c:v>30.426306228918868</c:v>
                </c:pt>
                <c:pt idx="59">
                  <c:v>30.785857774259149</c:v>
                </c:pt>
                <c:pt idx="60">
                  <c:v>31.147776637394415</c:v>
                </c:pt>
                <c:pt idx="61">
                  <c:v>31.511678470502801</c:v>
                </c:pt>
                <c:pt idx="62">
                  <c:v>31.877178882009453</c:v>
                </c:pt>
                <c:pt idx="63">
                  <c:v>32.243893432006324</c:v>
                </c:pt>
                <c:pt idx="64">
                  <c:v>32.614051116007957</c:v>
                </c:pt>
                <c:pt idx="65">
                  <c:v>32.989836900093799</c:v>
                </c:pt>
                <c:pt idx="66">
                  <c:v>33.370502571702204</c:v>
                </c:pt>
                <c:pt idx="67">
                  <c:v>33.755280366969927</c:v>
                </c:pt>
                <c:pt idx="68">
                  <c:v>34.143402651835778</c:v>
                </c:pt>
                <c:pt idx="69">
                  <c:v>34.534101931076286</c:v>
                </c:pt>
                <c:pt idx="70">
                  <c:v>34.926610855481364</c:v>
                </c:pt>
                <c:pt idx="71">
                  <c:v>35.320527335896486</c:v>
                </c:pt>
                <c:pt idx="72">
                  <c:v>35.715040436944122</c:v>
                </c:pt>
                <c:pt idx="73">
                  <c:v>36.109384666661704</c:v>
                </c:pt>
                <c:pt idx="74">
                  <c:v>36.50279489958897</c:v>
                </c:pt>
                <c:pt idx="75">
                  <c:v>36.894506414494948</c:v>
                </c:pt>
                <c:pt idx="76">
                  <c:v>37.28375493721353</c:v>
                </c:pt>
                <c:pt idx="77">
                  <c:v>37.669776685040993</c:v>
                </c:pt>
                <c:pt idx="78">
                  <c:v>38.055993671829945</c:v>
                </c:pt>
                <c:pt idx="79">
                  <c:v>38.445752045524273</c:v>
                </c:pt>
                <c:pt idx="80">
                  <c:v>38.837784541223662</c:v>
                </c:pt>
                <c:pt idx="81">
                  <c:v>39.23104047167066</c:v>
                </c:pt>
                <c:pt idx="82">
                  <c:v>39.62446993831913</c:v>
                </c:pt>
                <c:pt idx="83">
                  <c:v>40.017023880709282</c:v>
                </c:pt>
                <c:pt idx="84">
                  <c:v>40.40765412694045</c:v>
                </c:pt>
                <c:pt idx="85">
                  <c:v>40.795220946740329</c:v>
                </c:pt>
                <c:pt idx="86">
                  <c:v>41.17830145109793</c:v>
                </c:pt>
                <c:pt idx="87">
                  <c:v>41.555846201354804</c:v>
                </c:pt>
                <c:pt idx="88">
                  <c:v>41.926806374903251</c:v>
                </c:pt>
                <c:pt idx="89">
                  <c:v>42.290133780340334</c:v>
                </c:pt>
                <c:pt idx="90">
                  <c:v>42.644780892581686</c:v>
                </c:pt>
                <c:pt idx="91">
                  <c:v>42.989700869680945</c:v>
                </c:pt>
                <c:pt idx="92">
                  <c:v>43.326262766837552</c:v>
                </c:pt>
                <c:pt idx="93">
                  <c:v>43.656642675521155</c:v>
                </c:pt>
                <c:pt idx="94">
                  <c:v>43.980815723405009</c:v>
                </c:pt>
                <c:pt idx="95">
                  <c:v>44.298878263124713</c:v>
                </c:pt>
                <c:pt idx="96">
                  <c:v>44.610926754465012</c:v>
                </c:pt>
                <c:pt idx="97">
                  <c:v>44.917057770068183</c:v>
                </c:pt>
                <c:pt idx="98">
                  <c:v>45.217368007600768</c:v>
                </c:pt>
                <c:pt idx="99">
                  <c:v>45.511897065203009</c:v>
                </c:pt>
                <c:pt idx="100">
                  <c:v>45.800839351337963</c:v>
                </c:pt>
                <c:pt idx="101">
                  <c:v>46.084292608799011</c:v>
                </c:pt>
                <c:pt idx="102">
                  <c:v>46.362354774414385</c:v>
                </c:pt>
                <c:pt idx="103">
                  <c:v>46.635123994229097</c:v>
                </c:pt>
                <c:pt idx="104">
                  <c:v>46.902698616123544</c:v>
                </c:pt>
                <c:pt idx="105">
                  <c:v>47.165177212566995</c:v>
                </c:pt>
                <c:pt idx="106">
                  <c:v>47.422420645898974</c:v>
                </c:pt>
                <c:pt idx="107">
                  <c:v>47.673918826773537</c:v>
                </c:pt>
                <c:pt idx="108">
                  <c:v>47.919620235764654</c:v>
                </c:pt>
                <c:pt idx="109">
                  <c:v>48.159520869467727</c:v>
                </c:pt>
                <c:pt idx="110">
                  <c:v>53.605804910088779</c:v>
                </c:pt>
                <c:pt idx="111">
                  <c:v>53.85104874594051</c:v>
                </c:pt>
                <c:pt idx="112">
                  <c:v>54.089869248066456</c:v>
                </c:pt>
                <c:pt idx="113">
                  <c:v>54.322063311961749</c:v>
                </c:pt>
                <c:pt idx="114">
                  <c:v>54.547693062077627</c:v>
                </c:pt>
                <c:pt idx="115">
                  <c:v>54.766750836120288</c:v>
                </c:pt>
                <c:pt idx="116">
                  <c:v>54.979227980742117</c:v>
                </c:pt>
                <c:pt idx="117">
                  <c:v>55.185114824370736</c:v>
                </c:pt>
                <c:pt idx="118">
                  <c:v>55.384400658208932</c:v>
                </c:pt>
                <c:pt idx="119">
                  <c:v>55.577073716175747</c:v>
                </c:pt>
                <c:pt idx="120">
                  <c:v>55.763576400589088</c:v>
                </c:pt>
                <c:pt idx="121">
                  <c:v>55.944211097469051</c:v>
                </c:pt>
                <c:pt idx="122">
                  <c:v>56.119142880271816</c:v>
                </c:pt>
                <c:pt idx="123">
                  <c:v>56.288158067982152</c:v>
                </c:pt>
                <c:pt idx="124">
                  <c:v>56.451042882532661</c:v>
                </c:pt>
                <c:pt idx="125">
                  <c:v>56.607583450940957</c:v>
                </c:pt>
                <c:pt idx="126">
                  <c:v>56.757565823676622</c:v>
                </c:pt>
                <c:pt idx="127">
                  <c:v>56.90078683276537</c:v>
                </c:pt>
                <c:pt idx="128">
                  <c:v>57.037267314255466</c:v>
                </c:pt>
                <c:pt idx="129">
                  <c:v>57.166802041390525</c:v>
                </c:pt>
                <c:pt idx="130">
                  <c:v>57.289186215184358</c:v>
                </c:pt>
                <c:pt idx="131">
                  <c:v>57.404215465891482</c:v>
                </c:pt>
                <c:pt idx="132">
                  <c:v>57.511685877290589</c:v>
                </c:pt>
                <c:pt idx="133">
                  <c:v>57.61139398729776</c:v>
                </c:pt>
                <c:pt idx="134">
                  <c:v>57.7027531701386</c:v>
                </c:pt>
                <c:pt idx="135">
                  <c:v>57.785624625562889</c:v>
                </c:pt>
                <c:pt idx="136">
                  <c:v>57.860433225991621</c:v>
                </c:pt>
                <c:pt idx="137">
                  <c:v>57.927605527337882</c:v>
                </c:pt>
                <c:pt idx="138">
                  <c:v>57.987567917409585</c:v>
                </c:pt>
                <c:pt idx="139">
                  <c:v>58.040746594888127</c:v>
                </c:pt>
                <c:pt idx="140">
                  <c:v>58.087567597472791</c:v>
                </c:pt>
                <c:pt idx="141">
                  <c:v>58.128510610321499</c:v>
                </c:pt>
                <c:pt idx="142">
                  <c:v>58.163991156079923</c:v>
                </c:pt>
                <c:pt idx="143">
                  <c:v>58.194437183255182</c:v>
                </c:pt>
                <c:pt idx="144">
                  <c:v>58.220275642136571</c:v>
                </c:pt>
                <c:pt idx="145">
                  <c:v>58.241933314240605</c:v>
                </c:pt>
                <c:pt idx="146">
                  <c:v>58.259836811691088</c:v>
                </c:pt>
                <c:pt idx="147">
                  <c:v>58.274412556731555</c:v>
                </c:pt>
                <c:pt idx="148">
                  <c:v>58.284367448225879</c:v>
                </c:pt>
                <c:pt idx="149">
                  <c:v>58.288380445507798</c:v>
                </c:pt>
                <c:pt idx="150">
                  <c:v>58.286743141554453</c:v>
                </c:pt>
                <c:pt idx="151">
                  <c:v>58.279780335771662</c:v>
                </c:pt>
                <c:pt idx="152">
                  <c:v>58.267816667927207</c:v>
                </c:pt>
                <c:pt idx="153">
                  <c:v>58.251176589803414</c:v>
                </c:pt>
                <c:pt idx="154">
                  <c:v>58.230184331736638</c:v>
                </c:pt>
                <c:pt idx="155">
                  <c:v>58.205182391777569</c:v>
                </c:pt>
                <c:pt idx="156">
                  <c:v>58.176429939012024</c:v>
                </c:pt>
                <c:pt idx="157">
                  <c:v>58.144248705316436</c:v>
                </c:pt>
                <c:pt idx="158">
                  <c:v>58.108960085330146</c:v>
                </c:pt>
                <c:pt idx="159">
                  <c:v>58.070885114356066</c:v>
                </c:pt>
                <c:pt idx="160">
                  <c:v>58.0303444371946</c:v>
                </c:pt>
                <c:pt idx="161">
                  <c:v>57.987658289042727</c:v>
                </c:pt>
                <c:pt idx="162">
                  <c:v>57.942368147230276</c:v>
                </c:pt>
                <c:pt idx="163">
                  <c:v>57.893832720328639</c:v>
                </c:pt>
                <c:pt idx="164">
                  <c:v>57.842014589621144</c:v>
                </c:pt>
                <c:pt idx="165">
                  <c:v>57.786922080634625</c:v>
                </c:pt>
                <c:pt idx="166">
                  <c:v>57.728563345167665</c:v>
                </c:pt>
                <c:pt idx="167">
                  <c:v>57.666946329969413</c:v>
                </c:pt>
                <c:pt idx="168">
                  <c:v>57.602078760509634</c:v>
                </c:pt>
                <c:pt idx="169">
                  <c:v>57.533993908108393</c:v>
                </c:pt>
                <c:pt idx="170">
                  <c:v>57.462677968222103</c:v>
                </c:pt>
                <c:pt idx="171">
                  <c:v>57.388137985814389</c:v>
                </c:pt>
                <c:pt idx="172">
                  <c:v>57.310380709192941</c:v>
                </c:pt>
                <c:pt idx="173">
                  <c:v>57.229415078246333</c:v>
                </c:pt>
                <c:pt idx="174">
                  <c:v>57.145249926416554</c:v>
                </c:pt>
                <c:pt idx="175">
                  <c:v>57.057891350407267</c:v>
                </c:pt>
                <c:pt idx="176">
                  <c:v>56.967345104603787</c:v>
                </c:pt>
                <c:pt idx="177">
                  <c:v>56.873571804939409</c:v>
                </c:pt>
                <c:pt idx="178">
                  <c:v>56.776122112171954</c:v>
                </c:pt>
                <c:pt idx="179">
                  <c:v>56.675511287374761</c:v>
                </c:pt>
                <c:pt idx="180">
                  <c:v>56.571745938129894</c:v>
                </c:pt>
                <c:pt idx="181">
                  <c:v>56.464832225592147</c:v>
                </c:pt>
                <c:pt idx="182">
                  <c:v>56.354775865143736</c:v>
                </c:pt>
                <c:pt idx="183">
                  <c:v>56.241637334303704</c:v>
                </c:pt>
                <c:pt idx="184">
                  <c:v>56.125391113081399</c:v>
                </c:pt>
                <c:pt idx="185">
                  <c:v>56.006040998816218</c:v>
                </c:pt>
                <c:pt idx="186">
                  <c:v>55.883590385606816</c:v>
                </c:pt>
                <c:pt idx="187">
                  <c:v>55.758042279392733</c:v>
                </c:pt>
                <c:pt idx="188">
                  <c:v>55.629399321931636</c:v>
                </c:pt>
                <c:pt idx="189">
                  <c:v>55.4976638054574</c:v>
                </c:pt>
                <c:pt idx="190">
                  <c:v>55.362168471616982</c:v>
                </c:pt>
                <c:pt idx="191">
                  <c:v>55.222536569493762</c:v>
                </c:pt>
                <c:pt idx="192">
                  <c:v>55.079050187091127</c:v>
                </c:pt>
                <c:pt idx="193">
                  <c:v>54.932019236508737</c:v>
                </c:pt>
                <c:pt idx="194">
                  <c:v>54.781753071034473</c:v>
                </c:pt>
                <c:pt idx="195">
                  <c:v>54.628560518340606</c:v>
                </c:pt>
                <c:pt idx="196">
                  <c:v>54.472749905667619</c:v>
                </c:pt>
                <c:pt idx="197">
                  <c:v>54.31467921801665</c:v>
                </c:pt>
                <c:pt idx="198">
                  <c:v>54.154597808069148</c:v>
                </c:pt>
                <c:pt idx="199">
                  <c:v>53.992812594668933</c:v>
                </c:pt>
                <c:pt idx="200">
                  <c:v>53.829630118518054</c:v>
                </c:pt>
                <c:pt idx="201">
                  <c:v>53.665356571018314</c:v>
                </c:pt>
                <c:pt idx="202">
                  <c:v>53.500297814992472</c:v>
                </c:pt>
                <c:pt idx="203">
                  <c:v>53.334759406134808</c:v>
                </c:pt>
                <c:pt idx="204">
                  <c:v>53.169166680065466</c:v>
                </c:pt>
                <c:pt idx="205">
                  <c:v>53.003441737254462</c:v>
                </c:pt>
                <c:pt idx="206">
                  <c:v>52.837082673680825</c:v>
                </c:pt>
                <c:pt idx="207">
                  <c:v>52.669674288109995</c:v>
                </c:pt>
                <c:pt idx="208">
                  <c:v>52.500802108583812</c:v>
                </c:pt>
                <c:pt idx="209">
                  <c:v>52.330052389383702</c:v>
                </c:pt>
                <c:pt idx="210">
                  <c:v>52.157012104843098</c:v>
                </c:pt>
                <c:pt idx="211">
                  <c:v>51.981163603318983</c:v>
                </c:pt>
                <c:pt idx="212">
                  <c:v>51.802038152303545</c:v>
                </c:pt>
                <c:pt idx="213">
                  <c:v>51.619219467051316</c:v>
                </c:pt>
                <c:pt idx="214">
                  <c:v>51.432292336480138</c:v>
                </c:pt>
                <c:pt idx="215">
                  <c:v>51.240842601246854</c:v>
                </c:pt>
                <c:pt idx="216">
                  <c:v>51.044457120787733</c:v>
                </c:pt>
                <c:pt idx="217">
                  <c:v>50.842723747910057</c:v>
                </c:pt>
                <c:pt idx="218">
                  <c:v>50.636474697873446</c:v>
                </c:pt>
                <c:pt idx="219">
                  <c:v>50.426301078173502</c:v>
                </c:pt>
                <c:pt idx="220">
                  <c:v>50.21213456751228</c:v>
                </c:pt>
                <c:pt idx="221">
                  <c:v>49.993872384050491</c:v>
                </c:pt>
                <c:pt idx="222">
                  <c:v>49.771412256615058</c:v>
                </c:pt>
                <c:pt idx="223">
                  <c:v>49.544652403365454</c:v>
                </c:pt>
                <c:pt idx="224">
                  <c:v>49.313491513577226</c:v>
                </c:pt>
                <c:pt idx="225">
                  <c:v>49.077025318598118</c:v>
                </c:pt>
                <c:pt idx="226">
                  <c:v>48.835280291271445</c:v>
                </c:pt>
                <c:pt idx="227">
                  <c:v>48.588159502677009</c:v>
                </c:pt>
                <c:pt idx="228">
                  <c:v>48.335566379972924</c:v>
                </c:pt>
                <c:pt idx="229">
                  <c:v>48.077404703042227</c:v>
                </c:pt>
                <c:pt idx="230">
                  <c:v>47.813578619415942</c:v>
                </c:pt>
                <c:pt idx="231">
                  <c:v>47.543992640095333</c:v>
                </c:pt>
                <c:pt idx="232">
                  <c:v>47.269026871902376</c:v>
                </c:pt>
                <c:pt idx="233">
                  <c:v>46.988803716361602</c:v>
                </c:pt>
                <c:pt idx="234">
                  <c:v>46.703671568205195</c:v>
                </c:pt>
                <c:pt idx="235">
                  <c:v>46.41353373337914</c:v>
                </c:pt>
                <c:pt idx="236">
                  <c:v>46.118293868575719</c:v>
                </c:pt>
                <c:pt idx="237">
                  <c:v>45.817856285241213</c:v>
                </c:pt>
                <c:pt idx="238">
                  <c:v>45.512125767904635</c:v>
                </c:pt>
                <c:pt idx="239">
                  <c:v>45.201200531862483</c:v>
                </c:pt>
                <c:pt idx="240">
                  <c:v>44.885788230639974</c:v>
                </c:pt>
                <c:pt idx="241">
                  <c:v>44.565794327486117</c:v>
                </c:pt>
                <c:pt idx="242">
                  <c:v>44.241124446509396</c:v>
                </c:pt>
                <c:pt idx="243">
                  <c:v>43.911684376831076</c:v>
                </c:pt>
                <c:pt idx="244">
                  <c:v>43.577380092488632</c:v>
                </c:pt>
                <c:pt idx="245">
                  <c:v>43.238117755336731</c:v>
                </c:pt>
                <c:pt idx="246">
                  <c:v>42.893617677523778</c:v>
                </c:pt>
                <c:pt idx="247">
                  <c:v>42.543741294667299</c:v>
                </c:pt>
                <c:pt idx="248">
                  <c:v>42.188964161504323</c:v>
                </c:pt>
                <c:pt idx="249">
                  <c:v>41.829499601487967</c:v>
                </c:pt>
                <c:pt idx="250">
                  <c:v>41.465560594586208</c:v>
                </c:pt>
                <c:pt idx="251">
                  <c:v>41.097359798734146</c:v>
                </c:pt>
                <c:pt idx="252">
                  <c:v>40.725109570312831</c:v>
                </c:pt>
                <c:pt idx="253">
                  <c:v>40.349577644144503</c:v>
                </c:pt>
                <c:pt idx="254">
                  <c:v>39.970781438307263</c:v>
                </c:pt>
                <c:pt idx="255">
                  <c:v>39.588931979615559</c:v>
                </c:pt>
                <c:pt idx="256">
                  <c:v>39.204239838812022</c:v>
                </c:pt>
                <c:pt idx="257">
                  <c:v>38.816915142305682</c:v>
                </c:pt>
                <c:pt idx="258">
                  <c:v>38.42716757491565</c:v>
                </c:pt>
                <c:pt idx="259">
                  <c:v>38.035206385045427</c:v>
                </c:pt>
                <c:pt idx="260">
                  <c:v>37.637886063916817</c:v>
                </c:pt>
                <c:pt idx="261">
                  <c:v>37.233918039459951</c:v>
                </c:pt>
                <c:pt idx="262">
                  <c:v>36.824674228953164</c:v>
                </c:pt>
                <c:pt idx="263">
                  <c:v>36.411469449127566</c:v>
                </c:pt>
                <c:pt idx="264">
                  <c:v>35.995616411317179</c:v>
                </c:pt>
                <c:pt idx="265">
                  <c:v>35.578421497976628</c:v>
                </c:pt>
                <c:pt idx="266">
                  <c:v>35.161190962875196</c:v>
                </c:pt>
                <c:pt idx="267">
                  <c:v>34.745782398486476</c:v>
                </c:pt>
                <c:pt idx="268">
                  <c:v>34.332949752857402</c:v>
                </c:pt>
                <c:pt idx="269">
                  <c:v>33.923994726640743</c:v>
                </c:pt>
                <c:pt idx="270">
                  <c:v>33.520216818988281</c:v>
                </c:pt>
                <c:pt idx="271">
                  <c:v>33.122913252883109</c:v>
                </c:pt>
                <c:pt idx="272">
                  <c:v>32.73337891272908</c:v>
                </c:pt>
                <c:pt idx="273">
                  <c:v>32.352906277969304</c:v>
                </c:pt>
                <c:pt idx="274">
                  <c:v>31.979508937811982</c:v>
                </c:pt>
                <c:pt idx="275">
                  <c:v>31.610415930943624</c:v>
                </c:pt>
                <c:pt idx="276">
                  <c:v>31.244533281464843</c:v>
                </c:pt>
                <c:pt idx="277">
                  <c:v>30.881849087597963</c:v>
                </c:pt>
                <c:pt idx="278">
                  <c:v>30.522350649410601</c:v>
                </c:pt>
                <c:pt idx="279">
                  <c:v>30.166024451192246</c:v>
                </c:pt>
                <c:pt idx="280">
                  <c:v>29.812856150332152</c:v>
                </c:pt>
                <c:pt idx="281">
                  <c:v>29.462723943678739</c:v>
                </c:pt>
                <c:pt idx="282">
                  <c:v>29.115089432856514</c:v>
                </c:pt>
                <c:pt idx="283">
                  <c:v>28.769943953318617</c:v>
                </c:pt>
                <c:pt idx="284">
                  <c:v>28.427278540072226</c:v>
                </c:pt>
                <c:pt idx="285">
                  <c:v>28.08708394639935</c:v>
                </c:pt>
                <c:pt idx="286">
                  <c:v>27.7493506678587</c:v>
                </c:pt>
                <c:pt idx="287">
                  <c:v>27.414068969090721</c:v>
                </c:pt>
                <c:pt idx="288">
                  <c:v>27.080793345295625</c:v>
                </c:pt>
                <c:pt idx="289">
                  <c:v>26.748950492516414</c:v>
                </c:pt>
                <c:pt idx="290">
                  <c:v>26.418652956128657</c:v>
                </c:pt>
                <c:pt idx="291">
                  <c:v>26.090097318889818</c:v>
                </c:pt>
                <c:pt idx="292">
                  <c:v>25.763480200409848</c:v>
                </c:pt>
                <c:pt idx="293">
                  <c:v>25.438998282834209</c:v>
                </c:pt>
                <c:pt idx="294">
                  <c:v>25.116848338942244</c:v>
                </c:pt>
                <c:pt idx="295">
                  <c:v>24.796955148132724</c:v>
                </c:pt>
                <c:pt idx="296">
                  <c:v>24.479614741304967</c:v>
                </c:pt>
                <c:pt idx="297">
                  <c:v>24.165024670510103</c:v>
                </c:pt>
                <c:pt idx="298">
                  <c:v>23.853386281092792</c:v>
                </c:pt>
                <c:pt idx="299">
                  <c:v>23.544901118311422</c:v>
                </c:pt>
                <c:pt idx="300">
                  <c:v>23.239770919275671</c:v>
                </c:pt>
                <c:pt idx="301">
                  <c:v>22.938197609828503</c:v>
                </c:pt>
                <c:pt idx="302">
                  <c:v>22.638361703663605</c:v>
                </c:pt>
                <c:pt idx="303">
                  <c:v>22.338430931719941</c:v>
                </c:pt>
                <c:pt idx="304">
                  <c:v>22.039357074558151</c:v>
                </c:pt>
                <c:pt idx="305">
                  <c:v>21.741847788885522</c:v>
                </c:pt>
                <c:pt idx="306">
                  <c:v>21.446610434141533</c:v>
                </c:pt>
                <c:pt idx="307">
                  <c:v>21.154352048698794</c:v>
                </c:pt>
                <c:pt idx="308">
                  <c:v>20.865779306147722</c:v>
                </c:pt>
                <c:pt idx="309">
                  <c:v>20.581268640279369</c:v>
                </c:pt>
                <c:pt idx="310">
                  <c:v>20.301779084817063</c:v>
                </c:pt>
                <c:pt idx="311">
                  <c:v>20.028017889537143</c:v>
                </c:pt>
                <c:pt idx="312">
                  <c:v>19.760691736694515</c:v>
                </c:pt>
                <c:pt idx="313">
                  <c:v>19.500506679262472</c:v>
                </c:pt>
                <c:pt idx="314">
                  <c:v>19.248168104087938</c:v>
                </c:pt>
                <c:pt idx="315">
                  <c:v>19.004380682310032</c:v>
                </c:pt>
                <c:pt idx="316">
                  <c:v>18.767881910404778</c:v>
                </c:pt>
                <c:pt idx="317">
                  <c:v>18.537136699733093</c:v>
                </c:pt>
                <c:pt idx="318">
                  <c:v>18.31256039721486</c:v>
                </c:pt>
                <c:pt idx="319">
                  <c:v>18.094248563495331</c:v>
                </c:pt>
                <c:pt idx="320">
                  <c:v>17.882296662010926</c:v>
                </c:pt>
                <c:pt idx="321">
                  <c:v>17.676800068437252</c:v>
                </c:pt>
                <c:pt idx="322">
                  <c:v>17.477854075477563</c:v>
                </c:pt>
                <c:pt idx="323">
                  <c:v>17.28588191583788</c:v>
                </c:pt>
                <c:pt idx="324">
                  <c:v>17.101269542494752</c:v>
                </c:pt>
                <c:pt idx="325">
                  <c:v>16.924100720398908</c:v>
                </c:pt>
                <c:pt idx="326">
                  <c:v>16.754461804612745</c:v>
                </c:pt>
                <c:pt idx="327">
                  <c:v>16.592438531039495</c:v>
                </c:pt>
                <c:pt idx="328">
                  <c:v>16.438115708811942</c:v>
                </c:pt>
                <c:pt idx="329">
                  <c:v>16.291578843936374</c:v>
                </c:pt>
                <c:pt idx="330">
                  <c:v>16.1515845038106</c:v>
                </c:pt>
                <c:pt idx="331">
                  <c:v>16.017213942621417</c:v>
                </c:pt>
                <c:pt idx="332">
                  <c:v>15.888838467434422</c:v>
                </c:pt>
                <c:pt idx="333">
                  <c:v>15.766947228524256</c:v>
                </c:pt>
                <c:pt idx="334">
                  <c:v>15.652029750841173</c:v>
                </c:pt>
                <c:pt idx="335">
                  <c:v>15.544575896854408</c:v>
                </c:pt>
                <c:pt idx="336">
                  <c:v>15.445075849821622</c:v>
                </c:pt>
                <c:pt idx="337">
                  <c:v>15.353945982514048</c:v>
                </c:pt>
                <c:pt idx="338">
                  <c:v>15.271374435627587</c:v>
                </c:pt>
                <c:pt idx="339">
                  <c:v>15.19785635278037</c:v>
                </c:pt>
                <c:pt idx="340">
                  <c:v>15.133886607428407</c:v>
                </c:pt>
                <c:pt idx="341">
                  <c:v>15.079959784362718</c:v>
                </c:pt>
                <c:pt idx="342">
                  <c:v>15.036570151198815</c:v>
                </c:pt>
                <c:pt idx="343">
                  <c:v>15.004211630717986</c:v>
                </c:pt>
                <c:pt idx="344">
                  <c:v>14.984003089253585</c:v>
                </c:pt>
                <c:pt idx="345">
                  <c:v>14.976156286276105</c:v>
                </c:pt>
                <c:pt idx="346">
                  <c:v>14.979674698930895</c:v>
                </c:pt>
                <c:pt idx="347">
                  <c:v>14.993693419955786</c:v>
                </c:pt>
                <c:pt idx="348">
                  <c:v>15.01734809479294</c:v>
                </c:pt>
                <c:pt idx="349">
                  <c:v>15.049774912181347</c:v>
                </c:pt>
                <c:pt idx="350">
                  <c:v>15.090110602040578</c:v>
                </c:pt>
                <c:pt idx="351">
                  <c:v>15.137417034576369</c:v>
                </c:pt>
                <c:pt idx="352">
                  <c:v>15.190903597205972</c:v>
                </c:pt>
                <c:pt idx="353">
                  <c:v>15.249708617991438</c:v>
                </c:pt>
                <c:pt idx="354">
                  <c:v>15.312970961636655</c:v>
                </c:pt>
                <c:pt idx="355">
                  <c:v>15.379830028197476</c:v>
                </c:pt>
                <c:pt idx="356">
                  <c:v>15.449427582269333</c:v>
                </c:pt>
                <c:pt idx="357">
                  <c:v>15.520902576812368</c:v>
                </c:pt>
                <c:pt idx="358">
                  <c:v>15.594810142921812</c:v>
                </c:pt>
                <c:pt idx="359">
                  <c:v>15.672488307472939</c:v>
                </c:pt>
                <c:pt idx="360">
                  <c:v>15.754182502511178</c:v>
                </c:pt>
                <c:pt idx="361">
                  <c:v>15.840283167284399</c:v>
                </c:pt>
                <c:pt idx="362">
                  <c:v>15.931105518639763</c:v>
                </c:pt>
                <c:pt idx="363">
                  <c:v>16.026964345351335</c:v>
                </c:pt>
                <c:pt idx="364">
                  <c:v>16.128174016821287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6.766</c:v>
                </c:pt>
                <c:pt idx="1">
                  <c:v>4.0440000000000005</c:v>
                </c:pt>
                <c:pt idx="2">
                  <c:v>16.231999999999999</c:v>
                </c:pt>
                <c:pt idx="3">
                  <c:v>13.509</c:v>
                </c:pt>
                <c:pt idx="4">
                  <c:v>2.8879999999999999</c:v>
                </c:pt>
                <c:pt idx="5">
                  <c:v>6.43</c:v>
                </c:pt>
                <c:pt idx="6">
                  <c:v>10.081</c:v>
                </c:pt>
                <c:pt idx="7">
                  <c:v>12.239000000000001</c:v>
                </c:pt>
                <c:pt idx="8">
                  <c:v>5.8180000000000005</c:v>
                </c:pt>
                <c:pt idx="9">
                  <c:v>5.15</c:v>
                </c:pt>
                <c:pt idx="10">
                  <c:v>4.923</c:v>
                </c:pt>
                <c:pt idx="11">
                  <c:v>9.5640000000000001</c:v>
                </c:pt>
                <c:pt idx="12">
                  <c:v>8.593</c:v>
                </c:pt>
                <c:pt idx="13">
                  <c:v>9.2650000000000006</c:v>
                </c:pt>
                <c:pt idx="14">
                  <c:v>12.258000000000001</c:v>
                </c:pt>
                <c:pt idx="15">
                  <c:v>11.261000000000001</c:v>
                </c:pt>
                <c:pt idx="16">
                  <c:v>8.3209999999999997</c:v>
                </c:pt>
                <c:pt idx="17">
                  <c:v>18.361000000000001</c:v>
                </c:pt>
                <c:pt idx="18">
                  <c:v>18.834</c:v>
                </c:pt>
                <c:pt idx="19">
                  <c:v>5.4859999999999998</c:v>
                </c:pt>
                <c:pt idx="20">
                  <c:v>10.048</c:v>
                </c:pt>
                <c:pt idx="21">
                  <c:v>6.016</c:v>
                </c:pt>
                <c:pt idx="22">
                  <c:v>6.9370000000000003</c:v>
                </c:pt>
                <c:pt idx="23">
                  <c:v>11.670999999999999</c:v>
                </c:pt>
                <c:pt idx="24">
                  <c:v>7.3310000000000004</c:v>
                </c:pt>
                <c:pt idx="25">
                  <c:v>14.099</c:v>
                </c:pt>
                <c:pt idx="26">
                  <c:v>5.4480000000000004</c:v>
                </c:pt>
                <c:pt idx="27">
                  <c:v>14.530000000000001</c:v>
                </c:pt>
                <c:pt idx="28">
                  <c:v>12.677</c:v>
                </c:pt>
                <c:pt idx="29">
                  <c:v>7.8740000000000006</c:v>
                </c:pt>
                <c:pt idx="30">
                  <c:v>7.6420000000000003</c:v>
                </c:pt>
                <c:pt idx="31">
                  <c:v>7.28</c:v>
                </c:pt>
                <c:pt idx="32">
                  <c:v>20.093</c:v>
                </c:pt>
                <c:pt idx="33">
                  <c:v>15.756</c:v>
                </c:pt>
                <c:pt idx="34">
                  <c:v>14.068</c:v>
                </c:pt>
                <c:pt idx="35">
                  <c:v>11</c:v>
                </c:pt>
                <c:pt idx="36">
                  <c:v>8.6910000000000007</c:v>
                </c:pt>
                <c:pt idx="37">
                  <c:v>13.992000000000001</c:v>
                </c:pt>
                <c:pt idx="38">
                  <c:v>4.5910000000000002</c:v>
                </c:pt>
                <c:pt idx="39">
                  <c:v>10.78</c:v>
                </c:pt>
                <c:pt idx="40">
                  <c:v>13.063000000000001</c:v>
                </c:pt>
                <c:pt idx="41">
                  <c:v>19.751000000000001</c:v>
                </c:pt>
                <c:pt idx="42">
                  <c:v>5.0760000000000005</c:v>
                </c:pt>
                <c:pt idx="43">
                  <c:v>7.1139999999999999</c:v>
                </c:pt>
                <c:pt idx="44">
                  <c:v>24.829000000000001</c:v>
                </c:pt>
                <c:pt idx="45">
                  <c:v>23.379000000000001</c:v>
                </c:pt>
                <c:pt idx="46">
                  <c:v>22.905999999999999</c:v>
                </c:pt>
                <c:pt idx="47">
                  <c:v>24.853000000000002</c:v>
                </c:pt>
                <c:pt idx="48">
                  <c:v>13.885</c:v>
                </c:pt>
                <c:pt idx="49">
                  <c:v>27.164000000000001</c:v>
                </c:pt>
                <c:pt idx="50">
                  <c:v>21.464000000000002</c:v>
                </c:pt>
                <c:pt idx="51">
                  <c:v>10.583</c:v>
                </c:pt>
                <c:pt idx="52">
                  <c:v>6.9729999999999999</c:v>
                </c:pt>
                <c:pt idx="53">
                  <c:v>24.052</c:v>
                </c:pt>
                <c:pt idx="54">
                  <c:v>28.39</c:v>
                </c:pt>
                <c:pt idx="55">
                  <c:v>25.523</c:v>
                </c:pt>
                <c:pt idx="56">
                  <c:v>7.8090000000000002</c:v>
                </c:pt>
                <c:pt idx="57">
                  <c:v>30.073</c:v>
                </c:pt>
                <c:pt idx="58">
                  <c:v>26.157</c:v>
                </c:pt>
                <c:pt idx="59">
                  <c:v>27.775000000000002</c:v>
                </c:pt>
                <c:pt idx="60">
                  <c:v>14.641</c:v>
                </c:pt>
                <c:pt idx="61">
                  <c:v>13.854000000000001</c:v>
                </c:pt>
                <c:pt idx="62">
                  <c:v>24.709</c:v>
                </c:pt>
                <c:pt idx="63">
                  <c:v>28.782</c:v>
                </c:pt>
                <c:pt idx="64">
                  <c:v>10.26</c:v>
                </c:pt>
                <c:pt idx="65">
                  <c:v>9.5540000000000003</c:v>
                </c:pt>
                <c:pt idx="66">
                  <c:v>23.100999999999999</c:v>
                </c:pt>
                <c:pt idx="67">
                  <c:v>32.805</c:v>
                </c:pt>
                <c:pt idx="68">
                  <c:v>32.849000000000004</c:v>
                </c:pt>
                <c:pt idx="69">
                  <c:v>25.554000000000002</c:v>
                </c:pt>
                <c:pt idx="70">
                  <c:v>28.837</c:v>
                </c:pt>
                <c:pt idx="71">
                  <c:v>32.744</c:v>
                </c:pt>
                <c:pt idx="72">
                  <c:v>24.565000000000001</c:v>
                </c:pt>
                <c:pt idx="73">
                  <c:v>17.262</c:v>
                </c:pt>
                <c:pt idx="74">
                  <c:v>26.901</c:v>
                </c:pt>
                <c:pt idx="75">
                  <c:v>21.579000000000001</c:v>
                </c:pt>
                <c:pt idx="76">
                  <c:v>17.647000000000002</c:v>
                </c:pt>
                <c:pt idx="77">
                  <c:v>8.9489999999999998</c:v>
                </c:pt>
                <c:pt idx="78">
                  <c:v>36.721000000000004</c:v>
                </c:pt>
                <c:pt idx="79">
                  <c:v>30.740000000000002</c:v>
                </c:pt>
                <c:pt idx="80">
                  <c:v>35.447000000000003</c:v>
                </c:pt>
                <c:pt idx="81">
                  <c:v>40.264000000000003</c:v>
                </c:pt>
                <c:pt idx="82">
                  <c:v>39.631</c:v>
                </c:pt>
                <c:pt idx="83">
                  <c:v>32.26</c:v>
                </c:pt>
                <c:pt idx="84">
                  <c:v>31.670999999999999</c:v>
                </c:pt>
                <c:pt idx="85">
                  <c:v>38.201999999999998</c:v>
                </c:pt>
                <c:pt idx="86">
                  <c:v>40.634999999999998</c:v>
                </c:pt>
                <c:pt idx="87">
                  <c:v>42.273000000000003</c:v>
                </c:pt>
                <c:pt idx="88">
                  <c:v>39.154000000000003</c:v>
                </c:pt>
                <c:pt idx="89">
                  <c:v>38.038000000000004</c:v>
                </c:pt>
                <c:pt idx="90">
                  <c:v>38.94</c:v>
                </c:pt>
                <c:pt idx="91">
                  <c:v>35.805</c:v>
                </c:pt>
                <c:pt idx="92">
                  <c:v>43.35</c:v>
                </c:pt>
                <c:pt idx="93">
                  <c:v>42.987000000000002</c:v>
                </c:pt>
                <c:pt idx="94">
                  <c:v>42.486000000000004</c:v>
                </c:pt>
                <c:pt idx="95">
                  <c:v>32.090000000000003</c:v>
                </c:pt>
                <c:pt idx="96">
                  <c:v>45.688000000000002</c:v>
                </c:pt>
                <c:pt idx="97">
                  <c:v>43.783999999999999</c:v>
                </c:pt>
                <c:pt idx="98">
                  <c:v>26.622</c:v>
                </c:pt>
                <c:pt idx="99">
                  <c:v>29.611000000000001</c:v>
                </c:pt>
                <c:pt idx="100">
                  <c:v>7.8890000000000002</c:v>
                </c:pt>
                <c:pt idx="101">
                  <c:v>38.422000000000004</c:v>
                </c:pt>
                <c:pt idx="102">
                  <c:v>41.649000000000001</c:v>
                </c:pt>
                <c:pt idx="103">
                  <c:v>46.902999999999999</c:v>
                </c:pt>
                <c:pt idx="104">
                  <c:v>47.861000000000004</c:v>
                </c:pt>
                <c:pt idx="105">
                  <c:v>39.547000000000004</c:v>
                </c:pt>
                <c:pt idx="106">
                  <c:v>41.148000000000003</c:v>
                </c:pt>
                <c:pt idx="107">
                  <c:v>34.015999999999998</c:v>
                </c:pt>
                <c:pt idx="108">
                  <c:v>48.085999999999999</c:v>
                </c:pt>
                <c:pt idx="109">
                  <c:v>33.015000000000001</c:v>
                </c:pt>
                <c:pt idx="110">
                  <c:v>51.613</c:v>
                </c:pt>
                <c:pt idx="111">
                  <c:v>54.535000000000004</c:v>
                </c:pt>
                <c:pt idx="112">
                  <c:v>54.679000000000002</c:v>
                </c:pt>
                <c:pt idx="113">
                  <c:v>49.99</c:v>
                </c:pt>
                <c:pt idx="114">
                  <c:v>27.757000000000001</c:v>
                </c:pt>
                <c:pt idx="115">
                  <c:v>7.6459999999999999</c:v>
                </c:pt>
                <c:pt idx="116">
                  <c:v>19.516999999999999</c:v>
                </c:pt>
                <c:pt idx="117">
                  <c:v>18.054000000000002</c:v>
                </c:pt>
                <c:pt idx="118">
                  <c:v>26.696999999999999</c:v>
                </c:pt>
                <c:pt idx="119">
                  <c:v>16.596</c:v>
                </c:pt>
                <c:pt idx="120">
                  <c:v>19.331</c:v>
                </c:pt>
                <c:pt idx="121">
                  <c:v>46.535000000000004</c:v>
                </c:pt>
                <c:pt idx="122">
                  <c:v>54.785000000000004</c:v>
                </c:pt>
                <c:pt idx="123">
                  <c:v>48.573</c:v>
                </c:pt>
                <c:pt idx="124">
                  <c:v>34.103000000000002</c:v>
                </c:pt>
                <c:pt idx="125">
                  <c:v>32.237000000000002</c:v>
                </c:pt>
                <c:pt idx="126">
                  <c:v>29.759</c:v>
                </c:pt>
                <c:pt idx="127">
                  <c:v>52.555</c:v>
                </c:pt>
                <c:pt idx="128">
                  <c:v>20.966999999999999</c:v>
                </c:pt>
                <c:pt idx="129">
                  <c:v>39.752000000000002</c:v>
                </c:pt>
                <c:pt idx="130">
                  <c:v>38.5</c:v>
                </c:pt>
                <c:pt idx="131">
                  <c:v>40.436</c:v>
                </c:pt>
                <c:pt idx="132">
                  <c:v>39.789000000000001</c:v>
                </c:pt>
                <c:pt idx="133">
                  <c:v>43.003999999999998</c:v>
                </c:pt>
                <c:pt idx="134">
                  <c:v>20.925000000000001</c:v>
                </c:pt>
                <c:pt idx="135">
                  <c:v>13.415000000000001</c:v>
                </c:pt>
                <c:pt idx="136">
                  <c:v>56.362000000000002</c:v>
                </c:pt>
                <c:pt idx="137">
                  <c:v>34.85</c:v>
                </c:pt>
                <c:pt idx="138">
                  <c:v>43.606999999999999</c:v>
                </c:pt>
                <c:pt idx="139">
                  <c:v>57.79</c:v>
                </c:pt>
                <c:pt idx="140">
                  <c:v>35.670999999999999</c:v>
                </c:pt>
                <c:pt idx="141">
                  <c:v>28.405000000000001</c:v>
                </c:pt>
                <c:pt idx="142">
                  <c:v>37.276000000000003</c:v>
                </c:pt>
                <c:pt idx="143">
                  <c:v>30.303000000000001</c:v>
                </c:pt>
                <c:pt idx="144">
                  <c:v>47.463000000000001</c:v>
                </c:pt>
                <c:pt idx="145">
                  <c:v>50.503999999999998</c:v>
                </c:pt>
                <c:pt idx="146">
                  <c:v>56.253</c:v>
                </c:pt>
                <c:pt idx="147">
                  <c:v>48.453000000000003</c:v>
                </c:pt>
                <c:pt idx="148">
                  <c:v>37.166000000000004</c:v>
                </c:pt>
                <c:pt idx="149">
                  <c:v>51.319000000000003</c:v>
                </c:pt>
                <c:pt idx="150">
                  <c:v>56.136000000000003</c:v>
                </c:pt>
                <c:pt idx="151">
                  <c:v>34.390999999999998</c:v>
                </c:pt>
                <c:pt idx="152">
                  <c:v>48.814</c:v>
                </c:pt>
                <c:pt idx="153">
                  <c:v>50.780999999999999</c:v>
                </c:pt>
                <c:pt idx="154">
                  <c:v>8.5470000000000006</c:v>
                </c:pt>
                <c:pt idx="155">
                  <c:v>42.480000000000004</c:v>
                </c:pt>
                <c:pt idx="156">
                  <c:v>42.94</c:v>
                </c:pt>
                <c:pt idx="157">
                  <c:v>48.292999999999999</c:v>
                </c:pt>
                <c:pt idx="158">
                  <c:v>57.863</c:v>
                </c:pt>
                <c:pt idx="159">
                  <c:v>55.573</c:v>
                </c:pt>
                <c:pt idx="160">
                  <c:v>55.39</c:v>
                </c:pt>
                <c:pt idx="161">
                  <c:v>48.686999999999998</c:v>
                </c:pt>
                <c:pt idx="162">
                  <c:v>48.444000000000003</c:v>
                </c:pt>
                <c:pt idx="163">
                  <c:v>55.309000000000005</c:v>
                </c:pt>
                <c:pt idx="164">
                  <c:v>50.667000000000002</c:v>
                </c:pt>
                <c:pt idx="165">
                  <c:v>50.311999999999998</c:v>
                </c:pt>
                <c:pt idx="166">
                  <c:v>44.533999999999999</c:v>
                </c:pt>
                <c:pt idx="167">
                  <c:v>15.1</c:v>
                </c:pt>
                <c:pt idx="168">
                  <c:v>42.462000000000003</c:v>
                </c:pt>
                <c:pt idx="169">
                  <c:v>32.734000000000002</c:v>
                </c:pt>
                <c:pt idx="170">
                  <c:v>34.346000000000004</c:v>
                </c:pt>
                <c:pt idx="171">
                  <c:v>33.436999999999998</c:v>
                </c:pt>
                <c:pt idx="172">
                  <c:v>36.136000000000003</c:v>
                </c:pt>
                <c:pt idx="173">
                  <c:v>23.275000000000002</c:v>
                </c:pt>
                <c:pt idx="174">
                  <c:v>39.286999999999999</c:v>
                </c:pt>
                <c:pt idx="175">
                  <c:v>54.218000000000004</c:v>
                </c:pt>
                <c:pt idx="176">
                  <c:v>53.948999999999998</c:v>
                </c:pt>
                <c:pt idx="177">
                  <c:v>8.8480000000000008</c:v>
                </c:pt>
                <c:pt idx="178">
                  <c:v>34.265999999999998</c:v>
                </c:pt>
                <c:pt idx="179">
                  <c:v>40.185000000000002</c:v>
                </c:pt>
                <c:pt idx="180">
                  <c:v>47.246000000000002</c:v>
                </c:pt>
                <c:pt idx="181">
                  <c:v>49.972999999999999</c:v>
                </c:pt>
                <c:pt idx="182">
                  <c:v>50.288000000000004</c:v>
                </c:pt>
                <c:pt idx="183">
                  <c:v>33.856999999999999</c:v>
                </c:pt>
                <c:pt idx="184">
                  <c:v>37.253999999999998</c:v>
                </c:pt>
                <c:pt idx="185">
                  <c:v>55.042999999999999</c:v>
                </c:pt>
                <c:pt idx="186">
                  <c:v>20.876999999999999</c:v>
                </c:pt>
                <c:pt idx="187">
                  <c:v>37.427999999999997</c:v>
                </c:pt>
                <c:pt idx="188">
                  <c:v>47.536000000000001</c:v>
                </c:pt>
                <c:pt idx="189">
                  <c:v>56.085000000000001</c:v>
                </c:pt>
                <c:pt idx="190">
                  <c:v>48.658000000000001</c:v>
                </c:pt>
                <c:pt idx="191">
                  <c:v>48.435000000000002</c:v>
                </c:pt>
                <c:pt idx="192">
                  <c:v>13.38</c:v>
                </c:pt>
                <c:pt idx="193">
                  <c:v>24.616</c:v>
                </c:pt>
                <c:pt idx="194">
                  <c:v>28.054000000000002</c:v>
                </c:pt>
                <c:pt idx="195">
                  <c:v>38.853000000000002</c:v>
                </c:pt>
                <c:pt idx="196">
                  <c:v>38.856000000000002</c:v>
                </c:pt>
                <c:pt idx="197">
                  <c:v>54.582000000000001</c:v>
                </c:pt>
                <c:pt idx="198">
                  <c:v>48.32</c:v>
                </c:pt>
                <c:pt idx="199">
                  <c:v>52.624000000000002</c:v>
                </c:pt>
                <c:pt idx="200">
                  <c:v>42.160000000000004</c:v>
                </c:pt>
                <c:pt idx="201">
                  <c:v>43.579000000000001</c:v>
                </c:pt>
                <c:pt idx="202">
                  <c:v>48.22</c:v>
                </c:pt>
                <c:pt idx="203">
                  <c:v>40.584000000000003</c:v>
                </c:pt>
                <c:pt idx="204">
                  <c:v>27.195</c:v>
                </c:pt>
                <c:pt idx="205">
                  <c:v>33.085000000000001</c:v>
                </c:pt>
                <c:pt idx="206">
                  <c:v>31.12</c:v>
                </c:pt>
                <c:pt idx="207">
                  <c:v>41.966000000000001</c:v>
                </c:pt>
                <c:pt idx="208">
                  <c:v>23.567</c:v>
                </c:pt>
                <c:pt idx="209">
                  <c:v>49.442</c:v>
                </c:pt>
                <c:pt idx="210">
                  <c:v>17.988</c:v>
                </c:pt>
                <c:pt idx="211">
                  <c:v>12.396000000000001</c:v>
                </c:pt>
                <c:pt idx="212">
                  <c:v>42.828000000000003</c:v>
                </c:pt>
                <c:pt idx="213">
                  <c:v>42.904000000000003</c:v>
                </c:pt>
                <c:pt idx="214">
                  <c:v>33.920999999999999</c:v>
                </c:pt>
                <c:pt idx="215">
                  <c:v>34.280999999999999</c:v>
                </c:pt>
                <c:pt idx="216">
                  <c:v>46.018000000000001</c:v>
                </c:pt>
                <c:pt idx="217">
                  <c:v>19.891999999999999</c:v>
                </c:pt>
                <c:pt idx="218">
                  <c:v>23.695</c:v>
                </c:pt>
                <c:pt idx="219">
                  <c:v>32.587000000000003</c:v>
                </c:pt>
                <c:pt idx="220">
                  <c:v>47.789000000000001</c:v>
                </c:pt>
                <c:pt idx="221">
                  <c:v>44.487000000000002</c:v>
                </c:pt>
                <c:pt idx="222">
                  <c:v>43.667000000000002</c:v>
                </c:pt>
                <c:pt idx="223">
                  <c:v>42.338999999999999</c:v>
                </c:pt>
                <c:pt idx="224">
                  <c:v>31.990000000000002</c:v>
                </c:pt>
                <c:pt idx="225">
                  <c:v>42.786000000000001</c:v>
                </c:pt>
                <c:pt idx="226">
                  <c:v>19.312999999999999</c:v>
                </c:pt>
                <c:pt idx="227">
                  <c:v>29.653000000000002</c:v>
                </c:pt>
                <c:pt idx="228">
                  <c:v>36.599000000000004</c:v>
                </c:pt>
                <c:pt idx="229">
                  <c:v>47.423000000000002</c:v>
                </c:pt>
                <c:pt idx="230">
                  <c:v>39.771000000000001</c:v>
                </c:pt>
                <c:pt idx="231">
                  <c:v>44.238</c:v>
                </c:pt>
                <c:pt idx="232">
                  <c:v>41.875</c:v>
                </c:pt>
                <c:pt idx="233">
                  <c:v>19.477</c:v>
                </c:pt>
                <c:pt idx="234">
                  <c:v>44.170999999999999</c:v>
                </c:pt>
                <c:pt idx="235">
                  <c:v>41.201000000000001</c:v>
                </c:pt>
                <c:pt idx="236">
                  <c:v>41.100999999999999</c:v>
                </c:pt>
                <c:pt idx="237">
                  <c:v>43.304000000000002</c:v>
                </c:pt>
                <c:pt idx="238">
                  <c:v>38.058999999999997</c:v>
                </c:pt>
                <c:pt idx="239">
                  <c:v>44.09</c:v>
                </c:pt>
                <c:pt idx="240">
                  <c:v>43.097999999999999</c:v>
                </c:pt>
                <c:pt idx="241">
                  <c:v>42.230000000000004</c:v>
                </c:pt>
                <c:pt idx="242">
                  <c:v>41.755000000000003</c:v>
                </c:pt>
                <c:pt idx="243">
                  <c:v>29.131</c:v>
                </c:pt>
                <c:pt idx="244">
                  <c:v>17.891999999999999</c:v>
                </c:pt>
                <c:pt idx="245">
                  <c:v>28.762</c:v>
                </c:pt>
                <c:pt idx="246">
                  <c:v>35.798999999999999</c:v>
                </c:pt>
                <c:pt idx="247">
                  <c:v>36.18</c:v>
                </c:pt>
                <c:pt idx="248">
                  <c:v>38.731999999999999</c:v>
                </c:pt>
                <c:pt idx="249">
                  <c:v>30.938000000000002</c:v>
                </c:pt>
                <c:pt idx="250">
                  <c:v>26.878</c:v>
                </c:pt>
                <c:pt idx="251">
                  <c:v>17.067</c:v>
                </c:pt>
                <c:pt idx="252">
                  <c:v>35.68</c:v>
                </c:pt>
                <c:pt idx="253">
                  <c:v>34.497</c:v>
                </c:pt>
                <c:pt idx="254">
                  <c:v>37.545000000000002</c:v>
                </c:pt>
                <c:pt idx="255">
                  <c:v>26.98</c:v>
                </c:pt>
                <c:pt idx="256">
                  <c:v>15.707000000000001</c:v>
                </c:pt>
                <c:pt idx="257">
                  <c:v>27.594999999999999</c:v>
                </c:pt>
                <c:pt idx="258">
                  <c:v>18.458000000000002</c:v>
                </c:pt>
                <c:pt idx="259">
                  <c:v>36.180999999999997</c:v>
                </c:pt>
                <c:pt idx="260">
                  <c:v>7.508</c:v>
                </c:pt>
                <c:pt idx="261">
                  <c:v>30.058</c:v>
                </c:pt>
                <c:pt idx="262">
                  <c:v>27.592000000000002</c:v>
                </c:pt>
                <c:pt idx="263">
                  <c:v>12.514000000000001</c:v>
                </c:pt>
                <c:pt idx="264">
                  <c:v>34.180999999999997</c:v>
                </c:pt>
                <c:pt idx="265">
                  <c:v>29.443999999999999</c:v>
                </c:pt>
                <c:pt idx="266">
                  <c:v>29.615000000000002</c:v>
                </c:pt>
                <c:pt idx="267">
                  <c:v>27.888999999999999</c:v>
                </c:pt>
                <c:pt idx="268">
                  <c:v>29.677</c:v>
                </c:pt>
                <c:pt idx="269">
                  <c:v>18.818999999999999</c:v>
                </c:pt>
                <c:pt idx="270">
                  <c:v>21.603000000000002</c:v>
                </c:pt>
                <c:pt idx="271">
                  <c:v>24.558</c:v>
                </c:pt>
                <c:pt idx="272">
                  <c:v>15.860000000000001</c:v>
                </c:pt>
                <c:pt idx="273">
                  <c:v>26.119</c:v>
                </c:pt>
                <c:pt idx="274">
                  <c:v>31.122</c:v>
                </c:pt>
                <c:pt idx="275">
                  <c:v>6.4160000000000004</c:v>
                </c:pt>
                <c:pt idx="276">
                  <c:v>26.84</c:v>
                </c:pt>
                <c:pt idx="277">
                  <c:v>12.779</c:v>
                </c:pt>
                <c:pt idx="278">
                  <c:v>21.024000000000001</c:v>
                </c:pt>
                <c:pt idx="279">
                  <c:v>30.37</c:v>
                </c:pt>
                <c:pt idx="280">
                  <c:v>26.772000000000002</c:v>
                </c:pt>
                <c:pt idx="281">
                  <c:v>14.663</c:v>
                </c:pt>
                <c:pt idx="282">
                  <c:v>24.408000000000001</c:v>
                </c:pt>
                <c:pt idx="283">
                  <c:v>29.157</c:v>
                </c:pt>
                <c:pt idx="284">
                  <c:v>28.045000000000002</c:v>
                </c:pt>
                <c:pt idx="285">
                  <c:v>27.475999999999999</c:v>
                </c:pt>
                <c:pt idx="286">
                  <c:v>28.597999999999999</c:v>
                </c:pt>
                <c:pt idx="287">
                  <c:v>24.929000000000002</c:v>
                </c:pt>
                <c:pt idx="288">
                  <c:v>26.713000000000001</c:v>
                </c:pt>
                <c:pt idx="289">
                  <c:v>24.748000000000001</c:v>
                </c:pt>
                <c:pt idx="290">
                  <c:v>26.17</c:v>
                </c:pt>
                <c:pt idx="291">
                  <c:v>25.651</c:v>
                </c:pt>
                <c:pt idx="292">
                  <c:v>19.53</c:v>
                </c:pt>
                <c:pt idx="293">
                  <c:v>13.747</c:v>
                </c:pt>
                <c:pt idx="294">
                  <c:v>10.676</c:v>
                </c:pt>
                <c:pt idx="295">
                  <c:v>25.939</c:v>
                </c:pt>
                <c:pt idx="296">
                  <c:v>25.016000000000002</c:v>
                </c:pt>
                <c:pt idx="297">
                  <c:v>22.776</c:v>
                </c:pt>
                <c:pt idx="298">
                  <c:v>21.768000000000001</c:v>
                </c:pt>
                <c:pt idx="299">
                  <c:v>21.772000000000002</c:v>
                </c:pt>
                <c:pt idx="300">
                  <c:v>22.853999999999999</c:v>
                </c:pt>
                <c:pt idx="301">
                  <c:v>14.004</c:v>
                </c:pt>
                <c:pt idx="302">
                  <c:v>8.8170000000000002</c:v>
                </c:pt>
                <c:pt idx="303">
                  <c:v>14.671000000000001</c:v>
                </c:pt>
                <c:pt idx="304">
                  <c:v>14.8</c:v>
                </c:pt>
                <c:pt idx="305">
                  <c:v>20.654</c:v>
                </c:pt>
                <c:pt idx="306">
                  <c:v>13.46</c:v>
                </c:pt>
                <c:pt idx="307">
                  <c:v>13.512</c:v>
                </c:pt>
                <c:pt idx="308">
                  <c:v>10.007</c:v>
                </c:pt>
                <c:pt idx="309">
                  <c:v>11.595000000000001</c:v>
                </c:pt>
                <c:pt idx="310">
                  <c:v>7.7709999999999999</c:v>
                </c:pt>
                <c:pt idx="311">
                  <c:v>17.809999999999999</c:v>
                </c:pt>
                <c:pt idx="312">
                  <c:v>15.3</c:v>
                </c:pt>
                <c:pt idx="313">
                  <c:v>6.2330000000000005</c:v>
                </c:pt>
                <c:pt idx="314">
                  <c:v>10.217000000000001</c:v>
                </c:pt>
                <c:pt idx="315">
                  <c:v>7.3310000000000004</c:v>
                </c:pt>
                <c:pt idx="316">
                  <c:v>4.9820000000000002</c:v>
                </c:pt>
                <c:pt idx="317">
                  <c:v>5.8120000000000003</c:v>
                </c:pt>
                <c:pt idx="318">
                  <c:v>4.8040000000000003</c:v>
                </c:pt>
                <c:pt idx="319">
                  <c:v>7.944</c:v>
                </c:pt>
                <c:pt idx="320">
                  <c:v>2.8559999999999999</c:v>
                </c:pt>
                <c:pt idx="321">
                  <c:v>12.553000000000001</c:v>
                </c:pt>
                <c:pt idx="322">
                  <c:v>16.966999999999999</c:v>
                </c:pt>
                <c:pt idx="323">
                  <c:v>13.916</c:v>
                </c:pt>
                <c:pt idx="324">
                  <c:v>7.1630000000000003</c:v>
                </c:pt>
                <c:pt idx="325">
                  <c:v>13.708</c:v>
                </c:pt>
                <c:pt idx="326">
                  <c:v>10.426</c:v>
                </c:pt>
                <c:pt idx="327">
                  <c:v>1.671</c:v>
                </c:pt>
                <c:pt idx="328">
                  <c:v>11.696</c:v>
                </c:pt>
                <c:pt idx="329">
                  <c:v>6.8639999999999999</c:v>
                </c:pt>
                <c:pt idx="330">
                  <c:v>12.4</c:v>
                </c:pt>
                <c:pt idx="331">
                  <c:v>6.4409999999999998</c:v>
                </c:pt>
                <c:pt idx="332">
                  <c:v>6.8470000000000004</c:v>
                </c:pt>
                <c:pt idx="333">
                  <c:v>14.934000000000001</c:v>
                </c:pt>
                <c:pt idx="334">
                  <c:v>4.0520000000000005</c:v>
                </c:pt>
                <c:pt idx="335">
                  <c:v>8.07</c:v>
                </c:pt>
                <c:pt idx="336">
                  <c:v>11.225</c:v>
                </c:pt>
                <c:pt idx="337">
                  <c:v>5.6770000000000005</c:v>
                </c:pt>
                <c:pt idx="338">
                  <c:v>8.2829999999999995</c:v>
                </c:pt>
                <c:pt idx="339">
                  <c:v>9.0960000000000001</c:v>
                </c:pt>
                <c:pt idx="340">
                  <c:v>4.7709999999999999</c:v>
                </c:pt>
                <c:pt idx="341">
                  <c:v>8.4239999999999995</c:v>
                </c:pt>
                <c:pt idx="342">
                  <c:v>6.8100000000000005</c:v>
                </c:pt>
                <c:pt idx="343">
                  <c:v>2.1550000000000002</c:v>
                </c:pt>
                <c:pt idx="344">
                  <c:v>8.14</c:v>
                </c:pt>
                <c:pt idx="345">
                  <c:v>14.808</c:v>
                </c:pt>
                <c:pt idx="346">
                  <c:v>15.384</c:v>
                </c:pt>
                <c:pt idx="347">
                  <c:v>15.665000000000001</c:v>
                </c:pt>
                <c:pt idx="348">
                  <c:v>14.529</c:v>
                </c:pt>
                <c:pt idx="349">
                  <c:v>14.901</c:v>
                </c:pt>
                <c:pt idx="350">
                  <c:v>14.938000000000001</c:v>
                </c:pt>
                <c:pt idx="351">
                  <c:v>15.618</c:v>
                </c:pt>
                <c:pt idx="352">
                  <c:v>15.015000000000001</c:v>
                </c:pt>
                <c:pt idx="353">
                  <c:v>15.493</c:v>
                </c:pt>
                <c:pt idx="354">
                  <c:v>12.297000000000001</c:v>
                </c:pt>
                <c:pt idx="355">
                  <c:v>14.571</c:v>
                </c:pt>
                <c:pt idx="356">
                  <c:v>4.8710000000000004</c:v>
                </c:pt>
                <c:pt idx="357">
                  <c:v>10.86</c:v>
                </c:pt>
                <c:pt idx="358">
                  <c:v>8.2680000000000007</c:v>
                </c:pt>
                <c:pt idx="359">
                  <c:v>9.1</c:v>
                </c:pt>
                <c:pt idx="360">
                  <c:v>8.245000000000001</c:v>
                </c:pt>
                <c:pt idx="361">
                  <c:v>5.4279999999999999</c:v>
                </c:pt>
                <c:pt idx="362">
                  <c:v>4.0330000000000004</c:v>
                </c:pt>
                <c:pt idx="363">
                  <c:v>13.125999999999999</c:v>
                </c:pt>
                <c:pt idx="364">
                  <c:v>15.454000000000001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021680"/>
        <c:axId val="477022464"/>
      </c:lineChart>
      <c:dateAx>
        <c:axId val="477021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022464"/>
        <c:crosses val="autoZero"/>
        <c:auto val="1"/>
        <c:lblOffset val="100"/>
        <c:baseTimeUnit val="days"/>
        <c:majorUnit val="1"/>
        <c:majorTimeUnit val="months"/>
      </c:dateAx>
      <c:valAx>
        <c:axId val="4770224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0216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3.9759139641842564E-2</c:v>
                </c:pt>
                <c:pt idx="1">
                  <c:v>3.9781744421272511E-2</c:v>
                </c:pt>
                <c:pt idx="2">
                  <c:v>3.9804348674656251E-2</c:v>
                </c:pt>
                <c:pt idx="3">
                  <c:v>3.9826952402005997E-2</c:v>
                </c:pt>
                <c:pt idx="4">
                  <c:v>3.9849555603334072E-2</c:v>
                </c:pt>
                <c:pt idx="5">
                  <c:v>3.9872158278652467E-2</c:v>
                </c:pt>
                <c:pt idx="6">
                  <c:v>3.9894760427973727E-2</c:v>
                </c:pt>
                <c:pt idx="7">
                  <c:v>3.9917362051309843E-2</c:v>
                </c:pt>
                <c:pt idx="8">
                  <c:v>3.9939963148673249E-2</c:v>
                </c:pt>
                <c:pt idx="9">
                  <c:v>3.9962563720076047E-2</c:v>
                </c:pt>
                <c:pt idx="10">
                  <c:v>3.998516376553056E-2</c:v>
                </c:pt>
                <c:pt idx="11">
                  <c:v>4.0007763285049E-2</c:v>
                </c:pt>
                <c:pt idx="12">
                  <c:v>4.003036227864358E-2</c:v>
                </c:pt>
                <c:pt idx="13">
                  <c:v>4.0052960746326624E-2</c:v>
                </c:pt>
                <c:pt idx="14">
                  <c:v>4.0075558688110233E-2</c:v>
                </c:pt>
                <c:pt idx="15">
                  <c:v>4.009815610400673E-2</c:v>
                </c:pt>
                <c:pt idx="16">
                  <c:v>4.0120752994028439E-2</c:v>
                </c:pt>
                <c:pt idx="17">
                  <c:v>4.0143349358187461E-2</c:v>
                </c:pt>
                <c:pt idx="18">
                  <c:v>4.0165945196496008E-2</c:v>
                </c:pt>
                <c:pt idx="19">
                  <c:v>4.0188540508966406E-2</c:v>
                </c:pt>
                <c:pt idx="20">
                  <c:v>4.0211135295610975E-2</c:v>
                </c:pt>
                <c:pt idx="21">
                  <c:v>4.0233729556441708E-2</c:v>
                </c:pt>
                <c:pt idx="22">
                  <c:v>4.0256323291471038E-2</c:v>
                </c:pt>
                <c:pt idx="23">
                  <c:v>4.0278916500711179E-2</c:v>
                </c:pt>
                <c:pt idx="24">
                  <c:v>4.0301509184174342E-2</c:v>
                </c:pt>
                <c:pt idx="25">
                  <c:v>4.032410134187274E-2</c:v>
                </c:pt>
                <c:pt idx="26">
                  <c:v>4.0346692973818585E-2</c:v>
                </c:pt>
                <c:pt idx="27">
                  <c:v>4.0369284080024201E-2</c:v>
                </c:pt>
                <c:pt idx="28">
                  <c:v>4.03918746605018E-2</c:v>
                </c:pt>
                <c:pt idx="29">
                  <c:v>4.0414464715263484E-2</c:v>
                </c:pt>
                <c:pt idx="30">
                  <c:v>4.0437054244321688E-2</c:v>
                </c:pt>
                <c:pt idx="31">
                  <c:v>4.0459643247688512E-2</c:v>
                </c:pt>
                <c:pt idx="32">
                  <c:v>4.0482231725376169E-2</c:v>
                </c:pt>
                <c:pt idx="33">
                  <c:v>4.0504819677396983E-2</c:v>
                </c:pt>
                <c:pt idx="34">
                  <c:v>4.0527407103763166E-2</c:v>
                </c:pt>
                <c:pt idx="35">
                  <c:v>4.0549994004487042E-2</c:v>
                </c:pt>
                <c:pt idx="36">
                  <c:v>4.05725803795806E-2</c:v>
                </c:pt>
                <c:pt idx="37">
                  <c:v>4.0595166229056276E-2</c:v>
                </c:pt>
                <c:pt idx="38">
                  <c:v>4.0617751552926171E-2</c:v>
                </c:pt>
                <c:pt idx="39">
                  <c:v>4.0640336351202719E-2</c:v>
                </c:pt>
                <c:pt idx="40">
                  <c:v>4.0662920623897911E-2</c:v>
                </c:pt>
                <c:pt idx="41">
                  <c:v>4.068550437102407E-2</c:v>
                </c:pt>
                <c:pt idx="42">
                  <c:v>4.070808759259352E-2</c:v>
                </c:pt>
                <c:pt idx="43">
                  <c:v>4.0730670288618362E-2</c:v>
                </c:pt>
                <c:pt idx="44">
                  <c:v>4.075325245911092E-2</c:v>
                </c:pt>
                <c:pt idx="45">
                  <c:v>4.0775834104083294E-2</c:v>
                </c:pt>
                <c:pt idx="46">
                  <c:v>4.079841522354781E-2</c:v>
                </c:pt>
                <c:pt idx="47">
                  <c:v>4.0820995817516789E-2</c:v>
                </c:pt>
                <c:pt idx="48">
                  <c:v>4.0843575886002334E-2</c:v>
                </c:pt>
                <c:pt idx="49">
                  <c:v>4.0866155429016657E-2</c:v>
                </c:pt>
                <c:pt idx="50">
                  <c:v>4.088873444657197E-2</c:v>
                </c:pt>
                <c:pt idx="51">
                  <c:v>4.0911312938680597E-2</c:v>
                </c:pt>
                <c:pt idx="52">
                  <c:v>4.093389090535475E-2</c:v>
                </c:pt>
                <c:pt idx="53">
                  <c:v>4.0956468346606642E-2</c:v>
                </c:pt>
                <c:pt idx="54">
                  <c:v>4.0979045262448485E-2</c:v>
                </c:pt>
                <c:pt idx="55">
                  <c:v>4.1001621652892603E-2</c:v>
                </c:pt>
                <c:pt idx="56">
                  <c:v>4.1024197517950986E-2</c:v>
                </c:pt>
                <c:pt idx="57">
                  <c:v>4.1046772857636069E-2</c:v>
                </c:pt>
                <c:pt idx="58">
                  <c:v>4.1069347671960063E-2</c:v>
                </c:pt>
                <c:pt idx="59">
                  <c:v>4.1091921960935071E-2</c:v>
                </c:pt>
                <c:pt idx="60">
                  <c:v>4.1114495724573416E-2</c:v>
                </c:pt>
                <c:pt idx="61">
                  <c:v>4.113706896288731E-2</c:v>
                </c:pt>
                <c:pt idx="62">
                  <c:v>4.1159641675888967E-2</c:v>
                </c:pt>
                <c:pt idx="63">
                  <c:v>4.1182213863590597E-2</c:v>
                </c:pt>
                <c:pt idx="64">
                  <c:v>4.1204785526004525E-2</c:v>
                </c:pt>
                <c:pt idx="65">
                  <c:v>4.1227356663142853E-2</c:v>
                </c:pt>
                <c:pt idx="66">
                  <c:v>4.1249927275017792E-2</c:v>
                </c:pt>
                <c:pt idx="67">
                  <c:v>4.1272497361641666E-2</c:v>
                </c:pt>
                <c:pt idx="68">
                  <c:v>4.1295066923026688E-2</c:v>
                </c:pt>
                <c:pt idx="69">
                  <c:v>4.1317635959184959E-2</c:v>
                </c:pt>
                <c:pt idx="70">
                  <c:v>4.1340204470128802E-2</c:v>
                </c:pt>
                <c:pt idx="71">
                  <c:v>4.1362772455870431E-2</c:v>
                </c:pt>
                <c:pt idx="72">
                  <c:v>4.1385339916422167E-2</c:v>
                </c:pt>
                <c:pt idx="73">
                  <c:v>4.1407906851796003E-2</c:v>
                </c:pt>
                <c:pt idx="74">
                  <c:v>4.1430473262004261E-2</c:v>
                </c:pt>
                <c:pt idx="75">
                  <c:v>4.1453039147059265E-2</c:v>
                </c:pt>
                <c:pt idx="76">
                  <c:v>4.1475604506973227E-2</c:v>
                </c:pt>
                <c:pt idx="77">
                  <c:v>4.1498169341758137E-2</c:v>
                </c:pt>
                <c:pt idx="78">
                  <c:v>4.1520733651426431E-2</c:v>
                </c:pt>
                <c:pt idx="79">
                  <c:v>4.154329743599032E-2</c:v>
                </c:pt>
                <c:pt idx="80">
                  <c:v>4.1565860695462017E-2</c:v>
                </c:pt>
                <c:pt idx="81">
                  <c:v>4.1588423429853624E-2</c:v>
                </c:pt>
                <c:pt idx="82">
                  <c:v>4.1610985639177464E-2</c:v>
                </c:pt>
                <c:pt idx="83">
                  <c:v>4.1633547323445638E-2</c:v>
                </c:pt>
                <c:pt idx="84">
                  <c:v>4.1656108482670581E-2</c:v>
                </c:pt>
                <c:pt idx="85">
                  <c:v>4.1678669116864395E-2</c:v>
                </c:pt>
                <c:pt idx="86">
                  <c:v>4.170122922603918E-2</c:v>
                </c:pt>
                <c:pt idx="87">
                  <c:v>4.1723788810207371E-2</c:v>
                </c:pt>
                <c:pt idx="88">
                  <c:v>4.174634786938107E-2</c:v>
                </c:pt>
                <c:pt idx="89">
                  <c:v>4.1768906403572489E-2</c:v>
                </c:pt>
                <c:pt idx="90">
                  <c:v>4.1791464412793841E-2</c:v>
                </c:pt>
                <c:pt idx="91">
                  <c:v>4.1814021897057338E-2</c:v>
                </c:pt>
                <c:pt idx="92">
                  <c:v>4.1836578856375303E-2</c:v>
                </c:pt>
                <c:pt idx="93">
                  <c:v>4.1859135290759839E-2</c:v>
                </c:pt>
                <c:pt idx="94">
                  <c:v>4.1881691200223156E-2</c:v>
                </c:pt>
                <c:pt idx="95">
                  <c:v>4.1904246584777469E-2</c:v>
                </c:pt>
                <c:pt idx="96">
                  <c:v>4.1926801444435099E-2</c:v>
                </c:pt>
                <c:pt idx="97">
                  <c:v>4.1949355779208261E-2</c:v>
                </c:pt>
                <c:pt idx="98">
                  <c:v>4.1971909589109055E-2</c:v>
                </c:pt>
                <c:pt idx="99">
                  <c:v>4.1994462874149693E-2</c:v>
                </c:pt>
                <c:pt idx="100">
                  <c:v>4.20170156343425E-2</c:v>
                </c:pt>
                <c:pt idx="101">
                  <c:v>4.2039567869699576E-2</c:v>
                </c:pt>
                <c:pt idx="102">
                  <c:v>4.2062119580233134E-2</c:v>
                </c:pt>
                <c:pt idx="103">
                  <c:v>4.2084670765955609E-2</c:v>
                </c:pt>
                <c:pt idx="104">
                  <c:v>4.210722142687888E-2</c:v>
                </c:pt>
                <c:pt idx="105">
                  <c:v>4.2129771563015492E-2</c:v>
                </c:pt>
                <c:pt idx="106">
                  <c:v>4.2152321174377325E-2</c:v>
                </c:pt>
                <c:pt idx="107">
                  <c:v>4.2174870260976813E-2</c:v>
                </c:pt>
                <c:pt idx="108">
                  <c:v>4.2197418822826169E-2</c:v>
                </c:pt>
                <c:pt idx="109">
                  <c:v>4.2219966859937494E-2</c:v>
                </c:pt>
                <c:pt idx="110">
                  <c:v>4.2242514372323112E-2</c:v>
                </c:pt>
                <c:pt idx="111">
                  <c:v>4.2265061359995124E-2</c:v>
                </c:pt>
                <c:pt idx="112">
                  <c:v>4.2287607822965853E-2</c:v>
                </c:pt>
                <c:pt idx="113">
                  <c:v>4.2310153761247402E-2</c:v>
                </c:pt>
                <c:pt idx="114">
                  <c:v>4.2332699174852093E-2</c:v>
                </c:pt>
                <c:pt idx="115">
                  <c:v>4.2355244063792027E-2</c:v>
                </c:pt>
                <c:pt idx="116">
                  <c:v>4.2377788428079419E-2</c:v>
                </c:pt>
                <c:pt idx="117">
                  <c:v>4.240033226772659E-2</c:v>
                </c:pt>
                <c:pt idx="118">
                  <c:v>4.2422875582745642E-2</c:v>
                </c:pt>
                <c:pt idx="119">
                  <c:v>4.2445418373148788E-2</c:v>
                </c:pt>
                <c:pt idx="120">
                  <c:v>4.2467960638948241E-2</c:v>
                </c:pt>
                <c:pt idx="121">
                  <c:v>4.2490502380156323E-2</c:v>
                </c:pt>
                <c:pt idx="122">
                  <c:v>4.2513043596785136E-2</c:v>
                </c:pt>
                <c:pt idx="123">
                  <c:v>4.2535584288846892E-2</c:v>
                </c:pt>
                <c:pt idx="124">
                  <c:v>4.2558124456353805E-2</c:v>
                </c:pt>
                <c:pt idx="125">
                  <c:v>4.2580664099318086E-2</c:v>
                </c:pt>
                <c:pt idx="126">
                  <c:v>4.2603203217752059E-2</c:v>
                </c:pt>
                <c:pt idx="127">
                  <c:v>4.2625741811667714E-2</c:v>
                </c:pt>
                <c:pt idx="128">
                  <c:v>4.2648279881077375E-2</c:v>
                </c:pt>
                <c:pt idx="129">
                  <c:v>4.2670817425993254E-2</c:v>
                </c:pt>
                <c:pt idx="130">
                  <c:v>4.2693354446427453E-2</c:v>
                </c:pt>
                <c:pt idx="131">
                  <c:v>4.2715890942392296E-2</c:v>
                </c:pt>
                <c:pt idx="132">
                  <c:v>4.2738426913899993E-2</c:v>
                </c:pt>
                <c:pt idx="133">
                  <c:v>4.2760962360962759E-2</c:v>
                </c:pt>
                <c:pt idx="134">
                  <c:v>4.2783497283592695E-2</c:v>
                </c:pt>
                <c:pt idx="135">
                  <c:v>4.2806031681802012E-2</c:v>
                </c:pt>
                <c:pt idx="136">
                  <c:v>4.2828565555603035E-2</c:v>
                </c:pt>
                <c:pt idx="137">
                  <c:v>4.2851098905007864E-2</c:v>
                </c:pt>
                <c:pt idx="138">
                  <c:v>4.2873631730028713E-2</c:v>
                </c:pt>
                <c:pt idx="139">
                  <c:v>4.2896164030677905E-2</c:v>
                </c:pt>
                <c:pt idx="140">
                  <c:v>4.291869580696743E-2</c:v>
                </c:pt>
                <c:pt idx="141">
                  <c:v>4.2941227058909612E-2</c:v>
                </c:pt>
                <c:pt idx="142">
                  <c:v>4.2963757786516663E-2</c:v>
                </c:pt>
                <c:pt idx="143">
                  <c:v>4.2986287989800795E-2</c:v>
                </c:pt>
                <c:pt idx="144">
                  <c:v>4.3008817668774221E-2</c:v>
                </c:pt>
                <c:pt idx="145">
                  <c:v>4.3031346823449043E-2</c:v>
                </c:pt>
                <c:pt idx="146">
                  <c:v>4.3053875453837473E-2</c:v>
                </c:pt>
                <c:pt idx="147">
                  <c:v>4.3076403559951834E-2</c:v>
                </c:pt>
                <c:pt idx="148">
                  <c:v>4.3098931141804228E-2</c:v>
                </c:pt>
                <c:pt idx="149">
                  <c:v>4.3121458199406867E-2</c:v>
                </c:pt>
                <c:pt idx="150">
                  <c:v>4.3143984732772075E-2</c:v>
                </c:pt>
                <c:pt idx="151">
                  <c:v>4.3166510741911843E-2</c:v>
                </c:pt>
                <c:pt idx="152">
                  <c:v>4.3189036226838493E-2</c:v>
                </c:pt>
                <c:pt idx="153">
                  <c:v>4.3211561187564126E-2</c:v>
                </c:pt>
                <c:pt idx="154">
                  <c:v>4.3234085624101179E-2</c:v>
                </c:pt>
                <c:pt idx="155">
                  <c:v>4.3256609536461529E-2</c:v>
                </c:pt>
                <c:pt idx="156">
                  <c:v>4.3279132924657612E-2</c:v>
                </c:pt>
                <c:pt idx="157">
                  <c:v>4.3301655788701529E-2</c:v>
                </c:pt>
                <c:pt idx="158">
                  <c:v>4.3324178128605492E-2</c:v>
                </c:pt>
                <c:pt idx="159">
                  <c:v>4.3346699944381714E-2</c:v>
                </c:pt>
                <c:pt idx="160">
                  <c:v>4.3369221236042407E-2</c:v>
                </c:pt>
                <c:pt idx="161">
                  <c:v>4.3391742003599673E-2</c:v>
                </c:pt>
                <c:pt idx="162">
                  <c:v>4.3414262247065835E-2</c:v>
                </c:pt>
                <c:pt idx="163">
                  <c:v>4.3436781966452995E-2</c:v>
                </c:pt>
                <c:pt idx="164">
                  <c:v>4.3459301161773364E-2</c:v>
                </c:pt>
                <c:pt idx="165">
                  <c:v>4.3481819833039267E-2</c:v>
                </c:pt>
                <c:pt idx="166">
                  <c:v>4.3504337980262694E-2</c:v>
                </c:pt>
                <c:pt idx="167">
                  <c:v>4.3526855603455969E-2</c:v>
                </c:pt>
                <c:pt idx="168">
                  <c:v>4.3549372702631192E-2</c:v>
                </c:pt>
                <c:pt idx="169">
                  <c:v>4.3571889277800688E-2</c:v>
                </c:pt>
                <c:pt idx="170">
                  <c:v>4.3594405328976668E-2</c:v>
                </c:pt>
                <c:pt idx="171">
                  <c:v>4.3616920856171124E-2</c:v>
                </c:pt>
                <c:pt idx="172">
                  <c:v>4.3639435859396378E-2</c:v>
                </c:pt>
                <c:pt idx="173">
                  <c:v>4.3661950338664643E-2</c:v>
                </c:pt>
                <c:pt idx="174">
                  <c:v>4.3684464293988021E-2</c:v>
                </c:pt>
                <c:pt idx="175">
                  <c:v>4.3706977725378834E-2</c:v>
                </c:pt>
                <c:pt idx="176">
                  <c:v>4.3729490632849297E-2</c:v>
                </c:pt>
                <c:pt idx="177">
                  <c:v>4.3752003016411398E-2</c:v>
                </c:pt>
                <c:pt idx="178">
                  <c:v>4.3774514876077461E-2</c:v>
                </c:pt>
                <c:pt idx="179">
                  <c:v>4.3797026211859588E-2</c:v>
                </c:pt>
                <c:pt idx="180">
                  <c:v>4.3819537023770214E-2</c:v>
                </c:pt>
                <c:pt idx="181">
                  <c:v>5.3842047311821212E-2</c:v>
                </c:pt>
                <c:pt idx="182">
                  <c:v>5.3864557076025027E-2</c:v>
                </c:pt>
                <c:pt idx="183">
                  <c:v>5.3887066316393645E-2</c:v>
                </c:pt>
                <c:pt idx="184">
                  <c:v>5.3909575032939389E-2</c:v>
                </c:pt>
                <c:pt idx="185">
                  <c:v>5.3932083225674471E-2</c:v>
                </c:pt>
                <c:pt idx="186">
                  <c:v>5.3954590894610993E-2</c:v>
                </c:pt>
                <c:pt idx="187">
                  <c:v>5.3977098039761168E-2</c:v>
                </c:pt>
                <c:pt idx="188">
                  <c:v>5.3999604661137207E-2</c:v>
                </c:pt>
                <c:pt idx="189">
                  <c:v>5.4022110758751213E-2</c:v>
                </c:pt>
                <c:pt idx="190">
                  <c:v>5.4044616332615508E-2</c:v>
                </c:pt>
                <c:pt idx="191">
                  <c:v>5.4067121382742306E-2</c:v>
                </c:pt>
                <c:pt idx="192">
                  <c:v>5.4089625909143596E-2</c:v>
                </c:pt>
                <c:pt idx="193">
                  <c:v>5.4112129911831702E-2</c:v>
                </c:pt>
                <c:pt idx="194">
                  <c:v>5.4134633390818837E-2</c:v>
                </c:pt>
                <c:pt idx="195">
                  <c:v>5.4157136346117102E-2</c:v>
                </c:pt>
                <c:pt idx="196">
                  <c:v>5.4179638777738709E-2</c:v>
                </c:pt>
                <c:pt idx="197">
                  <c:v>5.4202140685695871E-2</c:v>
                </c:pt>
                <c:pt idx="198">
                  <c:v>5.4224642070000689E-2</c:v>
                </c:pt>
                <c:pt idx="199">
                  <c:v>5.4247142930665487E-2</c:v>
                </c:pt>
                <c:pt idx="200">
                  <c:v>5.4269643267702478E-2</c:v>
                </c:pt>
                <c:pt idx="201">
                  <c:v>5.4292143081123651E-2</c:v>
                </c:pt>
                <c:pt idx="202">
                  <c:v>5.431464237094133E-2</c:v>
                </c:pt>
                <c:pt idx="203">
                  <c:v>5.4337141137167616E-2</c:v>
                </c:pt>
                <c:pt idx="204">
                  <c:v>5.4359639379814834E-2</c:v>
                </c:pt>
                <c:pt idx="205">
                  <c:v>5.4382137098894973E-2</c:v>
                </c:pt>
                <c:pt idx="206">
                  <c:v>5.4404634294420356E-2</c:v>
                </c:pt>
                <c:pt idx="207">
                  <c:v>5.4427130966403198E-2</c:v>
                </c:pt>
                <c:pt idx="208">
                  <c:v>5.4449627114855487E-2</c:v>
                </c:pt>
                <c:pt idx="209">
                  <c:v>5.4472122739789658E-2</c:v>
                </c:pt>
                <c:pt idx="210">
                  <c:v>5.4494617841217702E-2</c:v>
                </c:pt>
                <c:pt idx="211">
                  <c:v>5.4517112419151942E-2</c:v>
                </c:pt>
                <c:pt idx="212">
                  <c:v>5.4539606473604479E-2</c:v>
                </c:pt>
                <c:pt idx="213">
                  <c:v>5.4562100004587416E-2</c:v>
                </c:pt>
                <c:pt idx="214">
                  <c:v>5.4584593012113186E-2</c:v>
                </c:pt>
                <c:pt idx="215">
                  <c:v>5.4607085496193669E-2</c:v>
                </c:pt>
                <c:pt idx="216">
                  <c:v>5.4629577456841188E-2</c:v>
                </c:pt>
                <c:pt idx="217">
                  <c:v>5.4652068894068068E-2</c:v>
                </c:pt>
                <c:pt idx="218">
                  <c:v>5.4674559807886186E-2</c:v>
                </c:pt>
                <c:pt idx="219">
                  <c:v>5.4697050198307978E-2</c:v>
                </c:pt>
                <c:pt idx="220">
                  <c:v>5.4719540065345434E-2</c:v>
                </c:pt>
                <c:pt idx="221">
                  <c:v>5.4742029409010878E-2</c:v>
                </c:pt>
                <c:pt idx="222">
                  <c:v>5.4764518229316522E-2</c:v>
                </c:pt>
                <c:pt idx="223">
                  <c:v>5.4787006526274357E-2</c:v>
                </c:pt>
                <c:pt idx="224">
                  <c:v>5.4809494299896705E-2</c:v>
                </c:pt>
                <c:pt idx="225">
                  <c:v>5.4831981550195669E-2</c:v>
                </c:pt>
                <c:pt idx="226">
                  <c:v>5.4854468277183571E-2</c:v>
                </c:pt>
                <c:pt idx="227">
                  <c:v>5.4876954480872403E-2</c:v>
                </c:pt>
                <c:pt idx="228">
                  <c:v>5.4899440161274488E-2</c:v>
                </c:pt>
                <c:pt idx="229">
                  <c:v>5.4921925318401815E-2</c:v>
                </c:pt>
                <c:pt idx="230">
                  <c:v>5.4944409952266821E-2</c:v>
                </c:pt>
                <c:pt idx="231">
                  <c:v>5.4966894062881494E-2</c:v>
                </c:pt>
                <c:pt idx="232">
                  <c:v>5.4989377650258048E-2</c:v>
                </c:pt>
                <c:pt idx="233">
                  <c:v>5.5011860714408695E-2</c:v>
                </c:pt>
                <c:pt idx="234">
                  <c:v>5.5034343255345647E-2</c:v>
                </c:pt>
                <c:pt idx="235">
                  <c:v>5.5056825273080895E-2</c:v>
                </c:pt>
                <c:pt idx="236">
                  <c:v>5.5079306767626873E-2</c:v>
                </c:pt>
                <c:pt idx="237">
                  <c:v>5.5101787738995572E-2</c:v>
                </c:pt>
                <c:pt idx="238">
                  <c:v>5.5124268187199205E-2</c:v>
                </c:pt>
                <c:pt idx="239">
                  <c:v>5.5146748112249983E-2</c:v>
                </c:pt>
                <c:pt idx="240">
                  <c:v>5.5169227514160118E-2</c:v>
                </c:pt>
                <c:pt idx="241">
                  <c:v>5.5191706392941714E-2</c:v>
                </c:pt>
                <c:pt idx="242">
                  <c:v>5.521418474860687E-2</c:v>
                </c:pt>
                <c:pt idx="243">
                  <c:v>5.5236662581167911E-2</c:v>
                </c:pt>
                <c:pt idx="244">
                  <c:v>5.5259139890636938E-2</c:v>
                </c:pt>
                <c:pt idx="245">
                  <c:v>5.5281616677026163E-2</c:v>
                </c:pt>
                <c:pt idx="246">
                  <c:v>5.5304092940347799E-2</c:v>
                </c:pt>
                <c:pt idx="247">
                  <c:v>5.5326568680613836E-2</c:v>
                </c:pt>
                <c:pt idx="248">
                  <c:v>5.5349043897836597E-2</c:v>
                </c:pt>
                <c:pt idx="249">
                  <c:v>5.5371518592028296E-2</c:v>
                </c:pt>
                <c:pt idx="250">
                  <c:v>5.5393992763200922E-2</c:v>
                </c:pt>
                <c:pt idx="251">
                  <c:v>5.5416466411366799E-2</c:v>
                </c:pt>
                <c:pt idx="252">
                  <c:v>5.5438939536538029E-2</c:v>
                </c:pt>
                <c:pt idx="253">
                  <c:v>5.5461412138726823E-2</c:v>
                </c:pt>
                <c:pt idx="254">
                  <c:v>5.5483884217945284E-2</c:v>
                </c:pt>
                <c:pt idx="255">
                  <c:v>5.5506355774205735E-2</c:v>
                </c:pt>
                <c:pt idx="256">
                  <c:v>5.5528826807520165E-2</c:v>
                </c:pt>
                <c:pt idx="257">
                  <c:v>5.5551297317900789E-2</c:v>
                </c:pt>
                <c:pt idx="258">
                  <c:v>5.5573767305359928E-2</c:v>
                </c:pt>
                <c:pt idx="259">
                  <c:v>5.5596236769909463E-2</c:v>
                </c:pt>
                <c:pt idx="260">
                  <c:v>5.5618705711561828E-2</c:v>
                </c:pt>
                <c:pt idx="261">
                  <c:v>5.5641174130329124E-2</c:v>
                </c:pt>
                <c:pt idx="262">
                  <c:v>5.5663642026223453E-2</c:v>
                </c:pt>
                <c:pt idx="263">
                  <c:v>5.5686109399257028E-2</c:v>
                </c:pt>
                <c:pt idx="264">
                  <c:v>5.570857624944206E-2</c:v>
                </c:pt>
                <c:pt idx="265">
                  <c:v>5.5731042576790651E-2</c:v>
                </c:pt>
                <c:pt idx="266">
                  <c:v>5.5753508381314903E-2</c:v>
                </c:pt>
                <c:pt idx="267">
                  <c:v>5.577597366302714E-2</c:v>
                </c:pt>
                <c:pt idx="268">
                  <c:v>5.5798438421939461E-2</c:v>
                </c:pt>
                <c:pt idx="269">
                  <c:v>5.582090265806397E-2</c:v>
                </c:pt>
                <c:pt idx="270">
                  <c:v>5.5843366371412878E-2</c:v>
                </c:pt>
                <c:pt idx="271">
                  <c:v>5.5865829561998398E-2</c:v>
                </c:pt>
                <c:pt idx="272">
                  <c:v>5.5888292229832631E-2</c:v>
                </c:pt>
                <c:pt idx="273">
                  <c:v>5.591075437492779E-2</c:v>
                </c:pt>
                <c:pt idx="274">
                  <c:v>5.5933215997295976E-2</c:v>
                </c:pt>
                <c:pt idx="275">
                  <c:v>5.5955677096949513E-2</c:v>
                </c:pt>
                <c:pt idx="276">
                  <c:v>5.597813767390028E-2</c:v>
                </c:pt>
                <c:pt idx="277">
                  <c:v>5.6000597728160711E-2</c:v>
                </c:pt>
                <c:pt idx="278">
                  <c:v>5.6023057259742909E-2</c:v>
                </c:pt>
                <c:pt idx="279">
                  <c:v>5.6045516268658863E-2</c:v>
                </c:pt>
                <c:pt idx="280">
                  <c:v>5.6067974754921007E-2</c:v>
                </c:pt>
                <c:pt idx="281">
                  <c:v>5.6090432718541222E-2</c:v>
                </c:pt>
                <c:pt idx="282">
                  <c:v>5.6112890159531942E-2</c:v>
                </c:pt>
                <c:pt idx="283">
                  <c:v>5.6135347077905157E-2</c:v>
                </c:pt>
                <c:pt idx="284">
                  <c:v>5.6157803473673079E-2</c:v>
                </c:pt>
                <c:pt idx="285">
                  <c:v>5.6180259346847811E-2</c:v>
                </c:pt>
                <c:pt idx="286">
                  <c:v>5.6202714697441675E-2</c:v>
                </c:pt>
                <c:pt idx="287">
                  <c:v>5.6225169525466662E-2</c:v>
                </c:pt>
                <c:pt idx="288">
                  <c:v>5.6247623830934984E-2</c:v>
                </c:pt>
                <c:pt idx="289">
                  <c:v>5.6270077613858854E-2</c:v>
                </c:pt>
                <c:pt idx="290">
                  <c:v>5.6292530874250374E-2</c:v>
                </c:pt>
                <c:pt idx="291">
                  <c:v>5.6314983612121644E-2</c:v>
                </c:pt>
                <c:pt idx="292">
                  <c:v>5.6337435827484988E-2</c:v>
                </c:pt>
                <c:pt idx="293">
                  <c:v>5.6359887520352508E-2</c:v>
                </c:pt>
                <c:pt idx="294">
                  <c:v>5.6382338690736306E-2</c:v>
                </c:pt>
                <c:pt idx="295">
                  <c:v>5.6404789338648481E-2</c:v>
                </c:pt>
                <c:pt idx="296">
                  <c:v>5.6427239464101359E-2</c:v>
                </c:pt>
                <c:pt idx="297">
                  <c:v>5.6449689067107039E-2</c:v>
                </c:pt>
                <c:pt idx="298">
                  <c:v>5.6472138147677625E-2</c:v>
                </c:pt>
                <c:pt idx="299">
                  <c:v>5.6494586705825328E-2</c:v>
                </c:pt>
                <c:pt idx="300">
                  <c:v>5.651703474156225E-2</c:v>
                </c:pt>
                <c:pt idx="301">
                  <c:v>5.6539482254900714E-2</c:v>
                </c:pt>
                <c:pt idx="302">
                  <c:v>5.6561929245852599E-2</c:v>
                </c:pt>
                <c:pt idx="303">
                  <c:v>5.658437571443023E-2</c:v>
                </c:pt>
                <c:pt idx="304">
                  <c:v>5.6606821660645817E-2</c:v>
                </c:pt>
                <c:pt idx="305">
                  <c:v>5.6629267084511464E-2</c:v>
                </c:pt>
                <c:pt idx="306">
                  <c:v>5.665171198603916E-2</c:v>
                </c:pt>
                <c:pt idx="307">
                  <c:v>5.667415636524134E-2</c:v>
                </c:pt>
                <c:pt idx="308">
                  <c:v>5.6696600222129995E-2</c:v>
                </c:pt>
                <c:pt idx="309">
                  <c:v>5.6719043556717336E-2</c:v>
                </c:pt>
                <c:pt idx="310">
                  <c:v>5.6741486369015465E-2</c:v>
                </c:pt>
                <c:pt idx="311">
                  <c:v>5.6763928659036483E-2</c:v>
                </c:pt>
                <c:pt idx="312">
                  <c:v>5.6786370426792715E-2</c:v>
                </c:pt>
                <c:pt idx="313">
                  <c:v>5.6808811672296261E-2</c:v>
                </c:pt>
                <c:pt idx="314">
                  <c:v>5.6831252395559223E-2</c:v>
                </c:pt>
                <c:pt idx="315">
                  <c:v>5.6853692596593702E-2</c:v>
                </c:pt>
                <c:pt idx="316">
                  <c:v>5.6876132275411911E-2</c:v>
                </c:pt>
                <c:pt idx="317">
                  <c:v>5.6898571432026063E-2</c:v>
                </c:pt>
                <c:pt idx="318">
                  <c:v>5.6921010066448258E-2</c:v>
                </c:pt>
                <c:pt idx="319">
                  <c:v>5.6943448178690709E-2</c:v>
                </c:pt>
                <c:pt idx="320">
                  <c:v>5.6965885768765406E-2</c:v>
                </c:pt>
                <c:pt idx="321">
                  <c:v>5.6988322836684674E-2</c:v>
                </c:pt>
                <c:pt idx="322">
                  <c:v>5.7010759382460502E-2</c:v>
                </c:pt>
                <c:pt idx="323">
                  <c:v>5.7033195406105214E-2</c:v>
                </c:pt>
                <c:pt idx="324">
                  <c:v>5.7055630907630911E-2</c:v>
                </c:pt>
                <c:pt idx="325">
                  <c:v>5.7078065887049584E-2</c:v>
                </c:pt>
                <c:pt idx="326">
                  <c:v>5.7100500344373667E-2</c:v>
                </c:pt>
                <c:pt idx="327">
                  <c:v>5.712293427961504E-2</c:v>
                </c:pt>
                <c:pt idx="328">
                  <c:v>5.7145367692786025E-2</c:v>
                </c:pt>
                <c:pt idx="329">
                  <c:v>5.7167800583898615E-2</c:v>
                </c:pt>
                <c:pt idx="330">
                  <c:v>5.7190232952965131E-2</c:v>
                </c:pt>
                <c:pt idx="331">
                  <c:v>5.7212664799997676E-2</c:v>
                </c:pt>
                <c:pt idx="332">
                  <c:v>5.723509612500835E-2</c:v>
                </c:pt>
                <c:pt idx="333">
                  <c:v>5.7257526928009256E-2</c:v>
                </c:pt>
                <c:pt idx="334">
                  <c:v>5.7279957209012716E-2</c:v>
                </c:pt>
                <c:pt idx="335">
                  <c:v>5.7302386968030722E-2</c:v>
                </c:pt>
                <c:pt idx="336">
                  <c:v>5.7324816205075374E-2</c:v>
                </c:pt>
                <c:pt idx="337">
                  <c:v>5.7347244920158996E-2</c:v>
                </c:pt>
                <c:pt idx="338">
                  <c:v>5.736967311329369E-2</c:v>
                </c:pt>
                <c:pt idx="339">
                  <c:v>5.7392100784491556E-2</c:v>
                </c:pt>
                <c:pt idx="340">
                  <c:v>5.7414527933764697E-2</c:v>
                </c:pt>
                <c:pt idx="341">
                  <c:v>5.7436954561125325E-2</c:v>
                </c:pt>
                <c:pt idx="342">
                  <c:v>5.7459380666585541E-2</c:v>
                </c:pt>
                <c:pt idx="343">
                  <c:v>5.7481806250157558E-2</c:v>
                </c:pt>
                <c:pt idx="344">
                  <c:v>5.7504231311853476E-2</c:v>
                </c:pt>
                <c:pt idx="345">
                  <c:v>5.752665585168551E-2</c:v>
                </c:pt>
                <c:pt idx="346">
                  <c:v>5.7549079869665648E-2</c:v>
                </c:pt>
                <c:pt idx="347">
                  <c:v>5.7571503365806215E-2</c:v>
                </c:pt>
                <c:pt idx="348">
                  <c:v>5.75939263401192E-2</c:v>
                </c:pt>
                <c:pt idx="349">
                  <c:v>5.7616348792616817E-2</c:v>
                </c:pt>
                <c:pt idx="350">
                  <c:v>5.7638770723311278E-2</c:v>
                </c:pt>
                <c:pt idx="351">
                  <c:v>5.7661192132214573E-2</c:v>
                </c:pt>
                <c:pt idx="352">
                  <c:v>5.7683613019338914E-2</c:v>
                </c:pt>
                <c:pt idx="353">
                  <c:v>5.7706033384696515E-2</c:v>
                </c:pt>
                <c:pt idx="354">
                  <c:v>5.7728453228299476E-2</c:v>
                </c:pt>
                <c:pt idx="355">
                  <c:v>5.7750872550159899E-2</c:v>
                </c:pt>
                <c:pt idx="356">
                  <c:v>5.7773291350289885E-2</c:v>
                </c:pt>
                <c:pt idx="357">
                  <c:v>5.7795709628701758E-2</c:v>
                </c:pt>
                <c:pt idx="358">
                  <c:v>5.7818127385407397E-2</c:v>
                </c:pt>
                <c:pt idx="359">
                  <c:v>5.7840544620419237E-2</c:v>
                </c:pt>
                <c:pt idx="360">
                  <c:v>5.7862961333749158E-2</c:v>
                </c:pt>
                <c:pt idx="361">
                  <c:v>5.7885377525409482E-2</c:v>
                </c:pt>
                <c:pt idx="362">
                  <c:v>5.7907793195412199E-2</c:v>
                </c:pt>
                <c:pt idx="363">
                  <c:v>5.7930208343769635E-2</c:v>
                </c:pt>
                <c:pt idx="364">
                  <c:v>5.7952622970493778E-2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7.1699902384405739E-2</c:v>
                </c:pt>
                <c:pt idx="1">
                  <c:v>7.1889398113867645E-2</c:v>
                </c:pt>
                <c:pt idx="2">
                  <c:v>7.2078664575426193E-2</c:v>
                </c:pt>
                <c:pt idx="3">
                  <c:v>7.2267686930531913E-2</c:v>
                </c:pt>
                <c:pt idx="4">
                  <c:v>7.2456452342387123E-2</c:v>
                </c:pt>
                <c:pt idx="5">
                  <c:v>7.2644949934568437E-2</c:v>
                </c:pt>
                <c:pt idx="6">
                  <c:v>7.2833170732336375E-2</c:v>
                </c:pt>
                <c:pt idx="7">
                  <c:v>7.3021107587743356E-2</c:v>
                </c:pt>
                <c:pt idx="8">
                  <c:v>7.320875508978629E-2</c:v>
                </c:pt>
                <c:pt idx="9">
                  <c:v>7.3396109460970888E-2</c:v>
                </c:pt>
                <c:pt idx="10">
                  <c:v>7.3583168441761132E-2</c:v>
                </c:pt>
                <c:pt idx="11">
                  <c:v>7.3769931164476707E-2</c:v>
                </c:pt>
                <c:pt idx="12">
                  <c:v>7.3956398018274999E-2</c:v>
                </c:pt>
                <c:pt idx="13">
                  <c:v>7.4142570506910171E-2</c:v>
                </c:pt>
                <c:pt idx="14">
                  <c:v>7.4328451101000323E-2</c:v>
                </c:pt>
                <c:pt idx="15">
                  <c:v>7.4514043086554724E-2</c:v>
                </c:pt>
                <c:pt idx="16">
                  <c:v>7.4699350411516097E-2</c:v>
                </c:pt>
                <c:pt idx="17">
                  <c:v>7.4884377532058205E-2</c:v>
                </c:pt>
                <c:pt idx="18">
                  <c:v>7.5069129260347978E-2</c:v>
                </c:pt>
                <c:pt idx="19">
                  <c:v>7.5253610615432384E-2</c:v>
                </c:pt>
                <c:pt idx="20">
                  <c:v>7.5437826678846451E-2</c:v>
                </c:pt>
                <c:pt idx="21">
                  <c:v>7.5621782456459258E-2</c:v>
                </c:pt>
                <c:pt idx="22">
                  <c:v>7.5805482747981545E-2</c:v>
                </c:pt>
                <c:pt idx="23">
                  <c:v>7.5988932025451761E-2</c:v>
                </c:pt>
                <c:pt idx="24">
                  <c:v>7.617213432189969E-2</c:v>
                </c:pt>
                <c:pt idx="25">
                  <c:v>7.6355093131258212E-2</c:v>
                </c:pt>
                <c:pt idx="26">
                  <c:v>7.6537811320456353E-2</c:v>
                </c:pt>
                <c:pt idx="27">
                  <c:v>7.6720291054482498E-2</c:v>
                </c:pt>
                <c:pt idx="28">
                  <c:v>7.6902533735055623E-2</c:v>
                </c:pt>
                <c:pt idx="29">
                  <c:v>7.7084539953389153E-2</c:v>
                </c:pt>
                <c:pt idx="30">
                  <c:v>7.7266309457373727E-2</c:v>
                </c:pt>
                <c:pt idx="31">
                  <c:v>7.7447841133348516E-2</c:v>
                </c:pt>
                <c:pt idx="32">
                  <c:v>7.7629133002473552E-2</c:v>
                </c:pt>
                <c:pt idx="33">
                  <c:v>7.7810182231561609E-2</c:v>
                </c:pt>
                <c:pt idx="34">
                  <c:v>7.7990985158077133E-2</c:v>
                </c:pt>
                <c:pt idx="35">
                  <c:v>7.8171537328866295E-2</c:v>
                </c:pt>
                <c:pt idx="36">
                  <c:v>7.8351833552043851E-2</c:v>
                </c:pt>
                <c:pt idx="37">
                  <c:v>7.8531867961333407E-2</c:v>
                </c:pt>
                <c:pt idx="38">
                  <c:v>7.8711634092038588E-2</c:v>
                </c:pt>
                <c:pt idx="39">
                  <c:v>7.8891124967713111E-2</c:v>
                </c:pt>
                <c:pt idx="40">
                  <c:v>7.9070333196501086E-2</c:v>
                </c:pt>
                <c:pt idx="41">
                  <c:v>7.9249251076034186E-2</c:v>
                </c:pt>
                <c:pt idx="42">
                  <c:v>7.9427870705700482E-2</c:v>
                </c:pt>
                <c:pt idx="43">
                  <c:v>7.9606184105043401E-2</c:v>
                </c:pt>
                <c:pt idx="44">
                  <c:v>7.9784183337004072E-2</c:v>
                </c:pt>
                <c:pt idx="45">
                  <c:v>7.9961860634693391E-2</c:v>
                </c:pt>
                <c:pt idx="46">
                  <c:v>8.0139208530363562E-2</c:v>
                </c:pt>
                <c:pt idx="47">
                  <c:v>8.0316219985250556E-2</c:v>
                </c:pt>
                <c:pt idx="48">
                  <c:v>8.0492888518971462E-2</c:v>
                </c:pt>
                <c:pt idx="49">
                  <c:v>8.0669208337189047E-2</c:v>
                </c:pt>
                <c:pt idx="50">
                  <c:v>8.0845174456296437E-2</c:v>
                </c:pt>
                <c:pt idx="51">
                  <c:v>8.1020782823927759E-2</c:v>
                </c:pt>
                <c:pt idx="52">
                  <c:v>8.1196030434166025E-2</c:v>
                </c:pt>
                <c:pt idx="53">
                  <c:v>8.1370915436394131E-2</c:v>
                </c:pt>
                <c:pt idx="54">
                  <c:v>8.1545437236820562E-2</c:v>
                </c:pt>
                <c:pt idx="55">
                  <c:v>8.1719596591804694E-2</c:v>
                </c:pt>
                <c:pt idx="56">
                  <c:v>8.1893395692207188E-2</c:v>
                </c:pt>
                <c:pt idx="57">
                  <c:v>8.2066838238098128E-2</c:v>
                </c:pt>
                <c:pt idx="58">
                  <c:v>8.2239929503266279E-2</c:v>
                </c:pt>
                <c:pt idx="59">
                  <c:v>8.241267638908753E-2</c:v>
                </c:pt>
                <c:pt idx="60">
                  <c:v>8.2585087467427751E-2</c:v>
                </c:pt>
                <c:pt idx="61">
                  <c:v>8.2757173012370372E-2</c:v>
                </c:pt>
                <c:pt idx="62">
                  <c:v>8.2928945020676936E-2</c:v>
                </c:pt>
                <c:pt idx="63">
                  <c:v>8.3100417221000644E-2</c:v>
                </c:pt>
                <c:pt idx="64">
                  <c:v>8.3271605071984334E-2</c:v>
                </c:pt>
                <c:pt idx="65">
                  <c:v>8.3442525749478594E-2</c:v>
                </c:pt>
                <c:pt idx="66">
                  <c:v>8.3613198123215396E-2</c:v>
                </c:pt>
                <c:pt idx="67">
                  <c:v>8.3783642723365095E-2</c:v>
                </c:pt>
                <c:pt idx="68">
                  <c:v>8.3953881697488034E-2</c:v>
                </c:pt>
                <c:pt idx="69">
                  <c:v>8.4123938758468228E-2</c:v>
                </c:pt>
                <c:pt idx="70">
                  <c:v>8.4293839124082004E-2</c:v>
                </c:pt>
                <c:pt idx="71">
                  <c:v>8.4463609448909738E-2</c:v>
                </c:pt>
                <c:pt idx="72">
                  <c:v>8.4633277749344274E-2</c:v>
                </c:pt>
                <c:pt idx="73">
                  <c:v>8.4802873322483138E-2</c:v>
                </c:pt>
                <c:pt idx="74">
                  <c:v>8.497242665971444E-2</c:v>
                </c:pt>
                <c:pt idx="75">
                  <c:v>8.5141969355817734E-2</c:v>
                </c:pt>
                <c:pt idx="76">
                  <c:v>8.5311534014401849E-2</c:v>
                </c:pt>
                <c:pt idx="77">
                  <c:v>8.548115415049061E-2</c:v>
                </c:pt>
                <c:pt idx="78">
                  <c:v>8.5650864091046705E-2</c:v>
                </c:pt>
                <c:pt idx="79">
                  <c:v>8.5820698874192705E-2</c:v>
                </c:pt>
                <c:pt idx="80">
                  <c:v>8.5990694147848212E-2</c:v>
                </c:pt>
                <c:pt idx="81">
                  <c:v>8.6160886068452208E-2</c:v>
                </c:pt>
                <c:pt idx="82">
                  <c:v>8.6331311200384495E-2</c:v>
                </c:pt>
                <c:pt idx="83">
                  <c:v>8.6502006416634719E-2</c:v>
                </c:pt>
                <c:pt idx="84">
                  <c:v>8.6673008801199825E-2</c:v>
                </c:pt>
                <c:pt idx="85">
                  <c:v>8.6844355553615707E-2</c:v>
                </c:pt>
                <c:pt idx="86">
                  <c:v>8.7016083895952223E-2</c:v>
                </c:pt>
                <c:pt idx="87">
                  <c:v>8.7188230982520251E-2</c:v>
                </c:pt>
                <c:pt idx="88">
                  <c:v>8.736083381245982E-2</c:v>
                </c:pt>
                <c:pt idx="89">
                  <c:v>8.753392914529648E-2</c:v>
                </c:pt>
                <c:pt idx="90">
                  <c:v>8.7707553419475087E-2</c:v>
                </c:pt>
                <c:pt idx="91">
                  <c:v>8.7881742673802776E-2</c:v>
                </c:pt>
                <c:pt idx="92">
                  <c:v>8.8056532471661078E-2</c:v>
                </c:pt>
                <c:pt idx="93">
                  <c:v>8.823195782777804E-2</c:v>
                </c:pt>
                <c:pt idx="94">
                  <c:v>8.8408053137290971E-2</c:v>
                </c:pt>
                <c:pt idx="95">
                  <c:v>8.8584852106773665E-2</c:v>
                </c:pt>
                <c:pt idx="96">
                  <c:v>8.8762387686856584E-2</c:v>
                </c:pt>
                <c:pt idx="97">
                  <c:v>8.8940692006028388E-2</c:v>
                </c:pt>
                <c:pt idx="98">
                  <c:v>8.9119796305179008E-2</c:v>
                </c:pt>
                <c:pt idx="99">
                  <c:v>8.9299730872424099E-2</c:v>
                </c:pt>
                <c:pt idx="100">
                  <c:v>8.9480524977741532E-2</c:v>
                </c:pt>
                <c:pt idx="101">
                  <c:v>8.9662206806952027E-2</c:v>
                </c:pt>
                <c:pt idx="102">
                  <c:v>8.9844803394586323E-2</c:v>
                </c:pt>
                <c:pt idx="103">
                  <c:v>9.0028340555205102E-2</c:v>
                </c:pt>
                <c:pt idx="104">
                  <c:v>9.0212842812768368E-2</c:v>
                </c:pt>
                <c:pt idx="105">
                  <c:v>9.0398333327695091E-2</c:v>
                </c:pt>
                <c:pt idx="106">
                  <c:v>9.0584833821304681E-2</c:v>
                </c:pt>
                <c:pt idx="107">
                  <c:v>9.0772364497393662E-2</c:v>
                </c:pt>
                <c:pt idx="108">
                  <c:v>9.096094396076973E-2</c:v>
                </c:pt>
                <c:pt idx="109">
                  <c:v>9.1150589132642582E-2</c:v>
                </c:pt>
                <c:pt idx="110">
                  <c:v>9.1341315162853168E-2</c:v>
                </c:pt>
                <c:pt idx="111">
                  <c:v>9.1533135339013069E-2</c:v>
                </c:pt>
                <c:pt idx="112">
                  <c:v>9.1726060992717101E-2</c:v>
                </c:pt>
                <c:pt idx="113">
                  <c:v>9.1920101403089066E-2</c:v>
                </c:pt>
                <c:pt idx="114">
                  <c:v>9.2115263698018091E-2</c:v>
                </c:pt>
                <c:pt idx="115">
                  <c:v>9.2311552753540665E-2</c:v>
                </c:pt>
                <c:pt idx="116">
                  <c:v>9.2508971091921466E-2</c:v>
                </c:pt>
                <c:pt idx="117">
                  <c:v>9.2707518779080011E-2</c:v>
                </c:pt>
                <c:pt idx="118">
                  <c:v>9.2907193322101692E-2</c:v>
                </c:pt>
                <c:pt idx="119">
                  <c:v>9.310798956765784E-2</c:v>
                </c:pt>
                <c:pt idx="120">
                  <c:v>9.3309899602239274E-2</c:v>
                </c:pt>
                <c:pt idx="121">
                  <c:v>9.3512912655178901E-2</c:v>
                </c:pt>
                <c:pt idx="122">
                  <c:v>9.3717015005503196E-2</c:v>
                </c:pt>
                <c:pt idx="123">
                  <c:v>9.3922189893704849E-2</c:v>
                </c:pt>
                <c:pt idx="124">
                  <c:v>9.4128417439570844E-2</c:v>
                </c:pt>
                <c:pt idx="125">
                  <c:v>9.4335674567230618E-2</c:v>
                </c:pt>
                <c:pt idx="126">
                  <c:v>9.4543934938606786E-2</c:v>
                </c:pt>
                <c:pt idx="127">
                  <c:v>9.4753168896453827E-2</c:v>
                </c:pt>
                <c:pt idx="128">
                  <c:v>9.4963343418161608E-2</c:v>
                </c:pt>
                <c:pt idx="129">
                  <c:v>9.517442208147614E-2</c:v>
                </c:pt>
                <c:pt idx="130">
                  <c:v>9.5386365043250876E-2</c:v>
                </c:pt>
                <c:pt idx="131">
                  <c:v>9.5599129032290189E-2</c:v>
                </c:pt>
                <c:pt idx="132">
                  <c:v>9.5812667357278711E-2</c:v>
                </c:pt>
                <c:pt idx="133">
                  <c:v>9.6026929930709326E-2</c:v>
                </c:pt>
                <c:pt idx="134">
                  <c:v>9.6241863309627876E-2</c:v>
                </c:pt>
                <c:pt idx="135">
                  <c:v>9.6457410753905778E-2</c:v>
                </c:pt>
                <c:pt idx="136">
                  <c:v>9.667351230263127E-2</c:v>
                </c:pt>
                <c:pt idx="137">
                  <c:v>9.6890104869080312E-2</c:v>
                </c:pt>
                <c:pt idx="138">
                  <c:v>9.7107122354587239E-2</c:v>
                </c:pt>
                <c:pt idx="139">
                  <c:v>9.7324495781485887E-2</c:v>
                </c:pt>
                <c:pt idx="140">
                  <c:v>9.7542153445135685E-2</c:v>
                </c:pt>
                <c:pt idx="141">
                  <c:v>9.7760021084884269E-2</c:v>
                </c:pt>
                <c:pt idx="142">
                  <c:v>9.7978022073651264E-2</c:v>
                </c:pt>
                <c:pt idx="143">
                  <c:v>9.8196077625648817E-2</c:v>
                </c:pt>
                <c:pt idx="144">
                  <c:v>9.8414107021583333E-2</c:v>
                </c:pt>
                <c:pt idx="145">
                  <c:v>9.8632027850513573E-2</c:v>
                </c:pt>
                <c:pt idx="146">
                  <c:v>9.8849756267372399E-2</c:v>
                </c:pt>
                <c:pt idx="147">
                  <c:v>9.9067207264997667E-2</c:v>
                </c:pt>
                <c:pt idx="148">
                  <c:v>9.9284294959359531E-2</c:v>
                </c:pt>
                <c:pt idx="149">
                  <c:v>9.9500932886523771E-2</c:v>
                </c:pt>
                <c:pt idx="150">
                  <c:v>9.9717034309750263E-2</c:v>
                </c:pt>
                <c:pt idx="151">
                  <c:v>9.993251253499813E-2</c:v>
                </c:pt>
                <c:pt idx="152">
                  <c:v>0.10014728123299269</c:v>
                </c:pt>
                <c:pt idx="153">
                  <c:v>0.10036125476590839</c:v>
                </c:pt>
                <c:pt idx="154">
                  <c:v>0.1005743485166348</c:v>
                </c:pt>
                <c:pt idx="155">
                  <c:v>0.10078647921852335</c:v>
                </c:pt>
                <c:pt idx="156">
                  <c:v>0.10099756528346041</c:v>
                </c:pt>
                <c:pt idx="157">
                  <c:v>0.10120752712607693</c:v>
                </c:pt>
                <c:pt idx="158">
                  <c:v>0.10141628748189181</c:v>
                </c:pt>
                <c:pt idx="159">
                  <c:v>0.10162377171718807</c:v>
                </c:pt>
                <c:pt idx="160">
                  <c:v>0.10182990812844697</c:v>
                </c:pt>
                <c:pt idx="161">
                  <c:v>0.10203462822920761</c:v>
                </c:pt>
                <c:pt idx="162">
                  <c:v>0.10223786702228346</c:v>
                </c:pt>
                <c:pt idx="163">
                  <c:v>0.10243956325534978</c:v>
                </c:pt>
                <c:pt idx="164">
                  <c:v>0.10263965965801754</c:v>
                </c:pt>
                <c:pt idx="165">
                  <c:v>0.10283810315862864</c:v>
                </c:pt>
                <c:pt idx="166">
                  <c:v>0.10303484507914389</c:v>
                </c:pt>
                <c:pt idx="167">
                  <c:v>0.10322984130664797</c:v>
                </c:pt>
                <c:pt idx="168">
                  <c:v>0.10342305244016295</c:v>
                </c:pt>
                <c:pt idx="169">
                  <c:v>0.1036144439116423</c:v>
                </c:pt>
                <c:pt idx="170">
                  <c:v>0.10380398608020985</c:v>
                </c:pt>
                <c:pt idx="171">
                  <c:v>0.10399165429891065</c:v>
                </c:pt>
                <c:pt idx="172">
                  <c:v>0.10417742895345056</c:v>
                </c:pt>
                <c:pt idx="173">
                  <c:v>0.10436129547261903</c:v>
                </c:pt>
                <c:pt idx="174">
                  <c:v>0.10454324431030909</c:v>
                </c:pt>
                <c:pt idx="175">
                  <c:v>0.10472327089927243</c:v>
                </c:pt>
                <c:pt idx="176">
                  <c:v>0.1049013755769702</c:v>
                </c:pt>
                <c:pt idx="177">
                  <c:v>0.10507756348410072</c:v>
                </c:pt>
                <c:pt idx="178">
                  <c:v>0.10525184443660139</c:v>
                </c:pt>
                <c:pt idx="179">
                  <c:v>0.10542423277213346</c:v>
                </c:pt>
                <c:pt idx="180">
                  <c:v>0.10559474717225838</c:v>
                </c:pt>
                <c:pt idx="181">
                  <c:v>0.10576341046170709</c:v>
                </c:pt>
                <c:pt idx="182">
                  <c:v>0.10593024938632199</c:v>
                </c:pt>
                <c:pt idx="183">
                  <c:v>0.1060952943714162</c:v>
                </c:pt>
                <c:pt idx="184">
                  <c:v>0.10625857926244496</c:v>
                </c:pt>
                <c:pt idx="185">
                  <c:v>0.10642014105001456</c:v>
                </c:pt>
                <c:pt idx="186">
                  <c:v>0.10658001958136983</c:v>
                </c:pt>
                <c:pt idx="187">
                  <c:v>0.10673825726059352</c:v>
                </c:pt>
                <c:pt idx="188">
                  <c:v>0.10689489873982573</c:v>
                </c:pt>
                <c:pt idx="189">
                  <c:v>0.10704999060386299</c:v>
                </c:pt>
                <c:pt idx="190">
                  <c:v>0.10720358105052724</c:v>
                </c:pt>
                <c:pt idx="191">
                  <c:v>0.10735571956920358</c:v>
                </c:pt>
                <c:pt idx="192">
                  <c:v>0.10750645661993087</c:v>
                </c:pt>
                <c:pt idx="193">
                  <c:v>0.10765584331539461</c:v>
                </c:pt>
                <c:pt idx="194">
                  <c:v>0.10780393110811262</c:v>
                </c:pt>
                <c:pt idx="195">
                  <c:v>0.10795077148502602</c:v>
                </c:pt>
                <c:pt idx="196">
                  <c:v>0.10809641567160919</c:v>
                </c:pt>
                <c:pt idx="197">
                  <c:v>0.1082409143474935</c:v>
                </c:pt>
                <c:pt idx="198">
                  <c:v>0.10838431737546432</c:v>
                </c:pt>
                <c:pt idx="199">
                  <c:v>0.1085266735455369</c:v>
                </c:pt>
                <c:pt idx="200">
                  <c:v>0.10866803033565031</c:v>
                </c:pt>
                <c:pt idx="201">
                  <c:v>0.10880843369033595</c:v>
                </c:pt>
                <c:pt idx="202">
                  <c:v>0.10894792781852637</c:v>
                </c:pt>
                <c:pt idx="203">
                  <c:v>0.10908655501146716</c:v>
                </c:pt>
                <c:pt idx="204">
                  <c:v>0.10922435548148565</c:v>
                </c:pt>
                <c:pt idx="205">
                  <c:v>0.10936136722215758</c:v>
                </c:pt>
                <c:pt idx="206">
                  <c:v>0.10949762589019349</c:v>
                </c:pt>
                <c:pt idx="207">
                  <c:v>0.10963316470915159</c:v>
                </c:pt>
                <c:pt idx="208">
                  <c:v>0.10976801439486626</c:v>
                </c:pt>
                <c:pt idx="209">
                  <c:v>0.10990220310227083</c:v>
                </c:pt>
                <c:pt idx="210">
                  <c:v>0.11003575639308705</c:v>
                </c:pt>
                <c:pt idx="211">
                  <c:v>0.11016869722365674</c:v>
                </c:pt>
                <c:pt idx="212">
                  <c:v>0.11030104595200486</c:v>
                </c:pt>
                <c:pt idx="213">
                  <c:v>0.1104328203630479</c:v>
                </c:pt>
                <c:pt idx="214">
                  <c:v>0.11056403571070275</c:v>
                </c:pt>
                <c:pt idx="215">
                  <c:v>0.11069470477550633</c:v>
                </c:pt>
                <c:pt idx="216">
                  <c:v>0.11082483793622926</c:v>
                </c:pt>
                <c:pt idx="217">
                  <c:v>0.11095444325386036</c:v>
                </c:pt>
                <c:pt idx="218">
                  <c:v>0.11108352656624876</c:v>
                </c:pt>
                <c:pt idx="219">
                  <c:v>0.11121209159162478</c:v>
                </c:pt>
                <c:pt idx="220">
                  <c:v>0.11134014003917357</c:v>
                </c:pt>
                <c:pt idx="221">
                  <c:v>0.11146767172481314</c:v>
                </c:pt>
                <c:pt idx="222">
                  <c:v>0.11159468469032424</c:v>
                </c:pt>
                <c:pt idx="223">
                  <c:v>0.11172117532400211</c:v>
                </c:pt>
                <c:pt idx="224">
                  <c:v>0.11184713848104084</c:v>
                </c:pt>
                <c:pt idx="225">
                  <c:v>0.11197256760192408</c:v>
                </c:pt>
                <c:pt idx="226">
                  <c:v>0.11209745482718042</c:v>
                </c:pt>
                <c:pt idx="227">
                  <c:v>0.11222179110696488</c:v>
                </c:pt>
                <c:pt idx="228">
                  <c:v>0.11234556630404828</c:v>
                </c:pt>
                <c:pt idx="229">
                  <c:v>0.11246876928893705</c:v>
                </c:pt>
                <c:pt idx="230">
                  <c:v>0.11259138802599732</c:v>
                </c:pt>
                <c:pt idx="231">
                  <c:v>0.11271340964962616</c:v>
                </c:pt>
                <c:pt idx="232">
                  <c:v>0.11283482052969128</c:v>
                </c:pt>
                <c:pt idx="233">
                  <c:v>0.11295560632564811</c:v>
                </c:pt>
                <c:pt idx="234">
                  <c:v>0.11307575202894005</c:v>
                </c:pt>
                <c:pt idx="235">
                  <c:v>0.11319524199348752</c:v>
                </c:pt>
                <c:pt idx="236">
                  <c:v>0.11331405995427535</c:v>
                </c:pt>
                <c:pt idx="237">
                  <c:v>0.11343218903425133</c:v>
                </c:pt>
                <c:pt idx="238">
                  <c:v>0.11354961173995055</c:v>
                </c:pt>
                <c:pt idx="239">
                  <c:v>0.11366630994645725</c:v>
                </c:pt>
                <c:pt idx="240">
                  <c:v>0.11378226487250603</c:v>
                </c:pt>
                <c:pt idx="241">
                  <c:v>0.11389745704670458</c:v>
                </c:pt>
                <c:pt idx="242">
                  <c:v>0.11401186626603099</c:v>
                </c:pt>
                <c:pt idx="243">
                  <c:v>0.11412547154791326</c:v>
                </c:pt>
                <c:pt idx="244">
                  <c:v>0.11423825107734054</c:v>
                </c:pt>
                <c:pt idx="245">
                  <c:v>0.11435018215057728</c:v>
                </c:pt>
                <c:pt idx="246">
                  <c:v>0.11446124111715787</c:v>
                </c:pt>
                <c:pt idx="247">
                  <c:v>0.11457140332192146</c:v>
                </c:pt>
                <c:pt idx="248">
                  <c:v>0.11468064304891008</c:v>
                </c:pt>
                <c:pt idx="249">
                  <c:v>0.11478893346899277</c:v>
                </c:pt>
                <c:pt idx="250">
                  <c:v>0.11489624659309501</c:v>
                </c:pt>
                <c:pt idx="251">
                  <c:v>0.11500255323290562</c:v>
                </c:pt>
                <c:pt idx="252">
                  <c:v>0.11510782297090125</c:v>
                </c:pt>
                <c:pt idx="253">
                  <c:v>0.11521202414147458</c:v>
                </c:pt>
                <c:pt idx="254">
                  <c:v>0.11531512382487172</c:v>
                </c:pt>
                <c:pt idx="255">
                  <c:v>0.1154170878555436</c:v>
                </c:pt>
                <c:pt idx="256">
                  <c:v>0.11551788084639017</c:v>
                </c:pt>
                <c:pt idx="257">
                  <c:v>0.11561746623023145</c:v>
                </c:pt>
                <c:pt idx="258">
                  <c:v>0.11571580631967313</c:v>
                </c:pt>
                <c:pt idx="259">
                  <c:v>0.11581286238635008</c:v>
                </c:pt>
                <c:pt idx="260">
                  <c:v>0.1159085947603307</c:v>
                </c:pt>
                <c:pt idx="261">
                  <c:v>0.11600296295024914</c:v>
                </c:pt>
                <c:pt idx="262">
                  <c:v>0.11609592578450469</c:v>
                </c:pt>
                <c:pt idx="263">
                  <c:v>0.11618744157362845</c:v>
                </c:pt>
                <c:pt idx="264">
                  <c:v>0.11627746829367332</c:v>
                </c:pt>
                <c:pt idx="265">
                  <c:v>0.11636596379022934</c:v>
                </c:pt>
                <c:pt idx="266">
                  <c:v>0.11645288600241564</c:v>
                </c:pt>
                <c:pt idx="267">
                  <c:v>0.11653819320594405</c:v>
                </c:pt>
                <c:pt idx="268">
                  <c:v>0.11662184427410031</c:v>
                </c:pt>
                <c:pt idx="269">
                  <c:v>0.11670379895524383</c:v>
                </c:pt>
                <c:pt idx="270">
                  <c:v>0.11678401816518834</c:v>
                </c:pt>
                <c:pt idx="271">
                  <c:v>0.1168624642926034</c:v>
                </c:pt>
                <c:pt idx="272">
                  <c:v>0.11693910151536115</c:v>
                </c:pt>
                <c:pt idx="273">
                  <c:v>0.11701389612555928</c:v>
                </c:pt>
                <c:pt idx="274">
                  <c:v>0.11708681686077291</c:v>
                </c:pt>
                <c:pt idx="275">
                  <c:v>0.11715783523893032</c:v>
                </c:pt>
                <c:pt idx="276">
                  <c:v>0.11722692589407413</c:v>
                </c:pt>
                <c:pt idx="277">
                  <c:v>0.11729406691015928</c:v>
                </c:pt>
                <c:pt idx="278">
                  <c:v>0.11735924014995411</c:v>
                </c:pt>
                <c:pt idx="279">
                  <c:v>0.11742243157605539</c:v>
                </c:pt>
                <c:pt idx="280">
                  <c:v>0.11748363156099774</c:v>
                </c:pt>
                <c:pt idx="281">
                  <c:v>0.1175428351834395</c:v>
                </c:pt>
                <c:pt idx="282">
                  <c:v>0.11760004250743553</c:v>
                </c:pt>
                <c:pt idx="283">
                  <c:v>0.11765525884186803</c:v>
                </c:pt>
                <c:pt idx="284">
                  <c:v>0.11770849497719413</c:v>
                </c:pt>
                <c:pt idx="285">
                  <c:v>0.1177597673967873</c:v>
                </c:pt>
                <c:pt idx="286">
                  <c:v>0.11780909846029651</c:v>
                </c:pt>
                <c:pt idx="287">
                  <c:v>0.11785651655661977</c:v>
                </c:pt>
                <c:pt idx="288">
                  <c:v>0.11790205622428916</c:v>
                </c:pt>
                <c:pt idx="289">
                  <c:v>0.11794575823728874</c:v>
                </c:pt>
                <c:pt idx="290">
                  <c:v>0.11798766965457322</c:v>
                </c:pt>
                <c:pt idx="291">
                  <c:v>0.11802784383182381</c:v>
                </c:pt>
                <c:pt idx="292">
                  <c:v>0.11806634039426284</c:v>
                </c:pt>
                <c:pt idx="293">
                  <c:v>0.1181032251696512</c:v>
                </c:pt>
                <c:pt idx="294">
                  <c:v>0.1181385700809077</c:v>
                </c:pt>
                <c:pt idx="295">
                  <c:v>0.11817245299811455</c:v>
                </c:pt>
                <c:pt idx="296">
                  <c:v>0.11820495755000643</c:v>
                </c:pt>
                <c:pt idx="297">
                  <c:v>0.11823617289537749</c:v>
                </c:pt>
                <c:pt idx="298">
                  <c:v>0.11826619345517923</c:v>
                </c:pt>
                <c:pt idx="299">
                  <c:v>0.11829511860641861</c:v>
                </c:pt>
                <c:pt idx="300">
                  <c:v>0.11832305233929763</c:v>
                </c:pt>
                <c:pt idx="301">
                  <c:v>0.11835010287935709</c:v>
                </c:pt>
                <c:pt idx="302">
                  <c:v>0.118376382276702</c:v>
                </c:pt>
                <c:pt idx="303">
                  <c:v>0.11840200596467991</c:v>
                </c:pt>
                <c:pt idx="304">
                  <c:v>0.11842709229066693</c:v>
                </c:pt>
                <c:pt idx="305">
                  <c:v>0.11845176202187405</c:v>
                </c:pt>
                <c:pt idx="306">
                  <c:v>0.11847613782932533</c:v>
                </c:pt>
                <c:pt idx="307">
                  <c:v>0.11850034375337189</c:v>
                </c:pt>
                <c:pt idx="308">
                  <c:v>0.11852450465429086</c:v>
                </c:pt>
                <c:pt idx="309">
                  <c:v>0.11854874565167584</c:v>
                </c:pt>
                <c:pt idx="310">
                  <c:v>0.11857319155645096</c:v>
                </c:pt>
                <c:pt idx="311">
                  <c:v>0.11859796629943452</c:v>
                </c:pt>
                <c:pt idx="312">
                  <c:v>0.11862319236043982</c:v>
                </c:pt>
                <c:pt idx="313">
                  <c:v>0.11864899020192733</c:v>
                </c:pt>
                <c:pt idx="314">
                  <c:v>0.11867547771121571</c:v>
                </c:pt>
                <c:pt idx="315">
                  <c:v>0.11870276965521734</c:v>
                </c:pt>
                <c:pt idx="316">
                  <c:v>0.11873097715158917</c:v>
                </c:pt>
                <c:pt idx="317">
                  <c:v>0.11876020716007987</c:v>
                </c:pt>
                <c:pt idx="318">
                  <c:v>0.11879056199771248</c:v>
                </c:pt>
                <c:pt idx="319">
                  <c:v>0.11882213888126861</c:v>
                </c:pt>
                <c:pt idx="320">
                  <c:v>0.11885502950033562</c:v>
                </c:pt>
                <c:pt idx="321">
                  <c:v>0.11888931962394764</c:v>
                </c:pt>
                <c:pt idx="322">
                  <c:v>0.11892508874359094</c:v>
                </c:pt>
                <c:pt idx="323">
                  <c:v>0.11896240975506303</c:v>
                </c:pt>
                <c:pt idx="324">
                  <c:v>0.1190013486813702</c:v>
                </c:pt>
                <c:pt idx="325">
                  <c:v>0.11904196443852488</c:v>
                </c:pt>
                <c:pt idx="326">
                  <c:v>0.1190843086457653</c:v>
                </c:pt>
                <c:pt idx="327">
                  <c:v>0.11912842548136807</c:v>
                </c:pt>
                <c:pt idx="328">
                  <c:v>0.11917435158486203</c:v>
                </c:pt>
                <c:pt idx="329">
                  <c:v>0.11922211600608355</c:v>
                </c:pt>
                <c:pt idx="330">
                  <c:v>0.11927174020114147</c:v>
                </c:pt>
                <c:pt idx="331">
                  <c:v>0.11932323807498905</c:v>
                </c:pt>
                <c:pt idx="332">
                  <c:v>0.11937661606993115</c:v>
                </c:pt>
                <c:pt idx="333">
                  <c:v>0.11943187329903465</c:v>
                </c:pt>
                <c:pt idx="334">
                  <c:v>0.11948900172305783</c:v>
                </c:pt>
                <c:pt idx="335">
                  <c:v>0.11954798636917703</c:v>
                </c:pt>
                <c:pt idx="336">
                  <c:v>0.11960880558946695</c:v>
                </c:pt>
                <c:pt idx="337">
                  <c:v>0.119671431356787</c:v>
                </c:pt>
                <c:pt idx="338">
                  <c:v>0.11973582959544644</c:v>
                </c:pt>
                <c:pt idx="339">
                  <c:v>0.11980196054376306</c:v>
                </c:pt>
                <c:pt idx="340">
                  <c:v>0.11986977914539922</c:v>
                </c:pt>
                <c:pt idx="341">
                  <c:v>0.11993923546615824</c:v>
                </c:pt>
                <c:pt idx="342">
                  <c:v>0.12001027513275003</c:v>
                </c:pt>
                <c:pt idx="343">
                  <c:v>0.12008283978989603</c:v>
                </c:pt>
                <c:pt idx="344">
                  <c:v>0.12015686757203432</c:v>
                </c:pt>
                <c:pt idx="345">
                  <c:v>0.12023229358581111</c:v>
                </c:pt>
                <c:pt idx="346">
                  <c:v>0.12030905039950499</c:v>
                </c:pt>
                <c:pt idx="347">
                  <c:v>0.12038706853552257</c:v>
                </c:pt>
                <c:pt idx="348">
                  <c:v>0.12046627696213187</c:v>
                </c:pt>
                <c:pt idx="349">
                  <c:v>0.1205466035806602</c:v>
                </c:pt>
                <c:pt idx="350">
                  <c:v>0.12062797570447653</c:v>
                </c:pt>
                <c:pt idx="351">
                  <c:v>0.12071032052620287</c:v>
                </c:pt>
                <c:pt idx="352">
                  <c:v>0.1207935655697545</c:v>
                </c:pt>
                <c:pt idx="353">
                  <c:v>0.12087763912399091</c:v>
                </c:pt>
                <c:pt idx="354">
                  <c:v>0.12096247065497091</c:v>
                </c:pt>
                <c:pt idx="355">
                  <c:v>0.12104799119403749</c:v>
                </c:pt>
                <c:pt idx="356">
                  <c:v>0.12113413369921525</c:v>
                </c:pt>
                <c:pt idx="357">
                  <c:v>0.12122083338767886</c:v>
                </c:pt>
                <c:pt idx="358">
                  <c:v>0.12130802803734141</c:v>
                </c:pt>
                <c:pt idx="359">
                  <c:v>0.12139565825591959</c:v>
                </c:pt>
                <c:pt idx="360">
                  <c:v>0.12148366771614706</c:v>
                </c:pt>
                <c:pt idx="361">
                  <c:v>0.12157200335613326</c:v>
                </c:pt>
                <c:pt idx="362">
                  <c:v>0.12166061554419191</c:v>
                </c:pt>
                <c:pt idx="363">
                  <c:v>0.12174945820779605</c:v>
                </c:pt>
                <c:pt idx="364">
                  <c:v>0.12183848892664172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1.6415227505194072E-2</c:v>
                </c:pt>
                <c:pt idx="1">
                  <c:v>1.6392151189113545E-2</c:v>
                </c:pt>
                <c:pt idx="2">
                  <c:v>1.6364713232562073E-2</c:v>
                </c:pt>
                <c:pt idx="3">
                  <c:v>1.6332657820113613E-2</c:v>
                </c:pt>
                <c:pt idx="4">
                  <c:v>1.6295754923449996E-2</c:v>
                </c:pt>
                <c:pt idx="5">
                  <c:v>1.6253801042531241E-2</c:v>
                </c:pt>
                <c:pt idx="6">
                  <c:v>1.6206619803047745E-2</c:v>
                </c:pt>
                <c:pt idx="7">
                  <c:v>1.6154062344793555E-2</c:v>
                </c:pt>
                <c:pt idx="8">
                  <c:v>1.6095455571062331E-2</c:v>
                </c:pt>
                <c:pt idx="9">
                  <c:v>1.6014511247905611E-2</c:v>
                </c:pt>
                <c:pt idx="10">
                  <c:v>1.5908644526014155E-2</c:v>
                </c:pt>
                <c:pt idx="11">
                  <c:v>1.5779309485009937E-2</c:v>
                </c:pt>
                <c:pt idx="12">
                  <c:v>1.5627946545106842E-2</c:v>
                </c:pt>
                <c:pt idx="13">
                  <c:v>1.545596927894151E-2</c:v>
                </c:pt>
                <c:pt idx="14">
                  <c:v>0</c:v>
                </c:pt>
                <c:pt idx="15">
                  <c:v>7.2874533741516466E-7</c:v>
                </c:pt>
                <c:pt idx="16">
                  <c:v>1.4578591386704137E-6</c:v>
                </c:pt>
                <c:pt idx="17">
                  <c:v>2.1839187055887891E-6</c:v>
                </c:pt>
                <c:pt idx="18">
                  <c:v>2.9034779054296482E-6</c:v>
                </c:pt>
                <c:pt idx="19">
                  <c:v>3.6130739764782096E-6</c:v>
                </c:pt>
                <c:pt idx="20">
                  <c:v>4.3092180055575325E-6</c:v>
                </c:pt>
                <c:pt idx="21">
                  <c:v>4.9883504012112749E-6</c:v>
                </c:pt>
                <c:pt idx="22">
                  <c:v>5.6462570918507734E-6</c:v>
                </c:pt>
                <c:pt idx="23">
                  <c:v>6.2889092590450578E-6</c:v>
                </c:pt>
                <c:pt idx="24">
                  <c:v>6.9259012262651967E-6</c:v>
                </c:pt>
                <c:pt idx="25">
                  <c:v>7.5601221200012515E-6</c:v>
                </c:pt>
                <c:pt idx="26">
                  <c:v>8.1946008779356563E-6</c:v>
                </c:pt>
                <c:pt idx="27">
                  <c:v>8.8325093587560548E-6</c:v>
                </c:pt>
                <c:pt idx="28">
                  <c:v>9.4771665096996484E-6</c:v>
                </c:pt>
                <c:pt idx="29">
                  <c:v>1.0146970229894729E-5</c:v>
                </c:pt>
                <c:pt idx="30">
                  <c:v>1.0852412042488378E-5</c:v>
                </c:pt>
                <c:pt idx="31">
                  <c:v>1.1601680535562678E-5</c:v>
                </c:pt>
                <c:pt idx="32">
                  <c:v>1.2403337543779302E-5</c:v>
                </c:pt>
                <c:pt idx="33">
                  <c:v>1.3266342139532578E-5</c:v>
                </c:pt>
                <c:pt idx="34">
                  <c:v>1.4200076907990685E-5</c:v>
                </c:pt>
                <c:pt idx="35">
                  <c:v>1.5214376532327269E-5</c:v>
                </c:pt>
                <c:pt idx="36">
                  <c:v>1.6319800910088183E-5</c:v>
                </c:pt>
                <c:pt idx="37">
                  <c:v>1.7536305586058919E-5</c:v>
                </c:pt>
                <c:pt idx="38">
                  <c:v>1.8843142000759041E-5</c:v>
                </c:pt>
                <c:pt idx="39">
                  <c:v>2.0247954057187285E-5</c:v>
                </c:pt>
                <c:pt idx="40">
                  <c:v>2.1758693415048868E-5</c:v>
                </c:pt>
                <c:pt idx="41">
                  <c:v>2.3383628428203375E-5</c:v>
                </c:pt>
                <c:pt idx="42">
                  <c:v>2.5131352437005378E-5</c:v>
                </c:pt>
                <c:pt idx="43">
                  <c:v>2.7023370183562117E-5</c:v>
                </c:pt>
                <c:pt idx="44">
                  <c:v>2.9035132890907956E-5</c:v>
                </c:pt>
                <c:pt idx="45">
                  <c:v>3.1173144447346087E-5</c:v>
                </c:pt>
                <c:pt idx="46">
                  <c:v>3.3444109222353188E-5</c:v>
                </c:pt>
                <c:pt idx="47">
                  <c:v>3.585493418214808E-5</c:v>
                </c:pt>
                <c:pt idx="48">
                  <c:v>3.8412731063179717E-5</c:v>
                </c:pt>
                <c:pt idx="49">
                  <c:v>4.1124818736365964E-5</c:v>
                </c:pt>
                <c:pt idx="50">
                  <c:v>4.3998927638970644E-5</c:v>
                </c:pt>
                <c:pt idx="51">
                  <c:v>4.7049910771003492E-5</c:v>
                </c:pt>
                <c:pt idx="52">
                  <c:v>5.0269517845441823E-5</c:v>
                </c:pt>
                <c:pt idx="53">
                  <c:v>5.3665972250198334E-5</c:v>
                </c:pt>
                <c:pt idx="54">
                  <c:v>5.724818116010467E-5</c:v>
                </c:pt>
                <c:pt idx="55">
                  <c:v>6.1025547150432457E-5</c:v>
                </c:pt>
                <c:pt idx="56">
                  <c:v>6.5007999980039728E-5</c:v>
                </c:pt>
                <c:pt idx="57">
                  <c:v>6.9188755580780427E-5</c:v>
                </c:pt>
                <c:pt idx="58">
                  <c:v>7.3553632047907425E-5</c:v>
                </c:pt>
                <c:pt idx="59">
                  <c:v>7.8109690312822808E-5</c:v>
                </c:pt>
                <c:pt idx="60">
                  <c:v>8.2864412250196719E-5</c:v>
                </c:pt>
                <c:pt idx="61">
                  <c:v>8.7825725544610008E-5</c:v>
                </c:pt>
                <c:pt idx="62">
                  <c:v>9.3002030104624687E-5</c:v>
                </c:pt>
                <c:pt idx="63">
                  <c:v>9.840222608858924E-5</c:v>
                </c:pt>
                <c:pt idx="64">
                  <c:v>1.0402746027243229E-4</c:v>
                </c:pt>
                <c:pt idx="65">
                  <c:v>1.0977024293011701E-4</c:v>
                </c:pt>
                <c:pt idx="66">
                  <c:v>1.1561842029231819E-4</c:v>
                </c:pt>
                <c:pt idx="67">
                  <c:v>1.2156930983483447E-4</c:v>
                </c:pt>
                <c:pt idx="68">
                  <c:v>1.276202623480706E-4</c:v>
                </c:pt>
                <c:pt idx="69">
                  <c:v>1.3376863454460372E-4</c:v>
                </c:pt>
                <c:pt idx="70">
                  <c:v>1.4001175809313178E-4</c:v>
                </c:pt>
                <c:pt idx="71">
                  <c:v>1.4611910820678839E-4</c:v>
                </c:pt>
                <c:pt idx="72">
                  <c:v>1.5209377581283702E-4</c:v>
                </c:pt>
                <c:pt idx="73">
                  <c:v>1.5791101116620392E-4</c:v>
                </c:pt>
                <c:pt idx="74">
                  <c:v>1.6354442555900576E-4</c:v>
                </c:pt>
                <c:pt idx="75">
                  <c:v>1.6896579777588724E-4</c:v>
                </c:pt>
                <c:pt idx="76">
                  <c:v>1.7414486302291267E-4</c:v>
                </c:pt>
                <c:pt idx="77">
                  <c:v>1.7904908285632586E-4</c:v>
                </c:pt>
                <c:pt idx="78">
                  <c:v>1.8362332819566967E-4</c:v>
                </c:pt>
                <c:pt idx="79">
                  <c:v>1.8771600837424882E-4</c:v>
                </c:pt>
                <c:pt idx="80">
                  <c:v>1.9145726995681501E-4</c:v>
                </c:pt>
                <c:pt idx="81">
                  <c:v>1.9481180399907888E-4</c:v>
                </c:pt>
                <c:pt idx="82">
                  <c:v>1.977417120611772E-4</c:v>
                </c:pt>
                <c:pt idx="83">
                  <c:v>2.0020620182362745E-4</c:v>
                </c:pt>
                <c:pt idx="84">
                  <c:v>2.0216125730245906E-4</c:v>
                </c:pt>
                <c:pt idx="85">
                  <c:v>2.0364895881232764E-4</c:v>
                </c:pt>
                <c:pt idx="86">
                  <c:v>2.0500265182940623E-4</c:v>
                </c:pt>
                <c:pt idx="87">
                  <c:v>2.0621486778383915E-4</c:v>
                </c:pt>
                <c:pt idx="88">
                  <c:v>2.0727713400513949E-4</c:v>
                </c:pt>
                <c:pt idx="89">
                  <c:v>2.0817988142378589E-4</c:v>
                </c:pt>
                <c:pt idx="90">
                  <c:v>2.0891234530170157E-4</c:v>
                </c:pt>
                <c:pt idx="91">
                  <c:v>2.0946245819794917E-4</c:v>
                </c:pt>
                <c:pt idx="92">
                  <c:v>2.098050848158943E-4</c:v>
                </c:pt>
                <c:pt idx="93">
                  <c:v>2.0985465250769378E-4</c:v>
                </c:pt>
                <c:pt idx="94">
                  <c:v>2.0974046229453542E-4</c:v>
                </c:pt>
                <c:pt idx="95">
                  <c:v>2.094499370737937E-4</c:v>
                </c:pt>
                <c:pt idx="96">
                  <c:v>2.0896976220094758E-4</c:v>
                </c:pt>
                <c:pt idx="97">
                  <c:v>2.0828585182278657E-4</c:v>
                </c:pt>
                <c:pt idx="98">
                  <c:v>2.0738331529495974E-4</c:v>
                </c:pt>
                <c:pt idx="99">
                  <c:v>2.0633163189588414E-4</c:v>
                </c:pt>
                <c:pt idx="100">
                  <c:v>2.0497244875672952E-4</c:v>
                </c:pt>
                <c:pt idx="101">
                  <c:v>2.0328173773251831E-4</c:v>
                </c:pt>
                <c:pt idx="102">
                  <c:v>2.0123400289463126E-4</c:v>
                </c:pt>
                <c:pt idx="103">
                  <c:v>1.9880221610176483E-4</c:v>
                </c:pt>
                <c:pt idx="104">
                  <c:v>1.959577529567313E-4</c:v>
                </c:pt>
                <c:pt idx="105">
                  <c:v>1.9267032934766991E-4</c:v>
                </c:pt>
                <c:pt idx="106">
                  <c:v>1.8890888506715151E-4</c:v>
                </c:pt>
                <c:pt idx="107">
                  <c:v>1.8522295724585972E-4</c:v>
                </c:pt>
                <c:pt idx="108">
                  <c:v>1.8173764647752861E-4</c:v>
                </c:pt>
                <c:pt idx="109">
                  <c:v>1.7849672574458186E-4</c:v>
                </c:pt>
                <c:pt idx="110">
                  <c:v>1.7554878966387314E-4</c:v>
                </c:pt>
                <c:pt idx="111">
                  <c:v>1.7294705320829485E-4</c:v>
                </c:pt>
                <c:pt idx="112">
                  <c:v>1.7074919956927036E-4</c:v>
                </c:pt>
                <c:pt idx="113">
                  <c:v>1.6942557041680953E-4</c:v>
                </c:pt>
                <c:pt idx="114">
                  <c:v>1.6894359214649841E-4</c:v>
                </c:pt>
                <c:pt idx="115">
                  <c:v>1.6941108464865707E-4</c:v>
                </c:pt>
                <c:pt idx="116">
                  <c:v>1.7094480810549121E-4</c:v>
                </c:pt>
                <c:pt idx="117">
                  <c:v>1.736709836028683E-4</c:v>
                </c:pt>
                <c:pt idx="118">
                  <c:v>1.7772582152309561E-4</c:v>
                </c:pt>
                <c:pt idx="119">
                  <c:v>1.8325605487540562E-4</c:v>
                </c:pt>
                <c:pt idx="120">
                  <c:v>1.9041792187770429E-4</c:v>
                </c:pt>
                <c:pt idx="121">
                  <c:v>1.9937533127737994E-4</c:v>
                </c:pt>
                <c:pt idx="122">
                  <c:v>2.0929423238805024E-4</c:v>
                </c:pt>
                <c:pt idx="123">
                  <c:v>2.2025346840987337E-4</c:v>
                </c:pt>
                <c:pt idx="124">
                  <c:v>2.3233673687157936E-4</c:v>
                </c:pt>
                <c:pt idx="125">
                  <c:v>2.4563276859343393E-4</c:v>
                </c:pt>
                <c:pt idx="126">
                  <c:v>2.6023550027602031E-4</c:v>
                </c:pt>
                <c:pt idx="127">
                  <c:v>2.7621215802155387E-4</c:v>
                </c:pt>
                <c:pt idx="128">
                  <c:v>2.9295358220079288E-4</c:v>
                </c:pt>
                <c:pt idx="129">
                  <c:v>3.1048700642671959E-4</c:v>
                </c:pt>
                <c:pt idx="130">
                  <c:v>3.2883983406945411E-4</c:v>
                </c:pt>
                <c:pt idx="131">
                  <c:v>3.4803956521880716E-4</c:v>
                </c:pt>
                <c:pt idx="132">
                  <c:v>3.6811371910034697E-4</c:v>
                </c:pt>
                <c:pt idx="133">
                  <c:v>3.8908975260172152E-4</c:v>
                </c:pt>
                <c:pt idx="134">
                  <c:v>4.1099770209421894E-4</c:v>
                </c:pt>
                <c:pt idx="135">
                  <c:v>4.3376286215563201E-4</c:v>
                </c:pt>
                <c:pt idx="136">
                  <c:v>4.5740357169600206E-4</c:v>
                </c:pt>
                <c:pt idx="137">
                  <c:v>4.8192968369377653E-4</c:v>
                </c:pt>
                <c:pt idx="138">
                  <c:v>5.0734880894166227E-4</c:v>
                </c:pt>
                <c:pt idx="139">
                  <c:v>5.3366611537022999E-4</c:v>
                </c:pt>
                <c:pt idx="140">
                  <c:v>5.608841277274188E-4</c:v>
                </c:pt>
                <c:pt idx="141">
                  <c:v>5.8878294819257116E-4</c:v>
                </c:pt>
                <c:pt idx="142">
                  <c:v>6.1738778095356934E-4</c:v>
                </c:pt>
                <c:pt idx="143">
                  <c:v>6.4667045221593247E-4</c:v>
                </c:pt>
                <c:pt idx="144">
                  <c:v>6.7660211575906628E-4</c:v>
                </c:pt>
                <c:pt idx="145">
                  <c:v>7.0714976420136974E-4</c:v>
                </c:pt>
                <c:pt idx="146">
                  <c:v>7.3827613918975808E-4</c:v>
                </c:pt>
                <c:pt idx="147">
                  <c:v>7.6993966605776003E-4</c:v>
                </c:pt>
                <c:pt idx="148">
                  <c:v>8.0211800629799012E-4</c:v>
                </c:pt>
                <c:pt idx="149">
                  <c:v>8.3459989671748086E-4</c:v>
                </c:pt>
                <c:pt idx="150">
                  <c:v>8.6748871237458253E-4</c:v>
                </c:pt>
                <c:pt idx="151">
                  <c:v>9.0073056281423335E-4</c:v>
                </c:pt>
                <c:pt idx="152">
                  <c:v>9.3426762759181783E-4</c:v>
                </c:pt>
                <c:pt idx="153">
                  <c:v>9.6803824749576797E-4</c:v>
                </c:pt>
                <c:pt idx="154">
                  <c:v>1.0019770446523979E-3</c:v>
                </c:pt>
                <c:pt idx="155">
                  <c:v>1.0359172239113919E-3</c:v>
                </c:pt>
                <c:pt idx="156">
                  <c:v>1.0701283691649252E-3</c:v>
                </c:pt>
                <c:pt idx="157">
                  <c:v>1.1045557912925858E-3</c:v>
                </c:pt>
                <c:pt idx="158">
                  <c:v>1.1391422266222801E-3</c:v>
                </c:pt>
                <c:pt idx="159">
                  <c:v>1.1738280162714874E-3</c:v>
                </c:pt>
                <c:pt idx="160">
                  <c:v>1.2085513053536972E-3</c:v>
                </c:pt>
                <c:pt idx="161">
                  <c:v>1.24324826028857E-3</c:v>
                </c:pt>
                <c:pt idx="162">
                  <c:v>1.277870403804284E-3</c:v>
                </c:pt>
                <c:pt idx="163">
                  <c:v>1.3122298331575896E-3</c:v>
                </c:pt>
                <c:pt idx="164">
                  <c:v>1.3465440389429141E-3</c:v>
                </c:pt>
                <c:pt idx="165">
                  <c:v>1.3807646385624807E-3</c:v>
                </c:pt>
                <c:pt idx="166">
                  <c:v>1.4148432829237485E-3</c:v>
                </c:pt>
                <c:pt idx="167">
                  <c:v>1.4487318750504307E-3</c:v>
                </c:pt>
                <c:pt idx="168">
                  <c:v>1.4823827858218507E-3</c:v>
                </c:pt>
                <c:pt idx="169">
                  <c:v>1.5155835372088085E-3</c:v>
                </c:pt>
                <c:pt idx="170">
                  <c:v>1.5484187900084226E-3</c:v>
                </c:pt>
                <c:pt idx="171">
                  <c:v>1.5808418718530901E-3</c:v>
                </c:pt>
                <c:pt idx="172">
                  <c:v>1.6128074001742071E-3</c:v>
                </c:pt>
                <c:pt idx="173">
                  <c:v>1.6442546451710151E-3</c:v>
                </c:pt>
                <c:pt idx="174">
                  <c:v>1.6751223360648426E-3</c:v>
                </c:pt>
                <c:pt idx="175">
                  <c:v>1.7053666907606284E-3</c:v>
                </c:pt>
                <c:pt idx="176">
                  <c:v>1.7349458235952401E-3</c:v>
                </c:pt>
                <c:pt idx="177">
                  <c:v>1.7636586516836009E-3</c:v>
                </c:pt>
                <c:pt idx="178">
                  <c:v>1.7916554336462197E-3</c:v>
                </c:pt>
                <c:pt idx="179">
                  <c:v>1.8189023729863021E-3</c:v>
                </c:pt>
                <c:pt idx="180">
                  <c:v>1.845367941839413E-3</c:v>
                </c:pt>
                <c:pt idx="181">
                  <c:v>1.8710229306990853E-3</c:v>
                </c:pt>
                <c:pt idx="182">
                  <c:v>1.8958404792018279E-3</c:v>
                </c:pt>
                <c:pt idx="183">
                  <c:v>1.9193859066523049E-3</c:v>
                </c:pt>
                <c:pt idx="184">
                  <c:v>1.9418345690998841E-3</c:v>
                </c:pt>
                <c:pt idx="185">
                  <c:v>1.963158357854735E-3</c:v>
                </c:pt>
                <c:pt idx="186">
                  <c:v>1.9833316878875682E-3</c:v>
                </c:pt>
                <c:pt idx="187">
                  <c:v>2.0023314428780407E-3</c:v>
                </c:pt>
                <c:pt idx="188">
                  <c:v>2.0201369030252866E-3</c:v>
                </c:pt>
                <c:pt idx="189">
                  <c:v>2.0367296575522272E-3</c:v>
                </c:pt>
                <c:pt idx="190">
                  <c:v>2.0521181894740605E-3</c:v>
                </c:pt>
                <c:pt idx="191">
                  <c:v>2.0656202035577121E-3</c:v>
                </c:pt>
                <c:pt idx="192">
                  <c:v>2.0773881876232402E-3</c:v>
                </c:pt>
                <c:pt idx="193">
                  <c:v>2.0873840316191885E-3</c:v>
                </c:pt>
                <c:pt idx="194">
                  <c:v>2.0955713249711195E-3</c:v>
                </c:pt>
                <c:pt idx="195">
                  <c:v>2.1019152701436256E-3</c:v>
                </c:pt>
                <c:pt idx="196">
                  <c:v>2.1063825935243715E-3</c:v>
                </c:pt>
                <c:pt idx="197">
                  <c:v>2.1085217089564811E-3</c:v>
                </c:pt>
                <c:pt idx="198">
                  <c:v>2.1087812392012947E-3</c:v>
                </c:pt>
                <c:pt idx="199">
                  <c:v>2.1071341508332449E-3</c:v>
                </c:pt>
                <c:pt idx="200">
                  <c:v>2.1035545275109968E-3</c:v>
                </c:pt>
                <c:pt idx="201">
                  <c:v>2.0980174937417981E-3</c:v>
                </c:pt>
                <c:pt idx="202">
                  <c:v>2.0904991467206703E-3</c:v>
                </c:pt>
                <c:pt idx="203">
                  <c:v>2.0809764972897159E-3</c:v>
                </c:pt>
                <c:pt idx="204">
                  <c:v>2.0694194433412069E-3</c:v>
                </c:pt>
                <c:pt idx="205">
                  <c:v>2.0556259879706954E-3</c:v>
                </c:pt>
                <c:pt idx="206">
                  <c:v>2.0403928208971079E-3</c:v>
                </c:pt>
                <c:pt idx="207">
                  <c:v>2.0237402982457345E-3</c:v>
                </c:pt>
                <c:pt idx="208">
                  <c:v>2.005688331748919E-3</c:v>
                </c:pt>
                <c:pt idx="209">
                  <c:v>1.9862562039648303E-3</c:v>
                </c:pt>
                <c:pt idx="210">
                  <c:v>1.965462393941326E-3</c:v>
                </c:pt>
                <c:pt idx="211">
                  <c:v>1.9432922285305759E-3</c:v>
                </c:pt>
                <c:pt idx="212">
                  <c:v>1.9202389380799814E-3</c:v>
                </c:pt>
                <c:pt idx="213">
                  <c:v>1.8963274847861062E-3</c:v>
                </c:pt>
                <c:pt idx="214">
                  <c:v>1.8715813598719044E-3</c:v>
                </c:pt>
                <c:pt idx="215">
                  <c:v>1.8460225107428351E-3</c:v>
                </c:pt>
                <c:pt idx="216">
                  <c:v>1.8196712753737838E-3</c:v>
                </c:pt>
                <c:pt idx="217">
                  <c:v>1.7925463220558068E-3</c:v>
                </c:pt>
                <c:pt idx="218">
                  <c:v>1.7646214374232758E-3</c:v>
                </c:pt>
                <c:pt idx="219">
                  <c:v>1.7403710786633745E-3</c:v>
                </c:pt>
                <c:pt idx="220">
                  <c:v>1.7201091641552836E-3</c:v>
                </c:pt>
                <c:pt idx="221">
                  <c:v>1.7039404855429242E-3</c:v>
                </c:pt>
                <c:pt idx="222">
                  <c:v>1.6919692048281759E-3</c:v>
                </c:pt>
                <c:pt idx="223">
                  <c:v>1.6842991533385821E-3</c:v>
                </c:pt>
                <c:pt idx="224">
                  <c:v>1.6810341317526425E-3</c:v>
                </c:pt>
                <c:pt idx="225">
                  <c:v>1.6906571668016802E-3</c:v>
                </c:pt>
                <c:pt idx="226">
                  <c:v>1.7134805984282803E-3</c:v>
                </c:pt>
                <c:pt idx="227">
                  <c:v>1.7497847113376716E-3</c:v>
                </c:pt>
                <c:pt idx="228">
                  <c:v>1.7998536275593922E-3</c:v>
                </c:pt>
                <c:pt idx="229">
                  <c:v>1.8639761631484538E-3</c:v>
                </c:pt>
                <c:pt idx="230">
                  <c:v>1.9424467022680022E-3</c:v>
                </c:pt>
                <c:pt idx="231">
                  <c:v>2.035566093728786E-3</c:v>
                </c:pt>
                <c:pt idx="232">
                  <c:v>2.1436211398910966E-3</c:v>
                </c:pt>
                <c:pt idx="233">
                  <c:v>2.2686325890450905E-3</c:v>
                </c:pt>
                <c:pt idx="234">
                  <c:v>2.4059566212396156E-3</c:v>
                </c:pt>
                <c:pt idx="235">
                  <c:v>2.555852323891284E-3</c:v>
                </c:pt>
                <c:pt idx="236">
                  <c:v>2.7185878580337068E-3</c:v>
                </c:pt>
                <c:pt idx="237">
                  <c:v>2.8944387993546233E-3</c:v>
                </c:pt>
                <c:pt idx="238">
                  <c:v>3.0836904574505471E-3</c:v>
                </c:pt>
                <c:pt idx="239">
                  <c:v>3.2851835341226963E-3</c:v>
                </c:pt>
                <c:pt idx="240">
                  <c:v>3.4899012308448889E-3</c:v>
                </c:pt>
                <c:pt idx="241">
                  <c:v>3.6979312081373123E-3</c:v>
                </c:pt>
                <c:pt idx="242">
                  <c:v>3.9093673030339412E-3</c:v>
                </c:pt>
                <c:pt idx="243">
                  <c:v>4.124309796067217E-3</c:v>
                </c:pt>
                <c:pt idx="244">
                  <c:v>4.342865697195498E-3</c:v>
                </c:pt>
                <c:pt idx="245">
                  <c:v>4.5651490557125137E-3</c:v>
                </c:pt>
                <c:pt idx="246">
                  <c:v>4.7913018329556944E-3</c:v>
                </c:pt>
                <c:pt idx="247">
                  <c:v>5.0247289909702061E-3</c:v>
                </c:pt>
                <c:pt idx="248">
                  <c:v>5.2636809681021295E-3</c:v>
                </c:pt>
                <c:pt idx="249">
                  <c:v>5.5082954905189161E-3</c:v>
                </c:pt>
                <c:pt idx="250">
                  <c:v>5.7587121459399876E-3</c:v>
                </c:pt>
                <c:pt idx="251">
                  <c:v>6.0150721868157024E-3</c:v>
                </c:pt>
                <c:pt idx="252">
                  <c:v>6.2775183113184729E-3</c:v>
                </c:pt>
                <c:pt idx="253">
                  <c:v>6.5417853687621905E-3</c:v>
                </c:pt>
                <c:pt idx="254">
                  <c:v>6.8095406868742912E-3</c:v>
                </c:pt>
                <c:pt idx="255">
                  <c:v>7.0808572559796909E-3</c:v>
                </c:pt>
                <c:pt idx="256">
                  <c:v>7.355805896311603E-3</c:v>
                </c:pt>
                <c:pt idx="257">
                  <c:v>7.6344549390317956E-3</c:v>
                </c:pt>
                <c:pt idx="258">
                  <c:v>7.9168698985071419E-3</c:v>
                </c:pt>
                <c:pt idx="259">
                  <c:v>8.2031131355745149E-3</c:v>
                </c:pt>
                <c:pt idx="260">
                  <c:v>8.493985708032099E-3</c:v>
                </c:pt>
                <c:pt idx="261">
                  <c:v>8.7753489255388041E-3</c:v>
                </c:pt>
                <c:pt idx="262">
                  <c:v>9.0430501068060071E-3</c:v>
                </c:pt>
                <c:pt idx="263">
                  <c:v>9.2964815373982237E-3</c:v>
                </c:pt>
                <c:pt idx="264">
                  <c:v>9.5349694518923021E-3</c:v>
                </c:pt>
                <c:pt idx="265">
                  <c:v>9.7578270975356932E-3</c:v>
                </c:pt>
                <c:pt idx="266">
                  <c:v>9.9642823561333811E-3</c:v>
                </c:pt>
                <c:pt idx="267">
                  <c:v>1.014424606245534E-2</c:v>
                </c:pt>
                <c:pt idx="268">
                  <c:v>1.0301561926706759E-2</c:v>
                </c:pt>
                <c:pt idx="269">
                  <c:v>1.0435115380675618E-2</c:v>
                </c:pt>
                <c:pt idx="270">
                  <c:v>1.0543742467273973E-2</c:v>
                </c:pt>
                <c:pt idx="271">
                  <c:v>1.0626238352715518E-2</c:v>
                </c:pt>
                <c:pt idx="272">
                  <c:v>1.0681367409808205E-2</c:v>
                </c:pt>
                <c:pt idx="273">
                  <c:v>1.0707875017980741E-2</c:v>
                </c:pt>
                <c:pt idx="274">
                  <c:v>1.0705572901091779E-2</c:v>
                </c:pt>
                <c:pt idx="275">
                  <c:v>1.0672502293701923E-2</c:v>
                </c:pt>
                <c:pt idx="276">
                  <c:v>1.0624992182027605E-2</c:v>
                </c:pt>
                <c:pt idx="277">
                  <c:v>1.0562681358899567E-2</c:v>
                </c:pt>
                <c:pt idx="278">
                  <c:v>1.0485212620103389E-2</c:v>
                </c:pt>
                <c:pt idx="279">
                  <c:v>1.0392233569321778E-2</c:v>
                </c:pt>
                <c:pt idx="280">
                  <c:v>1.0283397381431639E-2</c:v>
                </c:pt>
                <c:pt idx="281">
                  <c:v>1.0159335452637339E-2</c:v>
                </c:pt>
                <c:pt idx="282">
                  <c:v>1.0030277233635716E-2</c:v>
                </c:pt>
                <c:pt idx="283">
                  <c:v>9.8961787557407116E-3</c:v>
                </c:pt>
                <c:pt idx="284">
                  <c:v>9.7570017930971691E-3</c:v>
                </c:pt>
                <c:pt idx="285">
                  <c:v>9.612713944164096E-3</c:v>
                </c:pt>
                <c:pt idx="286">
                  <c:v>9.4632886560099376E-3</c:v>
                </c:pt>
                <c:pt idx="287">
                  <c:v>9.3087051883279683E-3</c:v>
                </c:pt>
                <c:pt idx="288">
                  <c:v>9.1490928698982985E-3</c:v>
                </c:pt>
                <c:pt idx="289">
                  <c:v>8.9876091446544348E-3</c:v>
                </c:pt>
                <c:pt idx="290">
                  <c:v>8.8266262623795787E-3</c:v>
                </c:pt>
                <c:pt idx="291">
                  <c:v>8.6661973662437112E-3</c:v>
                </c:pt>
                <c:pt idx="292">
                  <c:v>8.5063804689311396E-3</c:v>
                </c:pt>
                <c:pt idx="293">
                  <c:v>8.3472382165977153E-3</c:v>
                </c:pt>
                <c:pt idx="294">
                  <c:v>8.1888376290522695E-3</c:v>
                </c:pt>
                <c:pt idx="295">
                  <c:v>8.0344033771541819E-3</c:v>
                </c:pt>
                <c:pt idx="296">
                  <c:v>7.8830827880606389E-3</c:v>
                </c:pt>
                <c:pt idx="297">
                  <c:v>7.7350566666673547E-3</c:v>
                </c:pt>
                <c:pt idx="298">
                  <c:v>7.5904407231486004E-3</c:v>
                </c:pt>
                <c:pt idx="299">
                  <c:v>7.4493529101786792E-3</c:v>
                </c:pt>
                <c:pt idx="300">
                  <c:v>7.3119129876268564E-3</c:v>
                </c:pt>
                <c:pt idx="301">
                  <c:v>7.178242075914376E-3</c:v>
                </c:pt>
                <c:pt idx="302">
                  <c:v>7.0490821381408988E-3</c:v>
                </c:pt>
                <c:pt idx="303">
                  <c:v>6.9342115404942561E-3</c:v>
                </c:pt>
                <c:pt idx="304">
                  <c:v>6.8303618439357339E-3</c:v>
                </c:pt>
                <c:pt idx="305">
                  <c:v>6.7376127480906593E-3</c:v>
                </c:pt>
                <c:pt idx="306">
                  <c:v>6.6560484443661432E-3</c:v>
                </c:pt>
                <c:pt idx="307">
                  <c:v>6.5857550762592381E-3</c:v>
                </c:pt>
                <c:pt idx="308">
                  <c:v>6.5268179843316143E-3</c:v>
                </c:pt>
                <c:pt idx="309">
                  <c:v>6.4913053239901621E-3</c:v>
                </c:pt>
                <c:pt idx="310">
                  <c:v>6.4760388176800538E-3</c:v>
                </c:pt>
                <c:pt idx="311">
                  <c:v>6.4812420184184524E-3</c:v>
                </c:pt>
                <c:pt idx="312">
                  <c:v>6.5071159546858642E-3</c:v>
                </c:pt>
                <c:pt idx="313">
                  <c:v>6.5538316780825202E-3</c:v>
                </c:pt>
                <c:pt idx="314">
                  <c:v>6.6215221671610007E-3</c:v>
                </c:pt>
                <c:pt idx="315">
                  <c:v>6.710273624159678E-3</c:v>
                </c:pt>
                <c:pt idx="316">
                  <c:v>6.8208196658353102E-3</c:v>
                </c:pt>
                <c:pt idx="317">
                  <c:v>6.95197480957089E-3</c:v>
                </c:pt>
                <c:pt idx="318">
                  <c:v>7.0939707845477902E-3</c:v>
                </c:pt>
                <c:pt idx="319">
                  <c:v>7.2468980249236602E-3</c:v>
                </c:pt>
                <c:pt idx="320">
                  <c:v>7.4108332540644018E-3</c:v>
                </c:pt>
                <c:pt idx="321">
                  <c:v>7.5858380387628082E-3</c:v>
                </c:pt>
                <c:pt idx="322">
                  <c:v>7.7719572209286117E-3</c:v>
                </c:pt>
                <c:pt idx="323">
                  <c:v>7.958300159171974E-3</c:v>
                </c:pt>
                <c:pt idx="324">
                  <c:v>8.1317665538154782E-3</c:v>
                </c:pt>
                <c:pt idx="325">
                  <c:v>8.2920541841605775E-3</c:v>
                </c:pt>
                <c:pt idx="326">
                  <c:v>8.4388066043551372E-3</c:v>
                </c:pt>
                <c:pt idx="327">
                  <c:v>8.5716986486682224E-3</c:v>
                </c:pt>
                <c:pt idx="328">
                  <c:v>8.6904493180592953E-3</c:v>
                </c:pt>
                <c:pt idx="329">
                  <c:v>8.7947809903339991E-3</c:v>
                </c:pt>
                <c:pt idx="330">
                  <c:v>8.8851381825643706E-3</c:v>
                </c:pt>
                <c:pt idx="331">
                  <c:v>8.9589346984923889E-3</c:v>
                </c:pt>
                <c:pt idx="332">
                  <c:v>9.0179347440281568E-3</c:v>
                </c:pt>
                <c:pt idx="333">
                  <c:v>9.0616890502238385E-3</c:v>
                </c:pt>
                <c:pt idx="334">
                  <c:v>9.0897383333176859E-3</c:v>
                </c:pt>
                <c:pt idx="335">
                  <c:v>9.1016197072703829E-3</c:v>
                </c:pt>
                <c:pt idx="336">
                  <c:v>9.0968738904459948E-3</c:v>
                </c:pt>
                <c:pt idx="337">
                  <c:v>9.0770973914662823E-3</c:v>
                </c:pt>
                <c:pt idx="338">
                  <c:v>9.0532963261118014E-3</c:v>
                </c:pt>
                <c:pt idx="339">
                  <c:v>9.0251195960266723E-3</c:v>
                </c:pt>
                <c:pt idx="340">
                  <c:v>8.9922218924350285E-3</c:v>
                </c:pt>
                <c:pt idx="341">
                  <c:v>8.954268012210732E-3</c:v>
                </c:pt>
                <c:pt idx="342">
                  <c:v>8.9109374327851418E-3</c:v>
                </c:pt>
                <c:pt idx="343">
                  <c:v>8.8619290652598194E-3</c:v>
                </c:pt>
                <c:pt idx="344">
                  <c:v>8.8066052622683046E-3</c:v>
                </c:pt>
                <c:pt idx="345">
                  <c:v>8.7448864808990761E-3</c:v>
                </c:pt>
                <c:pt idx="346">
                  <c:v>8.6824693976468859E-3</c:v>
                </c:pt>
                <c:pt idx="347">
                  <c:v>8.6198830682899623E-3</c:v>
                </c:pt>
                <c:pt idx="348">
                  <c:v>8.5576457580312567E-3</c:v>
                </c:pt>
                <c:pt idx="349">
                  <c:v>8.4962618163694839E-3</c:v>
                </c:pt>
                <c:pt idx="350">
                  <c:v>8.4362192490643178E-3</c:v>
                </c:pt>
                <c:pt idx="351">
                  <c:v>8.3801020693823596E-3</c:v>
                </c:pt>
                <c:pt idx="352">
                  <c:v>8.3263404240627586E-3</c:v>
                </c:pt>
                <c:pt idx="353">
                  <c:v>8.2753626541580225E-3</c:v>
                </c:pt>
                <c:pt idx="354">
                  <c:v>8.2275781181650083E-3</c:v>
                </c:pt>
                <c:pt idx="355">
                  <c:v>8.183377958741668E-3</c:v>
                </c:pt>
                <c:pt idx="356">
                  <c:v>8.1430332598326233E-3</c:v>
                </c:pt>
                <c:pt idx="357">
                  <c:v>8.1069988251690848E-3</c:v>
                </c:pt>
                <c:pt idx="358">
                  <c:v>8.074863198798082E-3</c:v>
                </c:pt>
                <c:pt idx="359">
                  <c:v>8.0458329920359093E-3</c:v>
                </c:pt>
                <c:pt idx="360">
                  <c:v>8.0215565549935346E-3</c:v>
                </c:pt>
                <c:pt idx="361">
                  <c:v>7.999749019023077E-3</c:v>
                </c:pt>
                <c:pt idx="362">
                  <c:v>7.9801697366741094E-3</c:v>
                </c:pt>
                <c:pt idx="363">
                  <c:v>7.9625850824228163E-3</c:v>
                </c:pt>
                <c:pt idx="364">
                  <c:v>7.9467683868016965E-3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063440"/>
        <c:axId val="407063832"/>
      </c:lineChart>
      <c:dateAx>
        <c:axId val="4070634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7063832"/>
        <c:crosses val="autoZero"/>
        <c:auto val="1"/>
        <c:lblOffset val="100"/>
        <c:baseTimeUnit val="days"/>
        <c:majorUnit val="1"/>
        <c:majorTimeUnit val="months"/>
      </c:dateAx>
      <c:valAx>
        <c:axId val="4070638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7063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5.797503707559673E-2</c:v>
                </c:pt>
                <c:pt idx="1">
                  <c:v>5.7997450659090816E-2</c:v>
                </c:pt>
                <c:pt idx="2">
                  <c:v>5.8019863720988024E-2</c:v>
                </c:pt>
                <c:pt idx="3">
                  <c:v>5.8042276261300568E-2</c:v>
                </c:pt>
                <c:pt idx="4">
                  <c:v>5.8064688280040549E-2</c:v>
                </c:pt>
                <c:pt idx="5">
                  <c:v>5.8087099777220069E-2</c:v>
                </c:pt>
                <c:pt idx="6">
                  <c:v>5.810951075285134E-2</c:v>
                </c:pt>
                <c:pt idx="7">
                  <c:v>5.8131921206946463E-2</c:v>
                </c:pt>
                <c:pt idx="8">
                  <c:v>5.8154331139517651E-2</c:v>
                </c:pt>
                <c:pt idx="9">
                  <c:v>5.8176740550576894E-2</c:v>
                </c:pt>
                <c:pt idx="10">
                  <c:v>5.8199149440136405E-2</c:v>
                </c:pt>
                <c:pt idx="11">
                  <c:v>5.8221557808208285E-2</c:v>
                </c:pt>
                <c:pt idx="12">
                  <c:v>5.8243965654804747E-2</c:v>
                </c:pt>
                <c:pt idx="13">
                  <c:v>5.8266372979937892E-2</c:v>
                </c:pt>
                <c:pt idx="14">
                  <c:v>5.8288779783619821E-2</c:v>
                </c:pt>
                <c:pt idx="15">
                  <c:v>5.8311186065862747E-2</c:v>
                </c:pt>
                <c:pt idx="16">
                  <c:v>5.833359182667866E-2</c:v>
                </c:pt>
                <c:pt idx="17">
                  <c:v>5.8355997066079884E-2</c:v>
                </c:pt>
                <c:pt idx="18">
                  <c:v>5.837840178407841E-2</c:v>
                </c:pt>
                <c:pt idx="19">
                  <c:v>5.8400805980686449E-2</c:v>
                </c:pt>
                <c:pt idx="20">
                  <c:v>5.8423209655915992E-2</c:v>
                </c:pt>
                <c:pt idx="21">
                  <c:v>5.8445612809779363E-2</c:v>
                </c:pt>
                <c:pt idx="22">
                  <c:v>5.8468015442288662E-2</c:v>
                </c:pt>
                <c:pt idx="23">
                  <c:v>5.8490417553455881E-2</c:v>
                </c:pt>
                <c:pt idx="24">
                  <c:v>5.8512819143293343E-2</c:v>
                </c:pt>
                <c:pt idx="25">
                  <c:v>5.8535220211813038E-2</c:v>
                </c:pt>
                <c:pt idx="26">
                  <c:v>5.8557620759027179E-2</c:v>
                </c:pt>
                <c:pt idx="27">
                  <c:v>5.8580020784947756E-2</c:v>
                </c:pt>
                <c:pt idx="28">
                  <c:v>5.8602420289587093E-2</c:v>
                </c:pt>
                <c:pt idx="29">
                  <c:v>5.8624819272957179E-2</c:v>
                </c:pt>
                <c:pt idx="30">
                  <c:v>5.8647217735070228E-2</c:v>
                </c:pt>
                <c:pt idx="31">
                  <c:v>5.8669615675938341E-2</c:v>
                </c:pt>
                <c:pt idx="32">
                  <c:v>5.869201309557362E-2</c:v>
                </c:pt>
                <c:pt idx="33">
                  <c:v>5.8714409993988276E-2</c:v>
                </c:pt>
                <c:pt idx="34">
                  <c:v>5.8736806371194411E-2</c:v>
                </c:pt>
                <c:pt idx="35">
                  <c:v>5.8759202227204016E-2</c:v>
                </c:pt>
                <c:pt idx="36">
                  <c:v>5.8781597562029414E-2</c:v>
                </c:pt>
                <c:pt idx="37">
                  <c:v>5.8803992375682707E-2</c:v>
                </c:pt>
                <c:pt idx="38">
                  <c:v>5.8826386668175884E-2</c:v>
                </c:pt>
                <c:pt idx="39">
                  <c:v>5.8848780439521159E-2</c:v>
                </c:pt>
                <c:pt idx="40">
                  <c:v>5.8871173689730633E-2</c:v>
                </c:pt>
                <c:pt idx="41">
                  <c:v>5.8893566418816518E-2</c:v>
                </c:pt>
                <c:pt idx="42">
                  <c:v>5.8915958626790915E-2</c:v>
                </c:pt>
                <c:pt idx="43">
                  <c:v>5.8938350313665816E-2</c:v>
                </c:pt>
                <c:pt idx="44">
                  <c:v>5.8960741479453543E-2</c:v>
                </c:pt>
                <c:pt idx="45">
                  <c:v>5.8983132124166088E-2</c:v>
                </c:pt>
                <c:pt idx="46">
                  <c:v>5.9005522247815662E-2</c:v>
                </c:pt>
                <c:pt idx="47">
                  <c:v>5.9027911850414255E-2</c:v>
                </c:pt>
                <c:pt idx="48">
                  <c:v>5.9050300931974192E-2</c:v>
                </c:pt>
                <c:pt idx="49">
                  <c:v>5.9072689492507463E-2</c:v>
                </c:pt>
                <c:pt idx="50">
                  <c:v>5.9095077532026169E-2</c:v>
                </c:pt>
                <c:pt idx="51">
                  <c:v>5.9117465050542523E-2</c:v>
                </c:pt>
                <c:pt idx="52">
                  <c:v>5.9139852048068625E-2</c:v>
                </c:pt>
                <c:pt idx="53">
                  <c:v>5.9162238524616578E-2</c:v>
                </c:pt>
                <c:pt idx="54">
                  <c:v>5.9184624480198483E-2</c:v>
                </c:pt>
                <c:pt idx="55">
                  <c:v>5.9207009914826553E-2</c:v>
                </c:pt>
                <c:pt idx="56">
                  <c:v>5.9229394828512888E-2</c:v>
                </c:pt>
                <c:pt idx="57">
                  <c:v>5.9251779221269479E-2</c:v>
                </c:pt>
                <c:pt idx="58">
                  <c:v>5.9274163093108651E-2</c:v>
                </c:pt>
                <c:pt idx="59">
                  <c:v>5.9296546444042392E-2</c:v>
                </c:pt>
                <c:pt idx="60">
                  <c:v>5.9318929274082804E-2</c:v>
                </c:pt>
                <c:pt idx="61">
                  <c:v>5.9341311583242101E-2</c:v>
                </c:pt>
                <c:pt idx="62">
                  <c:v>5.9363693371532383E-2</c:v>
                </c:pt>
                <c:pt idx="63">
                  <c:v>5.9386074638965641E-2</c:v>
                </c:pt>
                <c:pt idx="64">
                  <c:v>5.940845538555431E-2</c:v>
                </c:pt>
                <c:pt idx="65">
                  <c:v>5.9430835611310157E-2</c:v>
                </c:pt>
                <c:pt idx="66">
                  <c:v>5.9453215316245506E-2</c:v>
                </c:pt>
                <c:pt idx="67">
                  <c:v>5.9475594500372347E-2</c:v>
                </c:pt>
                <c:pt idx="68">
                  <c:v>5.9497973163703005E-2</c:v>
                </c:pt>
                <c:pt idx="69">
                  <c:v>5.9520351306249469E-2</c:v>
                </c:pt>
                <c:pt idx="70">
                  <c:v>5.954272892802373E-2</c:v>
                </c:pt>
                <c:pt idx="71">
                  <c:v>5.9565106029038112E-2</c:v>
                </c:pt>
                <c:pt idx="72">
                  <c:v>5.9587482609304715E-2</c:v>
                </c:pt>
                <c:pt idx="73">
                  <c:v>5.960985866883553E-2</c:v>
                </c:pt>
                <c:pt idx="74">
                  <c:v>5.9632234207642881E-2</c:v>
                </c:pt>
                <c:pt idx="75">
                  <c:v>5.9654609225738647E-2</c:v>
                </c:pt>
                <c:pt idx="76">
                  <c:v>5.9676983723135041E-2</c:v>
                </c:pt>
                <c:pt idx="77">
                  <c:v>5.9699357699844163E-2</c:v>
                </c:pt>
                <c:pt idx="78">
                  <c:v>5.9721731155878227E-2</c:v>
                </c:pt>
                <c:pt idx="79">
                  <c:v>5.9744104091249334E-2</c:v>
                </c:pt>
                <c:pt idx="80">
                  <c:v>5.9766476505969474E-2</c:v>
                </c:pt>
                <c:pt idx="81">
                  <c:v>5.9788848400050859E-2</c:v>
                </c:pt>
                <c:pt idx="82">
                  <c:v>5.9811219773505592E-2</c:v>
                </c:pt>
                <c:pt idx="83">
                  <c:v>5.9833590626345773E-2</c:v>
                </c:pt>
                <c:pt idx="84">
                  <c:v>5.9855960958583504E-2</c:v>
                </c:pt>
                <c:pt idx="85">
                  <c:v>5.9878330770230997E-2</c:v>
                </c:pt>
                <c:pt idx="86">
                  <c:v>5.9900700061300244E-2</c:v>
                </c:pt>
                <c:pt idx="87">
                  <c:v>5.9923068831803344E-2</c:v>
                </c:pt>
                <c:pt idx="88">
                  <c:v>5.9945437081752623E-2</c:v>
                </c:pt>
                <c:pt idx="89">
                  <c:v>5.9967804811159958E-2</c:v>
                </c:pt>
                <c:pt idx="90">
                  <c:v>5.9990172020037452E-2</c:v>
                </c:pt>
                <c:pt idx="91">
                  <c:v>6.0012538708397428E-2</c:v>
                </c:pt>
                <c:pt idx="92">
                  <c:v>6.0034904876251988E-2</c:v>
                </c:pt>
                <c:pt idx="93">
                  <c:v>6.005727052361301E-2</c:v>
                </c:pt>
                <c:pt idx="94">
                  <c:v>6.0079635650492708E-2</c:v>
                </c:pt>
                <c:pt idx="95">
                  <c:v>6.0102000256903404E-2</c:v>
                </c:pt>
                <c:pt idx="96">
                  <c:v>6.0124364342856867E-2</c:v>
                </c:pt>
                <c:pt idx="97">
                  <c:v>6.0146727908365422E-2</c:v>
                </c:pt>
                <c:pt idx="98">
                  <c:v>6.0169090953441168E-2</c:v>
                </c:pt>
                <c:pt idx="99">
                  <c:v>6.0191453478096207E-2</c:v>
                </c:pt>
                <c:pt idx="100">
                  <c:v>6.0213815482342642E-2</c:v>
                </c:pt>
                <c:pt idx="101">
                  <c:v>6.0236176966192462E-2</c:v>
                </c:pt>
                <c:pt idx="102">
                  <c:v>6.025853792965799E-2</c:v>
                </c:pt>
                <c:pt idx="103">
                  <c:v>6.0280898372751218E-2</c:v>
                </c:pt>
                <c:pt idx="104">
                  <c:v>6.0303258295484136E-2</c:v>
                </c:pt>
                <c:pt idx="105">
                  <c:v>6.0325617697869177E-2</c:v>
                </c:pt>
                <c:pt idx="106">
                  <c:v>6.0347976579918111E-2</c:v>
                </c:pt>
                <c:pt idx="107">
                  <c:v>6.0370334941643261E-2</c:v>
                </c:pt>
                <c:pt idx="108">
                  <c:v>6.0392692783056728E-2</c:v>
                </c:pt>
                <c:pt idx="109">
                  <c:v>6.0415050104170503E-2</c:v>
                </c:pt>
                <c:pt idx="110">
                  <c:v>6.0437406904996688E-2</c:v>
                </c:pt>
                <c:pt idx="111">
                  <c:v>6.0459763185547494E-2</c:v>
                </c:pt>
                <c:pt idx="112">
                  <c:v>6.0482118945835023E-2</c:v>
                </c:pt>
                <c:pt idx="113">
                  <c:v>6.0504474185871376E-2</c:v>
                </c:pt>
                <c:pt idx="114">
                  <c:v>6.0526828905668656E-2</c:v>
                </c:pt>
                <c:pt idx="115">
                  <c:v>6.0549183105238852E-2</c:v>
                </c:pt>
                <c:pt idx="116">
                  <c:v>6.0571536784594177E-2</c:v>
                </c:pt>
                <c:pt idx="117">
                  <c:v>6.0593889943746732E-2</c:v>
                </c:pt>
                <c:pt idx="118">
                  <c:v>6.0616242582708729E-2</c:v>
                </c:pt>
                <c:pt idx="119">
                  <c:v>6.0638594701492049E-2</c:v>
                </c:pt>
                <c:pt idx="120">
                  <c:v>6.0660946300108903E-2</c:v>
                </c:pt>
                <c:pt idx="121">
                  <c:v>6.0683297378571505E-2</c:v>
                </c:pt>
                <c:pt idx="122">
                  <c:v>6.0705647936891732E-2</c:v>
                </c:pt>
                <c:pt idx="123">
                  <c:v>6.072799797508191E-2</c:v>
                </c:pt>
                <c:pt idx="124">
                  <c:v>6.0750347493154028E-2</c:v>
                </c:pt>
                <c:pt idx="125">
                  <c:v>6.0772696491120187E-2</c:v>
                </c:pt>
                <c:pt idx="126">
                  <c:v>6.079504496899249E-2</c:v>
                </c:pt>
                <c:pt idx="127">
                  <c:v>6.0817392926783148E-2</c:v>
                </c:pt>
                <c:pt idx="128">
                  <c:v>6.0839740364504041E-2</c:v>
                </c:pt>
                <c:pt idx="129">
                  <c:v>6.0862087282167604E-2</c:v>
                </c:pt>
                <c:pt idx="130">
                  <c:v>6.0884433679785604E-2</c:v>
                </c:pt>
                <c:pt idx="131">
                  <c:v>6.0906779557370255E-2</c:v>
                </c:pt>
                <c:pt idx="132">
                  <c:v>6.0929124914933769E-2</c:v>
                </c:pt>
                <c:pt idx="133">
                  <c:v>6.0951469752488247E-2</c:v>
                </c:pt>
                <c:pt idx="134">
                  <c:v>6.0973814070045568E-2</c:v>
                </c:pt>
                <c:pt idx="135">
                  <c:v>6.0996157867618056E-2</c:v>
                </c:pt>
                <c:pt idx="136">
                  <c:v>6.1018501145217702E-2</c:v>
                </c:pt>
                <c:pt idx="137">
                  <c:v>6.1040843902856606E-2</c:v>
                </c:pt>
                <c:pt idx="138">
                  <c:v>6.1063186140546982E-2</c:v>
                </c:pt>
                <c:pt idx="139">
                  <c:v>6.1085527858300709E-2</c:v>
                </c:pt>
                <c:pt idx="140">
                  <c:v>6.110786905613011E-2</c:v>
                </c:pt>
                <c:pt idx="141">
                  <c:v>6.1130209734047286E-2</c:v>
                </c:pt>
                <c:pt idx="142">
                  <c:v>6.1152549892064118E-2</c:v>
                </c:pt>
                <c:pt idx="143">
                  <c:v>6.1174889530192927E-2</c:v>
                </c:pt>
                <c:pt idx="144">
                  <c:v>6.1197228648445595E-2</c:v>
                </c:pt>
                <c:pt idx="145">
                  <c:v>6.1219567246834444E-2</c:v>
                </c:pt>
                <c:pt idx="146">
                  <c:v>6.1241905325371465E-2</c:v>
                </c:pt>
                <c:pt idx="147">
                  <c:v>6.1264242884068759E-2</c:v>
                </c:pt>
                <c:pt idx="148">
                  <c:v>6.1286579922938428E-2</c:v>
                </c:pt>
                <c:pt idx="149">
                  <c:v>6.1308916441992573E-2</c:v>
                </c:pt>
                <c:pt idx="150">
                  <c:v>6.1331252441243295E-2</c:v>
                </c:pt>
                <c:pt idx="151">
                  <c:v>6.1353587920702696E-2</c:v>
                </c:pt>
                <c:pt idx="152">
                  <c:v>6.1375922880382877E-2</c:v>
                </c:pt>
                <c:pt idx="153">
                  <c:v>6.1398257320295829E-2</c:v>
                </c:pt>
                <c:pt idx="154">
                  <c:v>6.1420591240453765E-2</c:v>
                </c:pt>
                <c:pt idx="155">
                  <c:v>6.1442924640868785E-2</c:v>
                </c:pt>
                <c:pt idx="156">
                  <c:v>6.1465257521552991E-2</c:v>
                </c:pt>
                <c:pt idx="157">
                  <c:v>6.1487589882518373E-2</c:v>
                </c:pt>
                <c:pt idx="158">
                  <c:v>6.1509921723777033E-2</c:v>
                </c:pt>
                <c:pt idx="159">
                  <c:v>6.1532253045341184E-2</c:v>
                </c:pt>
                <c:pt idx="160">
                  <c:v>6.1554583847222927E-2</c:v>
                </c:pt>
                <c:pt idx="161">
                  <c:v>6.157691412943414E-2</c:v>
                </c:pt>
                <c:pt idx="162">
                  <c:v>6.1599243891987149E-2</c:v>
                </c:pt>
                <c:pt idx="163">
                  <c:v>6.1621573134894053E-2</c:v>
                </c:pt>
                <c:pt idx="164">
                  <c:v>6.1643901858166733E-2</c:v>
                </c:pt>
                <c:pt idx="165">
                  <c:v>6.1666230061817401E-2</c:v>
                </c:pt>
                <c:pt idx="166">
                  <c:v>6.1688557745858158E-2</c:v>
                </c:pt>
                <c:pt idx="167">
                  <c:v>6.1710884910301106E-2</c:v>
                </c:pt>
                <c:pt idx="168">
                  <c:v>6.1733211555158346E-2</c:v>
                </c:pt>
                <c:pt idx="169">
                  <c:v>6.1755537680441869E-2</c:v>
                </c:pt>
                <c:pt idx="170">
                  <c:v>6.1777863286163887E-2</c:v>
                </c:pt>
                <c:pt idx="171">
                  <c:v>6.1800188372336501E-2</c:v>
                </c:pt>
                <c:pt idx="172">
                  <c:v>6.1822512938971702E-2</c:v>
                </c:pt>
                <c:pt idx="173">
                  <c:v>6.1844836986081592E-2</c:v>
                </c:pt>
                <c:pt idx="174">
                  <c:v>6.1867160513678271E-2</c:v>
                </c:pt>
                <c:pt idx="175">
                  <c:v>6.1889483521773953E-2</c:v>
                </c:pt>
                <c:pt idx="176">
                  <c:v>6.1911806010380516E-2</c:v>
                </c:pt>
                <c:pt idx="177">
                  <c:v>6.1934127979510284E-2</c:v>
                </c:pt>
                <c:pt idx="178">
                  <c:v>6.1956449429175137E-2</c:v>
                </c:pt>
                <c:pt idx="179">
                  <c:v>6.1978770359387175E-2</c:v>
                </c:pt>
                <c:pt idx="180">
                  <c:v>6.2001090770158723E-2</c:v>
                </c:pt>
                <c:pt idx="181">
                  <c:v>6.2023410661501549E-2</c:v>
                </c:pt>
                <c:pt idx="182">
                  <c:v>6.2045730033427976E-2</c:v>
                </c:pt>
                <c:pt idx="183">
                  <c:v>6.2068048885949995E-2</c:v>
                </c:pt>
                <c:pt idx="184">
                  <c:v>6.2090367219079706E-2</c:v>
                </c:pt>
                <c:pt idx="185">
                  <c:v>6.2112685032829212E-2</c:v>
                </c:pt>
                <c:pt idx="186">
                  <c:v>6.2135002327210614E-2</c:v>
                </c:pt>
                <c:pt idx="187">
                  <c:v>6.2157319102235903E-2</c:v>
                </c:pt>
                <c:pt idx="188">
                  <c:v>6.217963535791729E-2</c:v>
                </c:pt>
                <c:pt idx="189">
                  <c:v>6.2201951094266766E-2</c:v>
                </c:pt>
                <c:pt idx="190">
                  <c:v>6.2224266311296544E-2</c:v>
                </c:pt>
                <c:pt idx="191">
                  <c:v>6.2246581009018503E-2</c:v>
                </c:pt>
                <c:pt idx="192">
                  <c:v>6.2268895187444967E-2</c:v>
                </c:pt>
                <c:pt idx="193">
                  <c:v>6.2291208846587814E-2</c:v>
                </c:pt>
                <c:pt idx="194">
                  <c:v>6.2313521986459258E-2</c:v>
                </c:pt>
                <c:pt idx="195">
                  <c:v>6.2335834607071289E-2</c:v>
                </c:pt>
                <c:pt idx="196">
                  <c:v>6.2358146708436007E-2</c:v>
                </c:pt>
                <c:pt idx="197">
                  <c:v>6.2380458290565627E-2</c:v>
                </c:pt>
                <c:pt idx="198">
                  <c:v>6.2402769353472137E-2</c:v>
                </c:pt>
                <c:pt idx="199">
                  <c:v>6.2425079897167529E-2</c:v>
                </c:pt>
                <c:pt idx="200">
                  <c:v>6.2447389921664015E-2</c:v>
                </c:pt>
                <c:pt idx="201">
                  <c:v>6.2469699426973696E-2</c:v>
                </c:pt>
                <c:pt idx="202">
                  <c:v>6.2492008413108563E-2</c:v>
                </c:pt>
                <c:pt idx="203">
                  <c:v>6.2514316880080717E-2</c:v>
                </c:pt>
                <c:pt idx="204">
                  <c:v>6.253662482790226E-2</c:v>
                </c:pt>
                <c:pt idx="205">
                  <c:v>6.2558932256585292E-2</c:v>
                </c:pt>
                <c:pt idx="206">
                  <c:v>6.2581239166141805E-2</c:v>
                </c:pt>
                <c:pt idx="207">
                  <c:v>6.2603545556584012E-2</c:v>
                </c:pt>
                <c:pt idx="208">
                  <c:v>6.2625851427923901E-2</c:v>
                </c:pt>
                <c:pt idx="209">
                  <c:v>6.2648156780173575E-2</c:v>
                </c:pt>
                <c:pt idx="210">
                  <c:v>6.2670461613345135E-2</c:v>
                </c:pt>
                <c:pt idx="211">
                  <c:v>6.2692765927450572E-2</c:v>
                </c:pt>
                <c:pt idx="212">
                  <c:v>6.2715069722502098E-2</c:v>
                </c:pt>
                <c:pt idx="213">
                  <c:v>6.2737372998511703E-2</c:v>
                </c:pt>
                <c:pt idx="214">
                  <c:v>6.275967575549149E-2</c:v>
                </c:pt>
                <c:pt idx="215">
                  <c:v>6.2781977993453558E-2</c:v>
                </c:pt>
                <c:pt idx="216">
                  <c:v>6.2804279712410011E-2</c:v>
                </c:pt>
                <c:pt idx="217">
                  <c:v>6.2826580912372837E-2</c:v>
                </c:pt>
                <c:pt idx="218">
                  <c:v>6.2848881593354139E-2</c:v>
                </c:pt>
                <c:pt idx="219">
                  <c:v>6.2871181755366018E-2</c:v>
                </c:pt>
                <c:pt idx="220">
                  <c:v>6.2893481398420575E-2</c:v>
                </c:pt>
                <c:pt idx="221">
                  <c:v>6.2915780522529802E-2</c:v>
                </c:pt>
                <c:pt idx="222">
                  <c:v>6.2938079127705909E-2</c:v>
                </c:pt>
                <c:pt idx="223">
                  <c:v>6.2960377213960889E-2</c:v>
                </c:pt>
                <c:pt idx="224">
                  <c:v>6.298267478130673E-2</c:v>
                </c:pt>
                <c:pt idx="225">
                  <c:v>6.3004971829755757E-2</c:v>
                </c:pt>
                <c:pt idx="226">
                  <c:v>6.3027268359319849E-2</c:v>
                </c:pt>
                <c:pt idx="227">
                  <c:v>6.3049564370010996E-2</c:v>
                </c:pt>
                <c:pt idx="228">
                  <c:v>6.3071859861841523E-2</c:v>
                </c:pt>
                <c:pt idx="229">
                  <c:v>6.3094154834823418E-2</c:v>
                </c:pt>
                <c:pt idx="230">
                  <c:v>6.3116449288968673E-2</c:v>
                </c:pt>
                <c:pt idx="231">
                  <c:v>6.313874322428939E-2</c:v>
                </c:pt>
                <c:pt idx="232">
                  <c:v>6.3161036640797669E-2</c:v>
                </c:pt>
                <c:pt idx="233">
                  <c:v>6.31833295385055E-2</c:v>
                </c:pt>
                <c:pt idx="234">
                  <c:v>6.3205621917425209E-2</c:v>
                </c:pt>
                <c:pt idx="235">
                  <c:v>6.3227913777568562E-2</c:v>
                </c:pt>
                <c:pt idx="236">
                  <c:v>6.3250205118947772E-2</c:v>
                </c:pt>
                <c:pt idx="237">
                  <c:v>6.3272495941574941E-2</c:v>
                </c:pt>
                <c:pt idx="238">
                  <c:v>6.3294786245462059E-2</c:v>
                </c:pt>
                <c:pt idx="239">
                  <c:v>6.3317076030621339E-2</c:v>
                </c:pt>
                <c:pt idx="240">
                  <c:v>6.3339365297064659E-2</c:v>
                </c:pt>
                <c:pt idx="241">
                  <c:v>6.3361654044804233E-2</c:v>
                </c:pt>
                <c:pt idx="242">
                  <c:v>6.3383942273852051E-2</c:v>
                </c:pt>
                <c:pt idx="243">
                  <c:v>6.3406229984220214E-2</c:v>
                </c:pt>
                <c:pt idx="244">
                  <c:v>6.3428517175920823E-2</c:v>
                </c:pt>
                <c:pt idx="245">
                  <c:v>6.3450803848965981E-2</c:v>
                </c:pt>
                <c:pt idx="246">
                  <c:v>6.3473090003367566E-2</c:v>
                </c:pt>
                <c:pt idx="247">
                  <c:v>6.3495375639137902E-2</c:v>
                </c:pt>
                <c:pt idx="248">
                  <c:v>6.3517660756288868E-2</c:v>
                </c:pt>
                <c:pt idx="249">
                  <c:v>6.3539945354832678E-2</c:v>
                </c:pt>
                <c:pt idx="250">
                  <c:v>6.3562229434781209E-2</c:v>
                </c:pt>
                <c:pt idx="251">
                  <c:v>6.3584512996146675E-2</c:v>
                </c:pt>
                <c:pt idx="252">
                  <c:v>6.3606796038941177E-2</c:v>
                </c:pt>
                <c:pt idx="253">
                  <c:v>6.3629078563176705E-2</c:v>
                </c:pt>
                <c:pt idx="254">
                  <c:v>6.3651360568865251E-2</c:v>
                </c:pt>
                <c:pt idx="255">
                  <c:v>6.3673642056019136E-2</c:v>
                </c:pt>
                <c:pt idx="256">
                  <c:v>6.3695923024650131E-2</c:v>
                </c:pt>
                <c:pt idx="257">
                  <c:v>6.3718203474770446E-2</c:v>
                </c:pt>
                <c:pt idx="258">
                  <c:v>6.3740483406392184E-2</c:v>
                </c:pt>
                <c:pt idx="259">
                  <c:v>6.3762762819527335E-2</c:v>
                </c:pt>
                <c:pt idx="260">
                  <c:v>6.3785041714188001E-2</c:v>
                </c:pt>
                <c:pt idx="261">
                  <c:v>6.3807320090386282E-2</c:v>
                </c:pt>
                <c:pt idx="262">
                  <c:v>6.382959794813417E-2</c:v>
                </c:pt>
                <c:pt idx="263">
                  <c:v>6.3851875287443655E-2</c:v>
                </c:pt>
                <c:pt idx="264">
                  <c:v>6.3874152108327059E-2</c:v>
                </c:pt>
                <c:pt idx="265">
                  <c:v>6.3896428410796263E-2</c:v>
                </c:pt>
                <c:pt idx="266">
                  <c:v>6.3918704194863368E-2</c:v>
                </c:pt>
                <c:pt idx="267">
                  <c:v>6.3940979460540365E-2</c:v>
                </c:pt>
                <c:pt idx="268">
                  <c:v>6.3963254207839465E-2</c:v>
                </c:pt>
                <c:pt idx="269">
                  <c:v>6.398552843677266E-2</c:v>
                </c:pt>
                <c:pt idx="270">
                  <c:v>6.4007802147351939E-2</c:v>
                </c:pt>
                <c:pt idx="271">
                  <c:v>6.4030075339589515E-2</c:v>
                </c:pt>
                <c:pt idx="272">
                  <c:v>6.4052348013497268E-2</c:v>
                </c:pt>
                <c:pt idx="273">
                  <c:v>6.407462016908741E-2</c:v>
                </c:pt>
                <c:pt idx="274">
                  <c:v>6.4096891806371931E-2</c:v>
                </c:pt>
                <c:pt idx="275">
                  <c:v>6.4119162925362932E-2</c:v>
                </c:pt>
                <c:pt idx="276">
                  <c:v>6.4141433526072517E-2</c:v>
                </c:pt>
                <c:pt idx="277">
                  <c:v>6.4163703608512673E-2</c:v>
                </c:pt>
                <c:pt idx="278">
                  <c:v>6.4185973172695393E-2</c:v>
                </c:pt>
                <c:pt idx="279">
                  <c:v>6.4208242218632888E-2</c:v>
                </c:pt>
                <c:pt idx="280">
                  <c:v>6.4230510746337149E-2</c:v>
                </c:pt>
                <c:pt idx="281">
                  <c:v>6.4252778755820167E-2</c:v>
                </c:pt>
                <c:pt idx="282">
                  <c:v>6.4275046247094153E-2</c:v>
                </c:pt>
                <c:pt idx="283">
                  <c:v>6.4297313220171098E-2</c:v>
                </c:pt>
                <c:pt idx="284">
                  <c:v>6.4319579675062993E-2</c:v>
                </c:pt>
                <c:pt idx="285">
                  <c:v>6.434184561178205E-2</c:v>
                </c:pt>
                <c:pt idx="286">
                  <c:v>6.4364111030340149E-2</c:v>
                </c:pt>
                <c:pt idx="287">
                  <c:v>6.438637593074939E-2</c:v>
                </c:pt>
                <c:pt idx="288">
                  <c:v>6.4408640313021875E-2</c:v>
                </c:pt>
                <c:pt idx="289">
                  <c:v>6.4430904177169707E-2</c:v>
                </c:pt>
                <c:pt idx="290">
                  <c:v>6.4453167523204874E-2</c:v>
                </c:pt>
                <c:pt idx="291">
                  <c:v>6.4475430351139479E-2</c:v>
                </c:pt>
                <c:pt idx="292">
                  <c:v>6.4497692660985623E-2</c:v>
                </c:pt>
                <c:pt idx="293">
                  <c:v>6.4519954452755185E-2</c:v>
                </c:pt>
                <c:pt idx="294">
                  <c:v>6.4542215726460378E-2</c:v>
                </c:pt>
                <c:pt idx="295">
                  <c:v>6.4564476482113192E-2</c:v>
                </c:pt>
                <c:pt idx="296">
                  <c:v>6.4586736719725729E-2</c:v>
                </c:pt>
                <c:pt idx="297">
                  <c:v>6.4608996439309979E-2</c:v>
                </c:pt>
                <c:pt idx="298">
                  <c:v>6.4631255640878044E-2</c:v>
                </c:pt>
                <c:pt idx="299">
                  <c:v>6.4653514324441913E-2</c:v>
                </c:pt>
                <c:pt idx="300">
                  <c:v>6.46757724900138E-2</c:v>
                </c:pt>
                <c:pt idx="301">
                  <c:v>6.4698030137605583E-2</c:v>
                </c:pt>
                <c:pt idx="302">
                  <c:v>6.4720287267229476E-2</c:v>
                </c:pt>
                <c:pt idx="303">
                  <c:v>6.4742543878897357E-2</c:v>
                </c:pt>
                <c:pt idx="304">
                  <c:v>6.476479997262144E-2</c:v>
                </c:pt>
                <c:pt idx="305">
                  <c:v>6.4787055548413602E-2</c:v>
                </c:pt>
                <c:pt idx="306">
                  <c:v>6.4809310606286169E-2</c:v>
                </c:pt>
                <c:pt idx="307">
                  <c:v>6.4831565146250908E-2</c:v>
                </c:pt>
                <c:pt idx="308">
                  <c:v>6.4853819168320032E-2</c:v>
                </c:pt>
                <c:pt idx="309">
                  <c:v>6.487607267250553E-2</c:v>
                </c:pt>
                <c:pt idx="310">
                  <c:v>6.4898325658819395E-2</c:v>
                </c:pt>
                <c:pt idx="311">
                  <c:v>6.4920578127273837E-2</c:v>
                </c:pt>
                <c:pt idx="312">
                  <c:v>6.4942830077880848E-2</c:v>
                </c:pt>
                <c:pt idx="313">
                  <c:v>6.4965081510652528E-2</c:v>
                </c:pt>
                <c:pt idx="314">
                  <c:v>6.4987332425600758E-2</c:v>
                </c:pt>
                <c:pt idx="315">
                  <c:v>6.5009582822737638E-2</c:v>
                </c:pt>
                <c:pt idx="316">
                  <c:v>6.5031832702075382E-2</c:v>
                </c:pt>
                <c:pt idx="317">
                  <c:v>6.5054082063625868E-2</c:v>
                </c:pt>
                <c:pt idx="318">
                  <c:v>6.5076330907401309E-2</c:v>
                </c:pt>
                <c:pt idx="319">
                  <c:v>6.5098579233413473E-2</c:v>
                </c:pt>
                <c:pt idx="320">
                  <c:v>6.5120827041674684E-2</c:v>
                </c:pt>
                <c:pt idx="321">
                  <c:v>6.5143074332196932E-2</c:v>
                </c:pt>
                <c:pt idx="322">
                  <c:v>6.5165321104992208E-2</c:v>
                </c:pt>
                <c:pt idx="323">
                  <c:v>6.5187567360072612E-2</c:v>
                </c:pt>
                <c:pt idx="324">
                  <c:v>6.5209813097450026E-2</c:v>
                </c:pt>
                <c:pt idx="325">
                  <c:v>6.5232058317136771E-2</c:v>
                </c:pt>
                <c:pt idx="326">
                  <c:v>6.5254303019144727E-2</c:v>
                </c:pt>
                <c:pt idx="327">
                  <c:v>6.5276547203485885E-2</c:v>
                </c:pt>
                <c:pt idx="328">
                  <c:v>6.5298790870172457E-2</c:v>
                </c:pt>
                <c:pt idx="329">
                  <c:v>6.5321034019216434E-2</c:v>
                </c:pt>
                <c:pt idx="330">
                  <c:v>6.5343276650629806E-2</c:v>
                </c:pt>
                <c:pt idx="331">
                  <c:v>6.5365518764424674E-2</c:v>
                </c:pt>
                <c:pt idx="332">
                  <c:v>6.5387760360612918E-2</c:v>
                </c:pt>
                <c:pt idx="333">
                  <c:v>6.5410001439206861E-2</c:v>
                </c:pt>
                <c:pt idx="334">
                  <c:v>6.5432242000218382E-2</c:v>
                </c:pt>
                <c:pt idx="335">
                  <c:v>6.5454482043659584E-2</c:v>
                </c:pt>
                <c:pt idx="336">
                  <c:v>6.5476721569542456E-2</c:v>
                </c:pt>
                <c:pt idx="337">
                  <c:v>6.5498960577879101E-2</c:v>
                </c:pt>
                <c:pt idx="338">
                  <c:v>6.5521199068681507E-2</c:v>
                </c:pt>
                <c:pt idx="339">
                  <c:v>6.5543437041961777E-2</c:v>
                </c:pt>
                <c:pt idx="340">
                  <c:v>6.5565674497731902E-2</c:v>
                </c:pt>
                <c:pt idx="341">
                  <c:v>6.5587911436003871E-2</c:v>
                </c:pt>
                <c:pt idx="342">
                  <c:v>6.5610147856789897E-2</c:v>
                </c:pt>
                <c:pt idx="343">
                  <c:v>6.5632383760101859E-2</c:v>
                </c:pt>
                <c:pt idx="344">
                  <c:v>6.565461914595197E-2</c:v>
                </c:pt>
                <c:pt idx="345">
                  <c:v>6.5676854014351999E-2</c:v>
                </c:pt>
                <c:pt idx="346">
                  <c:v>6.5699088365314268E-2</c:v>
                </c:pt>
                <c:pt idx="347">
                  <c:v>6.5721322198850768E-2</c:v>
                </c:pt>
                <c:pt idx="348">
                  <c:v>6.5743555514973379E-2</c:v>
                </c:pt>
                <c:pt idx="349">
                  <c:v>6.5765788313694312E-2</c:v>
                </c:pt>
                <c:pt idx="350">
                  <c:v>6.5788020595025448E-2</c:v>
                </c:pt>
                <c:pt idx="351">
                  <c:v>6.5810252358978999E-2</c:v>
                </c:pt>
                <c:pt idx="352">
                  <c:v>6.5832483605566844E-2</c:v>
                </c:pt>
                <c:pt idx="353">
                  <c:v>6.5854714334801195E-2</c:v>
                </c:pt>
                <c:pt idx="354">
                  <c:v>6.5876944546693933E-2</c:v>
                </c:pt>
                <c:pt idx="355">
                  <c:v>6.5899174241257158E-2</c:v>
                </c:pt>
                <c:pt idx="356">
                  <c:v>6.5921403418502972E-2</c:v>
                </c:pt>
                <c:pt idx="357">
                  <c:v>6.5943632078443365E-2</c:v>
                </c:pt>
                <c:pt idx="358">
                  <c:v>6.5965860221090328E-2</c:v>
                </c:pt>
                <c:pt idx="359">
                  <c:v>6.5988087846455962E-2</c:v>
                </c:pt>
                <c:pt idx="360">
                  <c:v>6.6010314954552257E-2</c:v>
                </c:pt>
                <c:pt idx="361">
                  <c:v>6.6032541545391205E-2</c:v>
                </c:pt>
                <c:pt idx="362">
                  <c:v>6.6054767618985016E-2</c:v>
                </c:pt>
                <c:pt idx="363">
                  <c:v>6.6076993175345572E-2</c:v>
                </c:pt>
                <c:pt idx="364">
                  <c:v>6.6099218214485084E-2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0.12192766899012962</c:v>
                </c:pt>
                <c:pt idx="1">
                  <c:v>0.12201696341988677</c:v>
                </c:pt>
                <c:pt idx="2">
                  <c:v>0.12210634095825763</c:v>
                </c:pt>
                <c:pt idx="3">
                  <c:v>0.12219577402398452</c:v>
                </c:pt>
                <c:pt idx="4">
                  <c:v>0.12228523863657342</c:v>
                </c:pt>
                <c:pt idx="5">
                  <c:v>0.12237471431109825</c:v>
                </c:pt>
                <c:pt idx="6">
                  <c:v>0.12246418392543272</c:v>
                </c:pt>
                <c:pt idx="7">
                  <c:v>0.12255363356211298</c:v>
                </c:pt>
                <c:pt idx="8">
                  <c:v>0.12264305232722299</c:v>
                </c:pt>
                <c:pt idx="9">
                  <c:v>0.12273243214885798</c:v>
                </c:pt>
                <c:pt idx="10">
                  <c:v>0.12282176755785718</c:v>
                </c:pt>
                <c:pt idx="11">
                  <c:v>0.1229110554536042</c:v>
                </c:pt>
                <c:pt idx="12">
                  <c:v>0.12300029485777383</c:v>
                </c:pt>
                <c:pt idx="13">
                  <c:v>0.12308948665895229</c:v>
                </c:pt>
                <c:pt idx="14">
                  <c:v>0.12317863335107883</c:v>
                </c:pt>
                <c:pt idx="15">
                  <c:v>0.12326773876864958</c:v>
                </c:pt>
                <c:pt idx="16">
                  <c:v>0.12335680782158547</c:v>
                </c:pt>
                <c:pt idx="17">
                  <c:v>0.12344584623260249</c:v>
                </c:pt>
                <c:pt idx="18">
                  <c:v>0.12353486027983202</c:v>
                </c:pt>
                <c:pt idx="19">
                  <c:v>0.12362385654732071</c:v>
                </c:pt>
                <c:pt idx="20">
                  <c:v>0.12371284168590016</c:v>
                </c:pt>
                <c:pt idx="21">
                  <c:v>0.12380182218675423</c:v>
                </c:pt>
                <c:pt idx="22">
                  <c:v>0.12389080416982853</c:v>
                </c:pt>
                <c:pt idx="23">
                  <c:v>0.12397979318902776</c:v>
                </c:pt>
                <c:pt idx="24">
                  <c:v>0.12406879405592891</c:v>
                </c:pt>
                <c:pt idx="25">
                  <c:v>0.12415781068351102</c:v>
                </c:pt>
                <c:pt idx="26">
                  <c:v>0.12424684595116134</c:v>
                </c:pt>
                <c:pt idx="27">
                  <c:v>0.12433590159197025</c:v>
                </c:pt>
                <c:pt idx="28">
                  <c:v>0.12442497810307485</c:v>
                </c:pt>
                <c:pt idx="29">
                  <c:v>0.12451407467955405</c:v>
                </c:pt>
                <c:pt idx="30">
                  <c:v>0.12460318917212392</c:v>
                </c:pt>
                <c:pt idx="31">
                  <c:v>0.12469231806862646</c:v>
                </c:pt>
                <c:pt idx="32">
                  <c:v>0.12478145649905929</c:v>
                </c:pt>
                <c:pt idx="33">
                  <c:v>0.12487059826365089</c:v>
                </c:pt>
                <c:pt idx="34">
                  <c:v>0.12495973588325678</c:v>
                </c:pt>
                <c:pt idx="35">
                  <c:v>0.12504886067113288</c:v>
                </c:pt>
                <c:pt idx="36">
                  <c:v>0.12513796282493786</c:v>
                </c:pt>
                <c:pt idx="37">
                  <c:v>0.12522703153762846</c:v>
                </c:pt>
                <c:pt idx="38">
                  <c:v>0.12531605512573982</c:v>
                </c:pt>
                <c:pt idx="39">
                  <c:v>0.12540502117339342</c:v>
                </c:pt>
                <c:pt idx="40">
                  <c:v>0.12549391669024207</c:v>
                </c:pt>
                <c:pt idx="41">
                  <c:v>0.12558272828145284</c:v>
                </c:pt>
                <c:pt idx="42">
                  <c:v>0.125671442327741</c:v>
                </c:pt>
                <c:pt idx="43">
                  <c:v>0.12576004517340286</c:v>
                </c:pt>
                <c:pt idx="44">
                  <c:v>0.12584852332025345</c:v>
                </c:pt>
                <c:pt idx="45">
                  <c:v>0.12593686362535583</c:v>
                </c:pt>
                <c:pt idx="46">
                  <c:v>0.12602505350043175</c:v>
                </c:pt>
                <c:pt idx="47">
                  <c:v>0.12611308111086905</c:v>
                </c:pt>
                <c:pt idx="48">
                  <c:v>0.1262009355722889</c:v>
                </c:pt>
                <c:pt idx="49">
                  <c:v>0.12628860714270101</c:v>
                </c:pt>
                <c:pt idx="50">
                  <c:v>0.12637608740836442</c:v>
                </c:pt>
                <c:pt idx="51">
                  <c:v>0.12646336946157338</c:v>
                </c:pt>
                <c:pt idx="52">
                  <c:v>0.12655044806870999</c:v>
                </c:pt>
                <c:pt idx="53">
                  <c:v>0.12663731982704093</c:v>
                </c:pt>
                <c:pt idx="54">
                  <c:v>0.12672398330888329</c:v>
                </c:pt>
                <c:pt idx="55">
                  <c:v>0.12681043919192414</c:v>
                </c:pt>
                <c:pt idx="56">
                  <c:v>0.1268966903746474</c:v>
                </c:pt>
                <c:pt idx="57">
                  <c:v>0.12698274207599597</c:v>
                </c:pt>
                <c:pt idx="58">
                  <c:v>0.12706860191857713</c:v>
                </c:pt>
                <c:pt idx="59">
                  <c:v>0.12715427999490159</c:v>
                </c:pt>
                <c:pt idx="60">
                  <c:v>0.12723978891633037</c:v>
                </c:pt>
                <c:pt idx="61">
                  <c:v>0.12732514384458213</c:v>
                </c:pt>
                <c:pt idx="62">
                  <c:v>0.1274103625058351</c:v>
                </c:pt>
                <c:pt idx="63">
                  <c:v>0.12749546518762475</c:v>
                </c:pt>
                <c:pt idx="64">
                  <c:v>0.12758047471890671</c:v>
                </c:pt>
                <c:pt idx="65">
                  <c:v>0.12766541643380586</c:v>
                </c:pt>
                <c:pt idx="66">
                  <c:v>0.1277503181197184</c:v>
                </c:pt>
                <c:pt idx="67">
                  <c:v>0.12783520995056422</c:v>
                </c:pt>
                <c:pt idx="68">
                  <c:v>0.12792012440610454</c:v>
                </c:pt>
                <c:pt idx="69">
                  <c:v>0.1280050961783433</c:v>
                </c:pt>
                <c:pt idx="70">
                  <c:v>0.12809016206611756</c:v>
                </c:pt>
                <c:pt idx="71">
                  <c:v>0.12817536085905321</c:v>
                </c:pt>
                <c:pt idx="72">
                  <c:v>0.12826073321211659</c:v>
                </c:pt>
                <c:pt idx="73">
                  <c:v>0.12834632151202935</c:v>
                </c:pt>
                <c:pt idx="74">
                  <c:v>0.12843216973683386</c:v>
                </c:pt>
                <c:pt idx="75">
                  <c:v>0.12851832330989937</c:v>
                </c:pt>
                <c:pt idx="76">
                  <c:v>0.12860482894964562</c:v>
                </c:pt>
                <c:pt idx="77">
                  <c:v>0.1286917345162297</c:v>
                </c:pt>
                <c:pt idx="78">
                  <c:v>0.12877908885639947</c:v>
                </c:pt>
                <c:pt idx="79">
                  <c:v>0.12886694164765397</c:v>
                </c:pt>
                <c:pt idx="80">
                  <c:v>0.12895534324278257</c:v>
                </c:pt>
                <c:pt idx="81">
                  <c:v>0.12904434451576718</c:v>
                </c:pt>
                <c:pt idx="82">
                  <c:v>0.12913399670993919</c:v>
                </c:pt>
                <c:pt idx="83">
                  <c:v>0.12922435128917825</c:v>
                </c:pt>
                <c:pt idx="84">
                  <c:v>0.12931545979282832</c:v>
                </c:pt>
                <c:pt idx="85">
                  <c:v>0.12940737369489203</c:v>
                </c:pt>
                <c:pt idx="86">
                  <c:v>0.12950014426794165</c:v>
                </c:pt>
                <c:pt idx="87">
                  <c:v>0.12959382245206449</c:v>
                </c:pt>
                <c:pt idx="88">
                  <c:v>0.12968845872903748</c:v>
                </c:pt>
                <c:pt idx="89">
                  <c:v>0.12978410300180498</c:v>
                </c:pt>
                <c:pt idx="90">
                  <c:v>0.12988080447921685</c:v>
                </c:pt>
                <c:pt idx="91">
                  <c:v>0.12997861156587165</c:v>
                </c:pt>
                <c:pt idx="92">
                  <c:v>0.13007757175680454</c:v>
                </c:pt>
                <c:pt idx="93">
                  <c:v>0.13017773153666243</c:v>
                </c:pt>
                <c:pt idx="94">
                  <c:v>0.13027913628292254</c:v>
                </c:pt>
                <c:pt idx="95">
                  <c:v>0.13038183017263349</c:v>
                </c:pt>
                <c:pt idx="96">
                  <c:v>0.13048585609209498</c:v>
                </c:pt>
                <c:pt idx="97">
                  <c:v>0.13059125554884141</c:v>
                </c:pt>
                <c:pt idx="98">
                  <c:v>0.13069806858525784</c:v>
                </c:pt>
                <c:pt idx="99">
                  <c:v>0.13080633369313557</c:v>
                </c:pt>
                <c:pt idx="100">
                  <c:v>0.13091608772846597</c:v>
                </c:pt>
                <c:pt idx="101">
                  <c:v>0.13102736582578145</c:v>
                </c:pt>
                <c:pt idx="102">
                  <c:v>0.13114020131137444</c:v>
                </c:pt>
                <c:pt idx="103">
                  <c:v>0.13125462561476373</c:v>
                </c:pt>
                <c:pt idx="104">
                  <c:v>0.1313706681778315</c:v>
                </c:pt>
                <c:pt idx="105">
                  <c:v>0.13148835636111986</c:v>
                </c:pt>
                <c:pt idx="106">
                  <c:v>0.13160771534685758</c:v>
                </c:pt>
                <c:pt idx="107">
                  <c:v>0.13172876803837791</c:v>
                </c:pt>
                <c:pt idx="108">
                  <c:v>0.13185153495569343</c:v>
                </c:pt>
                <c:pt idx="109">
                  <c:v>0.13197603412710601</c:v>
                </c:pt>
                <c:pt idx="110">
                  <c:v>0.13210228097685089</c:v>
                </c:pt>
                <c:pt idx="111">
                  <c:v>0.13223028820890176</c:v>
                </c:pt>
                <c:pt idx="112">
                  <c:v>0.13236006568719708</c:v>
                </c:pt>
                <c:pt idx="113">
                  <c:v>0.13249162031268147</c:v>
                </c:pt>
                <c:pt idx="114">
                  <c:v>0.13262495589769577</c:v>
                </c:pt>
                <c:pt idx="115">
                  <c:v>0.13276007303838203</c:v>
                </c:pt>
                <c:pt idx="116">
                  <c:v>0.13289696898590708</c:v>
                </c:pt>
                <c:pt idx="117">
                  <c:v>0.1330356375174333</c:v>
                </c:pt>
                <c:pt idx="118">
                  <c:v>0.13317606880789065</c:v>
                </c:pt>
                <c:pt idx="119">
                  <c:v>1.8199148020337074E-2</c:v>
                </c:pt>
                <c:pt idx="120">
                  <c:v>1.8436630746455355E-2</c:v>
                </c:pt>
                <c:pt idx="121">
                  <c:v>1.8674278836794338E-2</c:v>
                </c:pt>
                <c:pt idx="122">
                  <c:v>1.891209731169078E-2</c:v>
                </c:pt>
                <c:pt idx="123">
                  <c:v>1.9150090384453679E-2</c:v>
                </c:pt>
                <c:pt idx="124">
                  <c:v>1.9388261414981681E-2</c:v>
                </c:pt>
                <c:pt idx="125">
                  <c:v>1.962661286425918E-2</c:v>
                </c:pt>
                <c:pt idx="126">
                  <c:v>1.9865146250093457E-2</c:v>
                </c:pt>
                <c:pt idx="127">
                  <c:v>2.0103862104473048E-2</c:v>
                </c:pt>
                <c:pt idx="128">
                  <c:v>2.0342759932942787E-2</c:v>
                </c:pt>
                <c:pt idx="129">
                  <c:v>2.0581838176402318E-2</c:v>
                </c:pt>
                <c:pt idx="130">
                  <c:v>2.0821094175742266E-2</c:v>
                </c:pt>
                <c:pt idx="131">
                  <c:v>2.106052413973554E-2</c:v>
                </c:pt>
                <c:pt idx="132">
                  <c:v>2.1300123116600369E-2</c:v>
                </c:pt>
                <c:pt idx="133">
                  <c:v>2.1539884969645436E-2</c:v>
                </c:pt>
                <c:pt idx="134">
                  <c:v>2.1779802357397397E-2</c:v>
                </c:pt>
                <c:pt idx="135">
                  <c:v>2.2019866718595609E-2</c:v>
                </c:pt>
                <c:pt idx="136">
                  <c:v>2.2260068262418432E-2</c:v>
                </c:pt>
                <c:pt idx="137">
                  <c:v>2.2500395964281036E-2</c:v>
                </c:pt>
                <c:pt idx="138">
                  <c:v>2.2740837567514161E-2</c:v>
                </c:pt>
                <c:pt idx="139">
                  <c:v>2.2981379591199544E-2</c:v>
                </c:pt>
                <c:pt idx="140">
                  <c:v>2.3222007344398745E-2</c:v>
                </c:pt>
                <c:pt idx="141">
                  <c:v>2.3462704946969243E-2</c:v>
                </c:pt>
                <c:pt idx="142">
                  <c:v>2.3703455357115259E-2</c:v>
                </c:pt>
                <c:pt idx="143">
                  <c:v>2.3944240405770534E-2</c:v>
                </c:pt>
                <c:pt idx="144">
                  <c:v>2.4185040837857538E-2</c:v>
                </c:pt>
                <c:pt idx="145">
                  <c:v>2.4425836360412002E-2</c:v>
                </c:pt>
                <c:pt idx="146">
                  <c:v>2.4666605697504142E-2</c:v>
                </c:pt>
                <c:pt idx="147">
                  <c:v>2.4907326651829046E-2</c:v>
                </c:pt>
                <c:pt idx="148">
                  <c:v>2.5147976172779116E-2</c:v>
                </c:pt>
                <c:pt idx="149">
                  <c:v>2.538853043075125E-2</c:v>
                </c:pt>
                <c:pt idx="150">
                  <c:v>2.5628964897381704E-2</c:v>
                </c:pt>
                <c:pt idx="151">
                  <c:v>2.5869254431343455E-2</c:v>
                </c:pt>
                <c:pt idx="152">
                  <c:v>2.6109373369283196E-2</c:v>
                </c:pt>
                <c:pt idx="153">
                  <c:v>2.6349295621421086E-2</c:v>
                </c:pt>
                <c:pt idx="154">
                  <c:v>2.6588994771284125E-2</c:v>
                </c:pt>
                <c:pt idx="155">
                  <c:v>2.6828444178995998E-2</c:v>
                </c:pt>
                <c:pt idx="156">
                  <c:v>2.7067617087502122E-2</c:v>
                </c:pt>
                <c:pt idx="157">
                  <c:v>2.7306486731068766E-2</c:v>
                </c:pt>
                <c:pt idx="158">
                  <c:v>2.7545026445361408E-2</c:v>
                </c:pt>
                <c:pt idx="159">
                  <c:v>2.7783209778378233E-2</c:v>
                </c:pt>
                <c:pt idx="160">
                  <c:v>2.8021010601492001E-2</c:v>
                </c:pt>
                <c:pt idx="161">
                  <c:v>2.8258403219837979E-2</c:v>
                </c:pt>
                <c:pt idx="162">
                  <c:v>2.849536248127478E-2</c:v>
                </c:pt>
                <c:pt idx="163">
                  <c:v>2.8731863883143693E-2</c:v>
                </c:pt>
                <c:pt idx="164">
                  <c:v>2.8967883676055364E-2</c:v>
                </c:pt>
                <c:pt idx="165">
                  <c:v>2.9203398963944745E-2</c:v>
                </c:pt>
                <c:pt idx="166">
                  <c:v>2.9438387799654055E-2</c:v>
                </c:pt>
                <c:pt idx="167">
                  <c:v>2.9672829275329087E-2</c:v>
                </c:pt>
                <c:pt idx="168">
                  <c:v>2.9906703606946857E-2</c:v>
                </c:pt>
                <c:pt idx="169">
                  <c:v>3.0139992212332555E-2</c:v>
                </c:pt>
                <c:pt idx="170">
                  <c:v>3.0372677782069254E-2</c:v>
                </c:pt>
                <c:pt idx="171">
                  <c:v>3.0604744342755955E-2</c:v>
                </c:pt>
                <c:pt idx="172">
                  <c:v>3.083617731212733E-2</c:v>
                </c:pt>
                <c:pt idx="173">
                  <c:v>3.1066963545611007E-2</c:v>
                </c:pt>
                <c:pt idx="174">
                  <c:v>3.1297091373965871E-2</c:v>
                </c:pt>
                <c:pt idx="175">
                  <c:v>3.1526550631715632E-2</c:v>
                </c:pt>
                <c:pt idx="176">
                  <c:v>3.1755332676167015E-2</c:v>
                </c:pt>
                <c:pt idx="177">
                  <c:v>3.198343039687844E-2</c:v>
                </c:pt>
                <c:pt idx="178">
                  <c:v>3.2210838215524042E-2</c:v>
                </c:pt>
                <c:pt idx="179">
                  <c:v>3.2437552076178149E-2</c:v>
                </c:pt>
                <c:pt idx="180">
                  <c:v>3.2663569426124792E-2</c:v>
                </c:pt>
                <c:pt idx="181">
                  <c:v>3.2888889187376841E-2</c:v>
                </c:pt>
                <c:pt idx="182">
                  <c:v>3.311351171916728E-2</c:v>
                </c:pt>
                <c:pt idx="183">
                  <c:v>3.333743877175132E-2</c:v>
                </c:pt>
                <c:pt idx="184">
                  <c:v>3.3560673431930324E-2</c:v>
                </c:pt>
                <c:pt idx="185">
                  <c:v>3.3783220060778982E-2</c:v>
                </c:pt>
                <c:pt idx="186">
                  <c:v>3.4005084224120623E-2</c:v>
                </c:pt>
                <c:pt idx="187">
                  <c:v>3.4226272616356045E-2</c:v>
                </c:pt>
                <c:pt idx="188">
                  <c:v>3.4446792978304816E-2</c:v>
                </c:pt>
                <c:pt idx="189">
                  <c:v>3.4666654009765242E-2</c:v>
                </c:pt>
                <c:pt idx="190">
                  <c:v>3.4885865277540271E-2</c:v>
                </c:pt>
                <c:pt idx="191">
                  <c:v>3.5104437119709161E-2</c:v>
                </c:pt>
                <c:pt idx="192">
                  <c:v>3.5322380546951082E-2</c:v>
                </c:pt>
                <c:pt idx="193">
                  <c:v>3.5539707141743496E-2</c:v>
                </c:pt>
                <c:pt idx="194">
                  <c:v>3.5756428956268418E-2</c:v>
                </c:pt>
                <c:pt idx="195">
                  <c:v>3.5972558409859801E-2</c:v>
                </c:pt>
                <c:pt idx="196">
                  <c:v>3.618810818681889E-2</c:v>
                </c:pt>
                <c:pt idx="197">
                  <c:v>3.640309113540794E-2</c:v>
                </c:pt>
                <c:pt idx="198">
                  <c:v>3.6617520168809682E-2</c:v>
                </c:pt>
                <c:pt idx="199">
                  <c:v>3.6831408168808089E-2</c:v>
                </c:pt>
                <c:pt idx="200">
                  <c:v>3.7044767892906699E-2</c:v>
                </c:pt>
                <c:pt idx="201">
                  <c:v>3.7257611885554813E-2</c:v>
                </c:pt>
                <c:pt idx="202">
                  <c:v>3.7469952394098914E-2</c:v>
                </c:pt>
                <c:pt idx="203">
                  <c:v>3.7681801290017435E-2</c:v>
                </c:pt>
                <c:pt idx="204">
                  <c:v>3.7893169995933229E-2</c:v>
                </c:pt>
                <c:pt idx="205">
                  <c:v>3.8104069418828344E-2</c:v>
                </c:pt>
                <c:pt idx="206">
                  <c:v>3.8314509889813476E-2</c:v>
                </c:pt>
                <c:pt idx="207">
                  <c:v>3.8524501110727388E-2</c:v>
                </c:pt>
                <c:pt idx="208">
                  <c:v>3.8734052107764302E-2</c:v>
                </c:pt>
                <c:pt idx="209">
                  <c:v>3.894317119224644E-2</c:v>
                </c:pt>
                <c:pt idx="210">
                  <c:v>3.9151865928579263E-2</c:v>
                </c:pt>
                <c:pt idx="211">
                  <c:v>3.9360143109346775E-2</c:v>
                </c:pt>
                <c:pt idx="212">
                  <c:v>3.9568008737425601E-2</c:v>
                </c:pt>
                <c:pt idx="213">
                  <c:v>3.9775468014920719E-2</c:v>
                </c:pt>
                <c:pt idx="214">
                  <c:v>3.9982525338651764E-2</c:v>
                </c:pt>
                <c:pt idx="215">
                  <c:v>4.0189184301850221E-2</c:v>
                </c:pt>
                <c:pt idx="216">
                  <c:v>4.0395447701662826E-2</c:v>
                </c:pt>
                <c:pt idx="217">
                  <c:v>4.0601317551998091E-2</c:v>
                </c:pt>
                <c:pt idx="218">
                  <c:v>4.0806795101199306E-2</c:v>
                </c:pt>
                <c:pt idx="219">
                  <c:v>4.1011880853982642E-2</c:v>
                </c:pt>
                <c:pt idx="220">
                  <c:v>4.121657459703916E-2</c:v>
                </c:pt>
                <c:pt idx="221">
                  <c:v>4.1420875427670423E-2</c:v>
                </c:pt>
                <c:pt idx="222">
                  <c:v>4.1624781784804089E-2</c:v>
                </c:pt>
                <c:pt idx="223">
                  <c:v>4.1828291481722395E-2</c:v>
                </c:pt>
                <c:pt idx="224">
                  <c:v>4.2031401739832309E-2</c:v>
                </c:pt>
                <c:pt idx="225">
                  <c:v>4.2234109222808756E-2</c:v>
                </c:pt>
                <c:pt idx="226">
                  <c:v>4.2436410070456648E-2</c:v>
                </c:pt>
                <c:pt idx="227">
                  <c:v>4.2638299931657582E-2</c:v>
                </c:pt>
                <c:pt idx="228">
                  <c:v>4.2839773995798698E-2</c:v>
                </c:pt>
                <c:pt idx="229">
                  <c:v>4.30408270221182E-2</c:v>
                </c:pt>
                <c:pt idx="230">
                  <c:v>4.3241453366448974E-2</c:v>
                </c:pt>
                <c:pt idx="231">
                  <c:v>4.3441647004895279E-2</c:v>
                </c:pt>
                <c:pt idx="232">
                  <c:v>4.3641401554037E-2</c:v>
                </c:pt>
                <c:pt idx="233">
                  <c:v>4.3840710287322643E-2</c:v>
                </c:pt>
                <c:pt idx="234">
                  <c:v>4.4039566147383691E-2</c:v>
                </c:pt>
                <c:pt idx="235">
                  <c:v>4.4237961754078022E-2</c:v>
                </c:pt>
                <c:pt idx="236">
                  <c:v>4.4435889408150506E-2</c:v>
                </c:pt>
                <c:pt idx="237">
                  <c:v>4.4633341090479603E-2</c:v>
                </c:pt>
                <c:pt idx="238">
                  <c:v>4.483030845696305E-2</c:v>
                </c:pt>
                <c:pt idx="239">
                  <c:v>4.502678282917922E-2</c:v>
                </c:pt>
                <c:pt idx="240">
                  <c:v>4.5222755181044509E-2</c:v>
                </c:pt>
                <c:pt idx="241">
                  <c:v>4.5418216121768676E-2</c:v>
                </c:pt>
                <c:pt idx="242">
                  <c:v>4.5613155875489857E-2</c:v>
                </c:pt>
                <c:pt idx="243">
                  <c:v>4.5807564258046302E-2</c:v>
                </c:pt>
                <c:pt idx="244">
                  <c:v>4.6001430651413384E-2</c:v>
                </c:pt>
                <c:pt idx="245">
                  <c:v>4.619474397639959E-2</c:v>
                </c:pt>
                <c:pt idx="246">
                  <c:v>4.6387492664254806E-2</c:v>
                </c:pt>
                <c:pt idx="247">
                  <c:v>4.6579664627895298E-2</c:v>
                </c:pt>
                <c:pt idx="248">
                  <c:v>4.6771247233494205E-2</c:v>
                </c:pt>
                <c:pt idx="249">
                  <c:v>4.6962227273220837E-2</c:v>
                </c:pt>
                <c:pt idx="250">
                  <c:v>4.7152590939937247E-2</c:v>
                </c:pt>
                <c:pt idx="251">
                  <c:v>4.7342323804677039E-2</c:v>
                </c:pt>
                <c:pt idx="252">
                  <c:v>4.7531410797735721E-2</c:v>
                </c:pt>
                <c:pt idx="253">
                  <c:v>4.7719836194197417E-2</c:v>
                </c:pt>
                <c:pt idx="254">
                  <c:v>4.7907583604706004E-2</c:v>
                </c:pt>
                <c:pt idx="255">
                  <c:v>4.8094635972262781E-2</c:v>
                </c:pt>
                <c:pt idx="256">
                  <c:v>4.8280975575794381E-2</c:v>
                </c:pt>
                <c:pt idx="257">
                  <c:v>4.8466584041187269E-2</c:v>
                </c:pt>
                <c:pt idx="258">
                  <c:v>4.8651442360426331E-2</c:v>
                </c:pt>
                <c:pt idx="259">
                  <c:v>4.8835530919407642E-2</c:v>
                </c:pt>
                <c:pt idx="260">
                  <c:v>4.9018829534917402E-2</c:v>
                </c:pt>
                <c:pt idx="261">
                  <c:v>4.9201317501184082E-2</c:v>
                </c:pt>
                <c:pt idx="262">
                  <c:v>4.9382973646316691E-2</c:v>
                </c:pt>
                <c:pt idx="263">
                  <c:v>4.9563776398841193E-2</c:v>
                </c:pt>
                <c:pt idx="264">
                  <c:v>4.9743703864441872E-2</c:v>
                </c:pt>
                <c:pt idx="265">
                  <c:v>4.9922733912901779E-2</c:v>
                </c:pt>
                <c:pt idx="266">
                  <c:v>5.0100844275121896E-2</c:v>
                </c:pt>
                <c:pt idx="267">
                  <c:v>5.0278012649980969E-2</c:v>
                </c:pt>
                <c:pt idx="268">
                  <c:v>5.0454216820678542E-2</c:v>
                </c:pt>
                <c:pt idx="269">
                  <c:v>5.0629434780085025E-2</c:v>
                </c:pt>
                <c:pt idx="270">
                  <c:v>5.0803644864504081E-2</c:v>
                </c:pt>
                <c:pt idx="271">
                  <c:v>5.097682589513762E-2</c:v>
                </c:pt>
                <c:pt idx="272">
                  <c:v>5.1148957326431731E-2</c:v>
                </c:pt>
                <c:pt idx="273">
                  <c:v>5.1320019400375123E-2</c:v>
                </c:pt>
                <c:pt idx="274">
                  <c:v>5.1489993305721994E-2</c:v>
                </c:pt>
                <c:pt idx="275">
                  <c:v>5.1658861341017499E-2</c:v>
                </c:pt>
                <c:pt idx="276">
                  <c:v>5.1826607080220605E-2</c:v>
                </c:pt>
                <c:pt idx="277">
                  <c:v>5.1993215539644526E-2</c:v>
                </c:pt>
                <c:pt idx="278">
                  <c:v>5.2158673344870912E-2</c:v>
                </c:pt>
                <c:pt idx="279">
                  <c:v>5.2322968896242494E-2</c:v>
                </c:pt>
                <c:pt idx="280">
                  <c:v>5.24860925314986E-2</c:v>
                </c:pt>
                <c:pt idx="281">
                  <c:v>5.2648036684091876E-2</c:v>
                </c:pt>
                <c:pt idx="282">
                  <c:v>5.2808796035710814E-2</c:v>
                </c:pt>
                <c:pt idx="283">
                  <c:v>5.2968367661534697E-2</c:v>
                </c:pt>
                <c:pt idx="284">
                  <c:v>5.3126751166761597E-2</c:v>
                </c:pt>
                <c:pt idx="285">
                  <c:v>5.3283948812981069E-2</c:v>
                </c:pt>
                <c:pt idx="286">
                  <c:v>5.343996563300623E-2</c:v>
                </c:pt>
                <c:pt idx="287">
                  <c:v>5.3594809532838766E-2</c:v>
                </c:pt>
                <c:pt idx="288">
                  <c:v>5.3748491379512868E-2</c:v>
                </c:pt>
                <c:pt idx="289">
                  <c:v>5.390102507364946E-2</c:v>
                </c:pt>
                <c:pt idx="290">
                  <c:v>5.4052427605651064E-2</c:v>
                </c:pt>
                <c:pt idx="291">
                  <c:v>5.4202719094578473E-2</c:v>
                </c:pt>
                <c:pt idx="292">
                  <c:v>5.4351922808872549E-2</c:v>
                </c:pt>
                <c:pt idx="293">
                  <c:v>5.4500065168216656E-2</c:v>
                </c:pt>
                <c:pt idx="294">
                  <c:v>5.4647175725977576E-2</c:v>
                </c:pt>
                <c:pt idx="295">
                  <c:v>5.4793287131811419E-2</c:v>
                </c:pt>
                <c:pt idx="296">
                  <c:v>5.4938435074178289E-2</c:v>
                </c:pt>
                <c:pt idx="297">
                  <c:v>5.5082658202670554E-2</c:v>
                </c:pt>
                <c:pt idx="298">
                  <c:v>5.5225998030224911E-2</c:v>
                </c:pt>
                <c:pt idx="299">
                  <c:v>5.5368498815456774E-2</c:v>
                </c:pt>
                <c:pt idx="300">
                  <c:v>5.5510207425523234E-2</c:v>
                </c:pt>
                <c:pt idx="301">
                  <c:v>5.5651173180088949E-2</c:v>
                </c:pt>
                <c:pt idx="302">
                  <c:v>5.579144767713478E-2</c:v>
                </c:pt>
                <c:pt idx="303">
                  <c:v>5.5931084601509425E-2</c:v>
                </c:pt>
                <c:pt idx="304">
                  <c:v>5.6070139517280904E-2</c:v>
                </c:pt>
                <c:pt idx="305">
                  <c:v>5.6208669645092572E-2</c:v>
                </c:pt>
                <c:pt idx="306">
                  <c:v>5.6346733625868749E-2</c:v>
                </c:pt>
                <c:pt idx="307">
                  <c:v>5.6484391272345114E-2</c:v>
                </c:pt>
                <c:pt idx="308">
                  <c:v>5.662170331001698E-2</c:v>
                </c:pt>
                <c:pt idx="309">
                  <c:v>5.6758731109206477E-2</c:v>
                </c:pt>
                <c:pt idx="310">
                  <c:v>5.6895536410039985E-2</c:v>
                </c:pt>
                <c:pt idx="311">
                  <c:v>5.7032181042207072E-2</c:v>
                </c:pt>
                <c:pt idx="312">
                  <c:v>5.7168726641433944E-2</c:v>
                </c:pt>
                <c:pt idx="313">
                  <c:v>5.7305234364650209E-2</c:v>
                </c:pt>
                <c:pt idx="314">
                  <c:v>5.7441764605858536E-2</c:v>
                </c:pt>
                <c:pt idx="315">
                  <c:v>5.7578376714727861E-2</c:v>
                </c:pt>
                <c:pt idx="316">
                  <c:v>5.771512871992681E-2</c:v>
                </c:pt>
                <c:pt idx="317">
                  <c:v>5.7852077059190724E-2</c:v>
                </c:pt>
                <c:pt idx="318">
                  <c:v>5.7989276318076606E-2</c:v>
                </c:pt>
                <c:pt idx="319">
                  <c:v>5.8126778979301935E-2</c:v>
                </c:pt>
                <c:pt idx="320">
                  <c:v>5.826463518449089E-2</c:v>
                </c:pt>
                <c:pt idx="321">
                  <c:v>5.8402892510060637E-2</c:v>
                </c:pt>
                <c:pt idx="322">
                  <c:v>5.8541595758875187E-2</c:v>
                </c:pt>
                <c:pt idx="323">
                  <c:v>5.8680786769174119E-2</c:v>
                </c:pt>
                <c:pt idx="324">
                  <c:v>5.8820504242150851E-2</c:v>
                </c:pt>
                <c:pt idx="325">
                  <c:v>5.8960783589408101E-2</c:v>
                </c:pt>
                <c:pt idx="326">
                  <c:v>5.9101656801362389E-2</c:v>
                </c:pt>
                <c:pt idx="327">
                  <c:v>5.9243152337502512E-2</c:v>
                </c:pt>
                <c:pt idx="328">
                  <c:v>5.938529503923199E-2</c:v>
                </c:pt>
                <c:pt idx="329">
                  <c:v>5.952810606584491E-2</c:v>
                </c:pt>
                <c:pt idx="330">
                  <c:v>5.9671602853997814E-2</c:v>
                </c:pt>
                <c:pt idx="331">
                  <c:v>5.9815799100850699E-2</c:v>
                </c:pt>
                <c:pt idx="332">
                  <c:v>5.9960704770860081E-2</c:v>
                </c:pt>
                <c:pt idx="333">
                  <c:v>6.0106326126015401E-2</c:v>
                </c:pt>
                <c:pt idx="334">
                  <c:v>6.0252665779121549E-2</c:v>
                </c:pt>
                <c:pt idx="335">
                  <c:v>6.0399722769545423E-2</c:v>
                </c:pt>
                <c:pt idx="336">
                  <c:v>6.0547492660664601E-2</c:v>
                </c:pt>
                <c:pt idx="337">
                  <c:v>6.0695967658083119E-2</c:v>
                </c:pt>
                <c:pt idx="338">
                  <c:v>6.0845136747516453E-2</c:v>
                </c:pt>
                <c:pt idx="339">
                  <c:v>6.0994985851092497E-2</c:v>
                </c:pt>
                <c:pt idx="340">
                  <c:v>6.1145498000673773E-2</c:v>
                </c:pt>
                <c:pt idx="341">
                  <c:v>6.1296653526676799E-2</c:v>
                </c:pt>
                <c:pt idx="342">
                  <c:v>6.1448430260748019E-2</c:v>
                </c:pt>
                <c:pt idx="343">
                  <c:v>6.1600803750556057E-2</c:v>
                </c:pt>
                <c:pt idx="344">
                  <c:v>6.1753747484874881E-2</c:v>
                </c:pt>
                <c:pt idx="345">
                  <c:v>6.1907233127064573E-2</c:v>
                </c:pt>
                <c:pt idx="346">
                  <c:v>6.2061230755005671E-2</c:v>
                </c:pt>
                <c:pt idx="347">
                  <c:v>6.221570910550981E-2</c:v>
                </c:pt>
                <c:pt idx="348">
                  <c:v>6.2370635821213979E-2</c:v>
                </c:pt>
                <c:pt idx="349">
                  <c:v>6.2525977697968457E-2</c:v>
                </c:pt>
                <c:pt idx="350">
                  <c:v>6.2681700930748804E-2</c:v>
                </c:pt>
                <c:pt idx="351">
                  <c:v>6.283777135616013E-2</c:v>
                </c:pt>
                <c:pt idx="352">
                  <c:v>6.2994154689657106E-2</c:v>
                </c:pt>
                <c:pt idx="353">
                  <c:v>6.3150816755674577E-2</c:v>
                </c:pt>
                <c:pt idx="354">
                  <c:v>6.3307723708950603E-2</c:v>
                </c:pt>
                <c:pt idx="355">
                  <c:v>6.3464842245426312E-2</c:v>
                </c:pt>
                <c:pt idx="356">
                  <c:v>6.362213980122193E-2</c:v>
                </c:pt>
                <c:pt idx="357">
                  <c:v>6.3779584738317283E-2</c:v>
                </c:pt>
                <c:pt idx="358">
                  <c:v>6.3937146515704327E-2</c:v>
                </c:pt>
                <c:pt idx="359">
                  <c:v>6.4094795844928346E-2</c:v>
                </c:pt>
                <c:pt idx="360">
                  <c:v>6.4252504829092769E-2</c:v>
                </c:pt>
                <c:pt idx="361">
                  <c:v>6.4410247084566663E-2</c:v>
                </c:pt>
                <c:pt idx="362">
                  <c:v>6.456799784480316E-2</c:v>
                </c:pt>
                <c:pt idx="363">
                  <c:v>6.4725734045851691E-2</c:v>
                </c:pt>
                <c:pt idx="364">
                  <c:v>6.4883434393319839E-2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7.9325189115912603E-3</c:v>
                </c:pt>
                <c:pt idx="1">
                  <c:v>7.9154396719355938E-3</c:v>
                </c:pt>
                <c:pt idx="2">
                  <c:v>7.8950009572556282E-3</c:v>
                </c:pt>
                <c:pt idx="3">
                  <c:v>7.8711144637815846E-3</c:v>
                </c:pt>
                <c:pt idx="4">
                  <c:v>7.8437066558034244E-3</c:v>
                </c:pt>
                <c:pt idx="5">
                  <c:v>7.8127191503884873E-3</c:v>
                </c:pt>
                <c:pt idx="6">
                  <c:v>7.7781089959065453E-3</c:v>
                </c:pt>
                <c:pt idx="7">
                  <c:v>7.739848814126934E-3</c:v>
                </c:pt>
                <c:pt idx="8">
                  <c:v>7.6976628468388101E-3</c:v>
                </c:pt>
                <c:pt idx="9">
                  <c:v>7.6420514272545637E-3</c:v>
                </c:pt>
                <c:pt idx="10">
                  <c:v>7.5720633787968424E-3</c:v>
                </c:pt>
                <c:pt idx="11">
                  <c:v>7.4884916016097289E-3</c:v>
                </c:pt>
                <c:pt idx="12">
                  <c:v>7.3921214757791433E-3</c:v>
                </c:pt>
                <c:pt idx="13">
                  <c:v>7.283723415681208E-3</c:v>
                </c:pt>
                <c:pt idx="14">
                  <c:v>7.1640464904118729E-3</c:v>
                </c:pt>
                <c:pt idx="15">
                  <c:v>7.0320557087112899E-3</c:v>
                </c:pt>
                <c:pt idx="16">
                  <c:v>6.8908113463863885E-3</c:v>
                </c:pt>
                <c:pt idx="17">
                  <c:v>6.7409498738650398E-3</c:v>
                </c:pt>
                <c:pt idx="18">
                  <c:v>6.5830705911544317E-3</c:v>
                </c:pt>
                <c:pt idx="19">
                  <c:v>6.4177696846396872E-3</c:v>
                </c:pt>
                <c:pt idx="20">
                  <c:v>6.2456151898658517E-3</c:v>
                </c:pt>
                <c:pt idx="21">
                  <c:v>6.0671022908755558E-3</c:v>
                </c:pt>
                <c:pt idx="22">
                  <c:v>5.8820862771636557E-3</c:v>
                </c:pt>
                <c:pt idx="23">
                  <c:v>5.7000159636869038E-3</c:v>
                </c:pt>
                <c:pt idx="24">
                  <c:v>5.5289996918709908E-3</c:v>
                </c:pt>
                <c:pt idx="25">
                  <c:v>5.3688123317629285E-3</c:v>
                </c:pt>
                <c:pt idx="26">
                  <c:v>5.2192201961249168E-3</c:v>
                </c:pt>
                <c:pt idx="27">
                  <c:v>5.0799830416520574E-3</c:v>
                </c:pt>
                <c:pt idx="28">
                  <c:v>4.9508559131897847E-3</c:v>
                </c:pt>
                <c:pt idx="29">
                  <c:v>4.8387087798400759E-3</c:v>
                </c:pt>
                <c:pt idx="30">
                  <c:v>4.7445152366721432E-3</c:v>
                </c:pt>
                <c:pt idx="31">
                  <c:v>4.6677308854839528E-3</c:v>
                </c:pt>
                <c:pt idx="32">
                  <c:v>4.607821915839902E-3</c:v>
                </c:pt>
                <c:pt idx="33">
                  <c:v>4.5642667301509414E-3</c:v>
                </c:pt>
                <c:pt idx="34">
                  <c:v>4.5365573310463883E-3</c:v>
                </c:pt>
                <c:pt idx="35">
                  <c:v>4.5242004901082369E-3</c:v>
                </c:pt>
                <c:pt idx="36">
                  <c:v>4.5267858946236444E-3</c:v>
                </c:pt>
                <c:pt idx="37">
                  <c:v>4.5462041068252568E-3</c:v>
                </c:pt>
                <c:pt idx="38">
                  <c:v>4.5737485070087621E-3</c:v>
                </c:pt>
                <c:pt idx="39">
                  <c:v>4.6090788350931396E-3</c:v>
                </c:pt>
                <c:pt idx="40">
                  <c:v>4.6518653859198202E-3</c:v>
                </c:pt>
                <c:pt idx="41">
                  <c:v>4.7017876410049815E-3</c:v>
                </c:pt>
                <c:pt idx="42">
                  <c:v>4.7585330914615342E-3</c:v>
                </c:pt>
                <c:pt idx="43">
                  <c:v>4.8240417115105964E-3</c:v>
                </c:pt>
                <c:pt idx="44">
                  <c:v>4.8919384651997435E-3</c:v>
                </c:pt>
                <c:pt idx="45">
                  <c:v>4.9620549164450193E-3</c:v>
                </c:pt>
                <c:pt idx="46">
                  <c:v>5.0342252440854244E-3</c:v>
                </c:pt>
                <c:pt idx="47">
                  <c:v>5.1082862526172822E-3</c:v>
                </c:pt>
                <c:pt idx="48">
                  <c:v>5.1840774405960367E-3</c:v>
                </c:pt>
                <c:pt idx="49">
                  <c:v>5.2614411276575759E-3</c:v>
                </c:pt>
                <c:pt idx="50">
                  <c:v>5.3402471239223613E-3</c:v>
                </c:pt>
                <c:pt idx="51">
                  <c:v>5.4211596491272936E-3</c:v>
                </c:pt>
                <c:pt idx="52">
                  <c:v>5.5021303746833859E-3</c:v>
                </c:pt>
                <c:pt idx="53">
                  <c:v>5.5831722755900395E-3</c:v>
                </c:pt>
                <c:pt idx="54">
                  <c:v>5.664328725328337E-3</c:v>
                </c:pt>
                <c:pt idx="55">
                  <c:v>5.7456469880035081E-3</c:v>
                </c:pt>
                <c:pt idx="56">
                  <c:v>5.8271782006910156E-3</c:v>
                </c:pt>
                <c:pt idx="57">
                  <c:v>5.9075023905201113E-3</c:v>
                </c:pt>
                <c:pt idx="58">
                  <c:v>5.9848303824411404E-3</c:v>
                </c:pt>
                <c:pt idx="59">
                  <c:v>6.059335621091926E-3</c:v>
                </c:pt>
                <c:pt idx="60">
                  <c:v>6.1311912578568212E-3</c:v>
                </c:pt>
                <c:pt idx="61">
                  <c:v>6.20056991085805E-3</c:v>
                </c:pt>
                <c:pt idx="62">
                  <c:v>6.2676434738364716E-3</c:v>
                </c:pt>
                <c:pt idx="63">
                  <c:v>6.3325829656584133E-3</c:v>
                </c:pt>
                <c:pt idx="64">
                  <c:v>6.3950491987085512E-3</c:v>
                </c:pt>
                <c:pt idx="65">
                  <c:v>6.4483776139135267E-3</c:v>
                </c:pt>
                <c:pt idx="66">
                  <c:v>6.4924329196822369E-3</c:v>
                </c:pt>
                <c:pt idx="67">
                  <c:v>6.5276780893318235E-3</c:v>
                </c:pt>
                <c:pt idx="68">
                  <c:v>6.5545661811800167E-3</c:v>
                </c:pt>
                <c:pt idx="69">
                  <c:v>6.5735383259260061E-3</c:v>
                </c:pt>
                <c:pt idx="70">
                  <c:v>6.5850220185133881E-3</c:v>
                </c:pt>
                <c:pt idx="71">
                  <c:v>6.5791728857141421E-3</c:v>
                </c:pt>
                <c:pt idx="72">
                  <c:v>6.5579463513235218E-3</c:v>
                </c:pt>
                <c:pt idx="73">
                  <c:v>6.5219677340043825E-3</c:v>
                </c:pt>
                <c:pt idx="74">
                  <c:v>6.4718264031106056E-3</c:v>
                </c:pt>
                <c:pt idx="75">
                  <c:v>6.4080739596498919E-3</c:v>
                </c:pt>
                <c:pt idx="76">
                  <c:v>6.3312226910264688E-3</c:v>
                </c:pt>
                <c:pt idx="77">
                  <c:v>6.2417442560802686E-3</c:v>
                </c:pt>
                <c:pt idx="78">
                  <c:v>6.1393976494294915E-3</c:v>
                </c:pt>
                <c:pt idx="79">
                  <c:v>6.0210039923986221E-3</c:v>
                </c:pt>
                <c:pt idx="80">
                  <c:v>5.8926898977121828E-3</c:v>
                </c:pt>
                <c:pt idx="81">
                  <c:v>5.7548565455455185E-3</c:v>
                </c:pt>
                <c:pt idx="82">
                  <c:v>5.6078652783459739E-3</c:v>
                </c:pt>
                <c:pt idx="83">
                  <c:v>5.4520361074702978E-3</c:v>
                </c:pt>
                <c:pt idx="84">
                  <c:v>5.2876464663160578E-3</c:v>
                </c:pt>
                <c:pt idx="85">
                  <c:v>5.1171835254012797E-3</c:v>
                </c:pt>
                <c:pt idx="86">
                  <c:v>4.9498661686580439E-3</c:v>
                </c:pt>
                <c:pt idx="87">
                  <c:v>4.7856393896225273E-3</c:v>
                </c:pt>
                <c:pt idx="88">
                  <c:v>4.6244317633657907E-3</c:v>
                </c:pt>
                <c:pt idx="89">
                  <c:v>4.4661566990970023E-3</c:v>
                </c:pt>
                <c:pt idx="90">
                  <c:v>4.3107135596104195E-3</c:v>
                </c:pt>
                <c:pt idx="91">
                  <c:v>4.1579886506371583E-3</c:v>
                </c:pt>
                <c:pt idx="92">
                  <c:v>4.0076335581758007E-3</c:v>
                </c:pt>
                <c:pt idx="93">
                  <c:v>3.8582390163127748E-3</c:v>
                </c:pt>
                <c:pt idx="94">
                  <c:v>3.7124091043544143E-3</c:v>
                </c:pt>
                <c:pt idx="95">
                  <c:v>3.5699530073753085E-3</c:v>
                </c:pt>
                <c:pt idx="96">
                  <c:v>3.4306868792526196E-3</c:v>
                </c:pt>
                <c:pt idx="97">
                  <c:v>3.294433340758021E-3</c:v>
                </c:pt>
                <c:pt idx="98">
                  <c:v>3.1610210223823832E-3</c:v>
                </c:pt>
                <c:pt idx="99">
                  <c:v>3.0315360702516548E-3</c:v>
                </c:pt>
                <c:pt idx="100">
                  <c:v>2.9036752691107654E-3</c:v>
                </c:pt>
                <c:pt idx="101">
                  <c:v>2.7772849927777806E-3</c:v>
                </c:pt>
                <c:pt idx="102">
                  <c:v>2.6522141149324468E-3</c:v>
                </c:pt>
                <c:pt idx="103">
                  <c:v>2.5283137421739468E-3</c:v>
                </c:pt>
                <c:pt idx="104">
                  <c:v>2.4054369721492291E-3</c:v>
                </c:pt>
                <c:pt idx="105">
                  <c:v>2.2834386724384726E-3</c:v>
                </c:pt>
                <c:pt idx="106">
                  <c:v>2.1621861072932385E-3</c:v>
                </c:pt>
                <c:pt idx="107">
                  <c:v>2.0479857586775578E-3</c:v>
                </c:pt>
                <c:pt idx="108">
                  <c:v>1.9417612081006174E-3</c:v>
                </c:pt>
                <c:pt idx="109">
                  <c:v>1.8434421604906707E-3</c:v>
                </c:pt>
                <c:pt idx="110">
                  <c:v>1.7529809279207037E-3</c:v>
                </c:pt>
                <c:pt idx="111">
                  <c:v>1.670346635402122E-3</c:v>
                </c:pt>
                <c:pt idx="112">
                  <c:v>1.5955208582345342E-3</c:v>
                </c:pt>
                <c:pt idx="113">
                  <c:v>1.5321868337943034E-3</c:v>
                </c:pt>
                <c:pt idx="114">
                  <c:v>1.4791232848634552E-3</c:v>
                </c:pt>
                <c:pt idx="115">
                  <c:v>1.4364073454400394E-3</c:v>
                </c:pt>
                <c:pt idx="116">
                  <c:v>1.4041401886808426E-3</c:v>
                </c:pt>
                <c:pt idx="117">
                  <c:v>1.3824471816148885E-3</c:v>
                </c:pt>
                <c:pt idx="118">
                  <c:v>1.3714780393422228E-3</c:v>
                </c:pt>
                <c:pt idx="119">
                  <c:v>1.3714069735903495E-3</c:v>
                </c:pt>
                <c:pt idx="120">
                  <c:v>1.382421559525575E-3</c:v>
                </c:pt>
                <c:pt idx="121">
                  <c:v>1.4047078383925601E-3</c:v>
                </c:pt>
                <c:pt idx="122">
                  <c:v>1.431572194574664E-3</c:v>
                </c:pt>
                <c:pt idx="123">
                  <c:v>1.4631264975673245E-3</c:v>
                </c:pt>
                <c:pt idx="124">
                  <c:v>1.4994915013699626E-3</c:v>
                </c:pt>
                <c:pt idx="125">
                  <c:v>1.5407969712020152E-3</c:v>
                </c:pt>
                <c:pt idx="126">
                  <c:v>1.5871817958211037E-3</c:v>
                </c:pt>
                <c:pt idx="127">
                  <c:v>1.6386037660833035E-3</c:v>
                </c:pt>
                <c:pt idx="128">
                  <c:v>1.6911140518588398E-3</c:v>
                </c:pt>
                <c:pt idx="129">
                  <c:v>1.7447538272927351E-3</c:v>
                </c:pt>
                <c:pt idx="130">
                  <c:v>1.799563741969772E-3</c:v>
                </c:pt>
                <c:pt idx="131">
                  <c:v>1.8555838437202972E-3</c:v>
                </c:pt>
                <c:pt idx="132">
                  <c:v>1.9128535002369098E-3</c:v>
                </c:pt>
                <c:pt idx="133">
                  <c:v>1.9714113216626142E-3</c:v>
                </c:pt>
                <c:pt idx="134">
                  <c:v>2.0313085612297544E-3</c:v>
                </c:pt>
                <c:pt idx="135">
                  <c:v>2.0920902155957886E-3</c:v>
                </c:pt>
                <c:pt idx="136">
                  <c:v>2.1537866070944129E-3</c:v>
                </c:pt>
                <c:pt idx="137">
                  <c:v>2.2163908187181171E-3</c:v>
                </c:pt>
                <c:pt idx="138">
                  <c:v>2.2798911658380035E-3</c:v>
                </c:pt>
                <c:pt idx="139">
                  <c:v>2.3442710254701488E-3</c:v>
                </c:pt>
                <c:pt idx="140">
                  <c:v>2.4095086711276724E-3</c:v>
                </c:pt>
                <c:pt idx="141">
                  <c:v>2.4746542161769081E-3</c:v>
                </c:pt>
                <c:pt idx="142">
                  <c:v>2.5398514585331386E-3</c:v>
                </c:pt>
                <c:pt idx="143">
                  <c:v>2.6050220727527893E-3</c:v>
                </c:pt>
                <c:pt idx="144">
                  <c:v>2.6700960870289637E-3</c:v>
                </c:pt>
                <c:pt idx="145">
                  <c:v>2.7349974184383641E-3</c:v>
                </c:pt>
                <c:pt idx="146">
                  <c:v>2.7996439478254571E-3</c:v>
                </c:pt>
                <c:pt idx="147">
                  <c:v>2.8639476300528865E-3</c:v>
                </c:pt>
                <c:pt idx="148">
                  <c:v>2.9279007541515981E-3</c:v>
                </c:pt>
                <c:pt idx="149">
                  <c:v>2.9908223482302074E-3</c:v>
                </c:pt>
                <c:pt idx="150">
                  <c:v>3.0531903267632964E-3</c:v>
                </c:pt>
                <c:pt idx="151">
                  <c:v>3.1149075517331224E-3</c:v>
                </c:pt>
                <c:pt idx="152">
                  <c:v>3.1758722015147885E-3</c:v>
                </c:pt>
                <c:pt idx="153">
                  <c:v>3.2359780423816963E-3</c:v>
                </c:pt>
                <c:pt idx="154">
                  <c:v>3.2951147316300491E-3</c:v>
                </c:pt>
                <c:pt idx="155">
                  <c:v>3.3528514575783051E-3</c:v>
                </c:pt>
                <c:pt idx="156">
                  <c:v>3.4101749459314189E-3</c:v>
                </c:pt>
                <c:pt idx="157">
                  <c:v>3.4669943937326473E-3</c:v>
                </c:pt>
                <c:pt idx="158">
                  <c:v>3.5232166084455119E-3</c:v>
                </c:pt>
                <c:pt idx="159">
                  <c:v>3.5787463170566152E-3</c:v>
                </c:pt>
                <c:pt idx="160">
                  <c:v>3.6334864939790664E-3</c:v>
                </c:pt>
                <c:pt idx="161">
                  <c:v>3.6873387043159398E-3</c:v>
                </c:pt>
                <c:pt idx="162">
                  <c:v>3.7402535143229534E-3</c:v>
                </c:pt>
                <c:pt idx="163">
                  <c:v>3.791779691685788E-3</c:v>
                </c:pt>
                <c:pt idx="164">
                  <c:v>3.8426435787618394E-3</c:v>
                </c:pt>
                <c:pt idx="165">
                  <c:v>3.8927844801715872E-3</c:v>
                </c:pt>
                <c:pt idx="166">
                  <c:v>3.9421429279861446E-3</c:v>
                </c:pt>
                <c:pt idx="167">
                  <c:v>3.9906609385806551E-3</c:v>
                </c:pt>
                <c:pt idx="168">
                  <c:v>4.0382822583507087E-3</c:v>
                </c:pt>
                <c:pt idx="169">
                  <c:v>4.0845064982459192E-3</c:v>
                </c:pt>
                <c:pt idx="170">
                  <c:v>4.1296441041312566E-3</c:v>
                </c:pt>
                <c:pt idx="171">
                  <c:v>4.17364314461447E-3</c:v>
                </c:pt>
                <c:pt idx="172">
                  <c:v>4.2164542964516615E-3</c:v>
                </c:pt>
                <c:pt idx="173">
                  <c:v>4.2579874670604688E-3</c:v>
                </c:pt>
                <c:pt idx="174">
                  <c:v>4.2981515050922927E-3</c:v>
                </c:pt>
                <c:pt idx="175">
                  <c:v>4.3368998801715354E-3</c:v>
                </c:pt>
                <c:pt idx="176">
                  <c:v>4.3741892484270095E-3</c:v>
                </c:pt>
                <c:pt idx="177">
                  <c:v>4.4095764485175774E-3</c:v>
                </c:pt>
                <c:pt idx="178">
                  <c:v>4.4532567288679756E-3</c:v>
                </c:pt>
                <c:pt idx="179">
                  <c:v>4.4953211494795095E-3</c:v>
                </c:pt>
                <c:pt idx="180">
                  <c:v>4.5355820314726611E-3</c:v>
                </c:pt>
                <c:pt idx="181">
                  <c:v>4.5739750769749473E-3</c:v>
                </c:pt>
                <c:pt idx="182">
                  <c:v>4.6104407673795743E-3</c:v>
                </c:pt>
                <c:pt idx="183">
                  <c:v>4.6439480494488844E-3</c:v>
                </c:pt>
                <c:pt idx="184">
                  <c:v>4.6749782820234547E-3</c:v>
                </c:pt>
                <c:pt idx="185">
                  <c:v>4.7034942576859333E-3</c:v>
                </c:pt>
                <c:pt idx="186">
                  <c:v>4.7294631488155239E-3</c:v>
                </c:pt>
                <c:pt idx="187">
                  <c:v>4.7528563320069278E-3</c:v>
                </c:pt>
                <c:pt idx="188">
                  <c:v>4.7736491847827703E-3</c:v>
                </c:pt>
                <c:pt idx="189">
                  <c:v>4.7918208587567511E-3</c:v>
                </c:pt>
                <c:pt idx="190">
                  <c:v>4.8074118632647662E-3</c:v>
                </c:pt>
                <c:pt idx="191">
                  <c:v>4.818932099877638E-3</c:v>
                </c:pt>
                <c:pt idx="192">
                  <c:v>4.8268545724569805E-3</c:v>
                </c:pt>
                <c:pt idx="193">
                  <c:v>4.8311454488516427E-3</c:v>
                </c:pt>
                <c:pt idx="194">
                  <c:v>4.8317723087950935E-3</c:v>
                </c:pt>
                <c:pt idx="195">
                  <c:v>4.8287039543285885E-3</c:v>
                </c:pt>
                <c:pt idx="196">
                  <c:v>4.8219102265309802E-3</c:v>
                </c:pt>
                <c:pt idx="197">
                  <c:v>4.8104439414739806E-3</c:v>
                </c:pt>
                <c:pt idx="198">
                  <c:v>4.7953348728104273E-3</c:v>
                </c:pt>
                <c:pt idx="199">
                  <c:v>4.7765579124169882E-3</c:v>
                </c:pt>
                <c:pt idx="200">
                  <c:v>4.7540883173164249E-3</c:v>
                </c:pt>
                <c:pt idx="201">
                  <c:v>4.7279015979212139E-3</c:v>
                </c:pt>
                <c:pt idx="202">
                  <c:v>4.6979734286437683E-3</c:v>
                </c:pt>
                <c:pt idx="203">
                  <c:v>4.6642795819734273E-3</c:v>
                </c:pt>
                <c:pt idx="204">
                  <c:v>4.6267780507133005E-3</c:v>
                </c:pt>
                <c:pt idx="205">
                  <c:v>4.5859195318627586E-3</c:v>
                </c:pt>
                <c:pt idx="206">
                  <c:v>4.5434253949733546E-3</c:v>
                </c:pt>
                <c:pt idx="207">
                  <c:v>4.4994083851812618E-3</c:v>
                </c:pt>
                <c:pt idx="208">
                  <c:v>4.4539763377240442E-3</c:v>
                </c:pt>
                <c:pt idx="209">
                  <c:v>4.4072320759447111E-3</c:v>
                </c:pt>
                <c:pt idx="210">
                  <c:v>4.3592733455354044E-3</c:v>
                </c:pt>
                <c:pt idx="211">
                  <c:v>4.3121994971456242E-3</c:v>
                </c:pt>
                <c:pt idx="212">
                  <c:v>4.2672167115040795E-3</c:v>
                </c:pt>
                <c:pt idx="213">
                  <c:v>4.2245451878154105E-3</c:v>
                </c:pt>
                <c:pt idx="214">
                  <c:v>4.1843960641072412E-3</c:v>
                </c:pt>
                <c:pt idx="215">
                  <c:v>4.1469720814628084E-3</c:v>
                </c:pt>
                <c:pt idx="216">
                  <c:v>4.1124682886741048E-3</c:v>
                </c:pt>
                <c:pt idx="217">
                  <c:v>4.0810727817870932E-3</c:v>
                </c:pt>
                <c:pt idx="218">
                  <c:v>4.052868357725759E-3</c:v>
                </c:pt>
                <c:pt idx="219">
                  <c:v>4.0367052427419383E-3</c:v>
                </c:pt>
                <c:pt idx="220">
                  <c:v>4.032122171278768E-3</c:v>
                </c:pt>
                <c:pt idx="221">
                  <c:v>4.0393385483769619E-3</c:v>
                </c:pt>
                <c:pt idx="222">
                  <c:v>4.0585750466267138E-3</c:v>
                </c:pt>
                <c:pt idx="223">
                  <c:v>4.0900543485186541E-3</c:v>
                </c:pt>
                <c:pt idx="224">
                  <c:v>4.1340018887335208E-3</c:v>
                </c:pt>
                <c:pt idx="225">
                  <c:v>4.2069421188763037E-3</c:v>
                </c:pt>
                <c:pt idx="226">
                  <c:v>4.3067699603332055E-3</c:v>
                </c:pt>
                <c:pt idx="227">
                  <c:v>4.4338726559363974E-3</c:v>
                </c:pt>
                <c:pt idx="228">
                  <c:v>4.5886549135833385E-3</c:v>
                </c:pt>
                <c:pt idx="229">
                  <c:v>4.771540124281738E-3</c:v>
                </c:pt>
                <c:pt idx="230">
                  <c:v>4.9829716237492615E-3</c:v>
                </c:pt>
                <c:pt idx="231">
                  <c:v>5.2234140092872108E-3</c:v>
                </c:pt>
                <c:pt idx="232">
                  <c:v>5.4932995930021518E-3</c:v>
                </c:pt>
                <c:pt idx="233">
                  <c:v>5.7985119397311272E-3</c:v>
                </c:pt>
                <c:pt idx="234">
                  <c:v>6.1302257535287303E-3</c:v>
                </c:pt>
                <c:pt idx="235">
                  <c:v>6.4889544505282535E-3</c:v>
                </c:pt>
                <c:pt idx="236">
                  <c:v>6.8752347173174745E-3</c:v>
                </c:pt>
                <c:pt idx="237">
                  <c:v>7.2896217994692335E-3</c:v>
                </c:pt>
                <c:pt idx="238">
                  <c:v>7.7326949175465006E-3</c:v>
                </c:pt>
                <c:pt idx="239">
                  <c:v>8.2008323070373208E-3</c:v>
                </c:pt>
                <c:pt idx="240">
                  <c:v>8.6768798868232314E-3</c:v>
                </c:pt>
                <c:pt idx="241">
                  <c:v>9.1610742753934302E-3</c:v>
                </c:pt>
                <c:pt idx="242">
                  <c:v>9.6536660355119631E-3</c:v>
                </c:pt>
                <c:pt idx="243">
                  <c:v>1.0154920381734541E-2</c:v>
                </c:pt>
                <c:pt idx="244">
                  <c:v>1.0665117933438406E-2</c:v>
                </c:pt>
                <c:pt idx="245">
                  <c:v>1.1184555525745234E-2</c:v>
                </c:pt>
                <c:pt idx="246">
                  <c:v>1.1713597290783459E-2</c:v>
                </c:pt>
                <c:pt idx="247">
                  <c:v>1.2254038361499672E-2</c:v>
                </c:pt>
                <c:pt idx="248">
                  <c:v>1.2800005982850589E-2</c:v>
                </c:pt>
                <c:pt idx="249">
                  <c:v>1.3351605464566924E-2</c:v>
                </c:pt>
                <c:pt idx="250">
                  <c:v>1.3908941927268737E-2</c:v>
                </c:pt>
                <c:pt idx="251">
                  <c:v>1.4472119596269675E-2</c:v>
                </c:pt>
                <c:pt idx="252">
                  <c:v>1.5041241073181277E-2</c:v>
                </c:pt>
                <c:pt idx="253">
                  <c:v>1.560287372269115E-2</c:v>
                </c:pt>
                <c:pt idx="254">
                  <c:v>1.6161530341164233E-2</c:v>
                </c:pt>
                <c:pt idx="255">
                  <c:v>1.6717065731700301E-2</c:v>
                </c:pt>
                <c:pt idx="256">
                  <c:v>1.7269322474991869E-2</c:v>
                </c:pt>
                <c:pt idx="257">
                  <c:v>1.7818130115574704E-2</c:v>
                </c:pt>
                <c:pt idx="258">
                  <c:v>1.8363304378292773E-2</c:v>
                </c:pt>
                <c:pt idx="259">
                  <c:v>1.8904646416207881E-2</c:v>
                </c:pt>
                <c:pt idx="260">
                  <c:v>1.9443641058335515E-2</c:v>
                </c:pt>
                <c:pt idx="261">
                  <c:v>1.995235086301371E-2</c:v>
                </c:pt>
                <c:pt idx="262">
                  <c:v>2.0428052035054142E-2</c:v>
                </c:pt>
                <c:pt idx="263">
                  <c:v>2.0869317391882723E-2</c:v>
                </c:pt>
                <c:pt idx="264">
                  <c:v>2.1274582321654911E-2</c:v>
                </c:pt>
                <c:pt idx="265">
                  <c:v>2.1642264062538785E-2</c:v>
                </c:pt>
                <c:pt idx="266">
                  <c:v>2.1970600506565876E-2</c:v>
                </c:pt>
                <c:pt idx="267">
                  <c:v>2.2242134705053283E-2</c:v>
                </c:pt>
                <c:pt idx="268">
                  <c:v>2.2469898680866743E-2</c:v>
                </c:pt>
                <c:pt idx="269">
                  <c:v>2.2651725652972979E-2</c:v>
                </c:pt>
                <c:pt idx="270">
                  <c:v>2.2785359606111527E-2</c:v>
                </c:pt>
                <c:pt idx="271">
                  <c:v>2.2868472372419221E-2</c:v>
                </c:pt>
                <c:pt idx="272">
                  <c:v>2.2898683757569298E-2</c:v>
                </c:pt>
                <c:pt idx="273">
                  <c:v>2.2873584984555943E-2</c:v>
                </c:pt>
                <c:pt idx="274">
                  <c:v>2.2793047414668772E-2</c:v>
                </c:pt>
                <c:pt idx="275">
                  <c:v>2.2654888529049299E-2</c:v>
                </c:pt>
                <c:pt idx="276">
                  <c:v>2.2491208474648802E-2</c:v>
                </c:pt>
                <c:pt idx="277">
                  <c:v>2.2301427152428822E-2</c:v>
                </c:pt>
                <c:pt idx="278">
                  <c:v>2.2084972594384761E-2</c:v>
                </c:pt>
                <c:pt idx="279">
                  <c:v>2.1841282418922844E-2</c:v>
                </c:pt>
                <c:pt idx="280">
                  <c:v>2.1569805195342569E-2</c:v>
                </c:pt>
                <c:pt idx="281">
                  <c:v>2.1273536683825912E-2</c:v>
                </c:pt>
                <c:pt idx="282">
                  <c:v>2.0969647146258288E-2</c:v>
                </c:pt>
                <c:pt idx="283">
                  <c:v>2.0658130799351443E-2</c:v>
                </c:pt>
                <c:pt idx="284">
                  <c:v>2.0338993450003413E-2</c:v>
                </c:pt>
                <c:pt idx="285">
                  <c:v>2.0012252533711267E-2</c:v>
                </c:pt>
                <c:pt idx="286">
                  <c:v>1.9677937043939019E-2</c:v>
                </c:pt>
                <c:pt idx="287">
                  <c:v>1.9336087348872485E-2</c:v>
                </c:pt>
                <c:pt idx="288">
                  <c:v>1.8987054472738539E-2</c:v>
                </c:pt>
                <c:pt idx="289">
                  <c:v>1.8640695696784705E-2</c:v>
                </c:pt>
                <c:pt idx="290">
                  <c:v>1.8300230068797947E-2</c:v>
                </c:pt>
                <c:pt idx="291">
                  <c:v>1.7965877785849124E-2</c:v>
                </c:pt>
                <c:pt idx="292">
                  <c:v>1.7637868550622628E-2</c:v>
                </c:pt>
                <c:pt idx="293">
                  <c:v>1.7316440794399771E-2</c:v>
                </c:pt>
                <c:pt idx="294">
                  <c:v>1.700184085164954E-2</c:v>
                </c:pt>
                <c:pt idx="295">
                  <c:v>1.6705091937660198E-2</c:v>
                </c:pt>
                <c:pt idx="296">
                  <c:v>1.6422911678375396E-2</c:v>
                </c:pt>
                <c:pt idx="297">
                  <c:v>1.6155833286873741E-2</c:v>
                </c:pt>
                <c:pt idx="298">
                  <c:v>1.5904252479345495E-2</c:v>
                </c:pt>
                <c:pt idx="299">
                  <c:v>1.5668566891461004E-2</c:v>
                </c:pt>
                <c:pt idx="300">
                  <c:v>1.5449174773528586E-2</c:v>
                </c:pt>
                <c:pt idx="301">
                  <c:v>1.524647364684645E-2</c:v>
                </c:pt>
                <c:pt idx="302">
                  <c:v>1.5062183577418384E-2</c:v>
                </c:pt>
                <c:pt idx="303">
                  <c:v>1.4913182295152708E-2</c:v>
                </c:pt>
                <c:pt idx="304">
                  <c:v>1.47891964374493E-2</c:v>
                </c:pt>
                <c:pt idx="305">
                  <c:v>1.4690411205065722E-2</c:v>
                </c:pt>
                <c:pt idx="306">
                  <c:v>1.4617013416673107E-2</c:v>
                </c:pt>
                <c:pt idx="307">
                  <c:v>1.456918506517659E-2</c:v>
                </c:pt>
                <c:pt idx="308">
                  <c:v>1.4547096316321373E-2</c:v>
                </c:pt>
                <c:pt idx="309">
                  <c:v>1.4566706108499404E-2</c:v>
                </c:pt>
                <c:pt idx="310">
                  <c:v>1.4616521131579048E-2</c:v>
                </c:pt>
                <c:pt idx="311">
                  <c:v>1.4696690431798489E-2</c:v>
                </c:pt>
                <c:pt idx="312">
                  <c:v>1.4807312076856734E-2</c:v>
                </c:pt>
                <c:pt idx="313">
                  <c:v>1.4948421177557687E-2</c:v>
                </c:pt>
                <c:pt idx="314">
                  <c:v>1.5119977117438675E-2</c:v>
                </c:pt>
                <c:pt idx="315">
                  <c:v>1.5321850102958849E-2</c:v>
                </c:pt>
                <c:pt idx="316">
                  <c:v>1.5555411435103519E-2</c:v>
                </c:pt>
                <c:pt idx="317">
                  <c:v>1.5815724835271289E-2</c:v>
                </c:pt>
                <c:pt idx="318">
                  <c:v>1.6086250247796929E-2</c:v>
                </c:pt>
                <c:pt idx="319">
                  <c:v>1.6366992326733901E-2</c:v>
                </c:pt>
                <c:pt idx="320">
                  <c:v>1.6657934582201325E-2</c:v>
                </c:pt>
                <c:pt idx="321">
                  <c:v>1.6959037153899872E-2</c:v>
                </c:pt>
                <c:pt idx="322">
                  <c:v>1.7270234489317696E-2</c:v>
                </c:pt>
                <c:pt idx="323">
                  <c:v>1.7572792397700637E-2</c:v>
                </c:pt>
                <c:pt idx="324">
                  <c:v>1.784928175400035E-2</c:v>
                </c:pt>
                <c:pt idx="325">
                  <c:v>1.8099124647710567E-2</c:v>
                </c:pt>
                <c:pt idx="326">
                  <c:v>1.8321626796073277E-2</c:v>
                </c:pt>
                <c:pt idx="327">
                  <c:v>1.8516165286997462E-2</c:v>
                </c:pt>
                <c:pt idx="328">
                  <c:v>1.8682214450117831E-2</c:v>
                </c:pt>
                <c:pt idx="329">
                  <c:v>1.8819256433595145E-2</c:v>
                </c:pt>
                <c:pt idx="330">
                  <c:v>1.8928312542924604E-2</c:v>
                </c:pt>
                <c:pt idx="331">
                  <c:v>1.9006684132531999E-2</c:v>
                </c:pt>
                <c:pt idx="332">
                  <c:v>1.9060602619512576E-2</c:v>
                </c:pt>
                <c:pt idx="333">
                  <c:v>1.9089209121912965E-2</c:v>
                </c:pt>
                <c:pt idx="334">
                  <c:v>1.9091627241861323E-2</c:v>
                </c:pt>
                <c:pt idx="335">
                  <c:v>1.9066974547420932E-2</c:v>
                </c:pt>
                <c:pt idx="336">
                  <c:v>1.9014375469163403E-2</c:v>
                </c:pt>
                <c:pt idx="337">
                  <c:v>1.89377064387765E-2</c:v>
                </c:pt>
                <c:pt idx="338">
                  <c:v>1.8855667595179443E-2</c:v>
                </c:pt>
                <c:pt idx="339">
                  <c:v>1.8767575926500479E-2</c:v>
                </c:pt>
                <c:pt idx="340">
                  <c:v>1.8672758789313543E-2</c:v>
                </c:pt>
                <c:pt idx="341">
                  <c:v>1.8570561561849799E-2</c:v>
                </c:pt>
                <c:pt idx="342">
                  <c:v>1.8460355765466906E-2</c:v>
                </c:pt>
                <c:pt idx="343">
                  <c:v>1.8341547510960367E-2</c:v>
                </c:pt>
                <c:pt idx="344">
                  <c:v>1.8212839875729744E-2</c:v>
                </c:pt>
                <c:pt idx="345">
                  <c:v>1.8074082924169094E-2</c:v>
                </c:pt>
                <c:pt idx="346">
                  <c:v>1.7934974633084737E-2</c:v>
                </c:pt>
                <c:pt idx="347">
                  <c:v>1.7796616783821058E-2</c:v>
                </c:pt>
                <c:pt idx="348">
                  <c:v>1.7660083377106381E-2</c:v>
                </c:pt>
                <c:pt idx="349">
                  <c:v>1.7526414740932444E-2</c:v>
                </c:pt>
                <c:pt idx="350">
                  <c:v>1.7396613118560656E-2</c:v>
                </c:pt>
                <c:pt idx="351">
                  <c:v>1.7276529435886055E-2</c:v>
                </c:pt>
                <c:pt idx="352">
                  <c:v>1.7162406218812008E-2</c:v>
                </c:pt>
                <c:pt idx="353">
                  <c:v>1.7055112602639561E-2</c:v>
                </c:pt>
                <c:pt idx="354">
                  <c:v>1.6955476808896097E-2</c:v>
                </c:pt>
                <c:pt idx="355">
                  <c:v>1.6864288342132498E-2</c:v>
                </c:pt>
                <c:pt idx="356">
                  <c:v>1.678218447879418E-2</c:v>
                </c:pt>
                <c:pt idx="357">
                  <c:v>1.6709984687819274E-2</c:v>
                </c:pt>
                <c:pt idx="358">
                  <c:v>1.66468240562254E-2</c:v>
                </c:pt>
                <c:pt idx="359">
                  <c:v>1.6591049597992905E-2</c:v>
                </c:pt>
                <c:pt idx="360">
                  <c:v>1.6546521922489489E-2</c:v>
                </c:pt>
                <c:pt idx="361">
                  <c:v>1.6507999067836308E-2</c:v>
                </c:pt>
                <c:pt idx="362">
                  <c:v>1.6474964023069975E-2</c:v>
                </c:pt>
                <c:pt idx="363">
                  <c:v>1.6446912770923059E-2</c:v>
                </c:pt>
                <c:pt idx="364">
                  <c:v>1.6423354035852305E-2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225808"/>
        <c:axId val="413226200"/>
      </c:lineChart>
      <c:dateAx>
        <c:axId val="4132258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226200"/>
        <c:crosses val="autoZero"/>
        <c:auto val="1"/>
        <c:lblOffset val="100"/>
        <c:baseTimeUnit val="days"/>
        <c:majorUnit val="1"/>
        <c:majorTimeUnit val="months"/>
      </c:dateAx>
      <c:valAx>
        <c:axId val="4132262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225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15.902776915258512</c:v>
                </c:pt>
                <c:pt idx="1">
                  <c:v>16.013715958657826</c:v>
                </c:pt>
                <c:pt idx="2">
                  <c:v>16.130945970434084</c:v>
                </c:pt>
                <c:pt idx="3">
                  <c:v>16.254773515763439</c:v>
                </c:pt>
                <c:pt idx="4">
                  <c:v>16.385504816881983</c:v>
                </c:pt>
                <c:pt idx="5">
                  <c:v>16.523445765097861</c:v>
                </c:pt>
                <c:pt idx="6">
                  <c:v>16.668901910971144</c:v>
                </c:pt>
                <c:pt idx="7">
                  <c:v>16.822178487149706</c:v>
                </c:pt>
                <c:pt idx="8">
                  <c:v>16.984172362876194</c:v>
                </c:pt>
                <c:pt idx="9">
                  <c:v>17.155422572128096</c:v>
                </c:pt>
                <c:pt idx="10">
                  <c:v>17.33534126393414</c:v>
                </c:pt>
                <c:pt idx="11">
                  <c:v>17.52327204942392</c:v>
                </c:pt>
                <c:pt idx="12">
                  <c:v>17.718558963867448</c:v>
                </c:pt>
                <c:pt idx="13">
                  <c:v>17.920546462521258</c:v>
                </c:pt>
                <c:pt idx="14">
                  <c:v>18.128579429041633</c:v>
                </c:pt>
                <c:pt idx="15">
                  <c:v>18.342108409402716</c:v>
                </c:pt>
                <c:pt idx="16">
                  <c:v>18.560427568308555</c:v>
                </c:pt>
                <c:pt idx="17">
                  <c:v>18.782883098019628</c:v>
                </c:pt>
                <c:pt idx="18">
                  <c:v>19.00882162354662</c:v>
                </c:pt>
                <c:pt idx="19">
                  <c:v>19.237588674962129</c:v>
                </c:pt>
                <c:pt idx="20">
                  <c:v>19.468529593020801</c:v>
                </c:pt>
                <c:pt idx="21">
                  <c:v>19.700991424658511</c:v>
                </c:pt>
                <c:pt idx="22">
                  <c:v>19.936367672751498</c:v>
                </c:pt>
                <c:pt idx="23">
                  <c:v>20.176098631502679</c:v>
                </c:pt>
                <c:pt idx="24">
                  <c:v>20.419705492576892</c:v>
                </c:pt>
                <c:pt idx="25">
                  <c:v>20.66699269208635</c:v>
                </c:pt>
                <c:pt idx="26">
                  <c:v>20.917764882034273</c:v>
                </c:pt>
                <c:pt idx="27">
                  <c:v>21.171826935936796</c:v>
                </c:pt>
                <c:pt idx="28">
                  <c:v>21.428983951128625</c:v>
                </c:pt>
                <c:pt idx="29">
                  <c:v>21.688780481355014</c:v>
                </c:pt>
                <c:pt idx="30">
                  <c:v>21.950916951327947</c:v>
                </c:pt>
                <c:pt idx="31">
                  <c:v>22.215199224891162</c:v>
                </c:pt>
                <c:pt idx="32">
                  <c:v>22.481433358149683</c:v>
                </c:pt>
                <c:pt idx="33">
                  <c:v>22.749425596580892</c:v>
                </c:pt>
                <c:pt idx="34">
                  <c:v>23.018982368761232</c:v>
                </c:pt>
                <c:pt idx="35">
                  <c:v>23.289910287169402</c:v>
                </c:pt>
                <c:pt idx="36">
                  <c:v>23.561662949807381</c:v>
                </c:pt>
                <c:pt idx="37">
                  <c:v>23.833884737499691</c:v>
                </c:pt>
                <c:pt idx="38">
                  <c:v>24.107216552473787</c:v>
                </c:pt>
                <c:pt idx="39">
                  <c:v>24.382042722915035</c:v>
                </c:pt>
                <c:pt idx="40">
                  <c:v>24.658747273943739</c:v>
                </c:pt>
                <c:pt idx="41">
                  <c:v>24.937713928263655</c:v>
                </c:pt>
                <c:pt idx="42">
                  <c:v>25.219326092566583</c:v>
                </c:pt>
                <c:pt idx="43">
                  <c:v>25.503785196193959</c:v>
                </c:pt>
                <c:pt idx="44">
                  <c:v>25.791734055613162</c:v>
                </c:pt>
                <c:pt idx="45">
                  <c:v>26.083554806533844</c:v>
                </c:pt>
                <c:pt idx="46">
                  <c:v>26.379629220289125</c:v>
                </c:pt>
                <c:pt idx="47">
                  <c:v>26.680338687823724</c:v>
                </c:pt>
                <c:pt idx="48">
                  <c:v>26.986064213734629</c:v>
                </c:pt>
                <c:pt idx="49">
                  <c:v>27.29718638610256</c:v>
                </c:pt>
                <c:pt idx="50">
                  <c:v>27.613957276818685</c:v>
                </c:pt>
                <c:pt idx="51">
                  <c:v>27.936044403148042</c:v>
                </c:pt>
                <c:pt idx="52">
                  <c:v>28.263257094262027</c:v>
                </c:pt>
                <c:pt idx="53">
                  <c:v>28.595209413382968</c:v>
                </c:pt>
                <c:pt idx="54">
                  <c:v>28.931514047609884</c:v>
                </c:pt>
                <c:pt idx="55">
                  <c:v>29.271783824278216</c:v>
                </c:pt>
                <c:pt idx="56">
                  <c:v>29.61563167858678</c:v>
                </c:pt>
                <c:pt idx="57">
                  <c:v>29.962726604440888</c:v>
                </c:pt>
                <c:pt idx="58">
                  <c:v>30.312864933737419</c:v>
                </c:pt>
                <c:pt idx="59">
                  <c:v>30.665660158094841</c:v>
                </c:pt>
                <c:pt idx="60">
                  <c:v>31.020725812928152</c:v>
                </c:pt>
                <c:pt idx="61">
                  <c:v>31.377675456938714</c:v>
                </c:pt>
                <c:pt idx="62">
                  <c:v>31.736122647228168</c:v>
                </c:pt>
                <c:pt idx="63">
                  <c:v>32.095680925773664</c:v>
                </c:pt>
                <c:pt idx="64">
                  <c:v>32.458582983467132</c:v>
                </c:pt>
                <c:pt idx="65">
                  <c:v>32.827149862987909</c:v>
                </c:pt>
                <c:pt idx="66">
                  <c:v>33.200682054539136</c:v>
                </c:pt>
                <c:pt idx="67">
                  <c:v>33.578407580731692</c:v>
                </c:pt>
                <c:pt idx="68">
                  <c:v>33.959554710103426</c:v>
                </c:pt>
                <c:pt idx="69">
                  <c:v>34.343351960835328</c:v>
                </c:pt>
                <c:pt idx="70">
                  <c:v>34.729028102987364</c:v>
                </c:pt>
                <c:pt idx="71">
                  <c:v>35.116514180742499</c:v>
                </c:pt>
                <c:pt idx="72">
                  <c:v>35.504985353211154</c:v>
                </c:pt>
                <c:pt idx="73">
                  <c:v>35.893672797137846</c:v>
                </c:pt>
                <c:pt idx="74">
                  <c:v>36.281808233961797</c:v>
                </c:pt>
                <c:pt idx="75">
                  <c:v>36.668623977782424</c:v>
                </c:pt>
                <c:pt idx="76">
                  <c:v>37.053352988908216</c:v>
                </c:pt>
                <c:pt idx="77">
                  <c:v>37.435228929228785</c:v>
                </c:pt>
                <c:pt idx="78">
                  <c:v>37.817675730309631</c:v>
                </c:pt>
                <c:pt idx="79">
                  <c:v>38.204288892505936</c:v>
                </c:pt>
                <c:pt idx="80">
                  <c:v>38.593667782879976</c:v>
                </c:pt>
                <c:pt idx="81">
                  <c:v>38.984760935101406</c:v>
                </c:pt>
                <c:pt idx="82">
                  <c:v>39.376518332471584</c:v>
                </c:pt>
                <c:pt idx="83">
                  <c:v>39.767891486016346</c:v>
                </c:pt>
                <c:pt idx="84">
                  <c:v>40.157833513485166</c:v>
                </c:pt>
                <c:pt idx="85">
                  <c:v>40.545285678322294</c:v>
                </c:pt>
                <c:pt idx="86">
                  <c:v>40.928492529064648</c:v>
                </c:pt>
                <c:pt idx="87">
                  <c:v>41.306410329472818</c:v>
                </c:pt>
                <c:pt idx="88">
                  <c:v>41.677996852948844</c:v>
                </c:pt>
                <c:pt idx="89">
                  <c:v>42.042211428828423</c:v>
                </c:pt>
                <c:pt idx="90">
                  <c:v>42.398015009266693</c:v>
                </c:pt>
                <c:pt idx="91">
                  <c:v>42.744370218494701</c:v>
                </c:pt>
                <c:pt idx="92">
                  <c:v>43.082656414227003</c:v>
                </c:pt>
                <c:pt idx="93">
                  <c:v>43.415149100364111</c:v>
                </c:pt>
                <c:pt idx="94">
                  <c:v>43.741571121802139</c:v>
                </c:pt>
                <c:pt idx="95">
                  <c:v>44.062027829273077</c:v>
                </c:pt>
                <c:pt idx="96">
                  <c:v>44.376625233405363</c:v>
                </c:pt>
                <c:pt idx="97">
                  <c:v>44.685470037718495</c:v>
                </c:pt>
                <c:pt idx="98">
                  <c:v>44.988669678931281</c:v>
                </c:pt>
                <c:pt idx="99">
                  <c:v>45.286143127470744</c:v>
                </c:pt>
                <c:pt idx="100">
                  <c:v>45.577996817386648</c:v>
                </c:pt>
                <c:pt idx="101">
                  <c:v>45.864333106124782</c:v>
                </c:pt>
                <c:pt idx="102">
                  <c:v>46.145254567563299</c:v>
                </c:pt>
                <c:pt idx="103">
                  <c:v>46.420863999558435</c:v>
                </c:pt>
                <c:pt idx="104">
                  <c:v>46.69126440864752</c:v>
                </c:pt>
                <c:pt idx="105">
                  <c:v>46.956559024557031</c:v>
                </c:pt>
                <c:pt idx="106">
                  <c:v>47.216613612540471</c:v>
                </c:pt>
                <c:pt idx="107">
                  <c:v>47.470697268696803</c:v>
                </c:pt>
                <c:pt idx="108">
                  <c:v>47.718663529266834</c:v>
                </c:pt>
                <c:pt idx="109">
                  <c:v>47.960509214257584</c:v>
                </c:pt>
                <c:pt idx="110">
                  <c:v>48.196229826305817</c:v>
                </c:pt>
                <c:pt idx="111">
                  <c:v>48.425820224218448</c:v>
                </c:pt>
                <c:pt idx="112">
                  <c:v>48.649275163796368</c:v>
                </c:pt>
                <c:pt idx="113">
                  <c:v>48.866284724833427</c:v>
                </c:pt>
                <c:pt idx="114">
                  <c:v>49.077051524922325</c:v>
                </c:pt>
                <c:pt idx="115">
                  <c:v>49.281568960398012</c:v>
                </c:pt>
                <c:pt idx="116">
                  <c:v>49.479829696663458</c:v>
                </c:pt>
                <c:pt idx="117">
                  <c:v>49.671825663435996</c:v>
                </c:pt>
                <c:pt idx="118">
                  <c:v>49.85754805842803</c:v>
                </c:pt>
                <c:pt idx="119">
                  <c:v>50.036987351007525</c:v>
                </c:pt>
                <c:pt idx="120">
                  <c:v>50.210544015878227</c:v>
                </c:pt>
                <c:pt idx="121">
                  <c:v>50.378331123665355</c:v>
                </c:pt>
                <c:pt idx="122">
                  <c:v>50.54072511874309</c:v>
                </c:pt>
                <c:pt idx="123">
                  <c:v>50.69752820756176</c:v>
                </c:pt>
                <c:pt idx="124">
                  <c:v>50.848542205907613</c:v>
                </c:pt>
                <c:pt idx="125">
                  <c:v>50.993568534975658</c:v>
                </c:pt>
                <c:pt idx="126">
                  <c:v>51.132408232457855</c:v>
                </c:pt>
                <c:pt idx="127">
                  <c:v>51.264792714742505</c:v>
                </c:pt>
                <c:pt idx="128">
                  <c:v>51.390855636459357</c:v>
                </c:pt>
                <c:pt idx="129">
                  <c:v>51.510400391994757</c:v>
                </c:pt>
                <c:pt idx="130">
                  <c:v>51.623230070637021</c:v>
                </c:pt>
                <c:pt idx="131">
                  <c:v>51.729147441616171</c:v>
                </c:pt>
                <c:pt idx="132">
                  <c:v>51.827954962073008</c:v>
                </c:pt>
                <c:pt idx="133">
                  <c:v>51.919454766365718</c:v>
                </c:pt>
                <c:pt idx="134">
                  <c:v>52.003102252200868</c:v>
                </c:pt>
                <c:pt idx="135">
                  <c:v>52.07877458878751</c:v>
                </c:pt>
                <c:pt idx="136">
                  <c:v>52.147054096984476</c:v>
                </c:pt>
                <c:pt idx="137">
                  <c:v>52.208322400015831</c:v>
                </c:pt>
                <c:pt idx="138">
                  <c:v>52.262960965985485</c:v>
                </c:pt>
                <c:pt idx="139">
                  <c:v>52.311351082756055</c:v>
                </c:pt>
                <c:pt idx="140">
                  <c:v>52.353873878459012</c:v>
                </c:pt>
                <c:pt idx="141">
                  <c:v>52.390984355487298</c:v>
                </c:pt>
                <c:pt idx="142">
                  <c:v>52.423163128075132</c:v>
                </c:pt>
                <c:pt idx="143">
                  <c:v>52.450800582344208</c:v>
                </c:pt>
                <c:pt idx="144">
                  <c:v>52.474285686198819</c:v>
                </c:pt>
                <c:pt idx="145">
                  <c:v>52.494007426272972</c:v>
                </c:pt>
                <c:pt idx="146">
                  <c:v>52.510354792227254</c:v>
                </c:pt>
                <c:pt idx="147">
                  <c:v>52.523716742839852</c:v>
                </c:pt>
                <c:pt idx="148">
                  <c:v>52.532928429795781</c:v>
                </c:pt>
                <c:pt idx="149">
                  <c:v>52.536822574313796</c:v>
                </c:pt>
                <c:pt idx="150">
                  <c:v>52.535646913252023</c:v>
                </c:pt>
                <c:pt idx="151">
                  <c:v>52.52969846365324</c:v>
                </c:pt>
                <c:pt idx="152">
                  <c:v>52.519274128473299</c:v>
                </c:pt>
                <c:pt idx="153">
                  <c:v>52.504670653449367</c:v>
                </c:pt>
                <c:pt idx="154">
                  <c:v>52.486184579682465</c:v>
                </c:pt>
                <c:pt idx="155">
                  <c:v>52.464163955803407</c:v>
                </c:pt>
                <c:pt idx="156">
                  <c:v>52.43882297614968</c:v>
                </c:pt>
                <c:pt idx="157">
                  <c:v>52.410457499462396</c:v>
                </c:pt>
                <c:pt idx="158">
                  <c:v>52.379363039821257</c:v>
                </c:pt>
                <c:pt idx="159">
                  <c:v>52.345834726212978</c:v>
                </c:pt>
                <c:pt idx="160">
                  <c:v>52.310167254568157</c:v>
                </c:pt>
                <c:pt idx="161">
                  <c:v>52.272654851521516</c:v>
                </c:pt>
                <c:pt idx="162">
                  <c:v>52.232887278195989</c:v>
                </c:pt>
                <c:pt idx="163">
                  <c:v>52.190331144577037</c:v>
                </c:pt>
                <c:pt idx="164">
                  <c:v>52.144933750674319</c:v>
                </c:pt>
                <c:pt idx="165">
                  <c:v>52.09670754475512</c:v>
                </c:pt>
                <c:pt idx="166">
                  <c:v>52.045664542845074</c:v>
                </c:pt>
                <c:pt idx="167">
                  <c:v>51.991816280888742</c:v>
                </c:pt>
                <c:pt idx="168">
                  <c:v>51.935173782375223</c:v>
                </c:pt>
                <c:pt idx="169">
                  <c:v>51.875816299655597</c:v>
                </c:pt>
                <c:pt idx="170">
                  <c:v>51.813693992779683</c:v>
                </c:pt>
                <c:pt idx="171">
                  <c:v>51.748816304533847</c:v>
                </c:pt>
                <c:pt idx="172">
                  <c:v>51.681192042794592</c:v>
                </c:pt>
                <c:pt idx="173">
                  <c:v>51.610833574674309</c:v>
                </c:pt>
                <c:pt idx="174">
                  <c:v>51.537752934684555</c:v>
                </c:pt>
                <c:pt idx="175">
                  <c:v>51.461957413898354</c:v>
                </c:pt>
                <c:pt idx="176">
                  <c:v>51.383453601881584</c:v>
                </c:pt>
                <c:pt idx="177">
                  <c:v>51.302313298969111</c:v>
                </c:pt>
                <c:pt idx="178">
                  <c:v>51.218468730594772</c:v>
                </c:pt>
                <c:pt idx="179">
                  <c:v>51.131924181402312</c:v>
                </c:pt>
                <c:pt idx="180">
                  <c:v>51.042683260672632</c:v>
                </c:pt>
                <c:pt idx="181">
                  <c:v>50.950748912712569</c:v>
                </c:pt>
                <c:pt idx="182">
                  <c:v>50.856123436370915</c:v>
                </c:pt>
                <c:pt idx="183">
                  <c:v>50.758883366605545</c:v>
                </c:pt>
                <c:pt idx="184">
                  <c:v>50.658952890068633</c:v>
                </c:pt>
                <c:pt idx="185">
                  <c:v>50.556331888137521</c:v>
                </c:pt>
                <c:pt idx="186">
                  <c:v>50.451019736207137</c:v>
                </c:pt>
                <c:pt idx="187">
                  <c:v>50.343015338544859</c:v>
                </c:pt>
                <c:pt idx="188">
                  <c:v>50.232317171289267</c:v>
                </c:pt>
                <c:pt idx="189">
                  <c:v>50.118923316927933</c:v>
                </c:pt>
                <c:pt idx="190">
                  <c:v>50.002224879435545</c:v>
                </c:pt>
                <c:pt idx="191">
                  <c:v>49.88189889121643</c:v>
                </c:pt>
                <c:pt idx="192">
                  <c:v>49.75815101027063</c:v>
                </c:pt>
                <c:pt idx="193">
                  <c:v>49.631257918069956</c:v>
                </c:pt>
                <c:pt idx="194">
                  <c:v>49.501495925762185</c:v>
                </c:pt>
                <c:pt idx="195">
                  <c:v>49.369141022265282</c:v>
                </c:pt>
                <c:pt idx="196">
                  <c:v>49.234468913860191</c:v>
                </c:pt>
                <c:pt idx="197">
                  <c:v>49.097821326605114</c:v>
                </c:pt>
                <c:pt idx="198">
                  <c:v>48.959395839697159</c:v>
                </c:pt>
                <c:pt idx="199">
                  <c:v>48.819467478743391</c:v>
                </c:pt>
                <c:pt idx="200">
                  <c:v>48.678311152180456</c:v>
                </c:pt>
                <c:pt idx="201">
                  <c:v>48.5362016868607</c:v>
                </c:pt>
                <c:pt idx="202">
                  <c:v>48.393413854778139</c:v>
                </c:pt>
                <c:pt idx="203">
                  <c:v>48.250222398971069</c:v>
                </c:pt>
                <c:pt idx="204">
                  <c:v>48.107011287494437</c:v>
                </c:pt>
                <c:pt idx="205">
                  <c:v>47.963506257983106</c:v>
                </c:pt>
                <c:pt idx="206">
                  <c:v>47.819227165523927</c:v>
                </c:pt>
                <c:pt idx="207">
                  <c:v>47.673795412285287</c:v>
                </c:pt>
                <c:pt idx="208">
                  <c:v>47.526833076782651</c:v>
                </c:pt>
                <c:pt idx="209">
                  <c:v>47.377962904762441</c:v>
                </c:pt>
                <c:pt idx="210">
                  <c:v>47.226808297063698</c:v>
                </c:pt>
                <c:pt idx="211">
                  <c:v>47.072458393215037</c:v>
                </c:pt>
                <c:pt idx="212">
                  <c:v>46.914465752145595</c:v>
                </c:pt>
                <c:pt idx="213">
                  <c:v>46.752451307874935</c:v>
                </c:pt>
                <c:pt idx="214">
                  <c:v>46.586036968866736</c:v>
                </c:pt>
                <c:pt idx="215">
                  <c:v>46.414845588918233</c:v>
                </c:pt>
                <c:pt idx="216">
                  <c:v>46.238500929391016</c:v>
                </c:pt>
                <c:pt idx="217">
                  <c:v>46.0566276296274</c:v>
                </c:pt>
                <c:pt idx="218">
                  <c:v>45.869981357773199</c:v>
                </c:pt>
                <c:pt idx="219">
                  <c:v>45.67898861467657</c:v>
                </c:pt>
                <c:pt idx="220">
                  <c:v>45.483787872357425</c:v>
                </c:pt>
                <c:pt idx="221">
                  <c:v>45.284285489578679</c:v>
                </c:pt>
                <c:pt idx="222">
                  <c:v>45.080388356819107</c:v>
                </c:pt>
                <c:pt idx="223">
                  <c:v>44.872003876699559</c:v>
                </c:pt>
                <c:pt idx="224">
                  <c:v>44.659039948016009</c:v>
                </c:pt>
                <c:pt idx="225">
                  <c:v>44.440448301941977</c:v>
                </c:pt>
                <c:pt idx="226">
                  <c:v>44.216689539326772</c:v>
                </c:pt>
                <c:pt idx="227">
                  <c:v>43.987675235396459</c:v>
                </c:pt>
                <c:pt idx="228">
                  <c:v>43.753317349959204</c:v>
                </c:pt>
                <c:pt idx="229">
                  <c:v>43.513528226049452</c:v>
                </c:pt>
                <c:pt idx="230">
                  <c:v>43.268220605618566</c:v>
                </c:pt>
                <c:pt idx="231">
                  <c:v>43.017307628295512</c:v>
                </c:pt>
                <c:pt idx="232">
                  <c:v>42.761135402523315</c:v>
                </c:pt>
                <c:pt idx="233">
                  <c:v>42.499452538014197</c:v>
                </c:pt>
                <c:pt idx="234">
                  <c:v>42.232686926822936</c:v>
                </c:pt>
                <c:pt idx="235">
                  <c:v>41.960751545580031</c:v>
                </c:pt>
                <c:pt idx="236">
                  <c:v>41.683559675371924</c:v>
                </c:pt>
                <c:pt idx="237">
                  <c:v>41.401025477174642</c:v>
                </c:pt>
                <c:pt idx="238">
                  <c:v>41.113063657121941</c:v>
                </c:pt>
                <c:pt idx="239">
                  <c:v>40.82000480256319</c:v>
                </c:pt>
                <c:pt idx="240">
                  <c:v>40.522718349768034</c:v>
                </c:pt>
                <c:pt idx="241">
                  <c:v>40.221119087766745</c:v>
                </c:pt>
                <c:pt idx="242">
                  <c:v>39.915122024512016</c:v>
                </c:pt>
                <c:pt idx="243">
                  <c:v>39.604642397217553</c:v>
                </c:pt>
                <c:pt idx="244">
                  <c:v>39.289595697624144</c:v>
                </c:pt>
                <c:pt idx="245">
                  <c:v>38.969897682306964</c:v>
                </c:pt>
                <c:pt idx="246">
                  <c:v>38.645294803615748</c:v>
                </c:pt>
                <c:pt idx="247">
                  <c:v>38.316195937994117</c:v>
                </c:pt>
                <c:pt idx="248">
                  <c:v>37.983392903840738</c:v>
                </c:pt>
                <c:pt idx="249">
                  <c:v>37.647078957526986</c:v>
                </c:pt>
                <c:pt idx="250">
                  <c:v>37.307447065722293</c:v>
                </c:pt>
                <c:pt idx="251">
                  <c:v>36.964689917424401</c:v>
                </c:pt>
                <c:pt idx="252">
                  <c:v>36.618999933816482</c:v>
                </c:pt>
                <c:pt idx="253">
                  <c:v>36.271798448120407</c:v>
                </c:pt>
                <c:pt idx="254">
                  <c:v>35.922861467911261</c:v>
                </c:pt>
                <c:pt idx="255">
                  <c:v>35.572378048884659</c:v>
                </c:pt>
                <c:pt idx="256">
                  <c:v>35.220536618978834</c:v>
                </c:pt>
                <c:pt idx="257">
                  <c:v>34.867524959319411</c:v>
                </c:pt>
                <c:pt idx="258">
                  <c:v>34.513530174331066</c:v>
                </c:pt>
                <c:pt idx="259">
                  <c:v>34.158738661477393</c:v>
                </c:pt>
                <c:pt idx="260">
                  <c:v>33.800274048970856</c:v>
                </c:pt>
                <c:pt idx="261">
                  <c:v>33.437394129986792</c:v>
                </c:pt>
                <c:pt idx="262">
                  <c:v>33.070819633234407</c:v>
                </c:pt>
                <c:pt idx="263">
                  <c:v>32.701744167884641</c:v>
                </c:pt>
                <c:pt idx="264">
                  <c:v>32.331359341031337</c:v>
                </c:pt>
                <c:pt idx="265">
                  <c:v>31.960848021229367</c:v>
                </c:pt>
                <c:pt idx="266">
                  <c:v>31.591394385495381</c:v>
                </c:pt>
                <c:pt idx="267">
                  <c:v>31.224680598601356</c:v>
                </c:pt>
                <c:pt idx="268">
                  <c:v>30.860685782028394</c:v>
                </c:pt>
                <c:pt idx="269">
                  <c:v>30.500596851889568</c:v>
                </c:pt>
                <c:pt idx="270">
                  <c:v>30.145598792399259</c:v>
                </c:pt>
                <c:pt idx="271">
                  <c:v>29.796874567102357</c:v>
                </c:pt>
                <c:pt idx="272">
                  <c:v>29.455605043348438</c:v>
                </c:pt>
                <c:pt idx="273">
                  <c:v>29.122968915532926</c:v>
                </c:pt>
                <c:pt idx="274">
                  <c:v>28.797147082712712</c:v>
                </c:pt>
                <c:pt idx="275">
                  <c:v>28.475528804008192</c:v>
                </c:pt>
                <c:pt idx="276">
                  <c:v>28.156684644299709</c:v>
                </c:pt>
                <c:pt idx="277">
                  <c:v>27.840602309203586</c:v>
                </c:pt>
                <c:pt idx="278">
                  <c:v>27.527268540327533</c:v>
                </c:pt>
                <c:pt idx="279">
                  <c:v>27.216669107014582</c:v>
                </c:pt>
                <c:pt idx="280">
                  <c:v>26.908788805927479</c:v>
                </c:pt>
                <c:pt idx="281">
                  <c:v>26.603353178287268</c:v>
                </c:pt>
                <c:pt idx="282">
                  <c:v>26.299876383426763</c:v>
                </c:pt>
                <c:pt idx="283">
                  <c:v>25.998349644817683</c:v>
                </c:pt>
                <c:pt idx="284">
                  <c:v>25.698763873928833</c:v>
                </c:pt>
                <c:pt idx="285">
                  <c:v>25.401109705687755</c:v>
                </c:pt>
                <c:pt idx="286">
                  <c:v>25.10537753926085</c:v>
                </c:pt>
                <c:pt idx="287">
                  <c:v>24.811557581722916</c:v>
                </c:pt>
                <c:pt idx="288">
                  <c:v>24.519241001639944</c:v>
                </c:pt>
                <c:pt idx="289">
                  <c:v>24.227563164709515</c:v>
                </c:pt>
                <c:pt idx="290">
                  <c:v>23.936699879143376</c:v>
                </c:pt>
                <c:pt idx="291">
                  <c:v>23.646834857692134</c:v>
                </c:pt>
                <c:pt idx="292">
                  <c:v>23.358152239079047</c:v>
                </c:pt>
                <c:pt idx="293">
                  <c:v>23.070836617080158</c:v>
                </c:pt>
                <c:pt idx="294">
                  <c:v>22.785073068729488</c:v>
                </c:pt>
                <c:pt idx="295">
                  <c:v>22.500412181706071</c:v>
                </c:pt>
                <c:pt idx="296">
                  <c:v>22.217283911181472</c:v>
                </c:pt>
                <c:pt idx="297">
                  <c:v>21.935878029950409</c:v>
                </c:pt>
                <c:pt idx="298">
                  <c:v>21.656390129729854</c:v>
                </c:pt>
                <c:pt idx="299">
                  <c:v>21.379016360035898</c:v>
                </c:pt>
                <c:pt idx="300">
                  <c:v>21.103953385678302</c:v>
                </c:pt>
                <c:pt idx="301">
                  <c:v>20.831398344716632</c:v>
                </c:pt>
                <c:pt idx="302">
                  <c:v>20.559694171002608</c:v>
                </c:pt>
                <c:pt idx="303">
                  <c:v>20.287167190018071</c:v>
                </c:pt>
                <c:pt idx="304">
                  <c:v>20.015010338458282</c:v>
                </c:pt>
                <c:pt idx="305">
                  <c:v>19.743878131998382</c:v>
                </c:pt>
                <c:pt idx="306">
                  <c:v>19.474425106895104</c:v>
                </c:pt>
                <c:pt idx="307">
                  <c:v>19.20730577350707</c:v>
                </c:pt>
                <c:pt idx="308">
                  <c:v>18.943174550687225</c:v>
                </c:pt>
                <c:pt idx="309">
                  <c:v>18.682627992930826</c:v>
                </c:pt>
                <c:pt idx="310">
                  <c:v>18.426895577098886</c:v>
                </c:pt>
                <c:pt idx="311">
                  <c:v>18.176620203165236</c:v>
                </c:pt>
                <c:pt idx="312">
                  <c:v>17.932444615104821</c:v>
                </c:pt>
                <c:pt idx="313">
                  <c:v>17.695011377978641</c:v>
                </c:pt>
                <c:pt idx="314">
                  <c:v>17.464962876866526</c:v>
                </c:pt>
                <c:pt idx="315">
                  <c:v>17.242941302760183</c:v>
                </c:pt>
                <c:pt idx="316">
                  <c:v>17.027781498365037</c:v>
                </c:pt>
                <c:pt idx="317">
                  <c:v>16.818235723773093</c:v>
                </c:pt>
                <c:pt idx="318">
                  <c:v>16.614680698211192</c:v>
                </c:pt>
                <c:pt idx="319">
                  <c:v>16.417195937646156</c:v>
                </c:pt>
                <c:pt idx="320">
                  <c:v>16.225861370552195</c:v>
                </c:pt>
                <c:pt idx="321">
                  <c:v>16.040757383351384</c:v>
                </c:pt>
                <c:pt idx="322">
                  <c:v>15.861964857170481</c:v>
                </c:pt>
                <c:pt idx="323">
                  <c:v>15.689886859312583</c:v>
                </c:pt>
                <c:pt idx="324">
                  <c:v>15.524651292030248</c:v>
                </c:pt>
                <c:pt idx="325">
                  <c:v>15.366334152895465</c:v>
                </c:pt>
                <c:pt idx="326">
                  <c:v>15.215015492930242</c:v>
                </c:pt>
                <c:pt idx="327">
                  <c:v>15.07077432384885</c:v>
                </c:pt>
                <c:pt idx="328">
                  <c:v>14.933688202421497</c:v>
                </c:pt>
                <c:pt idx="329">
                  <c:v>14.803835779235195</c:v>
                </c:pt>
                <c:pt idx="330">
                  <c:v>14.680072911559954</c:v>
                </c:pt>
                <c:pt idx="331">
                  <c:v>14.561490616374925</c:v>
                </c:pt>
                <c:pt idx="332">
                  <c:v>14.448278446320524</c:v>
                </c:pt>
                <c:pt idx="333">
                  <c:v>14.340890917569054</c:v>
                </c:pt>
                <c:pt idx="334">
                  <c:v>14.239783181131303</c:v>
                </c:pt>
                <c:pt idx="335">
                  <c:v>14.145410965718098</c:v>
                </c:pt>
                <c:pt idx="336">
                  <c:v>14.058230539911689</c:v>
                </c:pt>
                <c:pt idx="337">
                  <c:v>13.978573185234808</c:v>
                </c:pt>
                <c:pt idx="338">
                  <c:v>13.906599485846868</c:v>
                </c:pt>
                <c:pt idx="339">
                  <c:v>13.842771570993946</c:v>
                </c:pt>
                <c:pt idx="340">
                  <c:v>13.787551396089464</c:v>
                </c:pt>
                <c:pt idx="341">
                  <c:v>13.741400710296331</c:v>
                </c:pt>
                <c:pt idx="342">
                  <c:v>13.704781016565406</c:v>
                </c:pt>
                <c:pt idx="343">
                  <c:v>13.678153534106658</c:v>
                </c:pt>
                <c:pt idx="344">
                  <c:v>13.662555541151589</c:v>
                </c:pt>
                <c:pt idx="345">
                  <c:v>13.658188349589693</c:v>
                </c:pt>
                <c:pt idx="346">
                  <c:v>13.664140787676404</c:v>
                </c:pt>
                <c:pt idx="347">
                  <c:v>13.679620991957098</c:v>
                </c:pt>
                <c:pt idx="348">
                  <c:v>13.703837161029806</c:v>
                </c:pt>
                <c:pt idx="349">
                  <c:v>13.735997551343122</c:v>
                </c:pt>
                <c:pt idx="350">
                  <c:v>13.775310479927706</c:v>
                </c:pt>
                <c:pt idx="351">
                  <c:v>13.820856595634055</c:v>
                </c:pt>
                <c:pt idx="352">
                  <c:v>13.871965662445929</c:v>
                </c:pt>
                <c:pt idx="353">
                  <c:v>13.927846171843367</c:v>
                </c:pt>
                <c:pt idx="354">
                  <c:v>13.987706689707863</c:v>
                </c:pt>
                <c:pt idx="355">
                  <c:v>14.05075585970719</c:v>
                </c:pt>
                <c:pt idx="356">
                  <c:v>14.116203999174154</c:v>
                </c:pt>
                <c:pt idx="357">
                  <c:v>14.183258830200177</c:v>
                </c:pt>
                <c:pt idx="358">
                  <c:v>14.252434965839003</c:v>
                </c:pt>
                <c:pt idx="359">
                  <c:v>14.324969644051357</c:v>
                </c:pt>
                <c:pt idx="360">
                  <c:v>14.401037231895954</c:v>
                </c:pt>
                <c:pt idx="361">
                  <c:v>14.481058319257961</c:v>
                </c:pt>
                <c:pt idx="362">
                  <c:v>14.565326305473603</c:v>
                </c:pt>
                <c:pt idx="363">
                  <c:v>14.654134189033964</c:v>
                </c:pt>
                <c:pt idx="364">
                  <c:v>14.747774580511573</c:v>
                </c:pt>
                <c:pt idx="365">
                  <c:v>14.846539715383374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6.0700719256667357</c:v>
                </c:pt>
                <c:pt idx="1">
                  <c:v>1.863817778823432</c:v>
                </c:pt>
                <c:pt idx="2">
                  <c:v>13.34523140704243</c:v>
                </c:pt>
                <c:pt idx="3">
                  <c:v>11.250655375737542</c:v>
                </c:pt>
                <c:pt idx="4">
                  <c:v>11.236417995915955</c:v>
                </c:pt>
                <c:pt idx="5">
                  <c:v>4.9069664096359142</c:v>
                </c:pt>
                <c:pt idx="6">
                  <c:v>11.286470542635779</c:v>
                </c:pt>
                <c:pt idx="7">
                  <c:v>5.7004851519494943</c:v>
                </c:pt>
                <c:pt idx="8">
                  <c:v>7.0946600343468216</c:v>
                </c:pt>
                <c:pt idx="9">
                  <c:v>15.298628453979859</c:v>
                </c:pt>
                <c:pt idx="10">
                  <c:v>4.2615266730810832</c:v>
                </c:pt>
                <c:pt idx="11">
                  <c:v>14.7717655083023</c:v>
                </c:pt>
                <c:pt idx="12">
                  <c:v>10.137847814501614</c:v>
                </c:pt>
                <c:pt idx="13">
                  <c:v>12.83444084945058</c:v>
                </c:pt>
                <c:pt idx="14">
                  <c:v>6.6327519144792619</c:v>
                </c:pt>
                <c:pt idx="15">
                  <c:v>3.5544140699264259</c:v>
                </c:pt>
                <c:pt idx="16">
                  <c:v>5.7815897106397047</c:v>
                </c:pt>
                <c:pt idx="17">
                  <c:v>14.199825999414241</c:v>
                </c:pt>
                <c:pt idx="18">
                  <c:v>7.6191546528917931</c:v>
                </c:pt>
                <c:pt idx="19">
                  <c:v>15.264293543392338</c:v>
                </c:pt>
                <c:pt idx="20">
                  <c:v>5.8518681296659203</c:v>
                </c:pt>
                <c:pt idx="21">
                  <c:v>18.944588717479295</c:v>
                </c:pt>
                <c:pt idx="22">
                  <c:v>19.221394131880416</c:v>
                </c:pt>
                <c:pt idx="23">
                  <c:v>19.338734931494557</c:v>
                </c:pt>
                <c:pt idx="24">
                  <c:v>19.370709596448361</c:v>
                </c:pt>
                <c:pt idx="25">
                  <c:v>19.640700922136158</c:v>
                </c:pt>
                <c:pt idx="26">
                  <c:v>20.557774538778951</c:v>
                </c:pt>
                <c:pt idx="27">
                  <c:v>4.0895869386644277</c:v>
                </c:pt>
                <c:pt idx="28">
                  <c:v>8.1157220349470123</c:v>
                </c:pt>
                <c:pt idx="29">
                  <c:v>4.2742511202180395</c:v>
                </c:pt>
                <c:pt idx="30">
                  <c:v>8.8251151498463773</c:v>
                </c:pt>
                <c:pt idx="31">
                  <c:v>8.6427523380139366</c:v>
                </c:pt>
                <c:pt idx="32">
                  <c:v>5.1882174576900351</c:v>
                </c:pt>
                <c:pt idx="33">
                  <c:v>9.4572210856341314</c:v>
                </c:pt>
                <c:pt idx="34">
                  <c:v>8.6015423855023574</c:v>
                </c:pt>
                <c:pt idx="35">
                  <c:v>8.9248615970845879</c:v>
                </c:pt>
                <c:pt idx="36">
                  <c:v>15.47100361570098</c:v>
                </c:pt>
                <c:pt idx="37">
                  <c:v>8.9243770339867972</c:v>
                </c:pt>
                <c:pt idx="38">
                  <c:v>24.329585349441331</c:v>
                </c:pt>
                <c:pt idx="39">
                  <c:v>24.072978000465188</c:v>
                </c:pt>
                <c:pt idx="40">
                  <c:v>22.497360700951276</c:v>
                </c:pt>
                <c:pt idx="41">
                  <c:v>14.87128104491147</c:v>
                </c:pt>
                <c:pt idx="42">
                  <c:v>21.087900109680938</c:v>
                </c:pt>
                <c:pt idx="43">
                  <c:v>24.159859739402364</c:v>
                </c:pt>
                <c:pt idx="44">
                  <c:v>12.752049311926577</c:v>
                </c:pt>
                <c:pt idx="45">
                  <c:v>16.172224068529324</c:v>
                </c:pt>
                <c:pt idx="46">
                  <c:v>9.9011894181212803</c:v>
                </c:pt>
                <c:pt idx="47">
                  <c:v>10.637025252780949</c:v>
                </c:pt>
                <c:pt idx="48">
                  <c:v>20.989569262921393</c:v>
                </c:pt>
                <c:pt idx="49">
                  <c:v>18.698122681654041</c:v>
                </c:pt>
                <c:pt idx="50">
                  <c:v>17.004734259350464</c:v>
                </c:pt>
                <c:pt idx="51">
                  <c:v>18.358939450274011</c:v>
                </c:pt>
                <c:pt idx="52">
                  <c:v>26.722442841356148</c:v>
                </c:pt>
                <c:pt idx="53">
                  <c:v>26.720860863749607</c:v>
                </c:pt>
                <c:pt idx="54">
                  <c:v>15.233748525888737</c:v>
                </c:pt>
                <c:pt idx="55">
                  <c:v>27.210019238141015</c:v>
                </c:pt>
                <c:pt idx="56">
                  <c:v>30.542331361539375</c:v>
                </c:pt>
                <c:pt idx="57">
                  <c:v>24.924170777451643</c:v>
                </c:pt>
                <c:pt idx="58">
                  <c:v>25.111650142429234</c:v>
                </c:pt>
                <c:pt idx="59">
                  <c:v>30.788343176024682</c:v>
                </c:pt>
                <c:pt idx="60">
                  <c:v>8.8576713860893435</c:v>
                </c:pt>
                <c:pt idx="61">
                  <c:v>29.975243251477185</c:v>
                </c:pt>
                <c:pt idx="62">
                  <c:v>4.0000130394638322</c:v>
                </c:pt>
                <c:pt idx="63">
                  <c:v>12.838397659463512</c:v>
                </c:pt>
                <c:pt idx="64">
                  <c:v>14.801066485902782</c:v>
                </c:pt>
                <c:pt idx="65">
                  <c:v>31.489468076132134</c:v>
                </c:pt>
                <c:pt idx="66">
                  <c:v>24.35681100155584</c:v>
                </c:pt>
                <c:pt idx="67">
                  <c:v>25.4172765389837</c:v>
                </c:pt>
                <c:pt idx="68">
                  <c:v>20.158386509643794</c:v>
                </c:pt>
                <c:pt idx="69">
                  <c:v>13.144984851356529</c:v>
                </c:pt>
                <c:pt idx="70">
                  <c:v>13.797117703593804</c:v>
                </c:pt>
                <c:pt idx="71">
                  <c:v>9.9419527830233747</c:v>
                </c:pt>
                <c:pt idx="72">
                  <c:v>13.258269592199602</c:v>
                </c:pt>
                <c:pt idx="73">
                  <c:v>13.333583096813699</c:v>
                </c:pt>
                <c:pt idx="74">
                  <c:v>12.144633230854952</c:v>
                </c:pt>
                <c:pt idx="75">
                  <c:v>10.037693878936057</c:v>
                </c:pt>
                <c:pt idx="76">
                  <c:v>13.478340348459197</c:v>
                </c:pt>
                <c:pt idx="77">
                  <c:v>24.784184755519213</c:v>
                </c:pt>
                <c:pt idx="78">
                  <c:v>25.800097702700203</c:v>
                </c:pt>
                <c:pt idx="79">
                  <c:v>35.738573556264143</c:v>
                </c:pt>
                <c:pt idx="80">
                  <c:v>34.020594072756779</c:v>
                </c:pt>
                <c:pt idx="81">
                  <c:v>38.679242356501753</c:v>
                </c:pt>
                <c:pt idx="82">
                  <c:v>37.70070250301842</c:v>
                </c:pt>
                <c:pt idx="83">
                  <c:v>35.956933970697108</c:v>
                </c:pt>
                <c:pt idx="84">
                  <c:v>38.166231234335925</c:v>
                </c:pt>
                <c:pt idx="85">
                  <c:v>36.834467551567073</c:v>
                </c:pt>
                <c:pt idx="86">
                  <c:v>27.931469940176282</c:v>
                </c:pt>
                <c:pt idx="87">
                  <c:v>23.991152099266202</c:v>
                </c:pt>
                <c:pt idx="88">
                  <c:v>7.4024454843524525</c:v>
                </c:pt>
                <c:pt idx="89">
                  <c:v>26.831894543137278</c:v>
                </c:pt>
                <c:pt idx="90">
                  <c:v>28.810859482090837</c:v>
                </c:pt>
                <c:pt idx="91">
                  <c:v>19.294082595606337</c:v>
                </c:pt>
                <c:pt idx="92">
                  <c:v>19.293758911280086</c:v>
                </c:pt>
                <c:pt idx="93">
                  <c:v>42.418124171354279</c:v>
                </c:pt>
                <c:pt idx="94">
                  <c:v>43.650519396551054</c:v>
                </c:pt>
                <c:pt idx="95">
                  <c:v>10.630175390456262</c:v>
                </c:pt>
                <c:pt idx="96">
                  <c:v>31.725754244275869</c:v>
                </c:pt>
                <c:pt idx="97">
                  <c:v>24.900110976772257</c:v>
                </c:pt>
                <c:pt idx="98">
                  <c:v>33.442128652150437</c:v>
                </c:pt>
                <c:pt idx="99">
                  <c:v>44.028836685633493</c:v>
                </c:pt>
                <c:pt idx="100">
                  <c:v>37.172771220542188</c:v>
                </c:pt>
                <c:pt idx="101">
                  <c:v>31.015810828233533</c:v>
                </c:pt>
                <c:pt idx="102">
                  <c:v>6.7015717843462905</c:v>
                </c:pt>
                <c:pt idx="103">
                  <c:v>34.352000944429847</c:v>
                </c:pt>
                <c:pt idx="104">
                  <c:v>40.217197635467372</c:v>
                </c:pt>
                <c:pt idx="105">
                  <c:v>41.95761131977136</c:v>
                </c:pt>
                <c:pt idx="106">
                  <c:v>45.693711556249262</c:v>
                </c:pt>
                <c:pt idx="107">
                  <c:v>35.739508634925294</c:v>
                </c:pt>
                <c:pt idx="108">
                  <c:v>8.2123710135223416</c:v>
                </c:pt>
                <c:pt idx="109">
                  <c:v>9.5583694181222096</c:v>
                </c:pt>
                <c:pt idx="110">
                  <c:v>9.0078109605985919</c:v>
                </c:pt>
                <c:pt idx="111">
                  <c:v>25.84226634440607</c:v>
                </c:pt>
                <c:pt idx="112">
                  <c:v>8.857902998572099</c:v>
                </c:pt>
                <c:pt idx="113">
                  <c:v>28.238786727604502</c:v>
                </c:pt>
                <c:pt idx="114">
                  <c:v>45.184925482658372</c:v>
                </c:pt>
                <c:pt idx="115">
                  <c:v>47.268546664128962</c:v>
                </c:pt>
                <c:pt idx="116">
                  <c:v>34.40074659559172</c:v>
                </c:pt>
                <c:pt idx="117">
                  <c:v>19.248985738945127</c:v>
                </c:pt>
                <c:pt idx="118">
                  <c:v>35.822572682082473</c:v>
                </c:pt>
                <c:pt idx="119">
                  <c:v>40.488739741575458</c:v>
                </c:pt>
                <c:pt idx="120">
                  <c:v>41.277172067443871</c:v>
                </c:pt>
                <c:pt idx="121">
                  <c:v>26.921427223151152</c:v>
                </c:pt>
                <c:pt idx="122">
                  <c:v>32.852340515336401</c:v>
                </c:pt>
                <c:pt idx="123">
                  <c:v>19.332413064994753</c:v>
                </c:pt>
                <c:pt idx="124">
                  <c:v>38.446184867956056</c:v>
                </c:pt>
                <c:pt idx="125">
                  <c:v>32.385138800599762</c:v>
                </c:pt>
                <c:pt idx="126">
                  <c:v>47.394222535652162</c:v>
                </c:pt>
                <c:pt idx="127">
                  <c:v>43.192213254341446</c:v>
                </c:pt>
                <c:pt idx="128">
                  <c:v>47.785397458710754</c:v>
                </c:pt>
                <c:pt idx="129">
                  <c:v>44.343405023047382</c:v>
                </c:pt>
                <c:pt idx="130">
                  <c:v>47.926734891640059</c:v>
                </c:pt>
                <c:pt idx="131">
                  <c:v>36.63806944921982</c:v>
                </c:pt>
                <c:pt idx="132">
                  <c:v>39.127511611201435</c:v>
                </c:pt>
                <c:pt idx="133">
                  <c:v>42.703083502340142</c:v>
                </c:pt>
                <c:pt idx="134">
                  <c:v>44.913373247962681</c:v>
                </c:pt>
                <c:pt idx="135">
                  <c:v>43.542566220739154</c:v>
                </c:pt>
                <c:pt idx="136">
                  <c:v>46.411519198269986</c:v>
                </c:pt>
                <c:pt idx="137">
                  <c:v>45.31485891901697</c:v>
                </c:pt>
                <c:pt idx="138">
                  <c:v>47.655257722860767</c:v>
                </c:pt>
                <c:pt idx="139">
                  <c:v>42.376249658661322</c:v>
                </c:pt>
                <c:pt idx="140">
                  <c:v>41.288518809074382</c:v>
                </c:pt>
                <c:pt idx="141">
                  <c:v>30.513487412721457</c:v>
                </c:pt>
                <c:pt idx="142">
                  <c:v>17.867473793139663</c:v>
                </c:pt>
                <c:pt idx="143">
                  <c:v>15.339081849604819</c:v>
                </c:pt>
                <c:pt idx="144">
                  <c:v>35.759003254257664</c:v>
                </c:pt>
                <c:pt idx="145">
                  <c:v>19.41411763717192</c:v>
                </c:pt>
                <c:pt idx="146">
                  <c:v>41.969582164916538</c:v>
                </c:pt>
                <c:pt idx="147">
                  <c:v>48.090560776322974</c:v>
                </c:pt>
                <c:pt idx="148">
                  <c:v>51.497343624353313</c:v>
                </c:pt>
                <c:pt idx="149">
                  <c:v>46.296778748449583</c:v>
                </c:pt>
                <c:pt idx="150">
                  <c:v>47.493279601001809</c:v>
                </c:pt>
                <c:pt idx="151">
                  <c:v>48.680888484334744</c:v>
                </c:pt>
                <c:pt idx="152">
                  <c:v>40.033516227405386</c:v>
                </c:pt>
                <c:pt idx="153">
                  <c:v>46.64122036949658</c:v>
                </c:pt>
                <c:pt idx="154">
                  <c:v>22.083960160022727</c:v>
                </c:pt>
                <c:pt idx="155">
                  <c:v>31.218621184985757</c:v>
                </c:pt>
                <c:pt idx="156">
                  <c:v>39.689995139805262</c:v>
                </c:pt>
                <c:pt idx="157">
                  <c:v>26.78036161766682</c:v>
                </c:pt>
                <c:pt idx="158">
                  <c:v>18.240548721641559</c:v>
                </c:pt>
                <c:pt idx="159">
                  <c:v>39.046744789717557</c:v>
                </c:pt>
                <c:pt idx="160">
                  <c:v>49.584623074616886</c:v>
                </c:pt>
                <c:pt idx="161">
                  <c:v>48.649307011339452</c:v>
                </c:pt>
                <c:pt idx="162">
                  <c:v>36.639371072935809</c:v>
                </c:pt>
                <c:pt idx="163">
                  <c:v>47.613579119344017</c:v>
                </c:pt>
                <c:pt idx="164">
                  <c:v>40.45162979938295</c:v>
                </c:pt>
                <c:pt idx="165">
                  <c:v>46.749540765230961</c:v>
                </c:pt>
                <c:pt idx="166">
                  <c:v>44.893554832729279</c:v>
                </c:pt>
                <c:pt idx="167">
                  <c:v>45.279543114854611</c:v>
                </c:pt>
                <c:pt idx="168">
                  <c:v>46.789389696971924</c:v>
                </c:pt>
                <c:pt idx="169">
                  <c:v>47.894401630761955</c:v>
                </c:pt>
                <c:pt idx="170">
                  <c:v>29.055813080445915</c:v>
                </c:pt>
                <c:pt idx="171">
                  <c:v>21.048395750986021</c:v>
                </c:pt>
                <c:pt idx="172">
                  <c:v>36.884416167827752</c:v>
                </c:pt>
                <c:pt idx="173">
                  <c:v>36.391952083281801</c:v>
                </c:pt>
                <c:pt idx="174">
                  <c:v>35.558294345178979</c:v>
                </c:pt>
                <c:pt idx="175">
                  <c:v>28.85612471309263</c:v>
                </c:pt>
                <c:pt idx="176">
                  <c:v>10.627221798431794</c:v>
                </c:pt>
                <c:pt idx="177">
                  <c:v>11.293166186216846</c:v>
                </c:pt>
                <c:pt idx="178">
                  <c:v>51.705266044188789</c:v>
                </c:pt>
                <c:pt idx="179">
                  <c:v>48.681648266730022</c:v>
                </c:pt>
                <c:pt idx="180">
                  <c:v>12.292728003480745</c:v>
                </c:pt>
                <c:pt idx="181">
                  <c:v>46.443538859129184</c:v>
                </c:pt>
                <c:pt idx="182">
                  <c:v>48.828871487317549</c:v>
                </c:pt>
                <c:pt idx="183">
                  <c:v>37.798099132235834</c:v>
                </c:pt>
                <c:pt idx="184">
                  <c:v>38.736751593990519</c:v>
                </c:pt>
                <c:pt idx="185">
                  <c:v>47.84035634569323</c:v>
                </c:pt>
                <c:pt idx="186">
                  <c:v>43.075574932668253</c:v>
                </c:pt>
                <c:pt idx="187">
                  <c:v>47.358545777918444</c:v>
                </c:pt>
                <c:pt idx="188">
                  <c:v>50.172093318831109</c:v>
                </c:pt>
                <c:pt idx="189">
                  <c:v>49.272279482162205</c:v>
                </c:pt>
                <c:pt idx="190">
                  <c:v>48.703688376511757</c:v>
                </c:pt>
                <c:pt idx="191">
                  <c:v>47.375057157436274</c:v>
                </c:pt>
                <c:pt idx="192">
                  <c:v>47.063704208121408</c:v>
                </c:pt>
                <c:pt idx="193">
                  <c:v>46.751466170018475</c:v>
                </c:pt>
                <c:pt idx="194">
                  <c:v>46.079449655922026</c:v>
                </c:pt>
                <c:pt idx="195">
                  <c:v>44.545321660134832</c:v>
                </c:pt>
                <c:pt idx="196">
                  <c:v>46.176258478545044</c:v>
                </c:pt>
                <c:pt idx="197">
                  <c:v>45.606388875831506</c:v>
                </c:pt>
                <c:pt idx="198">
                  <c:v>45.69320504318695</c:v>
                </c:pt>
                <c:pt idx="199">
                  <c:v>38.855425764229651</c:v>
                </c:pt>
                <c:pt idx="200">
                  <c:v>37.483235877059116</c:v>
                </c:pt>
                <c:pt idx="201">
                  <c:v>44.415426801184736</c:v>
                </c:pt>
                <c:pt idx="202">
                  <c:v>33.681177252401717</c:v>
                </c:pt>
                <c:pt idx="203">
                  <c:v>42.554204433077871</c:v>
                </c:pt>
                <c:pt idx="204">
                  <c:v>44.154238943818797</c:v>
                </c:pt>
                <c:pt idx="205">
                  <c:v>23.911621895480955</c:v>
                </c:pt>
                <c:pt idx="206">
                  <c:v>48.519281883038317</c:v>
                </c:pt>
                <c:pt idx="207">
                  <c:v>47.490488290097773</c:v>
                </c:pt>
                <c:pt idx="208">
                  <c:v>40.13689056830416</c:v>
                </c:pt>
                <c:pt idx="209">
                  <c:v>27.817138849211151</c:v>
                </c:pt>
                <c:pt idx="210">
                  <c:v>44.334926929350218</c:v>
                </c:pt>
                <c:pt idx="211">
                  <c:v>45.303692338558797</c:v>
                </c:pt>
                <c:pt idx="212">
                  <c:v>45.247340140884027</c:v>
                </c:pt>
                <c:pt idx="213">
                  <c:v>45.260478641230506</c:v>
                </c:pt>
                <c:pt idx="214">
                  <c:v>42.232262750995886</c:v>
                </c:pt>
                <c:pt idx="215">
                  <c:v>41.757919239499081</c:v>
                </c:pt>
                <c:pt idx="216">
                  <c:v>39.770604116732436</c:v>
                </c:pt>
                <c:pt idx="217">
                  <c:v>40.834766980968993</c:v>
                </c:pt>
                <c:pt idx="218">
                  <c:v>43.280378445996291</c:v>
                </c:pt>
                <c:pt idx="219">
                  <c:v>42.942118715497791</c:v>
                </c:pt>
                <c:pt idx="220">
                  <c:v>42.161816429908178</c:v>
                </c:pt>
                <c:pt idx="221">
                  <c:v>39.369911738317697</c:v>
                </c:pt>
                <c:pt idx="222">
                  <c:v>37.537377387213802</c:v>
                </c:pt>
                <c:pt idx="223">
                  <c:v>38.824291185999236</c:v>
                </c:pt>
                <c:pt idx="224">
                  <c:v>30.100642531651559</c:v>
                </c:pt>
                <c:pt idx="225">
                  <c:v>27.227867390126207</c:v>
                </c:pt>
                <c:pt idx="226">
                  <c:v>33.188983114144492</c:v>
                </c:pt>
                <c:pt idx="227">
                  <c:v>30.059678259075103</c:v>
                </c:pt>
                <c:pt idx="228">
                  <c:v>23.978264301159225</c:v>
                </c:pt>
                <c:pt idx="229">
                  <c:v>32.336172586659004</c:v>
                </c:pt>
                <c:pt idx="230">
                  <c:v>33.549453986499188</c:v>
                </c:pt>
                <c:pt idx="231">
                  <c:v>40.440990191109492</c:v>
                </c:pt>
                <c:pt idx="232">
                  <c:v>26.002343487137036</c:v>
                </c:pt>
                <c:pt idx="233">
                  <c:v>22.831956757470611</c:v>
                </c:pt>
                <c:pt idx="234">
                  <c:v>39.919720330461701</c:v>
                </c:pt>
                <c:pt idx="235">
                  <c:v>36.948243047116428</c:v>
                </c:pt>
                <c:pt idx="236">
                  <c:v>26.899084180341344</c:v>
                </c:pt>
                <c:pt idx="237">
                  <c:v>35.729203518848692</c:v>
                </c:pt>
                <c:pt idx="238">
                  <c:v>38.499108529139868</c:v>
                </c:pt>
                <c:pt idx="239">
                  <c:v>37.344325980532332</c:v>
                </c:pt>
                <c:pt idx="240">
                  <c:v>26.500162584416643</c:v>
                </c:pt>
                <c:pt idx="241">
                  <c:v>37.250128956399024</c:v>
                </c:pt>
                <c:pt idx="242">
                  <c:v>20.512018512805167</c:v>
                </c:pt>
                <c:pt idx="243">
                  <c:v>32.989264375416212</c:v>
                </c:pt>
                <c:pt idx="244">
                  <c:v>31.761400034884293</c:v>
                </c:pt>
                <c:pt idx="245">
                  <c:v>29.551190113779729</c:v>
                </c:pt>
                <c:pt idx="246">
                  <c:v>34.30019989971133</c:v>
                </c:pt>
                <c:pt idx="247">
                  <c:v>30.59711649820666</c:v>
                </c:pt>
                <c:pt idx="248">
                  <c:v>35.000789185216846</c:v>
                </c:pt>
                <c:pt idx="249">
                  <c:v>29.887167798536776</c:v>
                </c:pt>
                <c:pt idx="250">
                  <c:v>27.299469338213083</c:v>
                </c:pt>
                <c:pt idx="251">
                  <c:v>20.309417053638963</c:v>
                </c:pt>
                <c:pt idx="252">
                  <c:v>34.712088364790766</c:v>
                </c:pt>
                <c:pt idx="253">
                  <c:v>33.748979969684299</c:v>
                </c:pt>
                <c:pt idx="254">
                  <c:v>24.293213411873914</c:v>
                </c:pt>
                <c:pt idx="255">
                  <c:v>11.803436647134834</c:v>
                </c:pt>
                <c:pt idx="256">
                  <c:v>26.712133642985012</c:v>
                </c:pt>
                <c:pt idx="257">
                  <c:v>29.085731928095232</c:v>
                </c:pt>
                <c:pt idx="258">
                  <c:v>26.886766281431473</c:v>
                </c:pt>
                <c:pt idx="259">
                  <c:v>33.844389716944036</c:v>
                </c:pt>
                <c:pt idx="260">
                  <c:v>33.903692480450438</c:v>
                </c:pt>
                <c:pt idx="261">
                  <c:v>32.397259632490211</c:v>
                </c:pt>
                <c:pt idx="262">
                  <c:v>33.080801120204015</c:v>
                </c:pt>
                <c:pt idx="263">
                  <c:v>32.194283091847552</c:v>
                </c:pt>
                <c:pt idx="264">
                  <c:v>31.079664808580286</c:v>
                </c:pt>
                <c:pt idx="265">
                  <c:v>20.106136036255112</c:v>
                </c:pt>
                <c:pt idx="266">
                  <c:v>14.652291333937525</c:v>
                </c:pt>
                <c:pt idx="267">
                  <c:v>26.960031620353391</c:v>
                </c:pt>
                <c:pt idx="268">
                  <c:v>23.397596621319565</c:v>
                </c:pt>
                <c:pt idx="269">
                  <c:v>15.161170039156064</c:v>
                </c:pt>
                <c:pt idx="270">
                  <c:v>16.686983445802923</c:v>
                </c:pt>
                <c:pt idx="271">
                  <c:v>19.259142217187335</c:v>
                </c:pt>
                <c:pt idx="272">
                  <c:v>20.662077531873962</c:v>
                </c:pt>
                <c:pt idx="273">
                  <c:v>26.232831769696773</c:v>
                </c:pt>
                <c:pt idx="274">
                  <c:v>27.988487047191743</c:v>
                </c:pt>
                <c:pt idx="275">
                  <c:v>26.80910723809103</c:v>
                </c:pt>
                <c:pt idx="276">
                  <c:v>28.163762913479282</c:v>
                </c:pt>
                <c:pt idx="277">
                  <c:v>28.411642747171246</c:v>
                </c:pt>
                <c:pt idx="278">
                  <c:v>10.368525872513672</c:v>
                </c:pt>
                <c:pt idx="279">
                  <c:v>20.922634134415656</c:v>
                </c:pt>
                <c:pt idx="280">
                  <c:v>13.628135471576696</c:v>
                </c:pt>
                <c:pt idx="281">
                  <c:v>26.079791117733908</c:v>
                </c:pt>
                <c:pt idx="282">
                  <c:v>21.800384121867403</c:v>
                </c:pt>
                <c:pt idx="283">
                  <c:v>17.632761308944382</c:v>
                </c:pt>
                <c:pt idx="284">
                  <c:v>20.454615476859686</c:v>
                </c:pt>
                <c:pt idx="285">
                  <c:v>17.910522259063374</c:v>
                </c:pt>
                <c:pt idx="286">
                  <c:v>16.922707330406496</c:v>
                </c:pt>
                <c:pt idx="287">
                  <c:v>24.458063692498971</c:v>
                </c:pt>
                <c:pt idx="288">
                  <c:v>23.037646222432386</c:v>
                </c:pt>
                <c:pt idx="289">
                  <c:v>15.337665626297561</c:v>
                </c:pt>
                <c:pt idx="290">
                  <c:v>22.802206902357273</c:v>
                </c:pt>
                <c:pt idx="291">
                  <c:v>12.009326907797538</c:v>
                </c:pt>
                <c:pt idx="292">
                  <c:v>5.344160499226132</c:v>
                </c:pt>
                <c:pt idx="293">
                  <c:v>12.497960039216919</c:v>
                </c:pt>
                <c:pt idx="294">
                  <c:v>21.793749628034792</c:v>
                </c:pt>
                <c:pt idx="295">
                  <c:v>13.52489091424378</c:v>
                </c:pt>
                <c:pt idx="296">
                  <c:v>16.22933177370961</c:v>
                </c:pt>
                <c:pt idx="297">
                  <c:v>16.311366037031561</c:v>
                </c:pt>
                <c:pt idx="298">
                  <c:v>10.62844266914955</c:v>
                </c:pt>
                <c:pt idx="299">
                  <c:v>10.25896500789554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0.906132877751609</c:v>
                </c:pt>
                <c:pt idx="312">
                  <c:v>7.1971294449020151</c:v>
                </c:pt>
                <c:pt idx="313">
                  <c:v>16.102642708410663</c:v>
                </c:pt>
                <c:pt idx="314">
                  <c:v>17.428063554513933</c:v>
                </c:pt>
                <c:pt idx="315">
                  <c:v>17.62464356032768</c:v>
                </c:pt>
                <c:pt idx="316">
                  <c:v>16.982614596879174</c:v>
                </c:pt>
                <c:pt idx="317">
                  <c:v>7.0221630639289012</c:v>
                </c:pt>
                <c:pt idx="318">
                  <c:v>9.5844729377366544</c:v>
                </c:pt>
                <c:pt idx="319">
                  <c:v>17.167665506492096</c:v>
                </c:pt>
                <c:pt idx="320">
                  <c:v>10.043661394669115</c:v>
                </c:pt>
                <c:pt idx="321">
                  <c:v>10.409720349513318</c:v>
                </c:pt>
                <c:pt idx="322">
                  <c:v>6.8276205993252397</c:v>
                </c:pt>
                <c:pt idx="323">
                  <c:v>10.867231905975469</c:v>
                </c:pt>
                <c:pt idx="324">
                  <c:v>2.9536643924995234</c:v>
                </c:pt>
                <c:pt idx="325">
                  <c:v>6.5839224561478877</c:v>
                </c:pt>
                <c:pt idx="326">
                  <c:v>9.0413091644813584</c:v>
                </c:pt>
                <c:pt idx="327">
                  <c:v>10.034355608105811</c:v>
                </c:pt>
                <c:pt idx="328">
                  <c:v>4.8296913606095178</c:v>
                </c:pt>
                <c:pt idx="329">
                  <c:v>9.248677224485844</c:v>
                </c:pt>
                <c:pt idx="330">
                  <c:v>10.426629373654601</c:v>
                </c:pt>
                <c:pt idx="331">
                  <c:v>8.8723784927026923</c:v>
                </c:pt>
                <c:pt idx="332">
                  <c:v>11.839249840915505</c:v>
                </c:pt>
                <c:pt idx="333">
                  <c:v>3.5470460042848693</c:v>
                </c:pt>
                <c:pt idx="334">
                  <c:v>3.1767908534228595</c:v>
                </c:pt>
                <c:pt idx="335">
                  <c:v>5.3052930789850095</c:v>
                </c:pt>
                <c:pt idx="336">
                  <c:v>5.9595739976808373</c:v>
                </c:pt>
                <c:pt idx="337">
                  <c:v>11.623434788007863</c:v>
                </c:pt>
                <c:pt idx="338">
                  <c:v>14.545663409095567</c:v>
                </c:pt>
                <c:pt idx="339">
                  <c:v>8.1071082221371551</c:v>
                </c:pt>
                <c:pt idx="340">
                  <c:v>12.943372060478364</c:v>
                </c:pt>
                <c:pt idx="341">
                  <c:v>3.803620137623505</c:v>
                </c:pt>
                <c:pt idx="342">
                  <c:v>4.5002687793063672</c:v>
                </c:pt>
                <c:pt idx="343">
                  <c:v>9.1747569898153909</c:v>
                </c:pt>
                <c:pt idx="344">
                  <c:v>11.160755482811338</c:v>
                </c:pt>
                <c:pt idx="345">
                  <c:v>3.7284308508175728</c:v>
                </c:pt>
                <c:pt idx="346">
                  <c:v>4.8430814902720769</c:v>
                </c:pt>
                <c:pt idx="347">
                  <c:v>12.925037152510484</c:v>
                </c:pt>
                <c:pt idx="348">
                  <c:v>5.0712012519177767</c:v>
                </c:pt>
                <c:pt idx="349">
                  <c:v>4.286415707157297</c:v>
                </c:pt>
                <c:pt idx="350">
                  <c:v>3.186050271308063</c:v>
                </c:pt>
                <c:pt idx="351">
                  <c:v>12.806597452841286</c:v>
                </c:pt>
                <c:pt idx="352">
                  <c:v>10.656372670072187</c:v>
                </c:pt>
                <c:pt idx="353">
                  <c:v>4.3093716322134492</c:v>
                </c:pt>
                <c:pt idx="354">
                  <c:v>13.551699050189152</c:v>
                </c:pt>
                <c:pt idx="355">
                  <c:v>10.005596017095195</c:v>
                </c:pt>
                <c:pt idx="356">
                  <c:v>10.755689367483729</c:v>
                </c:pt>
                <c:pt idx="357">
                  <c:v>14.298664931135244</c:v>
                </c:pt>
                <c:pt idx="358">
                  <c:v>8.5844059927235161</c:v>
                </c:pt>
                <c:pt idx="359">
                  <c:v>14.109716197594992</c:v>
                </c:pt>
                <c:pt idx="360">
                  <c:v>6.2822590862645233</c:v>
                </c:pt>
                <c:pt idx="361">
                  <c:v>13.25459576630529</c:v>
                </c:pt>
                <c:pt idx="362">
                  <c:v>7.768593242007511</c:v>
                </c:pt>
                <c:pt idx="363">
                  <c:v>10.089162772429816</c:v>
                </c:pt>
                <c:pt idx="364">
                  <c:v>8.2815767052813971</c:v>
                </c:pt>
                <c:pt idx="365">
                  <c:v>10.339592920259806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6.0700719256667357</c:v>
                </c:pt>
                <c:pt idx="1">
                  <c:v>1.863817778823432</c:v>
                </c:pt>
                <c:pt idx="2">
                  <c:v>13.34523140704243</c:v>
                </c:pt>
                <c:pt idx="3">
                  <c:v>11.250655375737542</c:v>
                </c:pt>
                <c:pt idx="4">
                  <c:v>11.236417995915955</c:v>
                </c:pt>
                <c:pt idx="5">
                  <c:v>4.9069664096359142</c:v>
                </c:pt>
                <c:pt idx="6">
                  <c:v>11.286470542635779</c:v>
                </c:pt>
                <c:pt idx="7">
                  <c:v>5.7004851519494943</c:v>
                </c:pt>
                <c:pt idx="8">
                  <c:v>7.0946600343468216</c:v>
                </c:pt>
                <c:pt idx="9">
                  <c:v>15.298628453979859</c:v>
                </c:pt>
                <c:pt idx="10">
                  <c:v>4.2615266730810832</c:v>
                </c:pt>
                <c:pt idx="11">
                  <c:v>14.7717655083023</c:v>
                </c:pt>
                <c:pt idx="12">
                  <c:v>10.137847814501614</c:v>
                </c:pt>
                <c:pt idx="13">
                  <c:v>12.83444084945058</c:v>
                </c:pt>
                <c:pt idx="14">
                  <c:v>6.6327519144792619</c:v>
                </c:pt>
                <c:pt idx="15">
                  <c:v>3.5544140699264259</c:v>
                </c:pt>
                <c:pt idx="16">
                  <c:v>5.7815897106397047</c:v>
                </c:pt>
                <c:pt idx="17">
                  <c:v>14.199825999414241</c:v>
                </c:pt>
                <c:pt idx="18">
                  <c:v>7.6191546528917931</c:v>
                </c:pt>
                <c:pt idx="19">
                  <c:v>15.264293543392338</c:v>
                </c:pt>
                <c:pt idx="20">
                  <c:v>5.8518681296659203</c:v>
                </c:pt>
                <c:pt idx="21">
                  <c:v>18.944588717479295</c:v>
                </c:pt>
                <c:pt idx="22">
                  <c:v>19.221394131880416</c:v>
                </c:pt>
                <c:pt idx="23">
                  <c:v>19.338734931494557</c:v>
                </c:pt>
                <c:pt idx="24">
                  <c:v>19.370709596448361</c:v>
                </c:pt>
                <c:pt idx="25">
                  <c:v>19.640700922136158</c:v>
                </c:pt>
                <c:pt idx="26">
                  <c:v>20.557774538778951</c:v>
                </c:pt>
                <c:pt idx="27">
                  <c:v>4.0895869386644277</c:v>
                </c:pt>
                <c:pt idx="28">
                  <c:v>8.1157220349470123</c:v>
                </c:pt>
                <c:pt idx="29">
                  <c:v>4.2742511202180395</c:v>
                </c:pt>
                <c:pt idx="30">
                  <c:v>8.8251151498463773</c:v>
                </c:pt>
                <c:pt idx="31">
                  <c:v>8.6427523380139366</c:v>
                </c:pt>
                <c:pt idx="32">
                  <c:v>5.1882174576900351</c:v>
                </c:pt>
                <c:pt idx="33">
                  <c:v>9.4572210856341314</c:v>
                </c:pt>
                <c:pt idx="34">
                  <c:v>8.6015423855023574</c:v>
                </c:pt>
                <c:pt idx="35">
                  <c:v>8.9248615970845879</c:v>
                </c:pt>
                <c:pt idx="36">
                  <c:v>15.47100361570098</c:v>
                </c:pt>
                <c:pt idx="37">
                  <c:v>8.9243770339867972</c:v>
                </c:pt>
                <c:pt idx="38">
                  <c:v>24.329585349441331</c:v>
                </c:pt>
                <c:pt idx="39">
                  <c:v>24.072978000465188</c:v>
                </c:pt>
                <c:pt idx="40">
                  <c:v>22.497360700951276</c:v>
                </c:pt>
                <c:pt idx="41">
                  <c:v>14.87128104491147</c:v>
                </c:pt>
                <c:pt idx="42">
                  <c:v>21.087900109680938</c:v>
                </c:pt>
                <c:pt idx="43">
                  <c:v>24.159859739402364</c:v>
                </c:pt>
                <c:pt idx="44">
                  <c:v>12.752049311926577</c:v>
                </c:pt>
                <c:pt idx="45">
                  <c:v>16.172224068529324</c:v>
                </c:pt>
                <c:pt idx="46">
                  <c:v>9.9011894181212803</c:v>
                </c:pt>
                <c:pt idx="47">
                  <c:v>10.637025252780949</c:v>
                </c:pt>
                <c:pt idx="48">
                  <c:v>20.989569262921393</c:v>
                </c:pt>
                <c:pt idx="49">
                  <c:v>18.698122681654041</c:v>
                </c:pt>
                <c:pt idx="50">
                  <c:v>17.004734259350464</c:v>
                </c:pt>
                <c:pt idx="51">
                  <c:v>18.358939450274011</c:v>
                </c:pt>
                <c:pt idx="52">
                  <c:v>26.722442841356148</c:v>
                </c:pt>
                <c:pt idx="53">
                  <c:v>26.720860863749607</c:v>
                </c:pt>
                <c:pt idx="54">
                  <c:v>15.233748525888737</c:v>
                </c:pt>
                <c:pt idx="55">
                  <c:v>27.210019238141015</c:v>
                </c:pt>
                <c:pt idx="56">
                  <c:v>30.542331361539375</c:v>
                </c:pt>
                <c:pt idx="57">
                  <c:v>24.924170777451643</c:v>
                </c:pt>
                <c:pt idx="58">
                  <c:v>25.111650142429234</c:v>
                </c:pt>
                <c:pt idx="59">
                  <c:v>30.788343176024682</c:v>
                </c:pt>
                <c:pt idx="60">
                  <c:v>8.8576713860893435</c:v>
                </c:pt>
                <c:pt idx="61">
                  <c:v>29.975243251477185</c:v>
                </c:pt>
                <c:pt idx="62">
                  <c:v>4.0000130394638322</c:v>
                </c:pt>
                <c:pt idx="63">
                  <c:v>12.838397659463512</c:v>
                </c:pt>
                <c:pt idx="64">
                  <c:v>14.801066485902782</c:v>
                </c:pt>
                <c:pt idx="65">
                  <c:v>31.489468076132134</c:v>
                </c:pt>
                <c:pt idx="66">
                  <c:v>24.35681100155584</c:v>
                </c:pt>
                <c:pt idx="67">
                  <c:v>25.4172765389837</c:v>
                </c:pt>
                <c:pt idx="68">
                  <c:v>20.158386509643794</c:v>
                </c:pt>
                <c:pt idx="69">
                  <c:v>13.144984851356529</c:v>
                </c:pt>
                <c:pt idx="70">
                  <c:v>13.797117703593804</c:v>
                </c:pt>
                <c:pt idx="71">
                  <c:v>9.9419527830233747</c:v>
                </c:pt>
                <c:pt idx="72">
                  <c:v>13.258269592199602</c:v>
                </c:pt>
                <c:pt idx="73">
                  <c:v>13.333583096813699</c:v>
                </c:pt>
                <c:pt idx="74">
                  <c:v>12.144633230854952</c:v>
                </c:pt>
                <c:pt idx="75">
                  <c:v>10.037693878936057</c:v>
                </c:pt>
                <c:pt idx="76">
                  <c:v>13.478340348459197</c:v>
                </c:pt>
                <c:pt idx="77">
                  <c:v>24.784184755519213</c:v>
                </c:pt>
                <c:pt idx="78">
                  <c:v>25.800097702700203</c:v>
                </c:pt>
                <c:pt idx="79">
                  <c:v>35.738573556264143</c:v>
                </c:pt>
                <c:pt idx="80">
                  <c:v>34.020594072756779</c:v>
                </c:pt>
                <c:pt idx="81">
                  <c:v>38.679242356501753</c:v>
                </c:pt>
                <c:pt idx="82">
                  <c:v>37.70070250301842</c:v>
                </c:pt>
                <c:pt idx="83">
                  <c:v>35.956933970697108</c:v>
                </c:pt>
                <c:pt idx="84">
                  <c:v>38.166231234335925</c:v>
                </c:pt>
                <c:pt idx="85">
                  <c:v>36.834467551567073</c:v>
                </c:pt>
                <c:pt idx="86">
                  <c:v>27.931469940176282</c:v>
                </c:pt>
                <c:pt idx="87">
                  <c:v>23.991152099266202</c:v>
                </c:pt>
                <c:pt idx="88">
                  <c:v>7.4024454843524525</c:v>
                </c:pt>
                <c:pt idx="89">
                  <c:v>26.831894543137278</c:v>
                </c:pt>
                <c:pt idx="90">
                  <c:v>28.810859482090837</c:v>
                </c:pt>
                <c:pt idx="91">
                  <c:v>19.294082595606337</c:v>
                </c:pt>
                <c:pt idx="92">
                  <c:v>19.293758911280086</c:v>
                </c:pt>
                <c:pt idx="93">
                  <c:v>42.418124171354279</c:v>
                </c:pt>
                <c:pt idx="94">
                  <c:v>43.650519396551054</c:v>
                </c:pt>
                <c:pt idx="95">
                  <c:v>10.630175390456262</c:v>
                </c:pt>
                <c:pt idx="96">
                  <c:v>31.725754244275869</c:v>
                </c:pt>
                <c:pt idx="97">
                  <c:v>24.900110976772257</c:v>
                </c:pt>
                <c:pt idx="98">
                  <c:v>33.442128652150437</c:v>
                </c:pt>
                <c:pt idx="99">
                  <c:v>44.028836685633493</c:v>
                </c:pt>
                <c:pt idx="100">
                  <c:v>37.172771220542188</c:v>
                </c:pt>
                <c:pt idx="101">
                  <c:v>31.015810828233533</c:v>
                </c:pt>
                <c:pt idx="102">
                  <c:v>6.7015717843462905</c:v>
                </c:pt>
                <c:pt idx="103">
                  <c:v>34.352000944429847</c:v>
                </c:pt>
                <c:pt idx="104">
                  <c:v>40.217197635467372</c:v>
                </c:pt>
                <c:pt idx="105">
                  <c:v>41.95761131977136</c:v>
                </c:pt>
                <c:pt idx="106">
                  <c:v>45.693711556249262</c:v>
                </c:pt>
                <c:pt idx="107">
                  <c:v>35.739508634925294</c:v>
                </c:pt>
                <c:pt idx="108">
                  <c:v>8.2123710135223416</c:v>
                </c:pt>
                <c:pt idx="109">
                  <c:v>9.5583694181222096</c:v>
                </c:pt>
                <c:pt idx="110">
                  <c:v>9.0078109605985919</c:v>
                </c:pt>
                <c:pt idx="111">
                  <c:v>25.84226634440607</c:v>
                </c:pt>
                <c:pt idx="112">
                  <c:v>8.857902998572099</c:v>
                </c:pt>
                <c:pt idx="113">
                  <c:v>28.238786727604502</c:v>
                </c:pt>
                <c:pt idx="114">
                  <c:v>45.184925482658372</c:v>
                </c:pt>
                <c:pt idx="115">
                  <c:v>47.268546664128962</c:v>
                </c:pt>
                <c:pt idx="116">
                  <c:v>34.40074659559172</c:v>
                </c:pt>
                <c:pt idx="117">
                  <c:v>19.248985738945127</c:v>
                </c:pt>
                <c:pt idx="118">
                  <c:v>35.822572682082473</c:v>
                </c:pt>
                <c:pt idx="119">
                  <c:v>40.488739741575458</c:v>
                </c:pt>
                <c:pt idx="120">
                  <c:v>41.277172067443871</c:v>
                </c:pt>
                <c:pt idx="121">
                  <c:v>26.921427223151152</c:v>
                </c:pt>
                <c:pt idx="122">
                  <c:v>32.852340515336401</c:v>
                </c:pt>
                <c:pt idx="123">
                  <c:v>19.332413064994753</c:v>
                </c:pt>
                <c:pt idx="124">
                  <c:v>38.446184867956056</c:v>
                </c:pt>
                <c:pt idx="125">
                  <c:v>32.385138800599762</c:v>
                </c:pt>
                <c:pt idx="126">
                  <c:v>47.394222535652162</c:v>
                </c:pt>
                <c:pt idx="127">
                  <c:v>43.192213254341446</c:v>
                </c:pt>
                <c:pt idx="128">
                  <c:v>47.785397458710754</c:v>
                </c:pt>
                <c:pt idx="129">
                  <c:v>44.343405023047382</c:v>
                </c:pt>
                <c:pt idx="130">
                  <c:v>47.926734891640059</c:v>
                </c:pt>
                <c:pt idx="131">
                  <c:v>36.63806944921982</c:v>
                </c:pt>
                <c:pt idx="132">
                  <c:v>39.127511611201435</c:v>
                </c:pt>
                <c:pt idx="133">
                  <c:v>42.703083502340142</c:v>
                </c:pt>
                <c:pt idx="134">
                  <c:v>44.913373247962681</c:v>
                </c:pt>
                <c:pt idx="135">
                  <c:v>43.542566220739154</c:v>
                </c:pt>
                <c:pt idx="136">
                  <c:v>46.411519198269986</c:v>
                </c:pt>
                <c:pt idx="137">
                  <c:v>45.31485891901697</c:v>
                </c:pt>
                <c:pt idx="138">
                  <c:v>47.655257722860767</c:v>
                </c:pt>
                <c:pt idx="139">
                  <c:v>42.376249658661322</c:v>
                </c:pt>
                <c:pt idx="140">
                  <c:v>41.288518809074382</c:v>
                </c:pt>
                <c:pt idx="141">
                  <c:v>30.513487412721457</c:v>
                </c:pt>
                <c:pt idx="142">
                  <c:v>17.867473793139663</c:v>
                </c:pt>
                <c:pt idx="143">
                  <c:v>15.339081849604819</c:v>
                </c:pt>
                <c:pt idx="144">
                  <c:v>35.759003254257664</c:v>
                </c:pt>
                <c:pt idx="145">
                  <c:v>19.41411763717192</c:v>
                </c:pt>
                <c:pt idx="146">
                  <c:v>41.969582164916538</c:v>
                </c:pt>
                <c:pt idx="147">
                  <c:v>48.090560776322974</c:v>
                </c:pt>
                <c:pt idx="148">
                  <c:v>51.497343624353313</c:v>
                </c:pt>
                <c:pt idx="149">
                  <c:v>46.296778748449583</c:v>
                </c:pt>
                <c:pt idx="150">
                  <c:v>47.493279601001809</c:v>
                </c:pt>
                <c:pt idx="151">
                  <c:v>48.680888484334744</c:v>
                </c:pt>
                <c:pt idx="152">
                  <c:v>40.033516227405386</c:v>
                </c:pt>
                <c:pt idx="153">
                  <c:v>46.64122036949658</c:v>
                </c:pt>
                <c:pt idx="154">
                  <c:v>22.083960160022727</c:v>
                </c:pt>
                <c:pt idx="155">
                  <c:v>31.218621184985757</c:v>
                </c:pt>
                <c:pt idx="156">
                  <c:v>39.689995139805262</c:v>
                </c:pt>
                <c:pt idx="157">
                  <c:v>26.78036161766682</c:v>
                </c:pt>
                <c:pt idx="158">
                  <c:v>18.240548721641559</c:v>
                </c:pt>
                <c:pt idx="159">
                  <c:v>39.046744789717557</c:v>
                </c:pt>
                <c:pt idx="160">
                  <c:v>49.584623074616886</c:v>
                </c:pt>
                <c:pt idx="161">
                  <c:v>48.649307011339452</c:v>
                </c:pt>
                <c:pt idx="162">
                  <c:v>36.639371072935809</c:v>
                </c:pt>
                <c:pt idx="163">
                  <c:v>47.613579119344017</c:v>
                </c:pt>
                <c:pt idx="164">
                  <c:v>40.45162979938295</c:v>
                </c:pt>
                <c:pt idx="165">
                  <c:v>46.749540765230961</c:v>
                </c:pt>
                <c:pt idx="166">
                  <c:v>44.893554832729279</c:v>
                </c:pt>
                <c:pt idx="167">
                  <c:v>45.279543114854611</c:v>
                </c:pt>
                <c:pt idx="168">
                  <c:v>46.789389696971924</c:v>
                </c:pt>
                <c:pt idx="169">
                  <c:v>47.894401630761955</c:v>
                </c:pt>
                <c:pt idx="170">
                  <c:v>29.055813080445915</c:v>
                </c:pt>
                <c:pt idx="171">
                  <c:v>21.048395750986021</c:v>
                </c:pt>
                <c:pt idx="172">
                  <c:v>36.884416167827752</c:v>
                </c:pt>
                <c:pt idx="173">
                  <c:v>36.391952083281801</c:v>
                </c:pt>
                <c:pt idx="174">
                  <c:v>35.558294345178979</c:v>
                </c:pt>
                <c:pt idx="175">
                  <c:v>28.85612471309263</c:v>
                </c:pt>
                <c:pt idx="176">
                  <c:v>10.627221798431794</c:v>
                </c:pt>
                <c:pt idx="177">
                  <c:v>11.293166186216846</c:v>
                </c:pt>
                <c:pt idx="178">
                  <c:v>51.705266044188789</c:v>
                </c:pt>
                <c:pt idx="179">
                  <c:v>48.681648266730022</c:v>
                </c:pt>
                <c:pt idx="180">
                  <c:v>12.292728003480745</c:v>
                </c:pt>
                <c:pt idx="181">
                  <c:v>46.443538859129184</c:v>
                </c:pt>
                <c:pt idx="182">
                  <c:v>48.828871487317549</c:v>
                </c:pt>
                <c:pt idx="183">
                  <c:v>37.798099132235834</c:v>
                </c:pt>
                <c:pt idx="184">
                  <c:v>38.736751593990519</c:v>
                </c:pt>
                <c:pt idx="185">
                  <c:v>47.84035634569323</c:v>
                </c:pt>
                <c:pt idx="186">
                  <c:v>43.075574932668253</c:v>
                </c:pt>
                <c:pt idx="187">
                  <c:v>47.358545777918444</c:v>
                </c:pt>
                <c:pt idx="188">
                  <c:v>50.172093318831109</c:v>
                </c:pt>
                <c:pt idx="189">
                  <c:v>49.272279482162205</c:v>
                </c:pt>
                <c:pt idx="190">
                  <c:v>48.703688376511757</c:v>
                </c:pt>
                <c:pt idx="191">
                  <c:v>47.375057157436274</c:v>
                </c:pt>
                <c:pt idx="192">
                  <c:v>47.063704208121408</c:v>
                </c:pt>
                <c:pt idx="193">
                  <c:v>46.751466170018475</c:v>
                </c:pt>
                <c:pt idx="194">
                  <c:v>46.079449655922026</c:v>
                </c:pt>
                <c:pt idx="195">
                  <c:v>44.545321660134832</c:v>
                </c:pt>
                <c:pt idx="196">
                  <c:v>46.176258478545044</c:v>
                </c:pt>
                <c:pt idx="197">
                  <c:v>45.606388875831506</c:v>
                </c:pt>
                <c:pt idx="198">
                  <c:v>45.69320504318695</c:v>
                </c:pt>
                <c:pt idx="199">
                  <c:v>38.855425764229651</c:v>
                </c:pt>
                <c:pt idx="200">
                  <c:v>37.483235877059116</c:v>
                </c:pt>
                <c:pt idx="201">
                  <c:v>44.415426801184736</c:v>
                </c:pt>
                <c:pt idx="202">
                  <c:v>33.681177252401717</c:v>
                </c:pt>
                <c:pt idx="203">
                  <c:v>42.554204433077871</c:v>
                </c:pt>
                <c:pt idx="204">
                  <c:v>44.154238943818797</c:v>
                </c:pt>
                <c:pt idx="205">
                  <c:v>23.911621895480955</c:v>
                </c:pt>
                <c:pt idx="206">
                  <c:v>48.519281883038317</c:v>
                </c:pt>
                <c:pt idx="207">
                  <c:v>47.490488290097773</c:v>
                </c:pt>
                <c:pt idx="208">
                  <c:v>40.13689056830416</c:v>
                </c:pt>
                <c:pt idx="209">
                  <c:v>27.817138849211151</c:v>
                </c:pt>
                <c:pt idx="210">
                  <c:v>44.334926929350218</c:v>
                </c:pt>
                <c:pt idx="211">
                  <c:v>45.303692338558797</c:v>
                </c:pt>
                <c:pt idx="212">
                  <c:v>45.247340140884027</c:v>
                </c:pt>
                <c:pt idx="213">
                  <c:v>45.260478641230506</c:v>
                </c:pt>
                <c:pt idx="214">
                  <c:v>42.232262750995886</c:v>
                </c:pt>
                <c:pt idx="215">
                  <c:v>41.757919239499081</c:v>
                </c:pt>
                <c:pt idx="216">
                  <c:v>39.770604116732436</c:v>
                </c:pt>
                <c:pt idx="217">
                  <c:v>40.834766980968993</c:v>
                </c:pt>
                <c:pt idx="218">
                  <c:v>43.280378445996291</c:v>
                </c:pt>
                <c:pt idx="219">
                  <c:v>42.942118715497791</c:v>
                </c:pt>
                <c:pt idx="220">
                  <c:v>42.161816429908178</c:v>
                </c:pt>
                <c:pt idx="221">
                  <c:v>39.369911738317697</c:v>
                </c:pt>
                <c:pt idx="222">
                  <c:v>37.537377387213802</c:v>
                </c:pt>
                <c:pt idx="223">
                  <c:v>38.824291185999236</c:v>
                </c:pt>
                <c:pt idx="224">
                  <c:v>30.100642531651559</c:v>
                </c:pt>
                <c:pt idx="225">
                  <c:v>27.227867390126207</c:v>
                </c:pt>
                <c:pt idx="226">
                  <c:v>33.188983114144492</c:v>
                </c:pt>
                <c:pt idx="227">
                  <c:v>30.059678259075103</c:v>
                </c:pt>
                <c:pt idx="228">
                  <c:v>23.978264301159225</c:v>
                </c:pt>
                <c:pt idx="229">
                  <c:v>32.336172586659004</c:v>
                </c:pt>
                <c:pt idx="230">
                  <c:v>33.549453986499188</c:v>
                </c:pt>
                <c:pt idx="231">
                  <c:v>40.440990191109492</c:v>
                </c:pt>
                <c:pt idx="232">
                  <c:v>26.002343487137036</c:v>
                </c:pt>
                <c:pt idx="233">
                  <c:v>22.831956757470611</c:v>
                </c:pt>
                <c:pt idx="234">
                  <c:v>39.919720330461701</c:v>
                </c:pt>
                <c:pt idx="235">
                  <c:v>36.948243047116428</c:v>
                </c:pt>
                <c:pt idx="236">
                  <c:v>26.899084180341344</c:v>
                </c:pt>
                <c:pt idx="237">
                  <c:v>35.729203518848692</c:v>
                </c:pt>
                <c:pt idx="238">
                  <c:v>38.499108529139868</c:v>
                </c:pt>
                <c:pt idx="239">
                  <c:v>37.344325980532332</c:v>
                </c:pt>
                <c:pt idx="240">
                  <c:v>26.500162584416643</c:v>
                </c:pt>
                <c:pt idx="241">
                  <c:v>37.250128956399024</c:v>
                </c:pt>
                <c:pt idx="242">
                  <c:v>20.512018512805167</c:v>
                </c:pt>
                <c:pt idx="243">
                  <c:v>32.989264375416212</c:v>
                </c:pt>
                <c:pt idx="244">
                  <c:v>31.761400034884293</c:v>
                </c:pt>
                <c:pt idx="245">
                  <c:v>29.551190113779729</c:v>
                </c:pt>
                <c:pt idx="246">
                  <c:v>34.30019989971133</c:v>
                </c:pt>
                <c:pt idx="247">
                  <c:v>30.59711649820666</c:v>
                </c:pt>
                <c:pt idx="248">
                  <c:v>35.000789185216846</c:v>
                </c:pt>
                <c:pt idx="249">
                  <c:v>29.887167798536776</c:v>
                </c:pt>
                <c:pt idx="250">
                  <c:v>27.299469338213083</c:v>
                </c:pt>
                <c:pt idx="251">
                  <c:v>20.309417053638963</c:v>
                </c:pt>
                <c:pt idx="252">
                  <c:v>34.712088364790766</c:v>
                </c:pt>
                <c:pt idx="253">
                  <c:v>33.748979969684299</c:v>
                </c:pt>
                <c:pt idx="254">
                  <c:v>24.293213411873914</c:v>
                </c:pt>
                <c:pt idx="255">
                  <c:v>11.803436647134834</c:v>
                </c:pt>
                <c:pt idx="256">
                  <c:v>26.712133642985012</c:v>
                </c:pt>
                <c:pt idx="257">
                  <c:v>29.085731928095232</c:v>
                </c:pt>
                <c:pt idx="258">
                  <c:v>26.886766281431473</c:v>
                </c:pt>
                <c:pt idx="259">
                  <c:v>33.844389716944036</c:v>
                </c:pt>
                <c:pt idx="260">
                  <c:v>33.903692480450438</c:v>
                </c:pt>
                <c:pt idx="261">
                  <c:v>32.397259632490211</c:v>
                </c:pt>
                <c:pt idx="262">
                  <c:v>33.080801120204015</c:v>
                </c:pt>
                <c:pt idx="263">
                  <c:v>32.194283091847552</c:v>
                </c:pt>
                <c:pt idx="264">
                  <c:v>31.079664808580286</c:v>
                </c:pt>
                <c:pt idx="265">
                  <c:v>20.106136036255112</c:v>
                </c:pt>
                <c:pt idx="266">
                  <c:v>14.652291333937525</c:v>
                </c:pt>
                <c:pt idx="267">
                  <c:v>26.960031620353391</c:v>
                </c:pt>
                <c:pt idx="268">
                  <c:v>23.397596621319565</c:v>
                </c:pt>
                <c:pt idx="269">
                  <c:v>15.161170039156064</c:v>
                </c:pt>
                <c:pt idx="270">
                  <c:v>16.686983445802923</c:v>
                </c:pt>
                <c:pt idx="271">
                  <c:v>19.259142217187335</c:v>
                </c:pt>
                <c:pt idx="272">
                  <c:v>20.662077531873962</c:v>
                </c:pt>
                <c:pt idx="273">
                  <c:v>26.232831769696773</c:v>
                </c:pt>
                <c:pt idx="274">
                  <c:v>27.988487047191743</c:v>
                </c:pt>
                <c:pt idx="275">
                  <c:v>26.80910723809103</c:v>
                </c:pt>
                <c:pt idx="276">
                  <c:v>28.163762913479282</c:v>
                </c:pt>
                <c:pt idx="277">
                  <c:v>28.411642747171246</c:v>
                </c:pt>
                <c:pt idx="278">
                  <c:v>10.368525872513672</c:v>
                </c:pt>
                <c:pt idx="279">
                  <c:v>20.922634134415656</c:v>
                </c:pt>
                <c:pt idx="280">
                  <c:v>13.628135471576696</c:v>
                </c:pt>
                <c:pt idx="281">
                  <c:v>26.079791117733908</c:v>
                </c:pt>
                <c:pt idx="282">
                  <c:v>21.800384121867403</c:v>
                </c:pt>
                <c:pt idx="283">
                  <c:v>17.632761308944382</c:v>
                </c:pt>
                <c:pt idx="284">
                  <c:v>20.454615476859686</c:v>
                </c:pt>
                <c:pt idx="285">
                  <c:v>17.910522259063374</c:v>
                </c:pt>
                <c:pt idx="286">
                  <c:v>16.922707330406496</c:v>
                </c:pt>
                <c:pt idx="287">
                  <c:v>24.458063692498971</c:v>
                </c:pt>
                <c:pt idx="288">
                  <c:v>23.037646222432386</c:v>
                </c:pt>
                <c:pt idx="289">
                  <c:v>15.337665626297561</c:v>
                </c:pt>
                <c:pt idx="290">
                  <c:v>22.802206902357273</c:v>
                </c:pt>
                <c:pt idx="291">
                  <c:v>12.009326907797538</c:v>
                </c:pt>
                <c:pt idx="292">
                  <c:v>5.344160499226132</c:v>
                </c:pt>
                <c:pt idx="293">
                  <c:v>12.497960039216919</c:v>
                </c:pt>
                <c:pt idx="294">
                  <c:v>21.793749628034792</c:v>
                </c:pt>
                <c:pt idx="295">
                  <c:v>13.52489091424378</c:v>
                </c:pt>
                <c:pt idx="296">
                  <c:v>16.22933177370961</c:v>
                </c:pt>
                <c:pt idx="297">
                  <c:v>16.311366037031561</c:v>
                </c:pt>
                <c:pt idx="298">
                  <c:v>10.62844266914955</c:v>
                </c:pt>
                <c:pt idx="299">
                  <c:v>10.25896500789554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0.906132877751609</c:v>
                </c:pt>
                <c:pt idx="312">
                  <c:v>7.1971294449020151</c:v>
                </c:pt>
                <c:pt idx="313">
                  <c:v>16.102642708410663</c:v>
                </c:pt>
                <c:pt idx="314">
                  <c:v>17.428063554513933</c:v>
                </c:pt>
                <c:pt idx="315">
                  <c:v>17.62464356032768</c:v>
                </c:pt>
                <c:pt idx="316">
                  <c:v>16.982614596879174</c:v>
                </c:pt>
                <c:pt idx="317">
                  <c:v>7.0221630639289012</c:v>
                </c:pt>
                <c:pt idx="318">
                  <c:v>9.5844729377366544</c:v>
                </c:pt>
                <c:pt idx="319">
                  <c:v>17.167665506492096</c:v>
                </c:pt>
                <c:pt idx="320">
                  <c:v>10.043661394669115</c:v>
                </c:pt>
                <c:pt idx="321">
                  <c:v>10.409720349513318</c:v>
                </c:pt>
                <c:pt idx="322">
                  <c:v>6.8276205993252397</c:v>
                </c:pt>
                <c:pt idx="323">
                  <c:v>10.867231905975469</c:v>
                </c:pt>
                <c:pt idx="324">
                  <c:v>2.9536643924995234</c:v>
                </c:pt>
                <c:pt idx="325">
                  <c:v>6.5839224561478877</c:v>
                </c:pt>
                <c:pt idx="326">
                  <c:v>9.0413091644813584</c:v>
                </c:pt>
                <c:pt idx="327">
                  <c:v>10.034355608105811</c:v>
                </c:pt>
                <c:pt idx="328">
                  <c:v>4.8296913606095178</c:v>
                </c:pt>
                <c:pt idx="329">
                  <c:v>9.248677224485844</c:v>
                </c:pt>
                <c:pt idx="330">
                  <c:v>10.426629373654601</c:v>
                </c:pt>
                <c:pt idx="331">
                  <c:v>8.8723784927026923</c:v>
                </c:pt>
                <c:pt idx="332">
                  <c:v>11.839249840915505</c:v>
                </c:pt>
                <c:pt idx="333">
                  <c:v>3.5470460042848693</c:v>
                </c:pt>
                <c:pt idx="334">
                  <c:v>3.1767908534228595</c:v>
                </c:pt>
                <c:pt idx="335">
                  <c:v>5.3052930789850095</c:v>
                </c:pt>
                <c:pt idx="336">
                  <c:v>5.9595739976808373</c:v>
                </c:pt>
                <c:pt idx="337">
                  <c:v>11.623434788007863</c:v>
                </c:pt>
                <c:pt idx="338">
                  <c:v>14.545663409095567</c:v>
                </c:pt>
                <c:pt idx="339">
                  <c:v>8.1071082221371551</c:v>
                </c:pt>
                <c:pt idx="340">
                  <c:v>12.943372060478364</c:v>
                </c:pt>
                <c:pt idx="341">
                  <c:v>3.803620137623505</c:v>
                </c:pt>
                <c:pt idx="342">
                  <c:v>4.5002687793063672</c:v>
                </c:pt>
                <c:pt idx="343">
                  <c:v>9.1747569898153909</c:v>
                </c:pt>
                <c:pt idx="344">
                  <c:v>11.160755482811338</c:v>
                </c:pt>
                <c:pt idx="345">
                  <c:v>3.7284308508175728</c:v>
                </c:pt>
                <c:pt idx="346">
                  <c:v>4.8430814902720769</c:v>
                </c:pt>
                <c:pt idx="347">
                  <c:v>12.925037152510484</c:v>
                </c:pt>
                <c:pt idx="348">
                  <c:v>5.0712012519177767</c:v>
                </c:pt>
                <c:pt idx="349">
                  <c:v>4.286415707157297</c:v>
                </c:pt>
                <c:pt idx="350">
                  <c:v>3.186050271308063</c:v>
                </c:pt>
                <c:pt idx="351">
                  <c:v>12.806597452841286</c:v>
                </c:pt>
                <c:pt idx="352">
                  <c:v>10.656372670072187</c:v>
                </c:pt>
                <c:pt idx="353">
                  <c:v>4.3093716322134492</c:v>
                </c:pt>
                <c:pt idx="354">
                  <c:v>13.551699050189152</c:v>
                </c:pt>
                <c:pt idx="355">
                  <c:v>10.005596017095195</c:v>
                </c:pt>
                <c:pt idx="356">
                  <c:v>10.755689367483729</c:v>
                </c:pt>
                <c:pt idx="357">
                  <c:v>14.298664931135244</c:v>
                </c:pt>
                <c:pt idx="358">
                  <c:v>8.5844059927235161</c:v>
                </c:pt>
                <c:pt idx="359">
                  <c:v>14.109716197594992</c:v>
                </c:pt>
                <c:pt idx="360">
                  <c:v>6.2822590862645233</c:v>
                </c:pt>
                <c:pt idx="361">
                  <c:v>13.25459576630529</c:v>
                </c:pt>
                <c:pt idx="362">
                  <c:v>7.768593242007511</c:v>
                </c:pt>
                <c:pt idx="363">
                  <c:v>10.089162772429816</c:v>
                </c:pt>
                <c:pt idx="364">
                  <c:v>8.2815767052813971</c:v>
                </c:pt>
                <c:pt idx="365">
                  <c:v>10.339592920259806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226984"/>
        <c:axId val="413227376"/>
      </c:lineChart>
      <c:dateAx>
        <c:axId val="413226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227376"/>
        <c:crosses val="autoZero"/>
        <c:auto val="1"/>
        <c:lblOffset val="100"/>
        <c:baseTimeUnit val="days"/>
        <c:majorUnit val="1"/>
        <c:majorTimeUnit val="months"/>
      </c:dateAx>
      <c:valAx>
        <c:axId val="4132273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2269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6.612144273641532E-2</c:v>
                </c:pt>
                <c:pt idx="1">
                  <c:v>6.6143666741148494E-2</c:v>
                </c:pt>
                <c:pt idx="2">
                  <c:v>6.6165890228696594E-2</c:v>
                </c:pt>
                <c:pt idx="3">
                  <c:v>6.6188113199071724E-2</c:v>
                </c:pt>
                <c:pt idx="4">
                  <c:v>6.6210335652285873E-2</c:v>
                </c:pt>
                <c:pt idx="5">
                  <c:v>6.6232557588351032E-2</c:v>
                </c:pt>
                <c:pt idx="6">
                  <c:v>6.6254779007279302E-2</c:v>
                </c:pt>
                <c:pt idx="7">
                  <c:v>6.6276999909082673E-2</c:v>
                </c:pt>
                <c:pt idx="8">
                  <c:v>6.6299220293773248E-2</c:v>
                </c:pt>
                <c:pt idx="9">
                  <c:v>6.6321440161362905E-2</c:v>
                </c:pt>
                <c:pt idx="10">
                  <c:v>6.6343659511863856E-2</c:v>
                </c:pt>
                <c:pt idx="11">
                  <c:v>6.6365878345288093E-2</c:v>
                </c:pt>
                <c:pt idx="12">
                  <c:v>6.6388096661647494E-2</c:v>
                </c:pt>
                <c:pt idx="13">
                  <c:v>6.6410314460954384E-2</c:v>
                </c:pt>
                <c:pt idx="14">
                  <c:v>6.643253174322053E-2</c:v>
                </c:pt>
                <c:pt idx="15">
                  <c:v>6.6454748508458034E-2</c:v>
                </c:pt>
                <c:pt idx="16">
                  <c:v>6.6476964756678997E-2</c:v>
                </c:pt>
                <c:pt idx="17">
                  <c:v>6.649918048789541E-2</c:v>
                </c:pt>
                <c:pt idx="18">
                  <c:v>6.6521395702119263E-2</c:v>
                </c:pt>
                <c:pt idx="19">
                  <c:v>6.6543610399362657E-2</c:v>
                </c:pt>
                <c:pt idx="20">
                  <c:v>6.6565824579637584E-2</c:v>
                </c:pt>
                <c:pt idx="21">
                  <c:v>6.6588038242956032E-2</c:v>
                </c:pt>
                <c:pt idx="22">
                  <c:v>6.6610251389330105E-2</c:v>
                </c:pt>
                <c:pt idx="23">
                  <c:v>6.6632464018771903E-2</c:v>
                </c:pt>
                <c:pt idx="24">
                  <c:v>6.6654676131293306E-2</c:v>
                </c:pt>
                <c:pt idx="25">
                  <c:v>6.6676887726906414E-2</c:v>
                </c:pt>
                <c:pt idx="26">
                  <c:v>6.6699098805623219E-2</c:v>
                </c:pt>
                <c:pt idx="27">
                  <c:v>6.6721309367455711E-2</c:v>
                </c:pt>
                <c:pt idx="28">
                  <c:v>6.6743519412416102E-2</c:v>
                </c:pt>
                <c:pt idx="29">
                  <c:v>6.6765728940516272E-2</c:v>
                </c:pt>
                <c:pt idx="30">
                  <c:v>6.6787937951768211E-2</c:v>
                </c:pt>
                <c:pt idx="31">
                  <c:v>6.6810146446184021E-2</c:v>
                </c:pt>
                <c:pt idx="32">
                  <c:v>6.6832354423775803E-2</c:v>
                </c:pt>
                <c:pt idx="33">
                  <c:v>6.6854561884555436E-2</c:v>
                </c:pt>
                <c:pt idx="34">
                  <c:v>6.6876768828535021E-2</c:v>
                </c:pt>
                <c:pt idx="35">
                  <c:v>6.6898975255726661E-2</c:v>
                </c:pt>
                <c:pt idx="36">
                  <c:v>6.6921181166142235E-2</c:v>
                </c:pt>
                <c:pt idx="37">
                  <c:v>6.6943386559793733E-2</c:v>
                </c:pt>
                <c:pt idx="38">
                  <c:v>6.6965591436693367E-2</c:v>
                </c:pt>
                <c:pt idx="39">
                  <c:v>6.6987795796853128E-2</c:v>
                </c:pt>
                <c:pt idx="40">
                  <c:v>6.7009999640284895E-2</c:v>
                </c:pt>
                <c:pt idx="41">
                  <c:v>6.7032202967000881E-2</c:v>
                </c:pt>
                <c:pt idx="42">
                  <c:v>6.7054405777012965E-2</c:v>
                </c:pt>
                <c:pt idx="43">
                  <c:v>6.7076608070333249E-2</c:v>
                </c:pt>
                <c:pt idx="44">
                  <c:v>6.7098809846973723E-2</c:v>
                </c:pt>
                <c:pt idx="45">
                  <c:v>6.7121011106946377E-2</c:v>
                </c:pt>
                <c:pt idx="46">
                  <c:v>6.7143211850263312E-2</c:v>
                </c:pt>
                <c:pt idx="47">
                  <c:v>6.716541207693652E-2</c:v>
                </c:pt>
                <c:pt idx="48">
                  <c:v>6.7187611786977991E-2</c:v>
                </c:pt>
                <c:pt idx="49">
                  <c:v>6.7209810980399826E-2</c:v>
                </c:pt>
                <c:pt idx="50">
                  <c:v>6.7232009657214015E-2</c:v>
                </c:pt>
                <c:pt idx="51">
                  <c:v>6.7254207817432549E-2</c:v>
                </c:pt>
                <c:pt idx="52">
                  <c:v>6.7276405461067418E-2</c:v>
                </c:pt>
                <c:pt idx="53">
                  <c:v>6.7298602588130724E-2</c:v>
                </c:pt>
                <c:pt idx="54">
                  <c:v>6.7320799198634457E-2</c:v>
                </c:pt>
                <c:pt idx="55">
                  <c:v>6.7342995292590607E-2</c:v>
                </c:pt>
                <c:pt idx="56">
                  <c:v>6.7365190870011277E-2</c:v>
                </c:pt>
                <c:pt idx="57">
                  <c:v>6.7387385930908345E-2</c:v>
                </c:pt>
                <c:pt idx="58">
                  <c:v>6.7409580475294023E-2</c:v>
                </c:pt>
                <c:pt idx="59">
                  <c:v>6.7431774503180192E-2</c:v>
                </c:pt>
                <c:pt idx="60">
                  <c:v>6.7453968014578841E-2</c:v>
                </c:pt>
                <c:pt idx="61">
                  <c:v>6.7476161009502073E-2</c:v>
                </c:pt>
                <c:pt idx="62">
                  <c:v>6.7498353487961987E-2</c:v>
                </c:pt>
                <c:pt idx="63">
                  <c:v>6.7520545449970465E-2</c:v>
                </c:pt>
                <c:pt idx="64">
                  <c:v>6.7542736895539496E-2</c:v>
                </c:pt>
                <c:pt idx="65">
                  <c:v>6.7564927824681292E-2</c:v>
                </c:pt>
                <c:pt idx="66">
                  <c:v>6.7587118237407623E-2</c:v>
                </c:pt>
                <c:pt idx="67">
                  <c:v>6.76093081337307E-2</c:v>
                </c:pt>
                <c:pt idx="68">
                  <c:v>6.7631497513662514E-2</c:v>
                </c:pt>
                <c:pt idx="69">
                  <c:v>6.7653686377214944E-2</c:v>
                </c:pt>
                <c:pt idx="70">
                  <c:v>6.7675874724400203E-2</c:v>
                </c:pt>
                <c:pt idx="71">
                  <c:v>6.7698062555230171E-2</c:v>
                </c:pt>
                <c:pt idx="72">
                  <c:v>6.7720249869716836E-2</c:v>
                </c:pt>
                <c:pt idx="73">
                  <c:v>6.7742436667872302E-2</c:v>
                </c:pt>
                <c:pt idx="74">
                  <c:v>6.7764622949708669E-2</c:v>
                </c:pt>
                <c:pt idx="75">
                  <c:v>6.7786808715237706E-2</c:v>
                </c:pt>
                <c:pt idx="76">
                  <c:v>6.7808993964471626E-2</c:v>
                </c:pt>
                <c:pt idx="77">
                  <c:v>6.7831178697422417E-2</c:v>
                </c:pt>
                <c:pt idx="78">
                  <c:v>6.7853362914102072E-2</c:v>
                </c:pt>
                <c:pt idx="79">
                  <c:v>6.787554661452247E-2</c:v>
                </c:pt>
                <c:pt idx="80">
                  <c:v>6.7897729798695933E-2</c:v>
                </c:pt>
                <c:pt idx="81">
                  <c:v>6.7919912466634119E-2</c:v>
                </c:pt>
                <c:pt idx="82">
                  <c:v>6.7942094618349352E-2</c:v>
                </c:pt>
                <c:pt idx="83">
                  <c:v>6.7964276253853401E-2</c:v>
                </c:pt>
                <c:pt idx="84">
                  <c:v>6.7986457373158476E-2</c:v>
                </c:pt>
                <c:pt idx="85">
                  <c:v>6.8008637976276459E-2</c:v>
                </c:pt>
                <c:pt idx="86">
                  <c:v>6.8030818063219339E-2</c:v>
                </c:pt>
                <c:pt idx="87">
                  <c:v>6.8052997633999329E-2</c:v>
                </c:pt>
                <c:pt idx="88">
                  <c:v>6.8075176688628197E-2</c:v>
                </c:pt>
                <c:pt idx="89">
                  <c:v>6.8097355227118156E-2</c:v>
                </c:pt>
                <c:pt idx="90">
                  <c:v>6.8119533249480974E-2</c:v>
                </c:pt>
                <c:pt idx="91">
                  <c:v>6.8141710755728974E-2</c:v>
                </c:pt>
                <c:pt idx="92">
                  <c:v>6.8163887745873925E-2</c:v>
                </c:pt>
                <c:pt idx="93">
                  <c:v>6.8186064219927928E-2</c:v>
                </c:pt>
                <c:pt idx="94">
                  <c:v>6.8208240177902973E-2</c:v>
                </c:pt>
                <c:pt idx="95">
                  <c:v>6.8230415619811052E-2</c:v>
                </c:pt>
                <c:pt idx="96">
                  <c:v>6.8252590545664266E-2</c:v>
                </c:pt>
                <c:pt idx="97">
                  <c:v>6.8274764955474493E-2</c:v>
                </c:pt>
                <c:pt idx="98">
                  <c:v>6.8296938849253835E-2</c:v>
                </c:pt>
                <c:pt idx="99">
                  <c:v>6.8319112227014395E-2</c:v>
                </c:pt>
                <c:pt idx="100">
                  <c:v>6.8341285088767939E-2</c:v>
                </c:pt>
                <c:pt idx="101">
                  <c:v>6.836345743452657E-2</c:v>
                </c:pt>
                <c:pt idx="102">
                  <c:v>6.8385629264302389E-2</c:v>
                </c:pt>
                <c:pt idx="103">
                  <c:v>6.8407800578107275E-2</c:v>
                </c:pt>
                <c:pt idx="104">
                  <c:v>6.842997137595333E-2</c:v>
                </c:pt>
                <c:pt idx="105">
                  <c:v>6.8452141657852544E-2</c:v>
                </c:pt>
                <c:pt idx="106">
                  <c:v>6.8474311423816908E-2</c:v>
                </c:pt>
                <c:pt idx="107">
                  <c:v>6.8496480673858412E-2</c:v>
                </c:pt>
                <c:pt idx="108">
                  <c:v>6.8518649407989157E-2</c:v>
                </c:pt>
                <c:pt idx="109">
                  <c:v>6.8540817626221023E-2</c:v>
                </c:pt>
                <c:pt idx="110">
                  <c:v>6.8562985328566001E-2</c:v>
                </c:pt>
                <c:pt idx="111">
                  <c:v>6.8585152515036191E-2</c:v>
                </c:pt>
                <c:pt idx="112">
                  <c:v>6.8607319185643584E-2</c:v>
                </c:pt>
                <c:pt idx="113">
                  <c:v>6.862948534040017E-2</c:v>
                </c:pt>
                <c:pt idx="114">
                  <c:v>6.8651650979317941E-2</c:v>
                </c:pt>
                <c:pt idx="115">
                  <c:v>6.8673816102408997E-2</c:v>
                </c:pt>
                <c:pt idx="116">
                  <c:v>6.8695980709685106E-2</c:v>
                </c:pt>
                <c:pt idx="117">
                  <c:v>6.8718144801158593E-2</c:v>
                </c:pt>
                <c:pt idx="118">
                  <c:v>6.8740308376841114E-2</c:v>
                </c:pt>
                <c:pt idx="119">
                  <c:v>6.8762471436744993E-2</c:v>
                </c:pt>
                <c:pt idx="120">
                  <c:v>6.8784633980881998E-2</c:v>
                </c:pt>
                <c:pt idx="121">
                  <c:v>6.8806796009264232E-2</c:v>
                </c:pt>
                <c:pt idx="122">
                  <c:v>6.8828957521903794E-2</c:v>
                </c:pt>
                <c:pt idx="123">
                  <c:v>6.8851118518812454E-2</c:v>
                </c:pt>
                <c:pt idx="124">
                  <c:v>6.8873279000002424E-2</c:v>
                </c:pt>
                <c:pt idx="125">
                  <c:v>6.8895438965485584E-2</c:v>
                </c:pt>
                <c:pt idx="126">
                  <c:v>6.8917598415273923E-2</c:v>
                </c:pt>
                <c:pt idx="127">
                  <c:v>6.8939757349379543E-2</c:v>
                </c:pt>
                <c:pt idx="128">
                  <c:v>6.8961915767814436E-2</c:v>
                </c:pt>
                <c:pt idx="129">
                  <c:v>6.8984073670590479E-2</c:v>
                </c:pt>
                <c:pt idx="130">
                  <c:v>6.9006231057719886E-2</c:v>
                </c:pt>
                <c:pt idx="131">
                  <c:v>6.9028387929214424E-2</c:v>
                </c:pt>
                <c:pt idx="132">
                  <c:v>6.9050544285086196E-2</c:v>
                </c:pt>
                <c:pt idx="133">
                  <c:v>6.9072700125347192E-2</c:v>
                </c:pt>
                <c:pt idx="134">
                  <c:v>6.9094855450009401E-2</c:v>
                </c:pt>
                <c:pt idx="135">
                  <c:v>6.9117010259084927E-2</c:v>
                </c:pt>
                <c:pt idx="136">
                  <c:v>6.9139164552585647E-2</c:v>
                </c:pt>
                <c:pt idx="137">
                  <c:v>6.9161318330523552E-2</c:v>
                </c:pt>
                <c:pt idx="138">
                  <c:v>6.9183471592910634E-2</c:v>
                </c:pt>
                <c:pt idx="139">
                  <c:v>6.9205624339758992E-2</c:v>
                </c:pt>
                <c:pt idx="140">
                  <c:v>6.9227776571080618E-2</c:v>
                </c:pt>
                <c:pt idx="141">
                  <c:v>6.9249928286887391E-2</c:v>
                </c:pt>
                <c:pt idx="142">
                  <c:v>6.9272079487191413E-2</c:v>
                </c:pt>
                <c:pt idx="143">
                  <c:v>6.9294230172004673E-2</c:v>
                </c:pt>
                <c:pt idx="144">
                  <c:v>6.9316380341339051E-2</c:v>
                </c:pt>
                <c:pt idx="145">
                  <c:v>6.9338529995206649E-2</c:v>
                </c:pt>
                <c:pt idx="146">
                  <c:v>6.9360679133619457E-2</c:v>
                </c:pt>
                <c:pt idx="147">
                  <c:v>6.9382827756589466E-2</c:v>
                </c:pt>
                <c:pt idx="148">
                  <c:v>6.9404975864128665E-2</c:v>
                </c:pt>
                <c:pt idx="149">
                  <c:v>6.9427123456249046E-2</c:v>
                </c:pt>
                <c:pt idx="150">
                  <c:v>6.9449270532962598E-2</c:v>
                </c:pt>
                <c:pt idx="151">
                  <c:v>6.9471417094281313E-2</c:v>
                </c:pt>
                <c:pt idx="152">
                  <c:v>6.949356314021729E-2</c:v>
                </c:pt>
                <c:pt idx="153">
                  <c:v>6.95157086707823E-2</c:v>
                </c:pt>
                <c:pt idx="154">
                  <c:v>6.9537853685988443E-2</c:v>
                </c:pt>
                <c:pt idx="155">
                  <c:v>6.9559998185847821E-2</c:v>
                </c:pt>
                <c:pt idx="156">
                  <c:v>6.9582142170372313E-2</c:v>
                </c:pt>
                <c:pt idx="157">
                  <c:v>6.960428563957391E-2</c:v>
                </c:pt>
                <c:pt idx="158">
                  <c:v>6.9626428593464601E-2</c:v>
                </c:pt>
                <c:pt idx="159">
                  <c:v>6.9648571032056489E-2</c:v>
                </c:pt>
                <c:pt idx="160">
                  <c:v>6.9670712955361452E-2</c:v>
                </c:pt>
                <c:pt idx="161">
                  <c:v>6.9692854363391482E-2</c:v>
                </c:pt>
                <c:pt idx="162">
                  <c:v>6.9714995256158568E-2</c:v>
                </c:pt>
                <c:pt idx="163">
                  <c:v>6.9737135633674813E-2</c:v>
                </c:pt>
                <c:pt idx="164">
                  <c:v>6.9759275495952094E-2</c:v>
                </c:pt>
                <c:pt idx="165">
                  <c:v>6.9781414843002515E-2</c:v>
                </c:pt>
                <c:pt idx="166">
                  <c:v>6.9803553674837843E-2</c:v>
                </c:pt>
                <c:pt idx="167">
                  <c:v>6.982569199147029E-2</c:v>
                </c:pt>
                <c:pt idx="168">
                  <c:v>6.9847829792911736E-2</c:v>
                </c:pt>
                <c:pt idx="169">
                  <c:v>6.9869967079174283E-2</c:v>
                </c:pt>
                <c:pt idx="170">
                  <c:v>6.9892103850269699E-2</c:v>
                </c:pt>
                <c:pt idx="171">
                  <c:v>6.9914240106210196E-2</c:v>
                </c:pt>
                <c:pt idx="172">
                  <c:v>6.9936375847007765E-2</c:v>
                </c:pt>
                <c:pt idx="173">
                  <c:v>6.9958511072674173E-2</c:v>
                </c:pt>
                <c:pt idx="174">
                  <c:v>6.9980645783221634E-2</c:v>
                </c:pt>
                <c:pt idx="175">
                  <c:v>7.0002779978661916E-2</c:v>
                </c:pt>
                <c:pt idx="176">
                  <c:v>7.0024913659007232E-2</c:v>
                </c:pt>
                <c:pt idx="177">
                  <c:v>7.004704682426946E-2</c:v>
                </c:pt>
                <c:pt idx="178">
                  <c:v>7.0069179474460591E-2</c:v>
                </c:pt>
                <c:pt idx="179">
                  <c:v>7.0091311609592616E-2</c:v>
                </c:pt>
                <c:pt idx="180">
                  <c:v>7.0113443229677525E-2</c:v>
                </c:pt>
                <c:pt idx="181">
                  <c:v>7.0135574334727308E-2</c:v>
                </c:pt>
                <c:pt idx="182">
                  <c:v>7.0157704924753955E-2</c:v>
                </c:pt>
                <c:pt idx="183">
                  <c:v>7.0179834999769347E-2</c:v>
                </c:pt>
                <c:pt idx="184">
                  <c:v>7.0201964559785696E-2</c:v>
                </c:pt>
                <c:pt idx="185">
                  <c:v>7.0224093604814769E-2</c:v>
                </c:pt>
                <c:pt idx="186">
                  <c:v>7.0246222134868669E-2</c:v>
                </c:pt>
                <c:pt idx="187">
                  <c:v>7.0268350149959385E-2</c:v>
                </c:pt>
                <c:pt idx="188">
                  <c:v>7.0290477650098798E-2</c:v>
                </c:pt>
                <c:pt idx="189">
                  <c:v>7.0312604635299009E-2</c:v>
                </c:pt>
                <c:pt idx="190">
                  <c:v>7.0334731105571896E-2</c:v>
                </c:pt>
                <c:pt idx="191">
                  <c:v>7.0356857060929562E-2</c:v>
                </c:pt>
                <c:pt idx="192">
                  <c:v>7.0378982501383885E-2</c:v>
                </c:pt>
                <c:pt idx="193">
                  <c:v>7.0401107426946857E-2</c:v>
                </c:pt>
                <c:pt idx="194">
                  <c:v>7.0423231837630468E-2</c:v>
                </c:pt>
                <c:pt idx="195">
                  <c:v>7.0445355733446818E-2</c:v>
                </c:pt>
                <c:pt idx="196">
                  <c:v>7.0467479114407677E-2</c:v>
                </c:pt>
                <c:pt idx="197">
                  <c:v>7.0489601980525257E-2</c:v>
                </c:pt>
                <c:pt idx="198">
                  <c:v>7.0511724331811326E-2</c:v>
                </c:pt>
                <c:pt idx="199">
                  <c:v>7.0533846168277986E-2</c:v>
                </c:pt>
                <c:pt idx="200">
                  <c:v>7.0555967489937227E-2</c:v>
                </c:pt>
                <c:pt idx="201">
                  <c:v>7.0578088296801039E-2</c:v>
                </c:pt>
                <c:pt idx="202">
                  <c:v>7.0600208588881302E-2</c:v>
                </c:pt>
                <c:pt idx="203">
                  <c:v>7.0622328366190007E-2</c:v>
                </c:pt>
                <c:pt idx="204">
                  <c:v>7.0644447628739254E-2</c:v>
                </c:pt>
                <c:pt idx="205">
                  <c:v>7.0666566376540924E-2</c:v>
                </c:pt>
                <c:pt idx="206">
                  <c:v>7.0688684609607005E-2</c:v>
                </c:pt>
                <c:pt idx="207">
                  <c:v>7.071080232794949E-2</c:v>
                </c:pt>
                <c:pt idx="208">
                  <c:v>7.0732919531580368E-2</c:v>
                </c:pt>
                <c:pt idx="209">
                  <c:v>7.075503622051163E-2</c:v>
                </c:pt>
                <c:pt idx="210">
                  <c:v>7.0777152394755155E-2</c:v>
                </c:pt>
                <c:pt idx="211">
                  <c:v>7.0799268054323045E-2</c:v>
                </c:pt>
                <c:pt idx="212">
                  <c:v>7.0821383199227289E-2</c:v>
                </c:pt>
                <c:pt idx="213">
                  <c:v>7.0843497829479657E-2</c:v>
                </c:pt>
                <c:pt idx="214">
                  <c:v>7.0865611945092361E-2</c:v>
                </c:pt>
                <c:pt idx="215">
                  <c:v>7.0887725546077279E-2</c:v>
                </c:pt>
                <c:pt idx="216">
                  <c:v>7.0909838632446404E-2</c:v>
                </c:pt>
                <c:pt idx="217">
                  <c:v>7.0931951204211724E-2</c:v>
                </c:pt>
                <c:pt idx="218">
                  <c:v>7.095406326138512E-2</c:v>
                </c:pt>
                <c:pt idx="219">
                  <c:v>7.0976174803978692E-2</c:v>
                </c:pt>
                <c:pt idx="220">
                  <c:v>7.0998285832004432E-2</c:v>
                </c:pt>
                <c:pt idx="221">
                  <c:v>7.1020396345474107E-2</c:v>
                </c:pt>
                <c:pt idx="222">
                  <c:v>7.1042506344399931E-2</c:v>
                </c:pt>
                <c:pt idx="223">
                  <c:v>7.1064615828793781E-2</c:v>
                </c:pt>
                <c:pt idx="224">
                  <c:v>7.108672479866765E-2</c:v>
                </c:pt>
                <c:pt idx="225">
                  <c:v>7.1108833254033416E-2</c:v>
                </c:pt>
                <c:pt idx="226">
                  <c:v>7.113094119490318E-2</c:v>
                </c:pt>
                <c:pt idx="227">
                  <c:v>7.1153048621288822E-2</c:v>
                </c:pt>
                <c:pt idx="228">
                  <c:v>7.1175155533202333E-2</c:v>
                </c:pt>
                <c:pt idx="229">
                  <c:v>7.1197261930655703E-2</c:v>
                </c:pt>
                <c:pt idx="230">
                  <c:v>7.1219367813661033E-2</c:v>
                </c:pt>
                <c:pt idx="231">
                  <c:v>7.1241473182230092E-2</c:v>
                </c:pt>
                <c:pt idx="232">
                  <c:v>7.1263578036374869E-2</c:v>
                </c:pt>
                <c:pt idx="233">
                  <c:v>7.1285682376107468E-2</c:v>
                </c:pt>
                <c:pt idx="234">
                  <c:v>7.1307786201439766E-2</c:v>
                </c:pt>
                <c:pt idx="235">
                  <c:v>7.1329889512383754E-2</c:v>
                </c:pt>
                <c:pt idx="236">
                  <c:v>7.1351992308951423E-2</c:v>
                </c:pt>
                <c:pt idx="237">
                  <c:v>7.1374094591154763E-2</c:v>
                </c:pt>
                <c:pt idx="238">
                  <c:v>7.1396196359005654E-2</c:v>
                </c:pt>
                <c:pt idx="239">
                  <c:v>7.1418297612516085E-2</c:v>
                </c:pt>
                <c:pt idx="240">
                  <c:v>7.1440398351698159E-2</c:v>
                </c:pt>
                <c:pt idx="241">
                  <c:v>7.1462498576563643E-2</c:v>
                </c:pt>
                <c:pt idx="242">
                  <c:v>7.148459828712464E-2</c:v>
                </c:pt>
                <c:pt idx="243">
                  <c:v>7.1506697483393139E-2</c:v>
                </c:pt>
                <c:pt idx="244">
                  <c:v>7.152879616538102E-2</c:v>
                </c:pt>
                <c:pt idx="245">
                  <c:v>7.1550894333100273E-2</c:v>
                </c:pt>
                <c:pt idx="246">
                  <c:v>7.1572991986562889E-2</c:v>
                </c:pt>
                <c:pt idx="247">
                  <c:v>7.1595089125780859E-2</c:v>
                </c:pt>
                <c:pt idx="248">
                  <c:v>7.161718575076606E-2</c:v>
                </c:pt>
                <c:pt idx="249">
                  <c:v>7.1639281861530596E-2</c:v>
                </c:pt>
                <c:pt idx="250">
                  <c:v>7.1661377458086234E-2</c:v>
                </c:pt>
                <c:pt idx="251">
                  <c:v>7.1683472540445187E-2</c:v>
                </c:pt>
                <c:pt idx="252">
                  <c:v>7.1705567108619223E-2</c:v>
                </c:pt>
                <c:pt idx="253">
                  <c:v>7.1727661162620332E-2</c:v>
                </c:pt>
                <c:pt idx="254">
                  <c:v>7.1749754702460616E-2</c:v>
                </c:pt>
                <c:pt idx="255">
                  <c:v>7.1771847728151955E-2</c:v>
                </c:pt>
                <c:pt idx="256">
                  <c:v>7.1793940239706228E-2</c:v>
                </c:pt>
                <c:pt idx="257">
                  <c:v>7.1816032237135535E-2</c:v>
                </c:pt>
                <c:pt idx="258">
                  <c:v>7.1838123720451869E-2</c:v>
                </c:pt>
                <c:pt idx="259">
                  <c:v>7.1860214689666996E-2</c:v>
                </c:pt>
                <c:pt idx="260">
                  <c:v>7.1882305144793018E-2</c:v>
                </c:pt>
                <c:pt idx="261">
                  <c:v>7.1904395085841927E-2</c:v>
                </c:pt>
                <c:pt idx="262">
                  <c:v>7.19264845128256E-2</c:v>
                </c:pt>
                <c:pt idx="263">
                  <c:v>7.1948573425756029E-2</c:v>
                </c:pt>
                <c:pt idx="264">
                  <c:v>7.1970661824645205E-2</c:v>
                </c:pt>
                <c:pt idx="265">
                  <c:v>7.1992749709505005E-2</c:v>
                </c:pt>
                <c:pt idx="266">
                  <c:v>7.2014837080347532E-2</c:v>
                </c:pt>
                <c:pt idx="267">
                  <c:v>7.2036923937184666E-2</c:v>
                </c:pt>
                <c:pt idx="268">
                  <c:v>7.2059010280028285E-2</c:v>
                </c:pt>
                <c:pt idx="269">
                  <c:v>7.2081096108890491E-2</c:v>
                </c:pt>
                <c:pt idx="270">
                  <c:v>7.2103181423783275E-2</c:v>
                </c:pt>
                <c:pt idx="271">
                  <c:v>7.2125266224718404E-2</c:v>
                </c:pt>
                <c:pt idx="272">
                  <c:v>7.2147350511708092E-2</c:v>
                </c:pt>
                <c:pt idx="273">
                  <c:v>7.2169434284763995E-2</c:v>
                </c:pt>
                <c:pt idx="274">
                  <c:v>7.2191517543898326E-2</c:v>
                </c:pt>
                <c:pt idx="275">
                  <c:v>7.2213600289122964E-2</c:v>
                </c:pt>
                <c:pt idx="276">
                  <c:v>7.223568252044979E-2</c:v>
                </c:pt>
                <c:pt idx="277">
                  <c:v>7.2257764237890904E-2</c:v>
                </c:pt>
                <c:pt idx="278">
                  <c:v>7.2279845441458185E-2</c:v>
                </c:pt>
                <c:pt idx="279">
                  <c:v>7.2301926131163624E-2</c:v>
                </c:pt>
                <c:pt idx="280">
                  <c:v>7.2324006307019101E-2</c:v>
                </c:pt>
                <c:pt idx="281">
                  <c:v>7.2346085969036605E-2</c:v>
                </c:pt>
                <c:pt idx="282">
                  <c:v>7.2368165117228128E-2</c:v>
                </c:pt>
                <c:pt idx="283">
                  <c:v>7.239024375160566E-2</c:v>
                </c:pt>
                <c:pt idx="284">
                  <c:v>7.2412321872181079E-2</c:v>
                </c:pt>
                <c:pt idx="285">
                  <c:v>7.2434399478966377E-2</c:v>
                </c:pt>
                <c:pt idx="286">
                  <c:v>7.2456476571973544E-2</c:v>
                </c:pt>
                <c:pt idx="287">
                  <c:v>7.247855315121457E-2</c:v>
                </c:pt>
                <c:pt idx="288">
                  <c:v>7.2500629216701223E-2</c:v>
                </c:pt>
                <c:pt idx="289">
                  <c:v>7.2522704768445606E-2</c:v>
                </c:pt>
                <c:pt idx="290">
                  <c:v>7.2544779806459708E-2</c:v>
                </c:pt>
                <c:pt idx="291">
                  <c:v>7.2566854330755409E-2</c:v>
                </c:pt>
                <c:pt idx="292">
                  <c:v>7.2588928341344588E-2</c:v>
                </c:pt>
                <c:pt idx="293">
                  <c:v>7.2611001838239458E-2</c:v>
                </c:pt>
                <c:pt idx="294">
                  <c:v>7.2633074821451676E-2</c:v>
                </c:pt>
                <c:pt idx="295">
                  <c:v>7.2655147290993344E-2</c:v>
                </c:pt>
                <c:pt idx="296">
                  <c:v>7.2677219246876451E-2</c:v>
                </c:pt>
                <c:pt idx="297">
                  <c:v>7.2699290689112878E-2</c:v>
                </c:pt>
                <c:pt idx="298">
                  <c:v>7.2721361617714614E-2</c:v>
                </c:pt>
                <c:pt idx="299">
                  <c:v>7.2743432032693539E-2</c:v>
                </c:pt>
                <c:pt idx="300">
                  <c:v>7.2765501934061755E-2</c:v>
                </c:pt>
                <c:pt idx="301">
                  <c:v>7.2787571321831029E-2</c:v>
                </c:pt>
                <c:pt idx="302">
                  <c:v>7.2809640196013464E-2</c:v>
                </c:pt>
                <c:pt idx="303">
                  <c:v>7.2831708556620939E-2</c:v>
                </c:pt>
                <c:pt idx="304">
                  <c:v>7.2853776403665443E-2</c:v>
                </c:pt>
                <c:pt idx="305">
                  <c:v>7.2875843737158857E-2</c:v>
                </c:pt>
                <c:pt idx="306">
                  <c:v>7.2897910557113171E-2</c:v>
                </c:pt>
                <c:pt idx="307">
                  <c:v>7.2919976863540487E-2</c:v>
                </c:pt>
                <c:pt idx="308">
                  <c:v>7.294204265645246E-2</c:v>
                </c:pt>
                <c:pt idx="309">
                  <c:v>7.2964107935861305E-2</c:v>
                </c:pt>
                <c:pt idx="310">
                  <c:v>7.298617270177879E-2</c:v>
                </c:pt>
                <c:pt idx="311">
                  <c:v>7.3008236954217015E-2</c:v>
                </c:pt>
                <c:pt idx="312">
                  <c:v>7.303030069318775E-2</c:v>
                </c:pt>
                <c:pt idx="313">
                  <c:v>7.3052363918703095E-2</c:v>
                </c:pt>
                <c:pt idx="314">
                  <c:v>7.307442663077493E-2</c:v>
                </c:pt>
                <c:pt idx="315">
                  <c:v>7.3096488829415246E-2</c:v>
                </c:pt>
                <c:pt idx="316">
                  <c:v>7.3118550514636033E-2</c:v>
                </c:pt>
                <c:pt idx="317">
                  <c:v>7.3140611686449059E-2</c:v>
                </c:pt>
                <c:pt idx="318">
                  <c:v>7.3162672344866425E-2</c:v>
                </c:pt>
                <c:pt idx="319">
                  <c:v>7.3184732489900012E-2</c:v>
                </c:pt>
                <c:pt idx="320">
                  <c:v>7.320679212156192E-2</c:v>
                </c:pt>
                <c:pt idx="321">
                  <c:v>7.3228851239863918E-2</c:v>
                </c:pt>
                <c:pt idx="322">
                  <c:v>7.3250909844817885E-2</c:v>
                </c:pt>
                <c:pt idx="323">
                  <c:v>7.3272967936436034E-2</c:v>
                </c:pt>
                <c:pt idx="324">
                  <c:v>7.3295025514730133E-2</c:v>
                </c:pt>
                <c:pt idx="325">
                  <c:v>7.3317082579712062E-2</c:v>
                </c:pt>
                <c:pt idx="326">
                  <c:v>7.3339139131394032E-2</c:v>
                </c:pt>
                <c:pt idx="327">
                  <c:v>7.3361195169787702E-2</c:v>
                </c:pt>
                <c:pt idx="328">
                  <c:v>7.3383250694905172E-2</c:v>
                </c:pt>
                <c:pt idx="329">
                  <c:v>7.3405305706758323E-2</c:v>
                </c:pt>
                <c:pt idx="330">
                  <c:v>7.3427360205359143E-2</c:v>
                </c:pt>
                <c:pt idx="331">
                  <c:v>7.3449414190719625E-2</c:v>
                </c:pt>
                <c:pt idx="332">
                  <c:v>7.3471467662851647E-2</c:v>
                </c:pt>
                <c:pt idx="333">
                  <c:v>7.3493520621767089E-2</c:v>
                </c:pt>
                <c:pt idx="334">
                  <c:v>7.3515573067477941E-2</c:v>
                </c:pt>
                <c:pt idx="335">
                  <c:v>7.3537624999996193E-2</c:v>
                </c:pt>
                <c:pt idx="336">
                  <c:v>7.3559676419333725E-2</c:v>
                </c:pt>
                <c:pt idx="337">
                  <c:v>7.3581727325502638E-2</c:v>
                </c:pt>
                <c:pt idx="338">
                  <c:v>7.360377771851459E-2</c:v>
                </c:pt>
                <c:pt idx="339">
                  <c:v>7.3625827598381793E-2</c:v>
                </c:pt>
                <c:pt idx="340">
                  <c:v>7.3647876965116016E-2</c:v>
                </c:pt>
                <c:pt idx="341">
                  <c:v>7.3669925818729359E-2</c:v>
                </c:pt>
                <c:pt idx="342">
                  <c:v>7.3691974159233592E-2</c:v>
                </c:pt>
                <c:pt idx="343">
                  <c:v>7.3714021986640704E-2</c:v>
                </c:pt>
                <c:pt idx="344">
                  <c:v>7.3736069300962687E-2</c:v>
                </c:pt>
                <c:pt idx="345">
                  <c:v>7.3758116102211529E-2</c:v>
                </c:pt>
                <c:pt idx="346">
                  <c:v>7.3780162390399001E-2</c:v>
                </c:pt>
                <c:pt idx="347">
                  <c:v>7.3802208165537203E-2</c:v>
                </c:pt>
                <c:pt idx="348">
                  <c:v>7.3824253427638015E-2</c:v>
                </c:pt>
                <c:pt idx="349">
                  <c:v>7.3846298176713315E-2</c:v>
                </c:pt>
                <c:pt idx="350">
                  <c:v>7.3868342412775095E-2</c:v>
                </c:pt>
                <c:pt idx="351">
                  <c:v>7.3890386135835345E-2</c:v>
                </c:pt>
                <c:pt idx="352">
                  <c:v>7.3912429345905944E-2</c:v>
                </c:pt>
                <c:pt idx="353">
                  <c:v>7.3934472042998772E-2</c:v>
                </c:pt>
                <c:pt idx="354">
                  <c:v>7.395651422712593E-2</c:v>
                </c:pt>
                <c:pt idx="355">
                  <c:v>7.3978555898299297E-2</c:v>
                </c:pt>
                <c:pt idx="356">
                  <c:v>7.4000597056530643E-2</c:v>
                </c:pt>
                <c:pt idx="357">
                  <c:v>7.4022637701832067E-2</c:v>
                </c:pt>
                <c:pt idx="358">
                  <c:v>7.4044677834215561E-2</c:v>
                </c:pt>
                <c:pt idx="359">
                  <c:v>7.4066717453692893E-2</c:v>
                </c:pt>
                <c:pt idx="360">
                  <c:v>7.4088756560276164E-2</c:v>
                </c:pt>
                <c:pt idx="361">
                  <c:v>7.4110795153977144E-2</c:v>
                </c:pt>
                <c:pt idx="362">
                  <c:v>7.4132833234807932E-2</c:v>
                </c:pt>
                <c:pt idx="363">
                  <c:v>7.4154870802780298E-2</c:v>
                </c:pt>
                <c:pt idx="364">
                  <c:v>7.4176907857906343E-2</c:v>
                </c:pt>
                <c:pt idx="365">
                  <c:v>7.4198944400197836E-2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6.504107941071767E-2</c:v>
                </c:pt>
                <c:pt idx="1">
                  <c:v>6.519865146928927E-2</c:v>
                </c:pt>
                <c:pt idx="2">
                  <c:v>6.5356134799607488E-2</c:v>
                </c:pt>
                <c:pt idx="3">
                  <c:v>6.551351548537318E-2</c:v>
                </c:pt>
                <c:pt idx="4">
                  <c:v>6.5670781440018464E-2</c:v>
                </c:pt>
                <c:pt idx="5">
                  <c:v>6.5827922366865771E-2</c:v>
                </c:pt>
                <c:pt idx="6">
                  <c:v>6.5984929703735748E-2</c:v>
                </c:pt>
                <c:pt idx="7">
                  <c:v>6.6141796553027696E-2</c:v>
                </c:pt>
                <c:pt idx="8">
                  <c:v>6.6298517598417608E-2</c:v>
                </c:pt>
                <c:pt idx="9">
                  <c:v>6.6455089009423388E-2</c:v>
                </c:pt>
                <c:pt idx="10">
                  <c:v>6.6611508335181716E-2</c:v>
                </c:pt>
                <c:pt idx="11">
                  <c:v>6.6767774388858836E-2</c:v>
                </c:pt>
                <c:pt idx="12">
                  <c:v>6.692388712418125E-2</c:v>
                </c:pt>
                <c:pt idx="13">
                  <c:v>6.7079847505620085E-2</c:v>
                </c:pt>
                <c:pt idx="14">
                  <c:v>6.7235657373795873E-2</c:v>
                </c:pt>
                <c:pt idx="15">
                  <c:v>6.7391319307686326E-2</c:v>
                </c:pt>
                <c:pt idx="16">
                  <c:v>6.7546836485219378E-2</c:v>
                </c:pt>
                <c:pt idx="17">
                  <c:v>6.7702212543820209E-2</c:v>
                </c:pt>
                <c:pt idx="18">
                  <c:v>6.7857451442448327E-2</c:v>
                </c:pt>
                <c:pt idx="19">
                  <c:v>6.8012557326616291E-2</c:v>
                </c:pt>
                <c:pt idx="20">
                  <c:v>6.8167534397822097E-2</c:v>
                </c:pt>
                <c:pt idx="21">
                  <c:v>6.8322386788752895E-2</c:v>
                </c:pt>
                <c:pt idx="22">
                  <c:v>6.84771184455331E-2</c:v>
                </c:pt>
                <c:pt idx="23">
                  <c:v>6.8631733018192351E-2</c:v>
                </c:pt>
                <c:pt idx="24">
                  <c:v>6.8786233760420867E-2</c:v>
                </c:pt>
                <c:pt idx="25">
                  <c:v>6.8940623439563975E-2</c:v>
                </c:pt>
                <c:pt idx="26">
                  <c:v>6.9094904257682305E-2</c:v>
                </c:pt>
                <c:pt idx="27">
                  <c:v>6.9249077784373864E-2</c:v>
                </c:pt>
                <c:pt idx="28">
                  <c:v>6.9403144901918706E-2</c:v>
                </c:pt>
                <c:pt idx="29">
                  <c:v>6.9557105763166691E-2</c:v>
                </c:pt>
                <c:pt idx="30">
                  <c:v>6.9710959762449037E-2</c:v>
                </c:pt>
                <c:pt idx="31">
                  <c:v>6.9864705519651349E-2</c:v>
                </c:pt>
                <c:pt idx="32">
                  <c:v>7.0018340877445684E-2</c:v>
                </c:pt>
                <c:pt idx="33">
                  <c:v>7.0171862911541344E-2</c:v>
                </c:pt>
                <c:pt idx="34">
                  <c:v>7.032526795367823E-2</c:v>
                </c:pt>
                <c:pt idx="35">
                  <c:v>7.0478551626958652E-2</c:v>
                </c:pt>
                <c:pt idx="36">
                  <c:v>7.0631708892990169E-2</c:v>
                </c:pt>
                <c:pt idx="37">
                  <c:v>7.0784734110196257E-2</c:v>
                </c:pt>
                <c:pt idx="38">
                  <c:v>7.0937621102546117E-2</c:v>
                </c:pt>
                <c:pt idx="39">
                  <c:v>7.1090363237857168E-2</c:v>
                </c:pt>
                <c:pt idx="40">
                  <c:v>7.1242953514738583E-2</c:v>
                </c:pt>
                <c:pt idx="41">
                  <c:v>7.1395384657168423E-2</c:v>
                </c:pt>
                <c:pt idx="42">
                  <c:v>7.1547649215634723E-2</c:v>
                </c:pt>
                <c:pt idx="43">
                  <c:v>7.1699739673720134E-2</c:v>
                </c:pt>
                <c:pt idx="44">
                  <c:v>7.185164855897179E-2</c:v>
                </c:pt>
                <c:pt idx="45">
                  <c:v>7.200336855687349E-2</c:v>
                </c:pt>
                <c:pt idx="46">
                  <c:v>7.2154892626725378E-2</c:v>
                </c:pt>
                <c:pt idx="47">
                  <c:v>7.2306214118236928E-2</c:v>
                </c:pt>
                <c:pt idx="48">
                  <c:v>7.2457326887653162E-2</c:v>
                </c:pt>
                <c:pt idx="49">
                  <c:v>7.2608225412259211E-2</c:v>
                </c:pt>
                <c:pt idx="50">
                  <c:v>7.2758904902146565E-2</c:v>
                </c:pt>
                <c:pt idx="51">
                  <c:v>7.2909361408172293E-2</c:v>
                </c:pt>
                <c:pt idx="52">
                  <c:v>7.3059591925101697E-2</c:v>
                </c:pt>
                <c:pt idx="53">
                  <c:v>7.3209594488993737E-2</c:v>
                </c:pt>
                <c:pt idx="54">
                  <c:v>7.3359368267964603E-2</c:v>
                </c:pt>
                <c:pt idx="55">
                  <c:v>7.3508913645550109E-2</c:v>
                </c:pt>
                <c:pt idx="56">
                  <c:v>7.365823229597783E-2</c:v>
                </c:pt>
                <c:pt idx="57">
                  <c:v>7.3807327250756297E-2</c:v>
                </c:pt>
                <c:pt idx="58">
                  <c:v>7.3956202956088554E-2</c:v>
                </c:pt>
                <c:pt idx="59">
                  <c:v>7.4104865320719998E-2</c:v>
                </c:pt>
                <c:pt idx="60">
                  <c:v>7.4253321753935703E-2</c:v>
                </c:pt>
                <c:pt idx="61">
                  <c:v>7.4401581193525732E-2</c:v>
                </c:pt>
                <c:pt idx="62">
                  <c:v>7.4549654123642298E-2</c:v>
                </c:pt>
                <c:pt idx="63">
                  <c:v>7.4697552582573379E-2</c:v>
                </c:pt>
                <c:pt idx="64">
                  <c:v>7.4845290160555966E-2</c:v>
                </c:pt>
                <c:pt idx="65">
                  <c:v>7.4992881987846538E-2</c:v>
                </c:pt>
                <c:pt idx="66">
                  <c:v>7.5140344713354207E-2</c:v>
                </c:pt>
                <c:pt idx="67">
                  <c:v>7.5287696474225521E-2</c:v>
                </c:pt>
                <c:pt idx="68">
                  <c:v>7.5434956856843441E-2</c:v>
                </c:pt>
                <c:pt idx="69">
                  <c:v>7.5582146849771228E-2</c:v>
                </c:pt>
                <c:pt idx="70">
                  <c:v>7.5729288789229923E-2</c:v>
                </c:pt>
                <c:pt idx="71">
                  <c:v>7.5876406297747473E-2</c:v>
                </c:pt>
                <c:pt idx="72">
                  <c:v>7.6023524216657257E-2</c:v>
                </c:pt>
                <c:pt idx="73">
                  <c:v>7.6170668533153685E-2</c:v>
                </c:pt>
                <c:pt idx="74">
                  <c:v>7.6317866302632098E-2</c:v>
                </c:pt>
                <c:pt idx="75">
                  <c:v>7.6465145567050224E-2</c:v>
                </c:pt>
                <c:pt idx="76">
                  <c:v>7.6612535270048535E-2</c:v>
                </c:pt>
                <c:pt idx="77">
                  <c:v>7.6760065169555594E-2</c:v>
                </c:pt>
                <c:pt idx="78">
                  <c:v>7.6907765748587459E-2</c:v>
                </c:pt>
                <c:pt idx="79">
                  <c:v>7.7055668124919305E-2</c:v>
                </c:pt>
                <c:pt idx="80">
                  <c:v>7.7203803960273223E-2</c:v>
                </c:pt>
                <c:pt idx="81">
                  <c:v>7.7352205369620008E-2</c:v>
                </c:pt>
                <c:pt idx="82">
                  <c:v>7.7500904831143025E-2</c:v>
                </c:pt>
                <c:pt idx="83">
                  <c:v>7.7649935097354059E-2</c:v>
                </c:pt>
                <c:pt idx="84">
                  <c:v>7.7799329107789333E-2</c:v>
                </c:pt>
                <c:pt idx="85">
                  <c:v>7.7949119903647016E-2</c:v>
                </c:pt>
                <c:pt idx="86">
                  <c:v>7.8099340544658405E-2</c:v>
                </c:pt>
                <c:pt idx="87">
                  <c:v>7.8250024028413329E-2</c:v>
                </c:pt>
                <c:pt idx="88">
                  <c:v>7.8401203212287773E-2</c:v>
                </c:pt>
                <c:pt idx="89">
                  <c:v>7.8552910738049722E-2</c:v>
                </c:pt>
                <c:pt idx="90">
                  <c:v>7.8705178959148137E-2</c:v>
                </c:pt>
                <c:pt idx="91">
                  <c:v>7.8858039870621677E-2</c:v>
                </c:pt>
                <c:pt idx="92">
                  <c:v>7.9011525041498443E-2</c:v>
                </c:pt>
                <c:pt idx="93">
                  <c:v>7.9165665549497208E-2</c:v>
                </c:pt>
                <c:pt idx="94">
                  <c:v>7.932049191778609E-2</c:v>
                </c:pt>
                <c:pt idx="95">
                  <c:v>7.9476034053504063E-2</c:v>
                </c:pt>
                <c:pt idx="96">
                  <c:v>7.9632321187710423E-2</c:v>
                </c:pt>
                <c:pt idx="97">
                  <c:v>7.9789381816390892E-2</c:v>
                </c:pt>
                <c:pt idx="98">
                  <c:v>7.994724364212473E-2</c:v>
                </c:pt>
                <c:pt idx="99">
                  <c:v>8.0105933515998679E-2</c:v>
                </c:pt>
                <c:pt idx="100">
                  <c:v>8.0265477379345695E-2</c:v>
                </c:pt>
                <c:pt idx="101">
                  <c:v>8.0425900204887046E-2</c:v>
                </c:pt>
                <c:pt idx="102">
                  <c:v>8.0587225936867748E-2</c:v>
                </c:pt>
                <c:pt idx="103">
                  <c:v>8.0749477429793923E-2</c:v>
                </c:pt>
                <c:pt idx="104">
                  <c:v>8.0912676385410789E-2</c:v>
                </c:pt>
                <c:pt idx="105">
                  <c:v>8.1076843287597594E-2</c:v>
                </c:pt>
                <c:pt idx="106">
                  <c:v>8.1241997334902796E-2</c:v>
                </c:pt>
                <c:pt idx="107">
                  <c:v>8.1408156370497142E-2</c:v>
                </c:pt>
                <c:pt idx="108">
                  <c:v>8.1575336809384877E-2</c:v>
                </c:pt>
                <c:pt idx="109">
                  <c:v>8.1743553562781859E-2</c:v>
                </c:pt>
                <c:pt idx="110">
                  <c:v>8.1912819959643557E-2</c:v>
                </c:pt>
                <c:pt idx="111">
                  <c:v>8.2083147665406364E-2</c:v>
                </c:pt>
                <c:pt idx="112">
                  <c:v>8.2254546598087425E-2</c:v>
                </c:pt>
                <c:pt idx="113">
                  <c:v>8.242702484197556E-2</c:v>
                </c:pt>
                <c:pt idx="114">
                  <c:v>8.2600588559232371E-2</c:v>
                </c:pt>
                <c:pt idx="115">
                  <c:v>8.2775241899810587E-2</c:v>
                </c:pt>
                <c:pt idx="116">
                  <c:v>8.2950986910184751E-2</c:v>
                </c:pt>
                <c:pt idx="117">
                  <c:v>8.312782344147264E-2</c:v>
                </c:pt>
                <c:pt idx="118">
                  <c:v>8.3305749057608958E-2</c:v>
                </c:pt>
                <c:pt idx="119">
                  <c:v>8.3484758944308901E-2</c:v>
                </c:pt>
                <c:pt idx="120">
                  <c:v>8.3664845819631503E-2</c:v>
                </c:pt>
                <c:pt idx="121">
                  <c:v>8.3845999847015948E-2</c:v>
                </c:pt>
                <c:pt idx="122">
                  <c:v>8.4028208551721856E-2</c:v>
                </c:pt>
                <c:pt idx="123">
                  <c:v>8.421145674165173E-2</c:v>
                </c:pt>
                <c:pt idx="124">
                  <c:v>8.4395726433570961E-2</c:v>
                </c:pt>
                <c:pt idx="125">
                  <c:v>8.4580996785768858E-2</c:v>
                </c:pt>
                <c:pt idx="126">
                  <c:v>8.4767244038219641E-2</c:v>
                </c:pt>
                <c:pt idx="127">
                  <c:v>8.4954441461305333E-2</c:v>
                </c:pt>
                <c:pt idx="128">
                  <c:v>8.5142559314155153E-2</c:v>
                </c:pt>
                <c:pt idx="129">
                  <c:v>8.5331564813633978E-2</c:v>
                </c:pt>
                <c:pt idx="130">
                  <c:v>8.5521422114977874E-2</c:v>
                </c:pt>
                <c:pt idx="131">
                  <c:v>8.5712092305028784E-2</c:v>
                </c:pt>
                <c:pt idx="132">
                  <c:v>8.5903533408959037E-2</c:v>
                </c:pt>
                <c:pt idx="133">
                  <c:v>8.6095700411305348E-2</c:v>
                </c:pt>
                <c:pt idx="134">
                  <c:v>8.628854529204634E-2</c:v>
                </c:pt>
                <c:pt idx="135">
                  <c:v>8.6482017078362547E-2</c:v>
                </c:pt>
                <c:pt idx="136">
                  <c:v>8.6676061912610333E-2</c:v>
                </c:pt>
                <c:pt idx="137">
                  <c:v>8.6870623136925257E-2</c:v>
                </c:pt>
                <c:pt idx="138">
                  <c:v>8.7065641394743723E-2</c:v>
                </c:pt>
                <c:pt idx="139">
                  <c:v>8.7261054749399602E-2</c:v>
                </c:pt>
                <c:pt idx="140">
                  <c:v>8.7456798819811193E-2</c:v>
                </c:pt>
                <c:pt idx="141">
                  <c:v>8.7652806933129337E-2</c:v>
                </c:pt>
                <c:pt idx="142">
                  <c:v>8.7849010294067678E-2</c:v>
                </c:pt>
                <c:pt idx="143">
                  <c:v>8.8045338170485002E-2</c:v>
                </c:pt>
                <c:pt idx="144">
                  <c:v>8.8241718094635921E-2</c:v>
                </c:pt>
                <c:pt idx="145">
                  <c:v>8.843807607935536E-2</c:v>
                </c:pt>
                <c:pt idx="146">
                  <c:v>8.8634336848291639E-2</c:v>
                </c:pt>
                <c:pt idx="147">
                  <c:v>8.8830424079157713E-2</c:v>
                </c:pt>
                <c:pt idx="148">
                  <c:v>8.9026260658828904E-2</c:v>
                </c:pt>
                <c:pt idx="149">
                  <c:v>8.9221768948982927E-2</c:v>
                </c:pt>
                <c:pt idx="150">
                  <c:v>8.9416871060852041E-2</c:v>
                </c:pt>
                <c:pt idx="151">
                  <c:v>8.9611489137542411E-2</c:v>
                </c:pt>
                <c:pt idx="152">
                  <c:v>8.9805545642272125E-2</c:v>
                </c:pt>
                <c:pt idx="153">
                  <c:v>8.9998963650787203E-2</c:v>
                </c:pt>
                <c:pt idx="154">
                  <c:v>9.0191667146138618E-2</c:v>
                </c:pt>
                <c:pt idx="155">
                  <c:v>9.0383581313938643E-2</c:v>
                </c:pt>
                <c:pt idx="156">
                  <c:v>9.0574632836169303E-2</c:v>
                </c:pt>
                <c:pt idx="157">
                  <c:v>9.0764750181583337E-2</c:v>
                </c:pt>
                <c:pt idx="158">
                  <c:v>9.095386389072517E-2</c:v>
                </c:pt>
                <c:pt idx="159">
                  <c:v>9.1141906853601753E-2</c:v>
                </c:pt>
                <c:pt idx="160">
                  <c:v>9.1328814578054709E-2</c:v>
                </c:pt>
                <c:pt idx="161">
                  <c:v>9.1514525446924219E-2</c:v>
                </c:pt>
                <c:pt idx="162">
                  <c:v>9.1698980962149665E-2</c:v>
                </c:pt>
                <c:pt idx="163">
                  <c:v>9.1882125974027964E-2</c:v>
                </c:pt>
                <c:pt idx="164">
                  <c:v>9.2063908893938368E-2</c:v>
                </c:pt>
                <c:pt idx="165">
                  <c:v>9.2244281888951118E-2</c:v>
                </c:pt>
                <c:pt idx="166">
                  <c:v>9.2423201056857543E-2</c:v>
                </c:pt>
                <c:pt idx="167">
                  <c:v>9.2600626580295928E-2</c:v>
                </c:pt>
                <c:pt idx="168">
                  <c:v>9.2776522858797603E-2</c:v>
                </c:pt>
                <c:pt idx="169">
                  <c:v>9.2950858617737983E-2</c:v>
                </c:pt>
                <c:pt idx="170">
                  <c:v>9.3123606993349345E-2</c:v>
                </c:pt>
                <c:pt idx="171">
                  <c:v>9.3294745593133874E-2</c:v>
                </c:pt>
                <c:pt idx="172">
                  <c:v>9.3464256531202397E-2</c:v>
                </c:pt>
                <c:pt idx="173">
                  <c:v>9.363212643825912E-2</c:v>
                </c:pt>
                <c:pt idx="174">
                  <c:v>9.3798346446149733E-2</c:v>
                </c:pt>
                <c:pt idx="175">
                  <c:v>9.3962912147089558E-2</c:v>
                </c:pt>
                <c:pt idx="176">
                  <c:v>9.4125823527888952E-2</c:v>
                </c:pt>
                <c:pt idx="177">
                  <c:v>9.4287084879689759E-2</c:v>
                </c:pt>
                <c:pt idx="178">
                  <c:v>9.4446704683921509E-2</c:v>
                </c:pt>
                <c:pt idx="179">
                  <c:v>9.4604695475373812E-2</c:v>
                </c:pt>
                <c:pt idx="180">
                  <c:v>9.476107368346269E-2</c:v>
                </c:pt>
                <c:pt idx="181">
                  <c:v>9.4915859452939982E-2</c:v>
                </c:pt>
                <c:pt idx="182">
                  <c:v>9.5069076445455758E-2</c:v>
                </c:pt>
                <c:pt idx="183">
                  <c:v>9.522075162353201E-2</c:v>
                </c:pt>
                <c:pt idx="184">
                  <c:v>9.5370915018639785E-2</c:v>
                </c:pt>
                <c:pt idx="185">
                  <c:v>9.5519599485191356E-2</c:v>
                </c:pt>
                <c:pt idx="186">
                  <c:v>9.566684044236079E-2</c:v>
                </c:pt>
                <c:pt idx="187">
                  <c:v>9.5812675605732048E-2</c:v>
                </c:pt>
                <c:pt idx="188">
                  <c:v>9.595714471083909E-2</c:v>
                </c:pt>
                <c:pt idx="189">
                  <c:v>9.6100289230711178E-2</c:v>
                </c:pt>
                <c:pt idx="190">
                  <c:v>9.6242152089563535E-2</c:v>
                </c:pt>
                <c:pt idx="191">
                  <c:v>9.6382777374782222E-2</c:v>
                </c:pt>
                <c:pt idx="192">
                  <c:v>9.6522210049340043E-2</c:v>
                </c:pt>
                <c:pt idx="193">
                  <c:v>9.6660495666749058E-2</c:v>
                </c:pt>
                <c:pt idx="194">
                  <c:v>9.6797680090604188E-2</c:v>
                </c:pt>
                <c:pt idx="195">
                  <c:v>9.6933809220702466E-2</c:v>
                </c:pt>
                <c:pt idx="196">
                  <c:v>9.706892872763466E-2</c:v>
                </c:pt>
                <c:pt idx="197">
                  <c:v>9.7203083797640796E-2</c:v>
                </c:pt>
                <c:pt idx="198">
                  <c:v>9.7336318889399184E-2</c:v>
                </c:pt>
                <c:pt idx="199">
                  <c:v>9.7468677504282702E-2</c:v>
                </c:pt>
                <c:pt idx="200">
                  <c:v>9.7600201971465655E-2</c:v>
                </c:pt>
                <c:pt idx="201">
                  <c:v>9.7730933249103411E-2</c:v>
                </c:pt>
                <c:pt idx="202">
                  <c:v>9.7860910742633769E-2</c:v>
                </c:pt>
                <c:pt idx="203">
                  <c:v>9.7990172141070031E-2</c:v>
                </c:pt>
                <c:pt idx="204">
                  <c:v>9.8118753271966522E-2</c:v>
                </c:pt>
                <c:pt idx="205">
                  <c:v>9.8246687975548072E-2</c:v>
                </c:pt>
                <c:pt idx="206">
                  <c:v>9.8374007998297833E-2</c:v>
                </c:pt>
                <c:pt idx="207">
                  <c:v>9.8500742906105304E-2</c:v>
                </c:pt>
                <c:pt idx="208">
                  <c:v>9.862692001688099E-2</c:v>
                </c:pt>
                <c:pt idx="209">
                  <c:v>9.8752564352355715E-2</c:v>
                </c:pt>
                <c:pt idx="210">
                  <c:v>9.8877698608596437E-2</c:v>
                </c:pt>
                <c:pt idx="211">
                  <c:v>9.9002343144595134E-2</c:v>
                </c:pt>
                <c:pt idx="212">
                  <c:v>9.9126515988118127E-2</c:v>
                </c:pt>
                <c:pt idx="213">
                  <c:v>9.9250232857846787E-2</c:v>
                </c:pt>
                <c:pt idx="214">
                  <c:v>9.9373507200697445E-2</c:v>
                </c:pt>
                <c:pt idx="215">
                  <c:v>9.9496350243077153E-2</c:v>
                </c:pt>
                <c:pt idx="216">
                  <c:v>9.9618771054718558E-2</c:v>
                </c:pt>
                <c:pt idx="217">
                  <c:v>9.9740776623640032E-2</c:v>
                </c:pt>
                <c:pt idx="218">
                  <c:v>9.9862371940696068E-2</c:v>
                </c:pt>
                <c:pt idx="219">
                  <c:v>9.9983560092123794E-2</c:v>
                </c:pt>
                <c:pt idx="220">
                  <c:v>0.10010434235844799</c:v>
                </c:pt>
                <c:pt idx="221">
                  <c:v>0.1002247183180858</c:v>
                </c:pt>
                <c:pt idx="222">
                  <c:v>0.10034468595398943</c:v>
                </c:pt>
                <c:pt idx="223">
                  <c:v>0.10046424176168266</c:v>
                </c:pt>
                <c:pt idx="224">
                  <c:v>0.10058338085708429</c:v>
                </c:pt>
                <c:pt idx="225">
                  <c:v>0.10070209708256739</c:v>
                </c:pt>
                <c:pt idx="226">
                  <c:v>0.10082038310977744</c:v>
                </c:pt>
                <c:pt idx="227">
                  <c:v>0.10093823053782601</c:v>
                </c:pt>
                <c:pt idx="228">
                  <c:v>0.1010556299855831</c:v>
                </c:pt>
                <c:pt idx="229">
                  <c:v>0.10117257117691743</c:v>
                </c:pt>
                <c:pt idx="230">
                  <c:v>0.10128904301786948</c:v>
                </c:pt>
                <c:pt idx="231">
                  <c:v>0.10140503366489373</c:v>
                </c:pt>
                <c:pt idx="232">
                  <c:v>0.10152053058346629</c:v>
                </c:pt>
                <c:pt idx="233">
                  <c:v>0.10163552059652248</c:v>
                </c:pt>
                <c:pt idx="234">
                  <c:v>0.10174998992236586</c:v>
                </c:pt>
                <c:pt idx="235">
                  <c:v>0.10186392420186963</c:v>
                </c:pt>
                <c:pt idx="236">
                  <c:v>0.10197730851497447</c:v>
                </c:pt>
                <c:pt idx="237">
                  <c:v>0.10209012738666996</c:v>
                </c:pt>
                <c:pt idx="238">
                  <c:v>0.1022023647828285</c:v>
                </c:pt>
                <c:pt idx="239">
                  <c:v>0.10231400409643727</c:v>
                </c:pt>
                <c:pt idx="240">
                  <c:v>0.10242502812494624</c:v>
                </c:pt>
                <c:pt idx="241">
                  <c:v>0.10253541903961202</c:v>
                </c:pt>
                <c:pt idx="242">
                  <c:v>0.10264515834787202</c:v>
                </c:pt>
                <c:pt idx="243">
                  <c:v>0.10275422684992262</c:v>
                </c:pt>
                <c:pt idx="244">
                  <c:v>0.10286260459080356</c:v>
                </c:pt>
                <c:pt idx="245">
                  <c:v>0.10297027080940149</c:v>
                </c:pt>
                <c:pt idx="246">
                  <c:v>0.10307720388588112</c:v>
                </c:pt>
                <c:pt idx="247">
                  <c:v>0.10318338128912762</c:v>
                </c:pt>
                <c:pt idx="248">
                  <c:v>0.10328877952584251</c:v>
                </c:pt>
                <c:pt idx="249">
                  <c:v>0.10339337409297095</c:v>
                </c:pt>
                <c:pt idx="250">
                  <c:v>0.10349713943515453</c:v>
                </c:pt>
                <c:pt idx="251">
                  <c:v>0.10360004890889819</c:v>
                </c:pt>
                <c:pt idx="252">
                  <c:v>0.10370207475511256</c:v>
                </c:pt>
                <c:pt idx="253">
                  <c:v>0.10380318808164418</c:v>
                </c:pt>
                <c:pt idx="254">
                  <c:v>0.10390335885733591</c:v>
                </c:pt>
                <c:pt idx="255">
                  <c:v>0.10400255591906828</c:v>
                </c:pt>
                <c:pt idx="256">
                  <c:v>0.10410074699312198</c:v>
                </c:pt>
                <c:pt idx="257">
                  <c:v>0.10419789873207019</c:v>
                </c:pt>
                <c:pt idx="258">
                  <c:v>0.10429397676826163</c:v>
                </c:pt>
                <c:pt idx="259">
                  <c:v>0.10438894578478915</c:v>
                </c:pt>
                <c:pt idx="260">
                  <c:v>0.10448276960465921</c:v>
                </c:pt>
                <c:pt idx="261">
                  <c:v>0.10457541129868279</c:v>
                </c:pt>
                <c:pt idx="262">
                  <c:v>0.10466683331240408</c:v>
                </c:pt>
                <c:pt idx="263">
                  <c:v>0.10475699761216786</c:v>
                </c:pt>
                <c:pt idx="264">
                  <c:v>0.10484586585020596</c:v>
                </c:pt>
                <c:pt idx="265">
                  <c:v>0.10493339954839569</c:v>
                </c:pt>
                <c:pt idx="266">
                  <c:v>0.10501956030011493</c:v>
                </c:pt>
                <c:pt idx="267">
                  <c:v>0.10510430998938895</c:v>
                </c:pt>
                <c:pt idx="268">
                  <c:v>0.10518761102629863</c:v>
                </c:pt>
                <c:pt idx="269">
                  <c:v>0.10526942659739706</c:v>
                </c:pt>
                <c:pt idx="270">
                  <c:v>0.10534972092966792</c:v>
                </c:pt>
                <c:pt idx="271">
                  <c:v>0.10542845956635483</c:v>
                </c:pt>
                <c:pt idx="272">
                  <c:v>0.10550560965279815</c:v>
                </c:pt>
                <c:pt idx="273">
                  <c:v>0.10558114023023836</c:v>
                </c:pt>
                <c:pt idx="274">
                  <c:v>0.10565502253538281</c:v>
                </c:pt>
                <c:pt idx="275">
                  <c:v>0.10572723030339135</c:v>
                </c:pt>
                <c:pt idx="276">
                  <c:v>0.10579774007181135</c:v>
                </c:pt>
                <c:pt idx="277">
                  <c:v>0.105866531482894</c:v>
                </c:pt>
                <c:pt idx="278">
                  <c:v>0.10593358758164437</c:v>
                </c:pt>
                <c:pt idx="279">
                  <c:v>0.10599889510690587</c:v>
                </c:pt>
                <c:pt idx="280">
                  <c:v>0.10606244477275123</c:v>
                </c:pt>
                <c:pt idx="281">
                  <c:v>0.10612423153745071</c:v>
                </c:pt>
                <c:pt idx="282">
                  <c:v>0.10618425485731355</c:v>
                </c:pt>
                <c:pt idx="283">
                  <c:v>0.10624251892274972</c:v>
                </c:pt>
                <c:pt idx="284">
                  <c:v>0.10629903287397832</c:v>
                </c:pt>
                <c:pt idx="285">
                  <c:v>0.10635381099391217</c:v>
                </c:pt>
                <c:pt idx="286">
                  <c:v>0.10640687287588074</c:v>
                </c:pt>
                <c:pt idx="287">
                  <c:v>0.1064582435640065</c:v>
                </c:pt>
                <c:pt idx="288">
                  <c:v>0.10650795366422997</c:v>
                </c:pt>
                <c:pt idx="289">
                  <c:v>0.10655603942417985</c:v>
                </c:pt>
                <c:pt idx="290">
                  <c:v>0.10660254278030572</c:v>
                </c:pt>
                <c:pt idx="291">
                  <c:v>0.10664751137093209</c:v>
                </c:pt>
                <c:pt idx="292">
                  <c:v>0.10669099851414954</c:v>
                </c:pt>
                <c:pt idx="293">
                  <c:v>0.1067330631497309</c:v>
                </c:pt>
                <c:pt idx="294">
                  <c:v>0.10677376974454399</c:v>
                </c:pt>
                <c:pt idx="295">
                  <c:v>0.10681318816122659</c:v>
                </c:pt>
                <c:pt idx="296">
                  <c:v>0.1068513934901892</c:v>
                </c:pt>
                <c:pt idx="297">
                  <c:v>0.1068884658453161</c:v>
                </c:pt>
                <c:pt idx="298">
                  <c:v>0.10692449012404129</c:v>
                </c:pt>
                <c:pt idx="299">
                  <c:v>0.10695955573278024</c:v>
                </c:pt>
                <c:pt idx="300">
                  <c:v>0.10699375627899851</c:v>
                </c:pt>
                <c:pt idx="301">
                  <c:v>0.10702718923149085</c:v>
                </c:pt>
                <c:pt idx="302">
                  <c:v>0.10705995555072795</c:v>
                </c:pt>
                <c:pt idx="303">
                  <c:v>0.10709215929139763</c:v>
                </c:pt>
                <c:pt idx="304">
                  <c:v>0.1071239071795218</c:v>
                </c:pt>
                <c:pt idx="305">
                  <c:v>0.10715530816676784</c:v>
                </c:pt>
                <c:pt idx="306">
                  <c:v>0.10718647296478973</c:v>
                </c:pt>
                <c:pt idx="307">
                  <c:v>0.10721751356262794</c:v>
                </c:pt>
                <c:pt idx="308">
                  <c:v>0.10724854273036778</c:v>
                </c:pt>
                <c:pt idx="309">
                  <c:v>0.10727967351239957</c:v>
                </c:pt>
                <c:pt idx="310">
                  <c:v>0.10731101871373996</c:v>
                </c:pt>
                <c:pt idx="311">
                  <c:v>0.10734269038296174</c:v>
                </c:pt>
                <c:pt idx="312">
                  <c:v>0.1073747992953369</c:v>
                </c:pt>
                <c:pt idx="313">
                  <c:v>0.1074074544398247</c:v>
                </c:pt>
                <c:pt idx="314">
                  <c:v>0.10744076251353323</c:v>
                </c:pt>
                <c:pt idx="315">
                  <c:v>0.1074748274272469</c:v>
                </c:pt>
                <c:pt idx="316">
                  <c:v>0.10750974982554844</c:v>
                </c:pt>
                <c:pt idx="317">
                  <c:v>0.10754562662496549</c:v>
                </c:pt>
                <c:pt idx="318">
                  <c:v>0.10758255057344716</c:v>
                </c:pt>
                <c:pt idx="319">
                  <c:v>0.10762060983432165</c:v>
                </c:pt>
                <c:pt idx="320">
                  <c:v>0.10765988759770186</c:v>
                </c:pt>
                <c:pt idx="321">
                  <c:v>0.10770046172210078</c:v>
                </c:pt>
                <c:pt idx="322">
                  <c:v>0.10774240440878363</c:v>
                </c:pt>
                <c:pt idx="323">
                  <c:v>0.10778578191113189</c:v>
                </c:pt>
                <c:pt idx="324">
                  <c:v>0.10783065428101898</c:v>
                </c:pt>
                <c:pt idx="325">
                  <c:v>0.10787707515390749</c:v>
                </c:pt>
                <c:pt idx="326">
                  <c:v>0.10792509157407063</c:v>
                </c:pt>
                <c:pt idx="327">
                  <c:v>0.10797474386102396</c:v>
                </c:pt>
                <c:pt idx="328">
                  <c:v>0.10802606551792569</c:v>
                </c:pt>
                <c:pt idx="329">
                  <c:v>0.10807908318237061</c:v>
                </c:pt>
                <c:pt idx="330">
                  <c:v>0.10813381661966691</c:v>
                </c:pt>
                <c:pt idx="331">
                  <c:v>0.10819027875834755</c:v>
                </c:pt>
                <c:pt idx="332">
                  <c:v>0.10824847576733521</c:v>
                </c:pt>
                <c:pt idx="333">
                  <c:v>0.10830840717385128</c:v>
                </c:pt>
                <c:pt idx="334">
                  <c:v>0.10837006602084005</c:v>
                </c:pt>
                <c:pt idx="335">
                  <c:v>0.10843343906237307</c:v>
                </c:pt>
                <c:pt idx="336">
                  <c:v>0.1084985069952039</c:v>
                </c:pt>
                <c:pt idx="337">
                  <c:v>0.10856524472436939</c:v>
                </c:pt>
                <c:pt idx="338">
                  <c:v>0.10863362166047534</c:v>
                </c:pt>
                <c:pt idx="339">
                  <c:v>0.10870360204607091</c:v>
                </c:pt>
                <c:pt idx="340">
                  <c:v>0.10877514530830433</c:v>
                </c:pt>
                <c:pt idx="341">
                  <c:v>0.10884820643486752</c:v>
                </c:pt>
                <c:pt idx="342">
                  <c:v>0.10892273637007779</c:v>
                </c:pt>
                <c:pt idx="343">
                  <c:v>0.10899868242781663</c:v>
                </c:pt>
                <c:pt idx="344">
                  <c:v>0.1090759887179432</c:v>
                </c:pt>
                <c:pt idx="345">
                  <c:v>0.10915459658273115</c:v>
                </c:pt>
                <c:pt idx="346">
                  <c:v>0.10923444503983742</c:v>
                </c:pt>
                <c:pt idx="347">
                  <c:v>0.10931547122830323</c:v>
                </c:pt>
                <c:pt idx="348">
                  <c:v>0.10939761085410894</c:v>
                </c:pt>
                <c:pt idx="349">
                  <c:v>0.10948079863185728</c:v>
                </c:pt>
                <c:pt idx="350">
                  <c:v>0.10956496871924172</c:v>
                </c:pt>
                <c:pt idx="351">
                  <c:v>0.109650055141067</c:v>
                </c:pt>
                <c:pt idx="352">
                  <c:v>0.10973599219972674</c:v>
                </c:pt>
                <c:pt idx="353">
                  <c:v>0.10982271486920785</c:v>
                </c:pt>
                <c:pt idx="354">
                  <c:v>0.10991015916987946</c:v>
                </c:pt>
                <c:pt idx="355">
                  <c:v>0.10999826252153409</c:v>
                </c:pt>
                <c:pt idx="356">
                  <c:v>0.11008696407237996</c:v>
                </c:pt>
                <c:pt idx="357">
                  <c:v>0.11017620500193226</c:v>
                </c:pt>
                <c:pt idx="358">
                  <c:v>0.11026592879601352</c:v>
                </c:pt>
                <c:pt idx="359">
                  <c:v>0.11035608149235146</c:v>
                </c:pt>
                <c:pt idx="360">
                  <c:v>0.11044661189554751</c:v>
                </c:pt>
                <c:pt idx="361">
                  <c:v>0.11053747176048456</c:v>
                </c:pt>
                <c:pt idx="362">
                  <c:v>0.11062861594353887</c:v>
                </c:pt>
                <c:pt idx="363">
                  <c:v>0.11072000252126249</c:v>
                </c:pt>
                <c:pt idx="364">
                  <c:v>0.11081159287649894</c:v>
                </c:pt>
                <c:pt idx="365">
                  <c:v>0.11090335175219146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1.6403831972567236E-2</c:v>
                </c:pt>
                <c:pt idx="1">
                  <c:v>1.6380735466750895E-2</c:v>
                </c:pt>
                <c:pt idx="2">
                  <c:v>1.635327285590096E-2</c:v>
                </c:pt>
                <c:pt idx="3">
                  <c:v>1.632118871951661E-2</c:v>
                </c:pt>
                <c:pt idx="4">
                  <c:v>1.628425342045085E-2</c:v>
                </c:pt>
                <c:pt idx="5">
                  <c:v>1.6242263845718287E-2</c:v>
                </c:pt>
                <c:pt idx="6">
                  <c:v>1.6195044003462448E-2</c:v>
                </c:pt>
                <c:pt idx="7">
                  <c:v>1.6142445410775228E-2</c:v>
                </c:pt>
                <c:pt idx="8">
                  <c:v>1.6083795742308768E-2</c:v>
                </c:pt>
                <c:pt idx="9">
                  <c:v>1.6002808376096009E-2</c:v>
                </c:pt>
                <c:pt idx="10">
                  <c:v>1.5896902057769363E-2</c:v>
                </c:pt>
                <c:pt idx="11">
                  <c:v>1.5767530417637024E-2</c:v>
                </c:pt>
                <c:pt idx="12">
                  <c:v>1.561613343124001E-2</c:v>
                </c:pt>
                <c:pt idx="13">
                  <c:v>1.5444124233972338E-2</c:v>
                </c:pt>
                <c:pt idx="14">
                  <c:v>1.5252877857296947E-2</c:v>
                </c:pt>
                <c:pt idx="15">
                  <c:v>1.5038070017559337E-2</c:v>
                </c:pt>
                <c:pt idx="16">
                  <c:v>1.4803905528499113E-2</c:v>
                </c:pt>
                <c:pt idx="17">
                  <c:v>1.4551691160292004E-2</c:v>
                </c:pt>
                <c:pt idx="18">
                  <c:v>1.4282665253291997E-2</c:v>
                </c:pt>
                <c:pt idx="19">
                  <c:v>1.3998071644239959E-2</c:v>
                </c:pt>
                <c:pt idx="20">
                  <c:v>1.3699106544775765E-2</c:v>
                </c:pt>
                <c:pt idx="21">
                  <c:v>1.3386820545197487E-2</c:v>
                </c:pt>
                <c:pt idx="22">
                  <c:v>1.3060857290674957E-2</c:v>
                </c:pt>
                <c:pt idx="23">
                  <c:v>1.2733375248107427E-2</c:v>
                </c:pt>
                <c:pt idx="24">
                  <c:v>1.2418445504997724E-2</c:v>
                </c:pt>
                <c:pt idx="25">
                  <c:v>1.2115940756007155E-2</c:v>
                </c:pt>
                <c:pt idx="26">
                  <c:v>1.1825711689162632E-2</c:v>
                </c:pt>
                <c:pt idx="27">
                  <c:v>1.1547589655582374E-2</c:v>
                </c:pt>
                <c:pt idx="28">
                  <c:v>1.1281389201355249E-2</c:v>
                </c:pt>
                <c:pt idx="29">
                  <c:v>1.1038800676529922E-2</c:v>
                </c:pt>
                <c:pt idx="30">
                  <c:v>1.0823930544055829E-2</c:v>
                </c:pt>
                <c:pt idx="31">
                  <c:v>1.0635978449880535E-2</c:v>
                </c:pt>
                <c:pt idx="32">
                  <c:v>1.0474153909751037E-2</c:v>
                </c:pt>
                <c:pt idx="33">
                  <c:v>1.0337679074198516E-2</c:v>
                </c:pt>
                <c:pt idx="34">
                  <c:v>1.022579112728669E-2</c:v>
                </c:pt>
                <c:pt idx="35">
                  <c:v>1.0137744343407725E-2</c:v>
                </c:pt>
                <c:pt idx="36">
                  <c:v>1.0072961309811578E-2</c:v>
                </c:pt>
                <c:pt idx="37">
                  <c:v>1.0038809822793577E-2</c:v>
                </c:pt>
                <c:pt idx="38">
                  <c:v>1.0023581171687102E-2</c:v>
                </c:pt>
                <c:pt idx="39">
                  <c:v>1.0026490997902067E-2</c:v>
                </c:pt>
                <c:pt idx="40">
                  <c:v>1.0046782996950861E-2</c:v>
                </c:pt>
                <c:pt idx="41">
                  <c:v>1.0083725474146732E-2</c:v>
                </c:pt>
                <c:pt idx="42">
                  <c:v>1.0136608341319698E-2</c:v>
                </c:pt>
                <c:pt idx="43">
                  <c:v>1.0211790712444801E-2</c:v>
                </c:pt>
                <c:pt idx="44">
                  <c:v>1.0298381264219635E-2</c:v>
                </c:pt>
                <c:pt idx="45">
                  <c:v>1.0395835402126069E-2</c:v>
                </c:pt>
                <c:pt idx="46">
                  <c:v>1.0503620231069925E-2</c:v>
                </c:pt>
                <c:pt idx="47">
                  <c:v>1.0621213684159745E-2</c:v>
                </c:pt>
                <c:pt idx="48">
                  <c:v>1.0748103873247683E-2</c:v>
                </c:pt>
                <c:pt idx="49">
                  <c:v>1.0883788658162887E-2</c:v>
                </c:pt>
                <c:pt idx="50">
                  <c:v>1.1027825989819603E-2</c:v>
                </c:pt>
                <c:pt idx="51">
                  <c:v>1.1182531641470797E-2</c:v>
                </c:pt>
                <c:pt idx="52">
                  <c:v>1.134072504667249E-2</c:v>
                </c:pt>
                <c:pt idx="53">
                  <c:v>1.1502319614722646E-2</c:v>
                </c:pt>
                <c:pt idx="54">
                  <c:v>1.1667293329819807E-2</c:v>
                </c:pt>
                <c:pt idx="55">
                  <c:v>1.1835634515879743E-2</c:v>
                </c:pt>
                <c:pt idx="56">
                  <c:v>1.2007342247517984E-2</c:v>
                </c:pt>
                <c:pt idx="57">
                  <c:v>1.2180581534193708E-2</c:v>
                </c:pt>
                <c:pt idx="58">
                  <c:v>1.234946861598081E-2</c:v>
                </c:pt>
                <c:pt idx="59">
                  <c:v>1.2514297232317685E-2</c:v>
                </c:pt>
                <c:pt idx="60">
                  <c:v>1.2675363630996165E-2</c:v>
                </c:pt>
                <c:pt idx="61">
                  <c:v>1.2832966232584286E-2</c:v>
                </c:pt>
                <c:pt idx="62">
                  <c:v>1.2987405377636128E-2</c:v>
                </c:pt>
                <c:pt idx="63">
                  <c:v>1.3138983142309707E-2</c:v>
                </c:pt>
                <c:pt idx="64">
                  <c:v>1.3286945218765837E-2</c:v>
                </c:pt>
                <c:pt idx="65">
                  <c:v>1.3420251733703465E-2</c:v>
                </c:pt>
                <c:pt idx="66">
                  <c:v>1.3537555531306056E-2</c:v>
                </c:pt>
                <c:pt idx="67">
                  <c:v>1.3639736679300052E-2</c:v>
                </c:pt>
                <c:pt idx="68">
                  <c:v>1.3727662391907088E-2</c:v>
                </c:pt>
                <c:pt idx="69">
                  <c:v>1.3802183537218689E-2</c:v>
                </c:pt>
                <c:pt idx="70">
                  <c:v>1.3864131713525542E-2</c:v>
                </c:pt>
                <c:pt idx="71">
                  <c:v>1.3894603545965679E-2</c:v>
                </c:pt>
                <c:pt idx="72">
                  <c:v>1.3896536084382721E-2</c:v>
                </c:pt>
                <c:pt idx="73">
                  <c:v>1.3871214351930661E-2</c:v>
                </c:pt>
                <c:pt idx="74">
                  <c:v>1.3819861877744184E-2</c:v>
                </c:pt>
                <c:pt idx="75">
                  <c:v>1.374363754880006E-2</c:v>
                </c:pt>
                <c:pt idx="76">
                  <c:v>1.3643633034421978E-2</c:v>
                </c:pt>
                <c:pt idx="77">
                  <c:v>1.3520870704083955E-2</c:v>
                </c:pt>
                <c:pt idx="78">
                  <c:v>1.3374840369103769E-2</c:v>
                </c:pt>
                <c:pt idx="79">
                  <c:v>1.3195728986731199E-2</c:v>
                </c:pt>
                <c:pt idx="80">
                  <c:v>1.2993761725285791E-2</c:v>
                </c:pt>
                <c:pt idx="81">
                  <c:v>1.2769925881272884E-2</c:v>
                </c:pt>
                <c:pt idx="82">
                  <c:v>1.2525131403954812E-2</c:v>
                </c:pt>
                <c:pt idx="83">
                  <c:v>1.2260207164154456E-2</c:v>
                </c:pt>
                <c:pt idx="84">
                  <c:v>1.1975897865039876E-2</c:v>
                </c:pt>
                <c:pt idx="85">
                  <c:v>1.1673191733661171E-2</c:v>
                </c:pt>
                <c:pt idx="86">
                  <c:v>1.1369848153892692E-2</c:v>
                </c:pt>
                <c:pt idx="87">
                  <c:v>1.1065932922985603E-2</c:v>
                </c:pt>
                <c:pt idx="88">
                  <c:v>1.0761460773192679E-2</c:v>
                </c:pt>
                <c:pt idx="89">
                  <c:v>1.0456396456528624E-2</c:v>
                </c:pt>
                <c:pt idx="90">
                  <c:v>1.0150655635978461E-2</c:v>
                </c:pt>
                <c:pt idx="91">
                  <c:v>9.8441055643015921E-3</c:v>
                </c:pt>
                <c:pt idx="92">
                  <c:v>9.5360360407299016E-3</c:v>
                </c:pt>
                <c:pt idx="93">
                  <c:v>9.2225611085565914E-3</c:v>
                </c:pt>
                <c:pt idx="94">
                  <c:v>8.9121150852394145E-3</c:v>
                </c:pt>
                <c:pt idx="95">
                  <c:v>8.6042879265071561E-3</c:v>
                </c:pt>
                <c:pt idx="96">
                  <c:v>8.2986698375211512E-3</c:v>
                </c:pt>
                <c:pt idx="97">
                  <c:v>7.994850069023068E-3</c:v>
                </c:pt>
                <c:pt idx="98">
                  <c:v>7.6924157637242316E-3</c:v>
                </c:pt>
                <c:pt idx="99">
                  <c:v>7.3950982360278953E-3</c:v>
                </c:pt>
                <c:pt idx="100">
                  <c:v>7.1024567416275892E-3</c:v>
                </c:pt>
                <c:pt idx="101">
                  <c:v>6.8141548518312481E-3</c:v>
                </c:pt>
                <c:pt idx="102">
                  <c:v>6.5298644510854873E-3</c:v>
                </c:pt>
                <c:pt idx="103">
                  <c:v>6.2492651623896498E-3</c:v>
                </c:pt>
                <c:pt idx="104">
                  <c:v>5.9720438338251441E-3</c:v>
                </c:pt>
                <c:pt idx="105">
                  <c:v>5.6978940750858544E-3</c:v>
                </c:pt>
                <c:pt idx="106">
                  <c:v>5.4265430166160747E-3</c:v>
                </c:pt>
                <c:pt idx="107">
                  <c:v>5.1689095589582687E-3</c:v>
                </c:pt>
                <c:pt idx="108">
                  <c:v>4.9277840195044095E-3</c:v>
                </c:pt>
                <c:pt idx="109">
                  <c:v>4.7029407908937421E-3</c:v>
                </c:pt>
                <c:pt idx="110">
                  <c:v>4.4941990756786863E-3</c:v>
                </c:pt>
                <c:pt idx="111">
                  <c:v>4.3014079035178501E-3</c:v>
                </c:pt>
                <c:pt idx="112">
                  <c:v>4.1244343694043784E-3</c:v>
                </c:pt>
                <c:pt idx="113">
                  <c:v>3.9693711678274457E-3</c:v>
                </c:pt>
                <c:pt idx="114">
                  <c:v>3.8318194553544939E-3</c:v>
                </c:pt>
                <c:pt idx="115">
                  <c:v>3.7116983471783818E-3</c:v>
                </c:pt>
                <c:pt idx="116">
                  <c:v>3.6089574870780167E-3</c:v>
                </c:pt>
                <c:pt idx="117">
                  <c:v>3.5235765809191631E-3</c:v>
                </c:pt>
                <c:pt idx="118">
                  <c:v>3.4555649292519188E-3</c:v>
                </c:pt>
                <c:pt idx="119">
                  <c:v>3.4049609547099598E-3</c:v>
                </c:pt>
                <c:pt idx="120">
                  <c:v>3.3718042300781969E-3</c:v>
                </c:pt>
                <c:pt idx="121">
                  <c:v>3.3593365273322409E-3</c:v>
                </c:pt>
                <c:pt idx="122">
                  <c:v>3.3562634774062538E-3</c:v>
                </c:pt>
                <c:pt idx="123">
                  <c:v>3.3627385072392585E-3</c:v>
                </c:pt>
                <c:pt idx="124">
                  <c:v>3.3789337711364604E-3</c:v>
                </c:pt>
                <c:pt idx="125">
                  <c:v>3.405040535410327E-3</c:v>
                </c:pt>
                <c:pt idx="126">
                  <c:v>3.441269544128411E-3</c:v>
                </c:pt>
                <c:pt idx="127">
                  <c:v>3.4891971512562505E-3</c:v>
                </c:pt>
                <c:pt idx="128">
                  <c:v>3.5425998024718407E-3</c:v>
                </c:pt>
                <c:pt idx="129">
                  <c:v>3.6017181983673289E-3</c:v>
                </c:pt>
                <c:pt idx="130">
                  <c:v>3.6668093448840359E-3</c:v>
                </c:pt>
                <c:pt idx="131">
                  <c:v>3.73814700210639E-3</c:v>
                </c:pt>
                <c:pt idx="132">
                  <c:v>3.8160221089741093E-3</c:v>
                </c:pt>
                <c:pt idx="133">
                  <c:v>3.900743183471873E-3</c:v>
                </c:pt>
                <c:pt idx="134">
                  <c:v>3.9926631833626762E-3</c:v>
                </c:pt>
                <c:pt idx="135">
                  <c:v>4.0912861968672347E-3</c:v>
                </c:pt>
                <c:pt idx="136">
                  <c:v>4.1928442081371926E-3</c:v>
                </c:pt>
                <c:pt idx="137">
                  <c:v>4.29741562840299E-3</c:v>
                </c:pt>
                <c:pt idx="138">
                  <c:v>4.4050779621484402E-3</c:v>
                </c:pt>
                <c:pt idx="139">
                  <c:v>4.5159074855638812E-3</c:v>
                </c:pt>
                <c:pt idx="140">
                  <c:v>4.6299788926594783E-3</c:v>
                </c:pt>
                <c:pt idx="141">
                  <c:v>4.7459580939025782E-3</c:v>
                </c:pt>
                <c:pt idx="142">
                  <c:v>4.8620234533698781E-3</c:v>
                </c:pt>
                <c:pt idx="143">
                  <c:v>4.9780630227492465E-3</c:v>
                </c:pt>
                <c:pt idx="144">
                  <c:v>5.0939841332121255E-3</c:v>
                </c:pt>
                <c:pt idx="145">
                  <c:v>5.2096856047733247E-3</c:v>
                </c:pt>
                <c:pt idx="146">
                  <c:v>5.3250578705480462E-3</c:v>
                </c:pt>
                <c:pt idx="147">
                  <c:v>5.4399831437204269E-3</c:v>
                </c:pt>
                <c:pt idx="148">
                  <c:v>5.554498993143045E-3</c:v>
                </c:pt>
                <c:pt idx="149">
                  <c:v>5.6675395571956898E-3</c:v>
                </c:pt>
                <c:pt idx="150">
                  <c:v>5.7799235087932586E-3</c:v>
                </c:pt>
                <c:pt idx="151">
                  <c:v>5.8915282762593054E-3</c:v>
                </c:pt>
                <c:pt idx="152">
                  <c:v>6.0022250247131993E-3</c:v>
                </c:pt>
                <c:pt idx="153">
                  <c:v>6.111879006783714E-3</c:v>
                </c:pt>
                <c:pt idx="154">
                  <c:v>6.2203499492437427E-3</c:v>
                </c:pt>
                <c:pt idx="155">
                  <c:v>6.3265123599695605E-3</c:v>
                </c:pt>
                <c:pt idx="156">
                  <c:v>6.4317652872749632E-3</c:v>
                </c:pt>
                <c:pt idx="157">
                  <c:v>6.5359517546825421E-3</c:v>
                </c:pt>
                <c:pt idx="158">
                  <c:v>6.638910692207854E-3</c:v>
                </c:pt>
                <c:pt idx="159">
                  <c:v>6.7404774643358666E-3</c:v>
                </c:pt>
                <c:pt idx="160">
                  <c:v>6.8404844286439198E-3</c:v>
                </c:pt>
                <c:pt idx="161">
                  <c:v>6.9387615191511733E-3</c:v>
                </c:pt>
                <c:pt idx="162">
                  <c:v>7.0352310000336392E-3</c:v>
                </c:pt>
                <c:pt idx="163">
                  <c:v>7.1286185922905523E-3</c:v>
                </c:pt>
                <c:pt idx="164">
                  <c:v>7.2200302190199824E-3</c:v>
                </c:pt>
                <c:pt idx="165">
                  <c:v>7.3093282443528768E-3</c:v>
                </c:pt>
                <c:pt idx="166">
                  <c:v>7.3963771813965575E-3</c:v>
                </c:pt>
                <c:pt idx="167">
                  <c:v>7.4810442167144381E-3</c:v>
                </c:pt>
                <c:pt idx="168">
                  <c:v>7.5631997110563219E-3</c:v>
                </c:pt>
                <c:pt idx="169">
                  <c:v>7.6414019805565291E-3</c:v>
                </c:pt>
                <c:pt idx="170">
                  <c:v>7.7166687705271424E-3</c:v>
                </c:pt>
                <c:pt idx="171">
                  <c:v>7.7888789169647393E-3</c:v>
                </c:pt>
                <c:pt idx="172">
                  <c:v>7.8579162128896585E-3</c:v>
                </c:pt>
                <c:pt idx="173">
                  <c:v>7.9235887054303483E-3</c:v>
                </c:pt>
                <c:pt idx="174">
                  <c:v>7.9857031266958693E-3</c:v>
                </c:pt>
                <c:pt idx="175">
                  <c:v>8.0441497696398107E-3</c:v>
                </c:pt>
                <c:pt idx="176">
                  <c:v>8.098825173545255E-3</c:v>
                </c:pt>
                <c:pt idx="177">
                  <c:v>8.1483578153673224E-3</c:v>
                </c:pt>
                <c:pt idx="178">
                  <c:v>8.1940638105740156E-3</c:v>
                </c:pt>
                <c:pt idx="179">
                  <c:v>8.2358633822532112E-3</c:v>
                </c:pt>
                <c:pt idx="180">
                  <c:v>8.2736832705506674E-3</c:v>
                </c:pt>
                <c:pt idx="181">
                  <c:v>8.3074566815408979E-3</c:v>
                </c:pt>
                <c:pt idx="182">
                  <c:v>8.3371231836474602E-3</c:v>
                </c:pt>
                <c:pt idx="183">
                  <c:v>8.3611661908985432E-3</c:v>
                </c:pt>
                <c:pt idx="184">
                  <c:v>8.3810341894986762E-3</c:v>
                </c:pt>
                <c:pt idx="185">
                  <c:v>8.3966972564154061E-3</c:v>
                </c:pt>
                <c:pt idx="186">
                  <c:v>8.408130601144502E-3</c:v>
                </c:pt>
                <c:pt idx="187">
                  <c:v>8.4153142208395239E-3</c:v>
                </c:pt>
                <c:pt idx="188">
                  <c:v>8.4182325248186741E-3</c:v>
                </c:pt>
                <c:pt idx="189">
                  <c:v>8.4168739349360852E-3</c:v>
                </c:pt>
                <c:pt idx="190">
                  <c:v>8.4113316506337441E-3</c:v>
                </c:pt>
                <c:pt idx="191">
                  <c:v>8.399699776288308E-3</c:v>
                </c:pt>
                <c:pt idx="192">
                  <c:v>8.383348256540064E-3</c:v>
                </c:pt>
                <c:pt idx="193">
                  <c:v>8.3622350031969089E-3</c:v>
                </c:pt>
                <c:pt idx="194">
                  <c:v>8.3363190458621925E-3</c:v>
                </c:pt>
                <c:pt idx="195">
                  <c:v>8.3055602668167718E-3</c:v>
                </c:pt>
                <c:pt idx="196">
                  <c:v>8.269919151243893E-3</c:v>
                </c:pt>
                <c:pt idx="197">
                  <c:v>8.2280181991821032E-3</c:v>
                </c:pt>
                <c:pt idx="198">
                  <c:v>8.181380811671031E-3</c:v>
                </c:pt>
                <c:pt idx="199">
                  <c:v>8.1299716386256573E-3</c:v>
                </c:pt>
                <c:pt idx="200">
                  <c:v>8.0737550974316376E-3</c:v>
                </c:pt>
                <c:pt idx="201">
                  <c:v>8.012695247863369E-3</c:v>
                </c:pt>
                <c:pt idx="202">
                  <c:v>7.9467557019539791E-3</c:v>
                </c:pt>
                <c:pt idx="203">
                  <c:v>7.8758995696938776E-3</c:v>
                </c:pt>
                <c:pt idx="204">
                  <c:v>7.8000593720150549E-3</c:v>
                </c:pt>
                <c:pt idx="205">
                  <c:v>7.7238661537539499E-3</c:v>
                </c:pt>
                <c:pt idx="206">
                  <c:v>7.6495751851534824E-3</c:v>
                </c:pt>
                <c:pt idx="207">
                  <c:v>7.5773614248767635E-3</c:v>
                </c:pt>
                <c:pt idx="208">
                  <c:v>7.5073937311063415E-3</c:v>
                </c:pt>
                <c:pt idx="209">
                  <c:v>7.4398351558115526E-3</c:v>
                </c:pt>
                <c:pt idx="210">
                  <c:v>7.3748432847064449E-3</c:v>
                </c:pt>
                <c:pt idx="211">
                  <c:v>7.3238508577718941E-3</c:v>
                </c:pt>
                <c:pt idx="212">
                  <c:v>7.2886468085071173E-3</c:v>
                </c:pt>
                <c:pt idx="213">
                  <c:v>7.2696046419894128E-3</c:v>
                </c:pt>
                <c:pt idx="214">
                  <c:v>7.2670957318556224E-3</c:v>
                </c:pt>
                <c:pt idx="215">
                  <c:v>7.2814914563859266E-3</c:v>
                </c:pt>
                <c:pt idx="216">
                  <c:v>7.3131654055146574E-3</c:v>
                </c:pt>
                <c:pt idx="217">
                  <c:v>7.3624956599028712E-3</c:v>
                </c:pt>
                <c:pt idx="218">
                  <c:v>7.4296854462208061E-3</c:v>
                </c:pt>
                <c:pt idx="219">
                  <c:v>7.5260956241963621E-3</c:v>
                </c:pt>
                <c:pt idx="220">
                  <c:v>7.6470985998082991E-3</c:v>
                </c:pt>
                <c:pt idx="221">
                  <c:v>7.7930895955834458E-3</c:v>
                </c:pt>
                <c:pt idx="222">
                  <c:v>7.964473450631936E-3</c:v>
                </c:pt>
                <c:pt idx="223">
                  <c:v>8.1616658476569449E-3</c:v>
                </c:pt>
                <c:pt idx="224">
                  <c:v>8.3850945543633825E-3</c:v>
                </c:pt>
                <c:pt idx="225">
                  <c:v>8.6565409666673164E-3</c:v>
                </c:pt>
                <c:pt idx="226">
                  <c:v>8.9643984849545524E-3</c:v>
                </c:pt>
                <c:pt idx="227">
                  <c:v>9.3092286128261606E-3</c:v>
                </c:pt>
                <c:pt idx="228">
                  <c:v>9.6916186636554942E-3</c:v>
                </c:pt>
                <c:pt idx="229">
                  <c:v>1.0112183427745048E-2</c:v>
                </c:pt>
                <c:pt idx="230">
                  <c:v>1.0571566911182531E-2</c:v>
                </c:pt>
                <c:pt idx="231">
                  <c:v>1.1070444164250333E-2</c:v>
                </c:pt>
                <c:pt idx="232">
                  <c:v>1.1609407128115073E-2</c:v>
                </c:pt>
                <c:pt idx="233">
                  <c:v>1.2202948042007307E-2</c:v>
                </c:pt>
                <c:pt idx="234">
                  <c:v>1.2840028736728449E-2</c:v>
                </c:pt>
                <c:pt idx="235">
                  <c:v>1.3521494946138234E-2</c:v>
                </c:pt>
                <c:pt idx="236">
                  <c:v>1.4248234523386992E-2</c:v>
                </c:pt>
                <c:pt idx="237">
                  <c:v>1.502116683059861E-2</c:v>
                </c:pt>
                <c:pt idx="238">
                  <c:v>1.5841253302522146E-2</c:v>
                </c:pt>
                <c:pt idx="239">
                  <c:v>1.6699495785479312E-2</c:v>
                </c:pt>
                <c:pt idx="240">
                  <c:v>1.7573636525169009E-2</c:v>
                </c:pt>
                <c:pt idx="241">
                  <c:v>1.8464159941776213E-2</c:v>
                </c:pt>
                <c:pt idx="242">
                  <c:v>1.9371576859879985E-2</c:v>
                </c:pt>
                <c:pt idx="243">
                  <c:v>2.0296425927011429E-2</c:v>
                </c:pt>
                <c:pt idx="244">
                  <c:v>2.1239275122392928E-2</c:v>
                </c:pt>
                <c:pt idx="245">
                  <c:v>2.2200723380447176E-2</c:v>
                </c:pt>
                <c:pt idx="246">
                  <c:v>2.3181501700395978E-2</c:v>
                </c:pt>
                <c:pt idx="247">
                  <c:v>2.4170132578870258E-2</c:v>
                </c:pt>
                <c:pt idx="248">
                  <c:v>2.5151532337525581E-2</c:v>
                </c:pt>
                <c:pt idx="249">
                  <c:v>2.6125606501319825E-2</c:v>
                </c:pt>
                <c:pt idx="250">
                  <c:v>2.7092237987693248E-2</c:v>
                </c:pt>
                <c:pt idx="251">
                  <c:v>2.8051286076688803E-2</c:v>
                </c:pt>
                <c:pt idx="252">
                  <c:v>2.9002585355807884E-2</c:v>
                </c:pt>
                <c:pt idx="253">
                  <c:v>2.9913070591564089E-2</c:v>
                </c:pt>
                <c:pt idx="254">
                  <c:v>3.0792877336073225E-2</c:v>
                </c:pt>
                <c:pt idx="255">
                  <c:v>3.1641215555212931E-2</c:v>
                </c:pt>
                <c:pt idx="256">
                  <c:v>3.2457245511799467E-2</c:v>
                </c:pt>
                <c:pt idx="257">
                  <c:v>3.324007688299447E-2</c:v>
                </c:pt>
                <c:pt idx="258">
                  <c:v>3.3988767995506368E-2</c:v>
                </c:pt>
                <c:pt idx="259">
                  <c:v>3.4702325187219739E-2</c:v>
                </c:pt>
                <c:pt idx="260">
                  <c:v>3.5382794019266355E-2</c:v>
                </c:pt>
                <c:pt idx="261">
                  <c:v>3.5989825085379901E-2</c:v>
                </c:pt>
                <c:pt idx="262">
                  <c:v>3.6534321286107535E-2</c:v>
                </c:pt>
                <c:pt idx="263">
                  <c:v>3.7013545436152935E-2</c:v>
                </c:pt>
                <c:pt idx="264">
                  <c:v>3.7424546500054875E-2</c:v>
                </c:pt>
                <c:pt idx="265">
                  <c:v>3.7764370914347346E-2</c:v>
                </c:pt>
                <c:pt idx="266">
                  <c:v>3.8029779168017058E-2</c:v>
                </c:pt>
                <c:pt idx="267">
                  <c:v>3.8201955386466535E-2</c:v>
                </c:pt>
                <c:pt idx="268">
                  <c:v>3.8314214421706766E-2</c:v>
                </c:pt>
                <c:pt idx="269">
                  <c:v>3.8363331162085006E-2</c:v>
                </c:pt>
                <c:pt idx="270">
                  <c:v>3.8345979607923505E-2</c:v>
                </c:pt>
                <c:pt idx="271">
                  <c:v>3.8258757722714601E-2</c:v>
                </c:pt>
                <c:pt idx="272">
                  <c:v>3.8098216673037644E-2</c:v>
                </c:pt>
                <c:pt idx="273">
                  <c:v>3.7860894815888474E-2</c:v>
                </c:pt>
                <c:pt idx="274">
                  <c:v>3.7547115430431724E-2</c:v>
                </c:pt>
                <c:pt idx="275">
                  <c:v>3.7158012140080243E-2</c:v>
                </c:pt>
                <c:pt idx="276">
                  <c:v>3.6739841512461888E-2</c:v>
                </c:pt>
                <c:pt idx="277">
                  <c:v>3.6292024920604259E-2</c:v>
                </c:pt>
                <c:pt idx="278">
                  <c:v>3.5813999911555441E-2</c:v>
                </c:pt>
                <c:pt idx="279">
                  <c:v>3.530522182415588E-2</c:v>
                </c:pt>
                <c:pt idx="280">
                  <c:v>3.4765165261817998E-2</c:v>
                </c:pt>
                <c:pt idx="281">
                  <c:v>3.4202702157208227E-2</c:v>
                </c:pt>
                <c:pt idx="282">
                  <c:v>3.3634913360007311E-2</c:v>
                </c:pt>
                <c:pt idx="283">
                  <c:v>3.3061976818594699E-2</c:v>
                </c:pt>
                <c:pt idx="284">
                  <c:v>3.2484089289872155E-2</c:v>
                </c:pt>
                <c:pt idx="285">
                  <c:v>3.1901466032556801E-2</c:v>
                </c:pt>
                <c:pt idx="286">
                  <c:v>3.1314340353506893E-2</c:v>
                </c:pt>
                <c:pt idx="287">
                  <c:v>3.0722963008040911E-2</c:v>
                </c:pt>
                <c:pt idx="288">
                  <c:v>3.0128076820849867E-2</c:v>
                </c:pt>
                <c:pt idx="289">
                  <c:v>2.9553455263718591E-2</c:v>
                </c:pt>
                <c:pt idx="290">
                  <c:v>2.8999978302890712E-2</c:v>
                </c:pt>
                <c:pt idx="291">
                  <c:v>2.8468248891336125E-2</c:v>
                </c:pt>
                <c:pt idx="292">
                  <c:v>2.7958884541949846E-2</c:v>
                </c:pt>
                <c:pt idx="293">
                  <c:v>2.7472515350956239E-2</c:v>
                </c:pt>
                <c:pt idx="294">
                  <c:v>2.7009781949618838E-2</c:v>
                </c:pt>
                <c:pt idx="295">
                  <c:v>2.6598803971157298E-2</c:v>
                </c:pt>
                <c:pt idx="296">
                  <c:v>2.623063044220399E-2</c:v>
                </c:pt>
                <c:pt idx="297">
                  <c:v>2.5906475549899419E-2</c:v>
                </c:pt>
                <c:pt idx="298">
                  <c:v>2.5627330500752922E-2</c:v>
                </c:pt>
                <c:pt idx="299">
                  <c:v>2.5394183996767572E-2</c:v>
                </c:pt>
                <c:pt idx="300">
                  <c:v>2.5208019134107203E-2</c:v>
                </c:pt>
                <c:pt idx="301">
                  <c:v>2.5069810205824813E-2</c:v>
                </c:pt>
                <c:pt idx="302">
                  <c:v>2.4982716520161197E-2</c:v>
                </c:pt>
                <c:pt idx="303">
                  <c:v>2.4965187459319017E-2</c:v>
                </c:pt>
                <c:pt idx="304">
                  <c:v>2.499238210241015E-2</c:v>
                </c:pt>
                <c:pt idx="305">
                  <c:v>2.5064656317535804E-2</c:v>
                </c:pt>
                <c:pt idx="306">
                  <c:v>2.5182349016686024E-2</c:v>
                </c:pt>
                <c:pt idx="307">
                  <c:v>2.5345769133902313E-2</c:v>
                </c:pt>
                <c:pt idx="308">
                  <c:v>2.5555181444370214E-2</c:v>
                </c:pt>
                <c:pt idx="309">
                  <c:v>2.5813800965780988E-2</c:v>
                </c:pt>
                <c:pt idx="310">
                  <c:v>2.60914677233039E-2</c:v>
                </c:pt>
                <c:pt idx="311">
                  <c:v>2.6387695552936536E-2</c:v>
                </c:pt>
                <c:pt idx="312">
                  <c:v>2.6701904672943845E-2</c:v>
                </c:pt>
                <c:pt idx="313">
                  <c:v>2.7033411259264947E-2</c:v>
                </c:pt>
                <c:pt idx="314">
                  <c:v>2.7381417062536412E-2</c:v>
                </c:pt>
                <c:pt idx="315">
                  <c:v>2.7744999334065944E-2</c:v>
                </c:pt>
                <c:pt idx="316">
                  <c:v>2.8126002030453394E-2</c:v>
                </c:pt>
                <c:pt idx="317">
                  <c:v>2.8510589199485036E-2</c:v>
                </c:pt>
                <c:pt idx="318">
                  <c:v>2.8881580257775111E-2</c:v>
                </c:pt>
                <c:pt idx="319">
                  <c:v>2.9238558315604211E-2</c:v>
                </c:pt>
                <c:pt idx="320">
                  <c:v>2.9581089318769429E-2</c:v>
                </c:pt>
                <c:pt idx="321">
                  <c:v>2.9908720444847291E-2</c:v>
                </c:pt>
                <c:pt idx="322">
                  <c:v>3.0220978730010884E-2</c:v>
                </c:pt>
                <c:pt idx="323">
                  <c:v>3.0497494437239148E-2</c:v>
                </c:pt>
                <c:pt idx="324">
                  <c:v>3.0734264108524895E-2</c:v>
                </c:pt>
                <c:pt idx="325">
                  <c:v>3.0930479356285033E-2</c:v>
                </c:pt>
                <c:pt idx="326">
                  <c:v>3.1085137946584181E-2</c:v>
                </c:pt>
                <c:pt idx="327">
                  <c:v>3.1197367177889668E-2</c:v>
                </c:pt>
                <c:pt idx="328">
                  <c:v>3.1266462866472361E-2</c:v>
                </c:pt>
                <c:pt idx="329">
                  <c:v>3.1291735606760032E-2</c:v>
                </c:pt>
                <c:pt idx="330">
                  <c:v>3.127504128634865E-2</c:v>
                </c:pt>
                <c:pt idx="331">
                  <c:v>3.121855479342896E-2</c:v>
                </c:pt>
                <c:pt idx="332">
                  <c:v>3.1138404985740876E-2</c:v>
                </c:pt>
                <c:pt idx="333">
                  <c:v>3.1033393865016912E-2</c:v>
                </c:pt>
                <c:pt idx="334">
                  <c:v>3.0902304143618917E-2</c:v>
                </c:pt>
                <c:pt idx="335">
                  <c:v>3.0743913029891545E-2</c:v>
                </c:pt>
                <c:pt idx="336">
                  <c:v>3.0557007704110593E-2</c:v>
                </c:pt>
                <c:pt idx="337">
                  <c:v>3.0349107310828294E-2</c:v>
                </c:pt>
                <c:pt idx="338">
                  <c:v>3.0139899922299544E-2</c:v>
                </c:pt>
                <c:pt idx="339">
                  <c:v>2.9928407127172808E-2</c:v>
                </c:pt>
                <c:pt idx="340">
                  <c:v>2.9713663160817177E-2</c:v>
                </c:pt>
                <c:pt idx="341">
                  <c:v>2.9494723910258317E-2</c:v>
                </c:pt>
                <c:pt idx="342">
                  <c:v>2.9270676499061666E-2</c:v>
                </c:pt>
                <c:pt idx="343">
                  <c:v>2.904064928191457E-2</c:v>
                </c:pt>
                <c:pt idx="344">
                  <c:v>2.8802641933429608E-2</c:v>
                </c:pt>
                <c:pt idx="345">
                  <c:v>2.8556450594199326E-2</c:v>
                </c:pt>
                <c:pt idx="346">
                  <c:v>2.831234879937115E-2</c:v>
                </c:pt>
                <c:pt idx="347">
                  <c:v>2.807209734690427E-2</c:v>
                </c:pt>
                <c:pt idx="348">
                  <c:v>2.783739990928381E-2</c:v>
                </c:pt>
                <c:pt idx="349">
                  <c:v>2.7609895097108511E-2</c:v>
                </c:pt>
                <c:pt idx="350">
                  <c:v>2.7391150956230546E-2</c:v>
                </c:pt>
                <c:pt idx="351">
                  <c:v>2.7191652252665E-2</c:v>
                </c:pt>
                <c:pt idx="352">
                  <c:v>2.7004215616433826E-2</c:v>
                </c:pt>
                <c:pt idx="353">
                  <c:v>2.6830175165761458E-2</c:v>
                </c:pt>
                <c:pt idx="354">
                  <c:v>2.6670796338845681E-2</c:v>
                </c:pt>
                <c:pt idx="355">
                  <c:v>2.6527280846248627E-2</c:v>
                </c:pt>
                <c:pt idx="356">
                  <c:v>2.6400663064117674E-2</c:v>
                </c:pt>
                <c:pt idx="357">
                  <c:v>2.6292113417162092E-2</c:v>
                </c:pt>
                <c:pt idx="358">
                  <c:v>2.6200230019616619E-2</c:v>
                </c:pt>
                <c:pt idx="359">
                  <c:v>2.6122368953481776E-2</c:v>
                </c:pt>
                <c:pt idx="360">
                  <c:v>2.6065732832294491E-2</c:v>
                </c:pt>
                <c:pt idx="361">
                  <c:v>2.6020776553113464E-2</c:v>
                </c:pt>
                <c:pt idx="362">
                  <c:v>2.5986635484597363E-2</c:v>
                </c:pt>
                <c:pt idx="363">
                  <c:v>2.5962461834948256E-2</c:v>
                </c:pt>
                <c:pt idx="364">
                  <c:v>2.5947423972341864E-2</c:v>
                </c:pt>
                <c:pt idx="365">
                  <c:v>2.5940706028933849E-2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228160"/>
        <c:axId val="413228552"/>
      </c:lineChart>
      <c:dateAx>
        <c:axId val="4132281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228552"/>
        <c:crosses val="autoZero"/>
        <c:auto val="1"/>
        <c:lblOffset val="100"/>
        <c:baseTimeUnit val="days"/>
        <c:majorUnit val="1"/>
        <c:majorTimeUnit val="months"/>
      </c:dateAx>
      <c:valAx>
        <c:axId val="4132285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228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14.844577405443843</c:v>
                </c:pt>
                <c:pt idx="1">
                  <c:v>14.948854987231762</c:v>
                </c:pt>
                <c:pt idx="2">
                  <c:v>15.058955410072922</c:v>
                </c:pt>
                <c:pt idx="3">
                  <c:v>15.175169735382333</c:v>
                </c:pt>
                <c:pt idx="4">
                  <c:v>15.297788701724553</c:v>
                </c:pt>
                <c:pt idx="5">
                  <c:v>15.427102741067188</c:v>
                </c:pt>
                <c:pt idx="6">
                  <c:v>15.563401974476403</c:v>
                </c:pt>
                <c:pt idx="7">
                  <c:v>15.706976238656726</c:v>
                </c:pt>
                <c:pt idx="8">
                  <c:v>15.858673354820509</c:v>
                </c:pt>
                <c:pt idx="9">
                  <c:v>16.019021535779398</c:v>
                </c:pt>
                <c:pt idx="10">
                  <c:v>16.187523065896293</c:v>
                </c:pt>
                <c:pt idx="11">
                  <c:v>16.363560809492032</c:v>
                </c:pt>
                <c:pt idx="12">
                  <c:v>16.546517840486722</c:v>
                </c:pt>
                <c:pt idx="13">
                  <c:v>16.735777443970861</c:v>
                </c:pt>
                <c:pt idx="14">
                  <c:v>16.930723130067939</c:v>
                </c:pt>
                <c:pt idx="15">
                  <c:v>17.130981423588572</c:v>
                </c:pt>
                <c:pt idx="16">
                  <c:v>17.335946709057374</c:v>
                </c:pt>
                <c:pt idx="17">
                  <c:v>17.545003173025073</c:v>
                </c:pt>
                <c:pt idx="18">
                  <c:v>17.757535236204127</c:v>
                </c:pt>
                <c:pt idx="19">
                  <c:v>17.972925098273784</c:v>
                </c:pt>
                <c:pt idx="20">
                  <c:v>18.190554117838605</c:v>
                </c:pt>
                <c:pt idx="21">
                  <c:v>18.40980586458533</c:v>
                </c:pt>
                <c:pt idx="22">
                  <c:v>18.631995436098187</c:v>
                </c:pt>
                <c:pt idx="23">
                  <c:v>18.858679747831793</c:v>
                </c:pt>
                <c:pt idx="24">
                  <c:v>19.089389257404004</c:v>
                </c:pt>
                <c:pt idx="25">
                  <c:v>19.323939431530981</c:v>
                </c:pt>
                <c:pt idx="26">
                  <c:v>19.562145921452679</c:v>
                </c:pt>
                <c:pt idx="27">
                  <c:v>19.803824577218307</c:v>
                </c:pt>
                <c:pt idx="28">
                  <c:v>20.048791457600384</c:v>
                </c:pt>
                <c:pt idx="29">
                  <c:v>20.296613385540908</c:v>
                </c:pt>
                <c:pt idx="30">
                  <c:v>20.546864341448035</c:v>
                </c:pt>
                <c:pt idx="31">
                  <c:v>20.79936112424263</c:v>
                </c:pt>
                <c:pt idx="32">
                  <c:v>21.053920721932567</c:v>
                </c:pt>
                <c:pt idx="33">
                  <c:v>21.310360309000046</c:v>
                </c:pt>
                <c:pt idx="34">
                  <c:v>21.56849723958759</c:v>
                </c:pt>
                <c:pt idx="35">
                  <c:v>21.828149046430926</c:v>
                </c:pt>
                <c:pt idx="36">
                  <c:v>22.088799762159848</c:v>
                </c:pt>
                <c:pt idx="37">
                  <c:v>22.349831755711502</c:v>
                </c:pt>
                <c:pt idx="38">
                  <c:v>22.611653814180332</c:v>
                </c:pt>
                <c:pt idx="39">
                  <c:v>22.874629452696841</c:v>
                </c:pt>
                <c:pt idx="40">
                  <c:v>23.139121988053198</c:v>
                </c:pt>
                <c:pt idx="41">
                  <c:v>23.405494534521029</c:v>
                </c:pt>
                <c:pt idx="42">
                  <c:v>23.674109986265172</c:v>
                </c:pt>
                <c:pt idx="43">
                  <c:v>23.944920171572747</c:v>
                </c:pt>
                <c:pt idx="44">
                  <c:v>24.218536485715731</c:v>
                </c:pt>
                <c:pt idx="45">
                  <c:v>24.495320832022358</c:v>
                </c:pt>
                <c:pt idx="46">
                  <c:v>24.775634816654168</c:v>
                </c:pt>
                <c:pt idx="47">
                  <c:v>25.059839727985732</c:v>
                </c:pt>
                <c:pt idx="48">
                  <c:v>25.348296524728958</c:v>
                </c:pt>
                <c:pt idx="49">
                  <c:v>25.641365800237583</c:v>
                </c:pt>
                <c:pt idx="50">
                  <c:v>25.939286654353225</c:v>
                </c:pt>
                <c:pt idx="51">
                  <c:v>26.24163602986771</c:v>
                </c:pt>
                <c:pt idx="52">
                  <c:v>26.548517021299062</c:v>
                </c:pt>
                <c:pt idx="53">
                  <c:v>26.859566427831975</c:v>
                </c:pt>
                <c:pt idx="54">
                  <c:v>27.174418773139493</c:v>
                </c:pt>
                <c:pt idx="55">
                  <c:v>27.492708574553273</c:v>
                </c:pt>
                <c:pt idx="56">
                  <c:v>27.814070303843302</c:v>
                </c:pt>
                <c:pt idx="57">
                  <c:v>28.138142734865831</c:v>
                </c:pt>
                <c:pt idx="58">
                  <c:v>28.464972795118165</c:v>
                </c:pt>
                <c:pt idx="59">
                  <c:v>28.794195045900057</c:v>
                </c:pt>
                <c:pt idx="60">
                  <c:v>29.125443896970864</c:v>
                </c:pt>
                <c:pt idx="61">
                  <c:v>29.458353575565702</c:v>
                </c:pt>
                <c:pt idx="62">
                  <c:v>29.792558091204221</c:v>
                </c:pt>
                <c:pt idx="63">
                  <c:v>30.127691211277135</c:v>
                </c:pt>
                <c:pt idx="64">
                  <c:v>30.465864932291606</c:v>
                </c:pt>
                <c:pt idx="65">
                  <c:v>30.809270126548213</c:v>
                </c:pt>
                <c:pt idx="66">
                  <c:v>31.157353911102007</c:v>
                </c:pt>
                <c:pt idx="67">
                  <c:v>31.509385003874005</c:v>
                </c:pt>
                <c:pt idx="68">
                  <c:v>31.864631995496989</c:v>
                </c:pt>
                <c:pt idx="69">
                  <c:v>32.222363346576806</c:v>
                </c:pt>
                <c:pt idx="70">
                  <c:v>32.58184738457642</c:v>
                </c:pt>
                <c:pt idx="71">
                  <c:v>32.943300774266696</c:v>
                </c:pt>
                <c:pt idx="72">
                  <c:v>33.305989264597351</c:v>
                </c:pt>
                <c:pt idx="73">
                  <c:v>33.669182704849781</c:v>
                </c:pt>
                <c:pt idx="74">
                  <c:v>34.032151158134333</c:v>
                </c:pt>
                <c:pt idx="75">
                  <c:v>34.39416496114206</c:v>
                </c:pt>
                <c:pt idx="76">
                  <c:v>34.754494790922941</c:v>
                </c:pt>
                <c:pt idx="77">
                  <c:v>35.112411735003661</c:v>
                </c:pt>
                <c:pt idx="78">
                  <c:v>35.471154994317075</c:v>
                </c:pt>
                <c:pt idx="79">
                  <c:v>35.834586427761167</c:v>
                </c:pt>
                <c:pt idx="80">
                  <c:v>36.20138193667443</c:v>
                </c:pt>
                <c:pt idx="81">
                  <c:v>36.570543887165655</c:v>
                </c:pt>
                <c:pt idx="82">
                  <c:v>36.941076036028505</c:v>
                </c:pt>
                <c:pt idx="83">
                  <c:v>37.311983650458984</c:v>
                </c:pt>
                <c:pt idx="84">
                  <c:v>37.68227362921418</c:v>
                </c:pt>
                <c:pt idx="85">
                  <c:v>38.051281521312127</c:v>
                </c:pt>
                <c:pt idx="86">
                  <c:v>38.417057973174039</c:v>
                </c:pt>
                <c:pt idx="87">
                  <c:v>38.77861366625875</c:v>
                </c:pt>
                <c:pt idx="88">
                  <c:v>39.134961049186167</c:v>
                </c:pt>
                <c:pt idx="89">
                  <c:v>39.485114429145533</c:v>
                </c:pt>
                <c:pt idx="90">
                  <c:v>39.828090081831874</c:v>
                </c:pt>
                <c:pt idx="91">
                  <c:v>40.162906343487649</c:v>
                </c:pt>
                <c:pt idx="92">
                  <c:v>40.490872498164691</c:v>
                </c:pt>
                <c:pt idx="93">
                  <c:v>40.814301366460974</c:v>
                </c:pt>
                <c:pt idx="94">
                  <c:v>41.132465567702035</c:v>
                </c:pt>
                <c:pt idx="95">
                  <c:v>41.445467795016476</c:v>
                </c:pt>
                <c:pt idx="96">
                  <c:v>41.753411968460597</c:v>
                </c:pt>
                <c:pt idx="97">
                  <c:v>42.05640328273914</c:v>
                </c:pt>
                <c:pt idx="98">
                  <c:v>42.354548260145762</c:v>
                </c:pt>
                <c:pt idx="99">
                  <c:v>42.647540921499079</c:v>
                </c:pt>
                <c:pt idx="100">
                  <c:v>42.935136368904132</c:v>
                </c:pt>
                <c:pt idx="101">
                  <c:v>43.217432906326451</c:v>
                </c:pt>
                <c:pt idx="102">
                  <c:v>43.494529181650087</c:v>
                </c:pt>
                <c:pt idx="103">
                  <c:v>43.766524186659211</c:v>
                </c:pt>
                <c:pt idx="104">
                  <c:v>44.033517235139506</c:v>
                </c:pt>
                <c:pt idx="105">
                  <c:v>44.295607969052121</c:v>
                </c:pt>
                <c:pt idx="106">
                  <c:v>44.552670944178658</c:v>
                </c:pt>
                <c:pt idx="107">
                  <c:v>44.803865838172612</c:v>
                </c:pt>
                <c:pt idx="108">
                  <c:v>45.048893674333954</c:v>
                </c:pt>
                <c:pt idx="109">
                  <c:v>45.287749505805984</c:v>
                </c:pt>
                <c:pt idx="110">
                  <c:v>45.520426359928187</c:v>
                </c:pt>
                <c:pt idx="111">
                  <c:v>45.746916484185547</c:v>
                </c:pt>
                <c:pt idx="112">
                  <c:v>45.967212360008588</c:v>
                </c:pt>
                <c:pt idx="113">
                  <c:v>46.180942631289334</c:v>
                </c:pt>
                <c:pt idx="114">
                  <c:v>46.38854368671182</c:v>
                </c:pt>
                <c:pt idx="115">
                  <c:v>46.590008469570066</c:v>
                </c:pt>
                <c:pt idx="116">
                  <c:v>46.785329122905317</c:v>
                </c:pt>
                <c:pt idx="117">
                  <c:v>46.974496981321046</c:v>
                </c:pt>
                <c:pt idx="118">
                  <c:v>47.157502571375339</c:v>
                </c:pt>
                <c:pt idx="119">
                  <c:v>52.980532223539278</c:v>
                </c:pt>
                <c:pt idx="120">
                  <c:v>53.167930897375847</c:v>
                </c:pt>
                <c:pt idx="121">
                  <c:v>53.348677410760118</c:v>
                </c:pt>
                <c:pt idx="122">
                  <c:v>53.523344109648626</c:v>
                </c:pt>
                <c:pt idx="123">
                  <c:v>53.691716391063224</c:v>
                </c:pt>
                <c:pt idx="124">
                  <c:v>53.853578733766632</c:v>
                </c:pt>
                <c:pt idx="125">
                  <c:v>54.008714698172611</c:v>
                </c:pt>
                <c:pt idx="126">
                  <c:v>54.156906944968881</c:v>
                </c:pt>
                <c:pt idx="127">
                  <c:v>54.297699774203046</c:v>
                </c:pt>
                <c:pt idx="128">
                  <c:v>54.431315686851441</c:v>
                </c:pt>
                <c:pt idx="129">
                  <c:v>54.557536947209677</c:v>
                </c:pt>
                <c:pt idx="130">
                  <c:v>54.676145021847987</c:v>
                </c:pt>
                <c:pt idx="131">
                  <c:v>54.786920590877521</c:v>
                </c:pt>
                <c:pt idx="132">
                  <c:v>54.889643587246759</c:v>
                </c:pt>
                <c:pt idx="133">
                  <c:v>54.984093219921412</c:v>
                </c:pt>
                <c:pt idx="134">
                  <c:v>55.06968035791715</c:v>
                </c:pt>
                <c:pt idx="135">
                  <c:v>55.146280995195156</c:v>
                </c:pt>
                <c:pt idx="136">
                  <c:v>55.214880722034188</c:v>
                </c:pt>
                <c:pt idx="137">
                  <c:v>55.275880357024654</c:v>
                </c:pt>
                <c:pt idx="138">
                  <c:v>55.329680405711265</c:v>
                </c:pt>
                <c:pt idx="139">
                  <c:v>55.37668105748461</c:v>
                </c:pt>
                <c:pt idx="140">
                  <c:v>55.417282231558652</c:v>
                </c:pt>
                <c:pt idx="141">
                  <c:v>55.451982457825224</c:v>
                </c:pt>
                <c:pt idx="142">
                  <c:v>55.481468887235259</c:v>
                </c:pt>
                <c:pt idx="143">
                  <c:v>55.50615564350533</c:v>
                </c:pt>
                <c:pt idx="144">
                  <c:v>55.526333880586719</c:v>
                </c:pt>
                <c:pt idx="145">
                  <c:v>55.542519971702639</c:v>
                </c:pt>
                <c:pt idx="146">
                  <c:v>55.555185354580921</c:v>
                </c:pt>
                <c:pt idx="147">
                  <c:v>55.564727073459821</c:v>
                </c:pt>
                <c:pt idx="148">
                  <c:v>55.569892998026617</c:v>
                </c:pt>
                <c:pt idx="149">
                  <c:v>55.569451815566261</c:v>
                </c:pt>
                <c:pt idx="150">
                  <c:v>55.563655871176287</c:v>
                </c:pt>
                <c:pt idx="151">
                  <c:v>55.552814979036683</c:v>
                </c:pt>
                <c:pt idx="152">
                  <c:v>55.537238637542636</c:v>
                </c:pt>
                <c:pt idx="153">
                  <c:v>55.517236000972034</c:v>
                </c:pt>
                <c:pt idx="154">
                  <c:v>55.49311584783829</c:v>
                </c:pt>
                <c:pt idx="155">
                  <c:v>55.465285482736526</c:v>
                </c:pt>
                <c:pt idx="156">
                  <c:v>55.433968286126778</c:v>
                </c:pt>
                <c:pt idx="157">
                  <c:v>55.399478500061441</c:v>
                </c:pt>
                <c:pt idx="158">
                  <c:v>55.362130037979902</c:v>
                </c:pt>
                <c:pt idx="159">
                  <c:v>55.322236439714843</c:v>
                </c:pt>
                <c:pt idx="160">
                  <c:v>55.280110817843969</c:v>
                </c:pt>
                <c:pt idx="161">
                  <c:v>55.236065815848697</c:v>
                </c:pt>
                <c:pt idx="162">
                  <c:v>55.189667151902981</c:v>
                </c:pt>
                <c:pt idx="163">
                  <c:v>55.140399241914167</c:v>
                </c:pt>
                <c:pt idx="164">
                  <c:v>55.088179907249618</c:v>
                </c:pt>
                <c:pt idx="165">
                  <c:v>55.033023124143504</c:v>
                </c:pt>
                <c:pt idx="166">
                  <c:v>54.974942459917656</c:v>
                </c:pt>
                <c:pt idx="167">
                  <c:v>54.913951021679111</c:v>
                </c:pt>
                <c:pt idx="168">
                  <c:v>54.850061421309839</c:v>
                </c:pt>
                <c:pt idx="169">
                  <c:v>54.783408609607896</c:v>
                </c:pt>
                <c:pt idx="170">
                  <c:v>54.713894473530992</c:v>
                </c:pt>
                <c:pt idx="171">
                  <c:v>54.641530022174038</c:v>
                </c:pt>
                <c:pt idx="172">
                  <c:v>54.566325634003704</c:v>
                </c:pt>
                <c:pt idx="173">
                  <c:v>54.488297613563994</c:v>
                </c:pt>
                <c:pt idx="174">
                  <c:v>54.407462082728024</c:v>
                </c:pt>
                <c:pt idx="175">
                  <c:v>54.323828117039419</c:v>
                </c:pt>
                <c:pt idx="176">
                  <c:v>54.237404071729962</c:v>
                </c:pt>
                <c:pt idx="177">
                  <c:v>54.148314803109535</c:v>
                </c:pt>
                <c:pt idx="178">
                  <c:v>54.056439366400824</c:v>
                </c:pt>
                <c:pt idx="179">
                  <c:v>53.961783765093358</c:v>
                </c:pt>
                <c:pt idx="180">
                  <c:v>53.86435330376041</c:v>
                </c:pt>
                <c:pt idx="181">
                  <c:v>53.764152596778665</c:v>
                </c:pt>
                <c:pt idx="182">
                  <c:v>53.66118558671203</c:v>
                </c:pt>
                <c:pt idx="183">
                  <c:v>53.555566312552706</c:v>
                </c:pt>
                <c:pt idx="184">
                  <c:v>53.447165409459842</c:v>
                </c:pt>
                <c:pt idx="185">
                  <c:v>53.335984621069279</c:v>
                </c:pt>
                <c:pt idx="186">
                  <c:v>53.222025156811753</c:v>
                </c:pt>
                <c:pt idx="187">
                  <c:v>53.105287724875552</c:v>
                </c:pt>
                <c:pt idx="188">
                  <c:v>52.985772573908108</c:v>
                </c:pt>
                <c:pt idx="189">
                  <c:v>52.86347952582819</c:v>
                </c:pt>
                <c:pt idx="190">
                  <c:v>52.737765824895313</c:v>
                </c:pt>
                <c:pt idx="191">
                  <c:v>52.608222381296891</c:v>
                </c:pt>
                <c:pt idx="192">
                  <c:v>52.475016510387171</c:v>
                </c:pt>
                <c:pt idx="193">
                  <c:v>52.33843881005447</c:v>
                </c:pt>
                <c:pt idx="194">
                  <c:v>52.198779627546251</c:v>
                </c:pt>
                <c:pt idx="195">
                  <c:v>52.056329101319307</c:v>
                </c:pt>
                <c:pt idx="196">
                  <c:v>51.911377193075595</c:v>
                </c:pt>
                <c:pt idx="197">
                  <c:v>51.764081923790975</c:v>
                </c:pt>
                <c:pt idx="198">
                  <c:v>51.614609521466235</c:v>
                </c:pt>
                <c:pt idx="199">
                  <c:v>51.463241617657296</c:v>
                </c:pt>
                <c:pt idx="200">
                  <c:v>51.310260305346873</c:v>
                </c:pt>
                <c:pt idx="201">
                  <c:v>51.155948148639752</c:v>
                </c:pt>
                <c:pt idx="202">
                  <c:v>51.000588181754125</c:v>
                </c:pt>
                <c:pt idx="203">
                  <c:v>50.844463906240769</c:v>
                </c:pt>
                <c:pt idx="204">
                  <c:v>50.687975100036084</c:v>
                </c:pt>
                <c:pt idx="205">
                  <c:v>50.530651687942921</c:v>
                </c:pt>
                <c:pt idx="206">
                  <c:v>50.372069155736511</c:v>
                </c:pt>
                <c:pt idx="207">
                  <c:v>50.211826433144161</c:v>
                </c:pt>
                <c:pt idx="208">
                  <c:v>50.049523514325692</c:v>
                </c:pt>
                <c:pt idx="209">
                  <c:v>49.884761429964207</c:v>
                </c:pt>
                <c:pt idx="210">
                  <c:v>49.7171422178507</c:v>
                </c:pt>
                <c:pt idx="211">
                  <c:v>49.5452892290836</c:v>
                </c:pt>
                <c:pt idx="212">
                  <c:v>49.368966819401216</c:v>
                </c:pt>
                <c:pt idx="213">
                  <c:v>49.187781968295873</c:v>
                </c:pt>
                <c:pt idx="214">
                  <c:v>49.001342545751925</c:v>
                </c:pt>
                <c:pt idx="215">
                  <c:v>48.809257288760193</c:v>
                </c:pt>
                <c:pt idx="216">
                  <c:v>48.611135770970492</c:v>
                </c:pt>
                <c:pt idx="217">
                  <c:v>48.406588383027056</c:v>
                </c:pt>
                <c:pt idx="218">
                  <c:v>48.196420196793959</c:v>
                </c:pt>
                <c:pt idx="219">
                  <c:v>47.980659637191401</c:v>
                </c:pt>
                <c:pt idx="220">
                  <c:v>47.759623786353139</c:v>
                </c:pt>
                <c:pt idx="221">
                  <c:v>47.533214963379592</c:v>
                </c:pt>
                <c:pt idx="222">
                  <c:v>47.301336309567787</c:v>
                </c:pt>
                <c:pt idx="223">
                  <c:v>47.06389177055339</c:v>
                </c:pt>
                <c:pt idx="224">
                  <c:v>46.820786083460675</c:v>
                </c:pt>
                <c:pt idx="225">
                  <c:v>46.570956282677862</c:v>
                </c:pt>
                <c:pt idx="226">
                  <c:v>46.315301403845325</c:v>
                </c:pt>
                <c:pt idx="227">
                  <c:v>46.05373268957679</c:v>
                </c:pt>
                <c:pt idx="228">
                  <c:v>45.786161850948545</c:v>
                </c:pt>
                <c:pt idx="229">
                  <c:v>45.512501078768054</c:v>
                </c:pt>
                <c:pt idx="230">
                  <c:v>45.232663072590242</c:v>
                </c:pt>
                <c:pt idx="231">
                  <c:v>44.946561051641162</c:v>
                </c:pt>
                <c:pt idx="232">
                  <c:v>44.654565209947947</c:v>
                </c:pt>
                <c:pt idx="233">
                  <c:v>44.356735867749215</c:v>
                </c:pt>
                <c:pt idx="234">
                  <c:v>44.05397842309398</c:v>
                </c:pt>
                <c:pt idx="235">
                  <c:v>43.746212550282564</c:v>
                </c:pt>
                <c:pt idx="236">
                  <c:v>43.433357396282936</c:v>
                </c:pt>
                <c:pt idx="237">
                  <c:v>43.115332736972398</c:v>
                </c:pt>
                <c:pt idx="238">
                  <c:v>42.792058348852734</c:v>
                </c:pt>
                <c:pt idx="239">
                  <c:v>42.464405741064596</c:v>
                </c:pt>
                <c:pt idx="240">
                  <c:v>42.133246397792306</c:v>
                </c:pt>
                <c:pt idx="241">
                  <c:v>41.798496709272165</c:v>
                </c:pt>
                <c:pt idx="242">
                  <c:v>41.460072790239167</c:v>
                </c:pt>
                <c:pt idx="243">
                  <c:v>41.117890514363594</c:v>
                </c:pt>
                <c:pt idx="244">
                  <c:v>40.771865562866303</c:v>
                </c:pt>
                <c:pt idx="245">
                  <c:v>40.421913455763409</c:v>
                </c:pt>
                <c:pt idx="246">
                  <c:v>40.06777084779916</c:v>
                </c:pt>
                <c:pt idx="247">
                  <c:v>39.710437481917381</c:v>
                </c:pt>
                <c:pt idx="248">
                  <c:v>39.350408857050368</c:v>
                </c:pt>
                <c:pt idx="249">
                  <c:v>38.987886642603634</c:v>
                </c:pt>
                <c:pt idx="250">
                  <c:v>38.623071957878125</c:v>
                </c:pt>
                <c:pt idx="251">
                  <c:v>38.256165372292863</c:v>
                </c:pt>
                <c:pt idx="252">
                  <c:v>37.887366901557343</c:v>
                </c:pt>
                <c:pt idx="253">
                  <c:v>37.518798966984136</c:v>
                </c:pt>
                <c:pt idx="254">
                  <c:v>37.149707072135811</c:v>
                </c:pt>
                <c:pt idx="255">
                  <c:v>36.780284443163694</c:v>
                </c:pt>
                <c:pt idx="256">
                  <c:v>36.410723375355147</c:v>
                </c:pt>
                <c:pt idx="257">
                  <c:v>36.041215178320194</c:v>
                </c:pt>
                <c:pt idx="258">
                  <c:v>35.671950107938038</c:v>
                </c:pt>
                <c:pt idx="259">
                  <c:v>35.303117296160089</c:v>
                </c:pt>
                <c:pt idx="260">
                  <c:v>34.931681205678522</c:v>
                </c:pt>
                <c:pt idx="261">
                  <c:v>34.557132801856326</c:v>
                </c:pt>
                <c:pt idx="262">
                  <c:v>34.179668809367378</c:v>
                </c:pt>
                <c:pt idx="263">
                  <c:v>33.800538597584207</c:v>
                </c:pt>
                <c:pt idx="264">
                  <c:v>33.420988605583368</c:v>
                </c:pt>
                <c:pt idx="265">
                  <c:v>33.042252087599664</c:v>
                </c:pt>
                <c:pt idx="266">
                  <c:v>32.665564630790087</c:v>
                </c:pt>
                <c:pt idx="267">
                  <c:v>32.292456538841861</c:v>
                </c:pt>
                <c:pt idx="268">
                  <c:v>31.922289125482909</c:v>
                </c:pt>
                <c:pt idx="269">
                  <c:v>31.556306918565156</c:v>
                </c:pt>
                <c:pt idx="270">
                  <c:v>31.195751784535631</c:v>
                </c:pt>
                <c:pt idx="271">
                  <c:v>30.841862818511625</c:v>
                </c:pt>
                <c:pt idx="272">
                  <c:v>30.495876249833685</c:v>
                </c:pt>
                <c:pt idx="273">
                  <c:v>30.159025348065445</c:v>
                </c:pt>
                <c:pt idx="274">
                  <c:v>29.829390921178316</c:v>
                </c:pt>
                <c:pt idx="275">
                  <c:v>29.503832544265475</c:v>
                </c:pt>
                <c:pt idx="276">
                  <c:v>29.180578771289962</c:v>
                </c:pt>
                <c:pt idx="277">
                  <c:v>28.859618066344762</c:v>
                </c:pt>
                <c:pt idx="278">
                  <c:v>28.540938204868425</c:v>
                </c:pt>
                <c:pt idx="279">
                  <c:v>28.224526285936232</c:v>
                </c:pt>
                <c:pt idx="280">
                  <c:v>27.910368751794621</c:v>
                </c:pt>
                <c:pt idx="281">
                  <c:v>27.597715721963745</c:v>
                </c:pt>
                <c:pt idx="282">
                  <c:v>27.286287014903476</c:v>
                </c:pt>
                <c:pt idx="283">
                  <c:v>26.976080507824356</c:v>
                </c:pt>
                <c:pt idx="284">
                  <c:v>26.667094374720254</c:v>
                </c:pt>
                <c:pt idx="285">
                  <c:v>26.359327130625594</c:v>
                </c:pt>
                <c:pt idx="286">
                  <c:v>26.052777676765849</c:v>
                </c:pt>
                <c:pt idx="287">
                  <c:v>25.747445343742054</c:v>
                </c:pt>
                <c:pt idx="288">
                  <c:v>25.442911149872913</c:v>
                </c:pt>
                <c:pt idx="289">
                  <c:v>25.138084414198698</c:v>
                </c:pt>
                <c:pt idx="290">
                  <c:v>24.833531416384957</c:v>
                </c:pt>
                <c:pt idx="291">
                  <c:v>24.529454887871715</c:v>
                </c:pt>
                <c:pt idx="292">
                  <c:v>24.226058291066835</c:v>
                </c:pt>
                <c:pt idx="293">
                  <c:v>23.92354582191939</c:v>
                </c:pt>
                <c:pt idx="294">
                  <c:v>23.622122407382651</c:v>
                </c:pt>
                <c:pt idx="295">
                  <c:v>23.321385015617089</c:v>
                </c:pt>
                <c:pt idx="296">
                  <c:v>23.022222145489049</c:v>
                </c:pt>
                <c:pt idx="297">
                  <c:v>22.724832931030235</c:v>
                </c:pt>
                <c:pt idx="298">
                  <c:v>22.429424697522695</c:v>
                </c:pt>
                <c:pt idx="299">
                  <c:v>22.136205087115567</c:v>
                </c:pt>
                <c:pt idx="300">
                  <c:v>21.845382005813942</c:v>
                </c:pt>
                <c:pt idx="301">
                  <c:v>21.557163571544322</c:v>
                </c:pt>
                <c:pt idx="302">
                  <c:v>21.269813954434362</c:v>
                </c:pt>
                <c:pt idx="303">
                  <c:v>20.981727788585985</c:v>
                </c:pt>
                <c:pt idx="304">
                  <c:v>20.694330088354498</c:v>
                </c:pt>
                <c:pt idx="305">
                  <c:v>20.408301167701644</c:v>
                </c:pt>
                <c:pt idx="306">
                  <c:v>20.12432084127262</c:v>
                </c:pt>
                <c:pt idx="307">
                  <c:v>19.843068405764672</c:v>
                </c:pt>
                <c:pt idx="308">
                  <c:v>19.565222603614039</c:v>
                </c:pt>
                <c:pt idx="309">
                  <c:v>19.291584758786616</c:v>
                </c:pt>
                <c:pt idx="310">
                  <c:v>19.023378104079988</c:v>
                </c:pt>
                <c:pt idx="311">
                  <c:v>18.761265021181604</c:v>
                </c:pt>
                <c:pt idx="312">
                  <c:v>18.505907500750222</c:v>
                </c:pt>
                <c:pt idx="313">
                  <c:v>18.257967169611021</c:v>
                </c:pt>
                <c:pt idx="314">
                  <c:v>18.018105340849409</c:v>
                </c:pt>
                <c:pt idx="315">
                  <c:v>17.786983049756966</c:v>
                </c:pt>
                <c:pt idx="316">
                  <c:v>17.563369673676007</c:v>
                </c:pt>
                <c:pt idx="317">
                  <c:v>17.346032258383946</c:v>
                </c:pt>
                <c:pt idx="318">
                  <c:v>17.135220984755634</c:v>
                </c:pt>
                <c:pt idx="319">
                  <c:v>16.931010602724172</c:v>
                </c:pt>
                <c:pt idx="320">
                  <c:v>16.733476630228253</c:v>
                </c:pt>
                <c:pt idx="321">
                  <c:v>16.542695426216667</c:v>
                </c:pt>
                <c:pt idx="322">
                  <c:v>16.358744251183246</c:v>
                </c:pt>
                <c:pt idx="323">
                  <c:v>16.182030170507126</c:v>
                </c:pt>
                <c:pt idx="324">
                  <c:v>16.012515086839116</c:v>
                </c:pt>
                <c:pt idx="325">
                  <c:v>15.850275491792424</c:v>
                </c:pt>
                <c:pt idx="326">
                  <c:v>15.695393690412585</c:v>
                </c:pt>
                <c:pt idx="327">
                  <c:v>15.547950161583188</c:v>
                </c:pt>
                <c:pt idx="328">
                  <c:v>15.408023021769184</c:v>
                </c:pt>
                <c:pt idx="329">
                  <c:v>15.275691826288503</c:v>
                </c:pt>
                <c:pt idx="330">
                  <c:v>15.149758362396897</c:v>
                </c:pt>
                <c:pt idx="331">
                  <c:v>15.029207785877254</c:v>
                </c:pt>
                <c:pt idx="332">
                  <c:v>14.91416203071064</c:v>
                </c:pt>
                <c:pt idx="333">
                  <c:v>14.805097025581368</c:v>
                </c:pt>
                <c:pt idx="334">
                  <c:v>14.702489268910709</c:v>
                </c:pt>
                <c:pt idx="335">
                  <c:v>14.606815757377641</c:v>
                </c:pt>
                <c:pt idx="336">
                  <c:v>14.518553935161162</c:v>
                </c:pt>
                <c:pt idx="337">
                  <c:v>14.437954229160487</c:v>
                </c:pt>
                <c:pt idx="338">
                  <c:v>14.365193164417677</c:v>
                </c:pt>
                <c:pt idx="339">
                  <c:v>14.300754930523862</c:v>
                </c:pt>
                <c:pt idx="340">
                  <c:v>14.245123268915915</c:v>
                </c:pt>
                <c:pt idx="341">
                  <c:v>14.198781434989169</c:v>
                </c:pt>
                <c:pt idx="342">
                  <c:v>14.16221215361994</c:v>
                </c:pt>
                <c:pt idx="343">
                  <c:v>14.135897578424528</c:v>
                </c:pt>
                <c:pt idx="344">
                  <c:v>14.120920981931144</c:v>
                </c:pt>
                <c:pt idx="345">
                  <c:v>14.117492513398455</c:v>
                </c:pt>
                <c:pt idx="346">
                  <c:v>14.124636074601719</c:v>
                </c:pt>
                <c:pt idx="347">
                  <c:v>14.141525233790388</c:v>
                </c:pt>
                <c:pt idx="348">
                  <c:v>14.167333706849822</c:v>
                </c:pt>
                <c:pt idx="349">
                  <c:v>14.201235348582326</c:v>
                </c:pt>
                <c:pt idx="350">
                  <c:v>14.24240415265535</c:v>
                </c:pt>
                <c:pt idx="351">
                  <c:v>14.289797268878443</c:v>
                </c:pt>
                <c:pt idx="352">
                  <c:v>14.342808561441259</c:v>
                </c:pt>
                <c:pt idx="353">
                  <c:v>14.40061235816437</c:v>
                </c:pt>
                <c:pt idx="354">
                  <c:v>14.462383148870112</c:v>
                </c:pt>
                <c:pt idx="355">
                  <c:v>14.527295590262085</c:v>
                </c:pt>
                <c:pt idx="356">
                  <c:v>14.594525770262749</c:v>
                </c:pt>
                <c:pt idx="357">
                  <c:v>14.663248179876627</c:v>
                </c:pt>
                <c:pt idx="358">
                  <c:v>14.734000406029015</c:v>
                </c:pt>
                <c:pt idx="359">
                  <c:v>14.808073382664164</c:v>
                </c:pt>
                <c:pt idx="360">
                  <c:v>14.885557335853266</c:v>
                </c:pt>
                <c:pt idx="361">
                  <c:v>14.966974036772438</c:v>
                </c:pt>
                <c:pt idx="362">
                  <c:v>15.052629402382435</c:v>
                </c:pt>
                <c:pt idx="363">
                  <c:v>15.142828787107165</c:v>
                </c:pt>
                <c:pt idx="364">
                  <c:v>15.237877007394315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5.6661583720459712</c:v>
                </c:pt>
                <c:pt idx="1">
                  <c:v>1.7398798486364002</c:v>
                </c:pt>
                <c:pt idx="2">
                  <c:v>12.458366983814818</c:v>
                </c:pt>
                <c:pt idx="3">
                  <c:v>10.503413338582602</c:v>
                </c:pt>
                <c:pt idx="4">
                  <c:v>10.490512815246124</c:v>
                </c:pt>
                <c:pt idx="5">
                  <c:v>4.5813855066670772</c:v>
                </c:pt>
                <c:pt idx="6">
                  <c:v>10.537939383548368</c:v>
                </c:pt>
                <c:pt idx="7">
                  <c:v>5.3225796467968101</c:v>
                </c:pt>
                <c:pt idx="8">
                  <c:v>6.6245144976350501</c:v>
                </c:pt>
                <c:pt idx="9">
                  <c:v>14.28522425733466</c:v>
                </c:pt>
                <c:pt idx="10">
                  <c:v>3.9793598675759192</c:v>
                </c:pt>
                <c:pt idx="11">
                  <c:v>13.794152283711661</c:v>
                </c:pt>
                <c:pt idx="12">
                  <c:v>9.4672529560031542</c:v>
                </c:pt>
                <c:pt idx="13">
                  <c:v>11.985926105737381</c:v>
                </c:pt>
                <c:pt idx="14">
                  <c:v>6.1944890218247535</c:v>
                </c:pt>
                <c:pt idx="15">
                  <c:v>3.3197165802616837</c:v>
                </c:pt>
                <c:pt idx="16">
                  <c:v>5.4001628329092659</c:v>
                </c:pt>
                <c:pt idx="17">
                  <c:v>13.263990992010935</c:v>
                </c:pt>
                <c:pt idx="18">
                  <c:v>7.1176114910362953</c:v>
                </c:pt>
                <c:pt idx="19">
                  <c:v>14.260831186733682</c:v>
                </c:pt>
                <c:pt idx="20">
                  <c:v>5.4677331122789727</c:v>
                </c:pt>
                <c:pt idx="21">
                  <c:v>17.702977122089315</c:v>
                </c:pt>
                <c:pt idx="22">
                  <c:v>17.963800308023362</c:v>
                </c:pt>
                <c:pt idx="23">
                  <c:v>18.075992562398632</c:v>
                </c:pt>
                <c:pt idx="24">
                  <c:v>18.108734027195304</c:v>
                </c:pt>
                <c:pt idx="25">
                  <c:v>18.364341666289107</c:v>
                </c:pt>
                <c:pt idx="26">
                  <c:v>19.225485495982326</c:v>
                </c:pt>
                <c:pt idx="27">
                  <c:v>3.8253412221655312</c:v>
                </c:pt>
                <c:pt idx="28">
                  <c:v>7.5930066949317592</c:v>
                </c:pt>
                <c:pt idx="29">
                  <c:v>3.9998939808699085</c:v>
                </c:pt>
                <c:pt idx="30">
                  <c:v>8.2606318534944698</c:v>
                </c:pt>
                <c:pt idx="31">
                  <c:v>8.0919250449181988</c:v>
                </c:pt>
                <c:pt idx="32">
                  <c:v>4.8587791224065802</c:v>
                </c:pt>
                <c:pt idx="33">
                  <c:v>8.8589836258118861</c:v>
                </c:pt>
                <c:pt idx="34">
                  <c:v>8.0595371344335902</c:v>
                </c:pt>
                <c:pt idx="35">
                  <c:v>8.3647041468963526</c:v>
                </c:pt>
                <c:pt idx="36">
                  <c:v>14.503895659438744</c:v>
                </c:pt>
                <c:pt idx="37">
                  <c:v>8.3686871624547798</c:v>
                </c:pt>
                <c:pt idx="38">
                  <c:v>22.820227302752158</c:v>
                </c:pt>
                <c:pt idx="39">
                  <c:v>22.584672574051211</c:v>
                </c:pt>
                <c:pt idx="40">
                  <c:v>21.110933490875979</c:v>
                </c:pt>
                <c:pt idx="41">
                  <c:v>13.957561956932624</c:v>
                </c:pt>
                <c:pt idx="42">
                  <c:v>19.795821059751098</c:v>
                </c:pt>
                <c:pt idx="43">
                  <c:v>22.683139320931737</c:v>
                </c:pt>
                <c:pt idx="44">
                  <c:v>11.9742228600301</c:v>
                </c:pt>
                <c:pt idx="45">
                  <c:v>15.187493425042932</c:v>
                </c:pt>
                <c:pt idx="46">
                  <c:v>9.2991547085590458</c:v>
                </c:pt>
                <c:pt idx="47">
                  <c:v>9.9909581784612111</c:v>
                </c:pt>
                <c:pt idx="48">
                  <c:v>19.715725175369585</c:v>
                </c:pt>
                <c:pt idx="49">
                  <c:v>17.563912876460559</c:v>
                </c:pt>
                <c:pt idx="50">
                  <c:v>15.973468489598865</c:v>
                </c:pt>
                <c:pt idx="51">
                  <c:v>17.245412414013092</c:v>
                </c:pt>
                <c:pt idx="52">
                  <c:v>25.101184419698921</c:v>
                </c:pt>
                <c:pt idx="53">
                  <c:v>25.09898518326078</c:v>
                </c:pt>
                <c:pt idx="54">
                  <c:v>14.308558523621272</c:v>
                </c:pt>
                <c:pt idx="55">
                  <c:v>25.556253548228881</c:v>
                </c:pt>
                <c:pt idx="56">
                  <c:v>28.684397515227058</c:v>
                </c:pt>
                <c:pt idx="57">
                  <c:v>23.40641037588885</c:v>
                </c:pt>
                <c:pt idx="58">
                  <c:v>23.580827470689421</c:v>
                </c:pt>
                <c:pt idx="59">
                  <c:v>28.90939095979461</c:v>
                </c:pt>
                <c:pt idx="60">
                  <c:v>8.3164917729240386</c:v>
                </c:pt>
                <c:pt idx="61">
                  <c:v>28.141705889826753</c:v>
                </c:pt>
                <c:pt idx="62">
                  <c:v>3.7550466441182899</c:v>
                </c:pt>
                <c:pt idx="63">
                  <c:v>12.051194091392414</c:v>
                </c:pt>
                <c:pt idx="64">
                  <c:v>13.892389961788018</c:v>
                </c:pt>
                <c:pt idx="65">
                  <c:v>29.553815428634575</c:v>
                </c:pt>
                <c:pt idx="66">
                  <c:v>22.857776815387552</c:v>
                </c:pt>
                <c:pt idx="67">
                  <c:v>23.85112368093186</c:v>
                </c:pt>
                <c:pt idx="68">
                  <c:v>18.914840704954408</c:v>
                </c:pt>
                <c:pt idx="69">
                  <c:v>12.333172328335413</c:v>
                </c:pt>
                <c:pt idx="70">
                  <c:v>12.944087638515347</c:v>
                </c:pt>
                <c:pt idx="71">
                  <c:v>9.3266871287101036</c:v>
                </c:pt>
                <c:pt idx="72">
                  <c:v>12.437120599037225</c:v>
                </c:pt>
                <c:pt idx="73">
                  <c:v>12.507241817636306</c:v>
                </c:pt>
                <c:pt idx="74">
                  <c:v>11.391604056979654</c:v>
                </c:pt>
                <c:pt idx="75">
                  <c:v>9.4150819324650126</c:v>
                </c:pt>
                <c:pt idx="76">
                  <c:v>12.642119312954899</c:v>
                </c:pt>
                <c:pt idx="77">
                  <c:v>23.2463517532473</c:v>
                </c:pt>
                <c:pt idx="78">
                  <c:v>24.199246696367766</c:v>
                </c:pt>
                <c:pt idx="79">
                  <c:v>33.521812341809138</c:v>
                </c:pt>
                <c:pt idx="80">
                  <c:v>31.911776995882231</c:v>
                </c:pt>
                <c:pt idx="81">
                  <c:v>36.283945218377539</c:v>
                </c:pt>
                <c:pt idx="82">
                  <c:v>35.368909612996667</c:v>
                </c:pt>
                <c:pt idx="83">
                  <c:v>33.736375812306804</c:v>
                </c:pt>
                <c:pt idx="84">
                  <c:v>35.813445172164407</c:v>
                </c:pt>
                <c:pt idx="85">
                  <c:v>34.568721641581277</c:v>
                </c:pt>
                <c:pt idx="86">
                  <c:v>26.217552459468578</c:v>
                </c:pt>
                <c:pt idx="87">
                  <c:v>22.522983993166811</c:v>
                </c:pt>
                <c:pt idx="88">
                  <c:v>6.9507758907170345</c:v>
                </c:pt>
                <c:pt idx="89">
                  <c:v>25.19992146892794</c:v>
                </c:pt>
                <c:pt idx="90">
                  <c:v>27.064510131828467</c:v>
                </c:pt>
                <c:pt idx="91">
                  <c:v>18.128853655108124</c:v>
                </c:pt>
                <c:pt idx="92">
                  <c:v>18.133077138414134</c:v>
                </c:pt>
                <c:pt idx="93">
                  <c:v>39.877004667826796</c:v>
                </c:pt>
                <c:pt idx="94">
                  <c:v>41.046844913077138</c:v>
                </c:pt>
                <c:pt idx="95">
                  <c:v>9.9989177417711268</c:v>
                </c:pt>
                <c:pt idx="96">
                  <c:v>29.850365592339486</c:v>
                </c:pt>
                <c:pt idx="97">
                  <c:v>23.435114549318971</c:v>
                </c:pt>
                <c:pt idx="98">
                  <c:v>31.484066144388304</c:v>
                </c:pt>
                <c:pt idx="99">
                  <c:v>41.463491580441556</c:v>
                </c:pt>
                <c:pt idx="100">
                  <c:v>35.017291522457178</c:v>
                </c:pt>
                <c:pt idx="101">
                  <c:v>29.225841361367017</c:v>
                </c:pt>
                <c:pt idx="102">
                  <c:v>6.3166128840052531</c:v>
                </c:pt>
                <c:pt idx="103">
                  <c:v>32.387757371530832</c:v>
                </c:pt>
                <c:pt idx="104">
                  <c:v>37.927965491171868</c:v>
                </c:pt>
                <c:pt idx="105">
                  <c:v>39.579942417980199</c:v>
                </c:pt>
                <c:pt idx="106">
                  <c:v>43.115690419676689</c:v>
                </c:pt>
                <c:pt idx="107">
                  <c:v>33.731717504333247</c:v>
                </c:pt>
                <c:pt idx="108">
                  <c:v>7.752904235791247</c:v>
                </c:pt>
                <c:pt idx="109">
                  <c:v>9.025697328567782</c:v>
                </c:pt>
                <c:pt idx="110">
                  <c:v>8.5077068678156227</c:v>
                </c:pt>
                <c:pt idx="111">
                  <c:v>24.412678912733959</c:v>
                </c:pt>
                <c:pt idx="112">
                  <c:v>8.3695616600415264</c:v>
                </c:pt>
                <c:pt idx="113">
                  <c:v>26.686984639574796</c:v>
                </c:pt>
                <c:pt idx="114">
                  <c:v>42.709633619059055</c:v>
                </c:pt>
                <c:pt idx="115">
                  <c:v>44.68692933043036</c:v>
                </c:pt>
                <c:pt idx="116">
                  <c:v>32.527400789678794</c:v>
                </c:pt>
                <c:pt idx="117">
                  <c:v>18.203708247292592</c:v>
                </c:pt>
                <c:pt idx="118">
                  <c:v>33.882594093654404</c:v>
                </c:pt>
                <c:pt idx="119">
                  <c:v>42.870586222970132</c:v>
                </c:pt>
                <c:pt idx="120">
                  <c:v>43.708385860685688</c:v>
                </c:pt>
                <c:pt idx="121">
                  <c:v>28.50873588566488</c:v>
                </c:pt>
                <c:pt idx="122">
                  <c:v>34.791094153843254</c:v>
                </c:pt>
                <c:pt idx="123">
                  <c:v>20.474182393881737</c:v>
                </c:pt>
                <c:pt idx="124">
                  <c:v>40.718269472017845</c:v>
                </c:pt>
                <c:pt idx="125">
                  <c:v>34.300006298689361</c:v>
                </c:pt>
                <c:pt idx="126">
                  <c:v>50.197606338501281</c:v>
                </c:pt>
                <c:pt idx="127">
                  <c:v>45.747533612735204</c:v>
                </c:pt>
                <c:pt idx="128">
                  <c:v>50.612546183244568</c:v>
                </c:pt>
                <c:pt idx="129">
                  <c:v>46.966572565915627</c:v>
                </c:pt>
                <c:pt idx="130">
                  <c:v>50.761045052263576</c:v>
                </c:pt>
                <c:pt idx="131">
                  <c:v>38.803790528018574</c:v>
                </c:pt>
                <c:pt idx="132">
                  <c:v>41.438933262297539</c:v>
                </c:pt>
                <c:pt idx="133">
                  <c:v>45.223709197959948</c:v>
                </c:pt>
                <c:pt idx="134">
                  <c:v>47.561876146657276</c:v>
                </c:pt>
                <c:pt idx="135">
                  <c:v>46.107279040658369</c:v>
                </c:pt>
                <c:pt idx="136">
                  <c:v>49.141922607840385</c:v>
                </c:pt>
                <c:pt idx="137">
                  <c:v>47.977383774397509</c:v>
                </c:pt>
                <c:pt idx="138">
                  <c:v>50.451603405589225</c:v>
                </c:pt>
                <c:pt idx="139">
                  <c:v>44.859404568764468</c:v>
                </c:pt>
                <c:pt idx="140">
                  <c:v>43.704454518062512</c:v>
                </c:pt>
                <c:pt idx="141">
                  <c:v>32.296269855446639</c:v>
                </c:pt>
                <c:pt idx="142">
                  <c:v>18.909841226590796</c:v>
                </c:pt>
                <c:pt idx="143">
                  <c:v>16.232611420982433</c:v>
                </c:pt>
                <c:pt idx="144">
                  <c:v>37.838844835483272</c:v>
                </c:pt>
                <c:pt idx="145">
                  <c:v>20.541564065385447</c:v>
                </c:pt>
                <c:pt idx="146">
                  <c:v>44.403202485529327</c:v>
                </c:pt>
                <c:pt idx="147">
                  <c:v>50.874900902939046</c:v>
                </c:pt>
                <c:pt idx="148">
                  <c:v>54.474440325790276</c:v>
                </c:pt>
                <c:pt idx="149">
                  <c:v>48.969208448775397</c:v>
                </c:pt>
                <c:pt idx="150">
                  <c:v>50.230660494216991</c:v>
                </c:pt>
                <c:pt idx="151">
                  <c:v>51.482503613771698</c:v>
                </c:pt>
                <c:pt idx="152">
                  <c:v>42.333999871791072</c:v>
                </c:pt>
                <c:pt idx="153">
                  <c:v>49.317357987399774</c:v>
                </c:pt>
                <c:pt idx="154">
                  <c:v>23.349149292394628</c:v>
                </c:pt>
                <c:pt idx="155">
                  <c:v>33.004428277201271</c:v>
                </c:pt>
                <c:pt idx="156">
                  <c:v>41.956966365495617</c:v>
                </c:pt>
                <c:pt idx="157">
                  <c:v>28.307672522740752</c:v>
                </c:pt>
                <c:pt idx="158">
                  <c:v>19.279265185487336</c:v>
                </c:pt>
                <c:pt idx="159">
                  <c:v>41.26695579039508</c:v>
                </c:pt>
                <c:pt idx="160">
                  <c:v>52.399822105070292</c:v>
                </c:pt>
                <c:pt idx="161">
                  <c:v>51.407305246053681</c:v>
                </c:pt>
                <c:pt idx="162">
                  <c:v>38.713438975725509</c:v>
                </c:pt>
                <c:pt idx="163">
                  <c:v>50.304945464020086</c:v>
                </c:pt>
                <c:pt idx="164">
                  <c:v>42.734864149694133</c:v>
                </c:pt>
                <c:pt idx="165">
                  <c:v>49.384475127642894</c:v>
                </c:pt>
                <c:pt idx="166">
                  <c:v>47.420291688632865</c:v>
                </c:pt>
                <c:pt idx="167">
                  <c:v>47.824422971872949</c:v>
                </c:pt>
                <c:pt idx="168">
                  <c:v>49.415467626979392</c:v>
                </c:pt>
                <c:pt idx="169">
                  <c:v>50.578839270585554</c:v>
                </c:pt>
                <c:pt idx="170">
                  <c:v>30.682172379905868</c:v>
                </c:pt>
                <c:pt idx="171">
                  <c:v>22.224982723814275</c:v>
                </c:pt>
                <c:pt idx="172">
                  <c:v>38.943510857242387</c:v>
                </c:pt>
                <c:pt idx="173">
                  <c:v>38.420916278815056</c:v>
                </c:pt>
                <c:pt idx="174">
                  <c:v>37.538240244265879</c:v>
                </c:pt>
                <c:pt idx="175">
                  <c:v>30.460853760967549</c:v>
                </c:pt>
                <c:pt idx="176">
                  <c:v>11.21748116246385</c:v>
                </c:pt>
                <c:pt idx="177">
                  <c:v>11.919655829387123</c:v>
                </c:pt>
                <c:pt idx="178">
                  <c:v>54.570209694140104</c:v>
                </c:pt>
                <c:pt idx="179">
                  <c:v>51.375899091493416</c:v>
                </c:pt>
                <c:pt idx="180">
                  <c:v>12.972277355894448</c:v>
                </c:pt>
                <c:pt idx="181">
                  <c:v>49.008062955746325</c:v>
                </c:pt>
                <c:pt idx="182">
                  <c:v>51.522116862661846</c:v>
                </c:pt>
                <c:pt idx="183">
                  <c:v>39.880676451142946</c:v>
                </c:pt>
                <c:pt idx="184">
                  <c:v>40.868779391511097</c:v>
                </c:pt>
                <c:pt idx="185">
                  <c:v>50.470681218846011</c:v>
                </c:pt>
                <c:pt idx="186">
                  <c:v>45.441486509048566</c:v>
                </c:pt>
                <c:pt idx="187">
                  <c:v>49.957063216323895</c:v>
                </c:pt>
                <c:pt idx="188">
                  <c:v>52.922247585821424</c:v>
                </c:pt>
                <c:pt idx="189">
                  <c:v>51.970472731931444</c:v>
                </c:pt>
                <c:pt idx="190">
                  <c:v>51.368188487658905</c:v>
                </c:pt>
                <c:pt idx="191">
                  <c:v>49.964367790014585</c:v>
                </c:pt>
                <c:pt idx="192">
                  <c:v>49.633449097643968</c:v>
                </c:pt>
                <c:pt idx="193">
                  <c:v>49.301566272189255</c:v>
                </c:pt>
                <c:pt idx="194">
                  <c:v>48.590269707309879</c:v>
                </c:pt>
                <c:pt idx="195">
                  <c:v>46.969946736936478</c:v>
                </c:pt>
                <c:pt idx="196">
                  <c:v>48.686889980241006</c:v>
                </c:pt>
                <c:pt idx="197">
                  <c:v>48.083046991283837</c:v>
                </c:pt>
                <c:pt idx="198">
                  <c:v>48.171283481732083</c:v>
                </c:pt>
                <c:pt idx="199">
                  <c:v>40.959606229464903</c:v>
                </c:pt>
                <c:pt idx="200">
                  <c:v>39.509887348515186</c:v>
                </c:pt>
                <c:pt idx="201">
                  <c:v>46.812754016064623</c:v>
                </c:pt>
                <c:pt idx="202">
                  <c:v>35.49573616941268</c:v>
                </c:pt>
                <c:pt idx="203">
                  <c:v>44.842191471485492</c:v>
                </c:pt>
                <c:pt idx="204">
                  <c:v>46.523134658484359</c:v>
                </c:pt>
                <c:pt idx="205">
                  <c:v>25.191440984221867</c:v>
                </c:pt>
                <c:pt idx="206">
                  <c:v>51.109496478042928</c:v>
                </c:pt>
                <c:pt idx="207">
                  <c:v>50.018760508276209</c:v>
                </c:pt>
                <c:pt idx="208">
                  <c:v>42.267328122722986</c:v>
                </c:pt>
                <c:pt idx="209">
                  <c:v>29.288961577906942</c:v>
                </c:pt>
                <c:pt idx="210">
                  <c:v>46.672768007097552</c:v>
                </c:pt>
                <c:pt idx="211">
                  <c:v>47.683605587568927</c:v>
                </c:pt>
                <c:pt idx="212">
                  <c:v>47.614619462639894</c:v>
                </c:pt>
                <c:pt idx="213">
                  <c:v>47.618092589950869</c:v>
                </c:pt>
                <c:pt idx="214">
                  <c:v>44.421841997994932</c:v>
                </c:pt>
                <c:pt idx="215">
                  <c:v>43.912093170694583</c:v>
                </c:pt>
                <c:pt idx="216">
                  <c:v>41.811351958928242</c:v>
                </c:pt>
                <c:pt idx="217">
                  <c:v>42.91829121446645</c:v>
                </c:pt>
                <c:pt idx="218">
                  <c:v>45.475477515231468</c:v>
                </c:pt>
                <c:pt idx="219">
                  <c:v>45.105884448723693</c:v>
                </c:pt>
                <c:pt idx="220">
                  <c:v>44.271433515885192</c:v>
                </c:pt>
                <c:pt idx="221">
                  <c:v>41.325118802578849</c:v>
                </c:pt>
                <c:pt idx="222">
                  <c:v>39.386708426685118</c:v>
                </c:pt>
                <c:pt idx="223">
                  <c:v>40.720763072387093</c:v>
                </c:pt>
                <c:pt idx="224">
                  <c:v>31.557681190407813</c:v>
                </c:pt>
                <c:pt idx="225">
                  <c:v>28.533191503396846</c:v>
                </c:pt>
                <c:pt idx="226">
                  <c:v>34.764198139518598</c:v>
                </c:pt>
                <c:pt idx="227">
                  <c:v>31.471551516870033</c:v>
                </c:pt>
                <c:pt idx="228">
                  <c:v>25.092330289299117</c:v>
                </c:pt>
                <c:pt idx="229">
                  <c:v>33.821667645247665</c:v>
                </c:pt>
                <c:pt idx="230">
                  <c:v>35.072649792388951</c:v>
                </c:pt>
                <c:pt idx="231">
                  <c:v>42.254700138832163</c:v>
                </c:pt>
                <c:pt idx="232">
                  <c:v>27.153707026902488</c:v>
                </c:pt>
                <c:pt idx="233">
                  <c:v>23.82974402621133</c:v>
                </c:pt>
                <c:pt idx="234">
                  <c:v>41.641264765874148</c:v>
                </c:pt>
                <c:pt idx="235">
                  <c:v>38.520418108881898</c:v>
                </c:pt>
                <c:pt idx="236">
                  <c:v>28.028257325819226</c:v>
                </c:pt>
                <c:pt idx="237">
                  <c:v>37.208655592153562</c:v>
                </c:pt>
                <c:pt idx="238">
                  <c:v>40.071353288029201</c:v>
                </c:pt>
                <c:pt idx="239">
                  <c:v>38.848712003687183</c:v>
                </c:pt>
                <c:pt idx="240">
                  <c:v>27.553380553434032</c:v>
                </c:pt>
                <c:pt idx="241">
                  <c:v>38.710991337821078</c:v>
                </c:pt>
                <c:pt idx="242">
                  <c:v>21.305954672852653</c:v>
                </c:pt>
                <c:pt idx="243">
                  <c:v>34.249746459850812</c:v>
                </c:pt>
                <c:pt idx="244">
                  <c:v>32.959655331577437</c:v>
                </c:pt>
                <c:pt idx="245">
                  <c:v>30.652265475060435</c:v>
                </c:pt>
                <c:pt idx="246">
                  <c:v>35.562739438249842</c:v>
                </c:pt>
                <c:pt idx="247">
                  <c:v>31.710477830189994</c:v>
                </c:pt>
                <c:pt idx="248">
                  <c:v>36.260461729800937</c:v>
                </c:pt>
                <c:pt idx="249">
                  <c:v>30.951604811423305</c:v>
                </c:pt>
                <c:pt idx="250">
                  <c:v>28.26216885878674</c:v>
                </c:pt>
                <c:pt idx="251">
                  <c:v>21.018989180067049</c:v>
                </c:pt>
                <c:pt idx="252">
                  <c:v>35.914405914226194</c:v>
                </c:pt>
                <c:pt idx="253">
                  <c:v>34.909247652399621</c:v>
                </c:pt>
                <c:pt idx="254">
                  <c:v>25.122880673026518</c:v>
                </c:pt>
                <c:pt idx="255">
                  <c:v>12.204237700720531</c:v>
                </c:pt>
                <c:pt idx="256">
                  <c:v>27.614800971435184</c:v>
                </c:pt>
                <c:pt idx="257">
                  <c:v>30.064798813866823</c:v>
                </c:pt>
                <c:pt idx="258">
                  <c:v>27.789199786590746</c:v>
                </c:pt>
                <c:pt idx="259">
                  <c:v>34.978237101643408</c:v>
                </c:pt>
                <c:pt idx="260">
                  <c:v>35.038561394697169</c:v>
                </c:pt>
                <c:pt idx="261">
                  <c:v>33.482166677939794</c:v>
                </c:pt>
                <c:pt idx="262">
                  <c:v>34.189984970945162</c:v>
                </c:pt>
                <c:pt idx="263">
                  <c:v>33.276026583811927</c:v>
                </c:pt>
                <c:pt idx="264">
                  <c:v>32.12710954947984</c:v>
                </c:pt>
                <c:pt idx="265">
                  <c:v>20.786432668376964</c:v>
                </c:pt>
                <c:pt idx="266">
                  <c:v>15.150498383118343</c:v>
                </c:pt>
                <c:pt idx="267">
                  <c:v>27.881971334722351</c:v>
                </c:pt>
                <c:pt idx="268">
                  <c:v>24.202470724812681</c:v>
                </c:pt>
                <c:pt idx="269">
                  <c:v>15.68594009236654</c:v>
                </c:pt>
                <c:pt idx="270">
                  <c:v>17.268291706289641</c:v>
                </c:pt>
                <c:pt idx="271">
                  <c:v>19.934568000648561</c:v>
                </c:pt>
                <c:pt idx="272">
                  <c:v>21.391791428123668</c:v>
                </c:pt>
                <c:pt idx="273">
                  <c:v>27.166070897114235</c:v>
                </c:pt>
                <c:pt idx="274">
                  <c:v>28.991744183027315</c:v>
                </c:pt>
                <c:pt idx="275">
                  <c:v>27.777233429377322</c:v>
                </c:pt>
                <c:pt idx="276">
                  <c:v>29.187914435767802</c:v>
                </c:pt>
                <c:pt idx="277">
                  <c:v>29.451559604000966</c:v>
                </c:pt>
                <c:pt idx="278">
                  <c:v>10.750338551369801</c:v>
                </c:pt>
                <c:pt idx="279">
                  <c:v>21.697417666206736</c:v>
                </c:pt>
                <c:pt idx="280">
                  <c:v>14.135392311947196</c:v>
                </c:pt>
                <c:pt idx="281">
                  <c:v>27.054584304915537</c:v>
                </c:pt>
                <c:pt idx="282">
                  <c:v>22.618035518952951</c:v>
                </c:pt>
                <c:pt idx="283">
                  <c:v>18.295883975087207</c:v>
                </c:pt>
                <c:pt idx="284">
                  <c:v>21.225346246065957</c:v>
                </c:pt>
                <c:pt idx="285">
                  <c:v>18.586168902742433</c:v>
                </c:pt>
                <c:pt idx="286">
                  <c:v>17.561318529410038</c:v>
                </c:pt>
                <c:pt idx="287">
                  <c:v>25.380617724711605</c:v>
                </c:pt>
                <c:pt idx="288">
                  <c:v>23.905502862031856</c:v>
                </c:pt>
                <c:pt idx="289">
                  <c:v>15.914086390340636</c:v>
                </c:pt>
                <c:pt idx="290">
                  <c:v>23.656532618600224</c:v>
                </c:pt>
                <c:pt idx="291">
                  <c:v>12.457576009277128</c:v>
                </c:pt>
                <c:pt idx="292">
                  <c:v>5.5427305398953814</c:v>
                </c:pt>
                <c:pt idx="293">
                  <c:v>12.959890646417497</c:v>
                </c:pt>
                <c:pt idx="294">
                  <c:v>22.594380973736083</c:v>
                </c:pt>
                <c:pt idx="295">
                  <c:v>14.01837378613676</c:v>
                </c:pt>
                <c:pt idx="296">
                  <c:v>16.817324874673094</c:v>
                </c:pt>
                <c:pt idx="297">
                  <c:v>16.898027403431044</c:v>
                </c:pt>
                <c:pt idx="298">
                  <c:v>11.007829701606907</c:v>
                </c:pt>
                <c:pt idx="299">
                  <c:v>10.622310660691992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0.93527833413956196</c:v>
                </c:pt>
                <c:pt idx="312">
                  <c:v>7.4272869448092225</c:v>
                </c:pt>
                <c:pt idx="313">
                  <c:v>16.614938280289646</c:v>
                </c:pt>
                <c:pt idx="314">
                  <c:v>17.980037359723859</c:v>
                </c:pt>
                <c:pt idx="315">
                  <c:v>18.180728610111</c:v>
                </c:pt>
                <c:pt idx="316">
                  <c:v>17.516782102189556</c:v>
                </c:pt>
                <c:pt idx="317">
                  <c:v>7.2425353664395073</c:v>
                </c:pt>
                <c:pt idx="318">
                  <c:v>9.8847558249018626</c:v>
                </c:pt>
                <c:pt idx="319">
                  <c:v>17.704967877487274</c:v>
                </c:pt>
                <c:pt idx="320">
                  <c:v>10.357870648065434</c:v>
                </c:pt>
                <c:pt idx="321">
                  <c:v>10.735455259289626</c:v>
                </c:pt>
                <c:pt idx="322">
                  <c:v>7.0414542103831144</c:v>
                </c:pt>
                <c:pt idx="323">
                  <c:v>11.208103420326214</c:v>
                </c:pt>
                <c:pt idx="324">
                  <c:v>3.0464836057630378</c:v>
                </c:pt>
                <c:pt idx="325">
                  <c:v>6.7912739439470498</c:v>
                </c:pt>
                <c:pt idx="326">
                  <c:v>9.326767158351446</c:v>
                </c:pt>
                <c:pt idx="327">
                  <c:v>10.352066691858495</c:v>
                </c:pt>
                <c:pt idx="328">
                  <c:v>4.9830955798477587</c:v>
                </c:pt>
                <c:pt idx="329">
                  <c:v>9.5434686785858105</c:v>
                </c:pt>
                <c:pt idx="330">
                  <c:v>10.760226907371093</c:v>
                </c:pt>
                <c:pt idx="331">
                  <c:v>9.1573605638852733</c:v>
                </c:pt>
                <c:pt idx="332">
                  <c:v>12.221005506330473</c:v>
                </c:pt>
                <c:pt idx="333">
                  <c:v>3.6618617734064727</c:v>
                </c:pt>
                <c:pt idx="334">
                  <c:v>3.2800171770812447</c:v>
                </c:pt>
                <c:pt idx="335">
                  <c:v>5.478344795455774</c:v>
                </c:pt>
                <c:pt idx="336">
                  <c:v>6.1547145830528391</c:v>
                </c:pt>
                <c:pt idx="337">
                  <c:v>12.005418380765182</c:v>
                </c:pt>
                <c:pt idx="338">
                  <c:v>15.025331303235953</c:v>
                </c:pt>
                <c:pt idx="339">
                  <c:v>8.375329122887047</c:v>
                </c:pt>
                <c:pt idx="340">
                  <c:v>13.372927884007874</c:v>
                </c:pt>
                <c:pt idx="341">
                  <c:v>3.9302231362318611</c:v>
                </c:pt>
                <c:pt idx="342">
                  <c:v>4.6504764376615704</c:v>
                </c:pt>
                <c:pt idx="343">
                  <c:v>9.4817933423230407</c:v>
                </c:pt>
                <c:pt idx="344">
                  <c:v>11.53518796661008</c:v>
                </c:pt>
                <c:pt idx="345">
                  <c:v>3.8538123267806714</c:v>
                </c:pt>
                <c:pt idx="346">
                  <c:v>5.0062982073068527</c:v>
                </c:pt>
                <c:pt idx="347">
                  <c:v>13.361462217949621</c:v>
                </c:pt>
                <c:pt idx="348">
                  <c:v>5.2427214061491911</c:v>
                </c:pt>
                <c:pt idx="349">
                  <c:v>4.4315964699082624</c:v>
                </c:pt>
                <c:pt idx="350">
                  <c:v>3.2940829668243388</c:v>
                </c:pt>
                <c:pt idx="351">
                  <c:v>13.241124386099706</c:v>
                </c:pt>
                <c:pt idx="352">
                  <c:v>11.018071763253673</c:v>
                </c:pt>
                <c:pt idx="353">
                  <c:v>4.4556487497853059</c:v>
                </c:pt>
                <c:pt idx="354">
                  <c:v>14.011579476871914</c:v>
                </c:pt>
                <c:pt idx="355">
                  <c:v>10.344941748928802</c:v>
                </c:pt>
                <c:pt idx="356">
                  <c:v>11.12014148136892</c:v>
                </c:pt>
                <c:pt idx="357">
                  <c:v>14.782559850046498</c:v>
                </c:pt>
                <c:pt idx="358">
                  <c:v>8.8744584125776775</c:v>
                </c:pt>
                <c:pt idx="359">
                  <c:v>14.585560601820617</c:v>
                </c:pt>
                <c:pt idx="360">
                  <c:v>6.4936244745035001</c:v>
                </c:pt>
                <c:pt idx="361">
                  <c:v>13.699357210541958</c:v>
                </c:pt>
                <c:pt idx="362">
                  <c:v>8.0285022523557821</c:v>
                </c:pt>
                <c:pt idx="363">
                  <c:v>10.425622046131384</c:v>
                </c:pt>
                <c:pt idx="364">
                  <c:v>8.5567925230656972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5.6661583720459712</c:v>
                </c:pt>
                <c:pt idx="1">
                  <c:v>1.7398798486364002</c:v>
                </c:pt>
                <c:pt idx="2">
                  <c:v>12.458366983814818</c:v>
                </c:pt>
                <c:pt idx="3">
                  <c:v>10.503413338582602</c:v>
                </c:pt>
                <c:pt idx="4">
                  <c:v>10.490512815246124</c:v>
                </c:pt>
                <c:pt idx="5">
                  <c:v>4.5813855066670772</c:v>
                </c:pt>
                <c:pt idx="6">
                  <c:v>10.537939383548368</c:v>
                </c:pt>
                <c:pt idx="7">
                  <c:v>5.3225796467968101</c:v>
                </c:pt>
                <c:pt idx="8">
                  <c:v>6.6245144976350501</c:v>
                </c:pt>
                <c:pt idx="9">
                  <c:v>14.28522425733466</c:v>
                </c:pt>
                <c:pt idx="10">
                  <c:v>3.9793598675759192</c:v>
                </c:pt>
                <c:pt idx="11">
                  <c:v>13.794152283711661</c:v>
                </c:pt>
                <c:pt idx="12">
                  <c:v>9.4672529560031542</c:v>
                </c:pt>
                <c:pt idx="13">
                  <c:v>11.985926105737381</c:v>
                </c:pt>
                <c:pt idx="14">
                  <c:v>6.1944890218247535</c:v>
                </c:pt>
                <c:pt idx="15">
                  <c:v>3.3197165802616837</c:v>
                </c:pt>
                <c:pt idx="16">
                  <c:v>5.4001628329092659</c:v>
                </c:pt>
                <c:pt idx="17">
                  <c:v>13.263990992010935</c:v>
                </c:pt>
                <c:pt idx="18">
                  <c:v>7.1176114910362953</c:v>
                </c:pt>
                <c:pt idx="19">
                  <c:v>14.260831186733682</c:v>
                </c:pt>
                <c:pt idx="20">
                  <c:v>5.4677331122789727</c:v>
                </c:pt>
                <c:pt idx="21">
                  <c:v>17.702977122089315</c:v>
                </c:pt>
                <c:pt idx="22">
                  <c:v>17.963800308023362</c:v>
                </c:pt>
                <c:pt idx="23">
                  <c:v>18.075992562398632</c:v>
                </c:pt>
                <c:pt idx="24">
                  <c:v>18.108734027195304</c:v>
                </c:pt>
                <c:pt idx="25">
                  <c:v>18.364341666289107</c:v>
                </c:pt>
                <c:pt idx="26">
                  <c:v>19.225485495982326</c:v>
                </c:pt>
                <c:pt idx="27">
                  <c:v>3.8253412221655312</c:v>
                </c:pt>
                <c:pt idx="28">
                  <c:v>7.5930066949317592</c:v>
                </c:pt>
                <c:pt idx="29">
                  <c:v>3.9998939808699085</c:v>
                </c:pt>
                <c:pt idx="30">
                  <c:v>8.2606318534944698</c:v>
                </c:pt>
                <c:pt idx="31">
                  <c:v>8.0919250449181988</c:v>
                </c:pt>
                <c:pt idx="32">
                  <c:v>4.8587791224065802</c:v>
                </c:pt>
                <c:pt idx="33">
                  <c:v>8.8589836258118861</c:v>
                </c:pt>
                <c:pt idx="34">
                  <c:v>8.0595371344335902</c:v>
                </c:pt>
                <c:pt idx="35">
                  <c:v>8.3647041468963526</c:v>
                </c:pt>
                <c:pt idx="36">
                  <c:v>14.503895659438744</c:v>
                </c:pt>
                <c:pt idx="37">
                  <c:v>8.3686871624547798</c:v>
                </c:pt>
                <c:pt idx="38">
                  <c:v>22.820227302752158</c:v>
                </c:pt>
                <c:pt idx="39">
                  <c:v>22.584672574051211</c:v>
                </c:pt>
                <c:pt idx="40">
                  <c:v>21.110933490875979</c:v>
                </c:pt>
                <c:pt idx="41">
                  <c:v>13.957561956932624</c:v>
                </c:pt>
                <c:pt idx="42">
                  <c:v>19.795821059751098</c:v>
                </c:pt>
                <c:pt idx="43">
                  <c:v>22.683139320931737</c:v>
                </c:pt>
                <c:pt idx="44">
                  <c:v>11.9742228600301</c:v>
                </c:pt>
                <c:pt idx="45">
                  <c:v>15.187493425042932</c:v>
                </c:pt>
                <c:pt idx="46">
                  <c:v>9.2991547085590458</c:v>
                </c:pt>
                <c:pt idx="47">
                  <c:v>9.9909581784612111</c:v>
                </c:pt>
                <c:pt idx="48">
                  <c:v>19.715725175369585</c:v>
                </c:pt>
                <c:pt idx="49">
                  <c:v>17.563912876460559</c:v>
                </c:pt>
                <c:pt idx="50">
                  <c:v>15.973468489598865</c:v>
                </c:pt>
                <c:pt idx="51">
                  <c:v>17.245412414013092</c:v>
                </c:pt>
                <c:pt idx="52">
                  <c:v>25.101184419698921</c:v>
                </c:pt>
                <c:pt idx="53">
                  <c:v>25.09898518326078</c:v>
                </c:pt>
                <c:pt idx="54">
                  <c:v>14.308558523621272</c:v>
                </c:pt>
                <c:pt idx="55">
                  <c:v>25.556253548228881</c:v>
                </c:pt>
                <c:pt idx="56">
                  <c:v>28.684397515227058</c:v>
                </c:pt>
                <c:pt idx="57">
                  <c:v>23.40641037588885</c:v>
                </c:pt>
                <c:pt idx="58">
                  <c:v>23.580827470689421</c:v>
                </c:pt>
                <c:pt idx="59">
                  <c:v>28.90939095979461</c:v>
                </c:pt>
                <c:pt idx="60">
                  <c:v>8.3164917729240386</c:v>
                </c:pt>
                <c:pt idx="61">
                  <c:v>28.141705889826753</c:v>
                </c:pt>
                <c:pt idx="62">
                  <c:v>3.7550466441182899</c:v>
                </c:pt>
                <c:pt idx="63">
                  <c:v>12.051194091392414</c:v>
                </c:pt>
                <c:pt idx="64">
                  <c:v>13.892389961788018</c:v>
                </c:pt>
                <c:pt idx="65">
                  <c:v>29.553815428634575</c:v>
                </c:pt>
                <c:pt idx="66">
                  <c:v>22.857776815387552</c:v>
                </c:pt>
                <c:pt idx="67">
                  <c:v>23.85112368093186</c:v>
                </c:pt>
                <c:pt idx="68">
                  <c:v>18.914840704954408</c:v>
                </c:pt>
                <c:pt idx="69">
                  <c:v>12.333172328335413</c:v>
                </c:pt>
                <c:pt idx="70">
                  <c:v>12.944087638515347</c:v>
                </c:pt>
                <c:pt idx="71">
                  <c:v>9.3266871287101036</c:v>
                </c:pt>
                <c:pt idx="72">
                  <c:v>12.437120599037225</c:v>
                </c:pt>
                <c:pt idx="73">
                  <c:v>12.507241817636306</c:v>
                </c:pt>
                <c:pt idx="74">
                  <c:v>11.391604056979654</c:v>
                </c:pt>
                <c:pt idx="75">
                  <c:v>9.4150819324650126</c:v>
                </c:pt>
                <c:pt idx="76">
                  <c:v>12.642119312954899</c:v>
                </c:pt>
                <c:pt idx="77">
                  <c:v>23.2463517532473</c:v>
                </c:pt>
                <c:pt idx="78">
                  <c:v>24.199246696367766</c:v>
                </c:pt>
                <c:pt idx="79">
                  <c:v>33.521812341809138</c:v>
                </c:pt>
                <c:pt idx="80">
                  <c:v>31.911776995882231</c:v>
                </c:pt>
                <c:pt idx="81">
                  <c:v>36.283945218377539</c:v>
                </c:pt>
                <c:pt idx="82">
                  <c:v>35.368909612996667</c:v>
                </c:pt>
                <c:pt idx="83">
                  <c:v>33.736375812306804</c:v>
                </c:pt>
                <c:pt idx="84">
                  <c:v>35.813445172164407</c:v>
                </c:pt>
                <c:pt idx="85">
                  <c:v>34.568721641581277</c:v>
                </c:pt>
                <c:pt idx="86">
                  <c:v>26.217552459468578</c:v>
                </c:pt>
                <c:pt idx="87">
                  <c:v>22.522983993166811</c:v>
                </c:pt>
                <c:pt idx="88">
                  <c:v>6.9507758907170345</c:v>
                </c:pt>
                <c:pt idx="89">
                  <c:v>25.19992146892794</c:v>
                </c:pt>
                <c:pt idx="90">
                  <c:v>27.064510131828467</c:v>
                </c:pt>
                <c:pt idx="91">
                  <c:v>18.128853655108124</c:v>
                </c:pt>
                <c:pt idx="92">
                  <c:v>18.133077138414134</c:v>
                </c:pt>
                <c:pt idx="93">
                  <c:v>39.877004667826796</c:v>
                </c:pt>
                <c:pt idx="94">
                  <c:v>41.046844913077138</c:v>
                </c:pt>
                <c:pt idx="95">
                  <c:v>9.9989177417711268</c:v>
                </c:pt>
                <c:pt idx="96">
                  <c:v>29.850365592339486</c:v>
                </c:pt>
                <c:pt idx="97">
                  <c:v>23.435114549318971</c:v>
                </c:pt>
                <c:pt idx="98">
                  <c:v>31.484066144388304</c:v>
                </c:pt>
                <c:pt idx="99">
                  <c:v>41.463491580441556</c:v>
                </c:pt>
                <c:pt idx="100">
                  <c:v>35.017291522457178</c:v>
                </c:pt>
                <c:pt idx="101">
                  <c:v>29.225841361367017</c:v>
                </c:pt>
                <c:pt idx="102">
                  <c:v>6.3166128840052531</c:v>
                </c:pt>
                <c:pt idx="103">
                  <c:v>32.387757371530832</c:v>
                </c:pt>
                <c:pt idx="104">
                  <c:v>37.927965491171868</c:v>
                </c:pt>
                <c:pt idx="105">
                  <c:v>39.579942417980199</c:v>
                </c:pt>
                <c:pt idx="106">
                  <c:v>43.115690419676689</c:v>
                </c:pt>
                <c:pt idx="107">
                  <c:v>33.731717504333247</c:v>
                </c:pt>
                <c:pt idx="108">
                  <c:v>7.752904235791247</c:v>
                </c:pt>
                <c:pt idx="109">
                  <c:v>9.025697328567782</c:v>
                </c:pt>
                <c:pt idx="110">
                  <c:v>8.5077068678156227</c:v>
                </c:pt>
                <c:pt idx="111">
                  <c:v>24.412678912733959</c:v>
                </c:pt>
                <c:pt idx="112">
                  <c:v>8.3695616600415264</c:v>
                </c:pt>
                <c:pt idx="113">
                  <c:v>26.686984639574796</c:v>
                </c:pt>
                <c:pt idx="114">
                  <c:v>42.709633619059055</c:v>
                </c:pt>
                <c:pt idx="115">
                  <c:v>44.68692933043036</c:v>
                </c:pt>
                <c:pt idx="116">
                  <c:v>32.527400789678794</c:v>
                </c:pt>
                <c:pt idx="117">
                  <c:v>18.203708247292592</c:v>
                </c:pt>
                <c:pt idx="118">
                  <c:v>33.882594093654404</c:v>
                </c:pt>
                <c:pt idx="119">
                  <c:v>42.870586222970132</c:v>
                </c:pt>
                <c:pt idx="120">
                  <c:v>43.708385860685688</c:v>
                </c:pt>
                <c:pt idx="121">
                  <c:v>28.50873588566488</c:v>
                </c:pt>
                <c:pt idx="122">
                  <c:v>34.791094153843254</c:v>
                </c:pt>
                <c:pt idx="123">
                  <c:v>20.474182393881737</c:v>
                </c:pt>
                <c:pt idx="124">
                  <c:v>40.718269472017845</c:v>
                </c:pt>
                <c:pt idx="125">
                  <c:v>34.300006298689361</c:v>
                </c:pt>
                <c:pt idx="126">
                  <c:v>50.197606338501281</c:v>
                </c:pt>
                <c:pt idx="127">
                  <c:v>45.747533612735204</c:v>
                </c:pt>
                <c:pt idx="128">
                  <c:v>50.612546183244568</c:v>
                </c:pt>
                <c:pt idx="129">
                  <c:v>46.966572565915627</c:v>
                </c:pt>
                <c:pt idx="130">
                  <c:v>50.761045052263576</c:v>
                </c:pt>
                <c:pt idx="131">
                  <c:v>38.803790528018574</c:v>
                </c:pt>
                <c:pt idx="132">
                  <c:v>41.438933262297539</c:v>
                </c:pt>
                <c:pt idx="133">
                  <c:v>45.223709197959948</c:v>
                </c:pt>
                <c:pt idx="134">
                  <c:v>47.561876146657276</c:v>
                </c:pt>
                <c:pt idx="135">
                  <c:v>46.107279040658369</c:v>
                </c:pt>
                <c:pt idx="136">
                  <c:v>49.141922607840385</c:v>
                </c:pt>
                <c:pt idx="137">
                  <c:v>47.977383774397509</c:v>
                </c:pt>
                <c:pt idx="138">
                  <c:v>50.451603405589225</c:v>
                </c:pt>
                <c:pt idx="139">
                  <c:v>44.859404568764468</c:v>
                </c:pt>
                <c:pt idx="140">
                  <c:v>43.704454518062512</c:v>
                </c:pt>
                <c:pt idx="141">
                  <c:v>32.296269855446639</c:v>
                </c:pt>
                <c:pt idx="142">
                  <c:v>18.909841226590796</c:v>
                </c:pt>
                <c:pt idx="143">
                  <c:v>16.232611420982433</c:v>
                </c:pt>
                <c:pt idx="144">
                  <c:v>37.838844835483272</c:v>
                </c:pt>
                <c:pt idx="145">
                  <c:v>20.541564065385447</c:v>
                </c:pt>
                <c:pt idx="146">
                  <c:v>44.403202485529327</c:v>
                </c:pt>
                <c:pt idx="147">
                  <c:v>50.874900902939046</c:v>
                </c:pt>
                <c:pt idx="148">
                  <c:v>54.474440325790276</c:v>
                </c:pt>
                <c:pt idx="149">
                  <c:v>48.969208448775397</c:v>
                </c:pt>
                <c:pt idx="150">
                  <c:v>50.230660494216991</c:v>
                </c:pt>
                <c:pt idx="151">
                  <c:v>51.482503613771698</c:v>
                </c:pt>
                <c:pt idx="152">
                  <c:v>42.333999871791072</c:v>
                </c:pt>
                <c:pt idx="153">
                  <c:v>49.317357987399774</c:v>
                </c:pt>
                <c:pt idx="154">
                  <c:v>23.349149292394628</c:v>
                </c:pt>
                <c:pt idx="155">
                  <c:v>33.004428277201271</c:v>
                </c:pt>
                <c:pt idx="156">
                  <c:v>41.956966365495617</c:v>
                </c:pt>
                <c:pt idx="157">
                  <c:v>28.307672522740752</c:v>
                </c:pt>
                <c:pt idx="158">
                  <c:v>19.279265185487336</c:v>
                </c:pt>
                <c:pt idx="159">
                  <c:v>41.26695579039508</c:v>
                </c:pt>
                <c:pt idx="160">
                  <c:v>52.399822105070292</c:v>
                </c:pt>
                <c:pt idx="161">
                  <c:v>51.407305246053681</c:v>
                </c:pt>
                <c:pt idx="162">
                  <c:v>38.713438975725509</c:v>
                </c:pt>
                <c:pt idx="163">
                  <c:v>50.304945464020086</c:v>
                </c:pt>
                <c:pt idx="164">
                  <c:v>42.734864149694133</c:v>
                </c:pt>
                <c:pt idx="165">
                  <c:v>49.384475127642894</c:v>
                </c:pt>
                <c:pt idx="166">
                  <c:v>47.420291688632865</c:v>
                </c:pt>
                <c:pt idx="167">
                  <c:v>47.824422971872949</c:v>
                </c:pt>
                <c:pt idx="168">
                  <c:v>49.415467626979392</c:v>
                </c:pt>
                <c:pt idx="169">
                  <c:v>50.578839270585554</c:v>
                </c:pt>
                <c:pt idx="170">
                  <c:v>30.682172379905868</c:v>
                </c:pt>
                <c:pt idx="171">
                  <c:v>22.224982723814275</c:v>
                </c:pt>
                <c:pt idx="172">
                  <c:v>38.943510857242387</c:v>
                </c:pt>
                <c:pt idx="173">
                  <c:v>38.420916278815056</c:v>
                </c:pt>
                <c:pt idx="174">
                  <c:v>37.538240244265879</c:v>
                </c:pt>
                <c:pt idx="175">
                  <c:v>30.460853760967549</c:v>
                </c:pt>
                <c:pt idx="176">
                  <c:v>11.21748116246385</c:v>
                </c:pt>
                <c:pt idx="177">
                  <c:v>11.919655829387123</c:v>
                </c:pt>
                <c:pt idx="178">
                  <c:v>54.570209694140104</c:v>
                </c:pt>
                <c:pt idx="179">
                  <c:v>51.375899091493416</c:v>
                </c:pt>
                <c:pt idx="180">
                  <c:v>12.972277355894448</c:v>
                </c:pt>
                <c:pt idx="181">
                  <c:v>49.008062955746325</c:v>
                </c:pt>
                <c:pt idx="182">
                  <c:v>51.522116862661846</c:v>
                </c:pt>
                <c:pt idx="183">
                  <c:v>39.880676451142946</c:v>
                </c:pt>
                <c:pt idx="184">
                  <c:v>40.868779391511097</c:v>
                </c:pt>
                <c:pt idx="185">
                  <c:v>50.470681218846011</c:v>
                </c:pt>
                <c:pt idx="186">
                  <c:v>45.441486509048566</c:v>
                </c:pt>
                <c:pt idx="187">
                  <c:v>49.957063216323895</c:v>
                </c:pt>
                <c:pt idx="188">
                  <c:v>52.922247585821424</c:v>
                </c:pt>
                <c:pt idx="189">
                  <c:v>51.970472731931444</c:v>
                </c:pt>
                <c:pt idx="190">
                  <c:v>51.368188487658905</c:v>
                </c:pt>
                <c:pt idx="191">
                  <c:v>49.964367790014585</c:v>
                </c:pt>
                <c:pt idx="192">
                  <c:v>49.633449097643968</c:v>
                </c:pt>
                <c:pt idx="193">
                  <c:v>49.301566272189255</c:v>
                </c:pt>
                <c:pt idx="194">
                  <c:v>48.590269707309879</c:v>
                </c:pt>
                <c:pt idx="195">
                  <c:v>46.969946736936478</c:v>
                </c:pt>
                <c:pt idx="196">
                  <c:v>48.686889980241006</c:v>
                </c:pt>
                <c:pt idx="197">
                  <c:v>48.083046991283837</c:v>
                </c:pt>
                <c:pt idx="198">
                  <c:v>48.171283481732083</c:v>
                </c:pt>
                <c:pt idx="199">
                  <c:v>40.959606229464903</c:v>
                </c:pt>
                <c:pt idx="200">
                  <c:v>39.509887348515186</c:v>
                </c:pt>
                <c:pt idx="201">
                  <c:v>46.812754016064623</c:v>
                </c:pt>
                <c:pt idx="202">
                  <c:v>35.49573616941268</c:v>
                </c:pt>
                <c:pt idx="203">
                  <c:v>44.842191471485492</c:v>
                </c:pt>
                <c:pt idx="204">
                  <c:v>46.523134658484359</c:v>
                </c:pt>
                <c:pt idx="205">
                  <c:v>25.191440984221867</c:v>
                </c:pt>
                <c:pt idx="206">
                  <c:v>51.109496478042928</c:v>
                </c:pt>
                <c:pt idx="207">
                  <c:v>50.018760508276209</c:v>
                </c:pt>
                <c:pt idx="208">
                  <c:v>42.267328122722986</c:v>
                </c:pt>
                <c:pt idx="209">
                  <c:v>29.288961577906942</c:v>
                </c:pt>
                <c:pt idx="210">
                  <c:v>46.672768007097552</c:v>
                </c:pt>
                <c:pt idx="211">
                  <c:v>47.683605587568927</c:v>
                </c:pt>
                <c:pt idx="212">
                  <c:v>47.614619462639894</c:v>
                </c:pt>
                <c:pt idx="213">
                  <c:v>47.618092589950869</c:v>
                </c:pt>
                <c:pt idx="214">
                  <c:v>44.421841997994932</c:v>
                </c:pt>
                <c:pt idx="215">
                  <c:v>43.912093170694583</c:v>
                </c:pt>
                <c:pt idx="216">
                  <c:v>41.811351958928242</c:v>
                </c:pt>
                <c:pt idx="217">
                  <c:v>42.91829121446645</c:v>
                </c:pt>
                <c:pt idx="218">
                  <c:v>45.475477515231468</c:v>
                </c:pt>
                <c:pt idx="219">
                  <c:v>45.105884448723693</c:v>
                </c:pt>
                <c:pt idx="220">
                  <c:v>44.271433515885192</c:v>
                </c:pt>
                <c:pt idx="221">
                  <c:v>41.325118802578849</c:v>
                </c:pt>
                <c:pt idx="222">
                  <c:v>39.386708426685118</c:v>
                </c:pt>
                <c:pt idx="223">
                  <c:v>40.720763072387093</c:v>
                </c:pt>
                <c:pt idx="224">
                  <c:v>31.557681190407813</c:v>
                </c:pt>
                <c:pt idx="225">
                  <c:v>28.533191503396846</c:v>
                </c:pt>
                <c:pt idx="226">
                  <c:v>34.764198139518598</c:v>
                </c:pt>
                <c:pt idx="227">
                  <c:v>31.471551516870033</c:v>
                </c:pt>
                <c:pt idx="228">
                  <c:v>25.092330289299117</c:v>
                </c:pt>
                <c:pt idx="229">
                  <c:v>33.821667645247665</c:v>
                </c:pt>
                <c:pt idx="230">
                  <c:v>35.072649792388951</c:v>
                </c:pt>
                <c:pt idx="231">
                  <c:v>42.254700138832163</c:v>
                </c:pt>
                <c:pt idx="232">
                  <c:v>27.153707026902488</c:v>
                </c:pt>
                <c:pt idx="233">
                  <c:v>23.82974402621133</c:v>
                </c:pt>
                <c:pt idx="234">
                  <c:v>41.641264765874148</c:v>
                </c:pt>
                <c:pt idx="235">
                  <c:v>38.520418108881898</c:v>
                </c:pt>
                <c:pt idx="236">
                  <c:v>28.028257325819226</c:v>
                </c:pt>
                <c:pt idx="237">
                  <c:v>37.208655592153562</c:v>
                </c:pt>
                <c:pt idx="238">
                  <c:v>40.071353288029201</c:v>
                </c:pt>
                <c:pt idx="239">
                  <c:v>38.848712003687183</c:v>
                </c:pt>
                <c:pt idx="240">
                  <c:v>27.553380553434032</c:v>
                </c:pt>
                <c:pt idx="241">
                  <c:v>38.710991337821078</c:v>
                </c:pt>
                <c:pt idx="242">
                  <c:v>21.305954672852653</c:v>
                </c:pt>
                <c:pt idx="243">
                  <c:v>34.249746459850812</c:v>
                </c:pt>
                <c:pt idx="244">
                  <c:v>32.959655331577437</c:v>
                </c:pt>
                <c:pt idx="245">
                  <c:v>30.652265475060435</c:v>
                </c:pt>
                <c:pt idx="246">
                  <c:v>35.562739438249842</c:v>
                </c:pt>
                <c:pt idx="247">
                  <c:v>31.710477830189994</c:v>
                </c:pt>
                <c:pt idx="248">
                  <c:v>36.260461729800937</c:v>
                </c:pt>
                <c:pt idx="249">
                  <c:v>30.951604811423305</c:v>
                </c:pt>
                <c:pt idx="250">
                  <c:v>28.26216885878674</c:v>
                </c:pt>
                <c:pt idx="251">
                  <c:v>21.018989180067049</c:v>
                </c:pt>
                <c:pt idx="252">
                  <c:v>35.914405914226194</c:v>
                </c:pt>
                <c:pt idx="253">
                  <c:v>34.909247652399621</c:v>
                </c:pt>
                <c:pt idx="254">
                  <c:v>25.122880673026518</c:v>
                </c:pt>
                <c:pt idx="255">
                  <c:v>12.204237700720531</c:v>
                </c:pt>
                <c:pt idx="256">
                  <c:v>27.614800971435184</c:v>
                </c:pt>
                <c:pt idx="257">
                  <c:v>30.064798813866823</c:v>
                </c:pt>
                <c:pt idx="258">
                  <c:v>27.789199786590746</c:v>
                </c:pt>
                <c:pt idx="259">
                  <c:v>34.978237101643408</c:v>
                </c:pt>
                <c:pt idx="260">
                  <c:v>35.038561394697169</c:v>
                </c:pt>
                <c:pt idx="261">
                  <c:v>33.482166677939794</c:v>
                </c:pt>
                <c:pt idx="262">
                  <c:v>34.189984970945162</c:v>
                </c:pt>
                <c:pt idx="263">
                  <c:v>33.276026583811927</c:v>
                </c:pt>
                <c:pt idx="264">
                  <c:v>32.12710954947984</c:v>
                </c:pt>
                <c:pt idx="265">
                  <c:v>20.786432668376964</c:v>
                </c:pt>
                <c:pt idx="266">
                  <c:v>15.150498383118343</c:v>
                </c:pt>
                <c:pt idx="267">
                  <c:v>27.881971334722351</c:v>
                </c:pt>
                <c:pt idx="268">
                  <c:v>24.202470724812681</c:v>
                </c:pt>
                <c:pt idx="269">
                  <c:v>15.68594009236654</c:v>
                </c:pt>
                <c:pt idx="270">
                  <c:v>17.268291706289641</c:v>
                </c:pt>
                <c:pt idx="271">
                  <c:v>19.934568000648561</c:v>
                </c:pt>
                <c:pt idx="272">
                  <c:v>21.391791428123668</c:v>
                </c:pt>
                <c:pt idx="273">
                  <c:v>27.166070897114235</c:v>
                </c:pt>
                <c:pt idx="274">
                  <c:v>28.991744183027315</c:v>
                </c:pt>
                <c:pt idx="275">
                  <c:v>27.777233429377322</c:v>
                </c:pt>
                <c:pt idx="276">
                  <c:v>29.187914435767802</c:v>
                </c:pt>
                <c:pt idx="277">
                  <c:v>29.451559604000966</c:v>
                </c:pt>
                <c:pt idx="278">
                  <c:v>10.750338551369801</c:v>
                </c:pt>
                <c:pt idx="279">
                  <c:v>21.697417666206736</c:v>
                </c:pt>
                <c:pt idx="280">
                  <c:v>14.135392311947196</c:v>
                </c:pt>
                <c:pt idx="281">
                  <c:v>27.054584304915537</c:v>
                </c:pt>
                <c:pt idx="282">
                  <c:v>22.618035518952951</c:v>
                </c:pt>
                <c:pt idx="283">
                  <c:v>18.295883975087207</c:v>
                </c:pt>
                <c:pt idx="284">
                  <c:v>21.225346246065957</c:v>
                </c:pt>
                <c:pt idx="285">
                  <c:v>18.586168902742433</c:v>
                </c:pt>
                <c:pt idx="286">
                  <c:v>17.561318529410038</c:v>
                </c:pt>
                <c:pt idx="287">
                  <c:v>25.380617724711605</c:v>
                </c:pt>
                <c:pt idx="288">
                  <c:v>23.905502862031856</c:v>
                </c:pt>
                <c:pt idx="289">
                  <c:v>15.914086390340636</c:v>
                </c:pt>
                <c:pt idx="290">
                  <c:v>23.656532618600224</c:v>
                </c:pt>
                <c:pt idx="291">
                  <c:v>12.457576009277128</c:v>
                </c:pt>
                <c:pt idx="292">
                  <c:v>5.5427305398953814</c:v>
                </c:pt>
                <c:pt idx="293">
                  <c:v>12.959890646417497</c:v>
                </c:pt>
                <c:pt idx="294">
                  <c:v>22.594380973736083</c:v>
                </c:pt>
                <c:pt idx="295">
                  <c:v>14.01837378613676</c:v>
                </c:pt>
                <c:pt idx="296">
                  <c:v>16.817324874673094</c:v>
                </c:pt>
                <c:pt idx="297">
                  <c:v>16.898027403431044</c:v>
                </c:pt>
                <c:pt idx="298">
                  <c:v>11.007829701606907</c:v>
                </c:pt>
                <c:pt idx="299">
                  <c:v>10.622310660691992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0.93527833413956196</c:v>
                </c:pt>
                <c:pt idx="312">
                  <c:v>7.4272869448092225</c:v>
                </c:pt>
                <c:pt idx="313">
                  <c:v>16.614938280289646</c:v>
                </c:pt>
                <c:pt idx="314">
                  <c:v>17.980037359723859</c:v>
                </c:pt>
                <c:pt idx="315">
                  <c:v>18.180728610111</c:v>
                </c:pt>
                <c:pt idx="316">
                  <c:v>17.516782102189556</c:v>
                </c:pt>
                <c:pt idx="317">
                  <c:v>7.2425353664395073</c:v>
                </c:pt>
                <c:pt idx="318">
                  <c:v>9.8847558249018626</c:v>
                </c:pt>
                <c:pt idx="319">
                  <c:v>17.704967877487274</c:v>
                </c:pt>
                <c:pt idx="320">
                  <c:v>10.357870648065434</c:v>
                </c:pt>
                <c:pt idx="321">
                  <c:v>10.735455259289626</c:v>
                </c:pt>
                <c:pt idx="322">
                  <c:v>7.0414542103831144</c:v>
                </c:pt>
                <c:pt idx="323">
                  <c:v>11.208103420326214</c:v>
                </c:pt>
                <c:pt idx="324">
                  <c:v>3.0464836057630378</c:v>
                </c:pt>
                <c:pt idx="325">
                  <c:v>6.7912739439470498</c:v>
                </c:pt>
                <c:pt idx="326">
                  <c:v>9.326767158351446</c:v>
                </c:pt>
                <c:pt idx="327">
                  <c:v>10.352066691858495</c:v>
                </c:pt>
                <c:pt idx="328">
                  <c:v>4.9830955798477587</c:v>
                </c:pt>
                <c:pt idx="329">
                  <c:v>9.5434686785858105</c:v>
                </c:pt>
                <c:pt idx="330">
                  <c:v>10.760226907371093</c:v>
                </c:pt>
                <c:pt idx="331">
                  <c:v>9.1573605638852733</c:v>
                </c:pt>
                <c:pt idx="332">
                  <c:v>12.221005506330473</c:v>
                </c:pt>
                <c:pt idx="333">
                  <c:v>3.6618617734064727</c:v>
                </c:pt>
                <c:pt idx="334">
                  <c:v>3.2800171770812447</c:v>
                </c:pt>
                <c:pt idx="335">
                  <c:v>5.478344795455774</c:v>
                </c:pt>
                <c:pt idx="336">
                  <c:v>6.1547145830528391</c:v>
                </c:pt>
                <c:pt idx="337">
                  <c:v>12.005418380765182</c:v>
                </c:pt>
                <c:pt idx="338">
                  <c:v>15.025331303235953</c:v>
                </c:pt>
                <c:pt idx="339">
                  <c:v>8.375329122887047</c:v>
                </c:pt>
                <c:pt idx="340">
                  <c:v>13.372927884007874</c:v>
                </c:pt>
                <c:pt idx="341">
                  <c:v>3.9302231362318611</c:v>
                </c:pt>
                <c:pt idx="342">
                  <c:v>4.6504764376615704</c:v>
                </c:pt>
                <c:pt idx="343">
                  <c:v>9.4817933423230407</c:v>
                </c:pt>
                <c:pt idx="344">
                  <c:v>11.53518796661008</c:v>
                </c:pt>
                <c:pt idx="345">
                  <c:v>3.8538123267806714</c:v>
                </c:pt>
                <c:pt idx="346">
                  <c:v>5.0062982073068527</c:v>
                </c:pt>
                <c:pt idx="347">
                  <c:v>13.361462217949621</c:v>
                </c:pt>
                <c:pt idx="348">
                  <c:v>5.2427214061491911</c:v>
                </c:pt>
                <c:pt idx="349">
                  <c:v>4.4315964699082624</c:v>
                </c:pt>
                <c:pt idx="350">
                  <c:v>3.2940829668243388</c:v>
                </c:pt>
                <c:pt idx="351">
                  <c:v>13.241124386099706</c:v>
                </c:pt>
                <c:pt idx="352">
                  <c:v>11.018071763253673</c:v>
                </c:pt>
                <c:pt idx="353">
                  <c:v>4.4556487497853059</c:v>
                </c:pt>
                <c:pt idx="354">
                  <c:v>14.011579476871914</c:v>
                </c:pt>
                <c:pt idx="355">
                  <c:v>10.344941748928802</c:v>
                </c:pt>
                <c:pt idx="356">
                  <c:v>11.12014148136892</c:v>
                </c:pt>
                <c:pt idx="357">
                  <c:v>14.782559850046498</c:v>
                </c:pt>
                <c:pt idx="358">
                  <c:v>8.8744584125776775</c:v>
                </c:pt>
                <c:pt idx="359">
                  <c:v>14.585560601820617</c:v>
                </c:pt>
                <c:pt idx="360">
                  <c:v>6.4936244745035001</c:v>
                </c:pt>
                <c:pt idx="361">
                  <c:v>13.699357210541958</c:v>
                </c:pt>
                <c:pt idx="362">
                  <c:v>8.0285022523557821</c:v>
                </c:pt>
                <c:pt idx="363">
                  <c:v>10.425622046131384</c:v>
                </c:pt>
                <c:pt idx="364">
                  <c:v>8.5567925230656972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229336"/>
        <c:axId val="486963840"/>
      </c:lineChart>
      <c:dateAx>
        <c:axId val="413229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963840"/>
        <c:crosses val="autoZero"/>
        <c:auto val="1"/>
        <c:lblOffset val="100"/>
        <c:baseTimeUnit val="days"/>
        <c:majorUnit val="1"/>
        <c:majorTimeUnit val="months"/>
      </c:dateAx>
      <c:valAx>
        <c:axId val="4869638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2293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7.4220980429666877E-2</c:v>
                </c:pt>
                <c:pt idx="1">
                  <c:v>7.4243015946325236E-2</c:v>
                </c:pt>
                <c:pt idx="2">
                  <c:v>7.4265050950185013E-2</c:v>
                </c:pt>
                <c:pt idx="3">
                  <c:v>7.4287085441257977E-2</c:v>
                </c:pt>
                <c:pt idx="4">
                  <c:v>7.430911941955623E-2</c:v>
                </c:pt>
                <c:pt idx="5">
                  <c:v>7.4331152885091539E-2</c:v>
                </c:pt>
                <c:pt idx="6">
                  <c:v>7.4353185837876007E-2</c:v>
                </c:pt>
                <c:pt idx="7">
                  <c:v>7.4375218277921401E-2</c:v>
                </c:pt>
                <c:pt idx="8">
                  <c:v>7.4397250205239823E-2</c:v>
                </c:pt>
                <c:pt idx="9">
                  <c:v>7.4419281619843042E-2</c:v>
                </c:pt>
                <c:pt idx="10">
                  <c:v>7.4441312521743047E-2</c:v>
                </c:pt>
                <c:pt idx="11">
                  <c:v>7.4463342910951719E-2</c:v>
                </c:pt>
                <c:pt idx="12">
                  <c:v>7.4485372787481158E-2</c:v>
                </c:pt>
                <c:pt idx="13">
                  <c:v>7.4507402151343133E-2</c:v>
                </c:pt>
                <c:pt idx="14">
                  <c:v>7.4529431002549634E-2</c:v>
                </c:pt>
                <c:pt idx="15">
                  <c:v>7.4551459341112541E-2</c:v>
                </c:pt>
                <c:pt idx="16">
                  <c:v>7.4573487167043956E-2</c:v>
                </c:pt>
                <c:pt idx="17">
                  <c:v>7.4595514480355535E-2</c:v>
                </c:pt>
                <c:pt idx="18">
                  <c:v>7.4617541281059491E-2</c:v>
                </c:pt>
                <c:pt idx="19">
                  <c:v>7.4639567569167481E-2</c:v>
                </c:pt>
                <c:pt idx="20">
                  <c:v>7.4661593344691718E-2</c:v>
                </c:pt>
                <c:pt idx="21">
                  <c:v>7.4683618607643859E-2</c:v>
                </c:pt>
                <c:pt idx="22">
                  <c:v>7.4705643358036006E-2</c:v>
                </c:pt>
                <c:pt idx="23">
                  <c:v>7.4727667595880037E-2</c:v>
                </c:pt>
                <c:pt idx="24">
                  <c:v>7.4749691321187833E-2</c:v>
                </c:pt>
                <c:pt idx="25">
                  <c:v>7.4771714533971384E-2</c:v>
                </c:pt>
                <c:pt idx="26">
                  <c:v>7.479373723424268E-2</c:v>
                </c:pt>
                <c:pt idx="27">
                  <c:v>7.4815759422013489E-2</c:v>
                </c:pt>
                <c:pt idx="28">
                  <c:v>7.4837781097295802E-2</c:v>
                </c:pt>
                <c:pt idx="29">
                  <c:v>7.485980226010161E-2</c:v>
                </c:pt>
                <c:pt idx="30">
                  <c:v>7.4881822910442791E-2</c:v>
                </c:pt>
                <c:pt idx="31">
                  <c:v>7.4903843048331226E-2</c:v>
                </c:pt>
                <c:pt idx="32">
                  <c:v>7.4925862673778904E-2</c:v>
                </c:pt>
                <c:pt idx="33">
                  <c:v>7.4947881786797704E-2</c:v>
                </c:pt>
                <c:pt idx="34">
                  <c:v>7.4969900387399618E-2</c:v>
                </c:pt>
                <c:pt idx="35">
                  <c:v>7.4991918475596414E-2</c:v>
                </c:pt>
                <c:pt idx="36">
                  <c:v>7.5013936051400304E-2</c:v>
                </c:pt>
                <c:pt idx="37">
                  <c:v>7.5035953114822945E-2</c:v>
                </c:pt>
                <c:pt idx="38">
                  <c:v>7.5057969665876328E-2</c:v>
                </c:pt>
                <c:pt idx="39">
                  <c:v>7.5079985704572444E-2</c:v>
                </c:pt>
                <c:pt idx="40">
                  <c:v>7.5102001230923171E-2</c:v>
                </c:pt>
                <c:pt idx="41">
                  <c:v>7.51240162449405E-2</c:v>
                </c:pt>
                <c:pt idx="42">
                  <c:v>7.51460307466362E-2</c:v>
                </c:pt>
                <c:pt idx="43">
                  <c:v>7.5168044736022371E-2</c:v>
                </c:pt>
                <c:pt idx="44">
                  <c:v>7.5190058213110783E-2</c:v>
                </c:pt>
                <c:pt idx="45">
                  <c:v>7.5212071177913425E-2</c:v>
                </c:pt>
                <c:pt idx="46">
                  <c:v>7.5234083630442178E-2</c:v>
                </c:pt>
                <c:pt idx="47">
                  <c:v>7.5256095570709142E-2</c:v>
                </c:pt>
                <c:pt idx="48">
                  <c:v>7.5278106998725974E-2</c:v>
                </c:pt>
                <c:pt idx="49">
                  <c:v>7.5300117914504777E-2</c:v>
                </c:pt>
                <c:pt idx="50">
                  <c:v>7.5322128318057319E-2</c:v>
                </c:pt>
                <c:pt idx="51">
                  <c:v>7.53441382093957E-2</c:v>
                </c:pt>
                <c:pt idx="52">
                  <c:v>7.5366147588531801E-2</c:v>
                </c:pt>
                <c:pt idx="53">
                  <c:v>7.538815645547739E-2</c:v>
                </c:pt>
                <c:pt idx="54">
                  <c:v>7.5410164810244568E-2</c:v>
                </c:pt>
                <c:pt idx="55">
                  <c:v>7.5432172652845103E-2</c:v>
                </c:pt>
                <c:pt idx="56">
                  <c:v>7.5454179983291098E-2</c:v>
                </c:pt>
                <c:pt idx="57">
                  <c:v>7.5476186801594319E-2</c:v>
                </c:pt>
                <c:pt idx="58">
                  <c:v>7.5498193107766648E-2</c:v>
                </c:pt>
                <c:pt idx="59">
                  <c:v>7.5520198901820185E-2</c:v>
                </c:pt>
                <c:pt idx="60">
                  <c:v>7.5542204183766698E-2</c:v>
                </c:pt>
                <c:pt idx="61">
                  <c:v>7.5564208953618178E-2</c:v>
                </c:pt>
                <c:pt idx="62">
                  <c:v>7.5586213211386505E-2</c:v>
                </c:pt>
                <c:pt idx="63">
                  <c:v>7.5608216957083557E-2</c:v>
                </c:pt>
                <c:pt idx="64">
                  <c:v>7.5630220190721437E-2</c:v>
                </c:pt>
                <c:pt idx="65">
                  <c:v>7.5652222912311801E-2</c:v>
                </c:pt>
                <c:pt idx="66">
                  <c:v>7.5674225121866751E-2</c:v>
                </c:pt>
                <c:pt idx="67">
                  <c:v>7.5696226819398055E-2</c:v>
                </c:pt>
                <c:pt idx="68">
                  <c:v>7.5718228004917815E-2</c:v>
                </c:pt>
                <c:pt idx="69">
                  <c:v>7.5740228678437799E-2</c:v>
                </c:pt>
                <c:pt idx="70">
                  <c:v>7.5762228839969997E-2</c:v>
                </c:pt>
                <c:pt idx="71">
                  <c:v>7.578422848952629E-2</c:v>
                </c:pt>
                <c:pt idx="72">
                  <c:v>7.5806227627118555E-2</c:v>
                </c:pt>
                <c:pt idx="73">
                  <c:v>7.5828226252758785E-2</c:v>
                </c:pt>
                <c:pt idx="74">
                  <c:v>7.5850224366458857E-2</c:v>
                </c:pt>
                <c:pt idx="75">
                  <c:v>7.5872221968230652E-2</c:v>
                </c:pt>
                <c:pt idx="76">
                  <c:v>7.589421905808616E-2</c:v>
                </c:pt>
                <c:pt idx="77">
                  <c:v>7.591621563603726E-2</c:v>
                </c:pt>
                <c:pt idx="78">
                  <c:v>7.5938211702095831E-2</c:v>
                </c:pt>
                <c:pt idx="79">
                  <c:v>7.5960207256273865E-2</c:v>
                </c:pt>
                <c:pt idx="80">
                  <c:v>7.5982202298583129E-2</c:v>
                </c:pt>
                <c:pt idx="81">
                  <c:v>7.6004196829035614E-2</c:v>
                </c:pt>
                <c:pt idx="82">
                  <c:v>7.602619084764331E-2</c:v>
                </c:pt>
                <c:pt idx="83">
                  <c:v>7.6048184354418097E-2</c:v>
                </c:pt>
                <c:pt idx="84">
                  <c:v>7.6070177349371743E-2</c:v>
                </c:pt>
                <c:pt idx="85">
                  <c:v>7.6092169832516349E-2</c:v>
                </c:pt>
                <c:pt idx="86">
                  <c:v>7.6114161803863795E-2</c:v>
                </c:pt>
                <c:pt idx="87">
                  <c:v>7.6136153263425849E-2</c:v>
                </c:pt>
                <c:pt idx="88">
                  <c:v>7.6158144211214501E-2</c:v>
                </c:pt>
                <c:pt idx="89">
                  <c:v>7.6180134647241632E-2</c:v>
                </c:pt>
                <c:pt idx="90">
                  <c:v>7.6202124571519342E-2</c:v>
                </c:pt>
                <c:pt idx="91">
                  <c:v>7.6224113984059289E-2</c:v>
                </c:pt>
                <c:pt idx="92">
                  <c:v>7.6246102884873462E-2</c:v>
                </c:pt>
                <c:pt idx="93">
                  <c:v>7.6268091273973854E-2</c:v>
                </c:pt>
                <c:pt idx="94">
                  <c:v>7.6290079151372231E-2</c:v>
                </c:pt>
                <c:pt idx="95">
                  <c:v>7.6312066517080696E-2</c:v>
                </c:pt>
                <c:pt idx="96">
                  <c:v>7.6334053371110905E-2</c:v>
                </c:pt>
                <c:pt idx="97">
                  <c:v>7.635603971347496E-2</c:v>
                </c:pt>
                <c:pt idx="98">
                  <c:v>7.6378025544184741E-2</c:v>
                </c:pt>
                <c:pt idx="99">
                  <c:v>7.6400010863252127E-2</c:v>
                </c:pt>
                <c:pt idx="100">
                  <c:v>7.6421995670688997E-2</c:v>
                </c:pt>
                <c:pt idx="101">
                  <c:v>7.6443979966507231E-2</c:v>
                </c:pt>
                <c:pt idx="102">
                  <c:v>7.6465963750718818E-2</c:v>
                </c:pt>
                <c:pt idx="103">
                  <c:v>7.648794702333564E-2</c:v>
                </c:pt>
                <c:pt idx="104">
                  <c:v>7.6509929784369574E-2</c:v>
                </c:pt>
                <c:pt idx="105">
                  <c:v>7.6531912033832611E-2</c:v>
                </c:pt>
                <c:pt idx="106">
                  <c:v>7.655389377173652E-2</c:v>
                </c:pt>
                <c:pt idx="107">
                  <c:v>7.6575874998093291E-2</c:v>
                </c:pt>
                <c:pt idx="108">
                  <c:v>7.6597855712914803E-2</c:v>
                </c:pt>
                <c:pt idx="109">
                  <c:v>7.6619835916212936E-2</c:v>
                </c:pt>
                <c:pt idx="110">
                  <c:v>7.664181560799968E-2</c:v>
                </c:pt>
                <c:pt idx="111">
                  <c:v>7.6663794788286915E-2</c:v>
                </c:pt>
                <c:pt idx="112">
                  <c:v>7.6685773457086409E-2</c:v>
                </c:pt>
                <c:pt idx="113">
                  <c:v>7.6707751614410263E-2</c:v>
                </c:pt>
                <c:pt idx="114">
                  <c:v>7.6729729260270246E-2</c:v>
                </c:pt>
                <c:pt idx="115">
                  <c:v>7.6751706394678348E-2</c:v>
                </c:pt>
                <c:pt idx="116">
                  <c:v>7.6773683017646338E-2</c:v>
                </c:pt>
                <c:pt idx="117">
                  <c:v>7.6795659129186317E-2</c:v>
                </c:pt>
                <c:pt idx="118">
                  <c:v>7.6817634729310053E-2</c:v>
                </c:pt>
                <c:pt idx="119">
                  <c:v>7.6839609818029425E-2</c:v>
                </c:pt>
                <c:pt idx="120">
                  <c:v>7.6861584395356425E-2</c:v>
                </c:pt>
                <c:pt idx="121">
                  <c:v>7.688355846130282E-2</c:v>
                </c:pt>
                <c:pt idx="122">
                  <c:v>7.6905532015880712E-2</c:v>
                </c:pt>
                <c:pt idx="123">
                  <c:v>7.6927505059101758E-2</c:v>
                </c:pt>
                <c:pt idx="124">
                  <c:v>7.694947759097806E-2</c:v>
                </c:pt>
                <c:pt idx="125">
                  <c:v>7.6971449611521497E-2</c:v>
                </c:pt>
                <c:pt idx="126">
                  <c:v>7.6993421120743838E-2</c:v>
                </c:pt>
                <c:pt idx="127">
                  <c:v>7.7015392118657072E-2</c:v>
                </c:pt>
                <c:pt idx="128">
                  <c:v>7.703736260527308E-2</c:v>
                </c:pt>
                <c:pt idx="129">
                  <c:v>7.7059332580603851E-2</c:v>
                </c:pt>
                <c:pt idx="130">
                  <c:v>7.7081302044661154E-2</c:v>
                </c:pt>
                <c:pt idx="131">
                  <c:v>7.7103270997456869E-2</c:v>
                </c:pt>
                <c:pt idx="132">
                  <c:v>7.7125239439002985E-2</c:v>
                </c:pt>
                <c:pt idx="133">
                  <c:v>7.7147207369311493E-2</c:v>
                </c:pt>
                <c:pt idx="134">
                  <c:v>7.7169174788394052E-2</c:v>
                </c:pt>
                <c:pt idx="135">
                  <c:v>7.719114169626265E-2</c:v>
                </c:pt>
                <c:pt idx="136">
                  <c:v>7.7213108092929278E-2</c:v>
                </c:pt>
                <c:pt idx="137">
                  <c:v>7.7235073978405705E-2</c:v>
                </c:pt>
                <c:pt idx="138">
                  <c:v>7.7257039352703921E-2</c:v>
                </c:pt>
                <c:pt idx="139">
                  <c:v>7.7279004215835806E-2</c:v>
                </c:pt>
                <c:pt idx="140">
                  <c:v>7.7300968567813239E-2</c:v>
                </c:pt>
                <c:pt idx="141">
                  <c:v>7.7322932408648098E-2</c:v>
                </c:pt>
                <c:pt idx="142">
                  <c:v>7.7344895738352265E-2</c:v>
                </c:pt>
                <c:pt idx="143">
                  <c:v>7.7366858556937729E-2</c:v>
                </c:pt>
                <c:pt idx="144">
                  <c:v>7.7388820864416258E-2</c:v>
                </c:pt>
                <c:pt idx="145">
                  <c:v>7.7410782660799843E-2</c:v>
                </c:pt>
                <c:pt idx="146">
                  <c:v>7.7432743946100363E-2</c:v>
                </c:pt>
                <c:pt idx="147">
                  <c:v>7.7454704720329587E-2</c:v>
                </c:pt>
                <c:pt idx="148">
                  <c:v>7.7476664983499616E-2</c:v>
                </c:pt>
                <c:pt idx="149">
                  <c:v>7.7498624735622218E-2</c:v>
                </c:pt>
                <c:pt idx="150">
                  <c:v>7.7520583976709273E-2</c:v>
                </c:pt>
                <c:pt idx="151">
                  <c:v>7.7542542706772771E-2</c:v>
                </c:pt>
                <c:pt idx="152">
                  <c:v>7.7564500925824481E-2</c:v>
                </c:pt>
                <c:pt idx="153">
                  <c:v>7.7586458633876393E-2</c:v>
                </c:pt>
                <c:pt idx="154">
                  <c:v>7.7608415830940386E-2</c:v>
                </c:pt>
                <c:pt idx="155">
                  <c:v>7.7630372517028229E-2</c:v>
                </c:pt>
                <c:pt idx="156">
                  <c:v>7.7652328692151912E-2</c:v>
                </c:pt>
                <c:pt idx="157">
                  <c:v>7.7674284356323425E-2</c:v>
                </c:pt>
                <c:pt idx="158">
                  <c:v>7.7696239509554538E-2</c:v>
                </c:pt>
                <c:pt idx="159">
                  <c:v>7.7718194151857128E-2</c:v>
                </c:pt>
                <c:pt idx="160">
                  <c:v>7.7740148283243077E-2</c:v>
                </c:pt>
                <c:pt idx="161">
                  <c:v>7.7762101903724373E-2</c:v>
                </c:pt>
                <c:pt idx="162">
                  <c:v>7.7784055013312786E-2</c:v>
                </c:pt>
                <c:pt idx="163">
                  <c:v>7.7806007612020306E-2</c:v>
                </c:pt>
                <c:pt idx="164">
                  <c:v>7.7827959699858812E-2</c:v>
                </c:pt>
                <c:pt idx="165">
                  <c:v>7.7849911276840184E-2</c:v>
                </c:pt>
                <c:pt idx="166">
                  <c:v>7.7871862342976189E-2</c:v>
                </c:pt>
                <c:pt idx="167">
                  <c:v>7.789381289827893E-2</c:v>
                </c:pt>
                <c:pt idx="168">
                  <c:v>7.7915762942760175E-2</c:v>
                </c:pt>
                <c:pt idx="169">
                  <c:v>7.7937712476431692E-2</c:v>
                </c:pt>
                <c:pt idx="170">
                  <c:v>7.7959661499305583E-2</c:v>
                </c:pt>
                <c:pt idx="171">
                  <c:v>7.7981610011393615E-2</c:v>
                </c:pt>
                <c:pt idx="172">
                  <c:v>7.800355801270778E-2</c:v>
                </c:pt>
                <c:pt idx="173">
                  <c:v>7.8025505503259845E-2</c:v>
                </c:pt>
                <c:pt idx="174">
                  <c:v>7.8047452483061691E-2</c:v>
                </c:pt>
                <c:pt idx="175">
                  <c:v>7.8069398952125307E-2</c:v>
                </c:pt>
                <c:pt idx="176">
                  <c:v>7.8091344910462573E-2</c:v>
                </c:pt>
                <c:pt idx="177">
                  <c:v>7.8113290358085258E-2</c:v>
                </c:pt>
                <c:pt idx="178">
                  <c:v>7.8135235295005351E-2</c:v>
                </c:pt>
                <c:pt idx="179">
                  <c:v>7.8157179721234621E-2</c:v>
                </c:pt>
                <c:pt idx="180">
                  <c:v>7.8179123636785169E-2</c:v>
                </c:pt>
                <c:pt idx="181">
                  <c:v>7.8201067041668654E-2</c:v>
                </c:pt>
                <c:pt idx="182">
                  <c:v>7.8223009935897064E-2</c:v>
                </c:pt>
                <c:pt idx="183">
                  <c:v>7.824495231948228E-2</c:v>
                </c:pt>
                <c:pt idx="184">
                  <c:v>7.8266894192436182E-2</c:v>
                </c:pt>
                <c:pt idx="185">
                  <c:v>7.8288835554770647E-2</c:v>
                </c:pt>
                <c:pt idx="186">
                  <c:v>7.8310776406497445E-2</c:v>
                </c:pt>
                <c:pt idx="187">
                  <c:v>7.8332716747628678E-2</c:v>
                </c:pt>
                <c:pt idx="188">
                  <c:v>7.8354656578176113E-2</c:v>
                </c:pt>
                <c:pt idx="189">
                  <c:v>7.837659589815163E-2</c:v>
                </c:pt>
                <c:pt idx="190">
                  <c:v>7.8398534707567108E-2</c:v>
                </c:pt>
                <c:pt idx="191">
                  <c:v>7.8420473006434538E-2</c:v>
                </c:pt>
                <c:pt idx="192">
                  <c:v>7.8442410794765577E-2</c:v>
                </c:pt>
                <c:pt idx="193">
                  <c:v>7.8464348072572326E-2</c:v>
                </c:pt>
                <c:pt idx="194">
                  <c:v>7.8486284839866444E-2</c:v>
                </c:pt>
                <c:pt idx="195">
                  <c:v>7.850822109666003E-2</c:v>
                </c:pt>
                <c:pt idx="196">
                  <c:v>7.8530156842964854E-2</c:v>
                </c:pt>
                <c:pt idx="197">
                  <c:v>7.8552092078792796E-2</c:v>
                </c:pt>
                <c:pt idx="198">
                  <c:v>7.8574026804155844E-2</c:v>
                </c:pt>
                <c:pt idx="199">
                  <c:v>7.8595961019065658E-2</c:v>
                </c:pt>
                <c:pt idx="200">
                  <c:v>7.8617894723534337E-2</c:v>
                </c:pt>
                <c:pt idx="201">
                  <c:v>7.8639827917573651E-2</c:v>
                </c:pt>
                <c:pt idx="202">
                  <c:v>7.866176060119548E-2</c:v>
                </c:pt>
                <c:pt idx="203">
                  <c:v>7.8683692774411812E-2</c:v>
                </c:pt>
                <c:pt idx="204">
                  <c:v>7.8705624437234306E-2</c:v>
                </c:pt>
                <c:pt idx="205">
                  <c:v>7.8727555589675063E-2</c:v>
                </c:pt>
                <c:pt idx="206">
                  <c:v>7.8749486231745741E-2</c:v>
                </c:pt>
                <c:pt idx="207">
                  <c:v>7.8771416363458441E-2</c:v>
                </c:pt>
                <c:pt idx="208">
                  <c:v>7.8793345984824931E-2</c:v>
                </c:pt>
                <c:pt idx="209">
                  <c:v>7.881527509585709E-2</c:v>
                </c:pt>
                <c:pt idx="210">
                  <c:v>7.8837203696566799E-2</c:v>
                </c:pt>
                <c:pt idx="211">
                  <c:v>7.8859131786965825E-2</c:v>
                </c:pt>
                <c:pt idx="212">
                  <c:v>7.888105936706627E-2</c:v>
                </c:pt>
                <c:pt idx="213">
                  <c:v>7.8902986436879902E-2</c:v>
                </c:pt>
                <c:pt idx="214">
                  <c:v>7.8924912996418489E-2</c:v>
                </c:pt>
                <c:pt idx="215">
                  <c:v>7.8946839045694134E-2</c:v>
                </c:pt>
                <c:pt idx="216">
                  <c:v>7.8968764584718493E-2</c:v>
                </c:pt>
                <c:pt idx="217">
                  <c:v>7.8990689613503556E-2</c:v>
                </c:pt>
                <c:pt idx="218">
                  <c:v>7.9012614132061093E-2</c:v>
                </c:pt>
                <c:pt idx="219">
                  <c:v>7.9034538140403204E-2</c:v>
                </c:pt>
                <c:pt idx="220">
                  <c:v>7.9056461638541436E-2</c:v>
                </c:pt>
                <c:pt idx="221">
                  <c:v>7.9078384626488002E-2</c:v>
                </c:pt>
                <c:pt idx="222">
                  <c:v>7.9100307104254558E-2</c:v>
                </c:pt>
                <c:pt idx="223">
                  <c:v>7.9122229071852984E-2</c:v>
                </c:pt>
                <c:pt idx="224">
                  <c:v>7.914415052929516E-2</c:v>
                </c:pt>
                <c:pt idx="225">
                  <c:v>7.9166071476593075E-2</c:v>
                </c:pt>
                <c:pt idx="226">
                  <c:v>7.9187991913758499E-2</c:v>
                </c:pt>
                <c:pt idx="227">
                  <c:v>7.9209911840803421E-2</c:v>
                </c:pt>
                <c:pt idx="228">
                  <c:v>7.9231831257739499E-2</c:v>
                </c:pt>
                <c:pt idx="229">
                  <c:v>7.9253750164578723E-2</c:v>
                </c:pt>
                <c:pt idx="230">
                  <c:v>7.9275668561332974E-2</c:v>
                </c:pt>
                <c:pt idx="231">
                  <c:v>7.9297586448014129E-2</c:v>
                </c:pt>
                <c:pt idx="232">
                  <c:v>7.9319503824634069E-2</c:v>
                </c:pt>
                <c:pt idx="233">
                  <c:v>7.9341420691204673E-2</c:v>
                </c:pt>
                <c:pt idx="234">
                  <c:v>7.9363337047737709E-2</c:v>
                </c:pt>
                <c:pt idx="235">
                  <c:v>7.9385252894245056E-2</c:v>
                </c:pt>
                <c:pt idx="236">
                  <c:v>7.9407168230738706E-2</c:v>
                </c:pt>
                <c:pt idx="237">
                  <c:v>7.9429083057230426E-2</c:v>
                </c:pt>
                <c:pt idx="238">
                  <c:v>7.9450997373732207E-2</c:v>
                </c:pt>
                <c:pt idx="239">
                  <c:v>7.9472911180255706E-2</c:v>
                </c:pt>
                <c:pt idx="240">
                  <c:v>7.9494824476813025E-2</c:v>
                </c:pt>
                <c:pt idx="241">
                  <c:v>7.9516737263415821E-2</c:v>
                </c:pt>
                <c:pt idx="242">
                  <c:v>7.9538649540076084E-2</c:v>
                </c:pt>
                <c:pt idx="243">
                  <c:v>7.9560561306805694E-2</c:v>
                </c:pt>
                <c:pt idx="244">
                  <c:v>7.958247256361653E-2</c:v>
                </c:pt>
                <c:pt idx="245">
                  <c:v>7.9604383310520249E-2</c:v>
                </c:pt>
                <c:pt idx="246">
                  <c:v>7.9626293547529065E-2</c:v>
                </c:pt>
                <c:pt idx="247">
                  <c:v>7.9648203274654522E-2</c:v>
                </c:pt>
                <c:pt idx="248">
                  <c:v>7.9670112491908612E-2</c:v>
                </c:pt>
                <c:pt idx="249">
                  <c:v>7.9692021199303326E-2</c:v>
                </c:pt>
                <c:pt idx="250">
                  <c:v>7.9713929396850319E-2</c:v>
                </c:pt>
                <c:pt idx="251">
                  <c:v>7.9735837084561584E-2</c:v>
                </c:pt>
                <c:pt idx="252">
                  <c:v>7.9757744262448999E-2</c:v>
                </c:pt>
                <c:pt idx="253">
                  <c:v>7.9779650930524332E-2</c:v>
                </c:pt>
                <c:pt idx="254">
                  <c:v>7.9801557088799463E-2</c:v>
                </c:pt>
                <c:pt idx="255">
                  <c:v>7.9823462737286272E-2</c:v>
                </c:pt>
                <c:pt idx="256">
                  <c:v>7.9845367875996748E-2</c:v>
                </c:pt>
                <c:pt idx="257">
                  <c:v>7.9867272504942549E-2</c:v>
                </c:pt>
                <c:pt idx="258">
                  <c:v>7.9889176624135666E-2</c:v>
                </c:pt>
                <c:pt idx="259">
                  <c:v>7.9911080233587867E-2</c:v>
                </c:pt>
                <c:pt idx="260">
                  <c:v>7.9932983333311142E-2</c:v>
                </c:pt>
                <c:pt idx="261">
                  <c:v>7.995488592331737E-2</c:v>
                </c:pt>
                <c:pt idx="262">
                  <c:v>7.997678800361821E-2</c:v>
                </c:pt>
                <c:pt idx="263">
                  <c:v>7.9998689574225651E-2</c:v>
                </c:pt>
                <c:pt idx="264">
                  <c:v>8.0020590635151573E-2</c:v>
                </c:pt>
                <c:pt idx="265">
                  <c:v>8.0042491186407855E-2</c:v>
                </c:pt>
                <c:pt idx="266">
                  <c:v>8.0064391228006265E-2</c:v>
                </c:pt>
                <c:pt idx="267">
                  <c:v>8.0086290759958684E-2</c:v>
                </c:pt>
                <c:pt idx="268">
                  <c:v>8.0108189782277101E-2</c:v>
                </c:pt>
                <c:pt idx="269">
                  <c:v>8.0130088294973173E-2</c:v>
                </c:pt>
                <c:pt idx="270">
                  <c:v>8.0151986298058892E-2</c:v>
                </c:pt>
                <c:pt idx="271">
                  <c:v>8.0173883791546136E-2</c:v>
                </c:pt>
                <c:pt idx="272">
                  <c:v>8.0195780775446673E-2</c:v>
                </c:pt>
                <c:pt idx="273">
                  <c:v>8.0217677249772384E-2</c:v>
                </c:pt>
                <c:pt idx="274">
                  <c:v>8.0239573214535148E-2</c:v>
                </c:pt>
                <c:pt idx="275">
                  <c:v>8.0261468669746844E-2</c:v>
                </c:pt>
                <c:pt idx="276">
                  <c:v>8.0283363615419351E-2</c:v>
                </c:pt>
                <c:pt idx="277">
                  <c:v>8.0305258051564438E-2</c:v>
                </c:pt>
                <c:pt idx="278">
                  <c:v>8.0327151978194095E-2</c:v>
                </c:pt>
                <c:pt idx="279">
                  <c:v>8.0349045395319979E-2</c:v>
                </c:pt>
                <c:pt idx="280">
                  <c:v>8.0370938302954081E-2</c:v>
                </c:pt>
                <c:pt idx="281">
                  <c:v>8.0392830701108281E-2</c:v>
                </c:pt>
                <c:pt idx="282">
                  <c:v>8.0414722589794346E-2</c:v>
                </c:pt>
                <c:pt idx="283">
                  <c:v>8.0436613969024268E-2</c:v>
                </c:pt>
                <c:pt idx="284">
                  <c:v>8.0458504838809702E-2</c:v>
                </c:pt>
                <c:pt idx="285">
                  <c:v>8.0480395199162752E-2</c:v>
                </c:pt>
                <c:pt idx="286">
                  <c:v>8.0502285050095074E-2</c:v>
                </c:pt>
                <c:pt idx="287">
                  <c:v>8.0524174391618547E-2</c:v>
                </c:pt>
                <c:pt idx="288">
                  <c:v>8.0546063223745051E-2</c:v>
                </c:pt>
                <c:pt idx="289">
                  <c:v>8.0567951546486466E-2</c:v>
                </c:pt>
                <c:pt idx="290">
                  <c:v>8.058983935985467E-2</c:v>
                </c:pt>
                <c:pt idx="291">
                  <c:v>8.0611726663861433E-2</c:v>
                </c:pt>
                <c:pt idx="292">
                  <c:v>8.0633613458518744E-2</c:v>
                </c:pt>
                <c:pt idx="293">
                  <c:v>8.065549974383826E-2</c:v>
                </c:pt>
                <c:pt idx="294">
                  <c:v>8.0677385519832084E-2</c:v>
                </c:pt>
                <c:pt idx="295">
                  <c:v>8.0699270786511762E-2</c:v>
                </c:pt>
                <c:pt idx="296">
                  <c:v>8.0721155543889395E-2</c:v>
                </c:pt>
                <c:pt idx="297">
                  <c:v>8.0743039791976751E-2</c:v>
                </c:pt>
                <c:pt idx="298">
                  <c:v>8.0764923530785709E-2</c:v>
                </c:pt>
                <c:pt idx="299">
                  <c:v>8.0786806760328039E-2</c:v>
                </c:pt>
                <c:pt idx="300">
                  <c:v>8.0808689480615731E-2</c:v>
                </c:pt>
                <c:pt idx="301">
                  <c:v>8.0830571691660441E-2</c:v>
                </c:pt>
                <c:pt idx="302">
                  <c:v>8.0852453393474272E-2</c:v>
                </c:pt>
                <c:pt idx="303">
                  <c:v>8.0874334586068769E-2</c:v>
                </c:pt>
                <c:pt idx="304">
                  <c:v>8.0896215269456034E-2</c:v>
                </c:pt>
                <c:pt idx="305">
                  <c:v>8.0918095443647836E-2</c:v>
                </c:pt>
                <c:pt idx="306">
                  <c:v>8.0939975108656054E-2</c:v>
                </c:pt>
                <c:pt idx="307">
                  <c:v>8.0961854264492455E-2</c:v>
                </c:pt>
                <c:pt idx="308">
                  <c:v>8.0983732911168921E-2</c:v>
                </c:pt>
                <c:pt idx="309">
                  <c:v>8.1005611048697329E-2</c:v>
                </c:pt>
                <c:pt idx="310">
                  <c:v>8.102748867708956E-2</c:v>
                </c:pt>
                <c:pt idx="311">
                  <c:v>8.1049365796357381E-2</c:v>
                </c:pt>
                <c:pt idx="312">
                  <c:v>8.1071242406512672E-2</c:v>
                </c:pt>
                <c:pt idx="313">
                  <c:v>8.1093118507567313E-2</c:v>
                </c:pt>
                <c:pt idx="314">
                  <c:v>8.1114994099533072E-2</c:v>
                </c:pt>
                <c:pt idx="315">
                  <c:v>8.1136869182421939E-2</c:v>
                </c:pt>
                <c:pt idx="316">
                  <c:v>8.1158743756245572E-2</c:v>
                </c:pt>
                <c:pt idx="317">
                  <c:v>8.118061782101596E-2</c:v>
                </c:pt>
                <c:pt idx="318">
                  <c:v>8.1202491376744873E-2</c:v>
                </c:pt>
                <c:pt idx="319">
                  <c:v>8.122436442344419E-2</c:v>
                </c:pt>
                <c:pt idx="320">
                  <c:v>8.124623696112579E-2</c:v>
                </c:pt>
                <c:pt idx="321">
                  <c:v>8.1268108989801441E-2</c:v>
                </c:pt>
                <c:pt idx="322">
                  <c:v>8.1289980509483134E-2</c:v>
                </c:pt>
                <c:pt idx="323">
                  <c:v>8.1311851520182526E-2</c:v>
                </c:pt>
                <c:pt idx="324">
                  <c:v>8.1333722021911498E-2</c:v>
                </c:pt>
                <c:pt idx="325">
                  <c:v>8.1355592014682038E-2</c:v>
                </c:pt>
                <c:pt idx="326">
                  <c:v>8.1377461498505915E-2</c:v>
                </c:pt>
                <c:pt idx="327">
                  <c:v>8.1399330473394899E-2</c:v>
                </c:pt>
                <c:pt idx="328">
                  <c:v>8.1421198939360867E-2</c:v>
                </c:pt>
                <c:pt idx="329">
                  <c:v>8.14430668964157E-2</c:v>
                </c:pt>
                <c:pt idx="330">
                  <c:v>8.1464934344571277E-2</c:v>
                </c:pt>
                <c:pt idx="331">
                  <c:v>8.1486801283839255E-2</c:v>
                </c:pt>
                <c:pt idx="332">
                  <c:v>8.1508667714231736E-2</c:v>
                </c:pt>
                <c:pt idx="333">
                  <c:v>8.1530533635760377E-2</c:v>
                </c:pt>
                <c:pt idx="334">
                  <c:v>8.1552399048437169E-2</c:v>
                </c:pt>
                <c:pt idx="335">
                  <c:v>8.1574263952273768E-2</c:v>
                </c:pt>
                <c:pt idx="336">
                  <c:v>8.1596128347282165E-2</c:v>
                </c:pt>
                <c:pt idx="337">
                  <c:v>8.1617992233474129E-2</c:v>
                </c:pt>
                <c:pt idx="338">
                  <c:v>8.1639855610861539E-2</c:v>
                </c:pt>
                <c:pt idx="339">
                  <c:v>8.1661718479456163E-2</c:v>
                </c:pt>
                <c:pt idx="340">
                  <c:v>8.1683580839269992E-2</c:v>
                </c:pt>
                <c:pt idx="341">
                  <c:v>8.1705442690314684E-2</c:v>
                </c:pt>
                <c:pt idx="342">
                  <c:v>8.1727304032602227E-2</c:v>
                </c:pt>
                <c:pt idx="343">
                  <c:v>8.174916486614428E-2</c:v>
                </c:pt>
                <c:pt idx="344">
                  <c:v>8.1771025190952945E-2</c:v>
                </c:pt>
                <c:pt idx="345">
                  <c:v>8.1792885007039878E-2</c:v>
                </c:pt>
                <c:pt idx="346">
                  <c:v>8.1814744314416848E-2</c:v>
                </c:pt>
                <c:pt idx="347">
                  <c:v>8.1836603113095957E-2</c:v>
                </c:pt>
                <c:pt idx="348">
                  <c:v>8.185846140308875E-2</c:v>
                </c:pt>
                <c:pt idx="349">
                  <c:v>8.188031918440733E-2</c:v>
                </c:pt>
                <c:pt idx="350">
                  <c:v>8.1902176457063242E-2</c:v>
                </c:pt>
                <c:pt idx="351">
                  <c:v>8.1924033221068698E-2</c:v>
                </c:pt>
                <c:pt idx="352">
                  <c:v>8.1945889476435135E-2</c:v>
                </c:pt>
                <c:pt idx="353">
                  <c:v>8.1967745223174654E-2</c:v>
                </c:pt>
                <c:pt idx="354">
                  <c:v>8.1989600461299023E-2</c:v>
                </c:pt>
                <c:pt idx="355">
                  <c:v>8.2011455190820121E-2</c:v>
                </c:pt>
                <c:pt idx="356">
                  <c:v>8.2033309411749605E-2</c:v>
                </c:pt>
                <c:pt idx="357">
                  <c:v>8.2055163124099578E-2</c:v>
                </c:pt>
                <c:pt idx="358">
                  <c:v>8.2077016327881697E-2</c:v>
                </c:pt>
                <c:pt idx="359">
                  <c:v>8.209886902310784E-2</c:v>
                </c:pt>
                <c:pt idx="360">
                  <c:v>8.2120721209789777E-2</c:v>
                </c:pt>
                <c:pt idx="361">
                  <c:v>8.2142572887939497E-2</c:v>
                </c:pt>
                <c:pt idx="362">
                  <c:v>8.2164424057568658E-2</c:v>
                </c:pt>
                <c:pt idx="363">
                  <c:v>8.2186274718689251E-2</c:v>
                </c:pt>
                <c:pt idx="364">
                  <c:v>8.2208124871312932E-2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0.11099968537001267</c:v>
                </c:pt>
                <c:pt idx="1">
                  <c:v>0.11109144293780437</c:v>
                </c:pt>
                <c:pt idx="2">
                  <c:v>0.11118330906300768</c:v>
                </c:pt>
                <c:pt idx="3">
                  <c:v>0.11127525855483487</c:v>
                </c:pt>
                <c:pt idx="4">
                  <c:v>0.11136726949277061</c:v>
                </c:pt>
                <c:pt idx="5">
                  <c:v>0.11145932313227093</c:v>
                </c:pt>
                <c:pt idx="6">
                  <c:v>0.11155140378530035</c:v>
                </c:pt>
                <c:pt idx="7">
                  <c:v>0.11164349867769716</c:v>
                </c:pt>
                <c:pt idx="8">
                  <c:v>0.11173559778552986</c:v>
                </c:pt>
                <c:pt idx="9">
                  <c:v>0.11182769365275876</c:v>
                </c:pt>
                <c:pt idx="10">
                  <c:v>0.1119197811926417</c:v>
                </c:pt>
                <c:pt idx="11">
                  <c:v>0.11201185747542332</c:v>
                </c:pt>
                <c:pt idx="12">
                  <c:v>0.11210392150492066</c:v>
                </c:pt>
                <c:pt idx="13">
                  <c:v>0.11219597398666586</c:v>
                </c:pt>
                <c:pt idx="14">
                  <c:v>0.11228801709028673</c:v>
                </c:pt>
                <c:pt idx="15">
                  <c:v>0.11238005420880129</c:v>
                </c:pt>
                <c:pt idx="16">
                  <c:v>0.11247208971746964</c:v>
                </c:pt>
                <c:pt idx="17">
                  <c:v>0.11256412873479069</c:v>
                </c:pt>
                <c:pt idx="18">
                  <c:v>0.11265617688814901</c:v>
                </c:pt>
                <c:pt idx="19">
                  <c:v>0.11274824008651411</c:v>
                </c:pt>
                <c:pt idx="20">
                  <c:v>0.1128403243024664</c:v>
                </c:pt>
                <c:pt idx="21">
                  <c:v>0.11293243536567966</c:v>
                </c:pt>
                <c:pt idx="22">
                  <c:v>0.11302457876982354</c:v>
                </c:pt>
                <c:pt idx="23">
                  <c:v>0.11311675949467011</c:v>
                </c:pt>
                <c:pt idx="24">
                  <c:v>0.1132089818449909</c:v>
                </c:pt>
                <c:pt idx="25">
                  <c:v>0.11330124930762486</c:v>
                </c:pt>
                <c:pt idx="26">
                  <c:v>0.11339356442787962</c:v>
                </c:pt>
                <c:pt idx="27">
                  <c:v>0.11348592870620228</c:v>
                </c:pt>
                <c:pt idx="28">
                  <c:v>0.11357834251582755</c:v>
                </c:pt>
                <c:pt idx="29">
                  <c:v>0.11367080504187627</c:v>
                </c:pt>
                <c:pt idx="30">
                  <c:v>0.11376331424214596</c:v>
                </c:pt>
                <c:pt idx="31">
                  <c:v>0.11385586682960222</c:v>
                </c:pt>
                <c:pt idx="32">
                  <c:v>0.11394845827635473</c:v>
                </c:pt>
                <c:pt idx="33">
                  <c:v>0.11404108283868114</c:v>
                </c:pt>
                <c:pt idx="34">
                  <c:v>0.1141337336024506</c:v>
                </c:pt>
                <c:pt idx="35">
                  <c:v>0.11422640254809982</c:v>
                </c:pt>
                <c:pt idx="36">
                  <c:v>0.11431908063412589</c:v>
                </c:pt>
                <c:pt idx="37">
                  <c:v>0.11441175789788852</c:v>
                </c:pt>
                <c:pt idx="38">
                  <c:v>0.11450442357235595</c:v>
                </c:pt>
                <c:pt idx="39">
                  <c:v>0.11459706621729102</c:v>
                </c:pt>
                <c:pt idx="40">
                  <c:v>0.11468967386325182</c:v>
                </c:pt>
                <c:pt idx="41">
                  <c:v>0.11478223416667996</c:v>
                </c:pt>
                <c:pt idx="42">
                  <c:v>0.1148747345742679</c:v>
                </c:pt>
                <c:pt idx="43">
                  <c:v>0.11496716249473739</c:v>
                </c:pt>
                <c:pt idx="44">
                  <c:v>0.11505950547611837</c:v>
                </c:pt>
                <c:pt idx="45">
                  <c:v>0.11515175138660137</c:v>
                </c:pt>
                <c:pt idx="46">
                  <c:v>0.11524388859703617</c:v>
                </c:pt>
                <c:pt idx="47">
                  <c:v>0.11533590616317183</c:v>
                </c:pt>
                <c:pt idx="48">
                  <c:v>0.11542779400577463</c:v>
                </c:pt>
                <c:pt idx="49">
                  <c:v>0.11551954308682037</c:v>
                </c:pt>
                <c:pt idx="50">
                  <c:v>0.11561114558003481</c:v>
                </c:pt>
                <c:pt idx="51">
                  <c:v>0.1157025950341509</c:v>
                </c:pt>
                <c:pt idx="52">
                  <c:v>0.11579388652736018</c:v>
                </c:pt>
                <c:pt idx="53">
                  <c:v>0.11588501681155886</c:v>
                </c:pt>
                <c:pt idx="54">
                  <c:v>0.11597598444512301</c:v>
                </c:pt>
                <c:pt idx="55">
                  <c:v>0.11606678991309377</c:v>
                </c:pt>
                <c:pt idx="56">
                  <c:v>0.11615743573380434</c:v>
                </c:pt>
                <c:pt idx="57">
                  <c:v>0.11624792655114204</c:v>
                </c:pt>
                <c:pt idx="58">
                  <c:v>0.11633826921180188</c:v>
                </c:pt>
                <c:pt idx="59">
                  <c:v>0.11642847282705394</c:v>
                </c:pt>
                <c:pt idx="60">
                  <c:v>0.11651854881871559</c:v>
                </c:pt>
                <c:pt idx="61">
                  <c:v>0.11660851094918276</c:v>
                </c:pt>
                <c:pt idx="62">
                  <c:v>0.11669837533553917</c:v>
                </c:pt>
                <c:pt idx="63">
                  <c:v>0.11678816044791804</c:v>
                </c:pt>
                <c:pt idx="64">
                  <c:v>0.11687788709244191</c:v>
                </c:pt>
                <c:pt idx="65">
                  <c:v>0.11696757837920811</c:v>
                </c:pt>
                <c:pt idx="66">
                  <c:v>0.11705725967591922</c:v>
                </c:pt>
                <c:pt idx="67">
                  <c:v>0.11714695854787953</c:v>
                </c:pt>
                <c:pt idx="68">
                  <c:v>0.1172367046851857</c:v>
                </c:pt>
                <c:pt idx="69">
                  <c:v>0.1173265298180363</c:v>
                </c:pt>
                <c:pt idx="70">
                  <c:v>0.11741646762116408</c:v>
                </c:pt>
                <c:pt idx="71">
                  <c:v>0.11750655360846227</c:v>
                </c:pt>
                <c:pt idx="72">
                  <c:v>0.1175968250189254</c:v>
                </c:pt>
                <c:pt idx="73">
                  <c:v>0.1176873206950603</c:v>
                </c:pt>
                <c:pt idx="74">
                  <c:v>0.11777808095494274</c:v>
                </c:pt>
                <c:pt idx="75">
                  <c:v>0.11786914745909752</c:v>
                </c:pt>
                <c:pt idx="76">
                  <c:v>0.11796056307336955</c:v>
                </c:pt>
                <c:pt idx="77">
                  <c:v>0.11805237172892599</c:v>
                </c:pt>
                <c:pt idx="78">
                  <c:v>0.11814461828048986</c:v>
                </c:pt>
                <c:pt idx="79">
                  <c:v>0.11823734836385172</c:v>
                </c:pt>
                <c:pt idx="80">
                  <c:v>0.1183306082536406</c:v>
                </c:pt>
                <c:pt idx="81">
                  <c:v>0.11842444472225851</c:v>
                </c:pt>
                <c:pt idx="82">
                  <c:v>0.11851890490079725</c:v>
                </c:pt>
                <c:pt idx="83">
                  <c:v>0.11861403614266061</c:v>
                </c:pt>
                <c:pt idx="84">
                  <c:v>0.11870988589051516</c:v>
                </c:pt>
                <c:pt idx="85">
                  <c:v>0.11880650154708546</c:v>
                </c:pt>
                <c:pt idx="86">
                  <c:v>0.11890393035019969</c:v>
                </c:pt>
                <c:pt idx="87">
                  <c:v>0.11900221925238033</c:v>
                </c:pt>
                <c:pt idx="88">
                  <c:v>0.11910141480516136</c:v>
                </c:pt>
                <c:pt idx="89">
                  <c:v>0.1192015630482041</c:v>
                </c:pt>
                <c:pt idx="90">
                  <c:v>0.11930270940317493</c:v>
                </c:pt>
                <c:pt idx="91">
                  <c:v>0.11940489857224588</c:v>
                </c:pt>
                <c:pt idx="92">
                  <c:v>0.11950817444098236</c:v>
                </c:pt>
                <c:pt idx="93">
                  <c:v>0.11961257998529236</c:v>
                </c:pt>
                <c:pt idx="94">
                  <c:v>0.1197181571820323</c:v>
                </c:pt>
                <c:pt idx="95">
                  <c:v>0.11982494692279304</c:v>
                </c:pt>
                <c:pt idx="96">
                  <c:v>0.11993298893033255</c:v>
                </c:pt>
                <c:pt idx="97">
                  <c:v>0.12004232167707225</c:v>
                </c:pt>
                <c:pt idx="98">
                  <c:v>0.12015298230504264</c:v>
                </c:pt>
                <c:pt idx="99">
                  <c:v>0.12026500654664089</c:v>
                </c:pt>
                <c:pt idx="100">
                  <c:v>0.12037842864555728</c:v>
                </c:pt>
                <c:pt idx="101">
                  <c:v>0.12049328127723415</c:v>
                </c:pt>
                <c:pt idx="102">
                  <c:v>0.12060959546824167</c:v>
                </c:pt>
                <c:pt idx="103">
                  <c:v>0.1207274005139904</c:v>
                </c:pt>
                <c:pt idx="104">
                  <c:v>0.12084672389424767</c:v>
                </c:pt>
                <c:pt idx="105">
                  <c:v>0.12096759118598677</c:v>
                </c:pt>
                <c:pt idx="106">
                  <c:v>0.1210900259731716</c:v>
                </c:pt>
                <c:pt idx="107">
                  <c:v>0.12121404975316251</c:v>
                </c:pt>
                <c:pt idx="108">
                  <c:v>0.12133968183952575</c:v>
                </c:pt>
                <c:pt idx="109">
                  <c:v>0.12146693926113103</c:v>
                </c:pt>
                <c:pt idx="110">
                  <c:v>0.12159583665753401</c:v>
                </c:pt>
                <c:pt idx="111">
                  <c:v>0.12172638617075791</c:v>
                </c:pt>
                <c:pt idx="112">
                  <c:v>0.12185859733371056</c:v>
                </c:pt>
                <c:pt idx="113">
                  <c:v>0.12199247695559771</c:v>
                </c:pt>
                <c:pt idx="114">
                  <c:v>0.12212802900482111</c:v>
                </c:pt>
                <c:pt idx="115">
                  <c:v>0.12226525448997369</c:v>
                </c:pt>
                <c:pt idx="116">
                  <c:v>0.12240415133967011</c:v>
                </c:pt>
                <c:pt idx="117">
                  <c:v>0.12254471428206747</c:v>
                </c:pt>
                <c:pt idx="118">
                  <c:v>0.1226869347250469</c:v>
                </c:pt>
                <c:pt idx="119">
                  <c:v>1.8199148020337074E-2</c:v>
                </c:pt>
                <c:pt idx="120">
                  <c:v>1.8436630746455355E-2</c:v>
                </c:pt>
                <c:pt idx="121">
                  <c:v>1.8674278836794338E-2</c:v>
                </c:pt>
                <c:pt idx="122">
                  <c:v>1.891209731169078E-2</c:v>
                </c:pt>
                <c:pt idx="123">
                  <c:v>1.9150090384453679E-2</c:v>
                </c:pt>
                <c:pt idx="124">
                  <c:v>1.9388261414981681E-2</c:v>
                </c:pt>
                <c:pt idx="125">
                  <c:v>1.962661286425918E-2</c:v>
                </c:pt>
                <c:pt idx="126">
                  <c:v>1.9865146250093457E-2</c:v>
                </c:pt>
                <c:pt idx="127">
                  <c:v>2.0103862104473048E-2</c:v>
                </c:pt>
                <c:pt idx="128">
                  <c:v>2.0342759932942787E-2</c:v>
                </c:pt>
                <c:pt idx="129">
                  <c:v>2.0581838176402318E-2</c:v>
                </c:pt>
                <c:pt idx="130">
                  <c:v>2.0821094175742266E-2</c:v>
                </c:pt>
                <c:pt idx="131">
                  <c:v>2.106052413973554E-2</c:v>
                </c:pt>
                <c:pt idx="132">
                  <c:v>2.1300123116600369E-2</c:v>
                </c:pt>
                <c:pt idx="133">
                  <c:v>2.1539884969645436E-2</c:v>
                </c:pt>
                <c:pt idx="134">
                  <c:v>2.1779802357397397E-2</c:v>
                </c:pt>
                <c:pt idx="135">
                  <c:v>2.2019866718595609E-2</c:v>
                </c:pt>
                <c:pt idx="136">
                  <c:v>2.2260068262418432E-2</c:v>
                </c:pt>
                <c:pt idx="137">
                  <c:v>2.2500395964281036E-2</c:v>
                </c:pt>
                <c:pt idx="138">
                  <c:v>2.2740837567514161E-2</c:v>
                </c:pt>
                <c:pt idx="139">
                  <c:v>2.2981379591199544E-2</c:v>
                </c:pt>
                <c:pt idx="140">
                  <c:v>2.3222007344398745E-2</c:v>
                </c:pt>
                <c:pt idx="141">
                  <c:v>2.3462704946969243E-2</c:v>
                </c:pt>
                <c:pt idx="142">
                  <c:v>2.3703455357115259E-2</c:v>
                </c:pt>
                <c:pt idx="143">
                  <c:v>2.3944240405770534E-2</c:v>
                </c:pt>
                <c:pt idx="144">
                  <c:v>2.4185040837857538E-2</c:v>
                </c:pt>
                <c:pt idx="145">
                  <c:v>2.4425836360412002E-2</c:v>
                </c:pt>
                <c:pt idx="146">
                  <c:v>2.4666605697504142E-2</c:v>
                </c:pt>
                <c:pt idx="147">
                  <c:v>2.4907326651829046E-2</c:v>
                </c:pt>
                <c:pt idx="148">
                  <c:v>2.5147976172779116E-2</c:v>
                </c:pt>
                <c:pt idx="149">
                  <c:v>2.538853043075125E-2</c:v>
                </c:pt>
                <c:pt idx="150">
                  <c:v>2.5628964897381704E-2</c:v>
                </c:pt>
                <c:pt idx="151">
                  <c:v>2.5869254431343455E-2</c:v>
                </c:pt>
                <c:pt idx="152">
                  <c:v>2.6109373369283196E-2</c:v>
                </c:pt>
                <c:pt idx="153">
                  <c:v>2.6349295621421086E-2</c:v>
                </c:pt>
                <c:pt idx="154">
                  <c:v>2.6588994771284125E-2</c:v>
                </c:pt>
                <c:pt idx="155">
                  <c:v>2.6828444178995998E-2</c:v>
                </c:pt>
                <c:pt idx="156">
                  <c:v>2.7067617087502122E-2</c:v>
                </c:pt>
                <c:pt idx="157">
                  <c:v>2.7306486731068766E-2</c:v>
                </c:pt>
                <c:pt idx="158">
                  <c:v>2.7545026445361408E-2</c:v>
                </c:pt>
                <c:pt idx="159">
                  <c:v>2.7783209778378233E-2</c:v>
                </c:pt>
                <c:pt idx="160">
                  <c:v>2.8021010601492001E-2</c:v>
                </c:pt>
                <c:pt idx="161">
                  <c:v>2.8258403219837979E-2</c:v>
                </c:pt>
                <c:pt idx="162">
                  <c:v>2.849536248127478E-2</c:v>
                </c:pt>
                <c:pt idx="163">
                  <c:v>2.8731863883143693E-2</c:v>
                </c:pt>
                <c:pt idx="164">
                  <c:v>2.8967883676055364E-2</c:v>
                </c:pt>
                <c:pt idx="165">
                  <c:v>2.9203398963944745E-2</c:v>
                </c:pt>
                <c:pt idx="166">
                  <c:v>2.9438387799654055E-2</c:v>
                </c:pt>
                <c:pt idx="167">
                  <c:v>2.9672829275329087E-2</c:v>
                </c:pt>
                <c:pt idx="168">
                  <c:v>2.9906703606946857E-2</c:v>
                </c:pt>
                <c:pt idx="169">
                  <c:v>3.0139992212332555E-2</c:v>
                </c:pt>
                <c:pt idx="170">
                  <c:v>3.0372677782069254E-2</c:v>
                </c:pt>
                <c:pt idx="171">
                  <c:v>3.0604744342755955E-2</c:v>
                </c:pt>
                <c:pt idx="172">
                  <c:v>3.083617731212733E-2</c:v>
                </c:pt>
                <c:pt idx="173">
                  <c:v>3.1066963545611007E-2</c:v>
                </c:pt>
                <c:pt idx="174">
                  <c:v>3.1297091373965871E-2</c:v>
                </c:pt>
                <c:pt idx="175">
                  <c:v>3.1526550631715632E-2</c:v>
                </c:pt>
                <c:pt idx="176">
                  <c:v>3.1755332676167015E-2</c:v>
                </c:pt>
                <c:pt idx="177">
                  <c:v>3.198343039687844E-2</c:v>
                </c:pt>
                <c:pt idx="178">
                  <c:v>3.2210838215524042E-2</c:v>
                </c:pt>
                <c:pt idx="179">
                  <c:v>3.2437552076178149E-2</c:v>
                </c:pt>
                <c:pt idx="180">
                  <c:v>3.2663569426124792E-2</c:v>
                </c:pt>
                <c:pt idx="181">
                  <c:v>3.2888889187376841E-2</c:v>
                </c:pt>
                <c:pt idx="182">
                  <c:v>3.311351171916728E-2</c:v>
                </c:pt>
                <c:pt idx="183">
                  <c:v>3.333743877175132E-2</c:v>
                </c:pt>
                <c:pt idx="184">
                  <c:v>3.3560673431930324E-2</c:v>
                </c:pt>
                <c:pt idx="185">
                  <c:v>3.3783220060778982E-2</c:v>
                </c:pt>
                <c:pt idx="186">
                  <c:v>3.4005084224120623E-2</c:v>
                </c:pt>
                <c:pt idx="187">
                  <c:v>3.4226272616356045E-2</c:v>
                </c:pt>
                <c:pt idx="188">
                  <c:v>3.4446792978304816E-2</c:v>
                </c:pt>
                <c:pt idx="189">
                  <c:v>3.4666654009765242E-2</c:v>
                </c:pt>
                <c:pt idx="190">
                  <c:v>3.4885865277540271E-2</c:v>
                </c:pt>
                <c:pt idx="191">
                  <c:v>3.5104437119709161E-2</c:v>
                </c:pt>
                <c:pt idx="192">
                  <c:v>3.5322380546951082E-2</c:v>
                </c:pt>
                <c:pt idx="193">
                  <c:v>3.5539707141743496E-2</c:v>
                </c:pt>
                <c:pt idx="194">
                  <c:v>3.5756428956268418E-2</c:v>
                </c:pt>
                <c:pt idx="195">
                  <c:v>3.5972558409859801E-2</c:v>
                </c:pt>
                <c:pt idx="196">
                  <c:v>3.618810818681889E-2</c:v>
                </c:pt>
                <c:pt idx="197">
                  <c:v>3.640309113540794E-2</c:v>
                </c:pt>
                <c:pt idx="198">
                  <c:v>3.6617520168809682E-2</c:v>
                </c:pt>
                <c:pt idx="199">
                  <c:v>3.6831408168808089E-2</c:v>
                </c:pt>
                <c:pt idx="200">
                  <c:v>3.7044767892906699E-2</c:v>
                </c:pt>
                <c:pt idx="201">
                  <c:v>3.7257611885554813E-2</c:v>
                </c:pt>
                <c:pt idx="202">
                  <c:v>3.7469952394098914E-2</c:v>
                </c:pt>
                <c:pt idx="203">
                  <c:v>3.7681801290017435E-2</c:v>
                </c:pt>
                <c:pt idx="204">
                  <c:v>3.7893169995933229E-2</c:v>
                </c:pt>
                <c:pt idx="205">
                  <c:v>3.8104069418828344E-2</c:v>
                </c:pt>
                <c:pt idx="206">
                  <c:v>3.8314509889813476E-2</c:v>
                </c:pt>
                <c:pt idx="207">
                  <c:v>3.8524501110727388E-2</c:v>
                </c:pt>
                <c:pt idx="208">
                  <c:v>3.8734052107764302E-2</c:v>
                </c:pt>
                <c:pt idx="209">
                  <c:v>3.894317119224644E-2</c:v>
                </c:pt>
                <c:pt idx="210">
                  <c:v>3.9151865928579263E-2</c:v>
                </c:pt>
                <c:pt idx="211">
                  <c:v>3.9360143109346775E-2</c:v>
                </c:pt>
                <c:pt idx="212">
                  <c:v>3.9568008737425601E-2</c:v>
                </c:pt>
                <c:pt idx="213">
                  <c:v>3.9775468014920719E-2</c:v>
                </c:pt>
                <c:pt idx="214">
                  <c:v>3.9982525338651764E-2</c:v>
                </c:pt>
                <c:pt idx="215">
                  <c:v>4.0189184301850221E-2</c:v>
                </c:pt>
                <c:pt idx="216">
                  <c:v>4.0395447701662826E-2</c:v>
                </c:pt>
                <c:pt idx="217">
                  <c:v>4.0601317551998091E-2</c:v>
                </c:pt>
                <c:pt idx="218">
                  <c:v>4.0806795101199306E-2</c:v>
                </c:pt>
                <c:pt idx="219">
                  <c:v>4.1011880853982642E-2</c:v>
                </c:pt>
                <c:pt idx="220">
                  <c:v>4.121657459703916E-2</c:v>
                </c:pt>
                <c:pt idx="221">
                  <c:v>4.1420875427670423E-2</c:v>
                </c:pt>
                <c:pt idx="222">
                  <c:v>4.1624781784804089E-2</c:v>
                </c:pt>
                <c:pt idx="223">
                  <c:v>4.1828291481722395E-2</c:v>
                </c:pt>
                <c:pt idx="224">
                  <c:v>4.2031401739832309E-2</c:v>
                </c:pt>
                <c:pt idx="225">
                  <c:v>4.2234109222808756E-2</c:v>
                </c:pt>
                <c:pt idx="226">
                  <c:v>4.2436410070456648E-2</c:v>
                </c:pt>
                <c:pt idx="227">
                  <c:v>4.2638299931657582E-2</c:v>
                </c:pt>
                <c:pt idx="228">
                  <c:v>4.2839773995798698E-2</c:v>
                </c:pt>
                <c:pt idx="229">
                  <c:v>4.30408270221182E-2</c:v>
                </c:pt>
                <c:pt idx="230">
                  <c:v>4.3241453366448974E-2</c:v>
                </c:pt>
                <c:pt idx="231">
                  <c:v>4.3441647004895279E-2</c:v>
                </c:pt>
                <c:pt idx="232">
                  <c:v>4.3641401554037E-2</c:v>
                </c:pt>
                <c:pt idx="233">
                  <c:v>4.3840710287322643E-2</c:v>
                </c:pt>
                <c:pt idx="234">
                  <c:v>4.4039566147383691E-2</c:v>
                </c:pt>
                <c:pt idx="235">
                  <c:v>4.4237961754078022E-2</c:v>
                </c:pt>
                <c:pt idx="236">
                  <c:v>4.4435889408150506E-2</c:v>
                </c:pt>
                <c:pt idx="237">
                  <c:v>4.4633341090479603E-2</c:v>
                </c:pt>
                <c:pt idx="238">
                  <c:v>4.483030845696305E-2</c:v>
                </c:pt>
                <c:pt idx="239">
                  <c:v>4.502678282917922E-2</c:v>
                </c:pt>
                <c:pt idx="240">
                  <c:v>4.5222755181044509E-2</c:v>
                </c:pt>
                <c:pt idx="241">
                  <c:v>4.5418216121768676E-2</c:v>
                </c:pt>
                <c:pt idx="242">
                  <c:v>4.5613155875489857E-2</c:v>
                </c:pt>
                <c:pt idx="243">
                  <c:v>4.5807564258046302E-2</c:v>
                </c:pt>
                <c:pt idx="244">
                  <c:v>4.6001430651413384E-2</c:v>
                </c:pt>
                <c:pt idx="245">
                  <c:v>4.619474397639959E-2</c:v>
                </c:pt>
                <c:pt idx="246">
                  <c:v>4.6387492664254806E-2</c:v>
                </c:pt>
                <c:pt idx="247">
                  <c:v>4.6579664627895298E-2</c:v>
                </c:pt>
                <c:pt idx="248">
                  <c:v>4.6771247233494205E-2</c:v>
                </c:pt>
                <c:pt idx="249">
                  <c:v>4.6962227273220837E-2</c:v>
                </c:pt>
                <c:pt idx="250">
                  <c:v>4.7152590939937247E-2</c:v>
                </c:pt>
                <c:pt idx="251">
                  <c:v>4.7342323804677039E-2</c:v>
                </c:pt>
                <c:pt idx="252">
                  <c:v>4.7531410797735721E-2</c:v>
                </c:pt>
                <c:pt idx="253">
                  <c:v>4.7719836194197417E-2</c:v>
                </c:pt>
                <c:pt idx="254">
                  <c:v>4.7907583604706004E-2</c:v>
                </c:pt>
                <c:pt idx="255">
                  <c:v>4.8094635972262781E-2</c:v>
                </c:pt>
                <c:pt idx="256">
                  <c:v>4.8280975575794381E-2</c:v>
                </c:pt>
                <c:pt idx="257">
                  <c:v>4.8466584041187269E-2</c:v>
                </c:pt>
                <c:pt idx="258">
                  <c:v>4.8651442360426331E-2</c:v>
                </c:pt>
                <c:pt idx="259">
                  <c:v>4.8835530919407642E-2</c:v>
                </c:pt>
                <c:pt idx="260">
                  <c:v>4.9018829534917402E-2</c:v>
                </c:pt>
                <c:pt idx="261">
                  <c:v>4.9201317501184082E-2</c:v>
                </c:pt>
                <c:pt idx="262">
                  <c:v>4.9382973646316691E-2</c:v>
                </c:pt>
                <c:pt idx="263">
                  <c:v>4.9563776398841193E-2</c:v>
                </c:pt>
                <c:pt idx="264">
                  <c:v>4.9743703864441872E-2</c:v>
                </c:pt>
                <c:pt idx="265">
                  <c:v>4.9922733912901779E-2</c:v>
                </c:pt>
                <c:pt idx="266">
                  <c:v>5.0100844275121896E-2</c:v>
                </c:pt>
                <c:pt idx="267">
                  <c:v>5.0278012649980969E-2</c:v>
                </c:pt>
                <c:pt idx="268">
                  <c:v>5.0454216820678542E-2</c:v>
                </c:pt>
                <c:pt idx="269">
                  <c:v>5.0629434780085025E-2</c:v>
                </c:pt>
                <c:pt idx="270">
                  <c:v>5.0803644864504081E-2</c:v>
                </c:pt>
                <c:pt idx="271">
                  <c:v>5.097682589513762E-2</c:v>
                </c:pt>
                <c:pt idx="272">
                  <c:v>5.1148957326431731E-2</c:v>
                </c:pt>
                <c:pt idx="273">
                  <c:v>5.1320019400375123E-2</c:v>
                </c:pt>
                <c:pt idx="274">
                  <c:v>5.1489993305721994E-2</c:v>
                </c:pt>
                <c:pt idx="275">
                  <c:v>5.1658861341017499E-2</c:v>
                </c:pt>
                <c:pt idx="276">
                  <c:v>5.1826607080220605E-2</c:v>
                </c:pt>
                <c:pt idx="277">
                  <c:v>5.1993215539644526E-2</c:v>
                </c:pt>
                <c:pt idx="278">
                  <c:v>5.2158673344870912E-2</c:v>
                </c:pt>
                <c:pt idx="279">
                  <c:v>5.2322968896242494E-2</c:v>
                </c:pt>
                <c:pt idx="280">
                  <c:v>5.24860925314986E-2</c:v>
                </c:pt>
                <c:pt idx="281">
                  <c:v>5.2648036684091876E-2</c:v>
                </c:pt>
                <c:pt idx="282">
                  <c:v>5.2808796035710814E-2</c:v>
                </c:pt>
                <c:pt idx="283">
                  <c:v>5.2968367661534697E-2</c:v>
                </c:pt>
                <c:pt idx="284">
                  <c:v>5.3126751166761597E-2</c:v>
                </c:pt>
                <c:pt idx="285">
                  <c:v>5.3283948812981069E-2</c:v>
                </c:pt>
                <c:pt idx="286">
                  <c:v>5.343996563300623E-2</c:v>
                </c:pt>
                <c:pt idx="287">
                  <c:v>5.3594809532838766E-2</c:v>
                </c:pt>
                <c:pt idx="288">
                  <c:v>5.3748491379512868E-2</c:v>
                </c:pt>
                <c:pt idx="289">
                  <c:v>5.390102507364946E-2</c:v>
                </c:pt>
                <c:pt idx="290">
                  <c:v>5.4052427605651064E-2</c:v>
                </c:pt>
                <c:pt idx="291">
                  <c:v>5.4202719094578473E-2</c:v>
                </c:pt>
                <c:pt idx="292">
                  <c:v>5.4351922808872549E-2</c:v>
                </c:pt>
                <c:pt idx="293">
                  <c:v>5.4500065168216656E-2</c:v>
                </c:pt>
                <c:pt idx="294">
                  <c:v>5.4647175725977576E-2</c:v>
                </c:pt>
                <c:pt idx="295">
                  <c:v>5.4793287131811419E-2</c:v>
                </c:pt>
                <c:pt idx="296">
                  <c:v>5.4938435074178289E-2</c:v>
                </c:pt>
                <c:pt idx="297">
                  <c:v>5.5082658202670554E-2</c:v>
                </c:pt>
                <c:pt idx="298">
                  <c:v>5.5225998030224911E-2</c:v>
                </c:pt>
                <c:pt idx="299">
                  <c:v>5.5368498815456774E-2</c:v>
                </c:pt>
                <c:pt idx="300">
                  <c:v>5.5510207425523234E-2</c:v>
                </c:pt>
                <c:pt idx="301">
                  <c:v>5.5651173180088949E-2</c:v>
                </c:pt>
                <c:pt idx="302">
                  <c:v>5.579144767713478E-2</c:v>
                </c:pt>
                <c:pt idx="303">
                  <c:v>5.5931084601509425E-2</c:v>
                </c:pt>
                <c:pt idx="304">
                  <c:v>5.6070139517280904E-2</c:v>
                </c:pt>
                <c:pt idx="305">
                  <c:v>5.6208669645092572E-2</c:v>
                </c:pt>
                <c:pt idx="306">
                  <c:v>5.6346733625868749E-2</c:v>
                </c:pt>
                <c:pt idx="307">
                  <c:v>5.6484391272345114E-2</c:v>
                </c:pt>
                <c:pt idx="308">
                  <c:v>5.662170331001698E-2</c:v>
                </c:pt>
                <c:pt idx="309">
                  <c:v>5.6758731109206477E-2</c:v>
                </c:pt>
                <c:pt idx="310">
                  <c:v>5.6895536410039985E-2</c:v>
                </c:pt>
                <c:pt idx="311">
                  <c:v>5.7032181042207072E-2</c:v>
                </c:pt>
                <c:pt idx="312">
                  <c:v>5.7168726641433944E-2</c:v>
                </c:pt>
                <c:pt idx="313">
                  <c:v>5.7305234364650209E-2</c:v>
                </c:pt>
                <c:pt idx="314">
                  <c:v>5.7441764605858536E-2</c:v>
                </c:pt>
                <c:pt idx="315">
                  <c:v>5.7578376714727861E-2</c:v>
                </c:pt>
                <c:pt idx="316">
                  <c:v>5.771512871992681E-2</c:v>
                </c:pt>
                <c:pt idx="317">
                  <c:v>5.7852077059190724E-2</c:v>
                </c:pt>
                <c:pt idx="318">
                  <c:v>5.7989276318076606E-2</c:v>
                </c:pt>
                <c:pt idx="319">
                  <c:v>5.8126778979301935E-2</c:v>
                </c:pt>
                <c:pt idx="320">
                  <c:v>5.826463518449089E-2</c:v>
                </c:pt>
                <c:pt idx="321">
                  <c:v>5.8402892510060637E-2</c:v>
                </c:pt>
                <c:pt idx="322">
                  <c:v>5.8541595758875187E-2</c:v>
                </c:pt>
                <c:pt idx="323">
                  <c:v>5.8680786769174119E-2</c:v>
                </c:pt>
                <c:pt idx="324">
                  <c:v>5.8820504242150851E-2</c:v>
                </c:pt>
                <c:pt idx="325">
                  <c:v>5.8960783589408101E-2</c:v>
                </c:pt>
                <c:pt idx="326">
                  <c:v>5.9101656801362389E-2</c:v>
                </c:pt>
                <c:pt idx="327">
                  <c:v>5.9243152337502512E-2</c:v>
                </c:pt>
                <c:pt idx="328">
                  <c:v>5.938529503923199E-2</c:v>
                </c:pt>
                <c:pt idx="329">
                  <c:v>5.952810606584491E-2</c:v>
                </c:pt>
                <c:pt idx="330">
                  <c:v>5.9671602853997814E-2</c:v>
                </c:pt>
                <c:pt idx="331">
                  <c:v>5.9815799100850699E-2</c:v>
                </c:pt>
                <c:pt idx="332">
                  <c:v>5.9960704770860081E-2</c:v>
                </c:pt>
                <c:pt idx="333">
                  <c:v>6.0106326126015401E-2</c:v>
                </c:pt>
                <c:pt idx="334">
                  <c:v>6.0252665779121549E-2</c:v>
                </c:pt>
                <c:pt idx="335">
                  <c:v>6.0399722769545423E-2</c:v>
                </c:pt>
                <c:pt idx="336">
                  <c:v>6.0547492660664601E-2</c:v>
                </c:pt>
                <c:pt idx="337">
                  <c:v>6.0695967658083119E-2</c:v>
                </c:pt>
                <c:pt idx="338">
                  <c:v>6.0845136747516453E-2</c:v>
                </c:pt>
                <c:pt idx="339">
                  <c:v>6.0994985851092497E-2</c:v>
                </c:pt>
                <c:pt idx="340">
                  <c:v>6.1145498000673773E-2</c:v>
                </c:pt>
                <c:pt idx="341">
                  <c:v>6.1296653526676799E-2</c:v>
                </c:pt>
                <c:pt idx="342">
                  <c:v>6.1448430260748019E-2</c:v>
                </c:pt>
                <c:pt idx="343">
                  <c:v>6.1600803750556057E-2</c:v>
                </c:pt>
                <c:pt idx="344">
                  <c:v>6.1753747484874881E-2</c:v>
                </c:pt>
                <c:pt idx="345">
                  <c:v>6.1907233127064573E-2</c:v>
                </c:pt>
                <c:pt idx="346">
                  <c:v>6.2061230755005671E-2</c:v>
                </c:pt>
                <c:pt idx="347">
                  <c:v>6.221570910550981E-2</c:v>
                </c:pt>
                <c:pt idx="348">
                  <c:v>6.2370635821213979E-2</c:v>
                </c:pt>
                <c:pt idx="349">
                  <c:v>6.2525977697968457E-2</c:v>
                </c:pt>
                <c:pt idx="350">
                  <c:v>6.2681700930748804E-2</c:v>
                </c:pt>
                <c:pt idx="351">
                  <c:v>6.283777135616013E-2</c:v>
                </c:pt>
                <c:pt idx="352">
                  <c:v>6.2994154689657106E-2</c:v>
                </c:pt>
                <c:pt idx="353">
                  <c:v>6.3150816755674577E-2</c:v>
                </c:pt>
                <c:pt idx="354">
                  <c:v>6.3307723708950603E-2</c:v>
                </c:pt>
                <c:pt idx="355">
                  <c:v>6.3464842245426312E-2</c:v>
                </c:pt>
                <c:pt idx="356">
                  <c:v>6.362213980122193E-2</c:v>
                </c:pt>
                <c:pt idx="357">
                  <c:v>6.3779584738317283E-2</c:v>
                </c:pt>
                <c:pt idx="358">
                  <c:v>6.3937146515704327E-2</c:v>
                </c:pt>
                <c:pt idx="359">
                  <c:v>6.4094795844928346E-2</c:v>
                </c:pt>
                <c:pt idx="360">
                  <c:v>6.4252504829092769E-2</c:v>
                </c:pt>
                <c:pt idx="361">
                  <c:v>6.4410247084566663E-2</c:v>
                </c:pt>
                <c:pt idx="362">
                  <c:v>6.456799784480316E-2</c:v>
                </c:pt>
                <c:pt idx="363">
                  <c:v>6.4725734045851691E-2</c:v>
                </c:pt>
                <c:pt idx="364">
                  <c:v>6.4883434393319839E-2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2.5940728830023567E-2</c:v>
                </c:pt>
                <c:pt idx="1">
                  <c:v>2.5934529070873975E-2</c:v>
                </c:pt>
                <c:pt idx="2">
                  <c:v>2.592769958962755E-2</c:v>
                </c:pt>
                <c:pt idx="3">
                  <c:v>2.5919654453685135E-2</c:v>
                </c:pt>
                <c:pt idx="4">
                  <c:v>2.5909836655604576E-2</c:v>
                </c:pt>
                <c:pt idx="5">
                  <c:v>2.5897719157229267E-2</c:v>
                </c:pt>
                <c:pt idx="6">
                  <c:v>2.5882805892493761E-2</c:v>
                </c:pt>
                <c:pt idx="7">
                  <c:v>2.586463261873849E-2</c:v>
                </c:pt>
                <c:pt idx="8">
                  <c:v>2.5841881462357323E-2</c:v>
                </c:pt>
                <c:pt idx="9">
                  <c:v>2.5796916737584871E-2</c:v>
                </c:pt>
                <c:pt idx="10">
                  <c:v>2.572414859109199E-2</c:v>
                </c:pt>
                <c:pt idx="11">
                  <c:v>2.5625406682929345E-2</c:v>
                </c:pt>
                <c:pt idx="12">
                  <c:v>2.5502503134394828E-2</c:v>
                </c:pt>
                <c:pt idx="13">
                  <c:v>2.5357217008314163E-2</c:v>
                </c:pt>
                <c:pt idx="14">
                  <c:v>2.5191281128307905E-2</c:v>
                </c:pt>
                <c:pt idx="15">
                  <c:v>2.4992552393218303E-2</c:v>
                </c:pt>
                <c:pt idx="16">
                  <c:v>2.4762535007645005E-2</c:v>
                </c:pt>
                <c:pt idx="17">
                  <c:v>2.4503261955222181E-2</c:v>
                </c:pt>
                <c:pt idx="18">
                  <c:v>2.4216677992418268E-2</c:v>
                </c:pt>
                <c:pt idx="19">
                  <c:v>2.3904765005294197E-2</c:v>
                </c:pt>
                <c:pt idx="20">
                  <c:v>2.3569454623265509E-2</c:v>
                </c:pt>
                <c:pt idx="21">
                  <c:v>2.3212459634722776E-2</c:v>
                </c:pt>
                <c:pt idx="22">
                  <c:v>2.2833063809302771E-2</c:v>
                </c:pt>
                <c:pt idx="23">
                  <c:v>2.2432729057932668E-2</c:v>
                </c:pt>
                <c:pt idx="24">
                  <c:v>2.202726149749307E-2</c:v>
                </c:pt>
                <c:pt idx="25">
                  <c:v>2.1617310370408978E-2</c:v>
                </c:pt>
                <c:pt idx="26">
                  <c:v>2.120348096408475E-2</c:v>
                </c:pt>
                <c:pt idx="27">
                  <c:v>2.0786335349569474E-2</c:v>
                </c:pt>
                <c:pt idx="28">
                  <c:v>2.0366393365771607E-2</c:v>
                </c:pt>
                <c:pt idx="29">
                  <c:v>1.9956178617690522E-2</c:v>
                </c:pt>
                <c:pt idx="30">
                  <c:v>1.9567276087855218E-2</c:v>
                </c:pt>
                <c:pt idx="31">
                  <c:v>1.9199259404109818E-2</c:v>
                </c:pt>
                <c:pt idx="32">
                  <c:v>1.8851691105391751E-2</c:v>
                </c:pt>
                <c:pt idx="33">
                  <c:v>1.8524125749586839E-2</c:v>
                </c:pt>
                <c:pt idx="34">
                  <c:v>1.8216112759546745E-2</c:v>
                </c:pt>
                <c:pt idx="35">
                  <c:v>1.792719900920647E-2</c:v>
                </c:pt>
                <c:pt idx="36">
                  <c:v>1.765719318678944E-2</c:v>
                </c:pt>
                <c:pt idx="37">
                  <c:v>1.7426085526248011E-2</c:v>
                </c:pt>
                <c:pt idx="38">
                  <c:v>1.7230358978945048E-2</c:v>
                </c:pt>
                <c:pt idx="39">
                  <c:v>1.7068592872238317E-2</c:v>
                </c:pt>
                <c:pt idx="40">
                  <c:v>1.6939426546189195E-2</c:v>
                </c:pt>
                <c:pt idx="41">
                  <c:v>1.6841552406521312E-2</c:v>
                </c:pt>
                <c:pt idx="42">
                  <c:v>1.677370978532048E-2</c:v>
                </c:pt>
                <c:pt idx="43">
                  <c:v>1.6751549882021637E-2</c:v>
                </c:pt>
                <c:pt idx="44">
                  <c:v>1.6763210193611829E-2</c:v>
                </c:pt>
                <c:pt idx="45">
                  <c:v>1.6807333004389625E-2</c:v>
                </c:pt>
                <c:pt idx="46">
                  <c:v>1.6882592878287306E-2</c:v>
                </c:pt>
                <c:pt idx="47">
                  <c:v>1.698769306215624E-2</c:v>
                </c:pt>
                <c:pt idx="48">
                  <c:v>1.712136249217969E-2</c:v>
                </c:pt>
                <c:pt idx="49">
                  <c:v>1.7282353386417315E-2</c:v>
                </c:pt>
                <c:pt idx="50">
                  <c:v>1.7469519497984014E-2</c:v>
                </c:pt>
                <c:pt idx="51">
                  <c:v>1.7688695873690506E-2</c:v>
                </c:pt>
                <c:pt idx="52">
                  <c:v>1.7921558747645359E-2</c:v>
                </c:pt>
                <c:pt idx="53">
                  <c:v>1.8167678262653759E-2</c:v>
                </c:pt>
                <c:pt idx="54">
                  <c:v>1.8426730338521023E-2</c:v>
                </c:pt>
                <c:pt idx="55">
                  <c:v>1.8698411912457944E-2</c:v>
                </c:pt>
                <c:pt idx="56">
                  <c:v>1.8982442600973277E-2</c:v>
                </c:pt>
                <c:pt idx="57">
                  <c:v>1.9278413720360207E-2</c:v>
                </c:pt>
                <c:pt idx="58">
                  <c:v>1.957188746493731E-2</c:v>
                </c:pt>
                <c:pt idx="59">
                  <c:v>1.9863151114099597E-2</c:v>
                </c:pt>
                <c:pt idx="60">
                  <c:v>2.0152502344856837E-2</c:v>
                </c:pt>
                <c:pt idx="61">
                  <c:v>2.0440248996225641E-2</c:v>
                </c:pt>
                <c:pt idx="62">
                  <c:v>2.072670891230656E-2</c:v>
                </c:pt>
                <c:pt idx="63">
                  <c:v>2.1012209847211832E-2</c:v>
                </c:pt>
                <c:pt idx="64">
                  <c:v>2.1295393742531338E-2</c:v>
                </c:pt>
                <c:pt idx="65">
                  <c:v>2.1564834604268373E-2</c:v>
                </c:pt>
                <c:pt idx="66">
                  <c:v>2.1815867343647419E-2</c:v>
                </c:pt>
                <c:pt idx="67">
                  <c:v>2.2049619061362689E-2</c:v>
                </c:pt>
                <c:pt idx="68">
                  <c:v>2.2267210601690426E-2</c:v>
                </c:pt>
                <c:pt idx="69">
                  <c:v>2.2469752191279196E-2</c:v>
                </c:pt>
                <c:pt idx="70">
                  <c:v>2.2658339790721356E-2</c:v>
                </c:pt>
                <c:pt idx="71">
                  <c:v>2.2805917745499345E-2</c:v>
                </c:pt>
                <c:pt idx="72">
                  <c:v>2.2914541584458707E-2</c:v>
                </c:pt>
                <c:pt idx="73">
                  <c:v>2.2986076140382696E-2</c:v>
                </c:pt>
                <c:pt idx="74">
                  <c:v>2.3022309786287203E-2</c:v>
                </c:pt>
                <c:pt idx="75">
                  <c:v>2.3024949955188157E-2</c:v>
                </c:pt>
                <c:pt idx="76">
                  <c:v>2.2995619497021971E-2</c:v>
                </c:pt>
                <c:pt idx="77">
                  <c:v>2.2935853765300052E-2</c:v>
                </c:pt>
                <c:pt idx="78">
                  <c:v>2.2844601887772993E-2</c:v>
                </c:pt>
                <c:pt idx="79">
                  <c:v>2.2699026605276635E-2</c:v>
                </c:pt>
                <c:pt idx="80">
                  <c:v>2.2510155723103113E-2</c:v>
                </c:pt>
                <c:pt idx="81">
                  <c:v>2.227986092324475E-2</c:v>
                </c:pt>
                <c:pt idx="82">
                  <c:v>2.2009897430456147E-2</c:v>
                </c:pt>
                <c:pt idx="83">
                  <c:v>2.1701896069230675E-2</c:v>
                </c:pt>
                <c:pt idx="84">
                  <c:v>2.1357356624787896E-2</c:v>
                </c:pt>
                <c:pt idx="85">
                  <c:v>2.0969231696562843E-2</c:v>
                </c:pt>
                <c:pt idx="86">
                  <c:v>2.0563445565120724E-2</c:v>
                </c:pt>
                <c:pt idx="87">
                  <c:v>2.0140684301514916E-2</c:v>
                </c:pt>
                <c:pt idx="88">
                  <c:v>1.970152310535379E-2</c:v>
                </c:pt>
                <c:pt idx="89">
                  <c:v>1.9246425844649053E-2</c:v>
                </c:pt>
                <c:pt idx="90">
                  <c:v>1.8775744629769432E-2</c:v>
                </c:pt>
                <c:pt idx="91">
                  <c:v>1.8289719344336704E-2</c:v>
                </c:pt>
                <c:pt idx="92">
                  <c:v>1.7787489403347231E-2</c:v>
                </c:pt>
                <c:pt idx="93">
                  <c:v>1.726118400304491E-2</c:v>
                </c:pt>
                <c:pt idx="94">
                  <c:v>1.673060288263269E-2</c:v>
                </c:pt>
                <c:pt idx="95">
                  <c:v>1.6195270968348937E-2</c:v>
                </c:pt>
                <c:pt idx="96">
                  <c:v>1.5654698051180947E-2</c:v>
                </c:pt>
                <c:pt idx="97">
                  <c:v>1.5108377832762778E-2</c:v>
                </c:pt>
                <c:pt idx="98">
                  <c:v>1.4555787022635287E-2</c:v>
                </c:pt>
                <c:pt idx="99">
                  <c:v>1.400595276781811E-2</c:v>
                </c:pt>
                <c:pt idx="100">
                  <c:v>1.3466277024655127E-2</c:v>
                </c:pt>
                <c:pt idx="101">
                  <c:v>1.2936152741391583E-2</c:v>
                </c:pt>
                <c:pt idx="102">
                  <c:v>1.2414991603320139E-2</c:v>
                </c:pt>
                <c:pt idx="103">
                  <c:v>1.1902222949495495E-2</c:v>
                </c:pt>
                <c:pt idx="104">
                  <c:v>1.1397292803640852E-2</c:v>
                </c:pt>
                <c:pt idx="105">
                  <c:v>1.089966299711047E-2</c:v>
                </c:pt>
                <c:pt idx="106">
                  <c:v>1.0408862503601374E-2</c:v>
                </c:pt>
                <c:pt idx="107">
                  <c:v>9.938916256374334E-3</c:v>
                </c:pt>
                <c:pt idx="108">
                  <c:v>9.4959214244007203E-3</c:v>
                </c:pt>
                <c:pt idx="109">
                  <c:v>9.0794407637723434E-3</c:v>
                </c:pt>
                <c:pt idx="110">
                  <c:v>8.6891112855260345E-3</c:v>
                </c:pt>
                <c:pt idx="111">
                  <c:v>8.32461525832358E-3</c:v>
                </c:pt>
                <c:pt idx="112">
                  <c:v>7.9856571523741621E-3</c:v>
                </c:pt>
                <c:pt idx="113">
                  <c:v>7.6797859602811521E-3</c:v>
                </c:pt>
                <c:pt idx="114">
                  <c:v>7.3971617440243857E-3</c:v>
                </c:pt>
                <c:pt idx="115">
                  <c:v>7.1375811568619111E-3</c:v>
                </c:pt>
                <c:pt idx="116">
                  <c:v>6.9008811554778695E-3</c:v>
                </c:pt>
                <c:pt idx="117">
                  <c:v>6.6869383466854181E-3</c:v>
                </c:pt>
                <c:pt idx="118">
                  <c:v>6.4956683388702058E-3</c:v>
                </c:pt>
                <c:pt idx="119">
                  <c:v>6.3270250930478264E-3</c:v>
                </c:pt>
                <c:pt idx="120">
                  <c:v>6.1809498759013651E-3</c:v>
                </c:pt>
                <c:pt idx="121">
                  <c:v>6.0670349269280263E-3</c:v>
                </c:pt>
                <c:pt idx="122">
                  <c:v>5.9706552935124228E-3</c:v>
                </c:pt>
                <c:pt idx="123">
                  <c:v>5.891957265384753E-3</c:v>
                </c:pt>
                <c:pt idx="124">
                  <c:v>5.8311164138640957E-3</c:v>
                </c:pt>
                <c:pt idx="125">
                  <c:v>5.7883379703308055E-3</c:v>
                </c:pt>
                <c:pt idx="126">
                  <c:v>5.7638571625359342E-3</c:v>
                </c:pt>
                <c:pt idx="127">
                  <c:v>5.7622877096620935E-3</c:v>
                </c:pt>
                <c:pt idx="128">
                  <c:v>5.7758273127465282E-3</c:v>
                </c:pt>
                <c:pt idx="129">
                  <c:v>5.8047903055816639E-3</c:v>
                </c:pt>
                <c:pt idx="130">
                  <c:v>5.8495191371717341E-3</c:v>
                </c:pt>
                <c:pt idx="131">
                  <c:v>5.9103846567511963E-3</c:v>
                </c:pt>
                <c:pt idx="132">
                  <c:v>5.9877863547186747E-3</c:v>
                </c:pt>
                <c:pt idx="133">
                  <c:v>6.0821525628466482E-3</c:v>
                </c:pt>
                <c:pt idx="134">
                  <c:v>6.193981705165782E-3</c:v>
                </c:pt>
                <c:pt idx="135">
                  <c:v>6.3225987212155062E-3</c:v>
                </c:pt>
                <c:pt idx="136">
                  <c:v>6.4575405651390557E-3</c:v>
                </c:pt>
                <c:pt idx="137">
                  <c:v>6.5989090189368113E-3</c:v>
                </c:pt>
                <c:pt idx="138">
                  <c:v>6.7468058905208426E-3</c:v>
                </c:pt>
                <c:pt idx="139">
                  <c:v>6.9013322533897602E-3</c:v>
                </c:pt>
                <c:pt idx="140">
                  <c:v>7.0625876493636249E-3</c:v>
                </c:pt>
                <c:pt idx="141">
                  <c:v>7.2288989960364036E-3</c:v>
                </c:pt>
                <c:pt idx="142">
                  <c:v>7.3952163665940342E-3</c:v>
                </c:pt>
                <c:pt idx="143">
                  <c:v>7.5613753060924469E-3</c:v>
                </c:pt>
                <c:pt idx="144">
                  <c:v>7.7293979472099882E-3</c:v>
                </c:pt>
                <c:pt idx="145">
                  <c:v>7.897268305012535E-3</c:v>
                </c:pt>
                <c:pt idx="146">
                  <c:v>8.0637652987474509E-3</c:v>
                </c:pt>
                <c:pt idx="147">
                  <c:v>8.2289857107602071E-3</c:v>
                </c:pt>
                <c:pt idx="148">
                  <c:v>8.3932770507350787E-3</c:v>
                </c:pt>
                <c:pt idx="149">
                  <c:v>8.5554762138289903E-3</c:v>
                </c:pt>
                <c:pt idx="150">
                  <c:v>8.7165371957541159E-3</c:v>
                </c:pt>
                <c:pt idx="151">
                  <c:v>8.8763788574397779E-3</c:v>
                </c:pt>
                <c:pt idx="152">
                  <c:v>9.0349163255874394E-3</c:v>
                </c:pt>
                <c:pt idx="153">
                  <c:v>9.1920613476321172E-3</c:v>
                </c:pt>
                <c:pt idx="154">
                  <c:v>9.3477226499432166E-3</c:v>
                </c:pt>
                <c:pt idx="155">
                  <c:v>9.5000397753648887E-3</c:v>
                </c:pt>
                <c:pt idx="156">
                  <c:v>9.6504253181444108E-3</c:v>
                </c:pt>
                <c:pt idx="157">
                  <c:v>9.7986601464399234E-3</c:v>
                </c:pt>
                <c:pt idx="158">
                  <c:v>9.9445206085866222E-3</c:v>
                </c:pt>
                <c:pt idx="159">
                  <c:v>1.0087779297390246E-2</c:v>
                </c:pt>
                <c:pt idx="160">
                  <c:v>1.0228205847061767E-2</c:v>
                </c:pt>
                <c:pt idx="161">
                  <c:v>1.0365567754204453E-2</c:v>
                </c:pt>
                <c:pt idx="162">
                  <c:v>1.0499771731489289E-2</c:v>
                </c:pt>
                <c:pt idx="163">
                  <c:v>1.0628661788658291E-2</c:v>
                </c:pt>
                <c:pt idx="164">
                  <c:v>1.0753793521599794E-2</c:v>
                </c:pt>
                <c:pt idx="165">
                  <c:v>1.0874996775455678E-2</c:v>
                </c:pt>
                <c:pt idx="166">
                  <c:v>1.0992105642334467E-2</c:v>
                </c:pt>
                <c:pt idx="167">
                  <c:v>1.1104959067913306E-2</c:v>
                </c:pt>
                <c:pt idx="168">
                  <c:v>1.1213401416414111E-2</c:v>
                </c:pt>
                <c:pt idx="169">
                  <c:v>1.1315065464564541E-2</c:v>
                </c:pt>
                <c:pt idx="170">
                  <c:v>1.1411780911185334E-2</c:v>
                </c:pt>
                <c:pt idx="171">
                  <c:v>1.1503408294133072E-2</c:v>
                </c:pt>
                <c:pt idx="172">
                  <c:v>1.1589815444999683E-2</c:v>
                </c:pt>
                <c:pt idx="173">
                  <c:v>1.1670758433458821E-2</c:v>
                </c:pt>
                <c:pt idx="174">
                  <c:v>1.17459916882348E-2</c:v>
                </c:pt>
                <c:pt idx="175">
                  <c:v>1.1815392578207819E-2</c:v>
                </c:pt>
                <c:pt idx="176">
                  <c:v>1.1878847051308608E-2</c:v>
                </c:pt>
                <c:pt idx="177">
                  <c:v>1.1934110532641016E-2</c:v>
                </c:pt>
                <c:pt idx="178">
                  <c:v>1.1983412442179925E-2</c:v>
                </c:pt>
                <c:pt idx="179">
                  <c:v>1.2026668375622636E-2</c:v>
                </c:pt>
                <c:pt idx="180">
                  <c:v>1.2063802330727237E-2</c:v>
                </c:pt>
                <c:pt idx="181">
                  <c:v>1.2094746516347859E-2</c:v>
                </c:pt>
                <c:pt idx="182">
                  <c:v>1.211944109655199E-2</c:v>
                </c:pt>
                <c:pt idx="183">
                  <c:v>1.2135791188165497E-2</c:v>
                </c:pt>
                <c:pt idx="184">
                  <c:v>1.2146179964962353E-2</c:v>
                </c:pt>
                <c:pt idx="185">
                  <c:v>1.2150577664276517E-2</c:v>
                </c:pt>
                <c:pt idx="186">
                  <c:v>1.2148960653827418E-2</c:v>
                </c:pt>
                <c:pt idx="187">
                  <c:v>1.214131092456789E-2</c:v>
                </c:pt>
                <c:pt idx="188">
                  <c:v>1.2127615547438138E-2</c:v>
                </c:pt>
                <c:pt idx="189">
                  <c:v>1.2107866102944226E-2</c:v>
                </c:pt>
                <c:pt idx="190">
                  <c:v>1.2082203432687984E-2</c:v>
                </c:pt>
                <c:pt idx="191">
                  <c:v>1.2050054192620521E-2</c:v>
                </c:pt>
                <c:pt idx="192">
                  <c:v>1.2013766985443135E-2</c:v>
                </c:pt>
                <c:pt idx="193">
                  <c:v>1.1973379657002617E-2</c:v>
                </c:pt>
                <c:pt idx="194">
                  <c:v>1.1928928210208013E-2</c:v>
                </c:pt>
                <c:pt idx="195">
                  <c:v>1.1880446431893978E-2</c:v>
                </c:pt>
                <c:pt idx="196">
                  <c:v>1.1827965554131112E-2</c:v>
                </c:pt>
                <c:pt idx="197">
                  <c:v>1.1774030197391122E-2</c:v>
                </c:pt>
                <c:pt idx="198">
                  <c:v>1.1721052337764642E-2</c:v>
                </c:pt>
                <c:pt idx="199">
                  <c:v>1.166925196081663E-2</c:v>
                </c:pt>
                <c:pt idx="200">
                  <c:v>1.161883879733479E-2</c:v>
                </c:pt>
                <c:pt idx="201">
                  <c:v>1.1570012176337465E-2</c:v>
                </c:pt>
                <c:pt idx="202">
                  <c:v>1.152296092745941E-2</c:v>
                </c:pt>
                <c:pt idx="203">
                  <c:v>1.1477863326928257E-2</c:v>
                </c:pt>
                <c:pt idx="204">
                  <c:v>1.143484300013534E-2</c:v>
                </c:pt>
                <c:pt idx="205">
                  <c:v>1.1402152900435947E-2</c:v>
                </c:pt>
                <c:pt idx="206">
                  <c:v>1.1380574729012542E-2</c:v>
                </c:pt>
                <c:pt idx="207">
                  <c:v>1.1370446746741841E-2</c:v>
                </c:pt>
                <c:pt idx="208">
                  <c:v>1.1372099700828867E-2</c:v>
                </c:pt>
                <c:pt idx="209">
                  <c:v>1.1385858251848239E-2</c:v>
                </c:pt>
                <c:pt idx="210">
                  <c:v>1.1412042470379805E-2</c:v>
                </c:pt>
                <c:pt idx="211">
                  <c:v>1.1470515774083987E-2</c:v>
                </c:pt>
                <c:pt idx="212">
                  <c:v>1.1558586798811473E-2</c:v>
                </c:pt>
                <c:pt idx="213">
                  <c:v>1.167671044039008E-2</c:v>
                </c:pt>
                <c:pt idx="214">
                  <c:v>1.1825354033594691E-2</c:v>
                </c:pt>
                <c:pt idx="215">
                  <c:v>1.2005000844476038E-2</c:v>
                </c:pt>
                <c:pt idx="216">
                  <c:v>1.2216153658941516E-2</c:v>
                </c:pt>
                <c:pt idx="217">
                  <c:v>1.2459338479003022E-2</c:v>
                </c:pt>
                <c:pt idx="218">
                  <c:v>1.2734796900854464E-2</c:v>
                </c:pt>
                <c:pt idx="219">
                  <c:v>1.3062717504424701E-2</c:v>
                </c:pt>
                <c:pt idx="220">
                  <c:v>1.3435317779763653E-2</c:v>
                </c:pt>
                <c:pt idx="221">
                  <c:v>1.3853311739891738E-2</c:v>
                </c:pt>
                <c:pt idx="222">
                  <c:v>1.4317433408416479E-2</c:v>
                </c:pt>
                <c:pt idx="223">
                  <c:v>1.4828438967612344E-2</c:v>
                </c:pt>
                <c:pt idx="224">
                  <c:v>1.5387108943386012E-2</c:v>
                </c:pt>
                <c:pt idx="225">
                  <c:v>1.6014713358955036E-2</c:v>
                </c:pt>
                <c:pt idx="226">
                  <c:v>1.6691308054488759E-2</c:v>
                </c:pt>
                <c:pt idx="227">
                  <c:v>1.7417671751525577E-2</c:v>
                </c:pt>
                <c:pt idx="228">
                  <c:v>1.8194621663768819E-2</c:v>
                </c:pt>
                <c:pt idx="229">
                  <c:v>1.9023015751544459E-2</c:v>
                </c:pt>
                <c:pt idx="230">
                  <c:v>1.9903755088089468E-2</c:v>
                </c:pt>
                <c:pt idx="231">
                  <c:v>2.0837786364824525E-2</c:v>
                </c:pt>
                <c:pt idx="232">
                  <c:v>2.1825886313168289E-2</c:v>
                </c:pt>
                <c:pt idx="233">
                  <c:v>2.2875665409450078E-2</c:v>
                </c:pt>
                <c:pt idx="234">
                  <c:v>2.396630699890703E-2</c:v>
                </c:pt>
                <c:pt idx="235">
                  <c:v>2.5098514799956822E-2</c:v>
                </c:pt>
                <c:pt idx="236">
                  <c:v>2.627305341907744E-2</c:v>
                </c:pt>
                <c:pt idx="237">
                  <c:v>2.7490725760596472E-2</c:v>
                </c:pt>
                <c:pt idx="238">
                  <c:v>2.87523898884165E-2</c:v>
                </c:pt>
                <c:pt idx="239">
                  <c:v>3.0037223261766686E-2</c:v>
                </c:pt>
                <c:pt idx="240">
                  <c:v>3.1323899038000466E-2</c:v>
                </c:pt>
                <c:pt idx="241">
                  <c:v>3.261265331685978E-2</c:v>
                </c:pt>
                <c:pt idx="242">
                  <c:v>3.3903749351750993E-2</c:v>
                </c:pt>
                <c:pt idx="243">
                  <c:v>3.5197477864549943E-2</c:v>
                </c:pt>
                <c:pt idx="244">
                  <c:v>3.6494157425208389E-2</c:v>
                </c:pt>
                <c:pt idx="245">
                  <c:v>3.7794134929791334E-2</c:v>
                </c:pt>
                <c:pt idx="246">
                  <c:v>3.909795376594051E-2</c:v>
                </c:pt>
                <c:pt idx="247">
                  <c:v>4.0380213812571779E-2</c:v>
                </c:pt>
                <c:pt idx="248">
                  <c:v>4.1633457974249555E-2</c:v>
                </c:pt>
                <c:pt idx="249">
                  <c:v>4.285715889061302E-2</c:v>
                </c:pt>
                <c:pt idx="250">
                  <c:v>4.4050736624354964E-2</c:v>
                </c:pt>
                <c:pt idx="251">
                  <c:v>4.5213557315968558E-2</c:v>
                </c:pt>
                <c:pt idx="252">
                  <c:v>4.6344931841907543E-2</c:v>
                </c:pt>
                <c:pt idx="253">
                  <c:v>4.7395290304258646E-2</c:v>
                </c:pt>
                <c:pt idx="254">
                  <c:v>4.8386949393695436E-2</c:v>
                </c:pt>
                <c:pt idx="255">
                  <c:v>4.9318465901138038E-2</c:v>
                </c:pt>
                <c:pt idx="256">
                  <c:v>5.0188310929199002E-2</c:v>
                </c:pt>
                <c:pt idx="257">
                  <c:v>5.099486920108702E-2</c:v>
                </c:pt>
                <c:pt idx="258">
                  <c:v>5.1736438580718233E-2</c:v>
                </c:pt>
                <c:pt idx="259">
                  <c:v>5.2411229818072946E-2</c:v>
                </c:pt>
                <c:pt idx="260">
                  <c:v>5.3021999546847505E-2</c:v>
                </c:pt>
                <c:pt idx="261">
                  <c:v>5.3521107822830517E-2</c:v>
                </c:pt>
                <c:pt idx="262">
                  <c:v>5.3933163568337439E-2</c:v>
                </c:pt>
                <c:pt idx="263">
                  <c:v>5.4254172170843981E-2</c:v>
                </c:pt>
                <c:pt idx="264">
                  <c:v>5.4479879213263117E-2</c:v>
                </c:pt>
                <c:pt idx="265">
                  <c:v>5.4606077505909976E-2</c:v>
                </c:pt>
                <c:pt idx="266">
                  <c:v>5.4628192146474769E-2</c:v>
                </c:pt>
                <c:pt idx="267">
                  <c:v>5.4532733500460506E-2</c:v>
                </c:pt>
                <c:pt idx="268">
                  <c:v>5.4369793102624894E-2</c:v>
                </c:pt>
                <c:pt idx="269">
                  <c:v>5.4135397981142544E-2</c:v>
                </c:pt>
                <c:pt idx="270">
                  <c:v>5.3825490847495008E-2</c:v>
                </c:pt>
                <c:pt idx="271">
                  <c:v>5.3435960224377237E-2</c:v>
                </c:pt>
                <c:pt idx="272">
                  <c:v>5.2962675805165907E-2</c:v>
                </c:pt>
                <c:pt idx="273">
                  <c:v>5.240152942719159E-2</c:v>
                </c:pt>
                <c:pt idx="274">
                  <c:v>5.1753662824660214E-2</c:v>
                </c:pt>
                <c:pt idx="275">
                  <c:v>5.1033908200838966E-2</c:v>
                </c:pt>
                <c:pt idx="276">
                  <c:v>5.0297449666364208E-2</c:v>
                </c:pt>
                <c:pt idx="277">
                  <c:v>4.9544175535792365E-2</c:v>
                </c:pt>
                <c:pt idx="278">
                  <c:v>4.8773997851684757E-2</c:v>
                </c:pt>
                <c:pt idx="279">
                  <c:v>4.7986853415503163E-2</c:v>
                </c:pt>
                <c:pt idx="280">
                  <c:v>4.7182704642090414E-2</c:v>
                </c:pt>
                <c:pt idx="281">
                  <c:v>4.6386961278568672E-2</c:v>
                </c:pt>
                <c:pt idx="282">
                  <c:v>4.5609854669792581E-2</c:v>
                </c:pt>
                <c:pt idx="283">
                  <c:v>4.4852267583272938E-2</c:v>
                </c:pt>
                <c:pt idx="284">
                  <c:v>4.4115103750773627E-2</c:v>
                </c:pt>
                <c:pt idx="285">
                  <c:v>4.3399286771848018E-2</c:v>
                </c:pt>
                <c:pt idx="286">
                  <c:v>4.2705758963058574E-2</c:v>
                </c:pt>
                <c:pt idx="287">
                  <c:v>4.2035480176266377E-2</c:v>
                </c:pt>
                <c:pt idx="288">
                  <c:v>4.139007966849647E-2</c:v>
                </c:pt>
                <c:pt idx="289">
                  <c:v>4.0801571859642581E-2</c:v>
                </c:pt>
                <c:pt idx="290">
                  <c:v>4.0257463949529101E-2</c:v>
                </c:pt>
                <c:pt idx="291">
                  <c:v>3.9758833290979859E-2</c:v>
                </c:pt>
                <c:pt idx="292">
                  <c:v>3.930677104225163E-2</c:v>
                </c:pt>
                <c:pt idx="293">
                  <c:v>3.8902378726658783E-2</c:v>
                </c:pt>
                <c:pt idx="294">
                  <c:v>3.8546764696790109E-2</c:v>
                </c:pt>
                <c:pt idx="295">
                  <c:v>3.8266141066908739E-2</c:v>
                </c:pt>
                <c:pt idx="296">
                  <c:v>3.8034112097791888E-2</c:v>
                </c:pt>
                <c:pt idx="297">
                  <c:v>3.7852011154080011E-2</c:v>
                </c:pt>
                <c:pt idx="298">
                  <c:v>3.7720851902932895E-2</c:v>
                </c:pt>
                <c:pt idx="299">
                  <c:v>3.7641643716696795E-2</c:v>
                </c:pt>
                <c:pt idx="300">
                  <c:v>3.7615387978431475E-2</c:v>
                </c:pt>
                <c:pt idx="301">
                  <c:v>3.7643074229486428E-2</c:v>
                </c:pt>
                <c:pt idx="302">
                  <c:v>3.7728994248296663E-2</c:v>
                </c:pt>
                <c:pt idx="303">
                  <c:v>3.7885904028345761E-2</c:v>
                </c:pt>
                <c:pt idx="304">
                  <c:v>3.8080538829284041E-2</c:v>
                </c:pt>
                <c:pt idx="305">
                  <c:v>3.8312820529454304E-2</c:v>
                </c:pt>
                <c:pt idx="306">
                  <c:v>3.8582620905575855E-2</c:v>
                </c:pt>
                <c:pt idx="307">
                  <c:v>3.8889747678029912E-2</c:v>
                </c:pt>
                <c:pt idx="308">
                  <c:v>3.9233929663058241E-2</c:v>
                </c:pt>
                <c:pt idx="309">
                  <c:v>3.9608669987997398E-2</c:v>
                </c:pt>
                <c:pt idx="310">
                  <c:v>3.9985702580552639E-2</c:v>
                </c:pt>
                <c:pt idx="311">
                  <c:v>4.0363790477115441E-2</c:v>
                </c:pt>
                <c:pt idx="312">
                  <c:v>4.0741575489243509E-2</c:v>
                </c:pt>
                <c:pt idx="313">
                  <c:v>4.1117572342878057E-2</c:v>
                </c:pt>
                <c:pt idx="314">
                  <c:v>4.1490163968050754E-2</c:v>
                </c:pt>
                <c:pt idx="315">
                  <c:v>4.1857598344987715E-2</c:v>
                </c:pt>
                <c:pt idx="316">
                  <c:v>4.2222341765483042E-2</c:v>
                </c:pt>
                <c:pt idx="317">
                  <c:v>4.25669430387665E-2</c:v>
                </c:pt>
                <c:pt idx="318">
                  <c:v>4.2881267706954003E-2</c:v>
                </c:pt>
                <c:pt idx="319">
                  <c:v>4.3164654496961531E-2</c:v>
                </c:pt>
                <c:pt idx="320">
                  <c:v>4.3416426214115546E-2</c:v>
                </c:pt>
                <c:pt idx="321">
                  <c:v>4.3635888736176839E-2</c:v>
                </c:pt>
                <c:pt idx="322">
                  <c:v>4.3822330514337822E-2</c:v>
                </c:pt>
                <c:pt idx="323">
                  <c:v>4.3955594205155317E-2</c:v>
                </c:pt>
                <c:pt idx="324">
                  <c:v>4.4041326809711609E-2</c:v>
                </c:pt>
                <c:pt idx="325">
                  <c:v>4.4078620172038903E-2</c:v>
                </c:pt>
                <c:pt idx="326">
                  <c:v>4.4066291605346621E-2</c:v>
                </c:pt>
                <c:pt idx="327">
                  <c:v>4.4003346820310749E-2</c:v>
                </c:pt>
                <c:pt idx="328">
                  <c:v>4.3889029511306868E-2</c:v>
                </c:pt>
                <c:pt idx="329">
                  <c:v>4.3722600863708522E-2</c:v>
                </c:pt>
                <c:pt idx="330">
                  <c:v>4.3506859596247824E-2</c:v>
                </c:pt>
                <c:pt idx="331">
                  <c:v>4.3248717091124302E-2</c:v>
                </c:pt>
                <c:pt idx="332">
                  <c:v>4.296882905258452E-2</c:v>
                </c:pt>
                <c:pt idx="333">
                  <c:v>4.2665701557143353E-2</c:v>
                </c:pt>
                <c:pt idx="334">
                  <c:v>4.2337828081380778E-2</c:v>
                </c:pt>
                <c:pt idx="335">
                  <c:v>4.1983705591430991E-2</c:v>
                </c:pt>
                <c:pt idx="336">
                  <c:v>4.1601852478364509E-2</c:v>
                </c:pt>
                <c:pt idx="337">
                  <c:v>4.1205930476678677E-2</c:v>
                </c:pt>
                <c:pt idx="338">
                  <c:v>4.081495076789033E-2</c:v>
                </c:pt>
                <c:pt idx="339">
                  <c:v>4.0427730665856108E-2</c:v>
                </c:pt>
                <c:pt idx="340">
                  <c:v>4.0043106735020983E-2</c:v>
                </c:pt>
                <c:pt idx="341">
                  <c:v>3.9659943958670091E-2</c:v>
                </c:pt>
                <c:pt idx="342">
                  <c:v>3.9277145439277357E-2</c:v>
                </c:pt>
                <c:pt idx="343">
                  <c:v>3.8893662447324694E-2</c:v>
                </c:pt>
                <c:pt idx="344">
                  <c:v>3.850692688319475E-2</c:v>
                </c:pt>
                <c:pt idx="345">
                  <c:v>3.8116764821122369E-2</c:v>
                </c:pt>
                <c:pt idx="346">
                  <c:v>3.7735833503197515E-2</c:v>
                </c:pt>
                <c:pt idx="347">
                  <c:v>3.7366526664536895E-2</c:v>
                </c:pt>
                <c:pt idx="348">
                  <c:v>3.7011130327758934E-2</c:v>
                </c:pt>
                <c:pt idx="349">
                  <c:v>3.6671815582499843E-2</c:v>
                </c:pt>
                <c:pt idx="350">
                  <c:v>3.6350634832528768E-2</c:v>
                </c:pt>
                <c:pt idx="351">
                  <c:v>3.6064158038417837E-2</c:v>
                </c:pt>
                <c:pt idx="352">
                  <c:v>3.5799290143909902E-2</c:v>
                </c:pt>
                <c:pt idx="353">
                  <c:v>3.5557730536749634E-2</c:v>
                </c:pt>
                <c:pt idx="354">
                  <c:v>3.5341078492954855E-2</c:v>
                </c:pt>
                <c:pt idx="355">
                  <c:v>3.5150842877865268E-2</c:v>
                </c:pt>
                <c:pt idx="356">
                  <c:v>3.4988370236087328E-2</c:v>
                </c:pt>
                <c:pt idx="357">
                  <c:v>3.4855059306557405E-2</c:v>
                </c:pt>
                <c:pt idx="358">
                  <c:v>3.4748965677003835E-2</c:v>
                </c:pt>
                <c:pt idx="359">
                  <c:v>3.4666494096671899E-2</c:v>
                </c:pt>
                <c:pt idx="360">
                  <c:v>3.4620415926253298E-2</c:v>
                </c:pt>
                <c:pt idx="361">
                  <c:v>3.4595342560311389E-2</c:v>
                </c:pt>
                <c:pt idx="362">
                  <c:v>3.4590004416195662E-2</c:v>
                </c:pt>
                <c:pt idx="363">
                  <c:v>3.4603145670428111E-2</c:v>
                </c:pt>
                <c:pt idx="364">
                  <c:v>3.4633522630195063E-2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964624"/>
        <c:axId val="486965016"/>
      </c:lineChart>
      <c:dateAx>
        <c:axId val="4869646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965016"/>
        <c:crosses val="autoZero"/>
        <c:auto val="1"/>
        <c:lblOffset val="100"/>
        <c:baseTimeUnit val="days"/>
        <c:majorUnit val="1"/>
        <c:majorTimeUnit val="months"/>
      </c:dateAx>
      <c:valAx>
        <c:axId val="4869650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964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15.338078049452465</c:v>
                </c:pt>
                <c:pt idx="1">
                  <c:v>15.443873734634526</c:v>
                </c:pt>
                <c:pt idx="2">
                  <c:v>15.555574248360994</c:v>
                </c:pt>
                <c:pt idx="3">
                  <c:v>15.673482339816431</c:v>
                </c:pt>
                <c:pt idx="4">
                  <c:v>15.797900332637143</c:v>
                </c:pt>
                <c:pt idx="5">
                  <c:v>15.929130147002004</c:v>
                </c:pt>
                <c:pt idx="6">
                  <c:v>16.067473299880415</c:v>
                </c:pt>
                <c:pt idx="7">
                  <c:v>16.213230937097983</c:v>
                </c:pt>
                <c:pt idx="8">
                  <c:v>16.367285586583247</c:v>
                </c:pt>
                <c:pt idx="9">
                  <c:v>16.530179791231618</c:v>
                </c:pt>
                <c:pt idx="10">
                  <c:v>16.701485369938382</c:v>
                </c:pt>
                <c:pt idx="11">
                  <c:v>16.880558247003222</c:v>
                </c:pt>
                <c:pt idx="12">
                  <c:v>17.066754748082918</c:v>
                </c:pt>
                <c:pt idx="13">
                  <c:v>17.259431602351764</c:v>
                </c:pt>
                <c:pt idx="14">
                  <c:v>17.457945957876721</c:v>
                </c:pt>
                <c:pt idx="15">
                  <c:v>17.661978565306597</c:v>
                </c:pt>
                <c:pt idx="16">
                  <c:v>17.870956477530179</c:v>
                </c:pt>
                <c:pt idx="17">
                  <c:v>18.084237949418398</c:v>
                </c:pt>
                <c:pt idx="18">
                  <c:v>18.301181654268827</c:v>
                </c:pt>
                <c:pt idx="19">
                  <c:v>18.521143041424143</c:v>
                </c:pt>
                <c:pt idx="20">
                  <c:v>18.743476292519254</c:v>
                </c:pt>
                <c:pt idx="21">
                  <c:v>18.967538838708546</c:v>
                </c:pt>
                <c:pt idx="22">
                  <c:v>19.194699235720588</c:v>
                </c:pt>
                <c:pt idx="23">
                  <c:v>19.426723790412481</c:v>
                </c:pt>
                <c:pt idx="24">
                  <c:v>19.66312912415869</c:v>
                </c:pt>
                <c:pt idx="25">
                  <c:v>19.903721871530855</c:v>
                </c:pt>
                <c:pt idx="26">
                  <c:v>20.14830890123558</c:v>
                </c:pt>
                <c:pt idx="27">
                  <c:v>20.396697335466627</c:v>
                </c:pt>
                <c:pt idx="28">
                  <c:v>20.648694563967808</c:v>
                </c:pt>
                <c:pt idx="29">
                  <c:v>20.903962252727148</c:v>
                </c:pt>
                <c:pt idx="30">
                  <c:v>21.161986246087146</c:v>
                </c:pt>
                <c:pt idx="31">
                  <c:v>21.422575120371089</c:v>
                </c:pt>
                <c:pt idx="32">
                  <c:v>21.685537722389455</c:v>
                </c:pt>
                <c:pt idx="33">
                  <c:v>21.95068316739329</c:v>
                </c:pt>
                <c:pt idx="34">
                  <c:v>22.217820831809451</c:v>
                </c:pt>
                <c:pt idx="35">
                  <c:v>22.48676035117192</c:v>
                </c:pt>
                <c:pt idx="36">
                  <c:v>22.756964509751089</c:v>
                </c:pt>
                <c:pt idx="37">
                  <c:v>23.027836425870795</c:v>
                </c:pt>
                <c:pt idx="38">
                  <c:v>23.299655747229146</c:v>
                </c:pt>
                <c:pt idx="39">
                  <c:v>23.572800809737366</c:v>
                </c:pt>
                <c:pt idx="40">
                  <c:v>23.847649703248514</c:v>
                </c:pt>
                <c:pt idx="41">
                  <c:v>24.12458026749032</c:v>
                </c:pt>
                <c:pt idx="42">
                  <c:v>24.403970074232316</c:v>
                </c:pt>
                <c:pt idx="43">
                  <c:v>24.685635604861854</c:v>
                </c:pt>
                <c:pt idx="44">
                  <c:v>24.97009895148646</c:v>
                </c:pt>
                <c:pt idx="45">
                  <c:v>25.257736614645491</c:v>
                </c:pt>
                <c:pt idx="46">
                  <c:v>25.54892474040221</c:v>
                </c:pt>
                <c:pt idx="47">
                  <c:v>25.844039101976627</c:v>
                </c:pt>
                <c:pt idx="48">
                  <c:v>26.143455090922714</c:v>
                </c:pt>
                <c:pt idx="49">
                  <c:v>26.447547683995321</c:v>
                </c:pt>
                <c:pt idx="50">
                  <c:v>26.756565548969213</c:v>
                </c:pt>
                <c:pt idx="51">
                  <c:v>27.069751934350563</c:v>
                </c:pt>
                <c:pt idx="52">
                  <c:v>27.387166392827723</c:v>
                </c:pt>
                <c:pt idx="53">
                  <c:v>27.708431981205969</c:v>
                </c:pt>
                <c:pt idx="54">
                  <c:v>28.033168454692134</c:v>
                </c:pt>
                <c:pt idx="55">
                  <c:v>28.360995639738977</c:v>
                </c:pt>
                <c:pt idx="56">
                  <c:v>28.691533393758064</c:v>
                </c:pt>
                <c:pt idx="57">
                  <c:v>29.024143205549528</c:v>
                </c:pt>
                <c:pt idx="58">
                  <c:v>29.359005450286052</c:v>
                </c:pt>
                <c:pt idx="59">
                  <c:v>29.695739312229989</c:v>
                </c:pt>
                <c:pt idx="60">
                  <c:v>30.033963809220907</c:v>
                </c:pt>
                <c:pt idx="61">
                  <c:v>30.373297746822345</c:v>
                </c:pt>
                <c:pt idx="62">
                  <c:v>30.713359665696004</c:v>
                </c:pt>
                <c:pt idx="63">
                  <c:v>31.053767797759143</c:v>
                </c:pt>
                <c:pt idx="64">
                  <c:v>31.396714017757407</c:v>
                </c:pt>
                <c:pt idx="65">
                  <c:v>31.744316451146165</c:v>
                </c:pt>
                <c:pt idx="66">
                  <c:v>32.096317805917423</c:v>
                </c:pt>
                <c:pt idx="67">
                  <c:v>32.451956134254289</c:v>
                </c:pt>
                <c:pt idx="68">
                  <c:v>32.810469293434714</c:v>
                </c:pt>
                <c:pt idx="69">
                  <c:v>33.171094917161376</c:v>
                </c:pt>
                <c:pt idx="70">
                  <c:v>33.533070385142693</c:v>
                </c:pt>
                <c:pt idx="71">
                  <c:v>33.896787679966344</c:v>
                </c:pt>
                <c:pt idx="72">
                  <c:v>34.261747330792474</c:v>
                </c:pt>
                <c:pt idx="73">
                  <c:v>34.627188277458671</c:v>
                </c:pt>
                <c:pt idx="74">
                  <c:v>34.99234958171855</c:v>
                </c:pt>
                <c:pt idx="75">
                  <c:v>35.356470477092991</c:v>
                </c:pt>
                <c:pt idx="76">
                  <c:v>35.718790426078122</c:v>
                </c:pt>
                <c:pt idx="77">
                  <c:v>36.078549180824389</c:v>
                </c:pt>
                <c:pt idx="78">
                  <c:v>36.439104065764219</c:v>
                </c:pt>
                <c:pt idx="79">
                  <c:v>36.804843255298096</c:v>
                </c:pt>
                <c:pt idx="80">
                  <c:v>37.174544985991062</c:v>
                </c:pt>
                <c:pt idx="81">
                  <c:v>37.547169472336826</c:v>
                </c:pt>
                <c:pt idx="82">
                  <c:v>37.921678548379823</c:v>
                </c:pt>
                <c:pt idx="83">
                  <c:v>38.297035805772552</c:v>
                </c:pt>
                <c:pt idx="84">
                  <c:v>38.672206732709817</c:v>
                </c:pt>
                <c:pt idx="85">
                  <c:v>39.046851830870231</c:v>
                </c:pt>
                <c:pt idx="86">
                  <c:v>39.418778336022378</c:v>
                </c:pt>
                <c:pt idx="87">
                  <c:v>39.786958220431266</c:v>
                </c:pt>
                <c:pt idx="88">
                  <c:v>40.150365742168304</c:v>
                </c:pt>
                <c:pt idx="89">
                  <c:v>40.507977560764949</c:v>
                </c:pt>
                <c:pt idx="90">
                  <c:v>40.858772870418193</c:v>
                </c:pt>
                <c:pt idx="91">
                  <c:v>41.201733512801979</c:v>
                </c:pt>
                <c:pt idx="92">
                  <c:v>41.538217439903448</c:v>
                </c:pt>
                <c:pt idx="93">
                  <c:v>41.87097074136323</c:v>
                </c:pt>
                <c:pt idx="94">
                  <c:v>42.198852891856944</c:v>
                </c:pt>
                <c:pt idx="95">
                  <c:v>42.521974158980022</c:v>
                </c:pt>
                <c:pt idx="96">
                  <c:v>42.840446673235853</c:v>
                </c:pt>
                <c:pt idx="97">
                  <c:v>43.154384505172068</c:v>
                </c:pt>
                <c:pt idx="98">
                  <c:v>43.463903746742091</c:v>
                </c:pt>
                <c:pt idx="99">
                  <c:v>43.768984175584926</c:v>
                </c:pt>
                <c:pt idx="100">
                  <c:v>44.069023688453917</c:v>
                </c:pt>
                <c:pt idx="101">
                  <c:v>44.36413837446085</c:v>
                </c:pt>
                <c:pt idx="102">
                  <c:v>44.654445911712038</c:v>
                </c:pt>
                <c:pt idx="103">
                  <c:v>44.940065624381852</c:v>
                </c:pt>
                <c:pt idx="104">
                  <c:v>45.221118517667634</c:v>
                </c:pt>
                <c:pt idx="105">
                  <c:v>45.497727342310426</c:v>
                </c:pt>
                <c:pt idx="106">
                  <c:v>45.769783057442382</c:v>
                </c:pt>
                <c:pt idx="107">
                  <c:v>46.036514031987807</c:v>
                </c:pt>
                <c:pt idx="108">
                  <c:v>46.297263382626312</c:v>
                </c:pt>
                <c:pt idx="109">
                  <c:v>46.552048768963751</c:v>
                </c:pt>
                <c:pt idx="110">
                  <c:v>46.800886175400898</c:v>
                </c:pt>
                <c:pt idx="111">
                  <c:v>47.043792386147963</c:v>
                </c:pt>
                <c:pt idx="112">
                  <c:v>47.280787102272711</c:v>
                </c:pt>
                <c:pt idx="113">
                  <c:v>47.511158346722659</c:v>
                </c:pt>
                <c:pt idx="114">
                  <c:v>47.735028705654962</c:v>
                </c:pt>
                <c:pt idx="115">
                  <c:v>47.952396536993554</c:v>
                </c:pt>
                <c:pt idx="116">
                  <c:v>48.163259211412985</c:v>
                </c:pt>
                <c:pt idx="117">
                  <c:v>48.367613090466385</c:v>
                </c:pt>
                <c:pt idx="118">
                  <c:v>48.565453513628213</c:v>
                </c:pt>
                <c:pt idx="119">
                  <c:v>48.756774785948544</c:v>
                </c:pt>
                <c:pt idx="120">
                  <c:v>48.941973811222155</c:v>
                </c:pt>
                <c:pt idx="121">
                  <c:v>49.120577832453804</c:v>
                </c:pt>
                <c:pt idx="122">
                  <c:v>49.293010805160868</c:v>
                </c:pt>
                <c:pt idx="123">
                  <c:v>49.459066331579791</c:v>
                </c:pt>
                <c:pt idx="124">
                  <c:v>49.618536470015428</c:v>
                </c:pt>
                <c:pt idx="125">
                  <c:v>49.771211725690883</c:v>
                </c:pt>
                <c:pt idx="126">
                  <c:v>49.916881060961558</c:v>
                </c:pt>
                <c:pt idx="127">
                  <c:v>50.055006096125524</c:v>
                </c:pt>
                <c:pt idx="128">
                  <c:v>50.186201005893317</c:v>
                </c:pt>
                <c:pt idx="129">
                  <c:v>50.310267428924199</c:v>
                </c:pt>
                <c:pt idx="130">
                  <c:v>50.427006404027082</c:v>
                </c:pt>
                <c:pt idx="131">
                  <c:v>50.536218387662643</c:v>
                </c:pt>
                <c:pt idx="132">
                  <c:v>50.637703296142298</c:v>
                </c:pt>
                <c:pt idx="133">
                  <c:v>50.73126053146499</c:v>
                </c:pt>
                <c:pt idx="134">
                  <c:v>50.816348581301021</c:v>
                </c:pt>
                <c:pt idx="135">
                  <c:v>50.892553988680881</c:v>
                </c:pt>
                <c:pt idx="136">
                  <c:v>50.961066135862637</c:v>
                </c:pt>
                <c:pt idx="137">
                  <c:v>51.022249778297564</c:v>
                </c:pt>
                <c:pt idx="138">
                  <c:v>51.076468958593118</c:v>
                </c:pt>
                <c:pt idx="139">
                  <c:v>51.12408699559488</c:v>
                </c:pt>
                <c:pt idx="140">
                  <c:v>51.165466521660889</c:v>
                </c:pt>
                <c:pt idx="141">
                  <c:v>51.200920969236172</c:v>
                </c:pt>
                <c:pt idx="142">
                  <c:v>51.231181820086562</c:v>
                </c:pt>
                <c:pt idx="143">
                  <c:v>51.256617458344159</c:v>
                </c:pt>
                <c:pt idx="144">
                  <c:v>51.277592411013693</c:v>
                </c:pt>
                <c:pt idx="145">
                  <c:v>51.294470503785064</c:v>
                </c:pt>
                <c:pt idx="146">
                  <c:v>51.307614877254871</c:v>
                </c:pt>
                <c:pt idx="147">
                  <c:v>51.31738799103065</c:v>
                </c:pt>
                <c:pt idx="148">
                  <c:v>51.322624693970702</c:v>
                </c:pt>
                <c:pt idx="149">
                  <c:v>51.322211633985908</c:v>
                </c:pt>
                <c:pt idx="150">
                  <c:v>51.316738018379105</c:v>
                </c:pt>
                <c:pt idx="151">
                  <c:v>51.306492687284475</c:v>
                </c:pt>
                <c:pt idx="152">
                  <c:v>51.291764222713269</c:v>
                </c:pt>
                <c:pt idx="153">
                  <c:v>51.272840911688036</c:v>
                </c:pt>
                <c:pt idx="154">
                  <c:v>51.250010706351084</c:v>
                </c:pt>
                <c:pt idx="155">
                  <c:v>51.223692818775781</c:v>
                </c:pt>
                <c:pt idx="156">
                  <c:v>51.194253396072774</c:v>
                </c:pt>
                <c:pt idx="157">
                  <c:v>51.161988365218804</c:v>
                </c:pt>
                <c:pt idx="158">
                  <c:v>51.127193189895955</c:v>
                </c:pt>
                <c:pt idx="159">
                  <c:v>51.090162809999086</c:v>
                </c:pt>
                <c:pt idx="160">
                  <c:v>51.051191574487412</c:v>
                </c:pt>
                <c:pt idx="161">
                  <c:v>51.010573186671486</c:v>
                </c:pt>
                <c:pt idx="162">
                  <c:v>50.967908834274787</c:v>
                </c:pt>
                <c:pt idx="163">
                  <c:v>50.922766898262978</c:v>
                </c:pt>
                <c:pt idx="164">
                  <c:v>50.875039693881476</c:v>
                </c:pt>
                <c:pt idx="165">
                  <c:v>50.824742928139685</c:v>
                </c:pt>
                <c:pt idx="166">
                  <c:v>50.771891596269839</c:v>
                </c:pt>
                <c:pt idx="167">
                  <c:v>50.716499925746888</c:v>
                </c:pt>
                <c:pt idx="168">
                  <c:v>50.658581337447607</c:v>
                </c:pt>
                <c:pt idx="169">
                  <c:v>50.598306173256141</c:v>
                </c:pt>
                <c:pt idx="170">
                  <c:v>50.535542400786547</c:v>
                </c:pt>
                <c:pt idx="171">
                  <c:v>50.470300893172144</c:v>
                </c:pt>
                <c:pt idx="172">
                  <c:v>50.402591586084604</c:v>
                </c:pt>
                <c:pt idx="173">
                  <c:v>50.332431571791311</c:v>
                </c:pt>
                <c:pt idx="174">
                  <c:v>50.259837554155389</c:v>
                </c:pt>
                <c:pt idx="175">
                  <c:v>50.184817411170357</c:v>
                </c:pt>
                <c:pt idx="176">
                  <c:v>50.107378015446621</c:v>
                </c:pt>
                <c:pt idx="177">
                  <c:v>50.027677241439257</c:v>
                </c:pt>
                <c:pt idx="178">
                  <c:v>49.945556800442688</c:v>
                </c:pt>
                <c:pt idx="179">
                  <c:v>49.861020418258796</c:v>
                </c:pt>
                <c:pt idx="180">
                  <c:v>49.774070891430064</c:v>
                </c:pt>
                <c:pt idx="181">
                  <c:v>49.684710112809427</c:v>
                </c:pt>
                <c:pt idx="182">
                  <c:v>49.592939107308666</c:v>
                </c:pt>
                <c:pt idx="183">
                  <c:v>49.498897581771296</c:v>
                </c:pt>
                <c:pt idx="184">
                  <c:v>49.40241732968807</c:v>
                </c:pt>
                <c:pt idx="185">
                  <c:v>49.303496681471692</c:v>
                </c:pt>
                <c:pt idx="186">
                  <c:v>49.202133316931707</c:v>
                </c:pt>
                <c:pt idx="187">
                  <c:v>49.098324317738054</c:v>
                </c:pt>
                <c:pt idx="188">
                  <c:v>48.992066228144104</c:v>
                </c:pt>
                <c:pt idx="189">
                  <c:v>48.883355107442249</c:v>
                </c:pt>
                <c:pt idx="190">
                  <c:v>48.771590427663213</c:v>
                </c:pt>
                <c:pt idx="191">
                  <c:v>48.656216910763611</c:v>
                </c:pt>
                <c:pt idx="192">
                  <c:v>48.537341635080217</c:v>
                </c:pt>
                <c:pt idx="193">
                  <c:v>48.415230193970316</c:v>
                </c:pt>
                <c:pt idx="194">
                  <c:v>48.290148127268985</c:v>
                </c:pt>
                <c:pt idx="195">
                  <c:v>48.162360969766681</c:v>
                </c:pt>
                <c:pt idx="196">
                  <c:v>48.03213428952354</c:v>
                </c:pt>
                <c:pt idx="197">
                  <c:v>47.899204008953753</c:v>
                </c:pt>
                <c:pt idx="198">
                  <c:v>47.763684180185052</c:v>
                </c:pt>
                <c:pt idx="199">
                  <c:v>47.625833374918535</c:v>
                </c:pt>
                <c:pt idx="200">
                  <c:v>47.485910916066864</c:v>
                </c:pt>
                <c:pt idx="201">
                  <c:v>47.344176871209434</c:v>
                </c:pt>
                <c:pt idx="202">
                  <c:v>47.200892036239999</c:v>
                </c:pt>
                <c:pt idx="203">
                  <c:v>47.056317917643234</c:v>
                </c:pt>
                <c:pt idx="204">
                  <c:v>46.910824650023557</c:v>
                </c:pt>
                <c:pt idx="205">
                  <c:v>46.763844785658755</c:v>
                </c:pt>
                <c:pt idx="206">
                  <c:v>46.615154106386761</c:v>
                </c:pt>
                <c:pt idx="207">
                  <c:v>46.46437871691996</c:v>
                </c:pt>
                <c:pt idx="208">
                  <c:v>46.311145751875443</c:v>
                </c:pt>
                <c:pt idx="209">
                  <c:v>46.15508334393499</c:v>
                </c:pt>
                <c:pt idx="210">
                  <c:v>45.995820591473809</c:v>
                </c:pt>
                <c:pt idx="211">
                  <c:v>45.831728874423007</c:v>
                </c:pt>
                <c:pt idx="212">
                  <c:v>45.662994236492082</c:v>
                </c:pt>
                <c:pt idx="213">
                  <c:v>45.489250197820439</c:v>
                </c:pt>
                <c:pt idx="214">
                  <c:v>45.310131119221559</c:v>
                </c:pt>
                <c:pt idx="215">
                  <c:v>45.125272179966849</c:v>
                </c:pt>
                <c:pt idx="216">
                  <c:v>44.934309349607211</c:v>
                </c:pt>
                <c:pt idx="217">
                  <c:v>44.736879370099103</c:v>
                </c:pt>
                <c:pt idx="218">
                  <c:v>44.53373042352429</c:v>
                </c:pt>
                <c:pt idx="219">
                  <c:v>44.324283606657005</c:v>
                </c:pt>
                <c:pt idx="220">
                  <c:v>44.108963291777279</c:v>
                </c:pt>
                <c:pt idx="221">
                  <c:v>43.887679144639883</c:v>
                </c:pt>
                <c:pt idx="222">
                  <c:v>43.660341729011805</c:v>
                </c:pt>
                <c:pt idx="223">
                  <c:v>43.426862495234928</c:v>
                </c:pt>
                <c:pt idx="224">
                  <c:v>43.187153774455361</c:v>
                </c:pt>
                <c:pt idx="225">
                  <c:v>42.940439065703053</c:v>
                </c:pt>
                <c:pt idx="226">
                  <c:v>42.687901400815598</c:v>
                </c:pt>
                <c:pt idx="227">
                  <c:v>42.429458723405027</c:v>
                </c:pt>
                <c:pt idx="228">
                  <c:v>42.165029542851954</c:v>
                </c:pt>
                <c:pt idx="229">
                  <c:v>41.894532948755938</c:v>
                </c:pt>
                <c:pt idx="230">
                  <c:v>41.617888642139405</c:v>
                </c:pt>
                <c:pt idx="231">
                  <c:v>41.335016950129742</c:v>
                </c:pt>
                <c:pt idx="232">
                  <c:v>41.046263950906152</c:v>
                </c:pt>
                <c:pt idx="233">
                  <c:v>40.75239070833512</c:v>
                </c:pt>
                <c:pt idx="234">
                  <c:v>40.454840742820345</c:v>
                </c:pt>
                <c:pt idx="235">
                  <c:v>40.153538101673014</c:v>
                </c:pt>
                <c:pt idx="236">
                  <c:v>39.848406063761011</c:v>
                </c:pt>
                <c:pt idx="237">
                  <c:v>39.539368800055989</c:v>
                </c:pt>
                <c:pt idx="238">
                  <c:v>39.226350419306719</c:v>
                </c:pt>
                <c:pt idx="239">
                  <c:v>38.910784238945574</c:v>
                </c:pt>
                <c:pt idx="240">
                  <c:v>38.593270163703508</c:v>
                </c:pt>
                <c:pt idx="241">
                  <c:v>38.27372824242655</c:v>
                </c:pt>
                <c:pt idx="242">
                  <c:v>37.952078104936497</c:v>
                </c:pt>
                <c:pt idx="243">
                  <c:v>37.628238982738893</c:v>
                </c:pt>
                <c:pt idx="244">
                  <c:v>37.302129742394968</c:v>
                </c:pt>
                <c:pt idx="245">
                  <c:v>36.973668901945601</c:v>
                </c:pt>
                <c:pt idx="246">
                  <c:v>36.642607990886589</c:v>
                </c:pt>
                <c:pt idx="247">
                  <c:v>36.310404349362344</c:v>
                </c:pt>
                <c:pt idx="248">
                  <c:v>35.976820953653402</c:v>
                </c:pt>
                <c:pt idx="249">
                  <c:v>35.642043111160056</c:v>
                </c:pt>
                <c:pt idx="250">
                  <c:v>35.306255465317669</c:v>
                </c:pt>
                <c:pt idx="251">
                  <c:v>34.969641977146978</c:v>
                </c:pt>
                <c:pt idx="252">
                  <c:v>34.632385900929471</c:v>
                </c:pt>
                <c:pt idx="253">
                  <c:v>34.296981159998161</c:v>
                </c:pt>
                <c:pt idx="254">
                  <c:v>33.962105889952142</c:v>
                </c:pt>
                <c:pt idx="255">
                  <c:v>33.627936857514406</c:v>
                </c:pt>
                <c:pt idx="256">
                  <c:v>33.294649691477645</c:v>
                </c:pt>
                <c:pt idx="257">
                  <c:v>32.96241880075619</c:v>
                </c:pt>
                <c:pt idx="258">
                  <c:v>32.631417277784017</c:v>
                </c:pt>
                <c:pt idx="259">
                  <c:v>32.301816797741303</c:v>
                </c:pt>
                <c:pt idx="260">
                  <c:v>31.970778306751573</c:v>
                </c:pt>
                <c:pt idx="261">
                  <c:v>31.63798797538244</c:v>
                </c:pt>
                <c:pt idx="262">
                  <c:v>31.303104494960134</c:v>
                </c:pt>
                <c:pt idx="263">
                  <c:v>30.967288753689992</c:v>
                </c:pt>
                <c:pt idx="264">
                  <c:v>30.631698814010502</c:v>
                </c:pt>
                <c:pt idx="265">
                  <c:v>30.297477325847282</c:v>
                </c:pt>
                <c:pt idx="266">
                  <c:v>29.965770807199046</c:v>
                </c:pt>
                <c:pt idx="267">
                  <c:v>29.637677627837022</c:v>
                </c:pt>
                <c:pt idx="268">
                  <c:v>29.31209457921624</c:v>
                </c:pt>
                <c:pt idx="269">
                  <c:v>28.990184115223109</c:v>
                </c:pt>
                <c:pt idx="270">
                  <c:v>28.673106378082355</c:v>
                </c:pt>
                <c:pt idx="271">
                  <c:v>28.362019103041501</c:v>
                </c:pt>
                <c:pt idx="272">
                  <c:v>28.058077539501983</c:v>
                </c:pt>
                <c:pt idx="273">
                  <c:v>27.762434374643025</c:v>
                </c:pt>
                <c:pt idx="274">
                  <c:v>27.473295793137765</c:v>
                </c:pt>
                <c:pt idx="275">
                  <c:v>27.187208675925582</c:v>
                </c:pt>
                <c:pt idx="276">
                  <c:v>26.902358549591572</c:v>
                </c:pt>
                <c:pt idx="277">
                  <c:v>26.618739328790493</c:v>
                </c:pt>
                <c:pt idx="278">
                  <c:v>26.336344569897232</c:v>
                </c:pt>
                <c:pt idx="279">
                  <c:v>26.055167511606413</c:v>
                </c:pt>
                <c:pt idx="280">
                  <c:v>25.775201120749905</c:v>
                </c:pt>
                <c:pt idx="281">
                  <c:v>25.495172764309434</c:v>
                </c:pt>
                <c:pt idx="282">
                  <c:v>25.215144076242701</c:v>
                </c:pt>
                <c:pt idx="283">
                  <c:v>24.935123195204827</c:v>
                </c:pt>
                <c:pt idx="284">
                  <c:v>24.65511917560417</c:v>
                </c:pt>
                <c:pt idx="285">
                  <c:v>24.375142041503761</c:v>
                </c:pt>
                <c:pt idx="286">
                  <c:v>24.0952028357069</c:v>
                </c:pt>
                <c:pt idx="287">
                  <c:v>23.81531366099566</c:v>
                </c:pt>
                <c:pt idx="288">
                  <c:v>23.535095701559456</c:v>
                </c:pt>
                <c:pt idx="289">
                  <c:v>23.253437896991173</c:v>
                </c:pt>
                <c:pt idx="290">
                  <c:v>22.971370946700226</c:v>
                </c:pt>
                <c:pt idx="291">
                  <c:v>22.689093423996912</c:v>
                </c:pt>
                <c:pt idx="292">
                  <c:v>22.406804956176885</c:v>
                </c:pt>
                <c:pt idx="293">
                  <c:v>22.124706205644799</c:v>
                </c:pt>
                <c:pt idx="294">
                  <c:v>21.842998842378446</c:v>
                </c:pt>
                <c:pt idx="295">
                  <c:v>21.561590305474748</c:v>
                </c:pt>
                <c:pt idx="296">
                  <c:v>21.281848677257127</c:v>
                </c:pt>
                <c:pt idx="297">
                  <c:v>21.003953136481144</c:v>
                </c:pt>
                <c:pt idx="298">
                  <c:v>20.728092677472223</c:v>
                </c:pt>
                <c:pt idx="299">
                  <c:v>20.45445640681729</c:v>
                </c:pt>
                <c:pt idx="300">
                  <c:v>20.183233514394569</c:v>
                </c:pt>
                <c:pt idx="301">
                  <c:v>19.914613247532955</c:v>
                </c:pt>
                <c:pt idx="302">
                  <c:v>19.646962248234978</c:v>
                </c:pt>
                <c:pt idx="303">
                  <c:v>19.378978933312766</c:v>
                </c:pt>
                <c:pt idx="304">
                  <c:v>19.112082482230832</c:v>
                </c:pt>
                <c:pt idx="305">
                  <c:v>18.846897541383452</c:v>
                </c:pt>
                <c:pt idx="306">
                  <c:v>18.584048494738131</c:v>
                </c:pt>
                <c:pt idx="307">
                  <c:v>18.324159508041014</c:v>
                </c:pt>
                <c:pt idx="308">
                  <c:v>18.067854556834028</c:v>
                </c:pt>
                <c:pt idx="309">
                  <c:v>17.816010371333054</c:v>
                </c:pt>
                <c:pt idx="310">
                  <c:v>17.569511383616977</c:v>
                </c:pt>
                <c:pt idx="311">
                  <c:v>17.328970191623803</c:v>
                </c:pt>
                <c:pt idx="312">
                  <c:v>17.094999553479649</c:v>
                </c:pt>
                <c:pt idx="313">
                  <c:v>16.868212456776153</c:v>
                </c:pt>
                <c:pt idx="314">
                  <c:v>16.649222206655441</c:v>
                </c:pt>
                <c:pt idx="315">
                  <c:v>16.438642497530232</c:v>
                </c:pt>
                <c:pt idx="316">
                  <c:v>16.235311517009901</c:v>
                </c:pt>
                <c:pt idx="317">
                  <c:v>16.038099275036949</c:v>
                </c:pt>
                <c:pt idx="318">
                  <c:v>15.847044687655787</c:v>
                </c:pt>
                <c:pt idx="319">
                  <c:v>15.662215633991964</c:v>
                </c:pt>
                <c:pt idx="320">
                  <c:v>15.483681166379212</c:v>
                </c:pt>
                <c:pt idx="321">
                  <c:v>15.311511587757789</c:v>
                </c:pt>
                <c:pt idx="322">
                  <c:v>15.145778514065961</c:v>
                </c:pt>
                <c:pt idx="323">
                  <c:v>14.986843317897833</c:v>
                </c:pt>
                <c:pt idx="324">
                  <c:v>14.83454663072339</c:v>
                </c:pt>
                <c:pt idx="325">
                  <c:v>14.688963418151337</c:v>
                </c:pt>
                <c:pt idx="326">
                  <c:v>14.550175660494524</c:v>
                </c:pt>
                <c:pt idx="327">
                  <c:v>14.418262953772519</c:v>
                </c:pt>
                <c:pt idx="328">
                  <c:v>14.293301912247903</c:v>
                </c:pt>
                <c:pt idx="329">
                  <c:v>14.175370811534325</c:v>
                </c:pt>
                <c:pt idx="330">
                  <c:v>14.063346784937897</c:v>
                </c:pt>
                <c:pt idx="331">
                  <c:v>13.956221505506582</c:v>
                </c:pt>
                <c:pt idx="332">
                  <c:v>13.854083043771711</c:v>
                </c:pt>
                <c:pt idx="333">
                  <c:v>13.75738413448066</c:v>
                </c:pt>
                <c:pt idx="334">
                  <c:v>13.666578272671948</c:v>
                </c:pt>
                <c:pt idx="335">
                  <c:v>13.582119617659275</c:v>
                </c:pt>
                <c:pt idx="336">
                  <c:v>13.50446291765671</c:v>
                </c:pt>
                <c:pt idx="337">
                  <c:v>13.433741567177883</c:v>
                </c:pt>
                <c:pt idx="338">
                  <c:v>13.370147714279637</c:v>
                </c:pt>
                <c:pt idx="339">
                  <c:v>13.314143581158</c:v>
                </c:pt>
                <c:pt idx="340">
                  <c:v>13.266190939180428</c:v>
                </c:pt>
                <c:pt idx="341">
                  <c:v>13.226751056542504</c:v>
                </c:pt>
                <c:pt idx="342">
                  <c:v>13.196284642124922</c:v>
                </c:pt>
                <c:pt idx="343">
                  <c:v>13.175251795201515</c:v>
                </c:pt>
                <c:pt idx="344">
                  <c:v>13.164678394877225</c:v>
                </c:pt>
                <c:pt idx="345">
                  <c:v>13.164768428172083</c:v>
                </c:pt>
                <c:pt idx="346">
                  <c:v>13.174572995864672</c:v>
                </c:pt>
                <c:pt idx="347">
                  <c:v>13.193319725140608</c:v>
                </c:pt>
                <c:pt idx="348">
                  <c:v>13.220235892238268</c:v>
                </c:pt>
                <c:pt idx="349">
                  <c:v>13.254548424593109</c:v>
                </c:pt>
                <c:pt idx="350">
                  <c:v>13.295483911577151</c:v>
                </c:pt>
                <c:pt idx="351">
                  <c:v>13.341974575775209</c:v>
                </c:pt>
                <c:pt idx="352">
                  <c:v>13.393557372034838</c:v>
                </c:pt>
                <c:pt idx="353">
                  <c:v>13.449457772323134</c:v>
                </c:pt>
                <c:pt idx="354">
                  <c:v>13.50890098916987</c:v>
                </c:pt>
                <c:pt idx="355">
                  <c:v>13.57111198953138</c:v>
                </c:pt>
                <c:pt idx="356">
                  <c:v>13.635316615250447</c:v>
                </c:pt>
                <c:pt idx="357">
                  <c:v>13.700739153572798</c:v>
                </c:pt>
                <c:pt idx="358">
                  <c:v>13.767888215630951</c:v>
                </c:pt>
                <c:pt idx="359">
                  <c:v>13.837982311072443</c:v>
                </c:pt>
                <c:pt idx="360">
                  <c:v>13.911005485506163</c:v>
                </c:pt>
                <c:pt idx="361">
                  <c:v>13.987540499838216</c:v>
                </c:pt>
                <c:pt idx="362">
                  <c:v>14.067877657092479</c:v>
                </c:pt>
                <c:pt idx="363">
                  <c:v>14.152306693570226</c:v>
                </c:pt>
                <c:pt idx="364">
                  <c:v>14.241116811921382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5.8545270085713925</c:v>
                </c:pt>
                <c:pt idx="1">
                  <c:v>1.7974945050123528</c:v>
                </c:pt>
                <c:pt idx="2">
                  <c:v>12.869222821420264</c:v>
                </c:pt>
                <c:pt idx="3">
                  <c:v>10.848317767822257</c:v>
                </c:pt>
                <c:pt idx="4">
                  <c:v>10.833466138464056</c:v>
                </c:pt>
                <c:pt idx="5">
                  <c:v>4.7304725465411845</c:v>
                </c:pt>
                <c:pt idx="6">
                  <c:v>10.87924477942542</c:v>
                </c:pt>
                <c:pt idx="7">
                  <c:v>5.4941327779072404</c:v>
                </c:pt>
                <c:pt idx="8">
                  <c:v>6.8369729440386156</c:v>
                </c:pt>
                <c:pt idx="9">
                  <c:v>14.741057985619092</c:v>
                </c:pt>
                <c:pt idx="10">
                  <c:v>4.1057066198138106</c:v>
                </c:pt>
                <c:pt idx="11">
                  <c:v>14.229970713840954</c:v>
                </c:pt>
                <c:pt idx="12">
                  <c:v>9.7649116204268438</c:v>
                </c:pt>
                <c:pt idx="13">
                  <c:v>12.360959776466359</c:v>
                </c:pt>
                <c:pt idx="14">
                  <c:v>6.3873854500415082</c:v>
                </c:pt>
                <c:pt idx="15">
                  <c:v>3.4226155311067097</c:v>
                </c:pt>
                <c:pt idx="16">
                  <c:v>5.5668188520720818</c:v>
                </c:pt>
                <c:pt idx="17">
                  <c:v>13.671651517695919</c:v>
                </c:pt>
                <c:pt idx="18">
                  <c:v>7.335516957127612</c:v>
                </c:pt>
                <c:pt idx="19">
                  <c:v>14.69582123415543</c:v>
                </c:pt>
                <c:pt idx="20">
                  <c:v>5.6339309566893281</c:v>
                </c:pt>
                <c:pt idx="21">
                  <c:v>18.23929641593541</c:v>
                </c:pt>
                <c:pt idx="22">
                  <c:v>18.506323985836136</c:v>
                </c:pt>
                <c:pt idx="23">
                  <c:v>18.62046121164137</c:v>
                </c:pt>
                <c:pt idx="24">
                  <c:v>18.652999876026968</c:v>
                </c:pt>
                <c:pt idx="25">
                  <c:v>18.915332982423081</c:v>
                </c:pt>
                <c:pt idx="26">
                  <c:v>19.801560733911085</c:v>
                </c:pt>
                <c:pt idx="27">
                  <c:v>3.9398615559921213</c:v>
                </c:pt>
                <c:pt idx="28">
                  <c:v>7.8202058412040607</c:v>
                </c:pt>
                <c:pt idx="29">
                  <c:v>4.1195854304728767</c:v>
                </c:pt>
                <c:pt idx="30">
                  <c:v>8.5079345812880156</c:v>
                </c:pt>
                <c:pt idx="31">
                  <c:v>8.3343844605459978</c:v>
                </c:pt>
                <c:pt idx="32">
                  <c:v>5.0045423527193096</c:v>
                </c:pt>
                <c:pt idx="33">
                  <c:v>9.1251738560795133</c:v>
                </c:pt>
                <c:pt idx="34">
                  <c:v>8.3021709881343764</c:v>
                </c:pt>
                <c:pt idx="35">
                  <c:v>8.6170887490099517</c:v>
                </c:pt>
                <c:pt idx="36">
                  <c:v>14.942624421830811</c:v>
                </c:pt>
                <c:pt idx="37">
                  <c:v>8.6225597213744454</c:v>
                </c:pt>
                <c:pt idx="38">
                  <c:v>23.5145754749792</c:v>
                </c:pt>
                <c:pt idx="39">
                  <c:v>23.273993969702598</c:v>
                </c:pt>
                <c:pt idx="40">
                  <c:v>21.757357390609659</c:v>
                </c:pt>
                <c:pt idx="41">
                  <c:v>14.386379372239185</c:v>
                </c:pt>
                <c:pt idx="42">
                  <c:v>20.406115584378806</c:v>
                </c:pt>
                <c:pt idx="43">
                  <c:v>23.38482265293165</c:v>
                </c:pt>
                <c:pt idx="44">
                  <c:v>12.345813292989595</c:v>
                </c:pt>
                <c:pt idx="45">
                  <c:v>15.660203489350419</c:v>
                </c:pt>
                <c:pt idx="46">
                  <c:v>9.5893972266102541</c:v>
                </c:pt>
                <c:pt idx="47">
                  <c:v>10.303605954111939</c:v>
                </c:pt>
                <c:pt idx="48">
                  <c:v>20.334193866021952</c:v>
                </c:pt>
                <c:pt idx="49">
                  <c:v>18.116134176964394</c:v>
                </c:pt>
                <c:pt idx="50">
                  <c:v>16.47675059000203</c:v>
                </c:pt>
                <c:pt idx="51">
                  <c:v>17.789631542849254</c:v>
                </c:pt>
                <c:pt idx="52">
                  <c:v>25.894113550968921</c:v>
                </c:pt>
                <c:pt idx="53">
                  <c:v>25.892209601233414</c:v>
                </c:pt>
                <c:pt idx="54">
                  <c:v>14.760729007126981</c:v>
                </c:pt>
                <c:pt idx="55">
                  <c:v>26.363382621392383</c:v>
                </c:pt>
                <c:pt idx="56">
                  <c:v>29.58931721238395</c:v>
                </c:pt>
                <c:pt idx="57">
                  <c:v>24.143420305984801</c:v>
                </c:pt>
                <c:pt idx="58">
                  <c:v>24.321458067683771</c:v>
                </c:pt>
                <c:pt idx="59">
                  <c:v>29.814542002265032</c:v>
                </c:pt>
                <c:pt idx="60">
                  <c:v>8.5759109392891215</c:v>
                </c:pt>
                <c:pt idx="61">
                  <c:v>29.015756427208874</c:v>
                </c:pt>
                <c:pt idx="62">
                  <c:v>3.8711042465440118</c:v>
                </c:pt>
                <c:pt idx="63">
                  <c:v>12.42162834103088</c:v>
                </c:pt>
                <c:pt idx="64">
                  <c:v>14.316855786723714</c:v>
                </c:pt>
                <c:pt idx="65">
                  <c:v>30.450759315357121</c:v>
                </c:pt>
                <c:pt idx="66">
                  <c:v>23.546623089260322</c:v>
                </c:pt>
                <c:pt idx="67">
                  <c:v>24.564605730994465</c:v>
                </c:pt>
                <c:pt idx="68">
                  <c:v>19.476289581119833</c:v>
                </c:pt>
                <c:pt idx="69">
                  <c:v>12.696301184760367</c:v>
                </c:pt>
                <c:pt idx="70">
                  <c:v>13.321988674566787</c:v>
                </c:pt>
                <c:pt idx="71">
                  <c:v>9.5966319685340817</c:v>
                </c:pt>
                <c:pt idx="72">
                  <c:v>12.794019721244249</c:v>
                </c:pt>
                <c:pt idx="73">
                  <c:v>12.86311643046249</c:v>
                </c:pt>
                <c:pt idx="74">
                  <c:v>11.713011898840188</c:v>
                </c:pt>
                <c:pt idx="75">
                  <c:v>9.6785040939559828</c:v>
                </c:pt>
                <c:pt idx="76">
                  <c:v>12.992886617901521</c:v>
                </c:pt>
                <c:pt idx="77">
                  <c:v>23.885987990058197</c:v>
                </c:pt>
                <c:pt idx="78">
                  <c:v>24.859604059222804</c:v>
                </c:pt>
                <c:pt idx="79">
                  <c:v>34.429448526242815</c:v>
                </c:pt>
                <c:pt idx="80">
                  <c:v>32.769627181401361</c:v>
                </c:pt>
                <c:pt idx="81">
                  <c:v>37.252917113915927</c:v>
                </c:pt>
                <c:pt idx="82">
                  <c:v>36.307778897470271</c:v>
                </c:pt>
                <c:pt idx="83">
                  <c:v>34.627030407830368</c:v>
                </c:pt>
                <c:pt idx="84">
                  <c:v>36.754283171352064</c:v>
                </c:pt>
                <c:pt idx="85">
                  <c:v>35.473174567469229</c:v>
                </c:pt>
                <c:pt idx="86">
                  <c:v>26.901172120844858</c:v>
                </c:pt>
                <c:pt idx="87">
                  <c:v>23.108640005748441</c:v>
                </c:pt>
                <c:pt idx="88">
                  <c:v>7.1311223193344189</c:v>
                </c:pt>
                <c:pt idx="89">
                  <c:v>25.852726227453463</c:v>
                </c:pt>
                <c:pt idx="90">
                  <c:v>27.764893321609399</c:v>
                </c:pt>
                <c:pt idx="91">
                  <c:v>18.597762592234968</c:v>
                </c:pt>
                <c:pt idx="92">
                  <c:v>18.602110909418638</c:v>
                </c:pt>
                <c:pt idx="93">
                  <c:v>40.90940772716111</c:v>
                </c:pt>
                <c:pt idx="94">
                  <c:v>42.111012463155348</c:v>
                </c:pt>
                <c:pt idx="95">
                  <c:v>10.258630061463146</c:v>
                </c:pt>
                <c:pt idx="96">
                  <c:v>30.62750886804622</c:v>
                </c:pt>
                <c:pt idx="97">
                  <c:v>24.04694327722347</c:v>
                </c:pt>
                <c:pt idx="98">
                  <c:v>32.308700639439785</c:v>
                </c:pt>
                <c:pt idx="99">
                  <c:v>42.553799530654246</c:v>
                </c:pt>
                <c:pt idx="100">
                  <c:v>35.942074024162459</c:v>
                </c:pt>
                <c:pt idx="101">
                  <c:v>30.001302323441006</c:v>
                </c:pt>
                <c:pt idx="102">
                  <c:v>6.4850649881970979</c:v>
                </c:pt>
                <c:pt idx="103">
                  <c:v>33.256192232574328</c:v>
                </c:pt>
                <c:pt idx="104">
                  <c:v>38.950897641253512</c:v>
                </c:pt>
                <c:pt idx="105">
                  <c:v>40.654085380558897</c:v>
                </c:pt>
                <c:pt idx="106">
                  <c:v>44.293546381382484</c:v>
                </c:pt>
                <c:pt idx="107">
                  <c:v>34.659747706150682</c:v>
                </c:pt>
                <c:pt idx="108">
                  <c:v>7.9677483753437244</c:v>
                </c:pt>
                <c:pt idx="109">
                  <c:v>9.2776679521142302</c:v>
                </c:pt>
                <c:pt idx="110">
                  <c:v>8.7470230965328675</c:v>
                </c:pt>
                <c:pt idx="111">
                  <c:v>25.104752114983896</c:v>
                </c:pt>
                <c:pt idx="112">
                  <c:v>8.6087331093421486</c:v>
                </c:pt>
                <c:pt idx="113">
                  <c:v>27.455688012490313</c:v>
                </c:pt>
                <c:pt idx="114">
                  <c:v>43.949333710120257</c:v>
                </c:pt>
                <c:pt idx="115">
                  <c:v>45.993667433501088</c:v>
                </c:pt>
                <c:pt idx="116">
                  <c:v>33.485403759612012</c:v>
                </c:pt>
                <c:pt idx="117">
                  <c:v>18.743573085346512</c:v>
                </c:pt>
                <c:pt idx="118">
                  <c:v>34.894204710818201</c:v>
                </c:pt>
                <c:pt idx="119">
                  <c:v>39.452822191285051</c:v>
                </c:pt>
                <c:pt idx="120">
                  <c:v>40.23430364919566</c:v>
                </c:pt>
                <c:pt idx="121">
                  <c:v>26.249302662079209</c:v>
                </c:pt>
                <c:pt idx="122">
                  <c:v>32.041304753594609</c:v>
                </c:pt>
                <c:pt idx="123">
                  <c:v>18.860152238910523</c:v>
                </c:pt>
                <c:pt idx="124">
                  <c:v>37.516187155941743</c:v>
                </c:pt>
                <c:pt idx="125">
                  <c:v>31.60884100325314</c:v>
                </c:pt>
                <c:pt idx="126">
                  <c:v>46.267560067455371</c:v>
                </c:pt>
                <c:pt idx="127">
                  <c:v>42.172929670882688</c:v>
                </c:pt>
                <c:pt idx="128">
                  <c:v>46.665258484390286</c:v>
                </c:pt>
                <c:pt idx="129">
                  <c:v>43.310254792065706</c:v>
                </c:pt>
                <c:pt idx="130">
                  <c:v>46.816167140217431</c:v>
                </c:pt>
                <c:pt idx="131">
                  <c:v>35.793156673959587</c:v>
                </c:pt>
                <c:pt idx="132">
                  <c:v>38.228931184614353</c:v>
                </c:pt>
                <c:pt idx="133">
                  <c:v>41.725809032523586</c:v>
                </c:pt>
                <c:pt idx="134">
                  <c:v>43.88841303855019</c:v>
                </c:pt>
                <c:pt idx="135">
                  <c:v>42.55077850222267</c:v>
                </c:pt>
                <c:pt idx="136">
                  <c:v>45.355975333334641</c:v>
                </c:pt>
                <c:pt idx="137">
                  <c:v>44.285392522662207</c:v>
                </c:pt>
                <c:pt idx="138">
                  <c:v>46.573371405030493</c:v>
                </c:pt>
                <c:pt idx="139">
                  <c:v>41.414473708949913</c:v>
                </c:pt>
                <c:pt idx="140">
                  <c:v>40.351289605789191</c:v>
                </c:pt>
                <c:pt idx="141">
                  <c:v>29.82037227843956</c:v>
                </c:pt>
                <c:pt idx="142">
                  <c:v>17.461208823390209</c:v>
                </c:pt>
                <c:pt idx="143">
                  <c:v>14.989846518988729</c:v>
                </c:pt>
                <c:pt idx="144">
                  <c:v>34.943507470711474</c:v>
                </c:pt>
                <c:pt idx="145">
                  <c:v>18.970486981691501</c:v>
                </c:pt>
                <c:pt idx="146">
                  <c:v>41.008276687469447</c:v>
                </c:pt>
                <c:pt idx="147">
                  <c:v>46.986049714412736</c:v>
                </c:pt>
                <c:pt idx="148">
                  <c:v>50.310898679504753</c:v>
                </c:pt>
                <c:pt idx="149">
                  <c:v>45.226432823165176</c:v>
                </c:pt>
                <c:pt idx="150">
                  <c:v>46.39136148723162</c:v>
                </c:pt>
                <c:pt idx="151">
                  <c:v>47.547306039843768</c:v>
                </c:pt>
                <c:pt idx="152">
                  <c:v>39.097830452096794</c:v>
                </c:pt>
                <c:pt idx="153">
                  <c:v>45.546955007422248</c:v>
                </c:pt>
                <c:pt idx="154">
                  <c:v>21.563830629020792</c:v>
                </c:pt>
                <c:pt idx="155">
                  <c:v>30.480483080842951</c:v>
                </c:pt>
                <c:pt idx="156">
                  <c:v>38.74800297100947</c:v>
                </c:pt>
                <c:pt idx="157">
                  <c:v>26.142426814600434</c:v>
                </c:pt>
                <c:pt idx="158">
                  <c:v>17.80449406519282</c:v>
                </c:pt>
                <c:pt idx="159">
                  <c:v>38.110091451233934</c:v>
                </c:pt>
                <c:pt idx="160">
                  <c:v>48.391244467106091</c:v>
                </c:pt>
                <c:pt idx="161">
                  <c:v>47.474708197464885</c:v>
                </c:pt>
                <c:pt idx="162">
                  <c:v>35.752037114940322</c:v>
                </c:pt>
                <c:pt idx="163">
                  <c:v>46.457171999344411</c:v>
                </c:pt>
                <c:pt idx="164">
                  <c:v>39.466504676481506</c:v>
                </c:pt>
                <c:pt idx="165">
                  <c:v>45.608129637755958</c:v>
                </c:pt>
                <c:pt idx="166">
                  <c:v>43.79482362958656</c:v>
                </c:pt>
                <c:pt idx="167">
                  <c:v>44.168873282207294</c:v>
                </c:pt>
                <c:pt idx="168">
                  <c:v>45.639283188419164</c:v>
                </c:pt>
                <c:pt idx="169">
                  <c:v>46.714939071026826</c:v>
                </c:pt>
                <c:pt idx="170">
                  <c:v>28.339057896949402</c:v>
                </c:pt>
                <c:pt idx="171">
                  <c:v>20.52837036154116</c:v>
                </c:pt>
                <c:pt idx="172">
                  <c:v>35.9718901696152</c:v>
                </c:pt>
                <c:pt idx="173">
                  <c:v>35.490522263033384</c:v>
                </c:pt>
                <c:pt idx="174">
                  <c:v>34.676601049262963</c:v>
                </c:pt>
                <c:pt idx="175">
                  <c:v>28.139997440700043</c:v>
                </c:pt>
                <c:pt idx="176">
                  <c:v>10.36330146342123</c:v>
                </c:pt>
                <c:pt idx="177">
                  <c:v>11.012580850020747</c:v>
                </c:pt>
                <c:pt idx="178">
                  <c:v>50.420255936886996</c:v>
                </c:pt>
                <c:pt idx="179">
                  <c:v>47.471647059681381</c:v>
                </c:pt>
                <c:pt idx="180">
                  <c:v>11.987205139071193</c:v>
                </c:pt>
                <c:pt idx="181">
                  <c:v>45.28949650538086</c:v>
                </c:pt>
                <c:pt idx="182">
                  <c:v>47.616040836830685</c:v>
                </c:pt>
                <c:pt idx="183">
                  <c:v>36.859838389650122</c:v>
                </c:pt>
                <c:pt idx="184">
                  <c:v>37.775932171269687</c:v>
                </c:pt>
                <c:pt idx="185">
                  <c:v>46.654825661585456</c:v>
                </c:pt>
                <c:pt idx="186">
                  <c:v>42.009263472222543</c:v>
                </c:pt>
                <c:pt idx="187">
                  <c:v>46.187643393708036</c:v>
                </c:pt>
                <c:pt idx="188">
                  <c:v>48.933329320625319</c:v>
                </c:pt>
                <c:pt idx="189">
                  <c:v>48.057583353275277</c:v>
                </c:pt>
                <c:pt idx="190">
                  <c:v>47.505012977786265</c:v>
                </c:pt>
                <c:pt idx="191">
                  <c:v>46.210972486012167</c:v>
                </c:pt>
                <c:pt idx="192">
                  <c:v>45.909002713755122</c:v>
                </c:pt>
                <c:pt idx="193">
                  <c:v>45.605996935712604</c:v>
                </c:pt>
                <c:pt idx="194">
                  <c:v>44.951842522994355</c:v>
                </c:pt>
                <c:pt idx="195">
                  <c:v>43.456455123296756</c:v>
                </c:pt>
                <c:pt idx="196">
                  <c:v>45.048607147762759</c:v>
                </c:pt>
                <c:pt idx="197">
                  <c:v>44.493007344327737</c:v>
                </c:pt>
                <c:pt idx="198">
                  <c:v>44.577261982747544</c:v>
                </c:pt>
                <c:pt idx="199">
                  <c:v>37.905412097427295</c:v>
                </c:pt>
                <c:pt idx="200">
                  <c:v>36.565064760350097</c:v>
                </c:pt>
                <c:pt idx="201">
                  <c:v>43.324606153818607</c:v>
                </c:pt>
                <c:pt idx="202">
                  <c:v>32.851197807924613</c:v>
                </c:pt>
                <c:pt idx="203">
                  <c:v>41.501242335786571</c:v>
                </c:pt>
                <c:pt idx="204">
                  <c:v>43.056338467386112</c:v>
                </c:pt>
                <c:pt idx="205">
                  <c:v>23.31354527917809</c:v>
                </c:pt>
                <c:pt idx="206">
                  <c:v>47.297581666892462</c:v>
                </c:pt>
                <c:pt idx="207">
                  <c:v>46.285721836905026</c:v>
                </c:pt>
                <c:pt idx="208">
                  <c:v>39.110230343621289</c:v>
                </c:pt>
                <c:pt idx="209">
                  <c:v>27.099146591760586</c:v>
                </c:pt>
                <c:pt idx="210">
                  <c:v>43.179317394296177</c:v>
                </c:pt>
                <c:pt idx="211">
                  <c:v>44.109583717224837</c:v>
                </c:pt>
                <c:pt idx="212">
                  <c:v>44.0403402009388</c:v>
                </c:pt>
                <c:pt idx="213">
                  <c:v>44.037589033053536</c:v>
                </c:pt>
                <c:pt idx="214">
                  <c:v>41.075598767670613</c:v>
                </c:pt>
                <c:pt idx="215">
                  <c:v>40.597732200607922</c:v>
                </c:pt>
                <c:pt idx="216">
                  <c:v>38.648844414981639</c:v>
                </c:pt>
                <c:pt idx="217">
                  <c:v>39.664650638870377</c:v>
                </c:pt>
                <c:pt idx="218">
                  <c:v>42.01956594027444</c:v>
                </c:pt>
                <c:pt idx="219">
                  <c:v>41.668581252363936</c:v>
                </c:pt>
                <c:pt idx="220">
                  <c:v>40.887404066707134</c:v>
                </c:pt>
                <c:pt idx="221">
                  <c:v>38.155709770925085</c:v>
                </c:pt>
                <c:pt idx="222">
                  <c:v>36.354938013499314</c:v>
                </c:pt>
                <c:pt idx="223">
                  <c:v>37.57392158019578</c:v>
                </c:pt>
                <c:pt idx="224">
                  <c:v>29.10857643239817</c:v>
                </c:pt>
                <c:pt idx="225">
                  <c:v>26.308838574512453</c:v>
                </c:pt>
                <c:pt idx="226">
                  <c:v>32.041476952041968</c:v>
                </c:pt>
                <c:pt idx="227">
                  <c:v>28.994846195143943</c:v>
                </c:pt>
                <c:pt idx="228">
                  <c:v>23.107830077383465</c:v>
                </c:pt>
                <c:pt idx="229">
                  <c:v>31.13304995243859</c:v>
                </c:pt>
                <c:pt idx="230">
                  <c:v>32.269814207090207</c:v>
                </c:pt>
                <c:pt idx="231">
                  <c:v>38.8594523272766</c:v>
                </c:pt>
                <c:pt idx="232">
                  <c:v>24.959558348213818</c:v>
                </c:pt>
                <c:pt idx="233">
                  <c:v>21.89338372262549</c:v>
                </c:pt>
                <c:pt idx="234">
                  <c:v>38.239241828609934</c:v>
                </c:pt>
                <c:pt idx="235">
                  <c:v>35.356914028832279</c:v>
                </c:pt>
                <c:pt idx="236">
                  <c:v>25.714829479758627</c:v>
                </c:pt>
                <c:pt idx="237">
                  <c:v>34.122588476531263</c:v>
                </c:pt>
                <c:pt idx="238">
                  <c:v>36.732351901324549</c:v>
                </c:pt>
                <c:pt idx="239">
                  <c:v>35.597668785332914</c:v>
                </c:pt>
                <c:pt idx="240">
                  <c:v>25.238384186738877</c:v>
                </c:pt>
                <c:pt idx="241">
                  <c:v>35.446584903854344</c:v>
                </c:pt>
                <c:pt idx="242">
                  <c:v>19.503228080070045</c:v>
                </c:pt>
                <c:pt idx="243">
                  <c:v>31.342990332621362</c:v>
                </c:pt>
                <c:pt idx="244">
                  <c:v>30.154748193883943</c:v>
                </c:pt>
                <c:pt idx="245">
                  <c:v>28.037433606642679</c:v>
                </c:pt>
                <c:pt idx="246">
                  <c:v>32.522685758282172</c:v>
                </c:pt>
                <c:pt idx="247">
                  <c:v>28.995406375213111</c:v>
                </c:pt>
                <c:pt idx="248">
                  <c:v>33.151781067609349</c:v>
                </c:pt>
                <c:pt idx="249">
                  <c:v>28.295415013412168</c:v>
                </c:pt>
                <c:pt idx="250">
                  <c:v>25.835111065750894</c:v>
                </c:pt>
                <c:pt idx="251">
                  <c:v>19.213282857691112</c:v>
                </c:pt>
                <c:pt idx="252">
                  <c:v>32.828926017895938</c:v>
                </c:pt>
                <c:pt idx="253">
                  <c:v>31.911517479481315</c:v>
                </c:pt>
                <c:pt idx="254">
                  <c:v>22.967231801349033</c:v>
                </c:pt>
                <c:pt idx="255">
                  <c:v>11.15824254780085</c:v>
                </c:pt>
                <c:pt idx="256">
                  <c:v>25.251492950731386</c:v>
                </c:pt>
                <c:pt idx="257">
                  <c:v>27.496533753370105</c:v>
                </c:pt>
                <c:pt idx="258">
                  <c:v>25.420560729315437</c:v>
                </c:pt>
                <c:pt idx="259">
                  <c:v>32.004556348006638</c:v>
                </c:pt>
                <c:pt idx="260">
                  <c:v>32.068599044562021</c:v>
                </c:pt>
                <c:pt idx="261">
                  <c:v>30.653827469433644</c:v>
                </c:pt>
                <c:pt idx="262">
                  <c:v>31.312552447357138</c:v>
                </c:pt>
                <c:pt idx="263">
                  <c:v>30.486742713325224</c:v>
                </c:pt>
                <c:pt idx="264">
                  <c:v>29.445805900546592</c:v>
                </c:pt>
                <c:pt idx="265">
                  <c:v>19.059732090469382</c:v>
                </c:pt>
                <c:pt idx="266">
                  <c:v>13.898316692050491</c:v>
                </c:pt>
                <c:pt idx="267">
                  <c:v>25.589780605669905</c:v>
                </c:pt>
                <c:pt idx="268">
                  <c:v>22.223503713901959</c:v>
                </c:pt>
                <c:pt idx="269">
                  <c:v>14.4103773762745</c:v>
                </c:pt>
                <c:pt idx="270">
                  <c:v>15.871890778014489</c:v>
                </c:pt>
                <c:pt idx="271">
                  <c:v>18.331726646093642</c:v>
                </c:pt>
                <c:pt idx="272">
                  <c:v>19.681760828315962</c:v>
                </c:pt>
                <c:pt idx="273">
                  <c:v>25.007315448488516</c:v>
                </c:pt>
                <c:pt idx="274">
                  <c:v>26.701811163492152</c:v>
                </c:pt>
                <c:pt idx="275">
                  <c:v>25.596181124989446</c:v>
                </c:pt>
                <c:pt idx="276">
                  <c:v>26.909121495506014</c:v>
                </c:pt>
                <c:pt idx="277">
                  <c:v>27.164718054237625</c:v>
                </c:pt>
                <c:pt idx="278">
                  <c:v>9.9199479112999303</c:v>
                </c:pt>
                <c:pt idx="279">
                  <c:v>20.029737474956253</c:v>
                </c:pt>
                <c:pt idx="280">
                  <c:v>13.054022431635337</c:v>
                </c:pt>
                <c:pt idx="281">
                  <c:v>24.993420030464584</c:v>
                </c:pt>
                <c:pt idx="282">
                  <c:v>20.901232330381649</c:v>
                </c:pt>
                <c:pt idx="283">
                  <c:v>16.911653297878114</c:v>
                </c:pt>
                <c:pt idx="284">
                  <c:v>19.623939297125187</c:v>
                </c:pt>
                <c:pt idx="285">
                  <c:v>17.187104388767256</c:v>
                </c:pt>
                <c:pt idx="286">
                  <c:v>16.241781865968054</c:v>
                </c:pt>
                <c:pt idx="287">
                  <c:v>23.476013404597612</c:v>
                </c:pt>
                <c:pt idx="288">
                  <c:v>22.112968690480745</c:v>
                </c:pt>
                <c:pt idx="289">
                  <c:v>14.720979270644809</c:v>
                </c:pt>
                <c:pt idx="290">
                  <c:v>21.88263026240535</c:v>
                </c:pt>
                <c:pt idx="291">
                  <c:v>11.522926506238209</c:v>
                </c:pt>
                <c:pt idx="292">
                  <c:v>5.1264997648369679</c:v>
                </c:pt>
                <c:pt idx="293">
                  <c:v>11.985421188967651</c:v>
                </c:pt>
                <c:pt idx="294">
                  <c:v>20.892662773575822</c:v>
                </c:pt>
                <c:pt idx="295">
                  <c:v>12.960569542644288</c:v>
                </c:pt>
                <c:pt idx="296">
                  <c:v>15.546012929477021</c:v>
                </c:pt>
                <c:pt idx="297">
                  <c:v>15.618393180615968</c:v>
                </c:pt>
                <c:pt idx="298">
                  <c:v>10.172856295237061</c:v>
                </c:pt>
                <c:pt idx="299">
                  <c:v>9.8153043619594751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0.86387620210458904</c:v>
                </c:pt>
                <c:pt idx="312">
                  <c:v>6.8610235407224209</c:v>
                </c:pt>
                <c:pt idx="313">
                  <c:v>15.35024716960972</c:v>
                </c:pt>
                <c:pt idx="314">
                  <c:v>16.614046350774458</c:v>
                </c:pt>
                <c:pt idx="315">
                  <c:v>16.802540213266692</c:v>
                </c:pt>
                <c:pt idx="316">
                  <c:v>16.192246675242256</c:v>
                </c:pt>
                <c:pt idx="317">
                  <c:v>6.6964306003628238</c:v>
                </c:pt>
                <c:pt idx="318">
                  <c:v>9.1416485041625251</c:v>
                </c:pt>
                <c:pt idx="319">
                  <c:v>16.378173234708726</c:v>
                </c:pt>
                <c:pt idx="320">
                  <c:v>9.584258562714183</c:v>
                </c:pt>
                <c:pt idx="321">
                  <c:v>9.9364730696768557</c:v>
                </c:pt>
                <c:pt idx="322">
                  <c:v>6.5193455102573585</c:v>
                </c:pt>
                <c:pt idx="323">
                  <c:v>10.380285296795963</c:v>
                </c:pt>
                <c:pt idx="324">
                  <c:v>2.822367558396305</c:v>
                </c:pt>
                <c:pt idx="325">
                  <c:v>6.2936934173124337</c:v>
                </c:pt>
                <c:pt idx="326">
                  <c:v>8.6462374359835241</c:v>
                </c:pt>
                <c:pt idx="327">
                  <c:v>9.5999034037942472</c:v>
                </c:pt>
                <c:pt idx="328">
                  <c:v>4.6225845768611684</c:v>
                </c:pt>
                <c:pt idx="329">
                  <c:v>8.8560445501005187</c:v>
                </c:pt>
                <c:pt idx="330">
                  <c:v>9.988595122321005</c:v>
                </c:pt>
                <c:pt idx="331">
                  <c:v>8.5035854355189304</c:v>
                </c:pt>
                <c:pt idx="332">
                  <c:v>11.352352536767114</c:v>
                </c:pt>
                <c:pt idx="333">
                  <c:v>3.402722655385312</c:v>
                </c:pt>
                <c:pt idx="334">
                  <c:v>3.0489130559052922</c:v>
                </c:pt>
                <c:pt idx="335">
                  <c:v>5.094028401164679</c:v>
                </c:pt>
                <c:pt idx="336">
                  <c:v>5.7248204763910202</c:v>
                </c:pt>
                <c:pt idx="337">
                  <c:v>11.170397507377629</c:v>
                </c:pt>
                <c:pt idx="338">
                  <c:v>13.984559530870603</c:v>
                </c:pt>
                <c:pt idx="339">
                  <c:v>7.7975138391863492</c:v>
                </c:pt>
                <c:pt idx="340">
                  <c:v>12.453933277801649</c:v>
                </c:pt>
                <c:pt idx="341">
                  <c:v>3.6611650976964434</c:v>
                </c:pt>
                <c:pt idx="342">
                  <c:v>4.3332927177757989</c:v>
                </c:pt>
                <c:pt idx="343">
                  <c:v>8.8374306662948072</c:v>
                </c:pt>
                <c:pt idx="344">
                  <c:v>10.754046425101647</c:v>
                </c:pt>
                <c:pt idx="345">
                  <c:v>3.5937364088949977</c:v>
                </c:pt>
                <c:pt idx="346">
                  <c:v>4.6695603924145974</c:v>
                </c:pt>
                <c:pt idx="347">
                  <c:v>12.465560830424399</c:v>
                </c:pt>
                <c:pt idx="348">
                  <c:v>4.892241203654887</c:v>
                </c:pt>
                <c:pt idx="349">
                  <c:v>4.1361760837601143</c:v>
                </c:pt>
                <c:pt idx="350">
                  <c:v>3.0750726225282636</c:v>
                </c:pt>
                <c:pt idx="351">
                  <c:v>12.362858729897505</c:v>
                </c:pt>
                <c:pt idx="352">
                  <c:v>10.288861882118448</c:v>
                </c:pt>
                <c:pt idx="353">
                  <c:v>4.1613549631149542</c:v>
                </c:pt>
                <c:pt idx="354">
                  <c:v>13.087818093779035</c:v>
                </c:pt>
                <c:pt idx="355">
                  <c:v>9.6640398157795442</c:v>
                </c:pt>
                <c:pt idx="356">
                  <c:v>10.389282412573765</c:v>
                </c:pt>
                <c:pt idx="357">
                  <c:v>13.812219096551454</c:v>
                </c:pt>
                <c:pt idx="358">
                  <c:v>8.2925578954537844</c:v>
                </c:pt>
                <c:pt idx="359">
                  <c:v>13.63004655564154</c:v>
                </c:pt>
                <c:pt idx="360">
                  <c:v>6.0684893180358186</c:v>
                </c:pt>
                <c:pt idx="361">
                  <c:v>12.802876074576822</c:v>
                </c:pt>
                <c:pt idx="362">
                  <c:v>7.5032729788694921</c:v>
                </c:pt>
                <c:pt idx="363">
                  <c:v>9.7436616858352068</c:v>
                </c:pt>
                <c:pt idx="364">
                  <c:v>7.9970642758975714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5.8545270085713925</c:v>
                </c:pt>
                <c:pt idx="1">
                  <c:v>1.7974945050123528</c:v>
                </c:pt>
                <c:pt idx="2">
                  <c:v>12.869222821420264</c:v>
                </c:pt>
                <c:pt idx="3">
                  <c:v>10.848317767822257</c:v>
                </c:pt>
                <c:pt idx="4">
                  <c:v>10.833466138464056</c:v>
                </c:pt>
                <c:pt idx="5">
                  <c:v>4.7304725465411845</c:v>
                </c:pt>
                <c:pt idx="6">
                  <c:v>10.87924477942542</c:v>
                </c:pt>
                <c:pt idx="7">
                  <c:v>5.4941327779072404</c:v>
                </c:pt>
                <c:pt idx="8">
                  <c:v>6.8369729440386156</c:v>
                </c:pt>
                <c:pt idx="9">
                  <c:v>14.741057985619092</c:v>
                </c:pt>
                <c:pt idx="10">
                  <c:v>4.1057066198138106</c:v>
                </c:pt>
                <c:pt idx="11">
                  <c:v>14.229970713840954</c:v>
                </c:pt>
                <c:pt idx="12">
                  <c:v>9.7649116204268438</c:v>
                </c:pt>
                <c:pt idx="13">
                  <c:v>12.360959776466359</c:v>
                </c:pt>
                <c:pt idx="14">
                  <c:v>6.3873854500415082</c:v>
                </c:pt>
                <c:pt idx="15">
                  <c:v>3.4226155311067097</c:v>
                </c:pt>
                <c:pt idx="16">
                  <c:v>5.5668188520720818</c:v>
                </c:pt>
                <c:pt idx="17">
                  <c:v>13.671651517695919</c:v>
                </c:pt>
                <c:pt idx="18">
                  <c:v>7.335516957127612</c:v>
                </c:pt>
                <c:pt idx="19">
                  <c:v>14.69582123415543</c:v>
                </c:pt>
                <c:pt idx="20">
                  <c:v>5.6339309566893281</c:v>
                </c:pt>
                <c:pt idx="21">
                  <c:v>18.23929641593541</c:v>
                </c:pt>
                <c:pt idx="22">
                  <c:v>18.506323985836136</c:v>
                </c:pt>
                <c:pt idx="23">
                  <c:v>18.62046121164137</c:v>
                </c:pt>
                <c:pt idx="24">
                  <c:v>18.652999876026968</c:v>
                </c:pt>
                <c:pt idx="25">
                  <c:v>18.915332982423081</c:v>
                </c:pt>
                <c:pt idx="26">
                  <c:v>19.801560733911085</c:v>
                </c:pt>
                <c:pt idx="27">
                  <c:v>3.9398615559921213</c:v>
                </c:pt>
                <c:pt idx="28">
                  <c:v>7.8202058412040607</c:v>
                </c:pt>
                <c:pt idx="29">
                  <c:v>4.1195854304728767</c:v>
                </c:pt>
                <c:pt idx="30">
                  <c:v>8.5079345812880156</c:v>
                </c:pt>
                <c:pt idx="31">
                  <c:v>8.3343844605459978</c:v>
                </c:pt>
                <c:pt idx="32">
                  <c:v>5.0045423527193096</c:v>
                </c:pt>
                <c:pt idx="33">
                  <c:v>9.1251738560795133</c:v>
                </c:pt>
                <c:pt idx="34">
                  <c:v>8.3021709881343764</c:v>
                </c:pt>
                <c:pt idx="35">
                  <c:v>8.6170887490099517</c:v>
                </c:pt>
                <c:pt idx="36">
                  <c:v>14.942624421830811</c:v>
                </c:pt>
                <c:pt idx="37">
                  <c:v>8.6225597213744454</c:v>
                </c:pt>
                <c:pt idx="38">
                  <c:v>23.5145754749792</c:v>
                </c:pt>
                <c:pt idx="39">
                  <c:v>23.273993969702598</c:v>
                </c:pt>
                <c:pt idx="40">
                  <c:v>21.757357390609659</c:v>
                </c:pt>
                <c:pt idx="41">
                  <c:v>14.386379372239185</c:v>
                </c:pt>
                <c:pt idx="42">
                  <c:v>20.406115584378806</c:v>
                </c:pt>
                <c:pt idx="43">
                  <c:v>23.38482265293165</c:v>
                </c:pt>
                <c:pt idx="44">
                  <c:v>12.345813292989595</c:v>
                </c:pt>
                <c:pt idx="45">
                  <c:v>15.660203489350419</c:v>
                </c:pt>
                <c:pt idx="46">
                  <c:v>9.5893972266102541</c:v>
                </c:pt>
                <c:pt idx="47">
                  <c:v>10.303605954111939</c:v>
                </c:pt>
                <c:pt idx="48">
                  <c:v>20.334193866021952</c:v>
                </c:pt>
                <c:pt idx="49">
                  <c:v>18.116134176964394</c:v>
                </c:pt>
                <c:pt idx="50">
                  <c:v>16.47675059000203</c:v>
                </c:pt>
                <c:pt idx="51">
                  <c:v>17.789631542849254</c:v>
                </c:pt>
                <c:pt idx="52">
                  <c:v>25.894113550968921</c:v>
                </c:pt>
                <c:pt idx="53">
                  <c:v>25.892209601233414</c:v>
                </c:pt>
                <c:pt idx="54">
                  <c:v>14.760729007126981</c:v>
                </c:pt>
                <c:pt idx="55">
                  <c:v>26.363382621392383</c:v>
                </c:pt>
                <c:pt idx="56">
                  <c:v>29.58931721238395</c:v>
                </c:pt>
                <c:pt idx="57">
                  <c:v>24.143420305984801</c:v>
                </c:pt>
                <c:pt idx="58">
                  <c:v>24.321458067683771</c:v>
                </c:pt>
                <c:pt idx="59">
                  <c:v>29.814542002265032</c:v>
                </c:pt>
                <c:pt idx="60">
                  <c:v>8.5759109392891215</c:v>
                </c:pt>
                <c:pt idx="61">
                  <c:v>29.015756427208874</c:v>
                </c:pt>
                <c:pt idx="62">
                  <c:v>3.8711042465440118</c:v>
                </c:pt>
                <c:pt idx="63">
                  <c:v>12.42162834103088</c:v>
                </c:pt>
                <c:pt idx="64">
                  <c:v>14.316855786723714</c:v>
                </c:pt>
                <c:pt idx="65">
                  <c:v>30.450759315357121</c:v>
                </c:pt>
                <c:pt idx="66">
                  <c:v>23.546623089260322</c:v>
                </c:pt>
                <c:pt idx="67">
                  <c:v>24.564605730994465</c:v>
                </c:pt>
                <c:pt idx="68">
                  <c:v>19.476289581119833</c:v>
                </c:pt>
                <c:pt idx="69">
                  <c:v>12.696301184760367</c:v>
                </c:pt>
                <c:pt idx="70">
                  <c:v>13.321988674566787</c:v>
                </c:pt>
                <c:pt idx="71">
                  <c:v>9.5966319685340817</c:v>
                </c:pt>
                <c:pt idx="72">
                  <c:v>12.794019721244249</c:v>
                </c:pt>
                <c:pt idx="73">
                  <c:v>12.86311643046249</c:v>
                </c:pt>
                <c:pt idx="74">
                  <c:v>11.713011898840188</c:v>
                </c:pt>
                <c:pt idx="75">
                  <c:v>9.6785040939559828</c:v>
                </c:pt>
                <c:pt idx="76">
                  <c:v>12.992886617901521</c:v>
                </c:pt>
                <c:pt idx="77">
                  <c:v>23.885987990058197</c:v>
                </c:pt>
                <c:pt idx="78">
                  <c:v>24.859604059222804</c:v>
                </c:pt>
                <c:pt idx="79">
                  <c:v>34.429448526242815</c:v>
                </c:pt>
                <c:pt idx="80">
                  <c:v>32.769627181401361</c:v>
                </c:pt>
                <c:pt idx="81">
                  <c:v>37.252917113915927</c:v>
                </c:pt>
                <c:pt idx="82">
                  <c:v>36.307778897470271</c:v>
                </c:pt>
                <c:pt idx="83">
                  <c:v>34.627030407830368</c:v>
                </c:pt>
                <c:pt idx="84">
                  <c:v>36.754283171352064</c:v>
                </c:pt>
                <c:pt idx="85">
                  <c:v>35.473174567469229</c:v>
                </c:pt>
                <c:pt idx="86">
                  <c:v>26.901172120844858</c:v>
                </c:pt>
                <c:pt idx="87">
                  <c:v>23.108640005748441</c:v>
                </c:pt>
                <c:pt idx="88">
                  <c:v>7.1311223193344189</c:v>
                </c:pt>
                <c:pt idx="89">
                  <c:v>25.852726227453463</c:v>
                </c:pt>
                <c:pt idx="90">
                  <c:v>27.764893321609399</c:v>
                </c:pt>
                <c:pt idx="91">
                  <c:v>18.597762592234968</c:v>
                </c:pt>
                <c:pt idx="92">
                  <c:v>18.602110909418638</c:v>
                </c:pt>
                <c:pt idx="93">
                  <c:v>40.90940772716111</c:v>
                </c:pt>
                <c:pt idx="94">
                  <c:v>42.111012463155348</c:v>
                </c:pt>
                <c:pt idx="95">
                  <c:v>10.258630061463146</c:v>
                </c:pt>
                <c:pt idx="96">
                  <c:v>30.62750886804622</c:v>
                </c:pt>
                <c:pt idx="97">
                  <c:v>24.04694327722347</c:v>
                </c:pt>
                <c:pt idx="98">
                  <c:v>32.308700639439785</c:v>
                </c:pt>
                <c:pt idx="99">
                  <c:v>42.553799530654246</c:v>
                </c:pt>
                <c:pt idx="100">
                  <c:v>35.942074024162459</c:v>
                </c:pt>
                <c:pt idx="101">
                  <c:v>30.001302323441006</c:v>
                </c:pt>
                <c:pt idx="102">
                  <c:v>6.4850649881970979</c:v>
                </c:pt>
                <c:pt idx="103">
                  <c:v>33.256192232574328</c:v>
                </c:pt>
                <c:pt idx="104">
                  <c:v>38.950897641253512</c:v>
                </c:pt>
                <c:pt idx="105">
                  <c:v>40.654085380558897</c:v>
                </c:pt>
                <c:pt idx="106">
                  <c:v>44.293546381382484</c:v>
                </c:pt>
                <c:pt idx="107">
                  <c:v>34.659747706150682</c:v>
                </c:pt>
                <c:pt idx="108">
                  <c:v>7.9677483753437244</c:v>
                </c:pt>
                <c:pt idx="109">
                  <c:v>9.2776679521142302</c:v>
                </c:pt>
                <c:pt idx="110">
                  <c:v>8.7470230965328675</c:v>
                </c:pt>
                <c:pt idx="111">
                  <c:v>25.104752114983896</c:v>
                </c:pt>
                <c:pt idx="112">
                  <c:v>8.6087331093421486</c:v>
                </c:pt>
                <c:pt idx="113">
                  <c:v>27.455688012490313</c:v>
                </c:pt>
                <c:pt idx="114">
                  <c:v>43.949333710120257</c:v>
                </c:pt>
                <c:pt idx="115">
                  <c:v>45.993667433501088</c:v>
                </c:pt>
                <c:pt idx="116">
                  <c:v>33.485403759612012</c:v>
                </c:pt>
                <c:pt idx="117">
                  <c:v>18.743573085346512</c:v>
                </c:pt>
                <c:pt idx="118">
                  <c:v>34.894204710818201</c:v>
                </c:pt>
                <c:pt idx="119">
                  <c:v>39.452822191285051</c:v>
                </c:pt>
                <c:pt idx="120">
                  <c:v>40.23430364919566</c:v>
                </c:pt>
                <c:pt idx="121">
                  <c:v>26.249302662079209</c:v>
                </c:pt>
                <c:pt idx="122">
                  <c:v>32.041304753594609</c:v>
                </c:pt>
                <c:pt idx="123">
                  <c:v>18.860152238910523</c:v>
                </c:pt>
                <c:pt idx="124">
                  <c:v>37.516187155941743</c:v>
                </c:pt>
                <c:pt idx="125">
                  <c:v>31.60884100325314</c:v>
                </c:pt>
                <c:pt idx="126">
                  <c:v>46.267560067455371</c:v>
                </c:pt>
                <c:pt idx="127">
                  <c:v>42.172929670882688</c:v>
                </c:pt>
                <c:pt idx="128">
                  <c:v>46.665258484390286</c:v>
                </c:pt>
                <c:pt idx="129">
                  <c:v>43.310254792065706</c:v>
                </c:pt>
                <c:pt idx="130">
                  <c:v>46.816167140217431</c:v>
                </c:pt>
                <c:pt idx="131">
                  <c:v>35.793156673959587</c:v>
                </c:pt>
                <c:pt idx="132">
                  <c:v>38.228931184614353</c:v>
                </c:pt>
                <c:pt idx="133">
                  <c:v>41.725809032523586</c:v>
                </c:pt>
                <c:pt idx="134">
                  <c:v>43.88841303855019</c:v>
                </c:pt>
                <c:pt idx="135">
                  <c:v>42.55077850222267</c:v>
                </c:pt>
                <c:pt idx="136">
                  <c:v>45.355975333334641</c:v>
                </c:pt>
                <c:pt idx="137">
                  <c:v>44.285392522662207</c:v>
                </c:pt>
                <c:pt idx="138">
                  <c:v>46.573371405030493</c:v>
                </c:pt>
                <c:pt idx="139">
                  <c:v>41.414473708949913</c:v>
                </c:pt>
                <c:pt idx="140">
                  <c:v>40.351289605789191</c:v>
                </c:pt>
                <c:pt idx="141">
                  <c:v>29.82037227843956</c:v>
                </c:pt>
                <c:pt idx="142">
                  <c:v>17.461208823390209</c:v>
                </c:pt>
                <c:pt idx="143">
                  <c:v>14.989846518988729</c:v>
                </c:pt>
                <c:pt idx="144">
                  <c:v>34.943507470711474</c:v>
                </c:pt>
                <c:pt idx="145">
                  <c:v>18.970486981691501</c:v>
                </c:pt>
                <c:pt idx="146">
                  <c:v>41.008276687469447</c:v>
                </c:pt>
                <c:pt idx="147">
                  <c:v>46.986049714412736</c:v>
                </c:pt>
                <c:pt idx="148">
                  <c:v>50.310898679504753</c:v>
                </c:pt>
                <c:pt idx="149">
                  <c:v>45.226432823165176</c:v>
                </c:pt>
                <c:pt idx="150">
                  <c:v>46.39136148723162</c:v>
                </c:pt>
                <c:pt idx="151">
                  <c:v>47.547306039843768</c:v>
                </c:pt>
                <c:pt idx="152">
                  <c:v>39.097830452096794</c:v>
                </c:pt>
                <c:pt idx="153">
                  <c:v>45.546955007422248</c:v>
                </c:pt>
                <c:pt idx="154">
                  <c:v>21.563830629020792</c:v>
                </c:pt>
                <c:pt idx="155">
                  <c:v>30.480483080842951</c:v>
                </c:pt>
                <c:pt idx="156">
                  <c:v>38.74800297100947</c:v>
                </c:pt>
                <c:pt idx="157">
                  <c:v>26.142426814600434</c:v>
                </c:pt>
                <c:pt idx="158">
                  <c:v>17.80449406519282</c:v>
                </c:pt>
                <c:pt idx="159">
                  <c:v>38.110091451233934</c:v>
                </c:pt>
                <c:pt idx="160">
                  <c:v>48.391244467106091</c:v>
                </c:pt>
                <c:pt idx="161">
                  <c:v>47.474708197464885</c:v>
                </c:pt>
                <c:pt idx="162">
                  <c:v>35.752037114940322</c:v>
                </c:pt>
                <c:pt idx="163">
                  <c:v>46.457171999344411</c:v>
                </c:pt>
                <c:pt idx="164">
                  <c:v>39.466504676481506</c:v>
                </c:pt>
                <c:pt idx="165">
                  <c:v>45.608129637755958</c:v>
                </c:pt>
                <c:pt idx="166">
                  <c:v>43.79482362958656</c:v>
                </c:pt>
                <c:pt idx="167">
                  <c:v>44.168873282207294</c:v>
                </c:pt>
                <c:pt idx="168">
                  <c:v>45.639283188419164</c:v>
                </c:pt>
                <c:pt idx="169">
                  <c:v>46.714939071026826</c:v>
                </c:pt>
                <c:pt idx="170">
                  <c:v>28.339057896949402</c:v>
                </c:pt>
                <c:pt idx="171">
                  <c:v>20.52837036154116</c:v>
                </c:pt>
                <c:pt idx="172">
                  <c:v>35.9718901696152</c:v>
                </c:pt>
                <c:pt idx="173">
                  <c:v>35.490522263033384</c:v>
                </c:pt>
                <c:pt idx="174">
                  <c:v>34.676601049262963</c:v>
                </c:pt>
                <c:pt idx="175">
                  <c:v>28.139997440700043</c:v>
                </c:pt>
                <c:pt idx="176">
                  <c:v>10.36330146342123</c:v>
                </c:pt>
                <c:pt idx="177">
                  <c:v>11.012580850020747</c:v>
                </c:pt>
                <c:pt idx="178">
                  <c:v>50.420255936886996</c:v>
                </c:pt>
                <c:pt idx="179">
                  <c:v>47.471647059681381</c:v>
                </c:pt>
                <c:pt idx="180">
                  <c:v>11.987205139071193</c:v>
                </c:pt>
                <c:pt idx="181">
                  <c:v>45.28949650538086</c:v>
                </c:pt>
                <c:pt idx="182">
                  <c:v>47.616040836830685</c:v>
                </c:pt>
                <c:pt idx="183">
                  <c:v>36.859838389650122</c:v>
                </c:pt>
                <c:pt idx="184">
                  <c:v>37.775932171269687</c:v>
                </c:pt>
                <c:pt idx="185">
                  <c:v>46.654825661585456</c:v>
                </c:pt>
                <c:pt idx="186">
                  <c:v>42.009263472222543</c:v>
                </c:pt>
                <c:pt idx="187">
                  <c:v>46.187643393708036</c:v>
                </c:pt>
                <c:pt idx="188">
                  <c:v>48.933329320625319</c:v>
                </c:pt>
                <c:pt idx="189">
                  <c:v>48.057583353275277</c:v>
                </c:pt>
                <c:pt idx="190">
                  <c:v>47.505012977786265</c:v>
                </c:pt>
                <c:pt idx="191">
                  <c:v>46.210972486012167</c:v>
                </c:pt>
                <c:pt idx="192">
                  <c:v>45.909002713755122</c:v>
                </c:pt>
                <c:pt idx="193">
                  <c:v>45.605996935712604</c:v>
                </c:pt>
                <c:pt idx="194">
                  <c:v>44.951842522994355</c:v>
                </c:pt>
                <c:pt idx="195">
                  <c:v>43.456455123296756</c:v>
                </c:pt>
                <c:pt idx="196">
                  <c:v>45.048607147762759</c:v>
                </c:pt>
                <c:pt idx="197">
                  <c:v>44.493007344327737</c:v>
                </c:pt>
                <c:pt idx="198">
                  <c:v>44.577261982747544</c:v>
                </c:pt>
                <c:pt idx="199">
                  <c:v>37.905412097427295</c:v>
                </c:pt>
                <c:pt idx="200">
                  <c:v>36.565064760350097</c:v>
                </c:pt>
                <c:pt idx="201">
                  <c:v>43.324606153818607</c:v>
                </c:pt>
                <c:pt idx="202">
                  <c:v>32.851197807924613</c:v>
                </c:pt>
                <c:pt idx="203">
                  <c:v>41.501242335786571</c:v>
                </c:pt>
                <c:pt idx="204">
                  <c:v>43.056338467386112</c:v>
                </c:pt>
                <c:pt idx="205">
                  <c:v>23.31354527917809</c:v>
                </c:pt>
                <c:pt idx="206">
                  <c:v>47.297581666892462</c:v>
                </c:pt>
                <c:pt idx="207">
                  <c:v>46.285721836905026</c:v>
                </c:pt>
                <c:pt idx="208">
                  <c:v>39.110230343621289</c:v>
                </c:pt>
                <c:pt idx="209">
                  <c:v>27.099146591760586</c:v>
                </c:pt>
                <c:pt idx="210">
                  <c:v>43.179317394296177</c:v>
                </c:pt>
                <c:pt idx="211">
                  <c:v>44.109583717224837</c:v>
                </c:pt>
                <c:pt idx="212">
                  <c:v>44.0403402009388</c:v>
                </c:pt>
                <c:pt idx="213">
                  <c:v>44.037589033053536</c:v>
                </c:pt>
                <c:pt idx="214">
                  <c:v>41.075598767670613</c:v>
                </c:pt>
                <c:pt idx="215">
                  <c:v>40.597732200607922</c:v>
                </c:pt>
                <c:pt idx="216">
                  <c:v>38.648844414981639</c:v>
                </c:pt>
                <c:pt idx="217">
                  <c:v>39.664650638870377</c:v>
                </c:pt>
                <c:pt idx="218">
                  <c:v>42.01956594027444</c:v>
                </c:pt>
                <c:pt idx="219">
                  <c:v>41.668581252363936</c:v>
                </c:pt>
                <c:pt idx="220">
                  <c:v>40.887404066707134</c:v>
                </c:pt>
                <c:pt idx="221">
                  <c:v>38.155709770925085</c:v>
                </c:pt>
                <c:pt idx="222">
                  <c:v>36.354938013499314</c:v>
                </c:pt>
                <c:pt idx="223">
                  <c:v>37.57392158019578</c:v>
                </c:pt>
                <c:pt idx="224">
                  <c:v>29.10857643239817</c:v>
                </c:pt>
                <c:pt idx="225">
                  <c:v>26.308838574512453</c:v>
                </c:pt>
                <c:pt idx="226">
                  <c:v>32.041476952041968</c:v>
                </c:pt>
                <c:pt idx="227">
                  <c:v>28.994846195143943</c:v>
                </c:pt>
                <c:pt idx="228">
                  <c:v>23.107830077383465</c:v>
                </c:pt>
                <c:pt idx="229">
                  <c:v>31.13304995243859</c:v>
                </c:pt>
                <c:pt idx="230">
                  <c:v>32.269814207090207</c:v>
                </c:pt>
                <c:pt idx="231">
                  <c:v>38.8594523272766</c:v>
                </c:pt>
                <c:pt idx="232">
                  <c:v>24.959558348213818</c:v>
                </c:pt>
                <c:pt idx="233">
                  <c:v>21.89338372262549</c:v>
                </c:pt>
                <c:pt idx="234">
                  <c:v>38.239241828609934</c:v>
                </c:pt>
                <c:pt idx="235">
                  <c:v>35.356914028832279</c:v>
                </c:pt>
                <c:pt idx="236">
                  <c:v>25.714829479758627</c:v>
                </c:pt>
                <c:pt idx="237">
                  <c:v>34.122588476531263</c:v>
                </c:pt>
                <c:pt idx="238">
                  <c:v>36.732351901324549</c:v>
                </c:pt>
                <c:pt idx="239">
                  <c:v>35.597668785332914</c:v>
                </c:pt>
                <c:pt idx="240">
                  <c:v>25.238384186738877</c:v>
                </c:pt>
                <c:pt idx="241">
                  <c:v>35.446584903854344</c:v>
                </c:pt>
                <c:pt idx="242">
                  <c:v>19.503228080070045</c:v>
                </c:pt>
                <c:pt idx="243">
                  <c:v>31.342990332621362</c:v>
                </c:pt>
                <c:pt idx="244">
                  <c:v>30.154748193883943</c:v>
                </c:pt>
                <c:pt idx="245">
                  <c:v>28.037433606642679</c:v>
                </c:pt>
                <c:pt idx="246">
                  <c:v>32.522685758282172</c:v>
                </c:pt>
                <c:pt idx="247">
                  <c:v>28.995406375213111</c:v>
                </c:pt>
                <c:pt idx="248">
                  <c:v>33.151781067609349</c:v>
                </c:pt>
                <c:pt idx="249">
                  <c:v>28.295415013412168</c:v>
                </c:pt>
                <c:pt idx="250">
                  <c:v>25.835111065750894</c:v>
                </c:pt>
                <c:pt idx="251">
                  <c:v>19.213282857691112</c:v>
                </c:pt>
                <c:pt idx="252">
                  <c:v>32.828926017895938</c:v>
                </c:pt>
                <c:pt idx="253">
                  <c:v>31.911517479481315</c:v>
                </c:pt>
                <c:pt idx="254">
                  <c:v>22.967231801349033</c:v>
                </c:pt>
                <c:pt idx="255">
                  <c:v>11.15824254780085</c:v>
                </c:pt>
                <c:pt idx="256">
                  <c:v>25.251492950731386</c:v>
                </c:pt>
                <c:pt idx="257">
                  <c:v>27.496533753370105</c:v>
                </c:pt>
                <c:pt idx="258">
                  <c:v>25.420560729315437</c:v>
                </c:pt>
                <c:pt idx="259">
                  <c:v>32.004556348006638</c:v>
                </c:pt>
                <c:pt idx="260">
                  <c:v>32.068599044562021</c:v>
                </c:pt>
                <c:pt idx="261">
                  <c:v>30.653827469433644</c:v>
                </c:pt>
                <c:pt idx="262">
                  <c:v>31.312552447357138</c:v>
                </c:pt>
                <c:pt idx="263">
                  <c:v>30.486742713325224</c:v>
                </c:pt>
                <c:pt idx="264">
                  <c:v>29.445805900546592</c:v>
                </c:pt>
                <c:pt idx="265">
                  <c:v>19.059732090469382</c:v>
                </c:pt>
                <c:pt idx="266">
                  <c:v>13.898316692050491</c:v>
                </c:pt>
                <c:pt idx="267">
                  <c:v>25.589780605669905</c:v>
                </c:pt>
                <c:pt idx="268">
                  <c:v>22.223503713901959</c:v>
                </c:pt>
                <c:pt idx="269">
                  <c:v>14.4103773762745</c:v>
                </c:pt>
                <c:pt idx="270">
                  <c:v>15.871890778014489</c:v>
                </c:pt>
                <c:pt idx="271">
                  <c:v>18.331726646093642</c:v>
                </c:pt>
                <c:pt idx="272">
                  <c:v>19.681760828315962</c:v>
                </c:pt>
                <c:pt idx="273">
                  <c:v>25.007315448488516</c:v>
                </c:pt>
                <c:pt idx="274">
                  <c:v>26.701811163492152</c:v>
                </c:pt>
                <c:pt idx="275">
                  <c:v>25.596181124989446</c:v>
                </c:pt>
                <c:pt idx="276">
                  <c:v>26.909121495506014</c:v>
                </c:pt>
                <c:pt idx="277">
                  <c:v>27.164718054237625</c:v>
                </c:pt>
                <c:pt idx="278">
                  <c:v>9.9199479112999303</c:v>
                </c:pt>
                <c:pt idx="279">
                  <c:v>20.029737474956253</c:v>
                </c:pt>
                <c:pt idx="280">
                  <c:v>13.054022431635337</c:v>
                </c:pt>
                <c:pt idx="281">
                  <c:v>24.993420030464584</c:v>
                </c:pt>
                <c:pt idx="282">
                  <c:v>20.901232330381649</c:v>
                </c:pt>
                <c:pt idx="283">
                  <c:v>16.911653297878114</c:v>
                </c:pt>
                <c:pt idx="284">
                  <c:v>19.623939297125187</c:v>
                </c:pt>
                <c:pt idx="285">
                  <c:v>17.187104388767256</c:v>
                </c:pt>
                <c:pt idx="286">
                  <c:v>16.241781865968054</c:v>
                </c:pt>
                <c:pt idx="287">
                  <c:v>23.476013404597612</c:v>
                </c:pt>
                <c:pt idx="288">
                  <c:v>22.112968690480745</c:v>
                </c:pt>
                <c:pt idx="289">
                  <c:v>14.720979270644809</c:v>
                </c:pt>
                <c:pt idx="290">
                  <c:v>21.88263026240535</c:v>
                </c:pt>
                <c:pt idx="291">
                  <c:v>11.522926506238209</c:v>
                </c:pt>
                <c:pt idx="292">
                  <c:v>5.1264997648369679</c:v>
                </c:pt>
                <c:pt idx="293">
                  <c:v>11.985421188967651</c:v>
                </c:pt>
                <c:pt idx="294">
                  <c:v>20.892662773575822</c:v>
                </c:pt>
                <c:pt idx="295">
                  <c:v>12.960569542644288</c:v>
                </c:pt>
                <c:pt idx="296">
                  <c:v>15.546012929477021</c:v>
                </c:pt>
                <c:pt idx="297">
                  <c:v>15.618393180615968</c:v>
                </c:pt>
                <c:pt idx="298">
                  <c:v>10.172856295237061</c:v>
                </c:pt>
                <c:pt idx="299">
                  <c:v>9.8153043619594751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0.86387620210458904</c:v>
                </c:pt>
                <c:pt idx="312">
                  <c:v>6.8610235407224209</c:v>
                </c:pt>
                <c:pt idx="313">
                  <c:v>15.35024716960972</c:v>
                </c:pt>
                <c:pt idx="314">
                  <c:v>16.614046350774458</c:v>
                </c:pt>
                <c:pt idx="315">
                  <c:v>16.802540213266692</c:v>
                </c:pt>
                <c:pt idx="316">
                  <c:v>16.192246675242256</c:v>
                </c:pt>
                <c:pt idx="317">
                  <c:v>6.6964306003628238</c:v>
                </c:pt>
                <c:pt idx="318">
                  <c:v>9.1416485041625251</c:v>
                </c:pt>
                <c:pt idx="319">
                  <c:v>16.378173234708726</c:v>
                </c:pt>
                <c:pt idx="320">
                  <c:v>9.584258562714183</c:v>
                </c:pt>
                <c:pt idx="321">
                  <c:v>9.9364730696768557</c:v>
                </c:pt>
                <c:pt idx="322">
                  <c:v>6.5193455102573585</c:v>
                </c:pt>
                <c:pt idx="323">
                  <c:v>10.380285296795963</c:v>
                </c:pt>
                <c:pt idx="324">
                  <c:v>2.822367558396305</c:v>
                </c:pt>
                <c:pt idx="325">
                  <c:v>6.2936934173124337</c:v>
                </c:pt>
                <c:pt idx="326">
                  <c:v>8.6462374359835241</c:v>
                </c:pt>
                <c:pt idx="327">
                  <c:v>9.5999034037942472</c:v>
                </c:pt>
                <c:pt idx="328">
                  <c:v>4.6225845768611684</c:v>
                </c:pt>
                <c:pt idx="329">
                  <c:v>8.8560445501005187</c:v>
                </c:pt>
                <c:pt idx="330">
                  <c:v>9.988595122321005</c:v>
                </c:pt>
                <c:pt idx="331">
                  <c:v>8.5035854355189304</c:v>
                </c:pt>
                <c:pt idx="332">
                  <c:v>11.352352536767114</c:v>
                </c:pt>
                <c:pt idx="333">
                  <c:v>3.402722655385312</c:v>
                </c:pt>
                <c:pt idx="334">
                  <c:v>3.0489130559052922</c:v>
                </c:pt>
                <c:pt idx="335">
                  <c:v>5.094028401164679</c:v>
                </c:pt>
                <c:pt idx="336">
                  <c:v>5.7248204763910202</c:v>
                </c:pt>
                <c:pt idx="337">
                  <c:v>11.170397507377629</c:v>
                </c:pt>
                <c:pt idx="338">
                  <c:v>13.984559530870603</c:v>
                </c:pt>
                <c:pt idx="339">
                  <c:v>7.7975138391863492</c:v>
                </c:pt>
                <c:pt idx="340">
                  <c:v>12.453933277801649</c:v>
                </c:pt>
                <c:pt idx="341">
                  <c:v>3.6611650976964434</c:v>
                </c:pt>
                <c:pt idx="342">
                  <c:v>4.3332927177757989</c:v>
                </c:pt>
                <c:pt idx="343">
                  <c:v>8.8374306662948072</c:v>
                </c:pt>
                <c:pt idx="344">
                  <c:v>10.754046425101647</c:v>
                </c:pt>
                <c:pt idx="345">
                  <c:v>3.5937364088949977</c:v>
                </c:pt>
                <c:pt idx="346">
                  <c:v>4.6695603924145974</c:v>
                </c:pt>
                <c:pt idx="347">
                  <c:v>12.465560830424399</c:v>
                </c:pt>
                <c:pt idx="348">
                  <c:v>4.892241203654887</c:v>
                </c:pt>
                <c:pt idx="349">
                  <c:v>4.1361760837601143</c:v>
                </c:pt>
                <c:pt idx="350">
                  <c:v>3.0750726225282636</c:v>
                </c:pt>
                <c:pt idx="351">
                  <c:v>12.362858729897505</c:v>
                </c:pt>
                <c:pt idx="352">
                  <c:v>10.288861882118448</c:v>
                </c:pt>
                <c:pt idx="353">
                  <c:v>4.1613549631149542</c:v>
                </c:pt>
                <c:pt idx="354">
                  <c:v>13.087818093779035</c:v>
                </c:pt>
                <c:pt idx="355">
                  <c:v>9.6640398157795442</c:v>
                </c:pt>
                <c:pt idx="356">
                  <c:v>10.389282412573765</c:v>
                </c:pt>
                <c:pt idx="357">
                  <c:v>13.812219096551454</c:v>
                </c:pt>
                <c:pt idx="358">
                  <c:v>8.2925578954537844</c:v>
                </c:pt>
                <c:pt idx="359">
                  <c:v>13.63004655564154</c:v>
                </c:pt>
                <c:pt idx="360">
                  <c:v>6.0684893180358186</c:v>
                </c:pt>
                <c:pt idx="361">
                  <c:v>12.802876074576822</c:v>
                </c:pt>
                <c:pt idx="362">
                  <c:v>7.5032729788694921</c:v>
                </c:pt>
                <c:pt idx="363">
                  <c:v>9.7436616858352068</c:v>
                </c:pt>
                <c:pt idx="364">
                  <c:v>7.9970642758975714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965800"/>
        <c:axId val="486966192"/>
      </c:lineChart>
      <c:dateAx>
        <c:axId val="486965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966192"/>
        <c:crosses val="autoZero"/>
        <c:auto val="1"/>
        <c:lblOffset val="100"/>
        <c:baseTimeUnit val="days"/>
        <c:majorUnit val="1"/>
        <c:majorTimeUnit val="months"/>
      </c:dateAx>
      <c:valAx>
        <c:axId val="4869661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9658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8.2229974515451804E-2</c:v>
                </c:pt>
                <c:pt idx="1">
                  <c:v>8.2251823651117412E-2</c:v>
                </c:pt>
                <c:pt idx="2">
                  <c:v>8.2273672278321747E-2</c:v>
                </c:pt>
                <c:pt idx="3">
                  <c:v>8.2295520397076577E-2</c:v>
                </c:pt>
                <c:pt idx="4">
                  <c:v>8.2317368007393782E-2</c:v>
                </c:pt>
                <c:pt idx="5">
                  <c:v>8.2339215109285241E-2</c:v>
                </c:pt>
                <c:pt idx="6">
                  <c:v>8.2361061702762722E-2</c:v>
                </c:pt>
                <c:pt idx="7">
                  <c:v>8.2382907787837995E-2</c:v>
                </c:pt>
                <c:pt idx="8">
                  <c:v>8.2404753364522937E-2</c:v>
                </c:pt>
                <c:pt idx="9">
                  <c:v>8.2426598432829429E-2</c:v>
                </c:pt>
                <c:pt idx="10">
                  <c:v>8.2448442992769239E-2</c:v>
                </c:pt>
                <c:pt idx="11">
                  <c:v>8.2470287044354246E-2</c:v>
                </c:pt>
                <c:pt idx="12">
                  <c:v>8.249213058759633E-2</c:v>
                </c:pt>
                <c:pt idx="13">
                  <c:v>8.2513973622507147E-2</c:v>
                </c:pt>
                <c:pt idx="14">
                  <c:v>8.253581614909869E-2</c:v>
                </c:pt>
                <c:pt idx="15">
                  <c:v>8.2557658167382725E-2</c:v>
                </c:pt>
                <c:pt idx="16">
                  <c:v>8.2579499677371021E-2</c:v>
                </c:pt>
                <c:pt idx="17">
                  <c:v>8.2601340679075569E-2</c:v>
                </c:pt>
                <c:pt idx="18">
                  <c:v>8.2623181172508026E-2</c:v>
                </c:pt>
                <c:pt idx="19">
                  <c:v>8.2645021157680382E-2</c:v>
                </c:pt>
                <c:pt idx="20">
                  <c:v>8.2666860634604294E-2</c:v>
                </c:pt>
                <c:pt idx="21">
                  <c:v>8.2688699603291643E-2</c:v>
                </c:pt>
                <c:pt idx="22">
                  <c:v>8.2710538063754419E-2</c:v>
                </c:pt>
                <c:pt idx="23">
                  <c:v>8.2732376016004167E-2</c:v>
                </c:pt>
                <c:pt idx="24">
                  <c:v>8.2754213460052989E-2</c:v>
                </c:pt>
                <c:pt idx="25">
                  <c:v>8.2776050395912543E-2</c:v>
                </c:pt>
                <c:pt idx="26">
                  <c:v>8.2797886823594596E-2</c:v>
                </c:pt>
                <c:pt idx="27">
                  <c:v>8.2819722743111251E-2</c:v>
                </c:pt>
                <c:pt idx="28">
                  <c:v>8.2841558154474054E-2</c:v>
                </c:pt>
                <c:pt idx="29">
                  <c:v>8.2863393057694884E-2</c:v>
                </c:pt>
                <c:pt idx="30">
                  <c:v>8.2885227452785731E-2</c:v>
                </c:pt>
                <c:pt idx="31">
                  <c:v>8.2907061339758253E-2</c:v>
                </c:pt>
                <c:pt idx="32">
                  <c:v>8.292889471862433E-2</c:v>
                </c:pt>
                <c:pt idx="33">
                  <c:v>8.295072758939584E-2</c:v>
                </c:pt>
                <c:pt idx="34">
                  <c:v>8.297255995208444E-2</c:v>
                </c:pt>
                <c:pt idx="35">
                  <c:v>8.2994391806702122E-2</c:v>
                </c:pt>
                <c:pt idx="36">
                  <c:v>8.3016223153260654E-2</c:v>
                </c:pt>
                <c:pt idx="37">
                  <c:v>8.3038053991771915E-2</c:v>
                </c:pt>
                <c:pt idx="38">
                  <c:v>8.3059884322247562E-2</c:v>
                </c:pt>
                <c:pt idx="39">
                  <c:v>8.3081714144699587E-2</c:v>
                </c:pt>
                <c:pt idx="40">
                  <c:v>8.3103543459139756E-2</c:v>
                </c:pt>
                <c:pt idx="41">
                  <c:v>8.3125372265579839E-2</c:v>
                </c:pt>
                <c:pt idx="42">
                  <c:v>8.3147200564031826E-2</c:v>
                </c:pt>
                <c:pt idx="43">
                  <c:v>8.3169028354507263E-2</c:v>
                </c:pt>
                <c:pt idx="44">
                  <c:v>8.3190855637018252E-2</c:v>
                </c:pt>
                <c:pt idx="45">
                  <c:v>8.321268241157645E-2</c:v>
                </c:pt>
                <c:pt idx="46">
                  <c:v>8.3234508678193736E-2</c:v>
                </c:pt>
                <c:pt idx="47">
                  <c:v>8.3256334436881879E-2</c:v>
                </c:pt>
                <c:pt idx="48">
                  <c:v>8.3278159687652648E-2</c:v>
                </c:pt>
                <c:pt idx="49">
                  <c:v>8.3299984430518031E-2</c:v>
                </c:pt>
                <c:pt idx="50">
                  <c:v>8.3321808665489799E-2</c:v>
                </c:pt>
                <c:pt idx="51">
                  <c:v>8.334363239257972E-2</c:v>
                </c:pt>
                <c:pt idx="52">
                  <c:v>8.3365455611799671E-2</c:v>
                </c:pt>
                <c:pt idx="53">
                  <c:v>8.3387278323161312E-2</c:v>
                </c:pt>
                <c:pt idx="54">
                  <c:v>8.3409100526676633E-2</c:v>
                </c:pt>
                <c:pt idx="55">
                  <c:v>8.3430922222357401E-2</c:v>
                </c:pt>
                <c:pt idx="56">
                  <c:v>8.3452743410215385E-2</c:v>
                </c:pt>
                <c:pt idx="57">
                  <c:v>8.3474564090262576E-2</c:v>
                </c:pt>
                <c:pt idx="58">
                  <c:v>8.349638426251052E-2</c:v>
                </c:pt>
                <c:pt idx="59">
                  <c:v>8.3518203926971318E-2</c:v>
                </c:pt>
                <c:pt idx="60">
                  <c:v>8.3540023083656517E-2</c:v>
                </c:pt>
                <c:pt idx="61">
                  <c:v>8.3561841732578107E-2</c:v>
                </c:pt>
                <c:pt idx="62">
                  <c:v>8.3583659873747856E-2</c:v>
                </c:pt>
                <c:pt idx="63">
                  <c:v>8.3605477507177645E-2</c:v>
                </c:pt>
                <c:pt idx="64">
                  <c:v>8.362729463287924E-2</c:v>
                </c:pt>
                <c:pt idx="65">
                  <c:v>8.3649111250864411E-2</c:v>
                </c:pt>
                <c:pt idx="66">
                  <c:v>8.3670927361144926E-2</c:v>
                </c:pt>
                <c:pt idx="67">
                  <c:v>8.3692742963732775E-2</c:v>
                </c:pt>
                <c:pt idx="68">
                  <c:v>8.3714558058639615E-2</c:v>
                </c:pt>
                <c:pt idx="69">
                  <c:v>8.3736372645877438E-2</c:v>
                </c:pt>
                <c:pt idx="70">
                  <c:v>8.37581867254579E-2</c:v>
                </c:pt>
                <c:pt idx="71">
                  <c:v>8.378000029739277E-2</c:v>
                </c:pt>
                <c:pt idx="72">
                  <c:v>8.3801813361694039E-2</c:v>
                </c:pt>
                <c:pt idx="73">
                  <c:v>8.3823625918373473E-2</c:v>
                </c:pt>
                <c:pt idx="74">
                  <c:v>8.3845437967442732E-2</c:v>
                </c:pt>
                <c:pt idx="75">
                  <c:v>8.3867249508913805E-2</c:v>
                </c:pt>
                <c:pt idx="76">
                  <c:v>8.388906054279846E-2</c:v>
                </c:pt>
                <c:pt idx="77">
                  <c:v>8.3910871069108467E-2</c:v>
                </c:pt>
                <c:pt idx="78">
                  <c:v>8.3932681087855704E-2</c:v>
                </c:pt>
                <c:pt idx="79">
                  <c:v>8.395449059905194E-2</c:v>
                </c:pt>
                <c:pt idx="80">
                  <c:v>8.3976299602708943E-2</c:v>
                </c:pt>
                <c:pt idx="81">
                  <c:v>8.3998108098838592E-2</c:v>
                </c:pt>
                <c:pt idx="82">
                  <c:v>8.4019916087452656E-2</c:v>
                </c:pt>
                <c:pt idx="83">
                  <c:v>8.4041723568563015E-2</c:v>
                </c:pt>
                <c:pt idx="84">
                  <c:v>8.4063530542181436E-2</c:v>
                </c:pt>
                <c:pt idx="85">
                  <c:v>8.4085337008319688E-2</c:v>
                </c:pt>
                <c:pt idx="86">
                  <c:v>8.410714296698954E-2</c:v>
                </c:pt>
                <c:pt idx="87">
                  <c:v>8.4128948418202981E-2</c:v>
                </c:pt>
                <c:pt idx="88">
                  <c:v>8.415075336197167E-2</c:v>
                </c:pt>
                <c:pt idx="89">
                  <c:v>8.4172557798307485E-2</c:v>
                </c:pt>
                <c:pt idx="90">
                  <c:v>8.4194361727222194E-2</c:v>
                </c:pt>
                <c:pt idx="91">
                  <c:v>8.4216165148727679E-2</c:v>
                </c:pt>
                <c:pt idx="92">
                  <c:v>8.4237968062835594E-2</c:v>
                </c:pt>
                <c:pt idx="93">
                  <c:v>8.4259770469557932E-2</c:v>
                </c:pt>
                <c:pt idx="94">
                  <c:v>8.4281572368906349E-2</c:v>
                </c:pt>
                <c:pt idx="95">
                  <c:v>8.4303373760892725E-2</c:v>
                </c:pt>
                <c:pt idx="96">
                  <c:v>8.4325174645528939E-2</c:v>
                </c:pt>
                <c:pt idx="97">
                  <c:v>8.4346975022826648E-2</c:v>
                </c:pt>
                <c:pt idx="98">
                  <c:v>8.4368774892797732E-2</c:v>
                </c:pt>
                <c:pt idx="99">
                  <c:v>8.4390574255454071E-2</c:v>
                </c:pt>
                <c:pt idx="100">
                  <c:v>8.4412373110807321E-2</c:v>
                </c:pt>
                <c:pt idx="101">
                  <c:v>8.4434171458869361E-2</c:v>
                </c:pt>
                <c:pt idx="102">
                  <c:v>8.4455969299651962E-2</c:v>
                </c:pt>
                <c:pt idx="103">
                  <c:v>8.4477766633167001E-2</c:v>
                </c:pt>
                <c:pt idx="104">
                  <c:v>8.4499563459426247E-2</c:v>
                </c:pt>
                <c:pt idx="105">
                  <c:v>8.4521359778441579E-2</c:v>
                </c:pt>
                <c:pt idx="106">
                  <c:v>8.4543155590224656E-2</c:v>
                </c:pt>
                <c:pt idx="107">
                  <c:v>8.4564950894787355E-2</c:v>
                </c:pt>
                <c:pt idx="108">
                  <c:v>8.4586745692141446E-2</c:v>
                </c:pt>
                <c:pt idx="109">
                  <c:v>8.4608539982298808E-2</c:v>
                </c:pt>
                <c:pt idx="110">
                  <c:v>8.4630333765271099E-2</c:v>
                </c:pt>
                <c:pt idx="111">
                  <c:v>8.4652127041070308E-2</c:v>
                </c:pt>
                <c:pt idx="112">
                  <c:v>8.4673919809708204E-2</c:v>
                </c:pt>
                <c:pt idx="113">
                  <c:v>8.4695712071196444E-2</c:v>
                </c:pt>
                <c:pt idx="114">
                  <c:v>8.4717503825547019E-2</c:v>
                </c:pt>
                <c:pt idx="115">
                  <c:v>8.4739295072771476E-2</c:v>
                </c:pt>
                <c:pt idx="116">
                  <c:v>8.4761085812881914E-2</c:v>
                </c:pt>
                <c:pt idx="117">
                  <c:v>8.4782876045889993E-2</c:v>
                </c:pt>
                <c:pt idx="118">
                  <c:v>8.480466577180748E-2</c:v>
                </c:pt>
                <c:pt idx="119">
                  <c:v>8.4826454990646144E-2</c:v>
                </c:pt>
                <c:pt idx="120">
                  <c:v>8.4848243702417864E-2</c:v>
                </c:pt>
                <c:pt idx="121">
                  <c:v>8.4870031907134519E-2</c:v>
                </c:pt>
                <c:pt idx="122">
                  <c:v>8.4891819604807767E-2</c:v>
                </c:pt>
                <c:pt idx="123">
                  <c:v>8.4913606795449487E-2</c:v>
                </c:pt>
                <c:pt idx="124">
                  <c:v>8.4935393479071447E-2</c:v>
                </c:pt>
                <c:pt idx="125">
                  <c:v>8.4957179655685416E-2</c:v>
                </c:pt>
                <c:pt idx="126">
                  <c:v>8.4978965325303274E-2</c:v>
                </c:pt>
                <c:pt idx="127">
                  <c:v>8.5000750487936788E-2</c:v>
                </c:pt>
                <c:pt idx="128">
                  <c:v>8.5022535143597727E-2</c:v>
                </c:pt>
                <c:pt idx="129">
                  <c:v>8.504431929229786E-2</c:v>
                </c:pt>
                <c:pt idx="130">
                  <c:v>8.5066102934049065E-2</c:v>
                </c:pt>
                <c:pt idx="131">
                  <c:v>8.5087886068863111E-2</c:v>
                </c:pt>
                <c:pt idx="132">
                  <c:v>8.5109668696751767E-2</c:v>
                </c:pt>
                <c:pt idx="133">
                  <c:v>8.51314508177268E-2</c:v>
                </c:pt>
                <c:pt idx="134">
                  <c:v>8.5153232431800091E-2</c:v>
                </c:pt>
                <c:pt idx="135">
                  <c:v>8.5175013538983407E-2</c:v>
                </c:pt>
                <c:pt idx="136">
                  <c:v>8.5196794139288629E-2</c:v>
                </c:pt>
                <c:pt idx="137">
                  <c:v>8.5218574232727301E-2</c:v>
                </c:pt>
                <c:pt idx="138">
                  <c:v>8.5240353819311526E-2</c:v>
                </c:pt>
                <c:pt idx="139">
                  <c:v>8.526213289905285E-2</c:v>
                </c:pt>
                <c:pt idx="140">
                  <c:v>8.5283911471963264E-2</c:v>
                </c:pt>
                <c:pt idx="141">
                  <c:v>8.5305689538054424E-2</c:v>
                </c:pt>
                <c:pt idx="142">
                  <c:v>8.53274670973381E-2</c:v>
                </c:pt>
                <c:pt idx="143">
                  <c:v>8.5349244149826281E-2</c:v>
                </c:pt>
                <c:pt idx="144">
                  <c:v>8.5371020695530514E-2</c:v>
                </c:pt>
                <c:pt idx="145">
                  <c:v>8.5392796734462789E-2</c:v>
                </c:pt>
                <c:pt idx="146">
                  <c:v>8.5414572266634764E-2</c:v>
                </c:pt>
                <c:pt idx="147">
                  <c:v>8.5436347292058429E-2</c:v>
                </c:pt>
                <c:pt idx="148">
                  <c:v>8.545812181074533E-2</c:v>
                </c:pt>
                <c:pt idx="149">
                  <c:v>8.5479895822707347E-2</c:v>
                </c:pt>
                <c:pt idx="150">
                  <c:v>8.5501669327956359E-2</c:v>
                </c:pt>
                <c:pt idx="151">
                  <c:v>8.5523442326504023E-2</c:v>
                </c:pt>
                <c:pt idx="152">
                  <c:v>8.5545214818362331E-2</c:v>
                </c:pt>
                <c:pt idx="153">
                  <c:v>8.5566986803542827E-2</c:v>
                </c:pt>
                <c:pt idx="154">
                  <c:v>8.5588758282057503E-2</c:v>
                </c:pt>
                <c:pt idx="155">
                  <c:v>8.5610529253918016E-2</c:v>
                </c:pt>
                <c:pt idx="156">
                  <c:v>8.5632299719136246E-2</c:v>
                </c:pt>
                <c:pt idx="157">
                  <c:v>8.5654069677723849E-2</c:v>
                </c:pt>
                <c:pt idx="158">
                  <c:v>8.5675839129692816E-2</c:v>
                </c:pt>
                <c:pt idx="159">
                  <c:v>8.5697608075054804E-2</c:v>
                </c:pt>
                <c:pt idx="160">
                  <c:v>8.5719376513821693E-2</c:v>
                </c:pt>
                <c:pt idx="161">
                  <c:v>8.5741144446005141E-2</c:v>
                </c:pt>
                <c:pt idx="162">
                  <c:v>8.5762911871617026E-2</c:v>
                </c:pt>
                <c:pt idx="163">
                  <c:v>8.5784678790669006E-2</c:v>
                </c:pt>
                <c:pt idx="164">
                  <c:v>8.5806445203173182E-2</c:v>
                </c:pt>
                <c:pt idx="165">
                  <c:v>8.5828211109140989E-2</c:v>
                </c:pt>
                <c:pt idx="166">
                  <c:v>8.5849976508584419E-2</c:v>
                </c:pt>
                <c:pt idx="167">
                  <c:v>8.5871741401515128E-2</c:v>
                </c:pt>
                <c:pt idx="168">
                  <c:v>8.5893505787945107E-2</c:v>
                </c:pt>
                <c:pt idx="169">
                  <c:v>8.5915269667886013E-2</c:v>
                </c:pt>
                <c:pt idx="170">
                  <c:v>8.5937033041349503E-2</c:v>
                </c:pt>
                <c:pt idx="171">
                  <c:v>8.5958795908347568E-2</c:v>
                </c:pt>
                <c:pt idx="172">
                  <c:v>8.5980558268891977E-2</c:v>
                </c:pt>
                <c:pt idx="173">
                  <c:v>8.6002320122994497E-2</c:v>
                </c:pt>
                <c:pt idx="174">
                  <c:v>8.6024081470666786E-2</c:v>
                </c:pt>
                <c:pt idx="175">
                  <c:v>8.6045842311920723E-2</c:v>
                </c:pt>
                <c:pt idx="176">
                  <c:v>8.6067602646768077E-2</c:v>
                </c:pt>
                <c:pt idx="177">
                  <c:v>8.6089362475220726E-2</c:v>
                </c:pt>
                <c:pt idx="178">
                  <c:v>8.611112179729033E-2</c:v>
                </c:pt>
                <c:pt idx="179">
                  <c:v>8.6132880612988766E-2</c:v>
                </c:pt>
                <c:pt idx="180">
                  <c:v>8.6154638922327692E-2</c:v>
                </c:pt>
                <c:pt idx="181">
                  <c:v>8.6176396725319099E-2</c:v>
                </c:pt>
                <c:pt idx="182">
                  <c:v>8.6198154021974532E-2</c:v>
                </c:pt>
                <c:pt idx="183">
                  <c:v>8.6219910812305872E-2</c:v>
                </c:pt>
                <c:pt idx="184">
                  <c:v>8.6241667096324998E-2</c:v>
                </c:pt>
                <c:pt idx="185">
                  <c:v>8.6263422874043566E-2</c:v>
                </c:pt>
                <c:pt idx="186">
                  <c:v>8.6285178145473457E-2</c:v>
                </c:pt>
                <c:pt idx="187">
                  <c:v>8.6306932910626327E-2</c:v>
                </c:pt>
                <c:pt idx="188">
                  <c:v>8.6328687169514057E-2</c:v>
                </c:pt>
                <c:pt idx="189">
                  <c:v>8.6350440922148414E-2</c:v>
                </c:pt>
                <c:pt idx="190">
                  <c:v>8.6372194168541166E-2</c:v>
                </c:pt>
                <c:pt idx="191">
                  <c:v>8.6393946908704083E-2</c:v>
                </c:pt>
                <c:pt idx="192">
                  <c:v>8.6415699142648933E-2</c:v>
                </c:pt>
                <c:pt idx="193">
                  <c:v>8.6437450870387594E-2</c:v>
                </c:pt>
                <c:pt idx="194">
                  <c:v>8.6459202091931725E-2</c:v>
                </c:pt>
                <c:pt idx="195">
                  <c:v>8.6480952807293204E-2</c:v>
                </c:pt>
                <c:pt idx="196">
                  <c:v>8.650270301648369E-2</c:v>
                </c:pt>
                <c:pt idx="197">
                  <c:v>8.652445271951506E-2</c:v>
                </c:pt>
                <c:pt idx="198">
                  <c:v>8.6546201916399085E-2</c:v>
                </c:pt>
                <c:pt idx="199">
                  <c:v>8.6567950607147531E-2</c:v>
                </c:pt>
                <c:pt idx="200">
                  <c:v>8.6589698791772057E-2</c:v>
                </c:pt>
                <c:pt idx="201">
                  <c:v>8.6611446470284653E-2</c:v>
                </c:pt>
                <c:pt idx="202">
                  <c:v>8.6633193642696976E-2</c:v>
                </c:pt>
                <c:pt idx="203">
                  <c:v>8.6654940309020906E-2</c:v>
                </c:pt>
                <c:pt idx="204">
                  <c:v>8.6676686469268099E-2</c:v>
                </c:pt>
                <c:pt idx="205">
                  <c:v>8.6698432123450325E-2</c:v>
                </c:pt>
                <c:pt idx="206">
                  <c:v>8.6720177271579463E-2</c:v>
                </c:pt>
                <c:pt idx="207">
                  <c:v>8.6741921913667169E-2</c:v>
                </c:pt>
                <c:pt idx="208">
                  <c:v>8.6763666049725324E-2</c:v>
                </c:pt>
                <c:pt idx="209">
                  <c:v>8.6785409679765696E-2</c:v>
                </c:pt>
                <c:pt idx="210">
                  <c:v>8.6807152803799942E-2</c:v>
                </c:pt>
                <c:pt idx="211">
                  <c:v>8.6828895421840052E-2</c:v>
                </c:pt>
                <c:pt idx="212">
                  <c:v>8.6850637533897573E-2</c:v>
                </c:pt>
                <c:pt idx="213">
                  <c:v>8.6872379139984385E-2</c:v>
                </c:pt>
                <c:pt idx="214">
                  <c:v>8.6894120240112366E-2</c:v>
                </c:pt>
                <c:pt idx="215">
                  <c:v>8.6915860834293063E-2</c:v>
                </c:pt>
                <c:pt idx="216">
                  <c:v>8.6937600922538466E-2</c:v>
                </c:pt>
                <c:pt idx="217">
                  <c:v>8.6959340504860233E-2</c:v>
                </c:pt>
                <c:pt idx="218">
                  <c:v>8.6981079581270132E-2</c:v>
                </c:pt>
                <c:pt idx="219">
                  <c:v>8.7002818151779931E-2</c:v>
                </c:pt>
                <c:pt idx="220">
                  <c:v>8.7024556216401511E-2</c:v>
                </c:pt>
                <c:pt idx="221">
                  <c:v>8.7046293775146527E-2</c:v>
                </c:pt>
                <c:pt idx="222">
                  <c:v>8.706803082802686E-2</c:v>
                </c:pt>
                <c:pt idx="223">
                  <c:v>8.7089767375054167E-2</c:v>
                </c:pt>
                <c:pt idx="224">
                  <c:v>8.7111503416240216E-2</c:v>
                </c:pt>
                <c:pt idx="225">
                  <c:v>8.7133238951596886E-2</c:v>
                </c:pt>
                <c:pt idx="226">
                  <c:v>8.7154973981135947E-2</c:v>
                </c:pt>
                <c:pt idx="227">
                  <c:v>8.7176708504869055E-2</c:v>
                </c:pt>
                <c:pt idx="228">
                  <c:v>8.7198442522807978E-2</c:v>
                </c:pt>
                <c:pt idx="229">
                  <c:v>8.7220176034964708E-2</c:v>
                </c:pt>
                <c:pt idx="230">
                  <c:v>8.7241909041350679E-2</c:v>
                </c:pt>
                <c:pt idx="231">
                  <c:v>8.7263641541977993E-2</c:v>
                </c:pt>
                <c:pt idx="232">
                  <c:v>8.7285373536858196E-2</c:v>
                </c:pt>
                <c:pt idx="233">
                  <c:v>8.7307105026003168E-2</c:v>
                </c:pt>
                <c:pt idx="234">
                  <c:v>8.7328836009424676E-2</c:v>
                </c:pt>
                <c:pt idx="235">
                  <c:v>8.7350566487134379E-2</c:v>
                </c:pt>
                <c:pt idx="236">
                  <c:v>8.7372296459144155E-2</c:v>
                </c:pt>
                <c:pt idx="237">
                  <c:v>8.7394025925465663E-2</c:v>
                </c:pt>
                <c:pt idx="238">
                  <c:v>8.741575488611078E-2</c:v>
                </c:pt>
                <c:pt idx="239">
                  <c:v>8.7437483341091277E-2</c:v>
                </c:pt>
                <c:pt idx="240">
                  <c:v>8.745921129041892E-2</c:v>
                </c:pt>
                <c:pt idx="241">
                  <c:v>8.7480938734105368E-2</c:v>
                </c:pt>
                <c:pt idx="242">
                  <c:v>8.75026656721625E-2</c:v>
                </c:pt>
                <c:pt idx="243">
                  <c:v>8.7524392104601972E-2</c:v>
                </c:pt>
                <c:pt idx="244">
                  <c:v>8.7546118031435666E-2</c:v>
                </c:pt>
                <c:pt idx="245">
                  <c:v>8.7567843452675348E-2</c:v>
                </c:pt>
                <c:pt idx="246">
                  <c:v>8.7589568368332676E-2</c:v>
                </c:pt>
                <c:pt idx="247">
                  <c:v>8.7611292778419531E-2</c:v>
                </c:pt>
                <c:pt idx="248">
                  <c:v>8.7633016682947568E-2</c:v>
                </c:pt>
                <c:pt idx="249">
                  <c:v>8.7654740081928667E-2</c:v>
                </c:pt>
                <c:pt idx="250">
                  <c:v>8.7676462975374486E-2</c:v>
                </c:pt>
                <c:pt idx="251">
                  <c:v>8.7698185363296793E-2</c:v>
                </c:pt>
                <c:pt idx="252">
                  <c:v>8.7719907245707468E-2</c:v>
                </c:pt>
                <c:pt idx="253">
                  <c:v>8.7741628622618278E-2</c:v>
                </c:pt>
                <c:pt idx="254">
                  <c:v>8.7763349494040771E-2</c:v>
                </c:pt>
                <c:pt idx="255">
                  <c:v>8.7785069859986936E-2</c:v>
                </c:pt>
                <c:pt idx="256">
                  <c:v>8.7806789720468431E-2</c:v>
                </c:pt>
                <c:pt idx="257">
                  <c:v>8.7828509075497135E-2</c:v>
                </c:pt>
                <c:pt idx="258">
                  <c:v>8.7850227925084595E-2</c:v>
                </c:pt>
                <c:pt idx="259">
                  <c:v>8.787194626924269E-2</c:v>
                </c:pt>
                <c:pt idx="260">
                  <c:v>8.7893664107983299E-2</c:v>
                </c:pt>
                <c:pt idx="261">
                  <c:v>8.7915381441317969E-2</c:v>
                </c:pt>
                <c:pt idx="262">
                  <c:v>8.7937098269258579E-2</c:v>
                </c:pt>
                <c:pt idx="263">
                  <c:v>8.7958814591816897E-2</c:v>
                </c:pt>
                <c:pt idx="264">
                  <c:v>8.7980530409004692E-2</c:v>
                </c:pt>
                <c:pt idx="265">
                  <c:v>8.8002245720833622E-2</c:v>
                </c:pt>
                <c:pt idx="266">
                  <c:v>8.8023960527315565E-2</c:v>
                </c:pt>
                <c:pt idx="267">
                  <c:v>8.8045674828462289E-2</c:v>
                </c:pt>
                <c:pt idx="268">
                  <c:v>8.8067388624285453E-2</c:v>
                </c:pt>
                <c:pt idx="269">
                  <c:v>8.8089101914796936E-2</c:v>
                </c:pt>
                <c:pt idx="270">
                  <c:v>8.8110814700008283E-2</c:v>
                </c:pt>
                <c:pt idx="271">
                  <c:v>8.8132526979931486E-2</c:v>
                </c:pt>
                <c:pt idx="272">
                  <c:v>8.8154238754578201E-2</c:v>
                </c:pt>
                <c:pt idx="273">
                  <c:v>8.8175950023960198E-2</c:v>
                </c:pt>
                <c:pt idx="274">
                  <c:v>8.8197660788089244E-2</c:v>
                </c:pt>
                <c:pt idx="275">
                  <c:v>8.8219371046977108E-2</c:v>
                </c:pt>
                <c:pt idx="276">
                  <c:v>8.8241080800635557E-2</c:v>
                </c:pt>
                <c:pt idx="277">
                  <c:v>8.8262790049076251E-2</c:v>
                </c:pt>
                <c:pt idx="278">
                  <c:v>8.8284498792311067E-2</c:v>
                </c:pt>
                <c:pt idx="279">
                  <c:v>8.8306207030351663E-2</c:v>
                </c:pt>
                <c:pt idx="280">
                  <c:v>8.8327914763209919E-2</c:v>
                </c:pt>
                <c:pt idx="281">
                  <c:v>8.8349621990897492E-2</c:v>
                </c:pt>
                <c:pt idx="282">
                  <c:v>8.837132871342615E-2</c:v>
                </c:pt>
                <c:pt idx="283">
                  <c:v>8.8393034930807662E-2</c:v>
                </c:pt>
                <c:pt idx="284">
                  <c:v>8.8414740643053796E-2</c:v>
                </c:pt>
                <c:pt idx="285">
                  <c:v>8.8436445850176321E-2</c:v>
                </c:pt>
                <c:pt idx="286">
                  <c:v>8.8458150552186893E-2</c:v>
                </c:pt>
                <c:pt idx="287">
                  <c:v>8.8479854749097392E-2</c:v>
                </c:pt>
                <c:pt idx="288">
                  <c:v>8.8501558440919476E-2</c:v>
                </c:pt>
                <c:pt idx="289">
                  <c:v>8.8523261627665023E-2</c:v>
                </c:pt>
                <c:pt idx="290">
                  <c:v>8.8544964309345692E-2</c:v>
                </c:pt>
                <c:pt idx="291">
                  <c:v>8.8566666485973139E-2</c:v>
                </c:pt>
                <c:pt idx="292">
                  <c:v>8.8588368157559355E-2</c:v>
                </c:pt>
                <c:pt idx="293">
                  <c:v>8.8610069324115887E-2</c:v>
                </c:pt>
                <c:pt idx="294">
                  <c:v>8.8631769985654613E-2</c:v>
                </c:pt>
                <c:pt idx="295">
                  <c:v>8.8653470142187302E-2</c:v>
                </c:pt>
                <c:pt idx="296">
                  <c:v>8.8675169793725611E-2</c:v>
                </c:pt>
                <c:pt idx="297">
                  <c:v>8.8696868940281309E-2</c:v>
                </c:pt>
                <c:pt idx="298">
                  <c:v>8.8718567581866165E-2</c:v>
                </c:pt>
                <c:pt idx="299">
                  <c:v>8.8740265718491834E-2</c:v>
                </c:pt>
                <c:pt idx="300">
                  <c:v>8.8761963350170309E-2</c:v>
                </c:pt>
                <c:pt idx="301">
                  <c:v>8.8783660476913134E-2</c:v>
                </c:pt>
                <c:pt idx="302">
                  <c:v>8.8805357098732191E-2</c:v>
                </c:pt>
                <c:pt idx="303">
                  <c:v>8.8827053215639024E-2</c:v>
                </c:pt>
                <c:pt idx="304">
                  <c:v>8.8848748827645624E-2</c:v>
                </c:pt>
                <c:pt idx="305">
                  <c:v>8.8870443934763649E-2</c:v>
                </c:pt>
                <c:pt idx="306">
                  <c:v>8.8892138537004756E-2</c:v>
                </c:pt>
                <c:pt idx="307">
                  <c:v>8.8913832634380824E-2</c:v>
                </c:pt>
                <c:pt idx="308">
                  <c:v>8.8935526226903622E-2</c:v>
                </c:pt>
                <c:pt idx="309">
                  <c:v>8.8957219314584696E-2</c:v>
                </c:pt>
                <c:pt idx="310">
                  <c:v>8.8978911897436036E-2</c:v>
                </c:pt>
                <c:pt idx="311">
                  <c:v>8.9000603975469189E-2</c:v>
                </c:pt>
                <c:pt idx="312">
                  <c:v>8.9022295548696034E-2</c:v>
                </c:pt>
                <c:pt idx="313">
                  <c:v>8.904398661712834E-2</c:v>
                </c:pt>
                <c:pt idx="314">
                  <c:v>8.9065677180777764E-2</c:v>
                </c:pt>
                <c:pt idx="315">
                  <c:v>8.9087367239656073E-2</c:v>
                </c:pt>
                <c:pt idx="316">
                  <c:v>8.9109056793775038E-2</c:v>
                </c:pt>
                <c:pt idx="317">
                  <c:v>8.9130745843146314E-2</c:v>
                </c:pt>
                <c:pt idx="318">
                  <c:v>8.9152434387781782E-2</c:v>
                </c:pt>
                <c:pt idx="319">
                  <c:v>8.9174122427693098E-2</c:v>
                </c:pt>
                <c:pt idx="320">
                  <c:v>8.9195809962892142E-2</c:v>
                </c:pt>
                <c:pt idx="321">
                  <c:v>8.921749699339046E-2</c:v>
                </c:pt>
                <c:pt idx="322">
                  <c:v>8.9239183519199933E-2</c:v>
                </c:pt>
                <c:pt idx="323">
                  <c:v>8.9260869540332327E-2</c:v>
                </c:pt>
                <c:pt idx="324">
                  <c:v>8.928255505679919E-2</c:v>
                </c:pt>
                <c:pt idx="325">
                  <c:v>8.9304240068612512E-2</c:v>
                </c:pt>
                <c:pt idx="326">
                  <c:v>8.9325924575783838E-2</c:v>
                </c:pt>
                <c:pt idx="327">
                  <c:v>8.9347608578325161E-2</c:v>
                </c:pt>
                <c:pt idx="328">
                  <c:v>8.9369292076247914E-2</c:v>
                </c:pt>
                <c:pt idx="329">
                  <c:v>8.9390975069564088E-2</c:v>
                </c:pt>
                <c:pt idx="330">
                  <c:v>8.941265755828523E-2</c:v>
                </c:pt>
                <c:pt idx="331">
                  <c:v>8.9434339542423219E-2</c:v>
                </c:pt>
                <c:pt idx="332">
                  <c:v>8.9456021021989823E-2</c:v>
                </c:pt>
                <c:pt idx="333">
                  <c:v>8.94777019969967E-2</c:v>
                </c:pt>
                <c:pt idx="334">
                  <c:v>8.9499382467455618E-2</c:v>
                </c:pt>
                <c:pt idx="335">
                  <c:v>8.9521062433378235E-2</c:v>
                </c:pt>
                <c:pt idx="336">
                  <c:v>8.9542741894776429E-2</c:v>
                </c:pt>
                <c:pt idx="337">
                  <c:v>8.9564420851661969E-2</c:v>
                </c:pt>
                <c:pt idx="338">
                  <c:v>8.9586099304046402E-2</c:v>
                </c:pt>
                <c:pt idx="339">
                  <c:v>8.9607777251941606E-2</c:v>
                </c:pt>
                <c:pt idx="340">
                  <c:v>8.9629454695359351E-2</c:v>
                </c:pt>
                <c:pt idx="341">
                  <c:v>8.9651131634311182E-2</c:v>
                </c:pt>
                <c:pt idx="342">
                  <c:v>8.967280806880909E-2</c:v>
                </c:pt>
                <c:pt idx="343">
                  <c:v>8.9694483998864621E-2</c:v>
                </c:pt>
                <c:pt idx="344">
                  <c:v>8.9716159424489655E-2</c:v>
                </c:pt>
                <c:pt idx="345">
                  <c:v>8.9737834345695849E-2</c:v>
                </c:pt>
                <c:pt idx="346">
                  <c:v>8.9759508762494972E-2</c:v>
                </c:pt>
                <c:pt idx="347">
                  <c:v>8.9781182674898791E-2</c:v>
                </c:pt>
                <c:pt idx="348">
                  <c:v>8.9802856082918964E-2</c:v>
                </c:pt>
                <c:pt idx="349">
                  <c:v>8.9824528986567259E-2</c:v>
                </c:pt>
                <c:pt idx="350">
                  <c:v>8.9846201385855445E-2</c:v>
                </c:pt>
                <c:pt idx="351">
                  <c:v>8.986787328079518E-2</c:v>
                </c:pt>
                <c:pt idx="352">
                  <c:v>8.9889544671398341E-2</c:v>
                </c:pt>
                <c:pt idx="353">
                  <c:v>8.9911215557676477E-2</c:v>
                </c:pt>
                <c:pt idx="354">
                  <c:v>8.9932885939641577E-2</c:v>
                </c:pt>
                <c:pt idx="355">
                  <c:v>8.9954555817305076E-2</c:v>
                </c:pt>
                <c:pt idx="356">
                  <c:v>8.9976225190678966E-2</c:v>
                </c:pt>
                <c:pt idx="357">
                  <c:v>8.9997894059774902E-2</c:v>
                </c:pt>
                <c:pt idx="358">
                  <c:v>9.0019562424604543E-2</c:v>
                </c:pt>
                <c:pt idx="359">
                  <c:v>9.0041230285179658E-2</c:v>
                </c:pt>
                <c:pt idx="360">
                  <c:v>9.0062897641512013E-2</c:v>
                </c:pt>
                <c:pt idx="361">
                  <c:v>9.0084564493613378E-2</c:v>
                </c:pt>
                <c:pt idx="362">
                  <c:v>9.0106230841495411E-2</c:v>
                </c:pt>
                <c:pt idx="363">
                  <c:v>9.0127896685169878E-2</c:v>
                </c:pt>
                <c:pt idx="364">
                  <c:v>9.0149562024648439E-2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6.504107941071767E-2</c:v>
                </c:pt>
                <c:pt idx="1">
                  <c:v>6.519865146928927E-2</c:v>
                </c:pt>
                <c:pt idx="2">
                  <c:v>6.5356134799607488E-2</c:v>
                </c:pt>
                <c:pt idx="3">
                  <c:v>6.551351548537318E-2</c:v>
                </c:pt>
                <c:pt idx="4">
                  <c:v>6.5670781440018464E-2</c:v>
                </c:pt>
                <c:pt idx="5">
                  <c:v>6.5827922366865771E-2</c:v>
                </c:pt>
                <c:pt idx="6">
                  <c:v>6.5984929703735748E-2</c:v>
                </c:pt>
                <c:pt idx="7">
                  <c:v>6.6141796553027696E-2</c:v>
                </c:pt>
                <c:pt idx="8">
                  <c:v>6.6298517598417608E-2</c:v>
                </c:pt>
                <c:pt idx="9">
                  <c:v>6.6455089009423388E-2</c:v>
                </c:pt>
                <c:pt idx="10">
                  <c:v>6.6611508335181716E-2</c:v>
                </c:pt>
                <c:pt idx="11">
                  <c:v>6.6767774388858836E-2</c:v>
                </c:pt>
                <c:pt idx="12">
                  <c:v>6.692388712418125E-2</c:v>
                </c:pt>
                <c:pt idx="13">
                  <c:v>6.7079847505620085E-2</c:v>
                </c:pt>
                <c:pt idx="14">
                  <c:v>6.7235657373795873E-2</c:v>
                </c:pt>
                <c:pt idx="15">
                  <c:v>6.7391319307686326E-2</c:v>
                </c:pt>
                <c:pt idx="16">
                  <c:v>6.7546836485219378E-2</c:v>
                </c:pt>
                <c:pt idx="17">
                  <c:v>6.7702212543820209E-2</c:v>
                </c:pt>
                <c:pt idx="18">
                  <c:v>6.7857451442448327E-2</c:v>
                </c:pt>
                <c:pt idx="19">
                  <c:v>6.8012557326616291E-2</c:v>
                </c:pt>
                <c:pt idx="20">
                  <c:v>6.8167534397822097E-2</c:v>
                </c:pt>
                <c:pt idx="21">
                  <c:v>6.8322386788752895E-2</c:v>
                </c:pt>
                <c:pt idx="22">
                  <c:v>6.84771184455331E-2</c:v>
                </c:pt>
                <c:pt idx="23">
                  <c:v>6.8631733018192351E-2</c:v>
                </c:pt>
                <c:pt idx="24">
                  <c:v>6.8786233760420867E-2</c:v>
                </c:pt>
                <c:pt idx="25">
                  <c:v>6.8940623439563975E-2</c:v>
                </c:pt>
                <c:pt idx="26">
                  <c:v>6.9094904257682305E-2</c:v>
                </c:pt>
                <c:pt idx="27">
                  <c:v>6.9249077784373864E-2</c:v>
                </c:pt>
                <c:pt idx="28">
                  <c:v>6.9403144901918706E-2</c:v>
                </c:pt>
                <c:pt idx="29">
                  <c:v>6.9557105763166691E-2</c:v>
                </c:pt>
                <c:pt idx="30">
                  <c:v>6.9710959762449037E-2</c:v>
                </c:pt>
                <c:pt idx="31">
                  <c:v>6.9864705519651349E-2</c:v>
                </c:pt>
                <c:pt idx="32">
                  <c:v>7.0018340877445684E-2</c:v>
                </c:pt>
                <c:pt idx="33">
                  <c:v>7.0171862911541344E-2</c:v>
                </c:pt>
                <c:pt idx="34">
                  <c:v>7.032526795367823E-2</c:v>
                </c:pt>
                <c:pt idx="35">
                  <c:v>7.0478551626958652E-2</c:v>
                </c:pt>
                <c:pt idx="36">
                  <c:v>7.0631708892990169E-2</c:v>
                </c:pt>
                <c:pt idx="37">
                  <c:v>7.0784734110196257E-2</c:v>
                </c:pt>
                <c:pt idx="38">
                  <c:v>7.0937621102546117E-2</c:v>
                </c:pt>
                <c:pt idx="39">
                  <c:v>7.1090363237857168E-2</c:v>
                </c:pt>
                <c:pt idx="40">
                  <c:v>7.1242953514738583E-2</c:v>
                </c:pt>
                <c:pt idx="41">
                  <c:v>7.1395384657168423E-2</c:v>
                </c:pt>
                <c:pt idx="42">
                  <c:v>7.1547649215634723E-2</c:v>
                </c:pt>
                <c:pt idx="43">
                  <c:v>7.1699739673720134E-2</c:v>
                </c:pt>
                <c:pt idx="44">
                  <c:v>7.185164855897179E-2</c:v>
                </c:pt>
                <c:pt idx="45">
                  <c:v>7.200336855687349E-2</c:v>
                </c:pt>
                <c:pt idx="46">
                  <c:v>7.2154892626725378E-2</c:v>
                </c:pt>
                <c:pt idx="47">
                  <c:v>7.2306214118236928E-2</c:v>
                </c:pt>
                <c:pt idx="48">
                  <c:v>7.2457326887653162E-2</c:v>
                </c:pt>
                <c:pt idx="49">
                  <c:v>7.2608225412259211E-2</c:v>
                </c:pt>
                <c:pt idx="50">
                  <c:v>7.2758904902146565E-2</c:v>
                </c:pt>
                <c:pt idx="51">
                  <c:v>7.2909361408172293E-2</c:v>
                </c:pt>
                <c:pt idx="52">
                  <c:v>7.3059591925101697E-2</c:v>
                </c:pt>
                <c:pt idx="53">
                  <c:v>7.3209594488993737E-2</c:v>
                </c:pt>
                <c:pt idx="54">
                  <c:v>7.3359368267964603E-2</c:v>
                </c:pt>
                <c:pt idx="55">
                  <c:v>7.3508913645550109E-2</c:v>
                </c:pt>
                <c:pt idx="56">
                  <c:v>7.365823229597783E-2</c:v>
                </c:pt>
                <c:pt idx="57">
                  <c:v>7.3807327250756297E-2</c:v>
                </c:pt>
                <c:pt idx="58">
                  <c:v>7.3956202956088554E-2</c:v>
                </c:pt>
                <c:pt idx="59">
                  <c:v>7.4104865320719998E-2</c:v>
                </c:pt>
                <c:pt idx="60">
                  <c:v>7.4253321753935703E-2</c:v>
                </c:pt>
                <c:pt idx="61">
                  <c:v>7.4401581193525732E-2</c:v>
                </c:pt>
                <c:pt idx="62">
                  <c:v>7.4549654123642298E-2</c:v>
                </c:pt>
                <c:pt idx="63">
                  <c:v>7.4697552582573379E-2</c:v>
                </c:pt>
                <c:pt idx="64">
                  <c:v>7.4845290160555966E-2</c:v>
                </c:pt>
                <c:pt idx="65">
                  <c:v>7.4992881987846538E-2</c:v>
                </c:pt>
                <c:pt idx="66">
                  <c:v>7.5140344713354207E-2</c:v>
                </c:pt>
                <c:pt idx="67">
                  <c:v>7.5287696474225521E-2</c:v>
                </c:pt>
                <c:pt idx="68">
                  <c:v>7.5434956856843441E-2</c:v>
                </c:pt>
                <c:pt idx="69">
                  <c:v>7.5582146849771228E-2</c:v>
                </c:pt>
                <c:pt idx="70">
                  <c:v>7.5729288789229923E-2</c:v>
                </c:pt>
                <c:pt idx="71">
                  <c:v>7.5876406297747473E-2</c:v>
                </c:pt>
                <c:pt idx="72">
                  <c:v>7.6023524216657257E-2</c:v>
                </c:pt>
                <c:pt idx="73">
                  <c:v>7.6170668533153685E-2</c:v>
                </c:pt>
                <c:pt idx="74">
                  <c:v>7.6317866302632098E-2</c:v>
                </c:pt>
                <c:pt idx="75">
                  <c:v>7.6465145567050224E-2</c:v>
                </c:pt>
                <c:pt idx="76">
                  <c:v>7.6612535270048535E-2</c:v>
                </c:pt>
                <c:pt idx="77">
                  <c:v>7.6760065169555594E-2</c:v>
                </c:pt>
                <c:pt idx="78">
                  <c:v>7.6907765748587459E-2</c:v>
                </c:pt>
                <c:pt idx="79">
                  <c:v>7.7055668124919305E-2</c:v>
                </c:pt>
                <c:pt idx="80">
                  <c:v>7.7203803960273223E-2</c:v>
                </c:pt>
                <c:pt idx="81">
                  <c:v>7.7352205369620008E-2</c:v>
                </c:pt>
                <c:pt idx="82">
                  <c:v>7.7500904831143025E-2</c:v>
                </c:pt>
                <c:pt idx="83">
                  <c:v>7.7649935097354059E-2</c:v>
                </c:pt>
                <c:pt idx="84">
                  <c:v>7.7799329107789333E-2</c:v>
                </c:pt>
                <c:pt idx="85">
                  <c:v>7.7949119903647016E-2</c:v>
                </c:pt>
                <c:pt idx="86">
                  <c:v>7.8099340544658405E-2</c:v>
                </c:pt>
                <c:pt idx="87">
                  <c:v>7.8250024028413329E-2</c:v>
                </c:pt>
                <c:pt idx="88">
                  <c:v>7.8401203212287773E-2</c:v>
                </c:pt>
                <c:pt idx="89">
                  <c:v>7.8552910738049722E-2</c:v>
                </c:pt>
                <c:pt idx="90">
                  <c:v>7.8705178959148137E-2</c:v>
                </c:pt>
                <c:pt idx="91">
                  <c:v>7.8858039870621677E-2</c:v>
                </c:pt>
                <c:pt idx="92">
                  <c:v>7.9011525041498443E-2</c:v>
                </c:pt>
                <c:pt idx="93">
                  <c:v>7.9165665549497208E-2</c:v>
                </c:pt>
                <c:pt idx="94">
                  <c:v>7.932049191778609E-2</c:v>
                </c:pt>
                <c:pt idx="95">
                  <c:v>7.9476034053504063E-2</c:v>
                </c:pt>
                <c:pt idx="96">
                  <c:v>7.9632321187710423E-2</c:v>
                </c:pt>
                <c:pt idx="97">
                  <c:v>7.9789381816390892E-2</c:v>
                </c:pt>
                <c:pt idx="98">
                  <c:v>7.994724364212473E-2</c:v>
                </c:pt>
                <c:pt idx="99">
                  <c:v>8.0105933515998679E-2</c:v>
                </c:pt>
                <c:pt idx="100">
                  <c:v>8.0265477379345695E-2</c:v>
                </c:pt>
                <c:pt idx="101">
                  <c:v>8.0425900204887046E-2</c:v>
                </c:pt>
                <c:pt idx="102">
                  <c:v>8.0587225936867748E-2</c:v>
                </c:pt>
                <c:pt idx="103">
                  <c:v>8.0749477429793923E-2</c:v>
                </c:pt>
                <c:pt idx="104">
                  <c:v>8.0912676385410789E-2</c:v>
                </c:pt>
                <c:pt idx="105">
                  <c:v>8.1076843287597594E-2</c:v>
                </c:pt>
                <c:pt idx="106">
                  <c:v>8.1241997334902796E-2</c:v>
                </c:pt>
                <c:pt idx="107">
                  <c:v>8.1408156370497142E-2</c:v>
                </c:pt>
                <c:pt idx="108">
                  <c:v>8.1575336809384877E-2</c:v>
                </c:pt>
                <c:pt idx="109">
                  <c:v>8.1743553562781859E-2</c:v>
                </c:pt>
                <c:pt idx="110">
                  <c:v>8.1912819959643557E-2</c:v>
                </c:pt>
                <c:pt idx="111">
                  <c:v>8.2083147665406364E-2</c:v>
                </c:pt>
                <c:pt idx="112">
                  <c:v>8.2254546598087425E-2</c:v>
                </c:pt>
                <c:pt idx="113">
                  <c:v>8.242702484197556E-2</c:v>
                </c:pt>
                <c:pt idx="114">
                  <c:v>8.2600588559232371E-2</c:v>
                </c:pt>
                <c:pt idx="115">
                  <c:v>8.2775241899810587E-2</c:v>
                </c:pt>
                <c:pt idx="116">
                  <c:v>8.2950986910184751E-2</c:v>
                </c:pt>
                <c:pt idx="117">
                  <c:v>8.312782344147264E-2</c:v>
                </c:pt>
                <c:pt idx="118">
                  <c:v>8.3305749057608958E-2</c:v>
                </c:pt>
                <c:pt idx="119">
                  <c:v>8.3484758944308901E-2</c:v>
                </c:pt>
                <c:pt idx="120">
                  <c:v>8.3664845819631503E-2</c:v>
                </c:pt>
                <c:pt idx="121">
                  <c:v>8.3845999847015948E-2</c:v>
                </c:pt>
                <c:pt idx="122">
                  <c:v>8.4028208551721856E-2</c:v>
                </c:pt>
                <c:pt idx="123">
                  <c:v>8.421145674165173E-2</c:v>
                </c:pt>
                <c:pt idx="124">
                  <c:v>8.4395726433570961E-2</c:v>
                </c:pt>
                <c:pt idx="125">
                  <c:v>8.4580996785768858E-2</c:v>
                </c:pt>
                <c:pt idx="126">
                  <c:v>8.4767244038219641E-2</c:v>
                </c:pt>
                <c:pt idx="127">
                  <c:v>8.4954441461305333E-2</c:v>
                </c:pt>
                <c:pt idx="128">
                  <c:v>8.5142559314155153E-2</c:v>
                </c:pt>
                <c:pt idx="129">
                  <c:v>8.5331564813633978E-2</c:v>
                </c:pt>
                <c:pt idx="130">
                  <c:v>8.5521422114977874E-2</c:v>
                </c:pt>
                <c:pt idx="131">
                  <c:v>8.5712092305028784E-2</c:v>
                </c:pt>
                <c:pt idx="132">
                  <c:v>8.5903533408959037E-2</c:v>
                </c:pt>
                <c:pt idx="133">
                  <c:v>8.6095700411305348E-2</c:v>
                </c:pt>
                <c:pt idx="134">
                  <c:v>8.628854529204634E-2</c:v>
                </c:pt>
                <c:pt idx="135">
                  <c:v>8.6482017078362547E-2</c:v>
                </c:pt>
                <c:pt idx="136">
                  <c:v>8.6676061912610333E-2</c:v>
                </c:pt>
                <c:pt idx="137">
                  <c:v>8.6870623136925257E-2</c:v>
                </c:pt>
                <c:pt idx="138">
                  <c:v>8.7065641394743723E-2</c:v>
                </c:pt>
                <c:pt idx="139">
                  <c:v>8.7261054749399602E-2</c:v>
                </c:pt>
                <c:pt idx="140">
                  <c:v>8.7456798819811193E-2</c:v>
                </c:pt>
                <c:pt idx="141">
                  <c:v>8.7652806933129337E-2</c:v>
                </c:pt>
                <c:pt idx="142">
                  <c:v>8.7849010294067678E-2</c:v>
                </c:pt>
                <c:pt idx="143">
                  <c:v>8.8045338170485002E-2</c:v>
                </c:pt>
                <c:pt idx="144">
                  <c:v>8.8241718094635921E-2</c:v>
                </c:pt>
                <c:pt idx="145">
                  <c:v>8.843807607935536E-2</c:v>
                </c:pt>
                <c:pt idx="146">
                  <c:v>8.8634336848291639E-2</c:v>
                </c:pt>
                <c:pt idx="147">
                  <c:v>8.8830424079157713E-2</c:v>
                </c:pt>
                <c:pt idx="148">
                  <c:v>8.9026260658828904E-2</c:v>
                </c:pt>
                <c:pt idx="149">
                  <c:v>8.9221768948982927E-2</c:v>
                </c:pt>
                <c:pt idx="150">
                  <c:v>8.9416871060852041E-2</c:v>
                </c:pt>
                <c:pt idx="151">
                  <c:v>8.9611489137542411E-2</c:v>
                </c:pt>
                <c:pt idx="152">
                  <c:v>8.9805545642272125E-2</c:v>
                </c:pt>
                <c:pt idx="153">
                  <c:v>8.9998963650787203E-2</c:v>
                </c:pt>
                <c:pt idx="154">
                  <c:v>9.0191667146138618E-2</c:v>
                </c:pt>
                <c:pt idx="155">
                  <c:v>9.0383581313938643E-2</c:v>
                </c:pt>
                <c:pt idx="156">
                  <c:v>9.0574632836169303E-2</c:v>
                </c:pt>
                <c:pt idx="157">
                  <c:v>9.0764750181583337E-2</c:v>
                </c:pt>
                <c:pt idx="158">
                  <c:v>9.095386389072517E-2</c:v>
                </c:pt>
                <c:pt idx="159">
                  <c:v>9.1141906853601753E-2</c:v>
                </c:pt>
                <c:pt idx="160">
                  <c:v>9.1328814578054709E-2</c:v>
                </c:pt>
                <c:pt idx="161">
                  <c:v>9.1514525446924219E-2</c:v>
                </c:pt>
                <c:pt idx="162">
                  <c:v>9.1698980962149665E-2</c:v>
                </c:pt>
                <c:pt idx="163">
                  <c:v>9.1882125974027964E-2</c:v>
                </c:pt>
                <c:pt idx="164">
                  <c:v>9.2063908893938368E-2</c:v>
                </c:pt>
                <c:pt idx="165">
                  <c:v>9.2244281888951118E-2</c:v>
                </c:pt>
                <c:pt idx="166">
                  <c:v>9.2423201056857543E-2</c:v>
                </c:pt>
                <c:pt idx="167">
                  <c:v>9.2600626580295928E-2</c:v>
                </c:pt>
                <c:pt idx="168">
                  <c:v>9.2776522858797603E-2</c:v>
                </c:pt>
                <c:pt idx="169">
                  <c:v>9.2950858617737983E-2</c:v>
                </c:pt>
                <c:pt idx="170">
                  <c:v>9.3123606993349345E-2</c:v>
                </c:pt>
                <c:pt idx="171">
                  <c:v>9.3294745593133874E-2</c:v>
                </c:pt>
                <c:pt idx="172">
                  <c:v>9.3464256531202397E-2</c:v>
                </c:pt>
                <c:pt idx="173">
                  <c:v>9.363212643825912E-2</c:v>
                </c:pt>
                <c:pt idx="174">
                  <c:v>9.3798346446149733E-2</c:v>
                </c:pt>
                <c:pt idx="175">
                  <c:v>9.3962912147089558E-2</c:v>
                </c:pt>
                <c:pt idx="176">
                  <c:v>9.4125823527888952E-2</c:v>
                </c:pt>
                <c:pt idx="177">
                  <c:v>9.4287084879689759E-2</c:v>
                </c:pt>
                <c:pt idx="178">
                  <c:v>9.4446704683921509E-2</c:v>
                </c:pt>
                <c:pt idx="179">
                  <c:v>9.4604695475373812E-2</c:v>
                </c:pt>
                <c:pt idx="180">
                  <c:v>9.476107368346269E-2</c:v>
                </c:pt>
                <c:pt idx="181">
                  <c:v>9.4915859452939982E-2</c:v>
                </c:pt>
                <c:pt idx="182">
                  <c:v>9.5069076445455758E-2</c:v>
                </c:pt>
                <c:pt idx="183">
                  <c:v>9.522075162353201E-2</c:v>
                </c:pt>
                <c:pt idx="184">
                  <c:v>9.5370915018639785E-2</c:v>
                </c:pt>
                <c:pt idx="185">
                  <c:v>9.5519599485191356E-2</c:v>
                </c:pt>
                <c:pt idx="186">
                  <c:v>9.566684044236079E-2</c:v>
                </c:pt>
                <c:pt idx="187">
                  <c:v>9.5812675605732048E-2</c:v>
                </c:pt>
                <c:pt idx="188">
                  <c:v>9.595714471083909E-2</c:v>
                </c:pt>
                <c:pt idx="189">
                  <c:v>9.6100289230711178E-2</c:v>
                </c:pt>
                <c:pt idx="190">
                  <c:v>9.6242152089563535E-2</c:v>
                </c:pt>
                <c:pt idx="191">
                  <c:v>9.6382777374782222E-2</c:v>
                </c:pt>
                <c:pt idx="192">
                  <c:v>9.6522210049340043E-2</c:v>
                </c:pt>
                <c:pt idx="193">
                  <c:v>9.6660495666749058E-2</c:v>
                </c:pt>
                <c:pt idx="194">
                  <c:v>9.6797680090604188E-2</c:v>
                </c:pt>
                <c:pt idx="195">
                  <c:v>9.6933809220702466E-2</c:v>
                </c:pt>
                <c:pt idx="196">
                  <c:v>9.706892872763466E-2</c:v>
                </c:pt>
                <c:pt idx="197">
                  <c:v>9.7203083797640796E-2</c:v>
                </c:pt>
                <c:pt idx="198">
                  <c:v>9.7336318889399184E-2</c:v>
                </c:pt>
                <c:pt idx="199">
                  <c:v>9.7468677504282702E-2</c:v>
                </c:pt>
                <c:pt idx="200">
                  <c:v>9.7600201971465655E-2</c:v>
                </c:pt>
                <c:pt idx="201">
                  <c:v>9.7730933249103411E-2</c:v>
                </c:pt>
                <c:pt idx="202">
                  <c:v>9.7860910742633769E-2</c:v>
                </c:pt>
                <c:pt idx="203">
                  <c:v>9.7990172141070031E-2</c:v>
                </c:pt>
                <c:pt idx="204">
                  <c:v>9.8118753271966522E-2</c:v>
                </c:pt>
                <c:pt idx="205">
                  <c:v>9.8246687975548072E-2</c:v>
                </c:pt>
                <c:pt idx="206">
                  <c:v>9.8374007998297833E-2</c:v>
                </c:pt>
                <c:pt idx="207">
                  <c:v>9.8500742906105304E-2</c:v>
                </c:pt>
                <c:pt idx="208">
                  <c:v>9.862692001688099E-2</c:v>
                </c:pt>
                <c:pt idx="209">
                  <c:v>9.8752564352355715E-2</c:v>
                </c:pt>
                <c:pt idx="210">
                  <c:v>9.8877698608596437E-2</c:v>
                </c:pt>
                <c:pt idx="211">
                  <c:v>9.9002343144595134E-2</c:v>
                </c:pt>
                <c:pt idx="212">
                  <c:v>9.9126515988118127E-2</c:v>
                </c:pt>
                <c:pt idx="213">
                  <c:v>9.9250232857846787E-2</c:v>
                </c:pt>
                <c:pt idx="214">
                  <c:v>9.9373507200697445E-2</c:v>
                </c:pt>
                <c:pt idx="215">
                  <c:v>9.9496350243077153E-2</c:v>
                </c:pt>
                <c:pt idx="216">
                  <c:v>9.9618771054718558E-2</c:v>
                </c:pt>
                <c:pt idx="217">
                  <c:v>9.9740776623640032E-2</c:v>
                </c:pt>
                <c:pt idx="218">
                  <c:v>9.9862371940696068E-2</c:v>
                </c:pt>
                <c:pt idx="219">
                  <c:v>9.9983560092123794E-2</c:v>
                </c:pt>
                <c:pt idx="220">
                  <c:v>0.10010434235844799</c:v>
                </c:pt>
                <c:pt idx="221">
                  <c:v>0.1002247183180858</c:v>
                </c:pt>
                <c:pt idx="222">
                  <c:v>0.10034468595398943</c:v>
                </c:pt>
                <c:pt idx="223">
                  <c:v>0.10046424176168266</c:v>
                </c:pt>
                <c:pt idx="224">
                  <c:v>0.10058338085708429</c:v>
                </c:pt>
                <c:pt idx="225">
                  <c:v>0.10070209708256739</c:v>
                </c:pt>
                <c:pt idx="226">
                  <c:v>0.10082038310977744</c:v>
                </c:pt>
                <c:pt idx="227">
                  <c:v>0.10093823053782601</c:v>
                </c:pt>
                <c:pt idx="228">
                  <c:v>0.1010556299855831</c:v>
                </c:pt>
                <c:pt idx="229">
                  <c:v>0.10117257117691743</c:v>
                </c:pt>
                <c:pt idx="230">
                  <c:v>0.10128904301786948</c:v>
                </c:pt>
                <c:pt idx="231">
                  <c:v>0.10140503366489373</c:v>
                </c:pt>
                <c:pt idx="232">
                  <c:v>0.10152053058346629</c:v>
                </c:pt>
                <c:pt idx="233">
                  <c:v>0.10163552059652248</c:v>
                </c:pt>
                <c:pt idx="234">
                  <c:v>0.10174998992236586</c:v>
                </c:pt>
                <c:pt idx="235">
                  <c:v>0.10186392420186963</c:v>
                </c:pt>
                <c:pt idx="236">
                  <c:v>0.10197730851497447</c:v>
                </c:pt>
                <c:pt idx="237">
                  <c:v>0.10209012738666996</c:v>
                </c:pt>
                <c:pt idx="238">
                  <c:v>0.1022023647828285</c:v>
                </c:pt>
                <c:pt idx="239">
                  <c:v>0.10231400409643727</c:v>
                </c:pt>
                <c:pt idx="240">
                  <c:v>0.10242502812494624</c:v>
                </c:pt>
                <c:pt idx="241">
                  <c:v>0.10253541903961202</c:v>
                </c:pt>
                <c:pt idx="242">
                  <c:v>0.10264515834787202</c:v>
                </c:pt>
                <c:pt idx="243">
                  <c:v>0.10275422684992262</c:v>
                </c:pt>
                <c:pt idx="244">
                  <c:v>0.10286260459080356</c:v>
                </c:pt>
                <c:pt idx="245">
                  <c:v>0.10297027080940149</c:v>
                </c:pt>
                <c:pt idx="246">
                  <c:v>0.10307720388588112</c:v>
                </c:pt>
                <c:pt idx="247">
                  <c:v>0.10318338128912762</c:v>
                </c:pt>
                <c:pt idx="248">
                  <c:v>0.10328877952584251</c:v>
                </c:pt>
                <c:pt idx="249">
                  <c:v>0.10339337409297095</c:v>
                </c:pt>
                <c:pt idx="250">
                  <c:v>0.10349713943515453</c:v>
                </c:pt>
                <c:pt idx="251">
                  <c:v>0.10360004890889819</c:v>
                </c:pt>
                <c:pt idx="252">
                  <c:v>0.10370207475511256</c:v>
                </c:pt>
                <c:pt idx="253">
                  <c:v>0.10380318808164418</c:v>
                </c:pt>
                <c:pt idx="254">
                  <c:v>0.10390335885733591</c:v>
                </c:pt>
                <c:pt idx="255">
                  <c:v>0.10400255591906828</c:v>
                </c:pt>
                <c:pt idx="256">
                  <c:v>0.10410074699312198</c:v>
                </c:pt>
                <c:pt idx="257">
                  <c:v>0.10419789873207019</c:v>
                </c:pt>
                <c:pt idx="258">
                  <c:v>0.10429397676826163</c:v>
                </c:pt>
                <c:pt idx="259">
                  <c:v>0.10438894578478915</c:v>
                </c:pt>
                <c:pt idx="260">
                  <c:v>0.10448276960465921</c:v>
                </c:pt>
                <c:pt idx="261">
                  <c:v>0.10457541129868279</c:v>
                </c:pt>
                <c:pt idx="262">
                  <c:v>0.10466683331240408</c:v>
                </c:pt>
                <c:pt idx="263">
                  <c:v>0.10475699761216786</c:v>
                </c:pt>
                <c:pt idx="264">
                  <c:v>0.10484586585020596</c:v>
                </c:pt>
                <c:pt idx="265">
                  <c:v>0.10493339954839569</c:v>
                </c:pt>
                <c:pt idx="266">
                  <c:v>0.10501956030011493</c:v>
                </c:pt>
                <c:pt idx="267">
                  <c:v>0.10510430998938895</c:v>
                </c:pt>
                <c:pt idx="268">
                  <c:v>0.10518761102629863</c:v>
                </c:pt>
                <c:pt idx="269">
                  <c:v>0.10526942659739706</c:v>
                </c:pt>
                <c:pt idx="270">
                  <c:v>0.10534972092966792</c:v>
                </c:pt>
                <c:pt idx="271">
                  <c:v>0.10542845956635483</c:v>
                </c:pt>
                <c:pt idx="272">
                  <c:v>0.10550560965279815</c:v>
                </c:pt>
                <c:pt idx="273">
                  <c:v>0.10558114023023836</c:v>
                </c:pt>
                <c:pt idx="274">
                  <c:v>0.10565502253538281</c:v>
                </c:pt>
                <c:pt idx="275">
                  <c:v>0.10572723030339135</c:v>
                </c:pt>
                <c:pt idx="276">
                  <c:v>0.10579774007181135</c:v>
                </c:pt>
                <c:pt idx="277">
                  <c:v>0.105866531482894</c:v>
                </c:pt>
                <c:pt idx="278">
                  <c:v>0.10593358758164437</c:v>
                </c:pt>
                <c:pt idx="279">
                  <c:v>0.10599889510690587</c:v>
                </c:pt>
                <c:pt idx="280">
                  <c:v>0.10606244477275123</c:v>
                </c:pt>
                <c:pt idx="281">
                  <c:v>0.10612423153745071</c:v>
                </c:pt>
                <c:pt idx="282">
                  <c:v>0.10618425485731355</c:v>
                </c:pt>
                <c:pt idx="283">
                  <c:v>0.10624251892274972</c:v>
                </c:pt>
                <c:pt idx="284">
                  <c:v>0.10629903287397832</c:v>
                </c:pt>
                <c:pt idx="285">
                  <c:v>0.10635381099391217</c:v>
                </c:pt>
                <c:pt idx="286">
                  <c:v>0.10640687287588074</c:v>
                </c:pt>
                <c:pt idx="287">
                  <c:v>0.1064582435640065</c:v>
                </c:pt>
                <c:pt idx="288">
                  <c:v>0.10650795366422997</c:v>
                </c:pt>
                <c:pt idx="289">
                  <c:v>0.10655603942417985</c:v>
                </c:pt>
                <c:pt idx="290">
                  <c:v>0.10660254278030572</c:v>
                </c:pt>
                <c:pt idx="291">
                  <c:v>0.10664751137093209</c:v>
                </c:pt>
                <c:pt idx="292">
                  <c:v>0.10669099851414954</c:v>
                </c:pt>
                <c:pt idx="293">
                  <c:v>0.1067330631497309</c:v>
                </c:pt>
                <c:pt idx="294">
                  <c:v>0.10677376974454399</c:v>
                </c:pt>
                <c:pt idx="295">
                  <c:v>0.10681318816122659</c:v>
                </c:pt>
                <c:pt idx="296">
                  <c:v>0.1068513934901892</c:v>
                </c:pt>
                <c:pt idx="297">
                  <c:v>0.1068884658453161</c:v>
                </c:pt>
                <c:pt idx="298">
                  <c:v>0.10692449012404129</c:v>
                </c:pt>
                <c:pt idx="299">
                  <c:v>0.10695955573278024</c:v>
                </c:pt>
                <c:pt idx="300">
                  <c:v>0.10699375627899851</c:v>
                </c:pt>
                <c:pt idx="301">
                  <c:v>0.10702718923149085</c:v>
                </c:pt>
                <c:pt idx="302">
                  <c:v>0.10705995555072795</c:v>
                </c:pt>
                <c:pt idx="303">
                  <c:v>0.10709215929139763</c:v>
                </c:pt>
                <c:pt idx="304">
                  <c:v>0.1071239071795218</c:v>
                </c:pt>
                <c:pt idx="305">
                  <c:v>0.10715530816676784</c:v>
                </c:pt>
                <c:pt idx="306">
                  <c:v>0.10718647296478973</c:v>
                </c:pt>
                <c:pt idx="307">
                  <c:v>0.10721751356262794</c:v>
                </c:pt>
                <c:pt idx="308">
                  <c:v>0.10724854273036778</c:v>
                </c:pt>
                <c:pt idx="309">
                  <c:v>0.10727967351239957</c:v>
                </c:pt>
                <c:pt idx="310">
                  <c:v>0.10731101871373996</c:v>
                </c:pt>
                <c:pt idx="311">
                  <c:v>0.10734269038296174</c:v>
                </c:pt>
                <c:pt idx="312">
                  <c:v>0.1073747992953369</c:v>
                </c:pt>
                <c:pt idx="313">
                  <c:v>0.1074074544398247</c:v>
                </c:pt>
                <c:pt idx="314">
                  <c:v>0.10744076251353323</c:v>
                </c:pt>
                <c:pt idx="315">
                  <c:v>0.1074748274272469</c:v>
                </c:pt>
                <c:pt idx="316">
                  <c:v>0.10750974982554844</c:v>
                </c:pt>
                <c:pt idx="317">
                  <c:v>0.10754562662496549</c:v>
                </c:pt>
                <c:pt idx="318">
                  <c:v>0.10758255057344716</c:v>
                </c:pt>
                <c:pt idx="319">
                  <c:v>0.10762060983432165</c:v>
                </c:pt>
                <c:pt idx="320">
                  <c:v>0.10765988759770186</c:v>
                </c:pt>
                <c:pt idx="321">
                  <c:v>0.10770046172210078</c:v>
                </c:pt>
                <c:pt idx="322">
                  <c:v>0.10774240440878363</c:v>
                </c:pt>
                <c:pt idx="323">
                  <c:v>0.10778578191113189</c:v>
                </c:pt>
                <c:pt idx="324">
                  <c:v>0.10783065428101898</c:v>
                </c:pt>
                <c:pt idx="325">
                  <c:v>0.10787707515390749</c:v>
                </c:pt>
                <c:pt idx="326">
                  <c:v>0.10792509157407063</c:v>
                </c:pt>
                <c:pt idx="327">
                  <c:v>0.10797474386102396</c:v>
                </c:pt>
                <c:pt idx="328">
                  <c:v>0.10802606551792569</c:v>
                </c:pt>
                <c:pt idx="329">
                  <c:v>0.10807908318237061</c:v>
                </c:pt>
                <c:pt idx="330">
                  <c:v>0.10813381661966691</c:v>
                </c:pt>
                <c:pt idx="331">
                  <c:v>0.10819027875834755</c:v>
                </c:pt>
                <c:pt idx="332">
                  <c:v>0.10824847576733521</c:v>
                </c:pt>
                <c:pt idx="333">
                  <c:v>0.10830840717385128</c:v>
                </c:pt>
                <c:pt idx="334">
                  <c:v>0.10837006602084005</c:v>
                </c:pt>
                <c:pt idx="335">
                  <c:v>0.10843343906237307</c:v>
                </c:pt>
                <c:pt idx="336">
                  <c:v>0.1084985069952039</c:v>
                </c:pt>
                <c:pt idx="337">
                  <c:v>0.10856524472436939</c:v>
                </c:pt>
                <c:pt idx="338">
                  <c:v>0.10863362166047534</c:v>
                </c:pt>
                <c:pt idx="339">
                  <c:v>0.10870360204607091</c:v>
                </c:pt>
                <c:pt idx="340">
                  <c:v>0.10877514530830433</c:v>
                </c:pt>
                <c:pt idx="341">
                  <c:v>0.10884820643486752</c:v>
                </c:pt>
                <c:pt idx="342">
                  <c:v>0.10892273637007779</c:v>
                </c:pt>
                <c:pt idx="343">
                  <c:v>0.10899868242781663</c:v>
                </c:pt>
                <c:pt idx="344">
                  <c:v>0.1090759887179432</c:v>
                </c:pt>
                <c:pt idx="345">
                  <c:v>0.10915459658273115</c:v>
                </c:pt>
                <c:pt idx="346">
                  <c:v>0.10923444503983742</c:v>
                </c:pt>
                <c:pt idx="347">
                  <c:v>0.10931547122830323</c:v>
                </c:pt>
                <c:pt idx="348">
                  <c:v>0.10939761085410894</c:v>
                </c:pt>
                <c:pt idx="349">
                  <c:v>0.10948079863185728</c:v>
                </c:pt>
                <c:pt idx="350">
                  <c:v>0.10956496871924172</c:v>
                </c:pt>
                <c:pt idx="351">
                  <c:v>0.109650055141067</c:v>
                </c:pt>
                <c:pt idx="352">
                  <c:v>0.10973599219972674</c:v>
                </c:pt>
                <c:pt idx="353">
                  <c:v>0.10982271486920785</c:v>
                </c:pt>
                <c:pt idx="354">
                  <c:v>0.10991015916987946</c:v>
                </c:pt>
                <c:pt idx="355">
                  <c:v>0.10999826252153409</c:v>
                </c:pt>
                <c:pt idx="356">
                  <c:v>0.11008696407237996</c:v>
                </c:pt>
                <c:pt idx="357">
                  <c:v>0.11017620500193226</c:v>
                </c:pt>
                <c:pt idx="358">
                  <c:v>0.11026592879601352</c:v>
                </c:pt>
                <c:pt idx="359">
                  <c:v>0.11035608149235146</c:v>
                </c:pt>
                <c:pt idx="360">
                  <c:v>0.11044661189554751</c:v>
                </c:pt>
                <c:pt idx="361">
                  <c:v>0.11053747176048456</c:v>
                </c:pt>
                <c:pt idx="362">
                  <c:v>0.11062861594353887</c:v>
                </c:pt>
                <c:pt idx="363">
                  <c:v>0.11072000252126249</c:v>
                </c:pt>
                <c:pt idx="364">
                  <c:v>0.11081159287649894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3.4679922574505001E-2</c:v>
                </c:pt>
                <c:pt idx="1">
                  <c:v>3.4732496649206024E-2</c:v>
                </c:pt>
                <c:pt idx="2">
                  <c:v>3.4789794730594063E-2</c:v>
                </c:pt>
                <c:pt idx="3">
                  <c:v>3.4850835294280937E-2</c:v>
                </c:pt>
                <c:pt idx="4">
                  <c:v>3.4914663132794593E-2</c:v>
                </c:pt>
                <c:pt idx="5">
                  <c:v>3.498035092231503E-2</c:v>
                </c:pt>
                <c:pt idx="6">
                  <c:v>3.5047000910042654E-2</c:v>
                </c:pt>
                <c:pt idx="7">
                  <c:v>3.5113746565319987E-2</c:v>
                </c:pt>
                <c:pt idx="8">
                  <c:v>3.5178547861549038E-2</c:v>
                </c:pt>
                <c:pt idx="9">
                  <c:v>3.5223788703125772E-2</c:v>
                </c:pt>
                <c:pt idx="10">
                  <c:v>3.5238697556436348E-2</c:v>
                </c:pt>
                <c:pt idx="11">
                  <c:v>3.5225384831024553E-2</c:v>
                </c:pt>
                <c:pt idx="12">
                  <c:v>3.51859501707932E-2</c:v>
                </c:pt>
                <c:pt idx="13">
                  <c:v>3.5122464497105314E-2</c:v>
                </c:pt>
                <c:pt idx="14">
                  <c:v>3.5036954693177247E-2</c:v>
                </c:pt>
                <c:pt idx="15">
                  <c:v>3.4913731103654866E-2</c:v>
                </c:pt>
                <c:pt idx="16">
                  <c:v>3.4751577676337707E-2</c:v>
                </c:pt>
                <c:pt idx="17">
                  <c:v>3.4553064835445714E-2</c:v>
                </c:pt>
                <c:pt idx="18">
                  <c:v>3.4320666960070557E-2</c:v>
                </c:pt>
                <c:pt idx="19">
                  <c:v>3.405694143813081E-2</c:v>
                </c:pt>
                <c:pt idx="20">
                  <c:v>3.3764408914231839E-2</c:v>
                </c:pt>
                <c:pt idx="21">
                  <c:v>3.3445313067606959E-2</c:v>
                </c:pt>
                <c:pt idx="22">
                  <c:v>3.3098412510723763E-2</c:v>
                </c:pt>
                <c:pt idx="23">
                  <c:v>3.2717222438983819E-2</c:v>
                </c:pt>
                <c:pt idx="24">
                  <c:v>3.2317789105363148E-2</c:v>
                </c:pt>
                <c:pt idx="25">
                  <c:v>3.1901336473502039E-2</c:v>
                </c:pt>
                <c:pt idx="26">
                  <c:v>3.1469031861482567E-2</c:v>
                </c:pt>
                <c:pt idx="27">
                  <c:v>3.1021985003459235E-2</c:v>
                </c:pt>
                <c:pt idx="28">
                  <c:v>3.0561247649896518E-2</c:v>
                </c:pt>
                <c:pt idx="29">
                  <c:v>3.0094587623191019E-2</c:v>
                </c:pt>
                <c:pt idx="30">
                  <c:v>2.9637472760491265E-2</c:v>
                </c:pt>
                <c:pt idx="31">
                  <c:v>2.9190016626505121E-2</c:v>
                </c:pt>
                <c:pt idx="32">
                  <c:v>2.8752300364589405E-2</c:v>
                </c:pt>
                <c:pt idx="33">
                  <c:v>2.8324375455803415E-2</c:v>
                </c:pt>
                <c:pt idx="34">
                  <c:v>2.790626640929094E-2</c:v>
                </c:pt>
                <c:pt idx="35">
                  <c:v>2.7497973357947056E-2</c:v>
                </c:pt>
                <c:pt idx="36">
                  <c:v>2.7099876698770686E-2</c:v>
                </c:pt>
                <c:pt idx="37">
                  <c:v>2.6730412332077885E-2</c:v>
                </c:pt>
                <c:pt idx="38">
                  <c:v>2.6392363125270154E-2</c:v>
                </c:pt>
                <c:pt idx="39">
                  <c:v>2.6084309811868066E-2</c:v>
                </c:pt>
                <c:pt idx="40">
                  <c:v>2.5804901455467936E-2</c:v>
                </c:pt>
                <c:pt idx="41">
                  <c:v>2.5552848695978393E-2</c:v>
                </c:pt>
                <c:pt idx="42">
                  <c:v>2.5326917778546745E-2</c:v>
                </c:pt>
                <c:pt idx="43">
                  <c:v>2.5148072365442829E-2</c:v>
                </c:pt>
                <c:pt idx="44">
                  <c:v>2.5008762259991855E-2</c:v>
                </c:pt>
                <c:pt idx="45">
                  <c:v>2.4907356029680552E-2</c:v>
                </c:pt>
                <c:pt idx="46">
                  <c:v>2.4842268458421034E-2</c:v>
                </c:pt>
                <c:pt idx="47">
                  <c:v>2.4811955834292198E-2</c:v>
                </c:pt>
                <c:pt idx="48">
                  <c:v>2.4814911935767483E-2</c:v>
                </c:pt>
                <c:pt idx="49">
                  <c:v>2.4849664699125668E-2</c:v>
                </c:pt>
                <c:pt idx="50">
                  <c:v>2.4914887774041598E-2</c:v>
                </c:pt>
                <c:pt idx="51">
                  <c:v>2.5027800087244988E-2</c:v>
                </c:pt>
                <c:pt idx="52">
                  <c:v>2.517136189488119E-2</c:v>
                </c:pt>
                <c:pt idx="53">
                  <c:v>2.534465269677625E-2</c:v>
                </c:pt>
                <c:pt idx="54">
                  <c:v>2.5546895626431868E-2</c:v>
                </c:pt>
                <c:pt idx="55">
                  <c:v>2.577733861580531E-2</c:v>
                </c:pt>
                <c:pt idx="56">
                  <c:v>2.6035258608520035E-2</c:v>
                </c:pt>
                <c:pt idx="57">
                  <c:v>2.6328632886157926E-2</c:v>
                </c:pt>
                <c:pt idx="58">
                  <c:v>2.6637918238410579E-2</c:v>
                </c:pt>
                <c:pt idx="59">
                  <c:v>2.6962873841922752E-2</c:v>
                </c:pt>
                <c:pt idx="60">
                  <c:v>2.730328987083883E-2</c:v>
                </c:pt>
                <c:pt idx="61">
                  <c:v>2.7658989114461494E-2</c:v>
                </c:pt>
                <c:pt idx="62">
                  <c:v>2.8029828473734419E-2</c:v>
                </c:pt>
                <c:pt idx="63">
                  <c:v>2.8415700338971932E-2</c:v>
                </c:pt>
                <c:pt idx="64">
                  <c:v>2.8814239479638785E-2</c:v>
                </c:pt>
                <c:pt idx="65">
                  <c:v>2.9217824816721298E-2</c:v>
                </c:pt>
                <c:pt idx="66">
                  <c:v>2.9611679099728661E-2</c:v>
                </c:pt>
                <c:pt idx="67">
                  <c:v>2.9996826931831356E-2</c:v>
                </c:pt>
                <c:pt idx="68">
                  <c:v>3.0374307014025541E-2</c:v>
                </c:pt>
                <c:pt idx="69">
                  <c:v>3.0745169351184137E-2</c:v>
                </c:pt>
                <c:pt idx="70">
                  <c:v>3.111047303487351E-2</c:v>
                </c:pt>
                <c:pt idx="71">
                  <c:v>3.1438285082194539E-2</c:v>
                </c:pt>
                <c:pt idx="72">
                  <c:v>3.1723308140739745E-2</c:v>
                </c:pt>
                <c:pt idx="73">
                  <c:v>3.1967825180518293E-2</c:v>
                </c:pt>
                <c:pt idx="74">
                  <c:v>3.2174047548516667E-2</c:v>
                </c:pt>
                <c:pt idx="75">
                  <c:v>3.234410994574452E-2</c:v>
                </c:pt>
                <c:pt idx="76">
                  <c:v>3.2480066437220137E-2</c:v>
                </c:pt>
                <c:pt idx="77">
                  <c:v>3.2583887378183587E-2</c:v>
                </c:pt>
                <c:pt idx="78">
                  <c:v>3.2653888749404586E-2</c:v>
                </c:pt>
                <c:pt idx="79">
                  <c:v>3.2656486398200429E-2</c:v>
                </c:pt>
                <c:pt idx="80">
                  <c:v>3.2599382296581075E-2</c:v>
                </c:pt>
                <c:pt idx="81">
                  <c:v>3.2485318828546168E-2</c:v>
                </c:pt>
                <c:pt idx="82">
                  <c:v>3.2316904848276602E-2</c:v>
                </c:pt>
                <c:pt idx="83">
                  <c:v>3.2096604053557395E-2</c:v>
                </c:pt>
                <c:pt idx="84">
                  <c:v>3.1826725314618103E-2</c:v>
                </c:pt>
                <c:pt idx="85">
                  <c:v>3.1492226449514611E-2</c:v>
                </c:pt>
                <c:pt idx="86">
                  <c:v>3.112412386430671E-2</c:v>
                </c:pt>
                <c:pt idx="87">
                  <c:v>3.0723899834319206E-2</c:v>
                </c:pt>
                <c:pt idx="88">
                  <c:v>3.029288266367549E-2</c:v>
                </c:pt>
                <c:pt idx="89">
                  <c:v>2.9832244829302398E-2</c:v>
                </c:pt>
                <c:pt idx="90">
                  <c:v>2.9343001514931279E-2</c:v>
                </c:pt>
                <c:pt idx="91">
                  <c:v>2.8826009408795573E-2</c:v>
                </c:pt>
                <c:pt idx="92">
                  <c:v>2.828039536895053E-2</c:v>
                </c:pt>
                <c:pt idx="93">
                  <c:v>2.7690007291369757E-2</c:v>
                </c:pt>
                <c:pt idx="94">
                  <c:v>2.7083998217507028E-2</c:v>
                </c:pt>
                <c:pt idx="95">
                  <c:v>2.6462038883100659E-2</c:v>
                </c:pt>
                <c:pt idx="96">
                  <c:v>2.5823757874244312E-2</c:v>
                </c:pt>
                <c:pt idx="97">
                  <c:v>2.5168741315374492E-2</c:v>
                </c:pt>
                <c:pt idx="98">
                  <c:v>2.4496532552104967E-2</c:v>
                </c:pt>
                <c:pt idx="99">
                  <c:v>2.3809718459518223E-2</c:v>
                </c:pt>
                <c:pt idx="100">
                  <c:v>2.3123713498168642E-2</c:v>
                </c:pt>
                <c:pt idx="101">
                  <c:v>2.2437734134627175E-2</c:v>
                </c:pt>
                <c:pt idx="102">
                  <c:v>2.1750985908417723E-2</c:v>
                </c:pt>
                <c:pt idx="103">
                  <c:v>2.1062661884154808E-2</c:v>
                </c:pt>
                <c:pt idx="104">
                  <c:v>2.0371941183599317E-2</c:v>
                </c:pt>
                <c:pt idx="105">
                  <c:v>1.9677987569199928E-2</c:v>
                </c:pt>
                <c:pt idx="106">
                  <c:v>1.8980043126169733E-2</c:v>
                </c:pt>
                <c:pt idx="107">
                  <c:v>1.8290184992697175E-2</c:v>
                </c:pt>
                <c:pt idx="108">
                  <c:v>1.7622024710993049E-2</c:v>
                </c:pt>
                <c:pt idx="109">
                  <c:v>1.6974674924649005E-2</c:v>
                </c:pt>
                <c:pt idx="110">
                  <c:v>1.6347317035339697E-2</c:v>
                </c:pt>
                <c:pt idx="111">
                  <c:v>1.5739146997798343E-2</c:v>
                </c:pt>
                <c:pt idx="112">
                  <c:v>1.5149330155322561E-2</c:v>
                </c:pt>
                <c:pt idx="113">
                  <c:v>1.4592236955279761E-2</c:v>
                </c:pt>
                <c:pt idx="114">
                  <c:v>1.4064776562001014E-2</c:v>
                </c:pt>
                <c:pt idx="115">
                  <c:v>1.3566488071403246E-2</c:v>
                </c:pt>
                <c:pt idx="116">
                  <c:v>1.3096960601572243E-2</c:v>
                </c:pt>
                <c:pt idx="117">
                  <c:v>1.2655832391163193E-2</c:v>
                </c:pt>
                <c:pt idx="118">
                  <c:v>1.2242789924777907E-2</c:v>
                </c:pt>
                <c:pt idx="119">
                  <c:v>1.1857567080906264E-2</c:v>
                </c:pt>
                <c:pt idx="120">
                  <c:v>1.1499850541107821E-2</c:v>
                </c:pt>
                <c:pt idx="121">
                  <c:v>1.1184391296114557E-2</c:v>
                </c:pt>
                <c:pt idx="122">
                  <c:v>1.0898539884737754E-2</c:v>
                </c:pt>
                <c:pt idx="123">
                  <c:v>1.0642440325062751E-2</c:v>
                </c:pt>
                <c:pt idx="124">
                  <c:v>1.0416286761846069E-2</c:v>
                </c:pt>
                <c:pt idx="125">
                  <c:v>1.022032423789637E-2</c:v>
                </c:pt>
                <c:pt idx="126">
                  <c:v>1.0054849396564449E-2</c:v>
                </c:pt>
                <c:pt idx="127">
                  <c:v>9.9266553215194599E-3</c:v>
                </c:pt>
                <c:pt idx="128">
                  <c:v>9.8197532531444764E-3</c:v>
                </c:pt>
                <c:pt idx="129">
                  <c:v>9.734332087419563E-3</c:v>
                </c:pt>
                <c:pt idx="130">
                  <c:v>9.6706125893872303E-3</c:v>
                </c:pt>
                <c:pt idx="131">
                  <c:v>9.6288475450000272E-3</c:v>
                </c:pt>
                <c:pt idx="132">
                  <c:v>9.6093218727817346E-3</c:v>
                </c:pt>
                <c:pt idx="133">
                  <c:v>9.6123527046194299E-3</c:v>
                </c:pt>
                <c:pt idx="134">
                  <c:v>9.6383533802940676E-3</c:v>
                </c:pt>
                <c:pt idx="135">
                  <c:v>9.6924317944292408E-3</c:v>
                </c:pt>
                <c:pt idx="136">
                  <c:v>9.7586687483800401E-3</c:v>
                </c:pt>
                <c:pt idx="137">
                  <c:v>9.8372478247563313E-3</c:v>
                </c:pt>
                <c:pt idx="138">
                  <c:v>9.9283702351590421E-3</c:v>
                </c:pt>
                <c:pt idx="139">
                  <c:v>1.0032253584413075E-2</c:v>
                </c:pt>
                <c:pt idx="140">
                  <c:v>1.014913055324871E-2</c:v>
                </c:pt>
                <c:pt idx="141">
                  <c:v>1.0280185252135397E-2</c:v>
                </c:pt>
                <c:pt idx="142">
                  <c:v>1.0418523744236049E-2</c:v>
                </c:pt>
                <c:pt idx="143">
                  <c:v>1.0564278542304248E-2</c:v>
                </c:pt>
                <c:pt idx="144">
                  <c:v>1.0717651413445018E-2</c:v>
                </c:pt>
                <c:pt idx="145">
                  <c:v>1.087885149654797E-2</c:v>
                </c:pt>
                <c:pt idx="146">
                  <c:v>1.1048094432449158E-2</c:v>
                </c:pt>
                <c:pt idx="147">
                  <c:v>1.122560140098753E-2</c:v>
                </c:pt>
                <c:pt idx="148">
                  <c:v>1.1411933700199283E-2</c:v>
                </c:pt>
                <c:pt idx="149">
                  <c:v>1.1605522226226322E-2</c:v>
                </c:pt>
                <c:pt idx="150">
                  <c:v>1.1800514419944412E-2</c:v>
                </c:pt>
                <c:pt idx="151">
                  <c:v>1.1996836450823233E-2</c:v>
                </c:pt>
                <c:pt idx="152">
                  <c:v>1.219441038154947E-2</c:v>
                </c:pt>
                <c:pt idx="153">
                  <c:v>1.2393154345219039E-2</c:v>
                </c:pt>
                <c:pt idx="154">
                  <c:v>1.2592982733162736E-2</c:v>
                </c:pt>
                <c:pt idx="155">
                  <c:v>1.2791269696710001E-2</c:v>
                </c:pt>
                <c:pt idx="156">
                  <c:v>1.2986397549766332E-2</c:v>
                </c:pt>
                <c:pt idx="157">
                  <c:v>1.3178088040207736E-2</c:v>
                </c:pt>
                <c:pt idx="158">
                  <c:v>1.3366058303953961E-2</c:v>
                </c:pt>
                <c:pt idx="159">
                  <c:v>1.3550021861916934E-2</c:v>
                </c:pt>
                <c:pt idx="160">
                  <c:v>1.3729689648445405E-2</c:v>
                </c:pt>
                <c:pt idx="161">
                  <c:v>1.3904771060070695E-2</c:v>
                </c:pt>
                <c:pt idx="162">
                  <c:v>1.4075163379800394E-2</c:v>
                </c:pt>
                <c:pt idx="163">
                  <c:v>1.4237886503688037E-2</c:v>
                </c:pt>
                <c:pt idx="164">
                  <c:v>1.4395130378189853E-2</c:v>
                </c:pt>
                <c:pt idx="165">
                  <c:v>1.4546692376549987E-2</c:v>
                </c:pt>
                <c:pt idx="166">
                  <c:v>1.4692376181279963E-2</c:v>
                </c:pt>
                <c:pt idx="167">
                  <c:v>1.4831992472755691E-2</c:v>
                </c:pt>
                <c:pt idx="168">
                  <c:v>1.4965359558782976E-2</c:v>
                </c:pt>
                <c:pt idx="169">
                  <c:v>1.5089232926564746E-2</c:v>
                </c:pt>
                <c:pt idx="170">
                  <c:v>1.5206238321735187E-2</c:v>
                </c:pt>
                <c:pt idx="171">
                  <c:v>1.531621688172422E-2</c:v>
                </c:pt>
                <c:pt idx="172">
                  <c:v>1.5419019337241584E-2</c:v>
                </c:pt>
                <c:pt idx="173">
                  <c:v>1.5514347625450902E-2</c:v>
                </c:pt>
                <c:pt idx="174">
                  <c:v>1.5601901675653665E-2</c:v>
                </c:pt>
                <c:pt idx="175">
                  <c:v>1.5681544693037553E-2</c:v>
                </c:pt>
                <c:pt idx="176">
                  <c:v>1.575315078035687E-2</c:v>
                </c:pt>
                <c:pt idx="177">
                  <c:v>1.5813614550574416E-2</c:v>
                </c:pt>
                <c:pt idx="178">
                  <c:v>1.5866032767077171E-2</c:v>
                </c:pt>
                <c:pt idx="179">
                  <c:v>1.5910316096007026E-2</c:v>
                </c:pt>
                <c:pt idx="180">
                  <c:v>1.5946385499087324E-2</c:v>
                </c:pt>
                <c:pt idx="181">
                  <c:v>1.5974171905654286E-2</c:v>
                </c:pt>
                <c:pt idx="182">
                  <c:v>1.5993615807221945E-2</c:v>
                </c:pt>
                <c:pt idx="183">
                  <c:v>1.6001893533875922E-2</c:v>
                </c:pt>
                <c:pt idx="184">
                  <c:v>1.6002285742126067E-2</c:v>
                </c:pt>
                <c:pt idx="185">
                  <c:v>1.5994768451486271E-2</c:v>
                </c:pt>
                <c:pt idx="186">
                  <c:v>1.5979324669501825E-2</c:v>
                </c:pt>
                <c:pt idx="187">
                  <c:v>1.5955943701964573E-2</c:v>
                </c:pt>
                <c:pt idx="188">
                  <c:v>1.592462042332243E-2</c:v>
                </c:pt>
                <c:pt idx="189">
                  <c:v>1.5885354518701818E-2</c:v>
                </c:pt>
                <c:pt idx="190">
                  <c:v>1.5838340232700338E-2</c:v>
                </c:pt>
                <c:pt idx="191">
                  <c:v>1.5786511434029902E-2</c:v>
                </c:pt>
                <c:pt idx="192">
                  <c:v>1.573312407228869E-2</c:v>
                </c:pt>
                <c:pt idx="193">
                  <c:v>1.5678239308733133E-2</c:v>
                </c:pt>
                <c:pt idx="194">
                  <c:v>1.5621916307026263E-2</c:v>
                </c:pt>
                <c:pt idx="195">
                  <c:v>1.5564211779263785E-2</c:v>
                </c:pt>
                <c:pt idx="196">
                  <c:v>1.5505179568693508E-2</c:v>
                </c:pt>
                <c:pt idx="197">
                  <c:v>1.5455758453774964E-2</c:v>
                </c:pt>
                <c:pt idx="198">
                  <c:v>1.5419216492748276E-2</c:v>
                </c:pt>
                <c:pt idx="199">
                  <c:v>1.5395872994578407E-2</c:v>
                </c:pt>
                <c:pt idx="200">
                  <c:v>1.538603659948309E-2</c:v>
                </c:pt>
                <c:pt idx="201">
                  <c:v>1.5390004944884007E-2</c:v>
                </c:pt>
                <c:pt idx="202">
                  <c:v>1.5408064343785681E-2</c:v>
                </c:pt>
                <c:pt idx="203">
                  <c:v>1.5440489465462819E-2</c:v>
                </c:pt>
                <c:pt idx="204">
                  <c:v>1.548748330467549E-2</c:v>
                </c:pt>
                <c:pt idx="205">
                  <c:v>1.556013781489477E-2</c:v>
                </c:pt>
                <c:pt idx="206">
                  <c:v>1.5655784058123186E-2</c:v>
                </c:pt>
                <c:pt idx="207">
                  <c:v>1.5774902812541489E-2</c:v>
                </c:pt>
                <c:pt idx="208">
                  <c:v>1.5917973176651515E-2</c:v>
                </c:pt>
                <c:pt idx="209">
                  <c:v>1.6085475178724881E-2</c:v>
                </c:pt>
                <c:pt idx="210">
                  <c:v>1.6277892473982494E-2</c:v>
                </c:pt>
                <c:pt idx="211">
                  <c:v>1.6522723921325654E-2</c:v>
                </c:pt>
                <c:pt idx="212">
                  <c:v>1.6808792444384879E-2</c:v>
                </c:pt>
                <c:pt idx="213">
                  <c:v>1.7136738843685585E-2</c:v>
                </c:pt>
                <c:pt idx="214">
                  <c:v>1.7507229294959518E-2</c:v>
                </c:pt>
                <c:pt idx="215">
                  <c:v>1.7920960087955386E-2</c:v>
                </c:pt>
                <c:pt idx="216">
                  <c:v>1.837866252051602E-2</c:v>
                </c:pt>
                <c:pt idx="217">
                  <c:v>1.8881107967411367E-2</c:v>
                </c:pt>
                <c:pt idx="218">
                  <c:v>1.9428638003241433E-2</c:v>
                </c:pt>
                <c:pt idx="219">
                  <c:v>2.005487504678418E-2</c:v>
                </c:pt>
                <c:pt idx="220">
                  <c:v>2.0749532040439105E-2</c:v>
                </c:pt>
                <c:pt idx="221">
                  <c:v>2.1513662965271182E-2</c:v>
                </c:pt>
                <c:pt idx="222">
                  <c:v>2.2348357936381794E-2</c:v>
                </c:pt>
                <c:pt idx="223">
                  <c:v>2.3254746220984286E-2</c:v>
                </c:pt>
                <c:pt idx="224">
                  <c:v>2.4233999327886894E-2</c:v>
                </c:pt>
                <c:pt idx="225">
                  <c:v>2.5302989877296875E-2</c:v>
                </c:pt>
                <c:pt idx="226">
                  <c:v>2.6434266400322384E-2</c:v>
                </c:pt>
                <c:pt idx="227">
                  <c:v>2.7628892508501663E-2</c:v>
                </c:pt>
                <c:pt idx="228">
                  <c:v>2.8887983399975749E-2</c:v>
                </c:pt>
                <c:pt idx="229">
                  <c:v>3.0212708800422688E-2</c:v>
                </c:pt>
                <c:pt idx="230">
                  <c:v>3.1604296065383695E-2</c:v>
                </c:pt>
                <c:pt idx="231">
                  <c:v>3.3064033481761922E-2</c:v>
                </c:pt>
                <c:pt idx="232">
                  <c:v>3.4592927891617276E-2</c:v>
                </c:pt>
                <c:pt idx="233">
                  <c:v>3.6182177873084892E-2</c:v>
                </c:pt>
                <c:pt idx="234">
                  <c:v>3.7796804623380573E-2</c:v>
                </c:pt>
                <c:pt idx="235">
                  <c:v>3.9437414320969172E-2</c:v>
                </c:pt>
                <c:pt idx="236">
                  <c:v>4.1104674192703021E-2</c:v>
                </c:pt>
                <c:pt idx="237">
                  <c:v>4.2799275346658144E-2</c:v>
                </c:pt>
                <c:pt idx="238">
                  <c:v>4.4521957727474873E-2</c:v>
                </c:pt>
                <c:pt idx="239">
                  <c:v>4.6236518374238686E-2</c:v>
                </c:pt>
                <c:pt idx="240">
                  <c:v>4.7926414120267567E-2</c:v>
                </c:pt>
                <c:pt idx="241">
                  <c:v>4.9591559460638694E-2</c:v>
                </c:pt>
                <c:pt idx="242">
                  <c:v>5.1231877817570416E-2</c:v>
                </c:pt>
                <c:pt idx="243">
                  <c:v>5.2847300568546918E-2</c:v>
                </c:pt>
                <c:pt idx="244">
                  <c:v>5.4437766049375863E-2</c:v>
                </c:pt>
                <c:pt idx="245">
                  <c:v>5.6003218573795852E-2</c:v>
                </c:pt>
                <c:pt idx="246">
                  <c:v>5.7543854113959736E-2</c:v>
                </c:pt>
                <c:pt idx="247">
                  <c:v>5.902012750702549E-2</c:v>
                </c:pt>
                <c:pt idx="248">
                  <c:v>6.0441828517366479E-2</c:v>
                </c:pt>
                <c:pt idx="249">
                  <c:v>6.1807862612813812E-2</c:v>
                </c:pt>
                <c:pt idx="250">
                  <c:v>6.3117048913069032E-2</c:v>
                </c:pt>
                <c:pt idx="251">
                  <c:v>6.4368118582451617E-2</c:v>
                </c:pt>
                <c:pt idx="252">
                  <c:v>6.555971326622187E-2</c:v>
                </c:pt>
                <c:pt idx="253">
                  <c:v>6.6627480086153629E-2</c:v>
                </c:pt>
                <c:pt idx="254">
                  <c:v>6.7609497032154409E-2</c:v>
                </c:pt>
                <c:pt idx="255">
                  <c:v>6.8503600199645298E-2</c:v>
                </c:pt>
                <c:pt idx="256">
                  <c:v>6.9307508205282933E-2</c:v>
                </c:pt>
                <c:pt idx="257">
                  <c:v>7.0018821635761327E-2</c:v>
                </c:pt>
                <c:pt idx="258">
                  <c:v>7.0635022813303777E-2</c:v>
                </c:pt>
                <c:pt idx="259">
                  <c:v>7.1153475895769883E-2</c:v>
                </c:pt>
                <c:pt idx="260">
                  <c:v>7.1577681721080533E-2</c:v>
                </c:pt>
                <c:pt idx="261">
                  <c:v>7.1855416861028379E-2</c:v>
                </c:pt>
                <c:pt idx="262">
                  <c:v>7.2024972810122448E-2</c:v>
                </c:pt>
                <c:pt idx="263">
                  <c:v>7.2081063486167316E-2</c:v>
                </c:pt>
                <c:pt idx="264">
                  <c:v>7.201811695049759E-2</c:v>
                </c:pt>
                <c:pt idx="265">
                  <c:v>7.1830679699252969E-2</c:v>
                </c:pt>
                <c:pt idx="266">
                  <c:v>7.1512864878437873E-2</c:v>
                </c:pt>
                <c:pt idx="267">
                  <c:v>7.1060000995967917E-2</c:v>
                </c:pt>
                <c:pt idx="268">
                  <c:v>7.0537034445631419E-2</c:v>
                </c:pt>
                <c:pt idx="269">
                  <c:v>6.9939355781397386E-2</c:v>
                </c:pt>
                <c:pt idx="270">
                  <c:v>6.9262304979641059E-2</c:v>
                </c:pt>
                <c:pt idx="271">
                  <c:v>6.850120529894145E-2</c:v>
                </c:pt>
                <c:pt idx="272">
                  <c:v>6.7651402985554235E-2</c:v>
                </c:pt>
                <c:pt idx="273">
                  <c:v>6.6708313197424457E-2</c:v>
                </c:pt>
                <c:pt idx="274">
                  <c:v>6.5674046803900113E-2</c:v>
                </c:pt>
                <c:pt idx="275">
                  <c:v>6.4582513351947549E-2</c:v>
                </c:pt>
                <c:pt idx="276">
                  <c:v>6.349503896844845E-2</c:v>
                </c:pt>
                <c:pt idx="277">
                  <c:v>6.2412176697722539E-2</c:v>
                </c:pt>
                <c:pt idx="278">
                  <c:v>6.1334512639715351E-2</c:v>
                </c:pt>
                <c:pt idx="279">
                  <c:v>6.0262665921410767E-2</c:v>
                </c:pt>
                <c:pt idx="280">
                  <c:v>5.91972884773935E-2</c:v>
                </c:pt>
                <c:pt idx="281">
                  <c:v>5.8185808735156379E-2</c:v>
                </c:pt>
                <c:pt idx="282">
                  <c:v>5.7228062344128035E-2</c:v>
                </c:pt>
                <c:pt idx="283">
                  <c:v>5.6325869687770064E-2</c:v>
                </c:pt>
                <c:pt idx="284">
                  <c:v>5.5481073474495109E-2</c:v>
                </c:pt>
                <c:pt idx="285">
                  <c:v>5.4695536550733538E-2</c:v>
                </c:pt>
                <c:pt idx="286">
                  <c:v>5.3971139822221112E-2</c:v>
                </c:pt>
                <c:pt idx="287">
                  <c:v>5.3309780337958357E-2</c:v>
                </c:pt>
                <c:pt idx="288">
                  <c:v>5.2714201323888557E-2</c:v>
                </c:pt>
                <c:pt idx="289">
                  <c:v>5.2221722081395458E-2</c:v>
                </c:pt>
                <c:pt idx="290">
                  <c:v>5.1800807237507109E-2</c:v>
                </c:pt>
                <c:pt idx="291">
                  <c:v>5.1453056736982895E-2</c:v>
                </c:pt>
                <c:pt idx="292">
                  <c:v>5.1180080660311163E-2</c:v>
                </c:pt>
                <c:pt idx="293">
                  <c:v>5.0983494186971005E-2</c:v>
                </c:pt>
                <c:pt idx="294">
                  <c:v>5.0864912439187969E-2</c:v>
                </c:pt>
                <c:pt idx="295">
                  <c:v>5.0838939843627265E-2</c:v>
                </c:pt>
                <c:pt idx="296">
                  <c:v>5.0855750226674462E-2</c:v>
                </c:pt>
                <c:pt idx="297">
                  <c:v>5.0916542315775595E-2</c:v>
                </c:pt>
                <c:pt idx="298">
                  <c:v>5.102209104733503E-2</c:v>
                </c:pt>
                <c:pt idx="299">
                  <c:v>5.1173165052906817E-2</c:v>
                </c:pt>
                <c:pt idx="300">
                  <c:v>5.137052305420016E-2</c:v>
                </c:pt>
                <c:pt idx="301">
                  <c:v>5.1614910031196462E-2</c:v>
                </c:pt>
                <c:pt idx="302">
                  <c:v>5.1911618556241955E-2</c:v>
                </c:pt>
                <c:pt idx="303">
                  <c:v>5.2264042910606039E-2</c:v>
                </c:pt>
                <c:pt idx="304">
                  <c:v>5.2633640635425978E-2</c:v>
                </c:pt>
                <c:pt idx="305">
                  <c:v>5.3019612494755598E-2</c:v>
                </c:pt>
                <c:pt idx="306">
                  <c:v>5.3421067573795916E-2</c:v>
                </c:pt>
                <c:pt idx="307">
                  <c:v>5.3837011321541159E-2</c:v>
                </c:pt>
                <c:pt idx="308">
                  <c:v>5.4266333394629822E-2</c:v>
                </c:pt>
                <c:pt idx="309">
                  <c:v>5.4694376623998363E-2</c:v>
                </c:pt>
                <c:pt idx="310">
                  <c:v>5.5105194064836299E-2</c:v>
                </c:pt>
                <c:pt idx="311">
                  <c:v>5.5496738776058235E-2</c:v>
                </c:pt>
                <c:pt idx="312">
                  <c:v>5.5866822614373771E-2</c:v>
                </c:pt>
                <c:pt idx="313">
                  <c:v>5.6213116446121737E-2</c:v>
                </c:pt>
                <c:pt idx="314">
                  <c:v>5.6533152756300803E-2</c:v>
                </c:pt>
                <c:pt idx="315">
                  <c:v>5.6824331191052659E-2</c:v>
                </c:pt>
                <c:pt idx="316">
                  <c:v>5.7089815293414704E-2</c:v>
                </c:pt>
                <c:pt idx="317">
                  <c:v>5.7311207822038024E-2</c:v>
                </c:pt>
                <c:pt idx="318">
                  <c:v>5.748929997202111E-2</c:v>
                </c:pt>
                <c:pt idx="319">
                  <c:v>5.7623269374207566E-2</c:v>
                </c:pt>
                <c:pt idx="320">
                  <c:v>5.7712277911977104E-2</c:v>
                </c:pt>
                <c:pt idx="321">
                  <c:v>5.7755471287213887E-2</c:v>
                </c:pt>
                <c:pt idx="322">
                  <c:v>5.775197934513971E-2</c:v>
                </c:pt>
                <c:pt idx="323">
                  <c:v>5.7682784473857759E-2</c:v>
                </c:pt>
                <c:pt idx="324">
                  <c:v>5.7561274821841694E-2</c:v>
                </c:pt>
                <c:pt idx="325">
                  <c:v>5.7386504757394284E-2</c:v>
                </c:pt>
                <c:pt idx="326">
                  <c:v>5.715717200505812E-2</c:v>
                </c:pt>
                <c:pt idx="327">
                  <c:v>5.6872222088366613E-2</c:v>
                </c:pt>
                <c:pt idx="328">
                  <c:v>5.6530907240719651E-2</c:v>
                </c:pt>
                <c:pt idx="329">
                  <c:v>5.6132497924005959E-2</c:v>
                </c:pt>
                <c:pt idx="330">
                  <c:v>5.568078753082361E-2</c:v>
                </c:pt>
                <c:pt idx="331">
                  <c:v>5.5187352381585557E-2</c:v>
                </c:pt>
                <c:pt idx="332">
                  <c:v>5.4674667963181961E-2</c:v>
                </c:pt>
                <c:pt idx="333">
                  <c:v>5.4140965276743891E-2</c:v>
                </c:pt>
                <c:pt idx="334">
                  <c:v>5.3584473716438256E-2</c:v>
                </c:pt>
                <c:pt idx="335">
                  <c:v>5.3003439458520464E-2</c:v>
                </c:pt>
                <c:pt idx="336">
                  <c:v>5.2396145791319459E-2</c:v>
                </c:pt>
                <c:pt idx="337">
                  <c:v>5.1783654402034709E-2</c:v>
                </c:pt>
                <c:pt idx="338">
                  <c:v>5.1183460677309799E-2</c:v>
                </c:pt>
                <c:pt idx="339">
                  <c:v>5.0594222727498563E-2</c:v>
                </c:pt>
                <c:pt idx="340">
                  <c:v>5.0014626725503324E-2</c:v>
                </c:pt>
                <c:pt idx="341">
                  <c:v>4.9443395638229588E-2</c:v>
                </c:pt>
                <c:pt idx="342">
                  <c:v>4.8879298362582591E-2</c:v>
                </c:pt>
                <c:pt idx="343">
                  <c:v>4.8321159075759179E-2</c:v>
                </c:pt>
                <c:pt idx="344">
                  <c:v>4.7765909499571546E-2</c:v>
                </c:pt>
                <c:pt idx="345">
                  <c:v>4.7213447224232728E-2</c:v>
                </c:pt>
                <c:pt idx="346">
                  <c:v>4.6679721747772296E-2</c:v>
                </c:pt>
                <c:pt idx="347">
                  <c:v>4.6167745884277266E-2</c:v>
                </c:pt>
                <c:pt idx="348">
                  <c:v>4.5680363531900213E-2</c:v>
                </c:pt>
                <c:pt idx="349">
                  <c:v>4.5220244555807178E-2</c:v>
                </c:pt>
                <c:pt idx="350">
                  <c:v>4.478988421239806E-2</c:v>
                </c:pt>
                <c:pt idx="351">
                  <c:v>4.4412666561624639E-2</c:v>
                </c:pt>
                <c:pt idx="352">
                  <c:v>4.4068335015662111E-2</c:v>
                </c:pt>
                <c:pt idx="353">
                  <c:v>4.3758903802535901E-2</c:v>
                </c:pt>
                <c:pt idx="354">
                  <c:v>4.3486253805673725E-2</c:v>
                </c:pt>
                <c:pt idx="355">
                  <c:v>4.3252148012388483E-2</c:v>
                </c:pt>
                <c:pt idx="356">
                  <c:v>4.3058171214046446E-2</c:v>
                </c:pt>
                <c:pt idx="357">
                  <c:v>4.2905921625531807E-2</c:v>
                </c:pt>
                <c:pt idx="358">
                  <c:v>4.2792909517624482E-2</c:v>
                </c:pt>
                <c:pt idx="359">
                  <c:v>4.27146082032566E-2</c:v>
                </c:pt>
                <c:pt idx="360">
                  <c:v>4.269047660669676E-2</c:v>
                </c:pt>
                <c:pt idx="361">
                  <c:v>4.2698508672737299E-2</c:v>
                </c:pt>
                <c:pt idx="362">
                  <c:v>4.2737001061764875E-2</c:v>
                </c:pt>
                <c:pt idx="363">
                  <c:v>4.2804257632922289E-2</c:v>
                </c:pt>
                <c:pt idx="364">
                  <c:v>4.2898586604716668E-2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966976"/>
        <c:axId val="486967368"/>
      </c:lineChart>
      <c:dateAx>
        <c:axId val="4869669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967368"/>
        <c:crosses val="autoZero"/>
        <c:auto val="1"/>
        <c:lblOffset val="100"/>
        <c:baseTimeUnit val="days"/>
        <c:majorUnit val="1"/>
        <c:majorTimeUnit val="months"/>
      </c:dateAx>
      <c:valAx>
        <c:axId val="4869673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9669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14.334596414964594</c:v>
                </c:pt>
                <c:pt idx="1">
                  <c:v>14.433199015308949</c:v>
                </c:pt>
                <c:pt idx="2">
                  <c:v>14.537218861688961</c:v>
                </c:pt>
                <c:pt idx="3">
                  <c:v>14.646943206556298</c:v>
                </c:pt>
                <c:pt idx="4">
                  <c:v>14.762658920130155</c:v>
                </c:pt>
                <c:pt idx="5">
                  <c:v>14.88465251635944</c:v>
                </c:pt>
                <c:pt idx="6">
                  <c:v>15.013210158098419</c:v>
                </c:pt>
                <c:pt idx="7">
                  <c:v>15.148617692158425</c:v>
                </c:pt>
                <c:pt idx="8">
                  <c:v>15.291709367202767</c:v>
                </c:pt>
                <c:pt idx="9">
                  <c:v>15.442980653157841</c:v>
                </c:pt>
                <c:pt idx="10">
                  <c:v>15.602132515603271</c:v>
                </c:pt>
                <c:pt idx="11">
                  <c:v>15.768559282883709</c:v>
                </c:pt>
                <c:pt idx="12">
                  <c:v>15.94165549201047</c:v>
                </c:pt>
                <c:pt idx="13">
                  <c:v>16.12081589532178</c:v>
                </c:pt>
                <c:pt idx="14">
                  <c:v>16.305435480160899</c:v>
                </c:pt>
                <c:pt idx="15">
                  <c:v>16.495249140332291</c:v>
                </c:pt>
                <c:pt idx="16">
                  <c:v>16.68976537428399</c:v>
                </c:pt>
                <c:pt idx="17">
                  <c:v>16.888379645350302</c:v>
                </c:pt>
                <c:pt idx="18">
                  <c:v>17.090487702011341</c:v>
                </c:pt>
                <c:pt idx="19">
                  <c:v>17.295481064784919</c:v>
                </c:pt>
                <c:pt idx="20">
                  <c:v>17.502749354867202</c:v>
                </c:pt>
                <c:pt idx="21">
                  <c:v>17.711685840288634</c:v>
                </c:pt>
                <c:pt idx="22">
                  <c:v>17.923582183441415</c:v>
                </c:pt>
                <c:pt idx="23">
                  <c:v>18.140216404310429</c:v>
                </c:pt>
                <c:pt idx="24">
                  <c:v>18.361150809974522</c:v>
                </c:pt>
                <c:pt idx="25">
                  <c:v>18.586203002559785</c:v>
                </c:pt>
                <c:pt idx="26">
                  <c:v>18.815190762892833</c:v>
                </c:pt>
                <c:pt idx="27">
                  <c:v>19.047932076534586</c:v>
                </c:pt>
                <c:pt idx="28">
                  <c:v>19.284245154101754</c:v>
                </c:pt>
                <c:pt idx="29">
                  <c:v>19.52397269032971</c:v>
                </c:pt>
                <c:pt idx="30">
                  <c:v>19.766600490846944</c:v>
                </c:pt>
                <c:pt idx="31">
                  <c:v>20.01194783748242</c:v>
                </c:pt>
                <c:pt idx="32">
                  <c:v>20.259834277013169</c:v>
                </c:pt>
                <c:pt idx="33">
                  <c:v>20.510079622651503</c:v>
                </c:pt>
                <c:pt idx="34">
                  <c:v>20.762503949265273</c:v>
                </c:pt>
                <c:pt idx="35">
                  <c:v>21.016927592195266</c:v>
                </c:pt>
                <c:pt idx="36">
                  <c:v>21.272843181653471</c:v>
                </c:pt>
                <c:pt idx="37">
                  <c:v>21.529887340898707</c:v>
                </c:pt>
                <c:pt idx="38">
                  <c:v>21.78821367765028</c:v>
                </c:pt>
                <c:pt idx="39">
                  <c:v>22.048179776449839</c:v>
                </c:pt>
                <c:pt idx="40">
                  <c:v>22.310143110538373</c:v>
                </c:pt>
                <c:pt idx="41">
                  <c:v>22.574461030916716</c:v>
                </c:pt>
                <c:pt idx="42">
                  <c:v>22.84149074189882</c:v>
                </c:pt>
                <c:pt idx="43">
                  <c:v>23.110987784184871</c:v>
                </c:pt>
                <c:pt idx="44">
                  <c:v>23.383284173438945</c:v>
                </c:pt>
                <c:pt idx="45">
                  <c:v>23.658736593972794</c:v>
                </c:pt>
                <c:pt idx="46">
                  <c:v>23.937701483045174</c:v>
                </c:pt>
                <c:pt idx="47">
                  <c:v>24.220535008261198</c:v>
                </c:pt>
                <c:pt idx="48">
                  <c:v>24.507593054509663</c:v>
                </c:pt>
                <c:pt idx="49">
                  <c:v>24.799231188530534</c:v>
                </c:pt>
                <c:pt idx="50">
                  <c:v>25.095685606441812</c:v>
                </c:pt>
                <c:pt idx="51">
                  <c:v>25.39585337952586</c:v>
                </c:pt>
                <c:pt idx="52">
                  <c:v>25.699593539688916</c:v>
                </c:pt>
                <c:pt idx="53">
                  <c:v>26.006552501247192</c:v>
                </c:pt>
                <c:pt idx="54">
                  <c:v>26.316372481455613</c:v>
                </c:pt>
                <c:pt idx="55">
                  <c:v>26.628695717019948</c:v>
                </c:pt>
                <c:pt idx="56">
                  <c:v>26.943164430975948</c:v>
                </c:pt>
                <c:pt idx="57">
                  <c:v>27.258831531744061</c:v>
                </c:pt>
                <c:pt idx="58">
                  <c:v>27.575938374802195</c:v>
                </c:pt>
                <c:pt idx="59">
                  <c:v>27.894125679964365</c:v>
                </c:pt>
                <c:pt idx="60">
                  <c:v>28.213033914988959</c:v>
                </c:pt>
                <c:pt idx="61">
                  <c:v>28.532303245631933</c:v>
                </c:pt>
                <c:pt idx="62">
                  <c:v>28.851573477293311</c:v>
                </c:pt>
                <c:pt idx="63">
                  <c:v>29.170484003043335</c:v>
                </c:pt>
                <c:pt idx="64">
                  <c:v>29.491109782764813</c:v>
                </c:pt>
                <c:pt idx="65">
                  <c:v>29.815238802763702</c:v>
                </c:pt>
                <c:pt idx="66">
                  <c:v>30.143012107050453</c:v>
                </c:pt>
                <c:pt idx="67">
                  <c:v>30.473707460554319</c:v>
                </c:pt>
                <c:pt idx="68">
                  <c:v>30.806602010962315</c:v>
                </c:pt>
                <c:pt idx="69">
                  <c:v>31.140972236674191</c:v>
                </c:pt>
                <c:pt idx="70">
                  <c:v>31.476093892266881</c:v>
                </c:pt>
                <c:pt idx="71">
                  <c:v>31.812430940746083</c:v>
                </c:pt>
                <c:pt idx="72">
                  <c:v>32.149852047794127</c:v>
                </c:pt>
                <c:pt idx="73">
                  <c:v>32.487631799558194</c:v>
                </c:pt>
                <c:pt idx="74">
                  <c:v>32.825044280076348</c:v>
                </c:pt>
                <c:pt idx="75">
                  <c:v>33.161363100688561</c:v>
                </c:pt>
                <c:pt idx="76">
                  <c:v>33.495861436736654</c:v>
                </c:pt>
                <c:pt idx="77">
                  <c:v>33.827812067823885</c:v>
                </c:pt>
                <c:pt idx="78">
                  <c:v>34.160387048723045</c:v>
                </c:pt>
                <c:pt idx="79">
                  <c:v>34.498053649859415</c:v>
                </c:pt>
                <c:pt idx="80">
                  <c:v>34.839868630675447</c:v>
                </c:pt>
                <c:pt idx="81">
                  <c:v>35.184839413631344</c:v>
                </c:pt>
                <c:pt idx="82">
                  <c:v>35.531974382372873</c:v>
                </c:pt>
                <c:pt idx="83">
                  <c:v>35.880283019703874</c:v>
                </c:pt>
                <c:pt idx="84">
                  <c:v>36.228776045972538</c:v>
                </c:pt>
                <c:pt idx="85">
                  <c:v>36.577464412672398</c:v>
                </c:pt>
                <c:pt idx="86">
                  <c:v>36.924177307638779</c:v>
                </c:pt>
                <c:pt idx="87">
                  <c:v>37.26793486595799</c:v>
                </c:pt>
                <c:pt idx="88">
                  <c:v>37.607759337369799</c:v>
                </c:pt>
                <c:pt idx="89">
                  <c:v>37.942675230713043</c:v>
                </c:pt>
                <c:pt idx="90">
                  <c:v>38.271709474240467</c:v>
                </c:pt>
                <c:pt idx="91">
                  <c:v>38.593891555634222</c:v>
                </c:pt>
                <c:pt idx="92">
                  <c:v>38.910503235479531</c:v>
                </c:pt>
                <c:pt idx="93">
                  <c:v>39.224536947707115</c:v>
                </c:pt>
                <c:pt idx="94">
                  <c:v>39.534591691026094</c:v>
                </c:pt>
                <c:pt idx="95">
                  <c:v>39.840770474796663</c:v>
                </c:pt>
                <c:pt idx="96">
                  <c:v>40.143178666376492</c:v>
                </c:pt>
                <c:pt idx="97">
                  <c:v>40.441924093891551</c:v>
                </c:pt>
                <c:pt idx="98">
                  <c:v>40.737117151308702</c:v>
                </c:pt>
                <c:pt idx="99">
                  <c:v>41.029200769146748</c:v>
                </c:pt>
                <c:pt idx="100">
                  <c:v>41.317252742995727</c:v>
                </c:pt>
                <c:pt idx="101">
                  <c:v>41.601386136721146</c:v>
                </c:pt>
                <c:pt idx="102">
                  <c:v>41.881716326006135</c:v>
                </c:pt>
                <c:pt idx="103">
                  <c:v>42.158361069957721</c:v>
                </c:pt>
                <c:pt idx="104">
                  <c:v>42.431440559195565</c:v>
                </c:pt>
                <c:pt idx="105">
                  <c:v>42.701077489381035</c:v>
                </c:pt>
                <c:pt idx="106">
                  <c:v>42.967175574757725</c:v>
                </c:pt>
                <c:pt idx="107">
                  <c:v>43.229203163241962</c:v>
                </c:pt>
                <c:pt idx="108">
                  <c:v>43.486144560040785</c:v>
                </c:pt>
                <c:pt idx="109">
                  <c:v>43.738030732835576</c:v>
                </c:pt>
                <c:pt idx="110">
                  <c:v>43.984891143053986</c:v>
                </c:pt>
                <c:pt idx="111">
                  <c:v>44.226757376628811</c:v>
                </c:pt>
                <c:pt idx="112">
                  <c:v>44.46366632957708</c:v>
                </c:pt>
                <c:pt idx="113">
                  <c:v>44.694615216850679</c:v>
                </c:pt>
                <c:pt idx="114">
                  <c:v>44.919248559373877</c:v>
                </c:pt>
                <c:pt idx="115">
                  <c:v>45.137580256645236</c:v>
                </c:pt>
                <c:pt idx="116">
                  <c:v>45.3496243994841</c:v>
                </c:pt>
                <c:pt idx="117">
                  <c:v>45.555395310683991</c:v>
                </c:pt>
                <c:pt idx="118">
                  <c:v>45.754907595231039</c:v>
                </c:pt>
                <c:pt idx="119">
                  <c:v>51.424192111011614</c:v>
                </c:pt>
                <c:pt idx="120">
                  <c:v>51.630029961482634</c:v>
                </c:pt>
                <c:pt idx="121">
                  <c:v>51.828616805692846</c:v>
                </c:pt>
                <c:pt idx="122">
                  <c:v>52.020147470872267</c:v>
                </c:pt>
                <c:pt idx="123">
                  <c:v>52.204409580226638</c:v>
                </c:pt>
                <c:pt idx="124">
                  <c:v>52.381189222474951</c:v>
                </c:pt>
                <c:pt idx="125">
                  <c:v>52.550270975673918</c:v>
                </c:pt>
                <c:pt idx="126">
                  <c:v>52.711437953093132</c:v>
                </c:pt>
                <c:pt idx="127">
                  <c:v>52.863950498126748</c:v>
                </c:pt>
                <c:pt idx="128">
                  <c:v>53.008829102900762</c:v>
                </c:pt>
                <c:pt idx="129">
                  <c:v>53.145854465226556</c:v>
                </c:pt>
                <c:pt idx="130">
                  <c:v>53.274805632458637</c:v>
                </c:pt>
                <c:pt idx="131">
                  <c:v>53.39546000223784</c:v>
                </c:pt>
                <c:pt idx="132">
                  <c:v>53.507593353543989</c:v>
                </c:pt>
                <c:pt idx="133">
                  <c:v>53.610979864897566</c:v>
                </c:pt>
                <c:pt idx="134">
                  <c:v>53.705030831137009</c:v>
                </c:pt>
                <c:pt idx="135">
                  <c:v>53.788969177615598</c:v>
                </c:pt>
                <c:pt idx="136">
                  <c:v>53.864362245704413</c:v>
                </c:pt>
                <c:pt idx="137">
                  <c:v>53.931584601410009</c:v>
                </c:pt>
                <c:pt idx="138">
                  <c:v>53.991009264864147</c:v>
                </c:pt>
                <c:pt idx="139">
                  <c:v>54.043007727409652</c:v>
                </c:pt>
                <c:pt idx="140">
                  <c:v>54.087950024113638</c:v>
                </c:pt>
                <c:pt idx="141">
                  <c:v>54.126023066088457</c:v>
                </c:pt>
                <c:pt idx="142">
                  <c:v>54.158225947859727</c:v>
                </c:pt>
                <c:pt idx="143">
                  <c:v>54.184948233615486</c:v>
                </c:pt>
                <c:pt idx="144">
                  <c:v>54.206574291997036</c:v>
                </c:pt>
                <c:pt idx="145">
                  <c:v>54.223487902049108</c:v>
                </c:pt>
                <c:pt idx="146">
                  <c:v>54.236072290279921</c:v>
                </c:pt>
                <c:pt idx="147">
                  <c:v>54.244710152666663</c:v>
                </c:pt>
                <c:pt idx="148">
                  <c:v>54.248163810214031</c:v>
                </c:pt>
                <c:pt idx="149">
                  <c:v>54.245239059888632</c:v>
                </c:pt>
                <c:pt idx="150">
                  <c:v>54.236897756080701</c:v>
                </c:pt>
                <c:pt idx="151">
                  <c:v>54.223444574189777</c:v>
                </c:pt>
                <c:pt idx="152">
                  <c:v>54.205183772675241</c:v>
                </c:pt>
                <c:pt idx="153">
                  <c:v>54.182419155913671</c:v>
                </c:pt>
                <c:pt idx="154">
                  <c:v>54.155454034073777</c:v>
                </c:pt>
                <c:pt idx="155">
                  <c:v>54.124712860856938</c:v>
                </c:pt>
                <c:pt idx="156">
                  <c:v>54.090708100501836</c:v>
                </c:pt>
                <c:pt idx="157">
                  <c:v>54.0537461354537</c:v>
                </c:pt>
                <c:pt idx="158">
                  <c:v>54.014132498482894</c:v>
                </c:pt>
                <c:pt idx="159">
                  <c:v>53.972171832534507</c:v>
                </c:pt>
                <c:pt idx="160">
                  <c:v>53.928167845780372</c:v>
                </c:pt>
                <c:pt idx="161">
                  <c:v>53.88242328191388</c:v>
                </c:pt>
                <c:pt idx="162">
                  <c:v>53.834506340666145</c:v>
                </c:pt>
                <c:pt idx="163">
                  <c:v>53.783918137399205</c:v>
                </c:pt>
                <c:pt idx="164">
                  <c:v>53.730562958608637</c:v>
                </c:pt>
                <c:pt idx="165">
                  <c:v>53.674447688352672</c:v>
                </c:pt>
                <c:pt idx="166">
                  <c:v>53.615578409515791</c:v>
                </c:pt>
                <c:pt idx="167">
                  <c:v>53.553960384979021</c:v>
                </c:pt>
                <c:pt idx="168">
                  <c:v>53.489598056768912</c:v>
                </c:pt>
                <c:pt idx="169">
                  <c:v>53.422620262308634</c:v>
                </c:pt>
                <c:pt idx="170">
                  <c:v>53.352913553323809</c:v>
                </c:pt>
                <c:pt idx="171">
                  <c:v>53.280479801787806</c:v>
                </c:pt>
                <c:pt idx="172">
                  <c:v>53.205320081922892</c:v>
                </c:pt>
                <c:pt idx="173">
                  <c:v>53.127445467676814</c:v>
                </c:pt>
                <c:pt idx="174">
                  <c:v>53.046867028029041</c:v>
                </c:pt>
                <c:pt idx="175">
                  <c:v>52.963584664687701</c:v>
                </c:pt>
                <c:pt idx="176">
                  <c:v>52.877597543693952</c:v>
                </c:pt>
                <c:pt idx="177">
                  <c:v>52.789013754647542</c:v>
                </c:pt>
                <c:pt idx="178">
                  <c:v>52.697710009478655</c:v>
                </c:pt>
                <c:pt idx="179">
                  <c:v>52.603683541472797</c:v>
                </c:pt>
                <c:pt idx="180">
                  <c:v>52.506931006009516</c:v>
                </c:pt>
                <c:pt idx="181">
                  <c:v>52.407448517860942</c:v>
                </c:pt>
                <c:pt idx="182">
                  <c:v>52.30523169581415</c:v>
                </c:pt>
                <c:pt idx="183">
                  <c:v>52.200365159890389</c:v>
                </c:pt>
                <c:pt idx="184">
                  <c:v>52.092727126306698</c:v>
                </c:pt>
                <c:pt idx="185">
                  <c:v>51.98231219952644</c:v>
                </c:pt>
                <c:pt idx="186">
                  <c:v>51.869114695067481</c:v>
                </c:pt>
                <c:pt idx="187">
                  <c:v>51.753128685113012</c:v>
                </c:pt>
                <c:pt idx="188">
                  <c:v>51.63434805054554</c:v>
                </c:pt>
                <c:pt idx="189">
                  <c:v>51.512766522165457</c:v>
                </c:pt>
                <c:pt idx="190">
                  <c:v>51.38774660144432</c:v>
                </c:pt>
                <c:pt idx="191">
                  <c:v>51.25858340934537</c:v>
                </c:pt>
                <c:pt idx="192">
                  <c:v>51.125461177710896</c:v>
                </c:pt>
                <c:pt idx="193">
                  <c:v>50.988665128757965</c:v>
                </c:pt>
                <c:pt idx="194">
                  <c:v>50.848480410561287</c:v>
                </c:pt>
                <c:pt idx="195">
                  <c:v>50.705192120943899</c:v>
                </c:pt>
                <c:pt idx="196">
                  <c:v>50.559085322291445</c:v>
                </c:pt>
                <c:pt idx="197">
                  <c:v>50.409547829910665</c:v>
                </c:pt>
                <c:pt idx="198">
                  <c:v>50.256779658894459</c:v>
                </c:pt>
                <c:pt idx="199">
                  <c:v>50.10106278429317</c:v>
                </c:pt>
                <c:pt idx="200">
                  <c:v>49.942679646566077</c:v>
                </c:pt>
                <c:pt idx="201">
                  <c:v>49.781913120044756</c:v>
                </c:pt>
                <c:pt idx="202">
                  <c:v>49.619046474907599</c:v>
                </c:pt>
                <c:pt idx="203">
                  <c:v>49.454363341495217</c:v>
                </c:pt>
                <c:pt idx="204">
                  <c:v>49.288262344955029</c:v>
                </c:pt>
                <c:pt idx="205">
                  <c:v>49.119623597240178</c:v>
                </c:pt>
                <c:pt idx="206">
                  <c:v>48.948318859863001</c:v>
                </c:pt>
                <c:pt idx="207">
                  <c:v>48.773952359707152</c:v>
                </c:pt>
                <c:pt idx="208">
                  <c:v>48.596129748693507</c:v>
                </c:pt>
                <c:pt idx="209">
                  <c:v>48.414458055182074</c:v>
                </c:pt>
                <c:pt idx="210">
                  <c:v>48.228545637519282</c:v>
                </c:pt>
                <c:pt idx="211">
                  <c:v>48.0362007773589</c:v>
                </c:pt>
                <c:pt idx="212">
                  <c:v>47.837947266469996</c:v>
                </c:pt>
                <c:pt idx="213">
                  <c:v>47.633396820335285</c:v>
                </c:pt>
                <c:pt idx="214">
                  <c:v>47.422162510591271</c:v>
                </c:pt>
                <c:pt idx="215">
                  <c:v>47.203858734322047</c:v>
                </c:pt>
                <c:pt idx="216">
                  <c:v>46.978101179445424</c:v>
                </c:pt>
                <c:pt idx="217">
                  <c:v>46.744506803211046</c:v>
                </c:pt>
                <c:pt idx="218">
                  <c:v>46.503867125164689</c:v>
                </c:pt>
                <c:pt idx="219">
                  <c:v>46.255639926584472</c:v>
                </c:pt>
                <c:pt idx="220">
                  <c:v>46.0008310896865</c:v>
                </c:pt>
                <c:pt idx="221">
                  <c:v>45.739356596679706</c:v>
                </c:pt>
                <c:pt idx="222">
                  <c:v>45.471132972270645</c:v>
                </c:pt>
                <c:pt idx="223">
                  <c:v>45.196077309503963</c:v>
                </c:pt>
                <c:pt idx="224">
                  <c:v>44.914107300679184</c:v>
                </c:pt>
                <c:pt idx="225">
                  <c:v>44.62542870735588</c:v>
                </c:pt>
                <c:pt idx="226">
                  <c:v>44.331777324729117</c:v>
                </c:pt>
                <c:pt idx="227">
                  <c:v>44.033079572597963</c:v>
                </c:pt>
                <c:pt idx="228">
                  <c:v>43.729261648510523</c:v>
                </c:pt>
                <c:pt idx="229">
                  <c:v>43.420249582619604</c:v>
                </c:pt>
                <c:pt idx="230">
                  <c:v>43.10596930689195</c:v>
                </c:pt>
                <c:pt idx="231">
                  <c:v>42.786346703803545</c:v>
                </c:pt>
                <c:pt idx="232">
                  <c:v>42.461756231839267</c:v>
                </c:pt>
                <c:pt idx="233">
                  <c:v>42.133911309129012</c:v>
                </c:pt>
                <c:pt idx="234">
                  <c:v>41.804246809110836</c:v>
                </c:pt>
                <c:pt idx="235">
                  <c:v>41.472683419973578</c:v>
                </c:pt>
                <c:pt idx="236">
                  <c:v>41.139140234360966</c:v>
                </c:pt>
                <c:pt idx="237">
                  <c:v>40.803537375929423</c:v>
                </c:pt>
                <c:pt idx="238">
                  <c:v>40.465794437383451</c:v>
                </c:pt>
                <c:pt idx="239">
                  <c:v>40.127990383796735</c:v>
                </c:pt>
                <c:pt idx="240">
                  <c:v>39.789725767445248</c:v>
                </c:pt>
                <c:pt idx="241">
                  <c:v>39.45091129698875</c:v>
                </c:pt>
                <c:pt idx="242">
                  <c:v>39.111457152352159</c:v>
                </c:pt>
                <c:pt idx="243">
                  <c:v>38.771272988821643</c:v>
                </c:pt>
                <c:pt idx="244">
                  <c:v>38.430267953533509</c:v>
                </c:pt>
                <c:pt idx="245">
                  <c:v>38.088350682966194</c:v>
                </c:pt>
                <c:pt idx="246">
                  <c:v>37.745253642584473</c:v>
                </c:pt>
                <c:pt idx="247">
                  <c:v>37.403311089910659</c:v>
                </c:pt>
                <c:pt idx="248">
                  <c:v>37.061372153679159</c:v>
                </c:pt>
                <c:pt idx="249">
                  <c:v>36.719625943467683</c:v>
                </c:pt>
                <c:pt idx="250">
                  <c:v>36.3782605019315</c:v>
                </c:pt>
                <c:pt idx="251">
                  <c:v>36.037462756510521</c:v>
                </c:pt>
                <c:pt idx="252">
                  <c:v>35.697418462645558</c:v>
                </c:pt>
                <c:pt idx="253">
                  <c:v>35.360805651961819</c:v>
                </c:pt>
                <c:pt idx="254">
                  <c:v>35.025664788031527</c:v>
                </c:pt>
                <c:pt idx="255">
                  <c:v>34.692174410837538</c:v>
                </c:pt>
                <c:pt idx="256">
                  <c:v>34.360511530599624</c:v>
                </c:pt>
                <c:pt idx="257">
                  <c:v>34.030851506078989</c:v>
                </c:pt>
                <c:pt idx="258">
                  <c:v>33.703367906418769</c:v>
                </c:pt>
                <c:pt idx="259">
                  <c:v>33.378232367783973</c:v>
                </c:pt>
                <c:pt idx="260">
                  <c:v>33.052446517243062</c:v>
                </c:pt>
                <c:pt idx="261">
                  <c:v>32.724958414387906</c:v>
                </c:pt>
                <c:pt idx="262">
                  <c:v>32.394613028463567</c:v>
                </c:pt>
                <c:pt idx="263">
                  <c:v>32.062629602490674</c:v>
                </c:pt>
                <c:pt idx="264">
                  <c:v>31.730224269527692</c:v>
                </c:pt>
                <c:pt idx="265">
                  <c:v>31.398594243511393</c:v>
                </c:pt>
                <c:pt idx="266">
                  <c:v>31.068942381315267</c:v>
                </c:pt>
                <c:pt idx="267">
                  <c:v>30.741577283668594</c:v>
                </c:pt>
                <c:pt idx="268">
                  <c:v>30.415289994717465</c:v>
                </c:pt>
                <c:pt idx="269">
                  <c:v>30.091309307151914</c:v>
                </c:pt>
                <c:pt idx="270">
                  <c:v>29.770861844904768</c:v>
                </c:pt>
                <c:pt idx="271">
                  <c:v>29.455172009409157</c:v>
                </c:pt>
                <c:pt idx="272">
                  <c:v>29.145461942402111</c:v>
                </c:pt>
                <c:pt idx="273">
                  <c:v>28.842951489946287</c:v>
                </c:pt>
                <c:pt idx="274">
                  <c:v>28.545763027799968</c:v>
                </c:pt>
                <c:pt idx="275">
                  <c:v>28.249613622310918</c:v>
                </c:pt>
                <c:pt idx="276">
                  <c:v>27.953305462523634</c:v>
                </c:pt>
                <c:pt idx="277">
                  <c:v>27.656846387001014</c:v>
                </c:pt>
                <c:pt idx="278">
                  <c:v>27.360244873501166</c:v>
                </c:pt>
                <c:pt idx="279">
                  <c:v>27.063510112737212</c:v>
                </c:pt>
                <c:pt idx="280">
                  <c:v>26.766652080637513</c:v>
                </c:pt>
                <c:pt idx="281">
                  <c:v>26.468469765291619</c:v>
                </c:pt>
                <c:pt idx="282">
                  <c:v>26.169854464578027</c:v>
                </c:pt>
                <c:pt idx="283">
                  <c:v>25.870824576436178</c:v>
                </c:pt>
                <c:pt idx="284">
                  <c:v>25.571399728004142</c:v>
                </c:pt>
                <c:pt idx="285">
                  <c:v>25.271600820186698</c:v>
                </c:pt>
                <c:pt idx="286">
                  <c:v>24.971450063103532</c:v>
                </c:pt>
                <c:pt idx="287">
                  <c:v>24.670970999240598</c:v>
                </c:pt>
                <c:pt idx="288">
                  <c:v>24.369776947457918</c:v>
                </c:pt>
                <c:pt idx="289">
                  <c:v>24.067101864746515</c:v>
                </c:pt>
                <c:pt idx="290">
                  <c:v>23.764654412340484</c:v>
                </c:pt>
                <c:pt idx="291">
                  <c:v>23.462637970629</c:v>
                </c:pt>
                <c:pt idx="292">
                  <c:v>23.161256262629117</c:v>
                </c:pt>
                <c:pt idx="293">
                  <c:v>22.860713339855163</c:v>
                </c:pt>
                <c:pt idx="294">
                  <c:v>22.5612135640216</c:v>
                </c:pt>
                <c:pt idx="295">
                  <c:v>22.262796405345298</c:v>
                </c:pt>
                <c:pt idx="296">
                  <c:v>21.966770476102003</c:v>
                </c:pt>
                <c:pt idx="297">
                  <c:v>21.673310103041274</c:v>
                </c:pt>
                <c:pt idx="298">
                  <c:v>21.382602308508435</c:v>
                </c:pt>
                <c:pt idx="299">
                  <c:v>21.094833715118387</c:v>
                </c:pt>
                <c:pt idx="300">
                  <c:v>20.81019055506675</c:v>
                </c:pt>
                <c:pt idx="301">
                  <c:v>20.528858687241577</c:v>
                </c:pt>
                <c:pt idx="302">
                  <c:v>20.249113013218761</c:v>
                </c:pt>
                <c:pt idx="303">
                  <c:v>19.969892244328729</c:v>
                </c:pt>
                <c:pt idx="304">
                  <c:v>19.692310082752982</c:v>
                </c:pt>
                <c:pt idx="305">
                  <c:v>19.417008913736215</c:v>
                </c:pt>
                <c:pt idx="306">
                  <c:v>19.144630506769154</c:v>
                </c:pt>
                <c:pt idx="307">
                  <c:v>18.875816119822424</c:v>
                </c:pt>
                <c:pt idx="308">
                  <c:v>18.611206588318481</c:v>
                </c:pt>
                <c:pt idx="309">
                  <c:v>18.351984936037031</c:v>
                </c:pt>
                <c:pt idx="310">
                  <c:v>18.098928339191009</c:v>
                </c:pt>
                <c:pt idx="311">
                  <c:v>17.852662192023821</c:v>
                </c:pt>
                <c:pt idx="312">
                  <c:v>17.613812142991808</c:v>
                </c:pt>
                <c:pt idx="313">
                  <c:v>17.383004241656433</c:v>
                </c:pt>
                <c:pt idx="314">
                  <c:v>17.160865102717747</c:v>
                </c:pt>
                <c:pt idx="315">
                  <c:v>16.948022049604191</c:v>
                </c:pt>
                <c:pt idx="316">
                  <c:v>16.743244427023839</c:v>
                </c:pt>
                <c:pt idx="317">
                  <c:v>16.545201961918576</c:v>
                </c:pt>
                <c:pt idx="318">
                  <c:v>16.353642138269183</c:v>
                </c:pt>
                <c:pt idx="319">
                  <c:v>16.168632746796057</c:v>
                </c:pt>
                <c:pt idx="320">
                  <c:v>15.99024323281775</c:v>
                </c:pt>
                <c:pt idx="321">
                  <c:v>15.818544774745382</c:v>
                </c:pt>
                <c:pt idx="322">
                  <c:v>15.653610343301718</c:v>
                </c:pt>
                <c:pt idx="323">
                  <c:v>15.495545247524387</c:v>
                </c:pt>
                <c:pt idx="324">
                  <c:v>15.343936354834183</c:v>
                </c:pt>
                <c:pt idx="325">
                  <c:v>15.198870692709432</c:v>
                </c:pt>
                <c:pt idx="326">
                  <c:v>15.060443369881227</c:v>
                </c:pt>
                <c:pt idx="327">
                  <c:v>14.928745960347342</c:v>
                </c:pt>
                <c:pt idx="328">
                  <c:v>14.803865888988177</c:v>
                </c:pt>
                <c:pt idx="329">
                  <c:v>14.685892111600161</c:v>
                </c:pt>
                <c:pt idx="330">
                  <c:v>14.57365788433431</c:v>
                </c:pt>
                <c:pt idx="331">
                  <c:v>14.465982164494228</c:v>
                </c:pt>
                <c:pt idx="332">
                  <c:v>14.363088447831885</c:v>
                </c:pt>
                <c:pt idx="333">
                  <c:v>14.265456462751636</c:v>
                </c:pt>
                <c:pt idx="334">
                  <c:v>14.17356618891059</c:v>
                </c:pt>
                <c:pt idx="335">
                  <c:v>14.087897742038662</c:v>
                </c:pt>
                <c:pt idx="336">
                  <c:v>14.008931284980692</c:v>
                </c:pt>
                <c:pt idx="337">
                  <c:v>13.936762144027295</c:v>
                </c:pt>
                <c:pt idx="338">
                  <c:v>13.871846730144927</c:v>
                </c:pt>
                <c:pt idx="339">
                  <c:v>13.814669177756041</c:v>
                </c:pt>
                <c:pt idx="340">
                  <c:v>13.765712823106362</c:v>
                </c:pt>
                <c:pt idx="341">
                  <c:v>13.725460151751088</c:v>
                </c:pt>
                <c:pt idx="342">
                  <c:v>13.694392743447633</c:v>
                </c:pt>
                <c:pt idx="343">
                  <c:v>13.6729912243773</c:v>
                </c:pt>
                <c:pt idx="344">
                  <c:v>13.662326584550334</c:v>
                </c:pt>
                <c:pt idx="345">
                  <c:v>13.662611338753964</c:v>
                </c:pt>
                <c:pt idx="346">
                  <c:v>13.67293277230249</c:v>
                </c:pt>
                <c:pt idx="347">
                  <c:v>13.692483621747982</c:v>
                </c:pt>
                <c:pt idx="348">
                  <c:v>13.720456423300552</c:v>
                </c:pt>
                <c:pt idx="349">
                  <c:v>13.756043509834553</c:v>
                </c:pt>
                <c:pt idx="350">
                  <c:v>13.798437017875857</c:v>
                </c:pt>
                <c:pt idx="351">
                  <c:v>13.846474058592225</c:v>
                </c:pt>
                <c:pt idx="352">
                  <c:v>13.899717863518573</c:v>
                </c:pt>
                <c:pt idx="353">
                  <c:v>13.957359836592055</c:v>
                </c:pt>
                <c:pt idx="354">
                  <c:v>14.018591259513117</c:v>
                </c:pt>
                <c:pt idx="355">
                  <c:v>14.082603305844502</c:v>
                </c:pt>
                <c:pt idx="356">
                  <c:v>14.148587551653868</c:v>
                </c:pt>
                <c:pt idx="357">
                  <c:v>14.215735551493443</c:v>
                </c:pt>
                <c:pt idx="358">
                  <c:v>14.284578064275738</c:v>
                </c:pt>
                <c:pt idx="359">
                  <c:v>14.356385996267798</c:v>
                </c:pt>
                <c:pt idx="360">
                  <c:v>14.431096219944013</c:v>
                </c:pt>
                <c:pt idx="361">
                  <c:v>14.509363820167696</c:v>
                </c:pt>
                <c:pt idx="362">
                  <c:v>14.591491112173959</c:v>
                </c:pt>
                <c:pt idx="363">
                  <c:v>14.677779715987487</c:v>
                </c:pt>
                <c:pt idx="364">
                  <c:v>14.768530597402549</c:v>
                </c:pt>
                <c:pt idx="365">
                  <c:v>14.551563506183571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5.4714992059501686</c:v>
                </c:pt>
                <c:pt idx="1">
                  <c:v>1.6798632496966268</c:v>
                </c:pt>
                <c:pt idx="2">
                  <c:v>12.026731109238259</c:v>
                </c:pt>
                <c:pt idx="3">
                  <c:v>10.137804145050588</c:v>
                </c:pt>
                <c:pt idx="4">
                  <c:v>10.123545671099137</c:v>
                </c:pt>
                <c:pt idx="5">
                  <c:v>4.4202941054314575</c:v>
                </c:pt>
                <c:pt idx="6">
                  <c:v>10.165405922045286</c:v>
                </c:pt>
                <c:pt idx="7">
                  <c:v>5.1333702286344085</c:v>
                </c:pt>
                <c:pt idx="8">
                  <c:v>6.3876812473638944</c:v>
                </c:pt>
                <c:pt idx="9">
                  <c:v>13.771530385879261</c:v>
                </c:pt>
                <c:pt idx="10">
                  <c:v>3.8354539930816336</c:v>
                </c:pt>
                <c:pt idx="11">
                  <c:v>13.292577977078158</c:v>
                </c:pt>
                <c:pt idx="12">
                  <c:v>9.1211750130914897</c:v>
                </c:pt>
                <c:pt idx="13">
                  <c:v>11.54549937894477</c:v>
                </c:pt>
                <c:pt idx="14">
                  <c:v>5.9657133544728405</c:v>
                </c:pt>
                <c:pt idx="15">
                  <c:v>3.1965215951554891</c:v>
                </c:pt>
                <c:pt idx="16">
                  <c:v>5.1988767718751827</c:v>
                </c:pt>
                <c:pt idx="17">
                  <c:v>12.767584780491342</c:v>
                </c:pt>
                <c:pt idx="18">
                  <c:v>6.8502441378938279</c:v>
                </c:pt>
                <c:pt idx="19">
                  <c:v>13.723305160935436</c:v>
                </c:pt>
                <c:pt idx="20">
                  <c:v>5.2609921382041938</c:v>
                </c:pt>
                <c:pt idx="21">
                  <c:v>17.03166081872887</c:v>
                </c:pt>
                <c:pt idx="22">
                  <c:v>17.280792723037152</c:v>
                </c:pt>
                <c:pt idx="23">
                  <c:v>17.38734742777083</c:v>
                </c:pt>
                <c:pt idx="24">
                  <c:v>17.417906459322051</c:v>
                </c:pt>
                <c:pt idx="25">
                  <c:v>17.663240118682896</c:v>
                </c:pt>
                <c:pt idx="26">
                  <c:v>18.491385278925204</c:v>
                </c:pt>
                <c:pt idx="27">
                  <c:v>3.6793317111684698</c:v>
                </c:pt>
                <c:pt idx="28">
                  <c:v>7.3034528226533526</c:v>
                </c:pt>
                <c:pt idx="29">
                  <c:v>3.8476281418628928</c:v>
                </c:pt>
                <c:pt idx="30">
                  <c:v>7.9469356947378502</c:v>
                </c:pt>
                <c:pt idx="31">
                  <c:v>7.7855844194645734</c:v>
                </c:pt>
                <c:pt idx="32">
                  <c:v>4.6755215386568176</c:v>
                </c:pt>
                <c:pt idx="33">
                  <c:v>8.5262969234936232</c:v>
                </c:pt>
                <c:pt idx="34">
                  <c:v>7.7583602475462579</c:v>
                </c:pt>
                <c:pt idx="35">
                  <c:v>8.0538382348182136</c:v>
                </c:pt>
                <c:pt idx="36">
                  <c:v>13.96812417191</c:v>
                </c:pt>
                <c:pt idx="37">
                  <c:v>8.0616665829187948</c:v>
                </c:pt>
                <c:pt idx="38">
                  <c:v>21.989191623529052</c:v>
                </c:pt>
                <c:pt idx="39">
                  <c:v>21.768698904376375</c:v>
                </c:pt>
                <c:pt idx="40">
                  <c:v>20.354616204611098</c:v>
                </c:pt>
                <c:pt idx="41">
                  <c:v>13.461985946020476</c:v>
                </c:pt>
                <c:pt idx="42">
                  <c:v>19.099601367355316</c:v>
                </c:pt>
                <c:pt idx="43">
                  <c:v>21.893151115006805</c:v>
                </c:pt>
                <c:pt idx="44">
                  <c:v>11.561254168158209</c:v>
                </c:pt>
                <c:pt idx="45">
                  <c:v>14.668797723851608</c:v>
                </c:pt>
                <c:pt idx="46">
                  <c:v>8.9846492776245039</c:v>
                </c:pt>
                <c:pt idx="47">
                  <c:v>9.6563407808731334</c:v>
                </c:pt>
                <c:pt idx="48">
                  <c:v>19.061831981534922</c:v>
                </c:pt>
                <c:pt idx="49">
                  <c:v>16.987064549990464</c:v>
                </c:pt>
                <c:pt idx="50">
                  <c:v>15.45397715060539</c:v>
                </c:pt>
                <c:pt idx="51">
                  <c:v>16.689583097534467</c:v>
                </c:pt>
                <c:pt idx="52">
                  <c:v>24.298541287014199</c:v>
                </c:pt>
                <c:pt idx="53">
                  <c:v>24.301884308159472</c:v>
                </c:pt>
                <c:pt idx="54">
                  <c:v>13.856758406642484</c:v>
                </c:pt>
                <c:pt idx="55">
                  <c:v>24.753097627953746</c:v>
                </c:pt>
                <c:pt idx="56">
                  <c:v>27.786240216321364</c:v>
                </c:pt>
                <c:pt idx="57">
                  <c:v>22.67496484082579</c:v>
                </c:pt>
                <c:pt idx="58">
                  <c:v>22.844337489410719</c:v>
                </c:pt>
                <c:pt idx="59">
                  <c:v>28.005720718300068</c:v>
                </c:pt>
                <c:pt idx="60">
                  <c:v>8.0559618343751733</c:v>
                </c:pt>
                <c:pt idx="61">
                  <c:v>27.25704558600756</c:v>
                </c:pt>
                <c:pt idx="62">
                  <c:v>3.6364451764022196</c:v>
                </c:pt>
                <c:pt idx="63">
                  <c:v>11.668307471531296</c:v>
                </c:pt>
                <c:pt idx="64">
                  <c:v>13.447903035696054</c:v>
                </c:pt>
                <c:pt idx="65">
                  <c:v>28.600290137293953</c:v>
                </c:pt>
                <c:pt idx="66">
                  <c:v>22.113631512237582</c:v>
                </c:pt>
                <c:pt idx="67">
                  <c:v>23.067164451761109</c:v>
                </c:pt>
                <c:pt idx="68">
                  <c:v>18.286794267092933</c:v>
                </c:pt>
                <c:pt idx="69">
                  <c:v>11.919267774863989</c:v>
                </c:pt>
                <c:pt idx="70">
                  <c:v>12.504794864778258</c:v>
                </c:pt>
                <c:pt idx="71">
                  <c:v>9.0065228199538261</c:v>
                </c:pt>
                <c:pt idx="72">
                  <c:v>12.005395905914204</c:v>
                </c:pt>
                <c:pt idx="73">
                  <c:v>12.068325820717844</c:v>
                </c:pt>
                <c:pt idx="74">
                  <c:v>10.987548387815567</c:v>
                </c:pt>
                <c:pt idx="75">
                  <c:v>9.0776139190453442</c:v>
                </c:pt>
                <c:pt idx="76">
                  <c:v>12.184285207449689</c:v>
                </c:pt>
                <c:pt idx="77">
                  <c:v>22.39587597417697</c:v>
                </c:pt>
                <c:pt idx="78">
                  <c:v>23.305010326500391</c:v>
                </c:pt>
                <c:pt idx="79">
                  <c:v>32.271539757812178</c:v>
                </c:pt>
                <c:pt idx="80">
                  <c:v>30.711593282620449</c:v>
                </c:pt>
                <c:pt idx="81">
                  <c:v>34.909100333332646</c:v>
                </c:pt>
                <c:pt idx="82">
                  <c:v>34.019777579726622</c:v>
                </c:pt>
                <c:pt idx="83">
                  <c:v>32.441875070069351</c:v>
                </c:pt>
                <c:pt idx="84">
                  <c:v>34.432032879543584</c:v>
                </c:pt>
                <c:pt idx="85">
                  <c:v>33.2297924033996</c:v>
                </c:pt>
                <c:pt idx="86">
                  <c:v>25.198742607039804</c:v>
                </c:pt>
                <c:pt idx="87">
                  <c:v>21.645567519983409</c:v>
                </c:pt>
                <c:pt idx="88">
                  <c:v>6.6795289914186453</c:v>
                </c:pt>
                <c:pt idx="89">
                  <c:v>24.215516403043065</c:v>
                </c:pt>
                <c:pt idx="90">
                  <c:v>26.006897812568553</c:v>
                </c:pt>
                <c:pt idx="91">
                  <c:v>17.420627033547717</c:v>
                </c:pt>
                <c:pt idx="92">
                  <c:v>17.425338431406832</c:v>
                </c:pt>
                <c:pt idx="93">
                  <c:v>38.323749043574281</c:v>
                </c:pt>
                <c:pt idx="94">
                  <c:v>39.452297144025451</c:v>
                </c:pt>
                <c:pt idx="95">
                  <c:v>9.6117768224147326</c:v>
                </c:pt>
                <c:pt idx="96">
                  <c:v>28.69917697109631</c:v>
                </c:pt>
                <c:pt idx="97">
                  <c:v>22.535477353199937</c:v>
                </c:pt>
                <c:pt idx="98">
                  <c:v>30.281755882410266</c:v>
                </c:pt>
                <c:pt idx="99">
                  <c:v>39.89008237954846</c:v>
                </c:pt>
                <c:pt idx="100">
                  <c:v>33.697768461180118</c:v>
                </c:pt>
                <c:pt idx="101">
                  <c:v>28.132987775560434</c:v>
                </c:pt>
                <c:pt idx="102">
                  <c:v>6.0823876916620305</c:v>
                </c:pt>
                <c:pt idx="103">
                  <c:v>31.197697210129004</c:v>
                </c:pt>
                <c:pt idx="104">
                  <c:v>36.548027827892888</c:v>
                </c:pt>
                <c:pt idx="105">
                  <c:v>38.155164037848472</c:v>
                </c:pt>
                <c:pt idx="106">
                  <c:v>41.581332859039442</c:v>
                </c:pt>
                <c:pt idx="107">
                  <c:v>32.546193096523687</c:v>
                </c:pt>
                <c:pt idx="108">
                  <c:v>7.4839554728034141</c:v>
                </c:pt>
                <c:pt idx="109">
                  <c:v>8.7168435493037641</c:v>
                </c:pt>
                <c:pt idx="110">
                  <c:v>8.2207173873771531</c:v>
                </c:pt>
                <c:pt idx="111">
                  <c:v>23.601451423731945</c:v>
                </c:pt>
                <c:pt idx="112">
                  <c:v>8.095800851753852</c:v>
                </c:pt>
                <c:pt idx="113">
                  <c:v>25.828067635753648</c:v>
                </c:pt>
                <c:pt idx="114">
                  <c:v>41.356863051595688</c:v>
                </c:pt>
                <c:pt idx="115">
                  <c:v>43.293828984658006</c:v>
                </c:pt>
                <c:pt idx="116">
                  <c:v>31.529230127425325</c:v>
                </c:pt>
                <c:pt idx="117">
                  <c:v>17.653773400820587</c:v>
                </c:pt>
                <c:pt idx="118">
                  <c:v>32.874831730018485</c:v>
                </c:pt>
                <c:pt idx="119">
                  <c:v>41.611232830579333</c:v>
                </c:pt>
                <c:pt idx="120">
                  <c:v>42.444105562637681</c:v>
                </c:pt>
                <c:pt idx="121">
                  <c:v>27.696438216382337</c:v>
                </c:pt>
                <c:pt idx="122">
                  <c:v>33.813990486997049</c:v>
                </c:pt>
                <c:pt idx="123">
                  <c:v>19.907029898719571</c:v>
                </c:pt>
                <c:pt idx="124">
                  <c:v>39.605007284096502</c:v>
                </c:pt>
                <c:pt idx="125">
                  <c:v>33.373773761078503</c:v>
                </c:pt>
                <c:pt idx="126">
                  <c:v>48.857812625717436</c:v>
                </c:pt>
                <c:pt idx="127">
                  <c:v>44.53955438944778</c:v>
                </c:pt>
                <c:pt idx="128">
                  <c:v>49.289857818711035</c:v>
                </c:pt>
                <c:pt idx="129">
                  <c:v>45.751307151821756</c:v>
                </c:pt>
                <c:pt idx="130">
                  <c:v>49.460048944182439</c:v>
                </c:pt>
                <c:pt idx="131">
                  <c:v>37.818264336233334</c:v>
                </c:pt>
                <c:pt idx="132">
                  <c:v>40.395554518026401</c:v>
                </c:pt>
                <c:pt idx="133">
                  <c:v>44.094341131179952</c:v>
                </c:pt>
                <c:pt idx="134">
                  <c:v>46.383273123097496</c:v>
                </c:pt>
                <c:pt idx="135">
                  <c:v>44.972443588676093</c:v>
                </c:pt>
                <c:pt idx="136">
                  <c:v>47.939944561770425</c:v>
                </c:pt>
                <c:pt idx="137">
                  <c:v>46.81058565274224</c:v>
                </c:pt>
                <c:pt idx="138">
                  <c:v>49.23095465082875</c:v>
                </c:pt>
                <c:pt idx="139">
                  <c:v>43.779025782352569</c:v>
                </c:pt>
                <c:pt idx="140">
                  <c:v>42.656085910650162</c:v>
                </c:pt>
                <c:pt idx="141">
                  <c:v>31.524006350431929</c:v>
                </c:pt>
                <c:pt idx="142">
                  <c:v>18.458838136916729</c:v>
                </c:pt>
                <c:pt idx="143">
                  <c:v>15.846228212802641</c:v>
                </c:pt>
                <c:pt idx="144">
                  <c:v>36.939484571573509</c:v>
                </c:pt>
                <c:pt idx="145">
                  <c:v>20.053739930346381</c:v>
                </c:pt>
                <c:pt idx="146">
                  <c:v>43.348884259037533</c:v>
                </c:pt>
                <c:pt idx="147">
                  <c:v>49.666297287433643</c:v>
                </c:pt>
                <c:pt idx="148">
                  <c:v>53.178766465649701</c:v>
                </c:pt>
                <c:pt idx="149">
                  <c:v>47.802278627719637</c:v>
                </c:pt>
                <c:pt idx="150">
                  <c:v>49.031244520008478</c:v>
                </c:pt>
                <c:pt idx="151">
                  <c:v>50.250535140213735</c:v>
                </c:pt>
                <c:pt idx="152">
                  <c:v>41.318623308931222</c:v>
                </c:pt>
                <c:pt idx="153">
                  <c:v>48.131606589505935</c:v>
                </c:pt>
                <c:pt idx="154">
                  <c:v>22.786317940881329</c:v>
                </c:pt>
                <c:pt idx="155">
                  <c:v>32.20672512712958</c:v>
                </c:pt>
                <c:pt idx="156">
                  <c:v>40.940277065219057</c:v>
                </c:pt>
                <c:pt idx="157">
                  <c:v>27.620038773976724</c:v>
                </c:pt>
                <c:pt idx="158">
                  <c:v>18.809839568815462</c:v>
                </c:pt>
                <c:pt idx="159">
                  <c:v>40.259891361259079</c:v>
                </c:pt>
                <c:pt idx="160">
                  <c:v>51.11832012932777</c:v>
                </c:pt>
                <c:pt idx="161">
                  <c:v>50.147492225191094</c:v>
                </c:pt>
                <c:pt idx="162">
                  <c:v>37.762845539028127</c:v>
                </c:pt>
                <c:pt idx="163">
                  <c:v>49.067418914997049</c:v>
                </c:pt>
                <c:pt idx="164">
                  <c:v>41.681687661286325</c:v>
                </c:pt>
                <c:pt idx="165">
                  <c:v>48.165342850164848</c:v>
                </c:pt>
                <c:pt idx="166">
                  <c:v>46.247731302087722</c:v>
                </c:pt>
                <c:pt idx="167">
                  <c:v>46.640010518621231</c:v>
                </c:pt>
                <c:pt idx="168">
                  <c:v>48.189800205537914</c:v>
                </c:pt>
                <c:pt idx="169">
                  <c:v>49.32249000634382</c:v>
                </c:pt>
                <c:pt idx="170">
                  <c:v>29.918968597733844</c:v>
                </c:pt>
                <c:pt idx="171">
                  <c:v>21.671386995033398</c:v>
                </c:pt>
                <c:pt idx="172">
                  <c:v>37.972173060929471</c:v>
                </c:pt>
                <c:pt idx="173">
                  <c:v>37.461349020249031</c:v>
                </c:pt>
                <c:pt idx="174">
                  <c:v>36.59950239318232</c:v>
                </c:pt>
                <c:pt idx="175">
                  <c:v>29.698128115195118</c:v>
                </c:pt>
                <c:pt idx="176">
                  <c:v>10.936243437799407</c:v>
                </c:pt>
                <c:pt idx="177">
                  <c:v>11.620433208607398</c:v>
                </c:pt>
                <c:pt idx="178">
                  <c:v>53.198566522782563</c:v>
                </c:pt>
                <c:pt idx="179">
                  <c:v>50.082879936518779</c:v>
                </c:pt>
                <c:pt idx="180">
                  <c:v>12.645366190059086</c:v>
                </c:pt>
                <c:pt idx="181">
                  <c:v>47.771375763620824</c:v>
                </c:pt>
                <c:pt idx="182">
                  <c:v>50.220214676502898</c:v>
                </c:pt>
                <c:pt idx="183">
                  <c:v>38.871512653301188</c:v>
                </c:pt>
                <c:pt idx="184">
                  <c:v>39.833097911126998</c:v>
                </c:pt>
                <c:pt idx="185">
                  <c:v>49.189730473344206</c:v>
                </c:pt>
                <c:pt idx="186">
                  <c:v>44.286358301992081</c:v>
                </c:pt>
                <c:pt idx="187">
                  <c:v>48.685063806813133</c:v>
                </c:pt>
                <c:pt idx="188">
                  <c:v>51.572443294128156</c:v>
                </c:pt>
                <c:pt idx="189">
                  <c:v>50.642576915099674</c:v>
                </c:pt>
                <c:pt idx="190">
                  <c:v>50.053228688974052</c:v>
                </c:pt>
                <c:pt idx="191">
                  <c:v>48.682555652558733</c:v>
                </c:pt>
                <c:pt idx="192">
                  <c:v>48.356973350455156</c:v>
                </c:pt>
                <c:pt idx="193">
                  <c:v>48.030111522795529</c:v>
                </c:pt>
                <c:pt idx="194">
                  <c:v>47.333316889504069</c:v>
                </c:pt>
                <c:pt idx="195">
                  <c:v>45.750828272416669</c:v>
                </c:pt>
                <c:pt idx="196">
                  <c:v>47.418596032092303</c:v>
                </c:pt>
                <c:pt idx="197">
                  <c:v>46.824836199808196</c:v>
                </c:pt>
                <c:pt idx="198">
                  <c:v>46.904037486144276</c:v>
                </c:pt>
                <c:pt idx="199">
                  <c:v>39.875447772381563</c:v>
                </c:pt>
                <c:pt idx="200">
                  <c:v>38.456823936891702</c:v>
                </c:pt>
                <c:pt idx="201">
                  <c:v>45.555376015442341</c:v>
                </c:pt>
                <c:pt idx="202">
                  <c:v>34.534201377725545</c:v>
                </c:pt>
                <c:pt idx="203">
                  <c:v>43.61619456051622</c:v>
                </c:pt>
                <c:pt idx="204">
                  <c:v>45.238431040726546</c:v>
                </c:pt>
                <c:pt idx="205">
                  <c:v>24.487990114568845</c:v>
                </c:pt>
                <c:pt idx="206">
                  <c:v>49.664903036634279</c:v>
                </c:pt>
                <c:pt idx="207">
                  <c:v>48.586415102237929</c:v>
                </c:pt>
                <c:pt idx="208">
                  <c:v>41.03992240794306</c:v>
                </c:pt>
                <c:pt idx="209">
                  <c:v>28.425698773446701</c:v>
                </c:pt>
                <c:pt idx="210">
                  <c:v>45.275323991801322</c:v>
                </c:pt>
                <c:pt idx="211">
                  <c:v>46.231221725279248</c:v>
                </c:pt>
                <c:pt idx="212">
                  <c:v>46.138005344516742</c:v>
                </c:pt>
                <c:pt idx="213">
                  <c:v>46.113311261454712</c:v>
                </c:pt>
                <c:pt idx="214">
                  <c:v>42.990246813785511</c:v>
                </c:pt>
                <c:pt idx="215">
                  <c:v>42.467768572974876</c:v>
                </c:pt>
                <c:pt idx="216">
                  <c:v>40.406748199224808</c:v>
                </c:pt>
                <c:pt idx="217">
                  <c:v>41.44465500816532</c:v>
                </c:pt>
                <c:pt idx="218">
                  <c:v>43.87847801116181</c:v>
                </c:pt>
                <c:pt idx="219">
                  <c:v>43.48421979619993</c:v>
                </c:pt>
                <c:pt idx="220">
                  <c:v>42.641096679753105</c:v>
                </c:pt>
                <c:pt idx="221">
                  <c:v>39.7655480860602</c:v>
                </c:pt>
                <c:pt idx="222">
                  <c:v>37.862741223393073</c:v>
                </c:pt>
                <c:pt idx="223">
                  <c:v>39.104686983686754</c:v>
                </c:pt>
                <c:pt idx="224">
                  <c:v>30.272560495247419</c:v>
                </c:pt>
                <c:pt idx="225">
                  <c:v>27.341201574204664</c:v>
                </c:pt>
                <c:pt idx="226">
                  <c:v>33.275367839146696</c:v>
                </c:pt>
                <c:pt idx="227">
                  <c:v>30.090706035845297</c:v>
                </c:pt>
                <c:pt idx="228">
                  <c:v>23.965080981534047</c:v>
                </c:pt>
                <c:pt idx="229">
                  <c:v>32.266854504775878</c:v>
                </c:pt>
                <c:pt idx="230">
                  <c:v>33.423647045407385</c:v>
                </c:pt>
                <c:pt idx="231">
                  <c:v>40.223861574818187</c:v>
                </c:pt>
                <c:pt idx="232">
                  <c:v>25.820295934944085</c:v>
                </c:pt>
                <c:pt idx="233">
                  <c:v>22.635577250616635</c:v>
                </c:pt>
                <c:pt idx="234">
                  <c:v>39.514744684298051</c:v>
                </c:pt>
                <c:pt idx="235">
                  <c:v>36.518478110497753</c:v>
                </c:pt>
                <c:pt idx="236">
                  <c:v>26.547761392959043</c:v>
                </c:pt>
                <c:pt idx="237">
                  <c:v>35.213569576852485</c:v>
                </c:pt>
                <c:pt idx="238">
                  <c:v>37.892992474493397</c:v>
                </c:pt>
                <c:pt idx="239">
                  <c:v>36.711234138367232</c:v>
                </c:pt>
                <c:pt idx="240">
                  <c:v>26.02081609938903</c:v>
                </c:pt>
                <c:pt idx="241">
                  <c:v>36.536813658853525</c:v>
                </c:pt>
                <c:pt idx="242">
                  <c:v>20.099022437640702</c:v>
                </c:pt>
                <c:pt idx="243">
                  <c:v>32.295097175010227</c:v>
                </c:pt>
                <c:pt idx="244">
                  <c:v>31.066726247676357</c:v>
                </c:pt>
                <c:pt idx="245">
                  <c:v>28.882705860007139</c:v>
                </c:pt>
                <c:pt idx="246">
                  <c:v>33.501355127062517</c:v>
                </c:pt>
                <c:pt idx="247">
                  <c:v>29.868139015904969</c:v>
                </c:pt>
                <c:pt idx="248">
                  <c:v>34.151169089863593</c:v>
                </c:pt>
                <c:pt idx="249">
                  <c:v>29.150883746121412</c:v>
                </c:pt>
                <c:pt idx="250">
                  <c:v>26.619543422537319</c:v>
                </c:pt>
                <c:pt idx="251">
                  <c:v>19.799972955594878</c:v>
                </c:pt>
                <c:pt idx="252">
                  <c:v>33.838497673607051</c:v>
                </c:pt>
                <c:pt idx="253">
                  <c:v>32.901349608205045</c:v>
                </c:pt>
                <c:pt idx="254">
                  <c:v>23.686474707714375</c:v>
                </c:pt>
                <c:pt idx="255">
                  <c:v>11.511372173289725</c:v>
                </c:pt>
                <c:pt idx="256">
                  <c:v>26.059869160315937</c:v>
                </c:pt>
                <c:pt idx="257">
                  <c:v>28.387797107637024</c:v>
                </c:pt>
                <c:pt idx="258">
                  <c:v>26.255632826309199</c:v>
                </c:pt>
                <c:pt idx="259">
                  <c:v>33.07106610443963</c:v>
                </c:pt>
                <c:pt idx="260">
                  <c:v>33.153576826731786</c:v>
                </c:pt>
                <c:pt idx="261">
                  <c:v>31.706985600967617</c:v>
                </c:pt>
                <c:pt idx="262">
                  <c:v>32.404390421688625</c:v>
                </c:pt>
                <c:pt idx="263">
                  <c:v>31.565086216574361</c:v>
                </c:pt>
                <c:pt idx="264">
                  <c:v>30.501802420242512</c:v>
                </c:pt>
                <c:pt idx="265">
                  <c:v>19.752429809993941</c:v>
                </c:pt>
                <c:pt idx="266">
                  <c:v>14.409974743544753</c:v>
                </c:pt>
                <c:pt idx="267">
                  <c:v>26.542910279260528</c:v>
                </c:pt>
                <c:pt idx="268">
                  <c:v>23.059911611921461</c:v>
                </c:pt>
                <c:pt idx="269">
                  <c:v>14.957722280713533</c:v>
                </c:pt>
                <c:pt idx="270">
                  <c:v>16.479549210296945</c:v>
                </c:pt>
                <c:pt idx="271">
                  <c:v>19.038283544920553</c:v>
                </c:pt>
                <c:pt idx="272">
                  <c:v>20.444522985352233</c:v>
                </c:pt>
                <c:pt idx="273">
                  <c:v>25.980603020653266</c:v>
                </c:pt>
                <c:pt idx="274">
                  <c:v>27.74416217207175</c:v>
                </c:pt>
                <c:pt idx="275">
                  <c:v>26.59641287955878</c:v>
                </c:pt>
                <c:pt idx="276">
                  <c:v>27.960332604497989</c:v>
                </c:pt>
                <c:pt idx="277">
                  <c:v>28.224117795077426</c:v>
                </c:pt>
                <c:pt idx="278">
                  <c:v>10.305614101653653</c:v>
                </c:pt>
                <c:pt idx="279">
                  <c:v>20.804894171855924</c:v>
                </c:pt>
                <c:pt idx="280">
                  <c:v>13.556149379534112</c:v>
                </c:pt>
                <c:pt idx="281">
                  <c:v>25.947562251222276</c:v>
                </c:pt>
                <c:pt idx="282">
                  <c:v>21.692606893798338</c:v>
                </c:pt>
                <c:pt idx="283">
                  <c:v>17.546270469241172</c:v>
                </c:pt>
                <c:pt idx="284">
                  <c:v>20.353241549179412</c:v>
                </c:pt>
                <c:pt idx="285">
                  <c:v>17.819204525177373</c:v>
                </c:pt>
                <c:pt idx="286">
                  <c:v>16.83243123402173</c:v>
                </c:pt>
                <c:pt idx="287">
                  <c:v>24.319480067616176</c:v>
                </c:pt>
                <c:pt idx="288">
                  <c:v>22.897213653455815</c:v>
                </c:pt>
                <c:pt idx="289">
                  <c:v>15.236082906316112</c:v>
                </c:pt>
                <c:pt idx="290">
                  <c:v>22.63831562450947</c:v>
                </c:pt>
                <c:pt idx="291">
                  <c:v>11.915780323425793</c:v>
                </c:pt>
                <c:pt idx="292">
                  <c:v>5.2991122570094458</c:v>
                </c:pt>
                <c:pt idx="293">
                  <c:v>12.384131816788129</c:v>
                </c:pt>
                <c:pt idx="294">
                  <c:v>21.579629709141255</c:v>
                </c:pt>
                <c:pt idx="295">
                  <c:v>13.382061199444346</c:v>
                </c:pt>
                <c:pt idx="296">
                  <c:v>16.046336153366017</c:v>
                </c:pt>
                <c:pt idx="297">
                  <c:v>16.116122356356833</c:v>
                </c:pt>
                <c:pt idx="298">
                  <c:v>10.494074099691224</c:v>
                </c:pt>
                <c:pt idx="299">
                  <c:v>10.122596722238125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0.88998306543088168</c:v>
                </c:pt>
                <c:pt idx="312">
                  <c:v>7.0692473186014633</c:v>
                </c:pt>
                <c:pt idx="313">
                  <c:v>15.818712998994176</c:v>
                </c:pt>
                <c:pt idx="314">
                  <c:v>17.12460826680352</c:v>
                </c:pt>
                <c:pt idx="315">
                  <c:v>17.323195760634693</c:v>
                </c:pt>
                <c:pt idx="316">
                  <c:v>16.698832272001663</c:v>
                </c:pt>
                <c:pt idx="317">
                  <c:v>6.90816254513547</c:v>
                </c:pt>
                <c:pt idx="318">
                  <c:v>9.433888219383368</c:v>
                </c:pt>
                <c:pt idx="319">
                  <c:v>16.907739893497759</c:v>
                </c:pt>
                <c:pt idx="320">
                  <c:v>9.8978158990246072</c:v>
                </c:pt>
                <c:pt idx="321">
                  <c:v>10.265514495734545</c:v>
                </c:pt>
                <c:pt idx="322">
                  <c:v>6.7379365290563733</c:v>
                </c:pt>
                <c:pt idx="323">
                  <c:v>10.732625749588188</c:v>
                </c:pt>
                <c:pt idx="324">
                  <c:v>2.9192822176507511</c:v>
                </c:pt>
                <c:pt idx="325">
                  <c:v>6.512170376235237</c:v>
                </c:pt>
                <c:pt idx="326">
                  <c:v>8.949456852313439</c:v>
                </c:pt>
                <c:pt idx="327">
                  <c:v>9.939790917852557</c:v>
                </c:pt>
                <c:pt idx="328">
                  <c:v>4.78770563698221</c:v>
                </c:pt>
                <c:pt idx="329">
                  <c:v>9.1749920709286474</c:v>
                </c:pt>
                <c:pt idx="330">
                  <c:v>10.351047320666606</c:v>
                </c:pt>
                <c:pt idx="331">
                  <c:v>8.8141847846090506</c:v>
                </c:pt>
                <c:pt idx="332">
                  <c:v>11.76944320756459</c:v>
                </c:pt>
                <c:pt idx="333">
                  <c:v>3.5283882037978906</c:v>
                </c:pt>
                <c:pt idx="334">
                  <c:v>3.162018329673574</c:v>
                </c:pt>
                <c:pt idx="335">
                  <c:v>5.2837225139249977</c:v>
                </c:pt>
                <c:pt idx="336">
                  <c:v>5.9386750262948089</c:v>
                </c:pt>
                <c:pt idx="337">
                  <c:v>11.588668155930737</c:v>
                </c:pt>
                <c:pt idx="338">
                  <c:v>14.509313625131959</c:v>
                </c:pt>
                <c:pt idx="339">
                  <c:v>8.0906498747525788</c:v>
                </c:pt>
                <c:pt idx="340">
                  <c:v>12.92287061194194</c:v>
                </c:pt>
                <c:pt idx="341">
                  <c:v>3.7992077905297901</c:v>
                </c:pt>
                <c:pt idx="342">
                  <c:v>4.4968575594462097</c:v>
                </c:pt>
                <c:pt idx="343">
                  <c:v>9.1712943194224223</c:v>
                </c:pt>
                <c:pt idx="344">
                  <c:v>11.160568451283078</c:v>
                </c:pt>
                <c:pt idx="345">
                  <c:v>3.7296382444213805</c:v>
                </c:pt>
                <c:pt idx="346">
                  <c:v>4.8461976977722037</c:v>
                </c:pt>
                <c:pt idx="347">
                  <c:v>12.937190264648892</c:v>
                </c:pt>
                <c:pt idx="348">
                  <c:v>5.077351326721133</c:v>
                </c:pt>
                <c:pt idx="349">
                  <c:v>4.2926711910434525</c:v>
                </c:pt>
                <c:pt idx="350">
                  <c:v>3.1913991389514811</c:v>
                </c:pt>
                <c:pt idx="351">
                  <c:v>12.830334949399351</c:v>
                </c:pt>
                <c:pt idx="352">
                  <c:v>10.677691768190019</c:v>
                </c:pt>
                <c:pt idx="353">
                  <c:v>4.3185033635710059</c:v>
                </c:pt>
                <c:pt idx="354">
                  <c:v>13.58162092405882</c:v>
                </c:pt>
                <c:pt idx="355">
                  <c:v>10.028274703096704</c:v>
                </c:pt>
                <c:pt idx="356">
                  <c:v>10.78036366597841</c:v>
                </c:pt>
                <c:pt idx="357">
                  <c:v>14.331405908465889</c:v>
                </c:pt>
                <c:pt idx="358">
                  <c:v>8.6037661517073225</c:v>
                </c:pt>
                <c:pt idx="359">
                  <c:v>14.140660473551746</c:v>
                </c:pt>
                <c:pt idx="360">
                  <c:v>6.2953719161078201</c:v>
                </c:pt>
                <c:pt idx="361">
                  <c:v>13.280503953693941</c:v>
                </c:pt>
                <c:pt idx="362">
                  <c:v>7.7825485586442849</c:v>
                </c:pt>
                <c:pt idx="363">
                  <c:v>10.105442381118843</c:v>
                </c:pt>
                <c:pt idx="364">
                  <c:v>8.2932321957447428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5.4714992059501686</c:v>
                </c:pt>
                <c:pt idx="1">
                  <c:v>1.6798632496966268</c:v>
                </c:pt>
                <c:pt idx="2">
                  <c:v>12.026731109238259</c:v>
                </c:pt>
                <c:pt idx="3">
                  <c:v>10.137804145050588</c:v>
                </c:pt>
                <c:pt idx="4">
                  <c:v>10.123545671099137</c:v>
                </c:pt>
                <c:pt idx="5">
                  <c:v>4.4202941054314575</c:v>
                </c:pt>
                <c:pt idx="6">
                  <c:v>10.165405922045286</c:v>
                </c:pt>
                <c:pt idx="7">
                  <c:v>5.1333702286344085</c:v>
                </c:pt>
                <c:pt idx="8">
                  <c:v>6.3876812473638944</c:v>
                </c:pt>
                <c:pt idx="9">
                  <c:v>13.771530385879261</c:v>
                </c:pt>
                <c:pt idx="10">
                  <c:v>3.8354539930816336</c:v>
                </c:pt>
                <c:pt idx="11">
                  <c:v>13.292577977078158</c:v>
                </c:pt>
                <c:pt idx="12">
                  <c:v>9.1211750130914897</c:v>
                </c:pt>
                <c:pt idx="13">
                  <c:v>11.54549937894477</c:v>
                </c:pt>
                <c:pt idx="14">
                  <c:v>5.9657133544728405</c:v>
                </c:pt>
                <c:pt idx="15">
                  <c:v>3.1965215951554891</c:v>
                </c:pt>
                <c:pt idx="16">
                  <c:v>5.1988767718751827</c:v>
                </c:pt>
                <c:pt idx="17">
                  <c:v>12.767584780491342</c:v>
                </c:pt>
                <c:pt idx="18">
                  <c:v>6.8502441378938279</c:v>
                </c:pt>
                <c:pt idx="19">
                  <c:v>13.723305160935436</c:v>
                </c:pt>
                <c:pt idx="20">
                  <c:v>5.2609921382041938</c:v>
                </c:pt>
                <c:pt idx="21">
                  <c:v>17.03166081872887</c:v>
                </c:pt>
                <c:pt idx="22">
                  <c:v>17.280792723037152</c:v>
                </c:pt>
                <c:pt idx="23">
                  <c:v>17.38734742777083</c:v>
                </c:pt>
                <c:pt idx="24">
                  <c:v>17.417906459322051</c:v>
                </c:pt>
                <c:pt idx="25">
                  <c:v>17.663240118682896</c:v>
                </c:pt>
                <c:pt idx="26">
                  <c:v>18.491385278925204</c:v>
                </c:pt>
                <c:pt idx="27">
                  <c:v>3.6793317111684698</c:v>
                </c:pt>
                <c:pt idx="28">
                  <c:v>7.3034528226533526</c:v>
                </c:pt>
                <c:pt idx="29">
                  <c:v>3.8476281418628928</c:v>
                </c:pt>
                <c:pt idx="30">
                  <c:v>7.9469356947378502</c:v>
                </c:pt>
                <c:pt idx="31">
                  <c:v>7.7855844194645734</c:v>
                </c:pt>
                <c:pt idx="32">
                  <c:v>4.6755215386568176</c:v>
                </c:pt>
                <c:pt idx="33">
                  <c:v>8.5262969234936232</c:v>
                </c:pt>
                <c:pt idx="34">
                  <c:v>7.7583602475462579</c:v>
                </c:pt>
                <c:pt idx="35">
                  <c:v>8.0538382348182136</c:v>
                </c:pt>
                <c:pt idx="36">
                  <c:v>13.96812417191</c:v>
                </c:pt>
                <c:pt idx="37">
                  <c:v>8.0616665829187948</c:v>
                </c:pt>
                <c:pt idx="38">
                  <c:v>21.989191623529052</c:v>
                </c:pt>
                <c:pt idx="39">
                  <c:v>21.768698904376375</c:v>
                </c:pt>
                <c:pt idx="40">
                  <c:v>20.354616204611098</c:v>
                </c:pt>
                <c:pt idx="41">
                  <c:v>13.461985946020476</c:v>
                </c:pt>
                <c:pt idx="42">
                  <c:v>19.099601367355316</c:v>
                </c:pt>
                <c:pt idx="43">
                  <c:v>21.893151115006805</c:v>
                </c:pt>
                <c:pt idx="44">
                  <c:v>11.561254168158209</c:v>
                </c:pt>
                <c:pt idx="45">
                  <c:v>14.668797723851608</c:v>
                </c:pt>
                <c:pt idx="46">
                  <c:v>8.9846492776245039</c:v>
                </c:pt>
                <c:pt idx="47">
                  <c:v>9.6563407808731334</c:v>
                </c:pt>
                <c:pt idx="48">
                  <c:v>19.061831981534922</c:v>
                </c:pt>
                <c:pt idx="49">
                  <c:v>16.987064549990464</c:v>
                </c:pt>
                <c:pt idx="50">
                  <c:v>15.45397715060539</c:v>
                </c:pt>
                <c:pt idx="51">
                  <c:v>16.689583097534467</c:v>
                </c:pt>
                <c:pt idx="52">
                  <c:v>24.298541287014199</c:v>
                </c:pt>
                <c:pt idx="53">
                  <c:v>24.301884308159472</c:v>
                </c:pt>
                <c:pt idx="54">
                  <c:v>13.856758406642484</c:v>
                </c:pt>
                <c:pt idx="55">
                  <c:v>24.753097627953746</c:v>
                </c:pt>
                <c:pt idx="56">
                  <c:v>27.786240216321364</c:v>
                </c:pt>
                <c:pt idx="57">
                  <c:v>22.67496484082579</c:v>
                </c:pt>
                <c:pt idx="58">
                  <c:v>22.844337489410719</c:v>
                </c:pt>
                <c:pt idx="59">
                  <c:v>28.005720718300068</c:v>
                </c:pt>
                <c:pt idx="60">
                  <c:v>8.0559618343751733</c:v>
                </c:pt>
                <c:pt idx="61">
                  <c:v>27.25704558600756</c:v>
                </c:pt>
                <c:pt idx="62">
                  <c:v>3.6364451764022196</c:v>
                </c:pt>
                <c:pt idx="63">
                  <c:v>11.668307471531296</c:v>
                </c:pt>
                <c:pt idx="64">
                  <c:v>13.447903035696054</c:v>
                </c:pt>
                <c:pt idx="65">
                  <c:v>28.600290137293953</c:v>
                </c:pt>
                <c:pt idx="66">
                  <c:v>22.113631512237582</c:v>
                </c:pt>
                <c:pt idx="67">
                  <c:v>23.067164451761109</c:v>
                </c:pt>
                <c:pt idx="68">
                  <c:v>18.286794267092933</c:v>
                </c:pt>
                <c:pt idx="69">
                  <c:v>11.919267774863989</c:v>
                </c:pt>
                <c:pt idx="70">
                  <c:v>12.504794864778258</c:v>
                </c:pt>
                <c:pt idx="71">
                  <c:v>9.0065228199538261</c:v>
                </c:pt>
                <c:pt idx="72">
                  <c:v>12.005395905914204</c:v>
                </c:pt>
                <c:pt idx="73">
                  <c:v>12.068325820717844</c:v>
                </c:pt>
                <c:pt idx="74">
                  <c:v>10.987548387815567</c:v>
                </c:pt>
                <c:pt idx="75">
                  <c:v>9.0776139190453442</c:v>
                </c:pt>
                <c:pt idx="76">
                  <c:v>12.184285207449689</c:v>
                </c:pt>
                <c:pt idx="77">
                  <c:v>22.39587597417697</c:v>
                </c:pt>
                <c:pt idx="78">
                  <c:v>23.305010326500391</c:v>
                </c:pt>
                <c:pt idx="79">
                  <c:v>32.271539757812178</c:v>
                </c:pt>
                <c:pt idx="80">
                  <c:v>30.711593282620449</c:v>
                </c:pt>
                <c:pt idx="81">
                  <c:v>34.909100333332646</c:v>
                </c:pt>
                <c:pt idx="82">
                  <c:v>34.019777579726622</c:v>
                </c:pt>
                <c:pt idx="83">
                  <c:v>32.441875070069351</c:v>
                </c:pt>
                <c:pt idx="84">
                  <c:v>34.432032879543584</c:v>
                </c:pt>
                <c:pt idx="85">
                  <c:v>33.2297924033996</c:v>
                </c:pt>
                <c:pt idx="86">
                  <c:v>25.198742607039804</c:v>
                </c:pt>
                <c:pt idx="87">
                  <c:v>21.645567519983409</c:v>
                </c:pt>
                <c:pt idx="88">
                  <c:v>6.6795289914186453</c:v>
                </c:pt>
                <c:pt idx="89">
                  <c:v>24.215516403043065</c:v>
                </c:pt>
                <c:pt idx="90">
                  <c:v>26.006897812568553</c:v>
                </c:pt>
                <c:pt idx="91">
                  <c:v>17.420627033547717</c:v>
                </c:pt>
                <c:pt idx="92">
                  <c:v>17.425338431406832</c:v>
                </c:pt>
                <c:pt idx="93">
                  <c:v>38.323749043574281</c:v>
                </c:pt>
                <c:pt idx="94">
                  <c:v>39.452297144025451</c:v>
                </c:pt>
                <c:pt idx="95">
                  <c:v>9.6117768224147326</c:v>
                </c:pt>
                <c:pt idx="96">
                  <c:v>28.69917697109631</c:v>
                </c:pt>
                <c:pt idx="97">
                  <c:v>22.535477353199937</c:v>
                </c:pt>
                <c:pt idx="98">
                  <c:v>30.281755882410266</c:v>
                </c:pt>
                <c:pt idx="99">
                  <c:v>39.89008237954846</c:v>
                </c:pt>
                <c:pt idx="100">
                  <c:v>33.697768461180118</c:v>
                </c:pt>
                <c:pt idx="101">
                  <c:v>28.132987775560434</c:v>
                </c:pt>
                <c:pt idx="102">
                  <c:v>6.0823876916620305</c:v>
                </c:pt>
                <c:pt idx="103">
                  <c:v>31.197697210129004</c:v>
                </c:pt>
                <c:pt idx="104">
                  <c:v>36.548027827892888</c:v>
                </c:pt>
                <c:pt idx="105">
                  <c:v>38.155164037848472</c:v>
                </c:pt>
                <c:pt idx="106">
                  <c:v>41.581332859039442</c:v>
                </c:pt>
                <c:pt idx="107">
                  <c:v>32.546193096523687</c:v>
                </c:pt>
                <c:pt idx="108">
                  <c:v>7.4839554728034141</c:v>
                </c:pt>
                <c:pt idx="109">
                  <c:v>8.7168435493037641</c:v>
                </c:pt>
                <c:pt idx="110">
                  <c:v>8.2207173873771531</c:v>
                </c:pt>
                <c:pt idx="111">
                  <c:v>23.601451423731945</c:v>
                </c:pt>
                <c:pt idx="112">
                  <c:v>8.095800851753852</c:v>
                </c:pt>
                <c:pt idx="113">
                  <c:v>25.828067635753648</c:v>
                </c:pt>
                <c:pt idx="114">
                  <c:v>41.356863051595688</c:v>
                </c:pt>
                <c:pt idx="115">
                  <c:v>43.293828984658006</c:v>
                </c:pt>
                <c:pt idx="116">
                  <c:v>31.529230127425325</c:v>
                </c:pt>
                <c:pt idx="117">
                  <c:v>17.653773400820587</c:v>
                </c:pt>
                <c:pt idx="118">
                  <c:v>32.874831730018485</c:v>
                </c:pt>
                <c:pt idx="119">
                  <c:v>41.611232830579333</c:v>
                </c:pt>
                <c:pt idx="120">
                  <c:v>42.444105562637681</c:v>
                </c:pt>
                <c:pt idx="121">
                  <c:v>27.696438216382337</c:v>
                </c:pt>
                <c:pt idx="122">
                  <c:v>33.813990486997049</c:v>
                </c:pt>
                <c:pt idx="123">
                  <c:v>19.907029898719571</c:v>
                </c:pt>
                <c:pt idx="124">
                  <c:v>39.605007284096502</c:v>
                </c:pt>
                <c:pt idx="125">
                  <c:v>33.373773761078503</c:v>
                </c:pt>
                <c:pt idx="126">
                  <c:v>48.857812625717436</c:v>
                </c:pt>
                <c:pt idx="127">
                  <c:v>44.53955438944778</c:v>
                </c:pt>
                <c:pt idx="128">
                  <c:v>49.289857818711035</c:v>
                </c:pt>
                <c:pt idx="129">
                  <c:v>45.751307151821756</c:v>
                </c:pt>
                <c:pt idx="130">
                  <c:v>49.460048944182439</c:v>
                </c:pt>
                <c:pt idx="131">
                  <c:v>37.818264336233334</c:v>
                </c:pt>
                <c:pt idx="132">
                  <c:v>40.395554518026401</c:v>
                </c:pt>
                <c:pt idx="133">
                  <c:v>44.094341131179952</c:v>
                </c:pt>
                <c:pt idx="134">
                  <c:v>46.383273123097496</c:v>
                </c:pt>
                <c:pt idx="135">
                  <c:v>44.972443588676093</c:v>
                </c:pt>
                <c:pt idx="136">
                  <c:v>47.939944561770425</c:v>
                </c:pt>
                <c:pt idx="137">
                  <c:v>46.81058565274224</c:v>
                </c:pt>
                <c:pt idx="138">
                  <c:v>49.23095465082875</c:v>
                </c:pt>
                <c:pt idx="139">
                  <c:v>43.779025782352569</c:v>
                </c:pt>
                <c:pt idx="140">
                  <c:v>42.656085910650162</c:v>
                </c:pt>
                <c:pt idx="141">
                  <c:v>31.524006350431929</c:v>
                </c:pt>
                <c:pt idx="142">
                  <c:v>18.458838136916729</c:v>
                </c:pt>
                <c:pt idx="143">
                  <c:v>15.846228212802641</c:v>
                </c:pt>
                <c:pt idx="144">
                  <c:v>36.939484571573509</c:v>
                </c:pt>
                <c:pt idx="145">
                  <c:v>20.053739930346381</c:v>
                </c:pt>
                <c:pt idx="146">
                  <c:v>43.348884259037533</c:v>
                </c:pt>
                <c:pt idx="147">
                  <c:v>49.666297287433643</c:v>
                </c:pt>
                <c:pt idx="148">
                  <c:v>53.178766465649701</c:v>
                </c:pt>
                <c:pt idx="149">
                  <c:v>47.802278627719637</c:v>
                </c:pt>
                <c:pt idx="150">
                  <c:v>49.031244520008478</c:v>
                </c:pt>
                <c:pt idx="151">
                  <c:v>50.250535140213735</c:v>
                </c:pt>
                <c:pt idx="152">
                  <c:v>41.318623308931222</c:v>
                </c:pt>
                <c:pt idx="153">
                  <c:v>48.131606589505935</c:v>
                </c:pt>
                <c:pt idx="154">
                  <c:v>22.786317940881329</c:v>
                </c:pt>
                <c:pt idx="155">
                  <c:v>32.20672512712958</c:v>
                </c:pt>
                <c:pt idx="156">
                  <c:v>40.940277065219057</c:v>
                </c:pt>
                <c:pt idx="157">
                  <c:v>27.620038773976724</c:v>
                </c:pt>
                <c:pt idx="158">
                  <c:v>18.809839568815462</c:v>
                </c:pt>
                <c:pt idx="159">
                  <c:v>40.259891361259079</c:v>
                </c:pt>
                <c:pt idx="160">
                  <c:v>51.11832012932777</c:v>
                </c:pt>
                <c:pt idx="161">
                  <c:v>50.147492225191094</c:v>
                </c:pt>
                <c:pt idx="162">
                  <c:v>37.762845539028127</c:v>
                </c:pt>
                <c:pt idx="163">
                  <c:v>49.067418914997049</c:v>
                </c:pt>
                <c:pt idx="164">
                  <c:v>41.681687661286325</c:v>
                </c:pt>
                <c:pt idx="165">
                  <c:v>48.165342850164848</c:v>
                </c:pt>
                <c:pt idx="166">
                  <c:v>46.247731302087722</c:v>
                </c:pt>
                <c:pt idx="167">
                  <c:v>46.640010518621231</c:v>
                </c:pt>
                <c:pt idx="168">
                  <c:v>48.189800205537914</c:v>
                </c:pt>
                <c:pt idx="169">
                  <c:v>49.32249000634382</c:v>
                </c:pt>
                <c:pt idx="170">
                  <c:v>29.918968597733844</c:v>
                </c:pt>
                <c:pt idx="171">
                  <c:v>21.671386995033398</c:v>
                </c:pt>
                <c:pt idx="172">
                  <c:v>37.972173060929471</c:v>
                </c:pt>
                <c:pt idx="173">
                  <c:v>37.461349020249031</c:v>
                </c:pt>
                <c:pt idx="174">
                  <c:v>36.59950239318232</c:v>
                </c:pt>
                <c:pt idx="175">
                  <c:v>29.698128115195118</c:v>
                </c:pt>
                <c:pt idx="176">
                  <c:v>10.936243437799407</c:v>
                </c:pt>
                <c:pt idx="177">
                  <c:v>11.620433208607398</c:v>
                </c:pt>
                <c:pt idx="178">
                  <c:v>53.198566522782563</c:v>
                </c:pt>
                <c:pt idx="179">
                  <c:v>50.082879936518779</c:v>
                </c:pt>
                <c:pt idx="180">
                  <c:v>12.645366190059086</c:v>
                </c:pt>
                <c:pt idx="181">
                  <c:v>47.771375763620824</c:v>
                </c:pt>
                <c:pt idx="182">
                  <c:v>50.220214676502898</c:v>
                </c:pt>
                <c:pt idx="183">
                  <c:v>38.871512653301188</c:v>
                </c:pt>
                <c:pt idx="184">
                  <c:v>39.833097911126998</c:v>
                </c:pt>
                <c:pt idx="185">
                  <c:v>49.189730473344206</c:v>
                </c:pt>
                <c:pt idx="186">
                  <c:v>44.286358301992081</c:v>
                </c:pt>
                <c:pt idx="187">
                  <c:v>48.685063806813133</c:v>
                </c:pt>
                <c:pt idx="188">
                  <c:v>51.572443294128156</c:v>
                </c:pt>
                <c:pt idx="189">
                  <c:v>50.642576915099674</c:v>
                </c:pt>
                <c:pt idx="190">
                  <c:v>50.053228688974052</c:v>
                </c:pt>
                <c:pt idx="191">
                  <c:v>48.682555652558733</c:v>
                </c:pt>
                <c:pt idx="192">
                  <c:v>48.356973350455156</c:v>
                </c:pt>
                <c:pt idx="193">
                  <c:v>48.030111522795529</c:v>
                </c:pt>
                <c:pt idx="194">
                  <c:v>47.333316889504069</c:v>
                </c:pt>
                <c:pt idx="195">
                  <c:v>45.750828272416669</c:v>
                </c:pt>
                <c:pt idx="196">
                  <c:v>47.418596032092303</c:v>
                </c:pt>
                <c:pt idx="197">
                  <c:v>46.824836199808196</c:v>
                </c:pt>
                <c:pt idx="198">
                  <c:v>46.904037486144276</c:v>
                </c:pt>
                <c:pt idx="199">
                  <c:v>39.875447772381563</c:v>
                </c:pt>
                <c:pt idx="200">
                  <c:v>38.456823936891702</c:v>
                </c:pt>
                <c:pt idx="201">
                  <c:v>45.555376015442341</c:v>
                </c:pt>
                <c:pt idx="202">
                  <c:v>34.534201377725545</c:v>
                </c:pt>
                <c:pt idx="203">
                  <c:v>43.61619456051622</c:v>
                </c:pt>
                <c:pt idx="204">
                  <c:v>45.238431040726546</c:v>
                </c:pt>
                <c:pt idx="205">
                  <c:v>24.487990114568845</c:v>
                </c:pt>
                <c:pt idx="206">
                  <c:v>49.664903036634279</c:v>
                </c:pt>
                <c:pt idx="207">
                  <c:v>48.586415102237929</c:v>
                </c:pt>
                <c:pt idx="208">
                  <c:v>41.03992240794306</c:v>
                </c:pt>
                <c:pt idx="209">
                  <c:v>28.425698773446701</c:v>
                </c:pt>
                <c:pt idx="210">
                  <c:v>45.275323991801322</c:v>
                </c:pt>
                <c:pt idx="211">
                  <c:v>46.231221725279248</c:v>
                </c:pt>
                <c:pt idx="212">
                  <c:v>46.138005344516742</c:v>
                </c:pt>
                <c:pt idx="213">
                  <c:v>46.113311261454712</c:v>
                </c:pt>
                <c:pt idx="214">
                  <c:v>42.990246813785511</c:v>
                </c:pt>
                <c:pt idx="215">
                  <c:v>42.467768572974876</c:v>
                </c:pt>
                <c:pt idx="216">
                  <c:v>40.406748199224808</c:v>
                </c:pt>
                <c:pt idx="217">
                  <c:v>41.44465500816532</c:v>
                </c:pt>
                <c:pt idx="218">
                  <c:v>43.87847801116181</c:v>
                </c:pt>
                <c:pt idx="219">
                  <c:v>43.48421979619993</c:v>
                </c:pt>
                <c:pt idx="220">
                  <c:v>42.641096679753105</c:v>
                </c:pt>
                <c:pt idx="221">
                  <c:v>39.7655480860602</c:v>
                </c:pt>
                <c:pt idx="222">
                  <c:v>37.862741223393073</c:v>
                </c:pt>
                <c:pt idx="223">
                  <c:v>39.104686983686754</c:v>
                </c:pt>
                <c:pt idx="224">
                  <c:v>30.272560495247419</c:v>
                </c:pt>
                <c:pt idx="225">
                  <c:v>27.341201574204664</c:v>
                </c:pt>
                <c:pt idx="226">
                  <c:v>33.275367839146696</c:v>
                </c:pt>
                <c:pt idx="227">
                  <c:v>30.090706035845297</c:v>
                </c:pt>
                <c:pt idx="228">
                  <c:v>23.965080981534047</c:v>
                </c:pt>
                <c:pt idx="229">
                  <c:v>32.266854504775878</c:v>
                </c:pt>
                <c:pt idx="230">
                  <c:v>33.423647045407385</c:v>
                </c:pt>
                <c:pt idx="231">
                  <c:v>40.223861574818187</c:v>
                </c:pt>
                <c:pt idx="232">
                  <c:v>25.820295934944085</c:v>
                </c:pt>
                <c:pt idx="233">
                  <c:v>22.635577250616635</c:v>
                </c:pt>
                <c:pt idx="234">
                  <c:v>39.514744684298051</c:v>
                </c:pt>
                <c:pt idx="235">
                  <c:v>36.518478110497753</c:v>
                </c:pt>
                <c:pt idx="236">
                  <c:v>26.547761392959043</c:v>
                </c:pt>
                <c:pt idx="237">
                  <c:v>35.213569576852485</c:v>
                </c:pt>
                <c:pt idx="238">
                  <c:v>37.892992474493397</c:v>
                </c:pt>
                <c:pt idx="239">
                  <c:v>36.711234138367232</c:v>
                </c:pt>
                <c:pt idx="240">
                  <c:v>26.02081609938903</c:v>
                </c:pt>
                <c:pt idx="241">
                  <c:v>36.536813658853525</c:v>
                </c:pt>
                <c:pt idx="242">
                  <c:v>20.099022437640702</c:v>
                </c:pt>
                <c:pt idx="243">
                  <c:v>32.295097175010227</c:v>
                </c:pt>
                <c:pt idx="244">
                  <c:v>31.066726247676357</c:v>
                </c:pt>
                <c:pt idx="245">
                  <c:v>28.882705860007139</c:v>
                </c:pt>
                <c:pt idx="246">
                  <c:v>33.501355127062517</c:v>
                </c:pt>
                <c:pt idx="247">
                  <c:v>29.868139015904969</c:v>
                </c:pt>
                <c:pt idx="248">
                  <c:v>34.151169089863593</c:v>
                </c:pt>
                <c:pt idx="249">
                  <c:v>29.150883746121412</c:v>
                </c:pt>
                <c:pt idx="250">
                  <c:v>26.619543422537319</c:v>
                </c:pt>
                <c:pt idx="251">
                  <c:v>19.799972955594878</c:v>
                </c:pt>
                <c:pt idx="252">
                  <c:v>33.838497673607051</c:v>
                </c:pt>
                <c:pt idx="253">
                  <c:v>32.901349608205045</c:v>
                </c:pt>
                <c:pt idx="254">
                  <c:v>23.686474707714375</c:v>
                </c:pt>
                <c:pt idx="255">
                  <c:v>11.511372173289725</c:v>
                </c:pt>
                <c:pt idx="256">
                  <c:v>26.059869160315937</c:v>
                </c:pt>
                <c:pt idx="257">
                  <c:v>28.387797107637024</c:v>
                </c:pt>
                <c:pt idx="258">
                  <c:v>26.255632826309199</c:v>
                </c:pt>
                <c:pt idx="259">
                  <c:v>33.07106610443963</c:v>
                </c:pt>
                <c:pt idx="260">
                  <c:v>33.153576826731786</c:v>
                </c:pt>
                <c:pt idx="261">
                  <c:v>31.706985600967617</c:v>
                </c:pt>
                <c:pt idx="262">
                  <c:v>32.404390421688625</c:v>
                </c:pt>
                <c:pt idx="263">
                  <c:v>31.565086216574361</c:v>
                </c:pt>
                <c:pt idx="264">
                  <c:v>30.501802420242512</c:v>
                </c:pt>
                <c:pt idx="265">
                  <c:v>19.752429809993941</c:v>
                </c:pt>
                <c:pt idx="266">
                  <c:v>14.409974743544753</c:v>
                </c:pt>
                <c:pt idx="267">
                  <c:v>26.542910279260528</c:v>
                </c:pt>
                <c:pt idx="268">
                  <c:v>23.059911611921461</c:v>
                </c:pt>
                <c:pt idx="269">
                  <c:v>14.957722280713533</c:v>
                </c:pt>
                <c:pt idx="270">
                  <c:v>16.479549210296945</c:v>
                </c:pt>
                <c:pt idx="271">
                  <c:v>19.038283544920553</c:v>
                </c:pt>
                <c:pt idx="272">
                  <c:v>20.444522985352233</c:v>
                </c:pt>
                <c:pt idx="273">
                  <c:v>25.980603020653266</c:v>
                </c:pt>
                <c:pt idx="274">
                  <c:v>27.74416217207175</c:v>
                </c:pt>
                <c:pt idx="275">
                  <c:v>26.59641287955878</c:v>
                </c:pt>
                <c:pt idx="276">
                  <c:v>27.960332604497989</c:v>
                </c:pt>
                <c:pt idx="277">
                  <c:v>28.224117795077426</c:v>
                </c:pt>
                <c:pt idx="278">
                  <c:v>10.305614101653653</c:v>
                </c:pt>
                <c:pt idx="279">
                  <c:v>20.804894171855924</c:v>
                </c:pt>
                <c:pt idx="280">
                  <c:v>13.556149379534112</c:v>
                </c:pt>
                <c:pt idx="281">
                  <c:v>25.947562251222276</c:v>
                </c:pt>
                <c:pt idx="282">
                  <c:v>21.692606893798338</c:v>
                </c:pt>
                <c:pt idx="283">
                  <c:v>17.546270469241172</c:v>
                </c:pt>
                <c:pt idx="284">
                  <c:v>20.353241549179412</c:v>
                </c:pt>
                <c:pt idx="285">
                  <c:v>17.819204525177373</c:v>
                </c:pt>
                <c:pt idx="286">
                  <c:v>16.83243123402173</c:v>
                </c:pt>
                <c:pt idx="287">
                  <c:v>24.319480067616176</c:v>
                </c:pt>
                <c:pt idx="288">
                  <c:v>22.897213653455815</c:v>
                </c:pt>
                <c:pt idx="289">
                  <c:v>15.236082906316112</c:v>
                </c:pt>
                <c:pt idx="290">
                  <c:v>22.63831562450947</c:v>
                </c:pt>
                <c:pt idx="291">
                  <c:v>11.915780323425793</c:v>
                </c:pt>
                <c:pt idx="292">
                  <c:v>5.2991122570094458</c:v>
                </c:pt>
                <c:pt idx="293">
                  <c:v>12.384131816788129</c:v>
                </c:pt>
                <c:pt idx="294">
                  <c:v>21.579629709141255</c:v>
                </c:pt>
                <c:pt idx="295">
                  <c:v>13.382061199444346</c:v>
                </c:pt>
                <c:pt idx="296">
                  <c:v>16.046336153366017</c:v>
                </c:pt>
                <c:pt idx="297">
                  <c:v>16.116122356356833</c:v>
                </c:pt>
                <c:pt idx="298">
                  <c:v>10.494074099691224</c:v>
                </c:pt>
                <c:pt idx="299">
                  <c:v>10.122596722238125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0.88998306543088168</c:v>
                </c:pt>
                <c:pt idx="312">
                  <c:v>7.0692473186014633</c:v>
                </c:pt>
                <c:pt idx="313">
                  <c:v>15.818712998994176</c:v>
                </c:pt>
                <c:pt idx="314">
                  <c:v>17.12460826680352</c:v>
                </c:pt>
                <c:pt idx="315">
                  <c:v>17.323195760634693</c:v>
                </c:pt>
                <c:pt idx="316">
                  <c:v>16.698832272001663</c:v>
                </c:pt>
                <c:pt idx="317">
                  <c:v>6.90816254513547</c:v>
                </c:pt>
                <c:pt idx="318">
                  <c:v>9.433888219383368</c:v>
                </c:pt>
                <c:pt idx="319">
                  <c:v>16.907739893497759</c:v>
                </c:pt>
                <c:pt idx="320">
                  <c:v>9.8978158990246072</c:v>
                </c:pt>
                <c:pt idx="321">
                  <c:v>10.265514495734545</c:v>
                </c:pt>
                <c:pt idx="322">
                  <c:v>6.7379365290563733</c:v>
                </c:pt>
                <c:pt idx="323">
                  <c:v>10.732625749588188</c:v>
                </c:pt>
                <c:pt idx="324">
                  <c:v>2.9192822176507511</c:v>
                </c:pt>
                <c:pt idx="325">
                  <c:v>6.512170376235237</c:v>
                </c:pt>
                <c:pt idx="326">
                  <c:v>8.949456852313439</c:v>
                </c:pt>
                <c:pt idx="327">
                  <c:v>9.939790917852557</c:v>
                </c:pt>
                <c:pt idx="328">
                  <c:v>4.78770563698221</c:v>
                </c:pt>
                <c:pt idx="329">
                  <c:v>9.1749920709286474</c:v>
                </c:pt>
                <c:pt idx="330">
                  <c:v>10.351047320666606</c:v>
                </c:pt>
                <c:pt idx="331">
                  <c:v>8.8141847846090506</c:v>
                </c:pt>
                <c:pt idx="332">
                  <c:v>11.76944320756459</c:v>
                </c:pt>
                <c:pt idx="333">
                  <c:v>3.5283882037978906</c:v>
                </c:pt>
                <c:pt idx="334">
                  <c:v>3.162018329673574</c:v>
                </c:pt>
                <c:pt idx="335">
                  <c:v>5.2837225139249977</c:v>
                </c:pt>
                <c:pt idx="336">
                  <c:v>5.9386750262948089</c:v>
                </c:pt>
                <c:pt idx="337">
                  <c:v>11.588668155930737</c:v>
                </c:pt>
                <c:pt idx="338">
                  <c:v>14.509313625131959</c:v>
                </c:pt>
                <c:pt idx="339">
                  <c:v>8.0906498747525788</c:v>
                </c:pt>
                <c:pt idx="340">
                  <c:v>12.92287061194194</c:v>
                </c:pt>
                <c:pt idx="341">
                  <c:v>3.7992077905297901</c:v>
                </c:pt>
                <c:pt idx="342">
                  <c:v>4.4968575594462097</c:v>
                </c:pt>
                <c:pt idx="343">
                  <c:v>9.1712943194224223</c:v>
                </c:pt>
                <c:pt idx="344">
                  <c:v>11.160568451283078</c:v>
                </c:pt>
                <c:pt idx="345">
                  <c:v>3.7296382444213805</c:v>
                </c:pt>
                <c:pt idx="346">
                  <c:v>4.8461976977722037</c:v>
                </c:pt>
                <c:pt idx="347">
                  <c:v>12.937190264648892</c:v>
                </c:pt>
                <c:pt idx="348">
                  <c:v>5.077351326721133</c:v>
                </c:pt>
                <c:pt idx="349">
                  <c:v>4.2926711910434525</c:v>
                </c:pt>
                <c:pt idx="350">
                  <c:v>3.1913991389514811</c:v>
                </c:pt>
                <c:pt idx="351">
                  <c:v>12.830334949399351</c:v>
                </c:pt>
                <c:pt idx="352">
                  <c:v>10.677691768190019</c:v>
                </c:pt>
                <c:pt idx="353">
                  <c:v>4.3185033635710059</c:v>
                </c:pt>
                <c:pt idx="354">
                  <c:v>13.58162092405882</c:v>
                </c:pt>
                <c:pt idx="355">
                  <c:v>10.028274703096704</c:v>
                </c:pt>
                <c:pt idx="356">
                  <c:v>10.78036366597841</c:v>
                </c:pt>
                <c:pt idx="357">
                  <c:v>14.331405908465889</c:v>
                </c:pt>
                <c:pt idx="358">
                  <c:v>8.6037661517073225</c:v>
                </c:pt>
                <c:pt idx="359">
                  <c:v>14.140660473551746</c:v>
                </c:pt>
                <c:pt idx="360">
                  <c:v>6.2953719161078201</c:v>
                </c:pt>
                <c:pt idx="361">
                  <c:v>13.280503953693941</c:v>
                </c:pt>
                <c:pt idx="362">
                  <c:v>7.7825485586442849</c:v>
                </c:pt>
                <c:pt idx="363">
                  <c:v>10.105442381118843</c:v>
                </c:pt>
                <c:pt idx="364">
                  <c:v>8.2932321957447428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783752"/>
        <c:axId val="411784144"/>
      </c:lineChart>
      <c:dateAx>
        <c:axId val="411783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1784144"/>
        <c:crosses val="autoZero"/>
        <c:auto val="1"/>
        <c:lblOffset val="100"/>
        <c:baseTimeUnit val="days"/>
        <c:majorUnit val="1"/>
        <c:majorTimeUnit val="months"/>
      </c:dateAx>
      <c:valAx>
        <c:axId val="4117841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17837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Maternelle Labège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84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9.2017899837221773</c:v>
                </c:pt>
                <c:pt idx="3">
                  <c:v>10.565086092028961</c:v>
                </c:pt>
                <c:pt idx="4">
                  <c:v>9.3918355381262746</c:v>
                </c:pt>
                <c:pt idx="5">
                  <c:v>11.359659842346638</c:v>
                </c:pt>
                <c:pt idx="6">
                  <c:v>13.443186775699511</c:v>
                </c:pt>
                <c:pt idx="7">
                  <c:v>9.2923488912292527</c:v>
                </c:pt>
                <c:pt idx="8">
                  <c:v>9.2283236714389094</c:v>
                </c:pt>
                <c:pt idx="9">
                  <c:v>27.785660450947443</c:v>
                </c:pt>
                <c:pt idx="10">
                  <c:v>28.73500063913885</c:v>
                </c:pt>
                <c:pt idx="11">
                  <c:v>9.3679853562001743</c:v>
                </c:pt>
                <c:pt idx="12">
                  <c:v>35.119194544718411</c:v>
                </c:pt>
                <c:pt idx="13">
                  <c:v>36.47150565991943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8.5055116653035938</c:v>
                </c:pt>
                <c:pt idx="3">
                  <c:v>9.895186484788022</c:v>
                </c:pt>
                <c:pt idx="4">
                  <c:v>8.7524121012011413</c:v>
                </c:pt>
                <c:pt idx="5">
                  <c:v>10.435230979868747</c:v>
                </c:pt>
                <c:pt idx="6">
                  <c:v>12.405713370365632</c:v>
                </c:pt>
                <c:pt idx="7">
                  <c:v>8.3625109161279028</c:v>
                </c:pt>
                <c:pt idx="8">
                  <c:v>8.3147448241055208</c:v>
                </c:pt>
                <c:pt idx="9">
                  <c:v>23.63003242288698</c:v>
                </c:pt>
                <c:pt idx="10">
                  <c:v>24.493486590765528</c:v>
                </c:pt>
                <c:pt idx="11">
                  <c:v>8.4059046161347268</c:v>
                </c:pt>
                <c:pt idx="12">
                  <c:v>30.376738023281966</c:v>
                </c:pt>
                <c:pt idx="13">
                  <c:v>31.623574036220521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7.8066934415852556</c:v>
                </c:pt>
                <c:pt idx="3">
                  <c:v>9.2225432098652416</c:v>
                </c:pt>
                <c:pt idx="4">
                  <c:v>8.1107838956755156</c:v>
                </c:pt>
                <c:pt idx="5">
                  <c:v>9.5052759524299741</c:v>
                </c:pt>
                <c:pt idx="6">
                  <c:v>11.359909914300946</c:v>
                </c:pt>
                <c:pt idx="7">
                  <c:v>7.4282156210118</c:v>
                </c:pt>
                <c:pt idx="8">
                  <c:v>7.3968885639656747</c:v>
                </c:pt>
                <c:pt idx="9">
                  <c:v>19.193356653831302</c:v>
                </c:pt>
                <c:pt idx="10">
                  <c:v>19.945818903377848</c:v>
                </c:pt>
                <c:pt idx="11">
                  <c:v>7.4390260634515348</c:v>
                </c:pt>
                <c:pt idx="12">
                  <c:v>25.126080545276039</c:v>
                </c:pt>
                <c:pt idx="13">
                  <c:v>26.213379657801134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7.1055303805114214</c:v>
                </c:pt>
                <c:pt idx="3">
                  <c:v>8.5473258825335066</c:v>
                </c:pt>
                <c:pt idx="4">
                  <c:v>7.4671012228811078</c:v>
                </c:pt>
                <c:pt idx="5">
                  <c:v>8.5702391926242711</c:v>
                </c:pt>
                <c:pt idx="6">
                  <c:v>10.306380519366913</c:v>
                </c:pt>
                <c:pt idx="7">
                  <c:v>6.7637394250081497</c:v>
                </c:pt>
                <c:pt idx="8">
                  <c:v>6.475198957456537</c:v>
                </c:pt>
                <c:pt idx="9">
                  <c:v>14.504429521954425</c:v>
                </c:pt>
                <c:pt idx="10">
                  <c:v>15.12081098191805</c:v>
                </c:pt>
                <c:pt idx="11">
                  <c:v>6.4678682265565355</c:v>
                </c:pt>
                <c:pt idx="12">
                  <c:v>19.383296922755118</c:v>
                </c:pt>
                <c:pt idx="13">
                  <c:v>20.250569822089453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7.8697082771137419</c:v>
                </c:pt>
                <c:pt idx="4">
                  <c:v>6.9881540302826659</c:v>
                </c:pt>
                <c:pt idx="5">
                  <c:v>7.6305808199549592</c:v>
                </c:pt>
                <c:pt idx="6">
                  <c:v>9.2457591281248899</c:v>
                </c:pt>
                <c:pt idx="7">
                  <c:v>6.7637394250081497</c:v>
                </c:pt>
                <c:pt idx="8">
                  <c:v>5.5501317159496324</c:v>
                </c:pt>
                <c:pt idx="9">
                  <c:v>9.6086867193052683</c:v>
                </c:pt>
                <c:pt idx="10">
                  <c:v>10.066342946899002</c:v>
                </c:pt>
                <c:pt idx="11">
                  <c:v>5.4929640585872344</c:v>
                </c:pt>
                <c:pt idx="12">
                  <c:v>13.206440221698106</c:v>
                </c:pt>
                <c:pt idx="13">
                  <c:v>13.793888294545173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7.1898680899922898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8.1787076641406813</c:v>
                </c:pt>
                <c:pt idx="7">
                  <c:v>6.7637394250081497</c:v>
                </c:pt>
                <c:pt idx="8">
                  <c:v>4.6221529336109812</c:v>
                </c:pt>
                <c:pt idx="9">
                  <c:v>4.5674605790438907</c:v>
                </c:pt>
                <c:pt idx="10">
                  <c:v>4.8488974488967393</c:v>
                </c:pt>
                <c:pt idx="11">
                  <c:v>4.5148592998506984</c:v>
                </c:pt>
                <c:pt idx="12">
                  <c:v>6.7018082668887464</c:v>
                </c:pt>
                <c:pt idx="13">
                  <c:v>6.9608000945710513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7.1059139196642329</c:v>
                </c:pt>
                <c:pt idx="7">
                  <c:v>6.7637394250081497</c:v>
                </c:pt>
                <c:pt idx="8">
                  <c:v>3.6917377469700794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3.5341107332081743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2.5512843455384395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1.5669534098810731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1.1324662849592542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1.1324662849592542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-37.145097143562097</c:v>
                </c:pt>
                <c:pt idx="3">
                  <c:v>-17.164410644595741</c:v>
                </c:pt>
                <c:pt idx="4">
                  <c:v>16.573858390642808</c:v>
                </c:pt>
                <c:pt idx="5">
                  <c:v>21.120347559779987</c:v>
                </c:pt>
                <c:pt idx="6">
                  <c:v>31.326560571736124</c:v>
                </c:pt>
                <c:pt idx="7">
                  <c:v>39.014618896709877</c:v>
                </c:pt>
                <c:pt idx="8">
                  <c:v>174</c:v>
                </c:pt>
                <c:pt idx="9">
                  <c:v>175</c:v>
                </c:pt>
                <c:pt idx="10">
                  <c:v>175</c:v>
                </c:pt>
                <c:pt idx="11">
                  <c:v>175</c:v>
                </c:pt>
                <c:pt idx="12">
                  <c:v>175</c:v>
                </c:pt>
                <c:pt idx="13">
                  <c:v>175</c:v>
                </c:pt>
                <c:pt idx="14">
                  <c:v>175</c:v>
                </c:pt>
                <c:pt idx="15">
                  <c:v>175</c:v>
                </c:pt>
                <c:pt idx="16">
                  <c:v>175</c:v>
                </c:pt>
                <c:pt idx="17">
                  <c:v>175</c:v>
                </c:pt>
                <c:pt idx="18">
                  <c:v>175</c:v>
                </c:pt>
                <c:pt idx="19">
                  <c:v>175</c:v>
                </c:pt>
                <c:pt idx="20">
                  <c:v>175</c:v>
                </c:pt>
                <c:pt idx="21">
                  <c:v>175</c:v>
                </c:pt>
                <c:pt idx="22">
                  <c:v>175</c:v>
                </c:pt>
                <c:pt idx="23">
                  <c:v>175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6.3815500778471099</c:v>
                </c:pt>
                <c:pt idx="3">
                  <c:v>7.2288880962715965</c:v>
                </c:pt>
                <c:pt idx="4">
                  <c:v>6.6826487989110106</c:v>
                </c:pt>
                <c:pt idx="5">
                  <c:v>4.0057543139634149</c:v>
                </c:pt>
                <c:pt idx="6">
                  <c:v>3.5660780819524995</c:v>
                </c:pt>
                <c:pt idx="7">
                  <c:v>1.1548581197246766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533720"/>
        <c:axId val="408534112"/>
      </c:scatterChart>
      <c:valAx>
        <c:axId val="408533720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08534112"/>
        <c:crosses val="autoZero"/>
        <c:crossBetween val="midCat"/>
        <c:majorUnit val="30"/>
      </c:valAx>
      <c:valAx>
        <c:axId val="408534112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8533720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9.0171226859942971E-2</c:v>
                </c:pt>
                <c:pt idx="1">
                  <c:v>9.0192891191065133E-2</c:v>
                </c:pt>
                <c:pt idx="2">
                  <c:v>9.0214555018026693E-2</c:v>
                </c:pt>
                <c:pt idx="3">
                  <c:v>9.0236218340839308E-2</c:v>
                </c:pt>
                <c:pt idx="4">
                  <c:v>9.0257881159514747E-2</c:v>
                </c:pt>
                <c:pt idx="5">
                  <c:v>9.0279543474064777E-2</c:v>
                </c:pt>
                <c:pt idx="6">
                  <c:v>9.0301205284501168E-2</c:v>
                </c:pt>
                <c:pt idx="7">
                  <c:v>9.0322866590835466E-2</c:v>
                </c:pt>
                <c:pt idx="8">
                  <c:v>9.0344527393079549E-2</c:v>
                </c:pt>
                <c:pt idx="9">
                  <c:v>9.0366187691245187E-2</c:v>
                </c:pt>
                <c:pt idx="10">
                  <c:v>9.0387847485343925E-2</c:v>
                </c:pt>
                <c:pt idx="11">
                  <c:v>9.0409506775387755E-2</c:v>
                </c:pt>
                <c:pt idx="12">
                  <c:v>9.043116556138811E-2</c:v>
                </c:pt>
                <c:pt idx="13">
                  <c:v>9.0452823843356983E-2</c:v>
                </c:pt>
                <c:pt idx="14">
                  <c:v>9.0474481621305919E-2</c:v>
                </c:pt>
                <c:pt idx="15">
                  <c:v>9.0496138895246797E-2</c:v>
                </c:pt>
                <c:pt idx="16">
                  <c:v>9.0517795665191164E-2</c:v>
                </c:pt>
                <c:pt idx="17">
                  <c:v>9.053945193115101E-2</c:v>
                </c:pt>
                <c:pt idx="18">
                  <c:v>9.0561107693137771E-2</c:v>
                </c:pt>
                <c:pt idx="19">
                  <c:v>9.0582762951163326E-2</c:v>
                </c:pt>
                <c:pt idx="20">
                  <c:v>9.0604417705239443E-2</c:v>
                </c:pt>
                <c:pt idx="21">
                  <c:v>9.0626071955377779E-2</c:v>
                </c:pt>
                <c:pt idx="22">
                  <c:v>9.0647725701590104E-2</c:v>
                </c:pt>
                <c:pt idx="23">
                  <c:v>9.0669378943888185E-2</c:v>
                </c:pt>
                <c:pt idx="24">
                  <c:v>9.0691031682283568E-2</c:v>
                </c:pt>
                <c:pt idx="25">
                  <c:v>9.0712683916788134E-2</c:v>
                </c:pt>
                <c:pt idx="26">
                  <c:v>9.0734335647413539E-2</c:v>
                </c:pt>
                <c:pt idx="27">
                  <c:v>9.0755986874171551E-2</c:v>
                </c:pt>
                <c:pt idx="28">
                  <c:v>9.077763759707394E-2</c:v>
                </c:pt>
                <c:pt idx="29">
                  <c:v>9.0799287816132362E-2</c:v>
                </c:pt>
                <c:pt idx="30">
                  <c:v>9.0820937531358475E-2</c:v>
                </c:pt>
                <c:pt idx="31">
                  <c:v>9.0842586742764159E-2</c:v>
                </c:pt>
                <c:pt idx="32">
                  <c:v>9.0864235450361069E-2</c:v>
                </c:pt>
                <c:pt idx="33">
                  <c:v>9.0885883654160976E-2</c:v>
                </c:pt>
                <c:pt idx="34">
                  <c:v>9.0907531354175425E-2</c:v>
                </c:pt>
                <c:pt idx="35">
                  <c:v>9.0929178550416406E-2</c:v>
                </c:pt>
                <c:pt idx="36">
                  <c:v>9.0950825242895356E-2</c:v>
                </c:pt>
                <c:pt idx="37">
                  <c:v>9.0972471431624263E-2</c:v>
                </c:pt>
                <c:pt idx="38">
                  <c:v>9.0994117116614676E-2</c:v>
                </c:pt>
                <c:pt idx="39">
                  <c:v>9.1015762297878472E-2</c:v>
                </c:pt>
                <c:pt idx="40">
                  <c:v>9.1037406975427199E-2</c:v>
                </c:pt>
                <c:pt idx="41">
                  <c:v>9.1059051149272624E-2</c:v>
                </c:pt>
                <c:pt idx="42">
                  <c:v>9.1080694819426516E-2</c:v>
                </c:pt>
                <c:pt idx="43">
                  <c:v>9.1102337985900644E-2</c:v>
                </c:pt>
                <c:pt idx="44">
                  <c:v>9.1123980648706665E-2</c:v>
                </c:pt>
                <c:pt idx="45">
                  <c:v>9.1145622807856236E-2</c:v>
                </c:pt>
                <c:pt idx="46">
                  <c:v>9.1167264463361236E-2</c:v>
                </c:pt>
                <c:pt idx="47">
                  <c:v>9.1188905615233212E-2</c:v>
                </c:pt>
                <c:pt idx="48">
                  <c:v>9.1210546263484044E-2</c:v>
                </c:pt>
                <c:pt idx="49">
                  <c:v>9.1232186408125387E-2</c:v>
                </c:pt>
                <c:pt idx="50">
                  <c:v>9.1253826049168901E-2</c:v>
                </c:pt>
                <c:pt idx="51">
                  <c:v>9.1275465186626353E-2</c:v>
                </c:pt>
                <c:pt idx="52">
                  <c:v>9.1297103820509401E-2</c:v>
                </c:pt>
                <c:pt idx="53">
                  <c:v>9.1318741950829924E-2</c:v>
                </c:pt>
                <c:pt idx="54">
                  <c:v>9.1340379577599468E-2</c:v>
                </c:pt>
                <c:pt idx="55">
                  <c:v>9.1362016700829912E-2</c:v>
                </c:pt>
                <c:pt idx="56">
                  <c:v>9.1383653320532804E-2</c:v>
                </c:pt>
                <c:pt idx="57">
                  <c:v>9.1405289436720022E-2</c:v>
                </c:pt>
                <c:pt idx="58">
                  <c:v>9.1426925049403224E-2</c:v>
                </c:pt>
                <c:pt idx="59">
                  <c:v>9.1448560158594067E-2</c:v>
                </c:pt>
                <c:pt idx="60">
                  <c:v>9.1470194764304208E-2</c:v>
                </c:pt>
                <c:pt idx="61">
                  <c:v>9.1491828866545638E-2</c:v>
                </c:pt>
                <c:pt idx="62">
                  <c:v>9.1513462465329792E-2</c:v>
                </c:pt>
                <c:pt idx="63">
                  <c:v>9.153509556066855E-2</c:v>
                </c:pt>
                <c:pt idx="64">
                  <c:v>9.1556728152573569E-2</c:v>
                </c:pt>
                <c:pt idx="65">
                  <c:v>9.1578360241056617E-2</c:v>
                </c:pt>
                <c:pt idx="66">
                  <c:v>9.159999182612924E-2</c:v>
                </c:pt>
                <c:pt idx="67">
                  <c:v>9.1621622907803429E-2</c:v>
                </c:pt>
                <c:pt idx="68">
                  <c:v>9.164325348609062E-2</c:v>
                </c:pt>
                <c:pt idx="69">
                  <c:v>9.1664883561002691E-2</c:v>
                </c:pt>
                <c:pt idx="70">
                  <c:v>9.1686513132551301E-2</c:v>
                </c:pt>
                <c:pt idx="71">
                  <c:v>9.1708142200748216E-2</c:v>
                </c:pt>
                <c:pt idx="72">
                  <c:v>9.1729770765605095E-2</c:v>
                </c:pt>
                <c:pt idx="73">
                  <c:v>9.1751398827133707E-2</c:v>
                </c:pt>
                <c:pt idx="74">
                  <c:v>9.1773026385345707E-2</c:v>
                </c:pt>
                <c:pt idx="75">
                  <c:v>9.1794653440252866E-2</c:v>
                </c:pt>
                <c:pt idx="76">
                  <c:v>9.1816279991866839E-2</c:v>
                </c:pt>
                <c:pt idx="77">
                  <c:v>9.1837906040199396E-2</c:v>
                </c:pt>
                <c:pt idx="78">
                  <c:v>9.1859531585262083E-2</c:v>
                </c:pt>
                <c:pt idx="79">
                  <c:v>9.188115662706689E-2</c:v>
                </c:pt>
                <c:pt idx="80">
                  <c:v>9.1902781165625363E-2</c:v>
                </c:pt>
                <c:pt idx="81">
                  <c:v>9.1924405200949161E-2</c:v>
                </c:pt>
                <c:pt idx="82">
                  <c:v>9.194602873305005E-2</c:v>
                </c:pt>
                <c:pt idx="83">
                  <c:v>9.19676517619398E-2</c:v>
                </c:pt>
                <c:pt idx="84">
                  <c:v>9.1989274287630179E-2</c:v>
                </c:pt>
                <c:pt idx="85">
                  <c:v>9.2010896310132623E-2</c:v>
                </c:pt>
                <c:pt idx="86">
                  <c:v>9.2032517829459121E-2</c:v>
                </c:pt>
                <c:pt idx="87">
                  <c:v>9.205413884562122E-2</c:v>
                </c:pt>
                <c:pt idx="88">
                  <c:v>9.2075759358630799E-2</c:v>
                </c:pt>
                <c:pt idx="89">
                  <c:v>9.2097379368499294E-2</c:v>
                </c:pt>
                <c:pt idx="90">
                  <c:v>9.2118998875238695E-2</c:v>
                </c:pt>
                <c:pt idx="91">
                  <c:v>9.2140617878860548E-2</c:v>
                </c:pt>
                <c:pt idx="92">
                  <c:v>9.2162236379376622E-2</c:v>
                </c:pt>
                <c:pt idx="93">
                  <c:v>9.2183854376798574E-2</c:v>
                </c:pt>
                <c:pt idx="94">
                  <c:v>9.2205471871138173E-2</c:v>
                </c:pt>
                <c:pt idx="95">
                  <c:v>9.2227088862407075E-2</c:v>
                </c:pt>
                <c:pt idx="96">
                  <c:v>9.224870535061705E-2</c:v>
                </c:pt>
                <c:pt idx="97">
                  <c:v>9.2270321335779754E-2</c:v>
                </c:pt>
                <c:pt idx="98">
                  <c:v>9.2291936817906844E-2</c:v>
                </c:pt>
                <c:pt idx="99">
                  <c:v>9.2313551797010091E-2</c:v>
                </c:pt>
                <c:pt idx="100">
                  <c:v>9.233516627310126E-2</c:v>
                </c:pt>
                <c:pt idx="101">
                  <c:v>9.2356780246192011E-2</c:v>
                </c:pt>
                <c:pt idx="102">
                  <c:v>9.2378393716293999E-2</c:v>
                </c:pt>
                <c:pt idx="103">
                  <c:v>9.2400006683418884E-2</c:v>
                </c:pt>
                <c:pt idx="104">
                  <c:v>9.2421619147578543E-2</c:v>
                </c:pt>
                <c:pt idx="105">
                  <c:v>9.2443231108784635E-2</c:v>
                </c:pt>
                <c:pt idx="106">
                  <c:v>9.2464842567048705E-2</c:v>
                </c:pt>
                <c:pt idx="107">
                  <c:v>9.2486453522382633E-2</c:v>
                </c:pt>
                <c:pt idx="108">
                  <c:v>9.2508063974797966E-2</c:v>
                </c:pt>
                <c:pt idx="109">
                  <c:v>9.2529673924306582E-2</c:v>
                </c:pt>
                <c:pt idx="110">
                  <c:v>9.255128337092014E-2</c:v>
                </c:pt>
                <c:pt idx="111">
                  <c:v>9.2572892314650185E-2</c:v>
                </c:pt>
                <c:pt idx="112">
                  <c:v>9.2594500755508596E-2</c:v>
                </c:pt>
                <c:pt idx="113">
                  <c:v>9.2616108693507143E-2</c:v>
                </c:pt>
                <c:pt idx="114">
                  <c:v>9.263771612865726E-2</c:v>
                </c:pt>
                <c:pt idx="115">
                  <c:v>9.2659323060970827E-2</c:v>
                </c:pt>
                <c:pt idx="116">
                  <c:v>9.2680929490459502E-2</c:v>
                </c:pt>
                <c:pt idx="117">
                  <c:v>9.2702535417135051E-2</c:v>
                </c:pt>
                <c:pt idx="118">
                  <c:v>9.2724140841009023E-2</c:v>
                </c:pt>
                <c:pt idx="119">
                  <c:v>9.2745745762093296E-2</c:v>
                </c:pt>
                <c:pt idx="120">
                  <c:v>9.2767350180399527E-2</c:v>
                </c:pt>
                <c:pt idx="121">
                  <c:v>9.2788954095939263E-2</c:v>
                </c:pt>
                <c:pt idx="122">
                  <c:v>9.2810557508724384E-2</c:v>
                </c:pt>
                <c:pt idx="123">
                  <c:v>9.2832160418766546E-2</c:v>
                </c:pt>
                <c:pt idx="124">
                  <c:v>9.2853762826077407E-2</c:v>
                </c:pt>
                <c:pt idx="125">
                  <c:v>9.2875364730668736E-2</c:v>
                </c:pt>
                <c:pt idx="126">
                  <c:v>9.2896966132552189E-2</c:v>
                </c:pt>
                <c:pt idx="127">
                  <c:v>9.2918567031739424E-2</c:v>
                </c:pt>
                <c:pt idx="128">
                  <c:v>9.294016742824221E-2</c:v>
                </c:pt>
                <c:pt idx="129">
                  <c:v>9.2961767322072203E-2</c:v>
                </c:pt>
                <c:pt idx="130">
                  <c:v>9.2983366713241061E-2</c:v>
                </c:pt>
                <c:pt idx="131">
                  <c:v>9.3004965601760553E-2</c:v>
                </c:pt>
                <c:pt idx="132">
                  <c:v>9.3026563987642336E-2</c:v>
                </c:pt>
                <c:pt idx="133">
                  <c:v>9.3048161870898177E-2</c:v>
                </c:pt>
                <c:pt idx="134">
                  <c:v>9.3069759251539735E-2</c:v>
                </c:pt>
                <c:pt idx="135">
                  <c:v>9.3091356129578667E-2</c:v>
                </c:pt>
                <c:pt idx="136">
                  <c:v>9.311295250502663E-2</c:v>
                </c:pt>
                <c:pt idx="137">
                  <c:v>9.3134548377895504E-2</c:v>
                </c:pt>
                <c:pt idx="138">
                  <c:v>9.3156143748196835E-2</c:v>
                </c:pt>
                <c:pt idx="139">
                  <c:v>9.3177738615942279E-2</c:v>
                </c:pt>
                <c:pt idx="140">
                  <c:v>9.3199332981143718E-2</c:v>
                </c:pt>
                <c:pt idx="141">
                  <c:v>9.3220926843812585E-2</c:v>
                </c:pt>
                <c:pt idx="142">
                  <c:v>9.3242520203960871E-2</c:v>
                </c:pt>
                <c:pt idx="143">
                  <c:v>9.3264113061600012E-2</c:v>
                </c:pt>
                <c:pt idx="144">
                  <c:v>9.3285705416741888E-2</c:v>
                </c:pt>
                <c:pt idx="145">
                  <c:v>9.3307297269398043E-2</c:v>
                </c:pt>
                <c:pt idx="146">
                  <c:v>9.3328888619580247E-2</c:v>
                </c:pt>
                <c:pt idx="147">
                  <c:v>9.3350479467300268E-2</c:v>
                </c:pt>
                <c:pt idx="148">
                  <c:v>9.3372069812569652E-2</c:v>
                </c:pt>
                <c:pt idx="149">
                  <c:v>9.3393659655400169E-2</c:v>
                </c:pt>
                <c:pt idx="150">
                  <c:v>9.3415248995803474E-2</c:v>
                </c:pt>
                <c:pt idx="151">
                  <c:v>9.3436837833791336E-2</c:v>
                </c:pt>
                <c:pt idx="152">
                  <c:v>9.3458426169375414E-2</c:v>
                </c:pt>
                <c:pt idx="153">
                  <c:v>9.3480014002567363E-2</c:v>
                </c:pt>
                <c:pt idx="154">
                  <c:v>9.3501601333378842E-2</c:v>
                </c:pt>
                <c:pt idx="155">
                  <c:v>9.352318816182173E-2</c:v>
                </c:pt>
                <c:pt idx="156">
                  <c:v>9.3544774487907462E-2</c:v>
                </c:pt>
                <c:pt idx="157">
                  <c:v>9.3566360311647917E-2</c:v>
                </c:pt>
                <c:pt idx="158">
                  <c:v>9.3587945633054642E-2</c:v>
                </c:pt>
                <c:pt idx="159">
                  <c:v>9.3609530452139517E-2</c:v>
                </c:pt>
                <c:pt idx="160">
                  <c:v>9.3631114768913976E-2</c:v>
                </c:pt>
                <c:pt idx="161">
                  <c:v>9.3652698583389898E-2</c:v>
                </c:pt>
                <c:pt idx="162">
                  <c:v>9.3674281895579053E-2</c:v>
                </c:pt>
                <c:pt idx="163">
                  <c:v>9.3695864705492876E-2</c:v>
                </c:pt>
                <c:pt idx="164">
                  <c:v>9.3717447013143246E-2</c:v>
                </c:pt>
                <c:pt idx="165">
                  <c:v>9.3739028818541709E-2</c:v>
                </c:pt>
                <c:pt idx="166">
                  <c:v>9.3760610121700033E-2</c:v>
                </c:pt>
                <c:pt idx="167">
                  <c:v>9.3782190922629988E-2</c:v>
                </c:pt>
                <c:pt idx="168">
                  <c:v>9.3803771221343119E-2</c:v>
                </c:pt>
                <c:pt idx="169">
                  <c:v>9.3825351017851194E-2</c:v>
                </c:pt>
                <c:pt idx="170">
                  <c:v>9.3846930312165872E-2</c:v>
                </c:pt>
                <c:pt idx="171">
                  <c:v>9.3868509104298808E-2</c:v>
                </c:pt>
                <c:pt idx="172">
                  <c:v>9.3890087394261773E-2</c:v>
                </c:pt>
                <c:pt idx="173">
                  <c:v>9.3911665182066423E-2</c:v>
                </c:pt>
                <c:pt idx="174">
                  <c:v>9.3933242467724415E-2</c:v>
                </c:pt>
                <c:pt idx="175">
                  <c:v>9.3954819251247407E-2</c:v>
                </c:pt>
                <c:pt idx="176">
                  <c:v>9.3976395532647167E-2</c:v>
                </c:pt>
                <c:pt idx="177">
                  <c:v>9.3997971311935352E-2</c:v>
                </c:pt>
                <c:pt idx="178">
                  <c:v>9.401954658912362E-2</c:v>
                </c:pt>
                <c:pt idx="179">
                  <c:v>9.4041121364223629E-2</c:v>
                </c:pt>
                <c:pt idx="180">
                  <c:v>9.4062695637247146E-2</c:v>
                </c:pt>
                <c:pt idx="181">
                  <c:v>9.4084269408205717E-2</c:v>
                </c:pt>
                <c:pt idx="182">
                  <c:v>9.4105842677111223E-2</c:v>
                </c:pt>
                <c:pt idx="183">
                  <c:v>9.412741544397521E-2</c:v>
                </c:pt>
                <c:pt idx="184">
                  <c:v>9.4148987708809445E-2</c:v>
                </c:pt>
                <c:pt idx="185">
                  <c:v>9.4170559471625476E-2</c:v>
                </c:pt>
                <c:pt idx="186">
                  <c:v>9.4192130732435181E-2</c:v>
                </c:pt>
                <c:pt idx="187">
                  <c:v>9.4213701491249996E-2</c:v>
                </c:pt>
                <c:pt idx="188">
                  <c:v>9.42352717480818E-2</c:v>
                </c:pt>
                <c:pt idx="189">
                  <c:v>9.4256841502942251E-2</c:v>
                </c:pt>
                <c:pt idx="190">
                  <c:v>9.4278410755843006E-2</c:v>
                </c:pt>
                <c:pt idx="191">
                  <c:v>9.4299979506795722E-2</c:v>
                </c:pt>
                <c:pt idx="192">
                  <c:v>9.4321547755812057E-2</c:v>
                </c:pt>
                <c:pt idx="193">
                  <c:v>9.4343115502903779E-2</c:v>
                </c:pt>
                <c:pt idx="194">
                  <c:v>9.4364682748082435E-2</c:v>
                </c:pt>
                <c:pt idx="195">
                  <c:v>9.4386249491359903E-2</c:v>
                </c:pt>
                <c:pt idx="196">
                  <c:v>9.4407815732747619E-2</c:v>
                </c:pt>
                <c:pt idx="197">
                  <c:v>9.4429381472257462E-2</c:v>
                </c:pt>
                <c:pt idx="198">
                  <c:v>9.445094670990109E-2</c:v>
                </c:pt>
                <c:pt idx="199">
                  <c:v>9.4472511445690049E-2</c:v>
                </c:pt>
                <c:pt idx="200">
                  <c:v>9.4494075679636108E-2</c:v>
                </c:pt>
                <c:pt idx="201">
                  <c:v>9.4515639411750924E-2</c:v>
                </c:pt>
                <c:pt idx="202">
                  <c:v>9.4537202642046264E-2</c:v>
                </c:pt>
                <c:pt idx="203">
                  <c:v>9.4558765370533676E-2</c:v>
                </c:pt>
                <c:pt idx="204">
                  <c:v>9.4580327597224928E-2</c:v>
                </c:pt>
                <c:pt idx="205">
                  <c:v>9.4601889322131677E-2</c:v>
                </c:pt>
                <c:pt idx="206">
                  <c:v>9.4623450545265581E-2</c:v>
                </c:pt>
                <c:pt idx="207">
                  <c:v>9.4645011266638296E-2</c:v>
                </c:pt>
                <c:pt idx="208">
                  <c:v>9.466657148626148E-2</c:v>
                </c:pt>
                <c:pt idx="209">
                  <c:v>9.4688131204147014E-2</c:v>
                </c:pt>
                <c:pt idx="210">
                  <c:v>9.470969042030622E-2</c:v>
                </c:pt>
                <c:pt idx="211">
                  <c:v>9.4731249134751089E-2</c:v>
                </c:pt>
                <c:pt idx="212">
                  <c:v>9.4752807347493168E-2</c:v>
                </c:pt>
                <c:pt idx="213">
                  <c:v>9.4774365058544113E-2</c:v>
                </c:pt>
                <c:pt idx="214">
                  <c:v>9.4795922267915694E-2</c:v>
                </c:pt>
                <c:pt idx="215">
                  <c:v>9.4817478975619457E-2</c:v>
                </c:pt>
                <c:pt idx="216">
                  <c:v>9.483903518166717E-2</c:v>
                </c:pt>
                <c:pt idx="217">
                  <c:v>9.4860590886070378E-2</c:v>
                </c:pt>
                <c:pt idx="218">
                  <c:v>9.4882146088840963E-2</c:v>
                </c:pt>
                <c:pt idx="219">
                  <c:v>9.4903700789990469E-2</c:v>
                </c:pt>
                <c:pt idx="220">
                  <c:v>9.4925254989530555E-2</c:v>
                </c:pt>
                <c:pt idx="221">
                  <c:v>9.4946808687472989E-2</c:v>
                </c:pt>
                <c:pt idx="222">
                  <c:v>9.4968361883829316E-2</c:v>
                </c:pt>
                <c:pt idx="223">
                  <c:v>9.4989914578611306E-2</c:v>
                </c:pt>
                <c:pt idx="224">
                  <c:v>9.5011466771830616E-2</c:v>
                </c:pt>
                <c:pt idx="225">
                  <c:v>9.5033018463498903E-2</c:v>
                </c:pt>
                <c:pt idx="226">
                  <c:v>9.5054569653627824E-2</c:v>
                </c:pt>
                <c:pt idx="227">
                  <c:v>9.5076120342229148E-2</c:v>
                </c:pt>
                <c:pt idx="228">
                  <c:v>9.509767052931431E-2</c:v>
                </c:pt>
                <c:pt idx="229">
                  <c:v>9.51192202148953E-2</c:v>
                </c:pt>
                <c:pt idx="230">
                  <c:v>9.5140769398983555E-2</c:v>
                </c:pt>
                <c:pt idx="231">
                  <c:v>9.516231808159073E-2</c:v>
                </c:pt>
                <c:pt idx="232">
                  <c:v>9.5183866262728706E-2</c:v>
                </c:pt>
                <c:pt idx="233">
                  <c:v>9.5205413942408917E-2</c:v>
                </c:pt>
                <c:pt idx="234">
                  <c:v>9.5226961120643244E-2</c:v>
                </c:pt>
                <c:pt idx="235">
                  <c:v>9.5248507797443233E-2</c:v>
                </c:pt>
                <c:pt idx="236">
                  <c:v>9.527005397282054E-2</c:v>
                </c:pt>
                <c:pt idx="237">
                  <c:v>9.5291599646786823E-2</c:v>
                </c:pt>
                <c:pt idx="238">
                  <c:v>9.5313144819353851E-2</c:v>
                </c:pt>
                <c:pt idx="239">
                  <c:v>9.5334689490533281E-2</c:v>
                </c:pt>
                <c:pt idx="240">
                  <c:v>9.5356233660336659E-2</c:v>
                </c:pt>
                <c:pt idx="241">
                  <c:v>9.5377777328775754E-2</c:v>
                </c:pt>
                <c:pt idx="242">
                  <c:v>9.5399320495862222E-2</c:v>
                </c:pt>
                <c:pt idx="243">
                  <c:v>9.5420863161607833E-2</c:v>
                </c:pt>
                <c:pt idx="244">
                  <c:v>9.5442405326024021E-2</c:v>
                </c:pt>
                <c:pt idx="245">
                  <c:v>9.5463946989122556E-2</c:v>
                </c:pt>
                <c:pt idx="246">
                  <c:v>9.5485488150915093E-2</c:v>
                </c:pt>
                <c:pt idx="247">
                  <c:v>9.5507028811413403E-2</c:v>
                </c:pt>
                <c:pt idx="248">
                  <c:v>9.552856897062903E-2</c:v>
                </c:pt>
                <c:pt idx="249">
                  <c:v>9.5550108628573743E-2</c:v>
                </c:pt>
                <c:pt idx="250">
                  <c:v>9.557164778525909E-2</c:v>
                </c:pt>
                <c:pt idx="251">
                  <c:v>9.5593186440696837E-2</c:v>
                </c:pt>
                <c:pt idx="252">
                  <c:v>9.5614724594898531E-2</c:v>
                </c:pt>
                <c:pt idx="253">
                  <c:v>9.5636262247876053E-2</c:v>
                </c:pt>
                <c:pt idx="254">
                  <c:v>9.5657799399640836E-2</c:v>
                </c:pt>
                <c:pt idx="255">
                  <c:v>9.567933605020465E-2</c:v>
                </c:pt>
                <c:pt idx="256">
                  <c:v>9.570087219957904E-2</c:v>
                </c:pt>
                <c:pt idx="257">
                  <c:v>9.5722407847775887E-2</c:v>
                </c:pt>
                <c:pt idx="258">
                  <c:v>9.5743942994806736E-2</c:v>
                </c:pt>
                <c:pt idx="259">
                  <c:v>9.5765477640683244E-2</c:v>
                </c:pt>
                <c:pt idx="260">
                  <c:v>9.578701178541707E-2</c:v>
                </c:pt>
                <c:pt idx="261">
                  <c:v>9.580854542901987E-2</c:v>
                </c:pt>
                <c:pt idx="262">
                  <c:v>9.5830078571503302E-2</c:v>
                </c:pt>
                <c:pt idx="263">
                  <c:v>9.5851611212879134E-2</c:v>
                </c:pt>
                <c:pt idx="264">
                  <c:v>9.5873143353158913E-2</c:v>
                </c:pt>
                <c:pt idx="265">
                  <c:v>9.5894674992354295E-2</c:v>
                </c:pt>
                <c:pt idx="266">
                  <c:v>9.5916206130476939E-2</c:v>
                </c:pt>
                <c:pt idx="267">
                  <c:v>9.5937736767538612E-2</c:v>
                </c:pt>
                <c:pt idx="268">
                  <c:v>9.5959266903550972E-2</c:v>
                </c:pt>
                <c:pt idx="269">
                  <c:v>9.5980796538525454E-2</c:v>
                </c:pt>
                <c:pt idx="270">
                  <c:v>9.6002325672474048E-2</c:v>
                </c:pt>
                <c:pt idx="271">
                  <c:v>9.602385430540808E-2</c:v>
                </c:pt>
                <c:pt idx="272">
                  <c:v>9.6045382437339538E-2</c:v>
                </c:pt>
                <c:pt idx="273">
                  <c:v>9.6066910068279748E-2</c:v>
                </c:pt>
                <c:pt idx="274">
                  <c:v>9.6088437198240589E-2</c:v>
                </c:pt>
                <c:pt idx="275">
                  <c:v>9.6109963827233719E-2</c:v>
                </c:pt>
                <c:pt idx="276">
                  <c:v>9.6131489955270794E-2</c:v>
                </c:pt>
                <c:pt idx="277">
                  <c:v>9.6153015582363249E-2</c:v>
                </c:pt>
                <c:pt idx="278">
                  <c:v>9.6174540708523076E-2</c:v>
                </c:pt>
                <c:pt idx="279">
                  <c:v>9.619606533376171E-2</c:v>
                </c:pt>
                <c:pt idx="280">
                  <c:v>9.6217589458090808E-2</c:v>
                </c:pt>
                <c:pt idx="281">
                  <c:v>9.6239113081522137E-2</c:v>
                </c:pt>
                <c:pt idx="282">
                  <c:v>9.6260636204067357E-2</c:v>
                </c:pt>
                <c:pt idx="283">
                  <c:v>9.6282158825738012E-2</c:v>
                </c:pt>
                <c:pt idx="284">
                  <c:v>9.6303680946545872E-2</c:v>
                </c:pt>
                <c:pt idx="285">
                  <c:v>9.6325202566502482E-2</c:v>
                </c:pt>
                <c:pt idx="286">
                  <c:v>9.6346723685619612E-2</c:v>
                </c:pt>
                <c:pt idx="287">
                  <c:v>9.6368244303908807E-2</c:v>
                </c:pt>
                <c:pt idx="288">
                  <c:v>9.6389764421381724E-2</c:v>
                </c:pt>
                <c:pt idx="289">
                  <c:v>9.6411284038050132E-2</c:v>
                </c:pt>
                <c:pt idx="290">
                  <c:v>9.6432803153925689E-2</c:v>
                </c:pt>
                <c:pt idx="291">
                  <c:v>9.6454321769019941E-2</c:v>
                </c:pt>
                <c:pt idx="292">
                  <c:v>9.6475839883344544E-2</c:v>
                </c:pt>
                <c:pt idx="293">
                  <c:v>9.6497357496911157E-2</c:v>
                </c:pt>
                <c:pt idx="294">
                  <c:v>9.6518874609731548E-2</c:v>
                </c:pt>
                <c:pt idx="295">
                  <c:v>9.6540391221817262E-2</c:v>
                </c:pt>
                <c:pt idx="296">
                  <c:v>9.6561907333179958E-2</c:v>
                </c:pt>
                <c:pt idx="297">
                  <c:v>9.6583422943831293E-2</c:v>
                </c:pt>
                <c:pt idx="298">
                  <c:v>9.6604938053783035E-2</c:v>
                </c:pt>
                <c:pt idx="299">
                  <c:v>9.6626452663046619E-2</c:v>
                </c:pt>
                <c:pt idx="300">
                  <c:v>9.6647966771633925E-2</c:v>
                </c:pt>
                <c:pt idx="301">
                  <c:v>9.6669480379556388E-2</c:v>
                </c:pt>
                <c:pt idx="302">
                  <c:v>9.6690993486825888E-2</c:v>
                </c:pt>
                <c:pt idx="303">
                  <c:v>9.6712506093453859E-2</c:v>
                </c:pt>
                <c:pt idx="304">
                  <c:v>9.6734018199452071E-2</c:v>
                </c:pt>
                <c:pt idx="305">
                  <c:v>9.6755529804832069E-2</c:v>
                </c:pt>
                <c:pt idx="306">
                  <c:v>9.6777040909605733E-2</c:v>
                </c:pt>
                <c:pt idx="307">
                  <c:v>9.6798551513784498E-2</c:v>
                </c:pt>
                <c:pt idx="308">
                  <c:v>9.6820061617380021E-2</c:v>
                </c:pt>
                <c:pt idx="309">
                  <c:v>9.6841571220404071E-2</c:v>
                </c:pt>
                <c:pt idx="310">
                  <c:v>9.6863080322868195E-2</c:v>
                </c:pt>
                <c:pt idx="311">
                  <c:v>9.688458892478416E-2</c:v>
                </c:pt>
                <c:pt idx="312">
                  <c:v>9.6906097026163401E-2</c:v>
                </c:pt>
                <c:pt idx="313">
                  <c:v>9.6927604627017799E-2</c:v>
                </c:pt>
                <c:pt idx="314">
                  <c:v>9.69491117273589E-2</c:v>
                </c:pt>
                <c:pt idx="315">
                  <c:v>9.697061832719836E-2</c:v>
                </c:pt>
                <c:pt idx="316">
                  <c:v>9.6992124426547838E-2</c:v>
                </c:pt>
                <c:pt idx="317">
                  <c:v>9.7013630025418879E-2</c:v>
                </c:pt>
                <c:pt idx="318">
                  <c:v>9.7035135123823363E-2</c:v>
                </c:pt>
                <c:pt idx="319">
                  <c:v>9.7056639721772614E-2</c:v>
                </c:pt>
                <c:pt idx="320">
                  <c:v>9.7078143819278623E-2</c:v>
                </c:pt>
                <c:pt idx="321">
                  <c:v>9.7099647416352713E-2</c:v>
                </c:pt>
                <c:pt idx="322">
                  <c:v>9.7121150513006765E-2</c:v>
                </c:pt>
                <c:pt idx="323">
                  <c:v>9.7142653109252325E-2</c:v>
                </c:pt>
                <c:pt idx="324">
                  <c:v>9.716415520510116E-2</c:v>
                </c:pt>
                <c:pt idx="325">
                  <c:v>9.7185656800564707E-2</c:v>
                </c:pt>
                <c:pt idx="326">
                  <c:v>9.7207157895654733E-2</c:v>
                </c:pt>
                <c:pt idx="327">
                  <c:v>9.7228658490382786E-2</c:v>
                </c:pt>
                <c:pt idx="328">
                  <c:v>9.7250158584760743E-2</c:v>
                </c:pt>
                <c:pt idx="329">
                  <c:v>9.7271658178800041E-2</c:v>
                </c:pt>
                <c:pt idx="330">
                  <c:v>9.7293157272512337E-2</c:v>
                </c:pt>
                <c:pt idx="331">
                  <c:v>9.7314655865909289E-2</c:v>
                </c:pt>
                <c:pt idx="332">
                  <c:v>9.7336153959002553E-2</c:v>
                </c:pt>
                <c:pt idx="333">
                  <c:v>9.7357651551803898E-2</c:v>
                </c:pt>
                <c:pt idx="334">
                  <c:v>9.7379148644324759E-2</c:v>
                </c:pt>
                <c:pt idx="335">
                  <c:v>9.7400645236576905E-2</c:v>
                </c:pt>
                <c:pt idx="336">
                  <c:v>9.7422141328571993E-2</c:v>
                </c:pt>
                <c:pt idx="337">
                  <c:v>9.7443636920321569E-2</c:v>
                </c:pt>
                <c:pt idx="338">
                  <c:v>9.7465132011837291E-2</c:v>
                </c:pt>
                <c:pt idx="339">
                  <c:v>9.7486626603130816E-2</c:v>
                </c:pt>
                <c:pt idx="340">
                  <c:v>9.7508120694213912E-2</c:v>
                </c:pt>
                <c:pt idx="341">
                  <c:v>9.7529614285098015E-2</c:v>
                </c:pt>
                <c:pt idx="342">
                  <c:v>9.7551107375794893E-2</c:v>
                </c:pt>
                <c:pt idx="343">
                  <c:v>9.7572599966316093E-2</c:v>
                </c:pt>
                <c:pt idx="344">
                  <c:v>9.7594092056673382E-2</c:v>
                </c:pt>
                <c:pt idx="345">
                  <c:v>9.7615583646878307E-2</c:v>
                </c:pt>
                <c:pt idx="346">
                  <c:v>9.7637074736942525E-2</c:v>
                </c:pt>
                <c:pt idx="347">
                  <c:v>9.7658565326877694E-2</c:v>
                </c:pt>
                <c:pt idx="348">
                  <c:v>9.7680055416695472E-2</c:v>
                </c:pt>
                <c:pt idx="349">
                  <c:v>9.7701545006407403E-2</c:v>
                </c:pt>
                <c:pt idx="350">
                  <c:v>9.7723034096025257E-2</c:v>
                </c:pt>
                <c:pt idx="351">
                  <c:v>9.7744522685560581E-2</c:v>
                </c:pt>
                <c:pt idx="352">
                  <c:v>9.776601077502492E-2</c:v>
                </c:pt>
                <c:pt idx="353">
                  <c:v>9.7787498364430153E-2</c:v>
                </c:pt>
                <c:pt idx="354">
                  <c:v>9.7808985453787717E-2</c:v>
                </c:pt>
                <c:pt idx="355">
                  <c:v>9.7830472043109379E-2</c:v>
                </c:pt>
                <c:pt idx="356">
                  <c:v>9.7851958132406686E-2</c:v>
                </c:pt>
                <c:pt idx="357">
                  <c:v>9.7873443721691294E-2</c:v>
                </c:pt>
                <c:pt idx="358">
                  <c:v>9.7894928810974974E-2</c:v>
                </c:pt>
                <c:pt idx="359">
                  <c:v>9.7916413400269048E-2</c:v>
                </c:pt>
                <c:pt idx="360">
                  <c:v>9.7937897489585507E-2</c:v>
                </c:pt>
                <c:pt idx="361">
                  <c:v>9.7959381078935676E-2</c:v>
                </c:pt>
                <c:pt idx="362">
                  <c:v>9.7980864168331433E-2</c:v>
                </c:pt>
                <c:pt idx="363">
                  <c:v>9.8002346757784325E-2</c:v>
                </c:pt>
                <c:pt idx="364">
                  <c:v>9.8023828847305899E-2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0.11090335175219146</c:v>
                </c:pt>
                <c:pt idx="1">
                  <c:v>0.11099524727342776</c:v>
                </c:pt>
                <c:pt idx="2">
                  <c:v>0.11108725093854616</c:v>
                </c:pt>
                <c:pt idx="3">
                  <c:v>0.11117933758039124</c:v>
                </c:pt>
                <c:pt idx="4">
                  <c:v>0.11127148529906063</c:v>
                </c:pt>
                <c:pt idx="5">
                  <c:v>0.11136367536771785</c:v>
                </c:pt>
                <c:pt idx="6">
                  <c:v>0.11145589211326395</c:v>
                </c:pt>
                <c:pt idx="7">
                  <c:v>0.11154812277385501</c:v>
                </c:pt>
                <c:pt idx="8">
                  <c:v>0.11164035733542714</c:v>
                </c:pt>
                <c:pt idx="9">
                  <c:v>0.11173258834954011</c:v>
                </c:pt>
                <c:pt idx="10">
                  <c:v>0.11182481073497692</c:v>
                </c:pt>
                <c:pt idx="11">
                  <c:v>0.11191702156563543</c:v>
                </c:pt>
                <c:pt idx="12">
                  <c:v>0.11200921984732386</c:v>
                </c:pt>
                <c:pt idx="13">
                  <c:v>0.11210140628611706</c:v>
                </c:pt>
                <c:pt idx="14">
                  <c:v>0.11219358305095324</c:v>
                </c:pt>
                <c:pt idx="15">
                  <c:v>0.11228575353314409</c:v>
                </c:pt>
                <c:pt idx="16">
                  <c:v>0.11237792210544004</c:v>
                </c:pt>
                <c:pt idx="17">
                  <c:v>0.11247009388323542</c:v>
                </c:pt>
                <c:pt idx="18">
                  <c:v>0.11256227449041777</c:v>
                </c:pt>
                <c:pt idx="19">
                  <c:v>0.1126544698322601</c:v>
                </c:pt>
                <c:pt idx="20">
                  <c:v>0.11274668587763054</c:v>
                </c:pt>
                <c:pt idx="21">
                  <c:v>0.11283892845264573</c:v>
                </c:pt>
                <c:pt idx="22">
                  <c:v>0.11293120304773165</c:v>
                </c:pt>
                <c:pt idx="23">
                  <c:v>0.11302351463987302</c:v>
                </c:pt>
                <c:pt idx="24">
                  <c:v>0.11311586753163817</c:v>
                </c:pt>
                <c:pt idx="25">
                  <c:v>0.11320826520835806</c:v>
                </c:pt>
                <c:pt idx="26">
                  <c:v>0.11330071021462068</c:v>
                </c:pt>
                <c:pt idx="27">
                  <c:v>0.11339320405101819</c:v>
                </c:pt>
                <c:pt idx="28">
                  <c:v>0.11348574709185222</c:v>
                </c:pt>
                <c:pt idx="29">
                  <c:v>0.11357833852427217</c:v>
                </c:pt>
                <c:pt idx="30">
                  <c:v>0.11367097630908658</c:v>
                </c:pt>
                <c:pt idx="31">
                  <c:v>0.11376365716325816</c:v>
                </c:pt>
                <c:pt idx="32">
                  <c:v>0.11385637656386555</c:v>
                </c:pt>
                <c:pt idx="33">
                  <c:v>0.11394912877309615</c:v>
                </c:pt>
                <c:pt idx="34">
                  <c:v>0.11404190688362278</c:v>
                </c:pt>
                <c:pt idx="35">
                  <c:v>0.11413470288351753</c:v>
                </c:pt>
                <c:pt idx="36">
                  <c:v>0.11422750773966842</c:v>
                </c:pt>
                <c:pt idx="37">
                  <c:v>0.11432031149849244</c:v>
                </c:pt>
                <c:pt idx="38">
                  <c:v>0.11441310340258107</c:v>
                </c:pt>
                <c:pt idx="39">
                  <c:v>0.1145058720217753</c:v>
                </c:pt>
                <c:pt idx="40">
                  <c:v>0.11459860539704669</c:v>
                </c:pt>
                <c:pt idx="41">
                  <c:v>0.11469129119545887</c:v>
                </c:pt>
                <c:pt idx="42">
                  <c:v>0.11478391687440244</c:v>
                </c:pt>
                <c:pt idx="43">
                  <c:v>0.11487646985323646</c:v>
                </c:pt>
                <c:pt idx="44">
                  <c:v>0.1149689376904284</c:v>
                </c:pt>
                <c:pt idx="45">
                  <c:v>0.11506130826426637</c:v>
                </c:pt>
                <c:pt idx="46">
                  <c:v>0.11515356995521792</c:v>
                </c:pt>
                <c:pt idx="47">
                  <c:v>0.11524571182803266</c:v>
                </c:pt>
                <c:pt idx="48">
                  <c:v>0.11533772381172605</c:v>
                </c:pt>
                <c:pt idx="49">
                  <c:v>0.11542959687564226</c:v>
                </c:pt>
                <c:pt idx="50">
                  <c:v>0.11552132319987161</c:v>
                </c:pt>
                <c:pt idx="51">
                  <c:v>0.11561289633839171</c:v>
                </c:pt>
                <c:pt idx="52">
                  <c:v>0.11570431137341143</c:v>
                </c:pt>
                <c:pt idx="53">
                  <c:v>0.1157955650595187</c:v>
                </c:pt>
                <c:pt idx="54">
                  <c:v>0.11588665595636773</c:v>
                </c:pt>
                <c:pt idx="55">
                  <c:v>0.1159775845487868</c:v>
                </c:pt>
                <c:pt idx="56">
                  <c:v>0.1160683533533398</c:v>
                </c:pt>
                <c:pt idx="57">
                  <c:v>0.11615896701053439</c:v>
                </c:pt>
                <c:pt idx="58">
                  <c:v>0.11624943236203389</c:v>
                </c:pt>
                <c:pt idx="59">
                  <c:v>0.11633975851239563</c:v>
                </c:pt>
                <c:pt idx="60">
                  <c:v>0.11642995687502629</c:v>
                </c:pt>
                <c:pt idx="61">
                  <c:v>0.11652004120220893</c:v>
                </c:pt>
                <c:pt idx="62">
                  <c:v>0.11661002759922019</c:v>
                </c:pt>
                <c:pt idx="63">
                  <c:v>0.11669993452271148</c:v>
                </c:pt>
                <c:pt idx="64">
                  <c:v>0.11678978276368017</c:v>
                </c:pt>
                <c:pt idx="65">
                  <c:v>0.11687959541549707</c:v>
                </c:pt>
                <c:pt idx="66">
                  <c:v>0.11696939782758933</c:v>
                </c:pt>
                <c:pt idx="67">
                  <c:v>0.11705921754549897</c:v>
                </c:pt>
                <c:pt idx="68">
                  <c:v>0.1171490842381443</c:v>
                </c:pt>
                <c:pt idx="69">
                  <c:v>0.1172390296132083</c:v>
                </c:pt>
                <c:pt idx="70">
                  <c:v>0.11732908732165723</c:v>
                </c:pt>
                <c:pt idx="71">
                  <c:v>0.11741929285245886</c:v>
                </c:pt>
                <c:pt idx="72">
                  <c:v>0.11750968341862099</c:v>
                </c:pt>
                <c:pt idx="73">
                  <c:v>0.11760029783570457</c:v>
                </c:pt>
                <c:pt idx="74">
                  <c:v>0.11769117639398548</c:v>
                </c:pt>
                <c:pt idx="75">
                  <c:v>0.11778236072544265</c:v>
                </c:pt>
                <c:pt idx="76">
                  <c:v>0.11787389366673887</c:v>
                </c:pt>
                <c:pt idx="77">
                  <c:v>0.11796581911933271</c:v>
                </c:pt>
                <c:pt idx="78">
                  <c:v>0.11805818190782276</c:v>
                </c:pt>
                <c:pt idx="79">
                  <c:v>0.11815102763756843</c:v>
                </c:pt>
                <c:pt idx="80">
                  <c:v>0.11824440255256874</c:v>
                </c:pt>
                <c:pt idx="81">
                  <c:v>0.11833835339450234</c:v>
                </c:pt>
                <c:pt idx="82">
                  <c:v>0.11843292726374706</c:v>
                </c:pt>
                <c:pt idx="83">
                  <c:v>0.11852817148310189</c:v>
                </c:pt>
                <c:pt idx="84">
                  <c:v>0.11862413346483341</c:v>
                </c:pt>
                <c:pt idx="85">
                  <c:v>0.1187208605815631</c:v>
                </c:pt>
                <c:pt idx="86">
                  <c:v>0.11881840004140053</c:v>
                </c:pt>
                <c:pt idx="87">
                  <c:v>0.11891679876761717</c:v>
                </c:pt>
                <c:pt idx="88">
                  <c:v>0.11901610328304289</c:v>
                </c:pt>
                <c:pt idx="89">
                  <c:v>0.11911635959925568</c:v>
                </c:pt>
                <c:pt idx="90">
                  <c:v>0.11921761311052967</c:v>
                </c:pt>
                <c:pt idx="91">
                  <c:v>0.11931990849240157</c:v>
                </c:pt>
                <c:pt idx="92">
                  <c:v>0.11942328960462016</c:v>
                </c:pt>
                <c:pt idx="93">
                  <c:v>0.11952779939815367</c:v>
                </c:pt>
                <c:pt idx="94">
                  <c:v>0.11963347982585046</c:v>
                </c:pt>
                <c:pt idx="95">
                  <c:v>0.11974037175627703</c:v>
                </c:pt>
                <c:pt idx="96">
                  <c:v>0.11984851489019964</c:v>
                </c:pt>
                <c:pt idx="97">
                  <c:v>0.11995794767912824</c:v>
                </c:pt>
                <c:pt idx="98">
                  <c:v>0.12006870724530729</c:v>
                </c:pt>
                <c:pt idx="99">
                  <c:v>0.1201808293025179</c:v>
                </c:pt>
                <c:pt idx="100">
                  <c:v>0.12029434807704782</c:v>
                </c:pt>
                <c:pt idx="101">
                  <c:v>0.1204092962281937</c:v>
                </c:pt>
                <c:pt idx="102">
                  <c:v>0.12052570476768062</c:v>
                </c:pt>
                <c:pt idx="103">
                  <c:v>0.12064360297741826</c:v>
                </c:pt>
                <c:pt idx="104">
                  <c:v>0.12076301832506268</c:v>
                </c:pt>
                <c:pt idx="105">
                  <c:v>0.12088397637691164</c:v>
                </c:pt>
                <c:pt idx="106">
                  <c:v>0.12100650070773669</c:v>
                </c:pt>
                <c:pt idx="107">
                  <c:v>0.12113061280723875</c:v>
                </c:pt>
                <c:pt idx="108">
                  <c:v>0.12125633198290831</c:v>
                </c:pt>
                <c:pt idx="109">
                  <c:v>0.12138367525917633</c:v>
                </c:pt>
                <c:pt idx="110">
                  <c:v>0.12151265727285133</c:v>
                </c:pt>
                <c:pt idx="111">
                  <c:v>0.12164329016495756</c:v>
                </c:pt>
                <c:pt idx="112">
                  <c:v>0.12177558346921004</c:v>
                </c:pt>
                <c:pt idx="113">
                  <c:v>0.12190954399748727</c:v>
                </c:pt>
                <c:pt idx="114">
                  <c:v>0.12204517572278924</c:v>
                </c:pt>
                <c:pt idx="115">
                  <c:v>0.12218247966029359</c:v>
                </c:pt>
                <c:pt idx="116">
                  <c:v>0.12232145374724629</c:v>
                </c:pt>
                <c:pt idx="117">
                  <c:v>0.12246209272254276</c:v>
                </c:pt>
                <c:pt idx="118">
                  <c:v>0.12260438800696773</c:v>
                </c:pt>
                <c:pt idx="119">
                  <c:v>1.8199148020337074E-2</c:v>
                </c:pt>
                <c:pt idx="120">
                  <c:v>1.8436630746455355E-2</c:v>
                </c:pt>
                <c:pt idx="121">
                  <c:v>1.8674278836794338E-2</c:v>
                </c:pt>
                <c:pt idx="122">
                  <c:v>1.891209731169078E-2</c:v>
                </c:pt>
                <c:pt idx="123">
                  <c:v>1.9150090384453679E-2</c:v>
                </c:pt>
                <c:pt idx="124">
                  <c:v>1.9388261414981681E-2</c:v>
                </c:pt>
                <c:pt idx="125">
                  <c:v>1.962661286425918E-2</c:v>
                </c:pt>
                <c:pt idx="126">
                  <c:v>1.9865146250093457E-2</c:v>
                </c:pt>
                <c:pt idx="127">
                  <c:v>2.0103862104473048E-2</c:v>
                </c:pt>
                <c:pt idx="128">
                  <c:v>2.0342759932942787E-2</c:v>
                </c:pt>
                <c:pt idx="129">
                  <c:v>2.0581838176402318E-2</c:v>
                </c:pt>
                <c:pt idx="130">
                  <c:v>2.0821094175742266E-2</c:v>
                </c:pt>
                <c:pt idx="131">
                  <c:v>2.106052413973554E-2</c:v>
                </c:pt>
                <c:pt idx="132">
                  <c:v>2.1300123116600369E-2</c:v>
                </c:pt>
                <c:pt idx="133">
                  <c:v>2.1539884969645436E-2</c:v>
                </c:pt>
                <c:pt idx="134">
                  <c:v>2.1779802357397397E-2</c:v>
                </c:pt>
                <c:pt idx="135">
                  <c:v>2.2019866718595609E-2</c:v>
                </c:pt>
                <c:pt idx="136">
                  <c:v>2.2260068262418432E-2</c:v>
                </c:pt>
                <c:pt idx="137">
                  <c:v>2.2500395964281036E-2</c:v>
                </c:pt>
                <c:pt idx="138">
                  <c:v>2.2740837567514161E-2</c:v>
                </c:pt>
                <c:pt idx="139">
                  <c:v>2.2981379591199544E-2</c:v>
                </c:pt>
                <c:pt idx="140">
                  <c:v>2.3222007344398745E-2</c:v>
                </c:pt>
                <c:pt idx="141">
                  <c:v>2.3462704946969243E-2</c:v>
                </c:pt>
                <c:pt idx="142">
                  <c:v>2.3703455357115259E-2</c:v>
                </c:pt>
                <c:pt idx="143">
                  <c:v>2.3944240405770534E-2</c:v>
                </c:pt>
                <c:pt idx="144">
                  <c:v>2.4185040837857538E-2</c:v>
                </c:pt>
                <c:pt idx="145">
                  <c:v>2.4425836360412002E-2</c:v>
                </c:pt>
                <c:pt idx="146">
                  <c:v>2.4666605697504142E-2</c:v>
                </c:pt>
                <c:pt idx="147">
                  <c:v>2.4907326651829046E-2</c:v>
                </c:pt>
                <c:pt idx="148">
                  <c:v>2.5147976172779116E-2</c:v>
                </c:pt>
                <c:pt idx="149">
                  <c:v>2.538853043075125E-2</c:v>
                </c:pt>
                <c:pt idx="150">
                  <c:v>2.5628964897381704E-2</c:v>
                </c:pt>
                <c:pt idx="151">
                  <c:v>2.5869254431343455E-2</c:v>
                </c:pt>
                <c:pt idx="152">
                  <c:v>2.6109373369283196E-2</c:v>
                </c:pt>
                <c:pt idx="153">
                  <c:v>2.6349295621421086E-2</c:v>
                </c:pt>
                <c:pt idx="154">
                  <c:v>2.6588994771284125E-2</c:v>
                </c:pt>
                <c:pt idx="155">
                  <c:v>2.6828444178995998E-2</c:v>
                </c:pt>
                <c:pt idx="156">
                  <c:v>2.7067617087502122E-2</c:v>
                </c:pt>
                <c:pt idx="157">
                  <c:v>2.7306486731068766E-2</c:v>
                </c:pt>
                <c:pt idx="158">
                  <c:v>2.7545026445361408E-2</c:v>
                </c:pt>
                <c:pt idx="159">
                  <c:v>2.7783209778378233E-2</c:v>
                </c:pt>
                <c:pt idx="160">
                  <c:v>2.8021010601492001E-2</c:v>
                </c:pt>
                <c:pt idx="161">
                  <c:v>2.8258403219837979E-2</c:v>
                </c:pt>
                <c:pt idx="162">
                  <c:v>2.849536248127478E-2</c:v>
                </c:pt>
                <c:pt idx="163">
                  <c:v>2.8731863883143693E-2</c:v>
                </c:pt>
                <c:pt idx="164">
                  <c:v>2.8967883676055364E-2</c:v>
                </c:pt>
                <c:pt idx="165">
                  <c:v>2.9203398963944745E-2</c:v>
                </c:pt>
                <c:pt idx="166">
                  <c:v>2.9438387799654055E-2</c:v>
                </c:pt>
                <c:pt idx="167">
                  <c:v>2.9672829275329087E-2</c:v>
                </c:pt>
                <c:pt idx="168">
                  <c:v>2.9906703606946857E-2</c:v>
                </c:pt>
                <c:pt idx="169">
                  <c:v>3.0139992212332555E-2</c:v>
                </c:pt>
                <c:pt idx="170">
                  <c:v>3.0372677782069254E-2</c:v>
                </c:pt>
                <c:pt idx="171">
                  <c:v>3.0604744342755955E-2</c:v>
                </c:pt>
                <c:pt idx="172">
                  <c:v>3.083617731212733E-2</c:v>
                </c:pt>
                <c:pt idx="173">
                  <c:v>3.1066963545611007E-2</c:v>
                </c:pt>
                <c:pt idx="174">
                  <c:v>3.1297091373965871E-2</c:v>
                </c:pt>
                <c:pt idx="175">
                  <c:v>3.1526550631715632E-2</c:v>
                </c:pt>
                <c:pt idx="176">
                  <c:v>3.1755332676167015E-2</c:v>
                </c:pt>
                <c:pt idx="177">
                  <c:v>3.198343039687844E-2</c:v>
                </c:pt>
                <c:pt idx="178">
                  <c:v>3.2210838215524042E-2</c:v>
                </c:pt>
                <c:pt idx="179">
                  <c:v>3.2437552076178149E-2</c:v>
                </c:pt>
                <c:pt idx="180">
                  <c:v>3.2663569426124792E-2</c:v>
                </c:pt>
                <c:pt idx="181">
                  <c:v>3.2888889187376841E-2</c:v>
                </c:pt>
                <c:pt idx="182">
                  <c:v>3.311351171916728E-2</c:v>
                </c:pt>
                <c:pt idx="183">
                  <c:v>3.333743877175132E-2</c:v>
                </c:pt>
                <c:pt idx="184">
                  <c:v>3.3560673431930324E-2</c:v>
                </c:pt>
                <c:pt idx="185">
                  <c:v>3.3783220060778982E-2</c:v>
                </c:pt>
                <c:pt idx="186">
                  <c:v>3.4005084224120623E-2</c:v>
                </c:pt>
                <c:pt idx="187">
                  <c:v>3.4226272616356045E-2</c:v>
                </c:pt>
                <c:pt idx="188">
                  <c:v>3.4446792978304816E-2</c:v>
                </c:pt>
                <c:pt idx="189">
                  <c:v>3.4666654009765242E-2</c:v>
                </c:pt>
                <c:pt idx="190">
                  <c:v>3.4885865277540271E-2</c:v>
                </c:pt>
                <c:pt idx="191">
                  <c:v>3.5104437119709161E-2</c:v>
                </c:pt>
                <c:pt idx="192">
                  <c:v>3.5322380546951082E-2</c:v>
                </c:pt>
                <c:pt idx="193">
                  <c:v>3.5539707141743496E-2</c:v>
                </c:pt>
                <c:pt idx="194">
                  <c:v>3.5756428956268418E-2</c:v>
                </c:pt>
                <c:pt idx="195">
                  <c:v>3.5972558409859801E-2</c:v>
                </c:pt>
                <c:pt idx="196">
                  <c:v>3.618810818681889E-2</c:v>
                </c:pt>
                <c:pt idx="197">
                  <c:v>3.640309113540794E-2</c:v>
                </c:pt>
                <c:pt idx="198">
                  <c:v>3.6617520168809682E-2</c:v>
                </c:pt>
                <c:pt idx="199">
                  <c:v>3.6831408168808089E-2</c:v>
                </c:pt>
                <c:pt idx="200">
                  <c:v>3.7044767892906699E-2</c:v>
                </c:pt>
                <c:pt idx="201">
                  <c:v>3.7257611885554813E-2</c:v>
                </c:pt>
                <c:pt idx="202">
                  <c:v>3.7469952394098914E-2</c:v>
                </c:pt>
                <c:pt idx="203">
                  <c:v>3.7681801290017435E-2</c:v>
                </c:pt>
                <c:pt idx="204">
                  <c:v>3.7893169995933229E-2</c:v>
                </c:pt>
                <c:pt idx="205">
                  <c:v>3.8104069418828344E-2</c:v>
                </c:pt>
                <c:pt idx="206">
                  <c:v>3.8314509889813476E-2</c:v>
                </c:pt>
                <c:pt idx="207">
                  <c:v>3.8524501110727388E-2</c:v>
                </c:pt>
                <c:pt idx="208">
                  <c:v>3.8734052107764302E-2</c:v>
                </c:pt>
                <c:pt idx="209">
                  <c:v>3.894317119224644E-2</c:v>
                </c:pt>
                <c:pt idx="210">
                  <c:v>3.9151865928579263E-2</c:v>
                </c:pt>
                <c:pt idx="211">
                  <c:v>3.9360143109346775E-2</c:v>
                </c:pt>
                <c:pt idx="212">
                  <c:v>3.9568008737425601E-2</c:v>
                </c:pt>
                <c:pt idx="213">
                  <c:v>3.9775468014920719E-2</c:v>
                </c:pt>
                <c:pt idx="214">
                  <c:v>3.9982525338651764E-2</c:v>
                </c:pt>
                <c:pt idx="215">
                  <c:v>4.0189184301850221E-2</c:v>
                </c:pt>
                <c:pt idx="216">
                  <c:v>4.0395447701662826E-2</c:v>
                </c:pt>
                <c:pt idx="217">
                  <c:v>4.0601317551998091E-2</c:v>
                </c:pt>
                <c:pt idx="218">
                  <c:v>4.0806795101199306E-2</c:v>
                </c:pt>
                <c:pt idx="219">
                  <c:v>4.1011880853982642E-2</c:v>
                </c:pt>
                <c:pt idx="220">
                  <c:v>4.121657459703916E-2</c:v>
                </c:pt>
                <c:pt idx="221">
                  <c:v>4.1420875427670423E-2</c:v>
                </c:pt>
                <c:pt idx="222">
                  <c:v>4.1624781784804089E-2</c:v>
                </c:pt>
                <c:pt idx="223">
                  <c:v>4.1828291481722395E-2</c:v>
                </c:pt>
                <c:pt idx="224">
                  <c:v>4.2031401739832309E-2</c:v>
                </c:pt>
                <c:pt idx="225">
                  <c:v>4.2234109222808756E-2</c:v>
                </c:pt>
                <c:pt idx="226">
                  <c:v>4.2436410070456648E-2</c:v>
                </c:pt>
                <c:pt idx="227">
                  <c:v>4.2638299931657582E-2</c:v>
                </c:pt>
                <c:pt idx="228">
                  <c:v>4.2839773995798698E-2</c:v>
                </c:pt>
                <c:pt idx="229">
                  <c:v>4.30408270221182E-2</c:v>
                </c:pt>
                <c:pt idx="230">
                  <c:v>4.3241453366448974E-2</c:v>
                </c:pt>
                <c:pt idx="231">
                  <c:v>4.3441647004895279E-2</c:v>
                </c:pt>
                <c:pt idx="232">
                  <c:v>4.3641401554037E-2</c:v>
                </c:pt>
                <c:pt idx="233">
                  <c:v>4.3840710287322643E-2</c:v>
                </c:pt>
                <c:pt idx="234">
                  <c:v>4.4039566147383691E-2</c:v>
                </c:pt>
                <c:pt idx="235">
                  <c:v>4.4237961754078022E-2</c:v>
                </c:pt>
                <c:pt idx="236">
                  <c:v>4.4435889408150506E-2</c:v>
                </c:pt>
                <c:pt idx="237">
                  <c:v>4.4633341090479603E-2</c:v>
                </c:pt>
                <c:pt idx="238">
                  <c:v>4.483030845696305E-2</c:v>
                </c:pt>
                <c:pt idx="239">
                  <c:v>4.502678282917922E-2</c:v>
                </c:pt>
                <c:pt idx="240">
                  <c:v>4.5222755181044509E-2</c:v>
                </c:pt>
                <c:pt idx="241">
                  <c:v>4.5418216121768676E-2</c:v>
                </c:pt>
                <c:pt idx="242">
                  <c:v>4.5613155875489857E-2</c:v>
                </c:pt>
                <c:pt idx="243">
                  <c:v>4.5807564258046302E-2</c:v>
                </c:pt>
                <c:pt idx="244">
                  <c:v>4.6001430651413384E-2</c:v>
                </c:pt>
                <c:pt idx="245">
                  <c:v>4.619474397639959E-2</c:v>
                </c:pt>
                <c:pt idx="246">
                  <c:v>4.6387492664254806E-2</c:v>
                </c:pt>
                <c:pt idx="247">
                  <c:v>4.6579664627895298E-2</c:v>
                </c:pt>
                <c:pt idx="248">
                  <c:v>4.6771247233494205E-2</c:v>
                </c:pt>
                <c:pt idx="249">
                  <c:v>4.6962227273220837E-2</c:v>
                </c:pt>
                <c:pt idx="250">
                  <c:v>4.7152590939937247E-2</c:v>
                </c:pt>
                <c:pt idx="251">
                  <c:v>4.7342323804677039E-2</c:v>
                </c:pt>
                <c:pt idx="252">
                  <c:v>4.7531410797735721E-2</c:v>
                </c:pt>
                <c:pt idx="253">
                  <c:v>4.7719836194197417E-2</c:v>
                </c:pt>
                <c:pt idx="254">
                  <c:v>4.7907583604706004E-2</c:v>
                </c:pt>
                <c:pt idx="255">
                  <c:v>4.8094635972262781E-2</c:v>
                </c:pt>
                <c:pt idx="256">
                  <c:v>4.8280975575794381E-2</c:v>
                </c:pt>
                <c:pt idx="257">
                  <c:v>4.8466584041187269E-2</c:v>
                </c:pt>
                <c:pt idx="258">
                  <c:v>4.8651442360426331E-2</c:v>
                </c:pt>
                <c:pt idx="259">
                  <c:v>4.8835530919407642E-2</c:v>
                </c:pt>
                <c:pt idx="260">
                  <c:v>4.9018829534917402E-2</c:v>
                </c:pt>
                <c:pt idx="261">
                  <c:v>4.9201317501184082E-2</c:v>
                </c:pt>
                <c:pt idx="262">
                  <c:v>4.9382973646316691E-2</c:v>
                </c:pt>
                <c:pt idx="263">
                  <c:v>4.9563776398841193E-2</c:v>
                </c:pt>
                <c:pt idx="264">
                  <c:v>4.9743703864441872E-2</c:v>
                </c:pt>
                <c:pt idx="265">
                  <c:v>4.9922733912901779E-2</c:v>
                </c:pt>
                <c:pt idx="266">
                  <c:v>5.0100844275121896E-2</c:v>
                </c:pt>
                <c:pt idx="267">
                  <c:v>5.0278012649980969E-2</c:v>
                </c:pt>
                <c:pt idx="268">
                  <c:v>5.0454216820678542E-2</c:v>
                </c:pt>
                <c:pt idx="269">
                  <c:v>5.0629434780085025E-2</c:v>
                </c:pt>
                <c:pt idx="270">
                  <c:v>5.0803644864504081E-2</c:v>
                </c:pt>
                <c:pt idx="271">
                  <c:v>5.097682589513762E-2</c:v>
                </c:pt>
                <c:pt idx="272">
                  <c:v>5.1148957326431731E-2</c:v>
                </c:pt>
                <c:pt idx="273">
                  <c:v>5.1320019400375123E-2</c:v>
                </c:pt>
                <c:pt idx="274">
                  <c:v>5.1489993305721994E-2</c:v>
                </c:pt>
                <c:pt idx="275">
                  <c:v>5.1658861341017499E-2</c:v>
                </c:pt>
                <c:pt idx="276">
                  <c:v>5.1826607080220605E-2</c:v>
                </c:pt>
                <c:pt idx="277">
                  <c:v>5.1993215539644526E-2</c:v>
                </c:pt>
                <c:pt idx="278">
                  <c:v>5.2158673344870912E-2</c:v>
                </c:pt>
                <c:pt idx="279">
                  <c:v>5.2322968896242494E-2</c:v>
                </c:pt>
                <c:pt idx="280">
                  <c:v>5.24860925314986E-2</c:v>
                </c:pt>
                <c:pt idx="281">
                  <c:v>5.2648036684091876E-2</c:v>
                </c:pt>
                <c:pt idx="282">
                  <c:v>5.2808796035710814E-2</c:v>
                </c:pt>
                <c:pt idx="283">
                  <c:v>5.2968367661534697E-2</c:v>
                </c:pt>
                <c:pt idx="284">
                  <c:v>5.3126751166761597E-2</c:v>
                </c:pt>
                <c:pt idx="285">
                  <c:v>5.3283948812981069E-2</c:v>
                </c:pt>
                <c:pt idx="286">
                  <c:v>5.343996563300623E-2</c:v>
                </c:pt>
                <c:pt idx="287">
                  <c:v>5.3594809532838766E-2</c:v>
                </c:pt>
                <c:pt idx="288">
                  <c:v>5.3748491379512868E-2</c:v>
                </c:pt>
                <c:pt idx="289">
                  <c:v>5.390102507364946E-2</c:v>
                </c:pt>
                <c:pt idx="290">
                  <c:v>5.4052427605651064E-2</c:v>
                </c:pt>
                <c:pt idx="291">
                  <c:v>5.4202719094578473E-2</c:v>
                </c:pt>
                <c:pt idx="292">
                  <c:v>5.4351922808872549E-2</c:v>
                </c:pt>
                <c:pt idx="293">
                  <c:v>5.4500065168216656E-2</c:v>
                </c:pt>
                <c:pt idx="294">
                  <c:v>5.4647175725977576E-2</c:v>
                </c:pt>
                <c:pt idx="295">
                  <c:v>5.4793287131811419E-2</c:v>
                </c:pt>
                <c:pt idx="296">
                  <c:v>5.4938435074178289E-2</c:v>
                </c:pt>
                <c:pt idx="297">
                  <c:v>5.5082658202670554E-2</c:v>
                </c:pt>
                <c:pt idx="298">
                  <c:v>5.5225998030224911E-2</c:v>
                </c:pt>
                <c:pt idx="299">
                  <c:v>5.5368498815456774E-2</c:v>
                </c:pt>
                <c:pt idx="300">
                  <c:v>5.5510207425523234E-2</c:v>
                </c:pt>
                <c:pt idx="301">
                  <c:v>5.5651173180088949E-2</c:v>
                </c:pt>
                <c:pt idx="302">
                  <c:v>5.579144767713478E-2</c:v>
                </c:pt>
                <c:pt idx="303">
                  <c:v>5.5931084601509425E-2</c:v>
                </c:pt>
                <c:pt idx="304">
                  <c:v>5.6070139517280904E-2</c:v>
                </c:pt>
                <c:pt idx="305">
                  <c:v>5.6208669645092572E-2</c:v>
                </c:pt>
                <c:pt idx="306">
                  <c:v>5.6346733625868749E-2</c:v>
                </c:pt>
                <c:pt idx="307">
                  <c:v>5.6484391272345114E-2</c:v>
                </c:pt>
                <c:pt idx="308">
                  <c:v>5.662170331001698E-2</c:v>
                </c:pt>
                <c:pt idx="309">
                  <c:v>5.6758731109206477E-2</c:v>
                </c:pt>
                <c:pt idx="310">
                  <c:v>5.6895536410039985E-2</c:v>
                </c:pt>
                <c:pt idx="311">
                  <c:v>5.7032181042207072E-2</c:v>
                </c:pt>
                <c:pt idx="312">
                  <c:v>5.7168726641433944E-2</c:v>
                </c:pt>
                <c:pt idx="313">
                  <c:v>5.7305234364650209E-2</c:v>
                </c:pt>
                <c:pt idx="314">
                  <c:v>5.7441764605858536E-2</c:v>
                </c:pt>
                <c:pt idx="315">
                  <c:v>5.7578376714727861E-2</c:v>
                </c:pt>
                <c:pt idx="316">
                  <c:v>5.771512871992681E-2</c:v>
                </c:pt>
                <c:pt idx="317">
                  <c:v>5.7852077059190724E-2</c:v>
                </c:pt>
                <c:pt idx="318">
                  <c:v>5.7989276318076606E-2</c:v>
                </c:pt>
                <c:pt idx="319">
                  <c:v>5.8126778979301935E-2</c:v>
                </c:pt>
                <c:pt idx="320">
                  <c:v>5.826463518449089E-2</c:v>
                </c:pt>
                <c:pt idx="321">
                  <c:v>5.8402892510060637E-2</c:v>
                </c:pt>
                <c:pt idx="322">
                  <c:v>5.8541595758875187E-2</c:v>
                </c:pt>
                <c:pt idx="323">
                  <c:v>5.8680786769174119E-2</c:v>
                </c:pt>
                <c:pt idx="324">
                  <c:v>5.8820504242150851E-2</c:v>
                </c:pt>
                <c:pt idx="325">
                  <c:v>5.8960783589408101E-2</c:v>
                </c:pt>
                <c:pt idx="326">
                  <c:v>5.9101656801362389E-2</c:v>
                </c:pt>
                <c:pt idx="327">
                  <c:v>5.9243152337502512E-2</c:v>
                </c:pt>
                <c:pt idx="328">
                  <c:v>5.938529503923199E-2</c:v>
                </c:pt>
                <c:pt idx="329">
                  <c:v>5.952810606584491E-2</c:v>
                </c:pt>
                <c:pt idx="330">
                  <c:v>5.9671602853997814E-2</c:v>
                </c:pt>
                <c:pt idx="331">
                  <c:v>5.9815799100850699E-2</c:v>
                </c:pt>
                <c:pt idx="332">
                  <c:v>5.9960704770860081E-2</c:v>
                </c:pt>
                <c:pt idx="333">
                  <c:v>6.0106326126015401E-2</c:v>
                </c:pt>
                <c:pt idx="334">
                  <c:v>6.0252665779121549E-2</c:v>
                </c:pt>
                <c:pt idx="335">
                  <c:v>6.0399722769545423E-2</c:v>
                </c:pt>
                <c:pt idx="336">
                  <c:v>6.0547492660664601E-2</c:v>
                </c:pt>
                <c:pt idx="337">
                  <c:v>6.0695967658083119E-2</c:v>
                </c:pt>
                <c:pt idx="338">
                  <c:v>6.0845136747516453E-2</c:v>
                </c:pt>
                <c:pt idx="339">
                  <c:v>6.0994985851092497E-2</c:v>
                </c:pt>
                <c:pt idx="340">
                  <c:v>6.1145498000673773E-2</c:v>
                </c:pt>
                <c:pt idx="341">
                  <c:v>6.1296653526676799E-2</c:v>
                </c:pt>
                <c:pt idx="342">
                  <c:v>6.1448430260748019E-2</c:v>
                </c:pt>
                <c:pt idx="343">
                  <c:v>6.1600803750556057E-2</c:v>
                </c:pt>
                <c:pt idx="344">
                  <c:v>6.1753747484874881E-2</c:v>
                </c:pt>
                <c:pt idx="345">
                  <c:v>6.1907233127064573E-2</c:v>
                </c:pt>
                <c:pt idx="346">
                  <c:v>6.2061230755005671E-2</c:v>
                </c:pt>
                <c:pt idx="347">
                  <c:v>6.221570910550981E-2</c:v>
                </c:pt>
                <c:pt idx="348">
                  <c:v>6.2370635821213979E-2</c:v>
                </c:pt>
                <c:pt idx="349">
                  <c:v>6.2525977697968457E-2</c:v>
                </c:pt>
                <c:pt idx="350">
                  <c:v>6.2681700930748804E-2</c:v>
                </c:pt>
                <c:pt idx="351">
                  <c:v>6.283777135616013E-2</c:v>
                </c:pt>
                <c:pt idx="352">
                  <c:v>6.2994154689657106E-2</c:v>
                </c:pt>
                <c:pt idx="353">
                  <c:v>6.3150816755674577E-2</c:v>
                </c:pt>
                <c:pt idx="354">
                  <c:v>6.3307723708950603E-2</c:v>
                </c:pt>
                <c:pt idx="355">
                  <c:v>6.3464842245426312E-2</c:v>
                </c:pt>
                <c:pt idx="356">
                  <c:v>6.362213980122193E-2</c:v>
                </c:pt>
                <c:pt idx="357">
                  <c:v>6.3779584738317283E-2</c:v>
                </c:pt>
                <c:pt idx="358">
                  <c:v>6.3937146515704327E-2</c:v>
                </c:pt>
                <c:pt idx="359">
                  <c:v>6.4094795844928346E-2</c:v>
                </c:pt>
                <c:pt idx="360">
                  <c:v>6.4252504829092769E-2</c:v>
                </c:pt>
                <c:pt idx="361">
                  <c:v>6.4410247084566663E-2</c:v>
                </c:pt>
                <c:pt idx="362">
                  <c:v>6.456799784480316E-2</c:v>
                </c:pt>
                <c:pt idx="363">
                  <c:v>6.4725734045851691E-2</c:v>
                </c:pt>
                <c:pt idx="364">
                  <c:v>6.4883434393319839E-2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4.3018318489390125E-2</c:v>
                </c:pt>
                <c:pt idx="1">
                  <c:v>4.3150806795217121E-2</c:v>
                </c:pt>
                <c:pt idx="2">
                  <c:v>4.3294177895149187E-2</c:v>
                </c:pt>
                <c:pt idx="3">
                  <c:v>4.3447020769483619E-2</c:v>
                </c:pt>
                <c:pt idx="4">
                  <c:v>4.3607945170189476E-2</c:v>
                </c:pt>
                <c:pt idx="5">
                  <c:v>4.3775583823078425E-2</c:v>
                </c:pt>
                <c:pt idx="6">
                  <c:v>4.3948594942727126E-2</c:v>
                </c:pt>
                <c:pt idx="7">
                  <c:v>4.4125664855591475E-2</c:v>
                </c:pt>
                <c:pt idx="8">
                  <c:v>4.4303991459782421E-2</c:v>
                </c:pt>
                <c:pt idx="9">
                  <c:v>4.4466662404230292E-2</c:v>
                </c:pt>
                <c:pt idx="10">
                  <c:v>4.4596633621233728E-2</c:v>
                </c:pt>
                <c:pt idx="11">
                  <c:v>4.4696247204007521E-2</c:v>
                </c:pt>
                <c:pt idx="12">
                  <c:v>4.4767846582622083E-2</c:v>
                </c:pt>
                <c:pt idx="13">
                  <c:v>4.4813756070666844E-2</c:v>
                </c:pt>
                <c:pt idx="14">
                  <c:v>4.4836263297124639E-2</c:v>
                </c:pt>
                <c:pt idx="15">
                  <c:v>4.4817935285084355E-2</c:v>
                </c:pt>
                <c:pt idx="16">
                  <c:v>4.4755160426383549E-2</c:v>
                </c:pt>
                <c:pt idx="17">
                  <c:v>4.4650956648114859E-2</c:v>
                </c:pt>
                <c:pt idx="18">
                  <c:v>4.4508241457221202E-2</c:v>
                </c:pt>
                <c:pt idx="19">
                  <c:v>4.4330068384473613E-2</c:v>
                </c:pt>
                <c:pt idx="20">
                  <c:v>4.4119475813948567E-2</c:v>
                </c:pt>
                <c:pt idx="21">
                  <c:v>4.3879174614902088E-2</c:v>
                </c:pt>
                <c:pt idx="22">
                  <c:v>4.360731788858669E-2</c:v>
                </c:pt>
                <c:pt idx="23">
                  <c:v>4.3290838276702708E-2</c:v>
                </c:pt>
                <c:pt idx="24">
                  <c:v>4.2945261908691634E-2</c:v>
                </c:pt>
                <c:pt idx="25">
                  <c:v>4.2572280518623239E-2</c:v>
                </c:pt>
                <c:pt idx="26">
                  <c:v>4.2173520873502658E-2</c:v>
                </c:pt>
                <c:pt idx="27">
                  <c:v>4.175054227025525E-2</c:v>
                </c:pt>
                <c:pt idx="28">
                  <c:v>4.130483481748902E-2</c:v>
                </c:pt>
                <c:pt idx="29">
                  <c:v>4.0836627197354897E-2</c:v>
                </c:pt>
                <c:pt idx="30">
                  <c:v>4.036347234463273E-2</c:v>
                </c:pt>
                <c:pt idx="31">
                  <c:v>3.9886104094469042E-2</c:v>
                </c:pt>
                <c:pt idx="32">
                  <c:v>3.9405202203412613E-2</c:v>
                </c:pt>
                <c:pt idx="33">
                  <c:v>3.8921394405832949E-2</c:v>
                </c:pt>
                <c:pt idx="34">
                  <c:v>3.8435258638771522E-2</c:v>
                </c:pt>
                <c:pt idx="35">
                  <c:v>3.7947325378355393E-2</c:v>
                </c:pt>
                <c:pt idx="36">
                  <c:v>3.7458635920967633E-2</c:v>
                </c:pt>
                <c:pt idx="37">
                  <c:v>3.6979121385735621E-2</c:v>
                </c:pt>
                <c:pt idx="38">
                  <c:v>3.6516980716543149E-2</c:v>
                </c:pt>
                <c:pt idx="39">
                  <c:v>3.6071143183888467E-2</c:v>
                </c:pt>
                <c:pt idx="40">
                  <c:v>3.5640604371293468E-2</c:v>
                </c:pt>
                <c:pt idx="41">
                  <c:v>3.5224421519684815E-2</c:v>
                </c:pt>
                <c:pt idx="42">
                  <c:v>3.4821709429709004E-2</c:v>
                </c:pt>
                <c:pt idx="43">
                  <c:v>3.4456766838079488E-2</c:v>
                </c:pt>
                <c:pt idx="44">
                  <c:v>3.4128986893869152E-2</c:v>
                </c:pt>
                <c:pt idx="45">
                  <c:v>3.3836762632077806E-2</c:v>
                </c:pt>
                <c:pt idx="46">
                  <c:v>3.357854523176821E-2</c:v>
                </c:pt>
                <c:pt idx="47">
                  <c:v>3.3352839017124027E-2</c:v>
                </c:pt>
                <c:pt idx="48">
                  <c:v>3.3158197107144502E-2</c:v>
                </c:pt>
                <c:pt idx="49">
                  <c:v>3.2993217703413798E-2</c:v>
                </c:pt>
                <c:pt idx="50">
                  <c:v>3.2856691637576034E-2</c:v>
                </c:pt>
                <c:pt idx="51">
                  <c:v>3.2780890728608264E-2</c:v>
                </c:pt>
                <c:pt idx="52">
                  <c:v>3.2755990887385678E-2</c:v>
                </c:pt>
                <c:pt idx="53">
                  <c:v>3.2780474865830085E-2</c:v>
                </c:pt>
                <c:pt idx="54">
                  <c:v>3.2853003663540332E-2</c:v>
                </c:pt>
                <c:pt idx="55">
                  <c:v>3.297226176028397E-2</c:v>
                </c:pt>
                <c:pt idx="56">
                  <c:v>3.3136964411465575E-2</c:v>
                </c:pt>
                <c:pt idx="57">
                  <c:v>3.336676072512882E-2</c:v>
                </c:pt>
                <c:pt idx="58">
                  <c:v>3.3638708591902898E-2</c:v>
                </c:pt>
                <c:pt idx="59">
                  <c:v>3.3951720878357634E-2</c:v>
                </c:pt>
                <c:pt idx="60">
                  <c:v>3.4304765267030891E-2</c:v>
                </c:pt>
                <c:pt idx="61">
                  <c:v>3.4696868360217577E-2</c:v>
                </c:pt>
                <c:pt idx="62">
                  <c:v>3.5127119344415973E-2</c:v>
                </c:pt>
                <c:pt idx="63">
                  <c:v>3.5594673246549455E-2</c:v>
                </c:pt>
                <c:pt idx="64">
                  <c:v>3.6095879629398392E-2</c:v>
                </c:pt>
                <c:pt idx="65">
                  <c:v>3.6628940773467282E-2</c:v>
                </c:pt>
                <c:pt idx="66">
                  <c:v>3.7166008984037428E-2</c:v>
                </c:pt>
                <c:pt idx="67">
                  <c:v>3.7707798743931674E-2</c:v>
                </c:pt>
                <c:pt idx="68">
                  <c:v>3.825506377990813E-2</c:v>
                </c:pt>
                <c:pt idx="69">
                  <c:v>3.8808596863757823E-2</c:v>
                </c:pt>
                <c:pt idx="70">
                  <c:v>3.9369229899513122E-2</c:v>
                </c:pt>
                <c:pt idx="71">
                  <c:v>3.9901950787036872E-2</c:v>
                </c:pt>
                <c:pt idx="72">
                  <c:v>4.0391110194108501E-2</c:v>
                </c:pt>
                <c:pt idx="73">
                  <c:v>4.083932854604827E-2</c:v>
                </c:pt>
                <c:pt idx="74">
                  <c:v>4.1249169140182042E-2</c:v>
                </c:pt>
                <c:pt idx="75">
                  <c:v>4.1623132993743747E-2</c:v>
                </c:pt>
                <c:pt idx="76">
                  <c:v>4.1963654890061833E-2</c:v>
                </c:pt>
                <c:pt idx="77">
                  <c:v>4.2273100506539568E-2</c:v>
                </c:pt>
                <c:pt idx="78">
                  <c:v>4.2549114773699215E-2</c:v>
                </c:pt>
                <c:pt idx="79">
                  <c:v>4.2748619726306121E-2</c:v>
                </c:pt>
                <c:pt idx="80">
                  <c:v>4.2873936371558265E-2</c:v>
                </c:pt>
                <c:pt idx="81">
                  <c:v>4.292868465165417E-2</c:v>
                </c:pt>
                <c:pt idx="82">
                  <c:v>4.2916345526226279E-2</c:v>
                </c:pt>
                <c:pt idx="83">
                  <c:v>4.2840246061863971E-2</c:v>
                </c:pt>
                <c:pt idx="84">
                  <c:v>4.2703547138229381E-2</c:v>
                </c:pt>
                <c:pt idx="85">
                  <c:v>4.2483085822690336E-2</c:v>
                </c:pt>
                <c:pt idx="86">
                  <c:v>4.2213100686626419E-2</c:v>
                </c:pt>
                <c:pt idx="87">
                  <c:v>4.1895925394469256E-2</c:v>
                </c:pt>
                <c:pt idx="88">
                  <c:v>4.1533702394251346E-2</c:v>
                </c:pt>
                <c:pt idx="89">
                  <c:v>4.1128379543672704E-2</c:v>
                </c:pt>
                <c:pt idx="90">
                  <c:v>4.0681707528352005E-2</c:v>
                </c:pt>
                <c:pt idx="91">
                  <c:v>4.0195237899322452E-2</c:v>
                </c:pt>
                <c:pt idx="92">
                  <c:v>3.9668118985383631E-2</c:v>
                </c:pt>
                <c:pt idx="93">
                  <c:v>3.9074337762826483E-2</c:v>
                </c:pt>
                <c:pt idx="94">
                  <c:v>3.8451243202166037E-2</c:v>
                </c:pt>
                <c:pt idx="95">
                  <c:v>3.7798762572989121E-2</c:v>
                </c:pt>
                <c:pt idx="96">
                  <c:v>3.7116749819330372E-2</c:v>
                </c:pt>
                <c:pt idx="97">
                  <c:v>3.6404986258416989E-2</c:v>
                </c:pt>
                <c:pt idx="98">
                  <c:v>3.5663181201902448E-2</c:v>
                </c:pt>
                <c:pt idx="99">
                  <c:v>3.4883212631709772E-2</c:v>
                </c:pt>
                <c:pt idx="100">
                  <c:v>3.4089056898394518E-2</c:v>
                </c:pt>
                <c:pt idx="101">
                  <c:v>3.3280037169206932E-2</c:v>
                </c:pt>
                <c:pt idx="102">
                  <c:v>3.245543616410531E-2</c:v>
                </c:pt>
                <c:pt idx="103">
                  <c:v>3.1614495521001512E-2</c:v>
                </c:pt>
                <c:pt idx="104">
                  <c:v>3.0756415220208121E-2</c:v>
                </c:pt>
                <c:pt idx="105">
                  <c:v>2.9880353034151437E-2</c:v>
                </c:pt>
                <c:pt idx="106">
                  <c:v>2.8985569160974462E-2</c:v>
                </c:pt>
                <c:pt idx="107">
                  <c:v>2.8079818975201787E-2</c:v>
                </c:pt>
                <c:pt idx="108">
                  <c:v>2.7185685645367184E-2</c:v>
                </c:pt>
                <c:pt idx="109">
                  <c:v>2.6302008590550006E-2</c:v>
                </c:pt>
                <c:pt idx="110">
                  <c:v>2.5427693912945238E-2</c:v>
                </c:pt>
                <c:pt idx="111">
                  <c:v>2.456163169533716E-2</c:v>
                </c:pt>
                <c:pt idx="112">
                  <c:v>2.3702625427787762E-2</c:v>
                </c:pt>
                <c:pt idx="113">
                  <c:v>2.2872238687138155E-2</c:v>
                </c:pt>
                <c:pt idx="114">
                  <c:v>2.2077590275036457E-2</c:v>
                </c:pt>
                <c:pt idx="115">
                  <c:v>2.1317697891838464E-2</c:v>
                </c:pt>
                <c:pt idx="116">
                  <c:v>2.0591618963163288E-2</c:v>
                </c:pt>
                <c:pt idx="117">
                  <c:v>1.9898448098380084E-2</c:v>
                </c:pt>
                <c:pt idx="118">
                  <c:v>1.9237314569304411E-2</c:v>
                </c:pt>
                <c:pt idx="119">
                  <c:v>1.8607379811962935E-2</c:v>
                </c:pt>
                <c:pt idx="120">
                  <c:v>1.8007688140775382E-2</c:v>
                </c:pt>
                <c:pt idx="121">
                  <c:v>1.7457798278613153E-2</c:v>
                </c:pt>
                <c:pt idx="122">
                  <c:v>1.6949778963445999E-2</c:v>
                </c:pt>
                <c:pt idx="123">
                  <c:v>1.6483493389746303E-2</c:v>
                </c:pt>
                <c:pt idx="124">
                  <c:v>1.6058857934738494E-2</c:v>
                </c:pt>
                <c:pt idx="125">
                  <c:v>1.567584234115045E-2</c:v>
                </c:pt>
                <c:pt idx="126">
                  <c:v>1.5334469807459948E-2</c:v>
                </c:pt>
                <c:pt idx="127">
                  <c:v>1.5044530564604868E-2</c:v>
                </c:pt>
                <c:pt idx="128">
                  <c:v>1.4783032968423012E-2</c:v>
                </c:pt>
                <c:pt idx="129">
                  <c:v>1.4550226633409293E-2</c:v>
                </c:pt>
                <c:pt idx="130">
                  <c:v>1.4346411602562982E-2</c:v>
                </c:pt>
                <c:pt idx="131">
                  <c:v>1.4171938989824688E-2</c:v>
                </c:pt>
                <c:pt idx="132">
                  <c:v>1.4027211557814634E-2</c:v>
                </c:pt>
                <c:pt idx="133">
                  <c:v>1.3912684241015308E-2</c:v>
                </c:pt>
                <c:pt idx="134">
                  <c:v>1.3828956356909039E-2</c:v>
                </c:pt>
                <c:pt idx="135">
                  <c:v>1.3787237118777652E-2</c:v>
                </c:pt>
                <c:pt idx="136">
                  <c:v>1.3765858147863075E-2</c:v>
                </c:pt>
                <c:pt idx="137">
                  <c:v>1.3765099957347397E-2</c:v>
                </c:pt>
                <c:pt idx="138">
                  <c:v>1.3785280288750448E-2</c:v>
                </c:pt>
                <c:pt idx="139">
                  <c:v>1.382675197977808E-2</c:v>
                </c:pt>
                <c:pt idx="140">
                  <c:v>1.3889900701151486E-2</c:v>
                </c:pt>
                <c:pt idx="141">
                  <c:v>1.3978452688606282E-2</c:v>
                </c:pt>
                <c:pt idx="142">
                  <c:v>1.4081343219550142E-2</c:v>
                </c:pt>
                <c:pt idx="143">
                  <c:v>1.4198628885142152E-2</c:v>
                </c:pt>
                <c:pt idx="144">
                  <c:v>1.4330458462515863E-2</c:v>
                </c:pt>
                <c:pt idx="145">
                  <c:v>1.4476987806552226E-2</c:v>
                </c:pt>
                <c:pt idx="146">
                  <c:v>1.4638378324568454E-2</c:v>
                </c:pt>
                <c:pt idx="147">
                  <c:v>1.4814795408482183E-2</c:v>
                </c:pt>
                <c:pt idx="148">
                  <c:v>1.5006848191585346E-2</c:v>
                </c:pt>
                <c:pt idx="149">
                  <c:v>1.5213234413678204E-2</c:v>
                </c:pt>
                <c:pt idx="150">
                  <c:v>1.5421918559233503E-2</c:v>
                </c:pt>
                <c:pt idx="151">
                  <c:v>1.5632792393027919E-2</c:v>
                </c:pt>
                <c:pt idx="152">
                  <c:v>1.5845746725716685E-2</c:v>
                </c:pt>
                <c:pt idx="153">
                  <c:v>1.6060671733766751E-2</c:v>
                </c:pt>
                <c:pt idx="154">
                  <c:v>1.6277457284425815E-2</c:v>
                </c:pt>
                <c:pt idx="155">
                  <c:v>1.6493782478041636E-2</c:v>
                </c:pt>
                <c:pt idx="156">
                  <c:v>1.6705713007430224E-2</c:v>
                </c:pt>
                <c:pt idx="157">
                  <c:v>1.6913044570446515E-2</c:v>
                </c:pt>
                <c:pt idx="158">
                  <c:v>1.7115575814391878E-2</c:v>
                </c:pt>
                <c:pt idx="159">
                  <c:v>1.7313109190599238E-2</c:v>
                </c:pt>
                <c:pt idx="160">
                  <c:v>1.7505451778560943E-2</c:v>
                </c:pt>
                <c:pt idx="161">
                  <c:v>1.7692416068036339E-2</c:v>
                </c:pt>
                <c:pt idx="162">
                  <c:v>1.7874059895214546E-2</c:v>
                </c:pt>
                <c:pt idx="163">
                  <c:v>1.8048172188068898E-2</c:v>
                </c:pt>
                <c:pt idx="164">
                  <c:v>1.8216583944164907E-2</c:v>
                </c:pt>
                <c:pt idx="165">
                  <c:v>1.8379252481821633E-2</c:v>
                </c:pt>
                <c:pt idx="166">
                  <c:v>1.8536146479703162E-2</c:v>
                </c:pt>
                <c:pt idx="167">
                  <c:v>1.8687246116806805E-2</c:v>
                </c:pt>
                <c:pt idx="168">
                  <c:v>1.8832543135896957E-2</c:v>
                </c:pt>
                <c:pt idx="169">
                  <c:v>1.8969741344835259E-2</c:v>
                </c:pt>
                <c:pt idx="170">
                  <c:v>1.9100984704212915E-2</c:v>
                </c:pt>
                <c:pt idx="171">
                  <c:v>1.9226300405978173E-2</c:v>
                </c:pt>
                <c:pt idx="172">
                  <c:v>1.9345726733777824E-2</c:v>
                </c:pt>
                <c:pt idx="173">
                  <c:v>1.9459113776113066E-2</c:v>
                </c:pt>
                <c:pt idx="174">
                  <c:v>1.9566307059276207E-2</c:v>
                </c:pt>
                <c:pt idx="175">
                  <c:v>1.9667353917882366E-2</c:v>
                </c:pt>
                <c:pt idx="176">
                  <c:v>1.9762311659767884E-2</c:v>
                </c:pt>
                <c:pt idx="177">
                  <c:v>1.9849211481691605E-2</c:v>
                </c:pt>
                <c:pt idx="178">
                  <c:v>1.9930370875090791E-2</c:v>
                </c:pt>
                <c:pt idx="179">
                  <c:v>2.0005873146585779E-2</c:v>
                </c:pt>
                <c:pt idx="180">
                  <c:v>2.0075809244301458E-2</c:v>
                </c:pt>
                <c:pt idx="181">
                  <c:v>2.0140277120620657E-2</c:v>
                </c:pt>
                <c:pt idx="182">
                  <c:v>2.0199381064003957E-2</c:v>
                </c:pt>
                <c:pt idx="183">
                  <c:v>2.0251552188839915E-2</c:v>
                </c:pt>
                <c:pt idx="184">
                  <c:v>2.029908725028836E-2</c:v>
                </c:pt>
                <c:pt idx="185">
                  <c:v>2.0342104691291611E-2</c:v>
                </c:pt>
                <c:pt idx="186">
                  <c:v>2.0380726367634928E-2</c:v>
                </c:pt>
                <c:pt idx="187">
                  <c:v>2.0415076846592238E-2</c:v>
                </c:pt>
                <c:pt idx="188">
                  <c:v>2.0445282704351357E-2</c:v>
                </c:pt>
                <c:pt idx="189">
                  <c:v>2.0471471832514177E-2</c:v>
                </c:pt>
                <c:pt idx="190">
                  <c:v>2.0494019292000037E-2</c:v>
                </c:pt>
                <c:pt idx="191">
                  <c:v>2.0518235588388341E-2</c:v>
                </c:pt>
                <c:pt idx="192">
                  <c:v>2.054611666999449E-2</c:v>
                </c:pt>
                <c:pt idx="193">
                  <c:v>2.0577733700630457E-2</c:v>
                </c:pt>
                <c:pt idx="194">
                  <c:v>2.0613154774167541E-2</c:v>
                </c:pt>
                <c:pt idx="195">
                  <c:v>2.0652444435627623E-2</c:v>
                </c:pt>
                <c:pt idx="196">
                  <c:v>2.0695663221042479E-2</c:v>
                </c:pt>
                <c:pt idx="197">
                  <c:v>2.076029659262147E-2</c:v>
                </c:pt>
                <c:pt idx="198">
                  <c:v>2.0848206723219471E-2</c:v>
                </c:pt>
                <c:pt idx="199">
                  <c:v>2.0959674600984426E-2</c:v>
                </c:pt>
                <c:pt idx="200">
                  <c:v>2.1094972789073959E-2</c:v>
                </c:pt>
                <c:pt idx="201">
                  <c:v>2.1254364854134736E-2</c:v>
                </c:pt>
                <c:pt idx="202">
                  <c:v>2.143810475315833E-2</c:v>
                </c:pt>
                <c:pt idx="203">
                  <c:v>2.1646436167874625E-2</c:v>
                </c:pt>
                <c:pt idx="204">
                  <c:v>2.1879507431351534E-2</c:v>
                </c:pt>
                <c:pt idx="205">
                  <c:v>2.2158896779848052E-2</c:v>
                </c:pt>
                <c:pt idx="206">
                  <c:v>2.248004737010174E-2</c:v>
                </c:pt>
                <c:pt idx="207">
                  <c:v>2.2843725120890491E-2</c:v>
                </c:pt>
                <c:pt idx="208">
                  <c:v>2.3250701342756565E-2</c:v>
                </c:pt>
                <c:pt idx="209">
                  <c:v>2.3701757335918495E-2</c:v>
                </c:pt>
                <c:pt idx="210">
                  <c:v>2.4197689120113136E-2</c:v>
                </c:pt>
                <c:pt idx="211">
                  <c:v>2.4775883406311851E-2</c:v>
                </c:pt>
                <c:pt idx="212">
                  <c:v>2.5418964458726719E-2</c:v>
                </c:pt>
                <c:pt idx="213">
                  <c:v>2.6128014258573549E-2</c:v>
                </c:pt>
                <c:pt idx="214">
                  <c:v>2.6904159144214901E-2</c:v>
                </c:pt>
                <c:pt idx="215">
                  <c:v>2.7748577360916626E-2</c:v>
                </c:pt>
                <c:pt idx="216">
                  <c:v>2.8662506885252299E-2</c:v>
                </c:pt>
                <c:pt idx="217">
                  <c:v>2.9647253557420768E-2</c:v>
                </c:pt>
                <c:pt idx="218">
                  <c:v>3.0703448681196652E-2</c:v>
                </c:pt>
                <c:pt idx="219">
                  <c:v>3.1863511270933134E-2</c:v>
                </c:pt>
                <c:pt idx="220">
                  <c:v>3.3105914492225774E-2</c:v>
                </c:pt>
                <c:pt idx="221">
                  <c:v>3.443182056348075E-2</c:v>
                </c:pt>
                <c:pt idx="222">
                  <c:v>3.5842448269601271E-2</c:v>
                </c:pt>
                <c:pt idx="223">
                  <c:v>3.7339076094030983E-2</c:v>
                </c:pt>
                <c:pt idx="224">
                  <c:v>3.8923045470477827E-2</c:v>
                </c:pt>
                <c:pt idx="225">
                  <c:v>4.0589584604680568E-2</c:v>
                </c:pt>
                <c:pt idx="226">
                  <c:v>4.2300833452943311E-2</c:v>
                </c:pt>
                <c:pt idx="227">
                  <c:v>4.4057522029090676E-2</c:v>
                </c:pt>
                <c:pt idx="228">
                  <c:v>4.5860438939752092E-2</c:v>
                </c:pt>
                <c:pt idx="229">
                  <c:v>4.7710433060567867E-2</c:v>
                </c:pt>
                <c:pt idx="230">
                  <c:v>4.960841539070153E-2</c:v>
                </c:pt>
                <c:pt idx="231">
                  <c:v>5.1555361129209908E-2</c:v>
                </c:pt>
                <c:pt idx="232">
                  <c:v>5.3551776519662087E-2</c:v>
                </c:pt>
                <c:pt idx="233">
                  <c:v>5.5568122281491897E-2</c:v>
                </c:pt>
                <c:pt idx="234">
                  <c:v>5.7570887018252255E-2</c:v>
                </c:pt>
                <c:pt idx="235">
                  <c:v>5.9560137646521238E-2</c:v>
                </c:pt>
                <c:pt idx="236">
                  <c:v>6.1535990906213658E-2</c:v>
                </c:pt>
                <c:pt idx="237">
                  <c:v>6.3498554475634655E-2</c:v>
                </c:pt>
                <c:pt idx="238">
                  <c:v>6.5447962378259589E-2</c:v>
                </c:pt>
                <c:pt idx="239">
                  <c:v>6.7334174606193148E-2</c:v>
                </c:pt>
                <c:pt idx="240">
                  <c:v>6.9163836333065123E-2</c:v>
                </c:pt>
                <c:pt idx="241">
                  <c:v>7.0936446299308648E-2</c:v>
                </c:pt>
                <c:pt idx="242">
                  <c:v>7.2651485162317023E-2</c:v>
                </c:pt>
                <c:pt idx="243">
                  <c:v>7.430841286019918E-2</c:v>
                </c:pt>
                <c:pt idx="244">
                  <c:v>7.5906665831951631E-2</c:v>
                </c:pt>
                <c:pt idx="245">
                  <c:v>7.7445654144788378E-2</c:v>
                </c:pt>
                <c:pt idx="246">
                  <c:v>7.8925096806020056E-2</c:v>
                </c:pt>
                <c:pt idx="247">
                  <c:v>8.0285062857059289E-2</c:v>
                </c:pt>
                <c:pt idx="248">
                  <c:v>8.1556254261206343E-2</c:v>
                </c:pt>
                <c:pt idx="249">
                  <c:v>8.273676776344413E-2</c:v>
                </c:pt>
                <c:pt idx="250">
                  <c:v>8.3824574392863754E-2</c:v>
                </c:pt>
                <c:pt idx="251">
                  <c:v>8.4817517766044029E-2</c:v>
                </c:pt>
                <c:pt idx="252">
                  <c:v>8.5713312510527703E-2</c:v>
                </c:pt>
                <c:pt idx="253">
                  <c:v>8.6445122395240895E-2</c:v>
                </c:pt>
                <c:pt idx="254">
                  <c:v>8.7064533333345087E-2</c:v>
                </c:pt>
                <c:pt idx="255">
                  <c:v>8.7568654477702498E-2</c:v>
                </c:pt>
                <c:pt idx="256">
                  <c:v>8.7954451007915088E-2</c:v>
                </c:pt>
                <c:pt idx="257">
                  <c:v>8.821874410126597E-2</c:v>
                </c:pt>
                <c:pt idx="258">
                  <c:v>8.8358211331222097E-2</c:v>
                </c:pt>
                <c:pt idx="259">
                  <c:v>8.8369387512595973E-2</c:v>
                </c:pt>
                <c:pt idx="260">
                  <c:v>8.8256377774190584E-2</c:v>
                </c:pt>
                <c:pt idx="261">
                  <c:v>8.7986935746466086E-2</c:v>
                </c:pt>
                <c:pt idx="262">
                  <c:v>8.762055121929703E-2</c:v>
                </c:pt>
                <c:pt idx="263">
                  <c:v>8.7151545488971235E-2</c:v>
                </c:pt>
                <c:pt idx="264">
                  <c:v>8.6574015853543032E-2</c:v>
                </c:pt>
                <c:pt idx="265">
                  <c:v>8.5882313528755888E-2</c:v>
                </c:pt>
                <c:pt idx="266">
                  <c:v>8.5070369653621566E-2</c:v>
                </c:pt>
                <c:pt idx="267">
                  <c:v>8.4158519707723339E-2</c:v>
                </c:pt>
                <c:pt idx="268">
                  <c:v>8.3213889276504499E-2</c:v>
                </c:pt>
                <c:pt idx="269">
                  <c:v>8.2232564622720328E-2</c:v>
                </c:pt>
                <c:pt idx="270">
                  <c:v>8.1210641596642583E-2</c:v>
                </c:pt>
                <c:pt idx="271">
                  <c:v>8.0144246028736474E-2</c:v>
                </c:pt>
                <c:pt idx="272">
                  <c:v>7.9029558329600499E-2</c:v>
                </c:pt>
                <c:pt idx="273">
                  <c:v>7.7862842542978913E-2</c:v>
                </c:pt>
                <c:pt idx="274">
                  <c:v>7.6648152987627477E-2</c:v>
                </c:pt>
                <c:pt idx="275">
                  <c:v>7.5443290888910747E-2</c:v>
                </c:pt>
                <c:pt idx="276">
                  <c:v>7.4288499459293111E-2</c:v>
                </c:pt>
                <c:pt idx="277">
                  <c:v>7.3185531696522393E-2</c:v>
                </c:pt>
                <c:pt idx="278">
                  <c:v>7.2136176439399152E-2</c:v>
                </c:pt>
                <c:pt idx="279">
                  <c:v>7.1142256527408881E-2</c:v>
                </c:pt>
                <c:pt idx="280">
                  <c:v>7.020562686381307E-2</c:v>
                </c:pt>
                <c:pt idx="281">
                  <c:v>6.9370780600093801E-2</c:v>
                </c:pt>
                <c:pt idx="282">
                  <c:v>6.8609891654657543E-2</c:v>
                </c:pt>
                <c:pt idx="283">
                  <c:v>6.7925158629221646E-2</c:v>
                </c:pt>
                <c:pt idx="284">
                  <c:v>6.7318803190548573E-2</c:v>
                </c:pt>
                <c:pt idx="285">
                  <c:v>6.6793067962354805E-2</c:v>
                </c:pt>
                <c:pt idx="286">
                  <c:v>6.6350214660395618E-2</c:v>
                </c:pt>
                <c:pt idx="287">
                  <c:v>6.5992522538063744E-2</c:v>
                </c:pt>
                <c:pt idx="288">
                  <c:v>6.5723324201565542E-2</c:v>
                </c:pt>
                <c:pt idx="289">
                  <c:v>6.5565395157582293E-2</c:v>
                </c:pt>
                <c:pt idx="290">
                  <c:v>6.5462770293422012E-2</c:v>
                </c:pt>
                <c:pt idx="291">
                  <c:v>6.5416497934187884E-2</c:v>
                </c:pt>
                <c:pt idx="292">
                  <c:v>6.5427635145313578E-2</c:v>
                </c:pt>
                <c:pt idx="293">
                  <c:v>6.5497243847288972E-2</c:v>
                </c:pt>
                <c:pt idx="294">
                  <c:v>6.5626386773395856E-2</c:v>
                </c:pt>
                <c:pt idx="295">
                  <c:v>6.5823053979805313E-2</c:v>
                </c:pt>
                <c:pt idx="296">
                  <c:v>6.6041645340968361E-2</c:v>
                </c:pt>
                <c:pt idx="297">
                  <c:v>6.6282940124936268E-2</c:v>
                </c:pt>
                <c:pt idx="298">
                  <c:v>6.6547173675693183E-2</c:v>
                </c:pt>
                <c:pt idx="299">
                  <c:v>6.6834577892623453E-2</c:v>
                </c:pt>
                <c:pt idx="300">
                  <c:v>6.7145378416481202E-2</c:v>
                </c:pt>
                <c:pt idx="301">
                  <c:v>6.7479791537546518E-2</c:v>
                </c:pt>
                <c:pt idx="302">
                  <c:v>6.7843987416171495E-2</c:v>
                </c:pt>
                <c:pt idx="303">
                  <c:v>6.8227375578058497E-2</c:v>
                </c:pt>
                <c:pt idx="304">
                  <c:v>6.8607138655050151E-2</c:v>
                </c:pt>
                <c:pt idx="305">
                  <c:v>6.898172492670758E-2</c:v>
                </c:pt>
                <c:pt idx="306">
                  <c:v>6.934946194709482E-2</c:v>
                </c:pt>
                <c:pt idx="307">
                  <c:v>6.9708547582404246E-2</c:v>
                </c:pt>
                <c:pt idx="308">
                  <c:v>7.0057041664263769E-2</c:v>
                </c:pt>
                <c:pt idx="309">
                  <c:v>7.036537745084967E-2</c:v>
                </c:pt>
                <c:pt idx="310">
                  <c:v>7.0623159272933694E-2</c:v>
                </c:pt>
                <c:pt idx="311">
                  <c:v>7.0827336651041239E-2</c:v>
                </c:pt>
                <c:pt idx="312">
                  <c:v>7.0974729013697155E-2</c:v>
                </c:pt>
                <c:pt idx="313">
                  <c:v>7.106203854341582E-2</c:v>
                </c:pt>
                <c:pt idx="314">
                  <c:v>7.108586720872595E-2</c:v>
                </c:pt>
                <c:pt idx="315">
                  <c:v>7.1042738604060421E-2</c:v>
                </c:pt>
                <c:pt idx="316">
                  <c:v>7.0936440902333309E-2</c:v>
                </c:pt>
                <c:pt idx="317">
                  <c:v>7.0757008615150871E-2</c:v>
                </c:pt>
                <c:pt idx="318">
                  <c:v>7.0521061248937103E-2</c:v>
                </c:pt>
                <c:pt idx="319">
                  <c:v>7.0227737718157657E-2</c:v>
                </c:pt>
                <c:pt idx="320">
                  <c:v>6.9876166990852834E-2</c:v>
                </c:pt>
                <c:pt idx="321">
                  <c:v>6.9465469158576043E-2</c:v>
                </c:pt>
                <c:pt idx="322">
                  <c:v>6.8994757565019993E-2</c:v>
                </c:pt>
                <c:pt idx="323">
                  <c:v>6.8461308680451624E-2</c:v>
                </c:pt>
                <c:pt idx="324">
                  <c:v>6.7893930904621161E-2</c:v>
                </c:pt>
                <c:pt idx="325">
                  <c:v>6.7292077588902474E-2</c:v>
                </c:pt>
                <c:pt idx="326">
                  <c:v>6.6654776124501949E-2</c:v>
                </c:pt>
                <c:pt idx="327">
                  <c:v>6.5981338354464888E-2</c:v>
                </c:pt>
                <c:pt idx="328">
                  <c:v>6.5271418386428068E-2</c:v>
                </c:pt>
                <c:pt idx="329">
                  <c:v>6.4524670684635632E-2</c:v>
                </c:pt>
                <c:pt idx="330">
                  <c:v>6.3745905440963674E-2</c:v>
                </c:pt>
                <c:pt idx="331">
                  <c:v>6.2956182251263648E-2</c:v>
                </c:pt>
                <c:pt idx="332">
                  <c:v>6.2170099587893282E-2</c:v>
                </c:pt>
                <c:pt idx="333">
                  <c:v>6.1385948403739829E-2</c:v>
                </c:pt>
                <c:pt idx="334">
                  <c:v>6.0602023870080568E-2</c:v>
                </c:pt>
                <c:pt idx="335">
                  <c:v>5.9816638072605559E-2</c:v>
                </c:pt>
                <c:pt idx="336">
                  <c:v>5.9028134014861622E-2</c:v>
                </c:pt>
                <c:pt idx="337">
                  <c:v>5.8260902864419054E-2</c:v>
                </c:pt>
                <c:pt idx="338">
                  <c:v>5.7515425827251276E-2</c:v>
                </c:pt>
                <c:pt idx="339">
                  <c:v>5.6790304502496801E-2</c:v>
                </c:pt>
                <c:pt idx="340">
                  <c:v>5.6084165414927653E-2</c:v>
                </c:pt>
                <c:pt idx="341">
                  <c:v>5.5395666324697494E-2</c:v>
                </c:pt>
                <c:pt idx="342">
                  <c:v>5.4723502846101467E-2</c:v>
                </c:pt>
                <c:pt idx="343">
                  <c:v>5.4066415228953467E-2</c:v>
                </c:pt>
                <c:pt idx="344">
                  <c:v>5.3421006351082184E-2</c:v>
                </c:pt>
                <c:pt idx="345">
                  <c:v>5.278717330822303E-2</c:v>
                </c:pt>
                <c:pt idx="346">
                  <c:v>5.2175793124802423E-2</c:v>
                </c:pt>
                <c:pt idx="347">
                  <c:v>5.1590246472726642E-2</c:v>
                </c:pt>
                <c:pt idx="348">
                  <c:v>5.1033717511190284E-2</c:v>
                </c:pt>
                <c:pt idx="349">
                  <c:v>5.050918894005995E-2</c:v>
                </c:pt>
                <c:pt idx="350">
                  <c:v>5.0019442186770791E-2</c:v>
                </c:pt>
                <c:pt idx="351">
                  <c:v>4.9591417898073822E-2</c:v>
                </c:pt>
                <c:pt idx="352">
                  <c:v>4.9201855176685114E-2</c:v>
                </c:pt>
                <c:pt idx="353">
                  <c:v>4.8852980904513642E-2</c:v>
                </c:pt>
                <c:pt idx="354">
                  <c:v>4.8546870311211153E-2</c:v>
                </c:pt>
                <c:pt idx="355">
                  <c:v>4.8285465193120804E-2</c:v>
                </c:pt>
                <c:pt idx="356">
                  <c:v>4.8070560878286712E-2</c:v>
                </c:pt>
                <c:pt idx="357">
                  <c:v>4.7903858667325973E-2</c:v>
                </c:pt>
                <c:pt idx="358">
                  <c:v>4.7782552176023549E-2</c:v>
                </c:pt>
                <c:pt idx="359">
                  <c:v>4.770155945433837E-2</c:v>
                </c:pt>
                <c:pt idx="360">
                  <c:v>4.768316743458479E-2</c:v>
                </c:pt>
                <c:pt idx="361">
                  <c:v>4.7701966953300277E-2</c:v>
                </c:pt>
                <c:pt idx="362">
                  <c:v>4.7756026253515327E-2</c:v>
                </c:pt>
                <c:pt idx="363">
                  <c:v>4.7843419474746886E-2</c:v>
                </c:pt>
                <c:pt idx="364">
                  <c:v>4.7962223325759425E-2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784536"/>
        <c:axId val="411784928"/>
      </c:lineChart>
      <c:dateAx>
        <c:axId val="4117845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1784928"/>
        <c:crosses val="autoZero"/>
        <c:auto val="1"/>
        <c:lblOffset val="100"/>
        <c:baseTimeUnit val="days"/>
        <c:majorUnit val="1"/>
        <c:majorTimeUnit val="months"/>
      </c:dateAx>
      <c:valAx>
        <c:axId val="4117849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1784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33328"/>
        <c:axId val="408532544"/>
      </c:lineChart>
      <c:dateAx>
        <c:axId val="408533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853254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0853254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8533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1.953570509292427E-6</c:v>
                </c:pt>
                <c:pt idx="1">
                  <c:v>2.1650657647950494E-6</c:v>
                </c:pt>
                <c:pt idx="2">
                  <c:v>2.3430195702349753E-6</c:v>
                </c:pt>
                <c:pt idx="3">
                  <c:v>2.4873804173504829E-6</c:v>
                </c:pt>
                <c:pt idx="4">
                  <c:v>2.5980944654544953E-6</c:v>
                </c:pt>
                <c:pt idx="5">
                  <c:v>2.6751064025431346E-6</c:v>
                </c:pt>
                <c:pt idx="6">
                  <c:v>2.7183603064388388E-6</c:v>
                </c:pt>
                <c:pt idx="7">
                  <c:v>2.7278005058742185E-6</c:v>
                </c:pt>
                <c:pt idx="8">
                  <c:v>2.7033724416117273E-6</c:v>
                </c:pt>
                <c:pt idx="9">
                  <c:v>2.6681170269525881E-6</c:v>
                </c:pt>
                <c:pt idx="10">
                  <c:v>2.6220144571039626E-6</c:v>
                </c:pt>
                <c:pt idx="11">
                  <c:v>2.5650462809083045E-6</c:v>
                </c:pt>
                <c:pt idx="12">
                  <c:v>2.4971956747498111E-6</c:v>
                </c:pt>
                <c:pt idx="13">
                  <c:v>2.4184477164658134E-6</c:v>
                </c:pt>
                <c:pt idx="14">
                  <c:v>2.3287896592172173E-6</c:v>
                </c:pt>
                <c:pt idx="15">
                  <c:v>2.2457680165350014E-6</c:v>
                </c:pt>
                <c:pt idx="16">
                  <c:v>2.2033436771520844E-6</c:v>
                </c:pt>
                <c:pt idx="17">
                  <c:v>2.2015505379509591E-6</c:v>
                </c:pt>
                <c:pt idx="18">
                  <c:v>2.2404148908956427E-6</c:v>
                </c:pt>
                <c:pt idx="19">
                  <c:v>2.3199673309158329E-6</c:v>
                </c:pt>
                <c:pt idx="20">
                  <c:v>2.4402376144207363E-6</c:v>
                </c:pt>
                <c:pt idx="21">
                  <c:v>2.6012401395957384E-6</c:v>
                </c:pt>
                <c:pt idx="22">
                  <c:v>2.8029839621374423E-6</c:v>
                </c:pt>
                <c:pt idx="23">
                  <c:v>2.9991111972737052E-6</c:v>
                </c:pt>
                <c:pt idx="24">
                  <c:v>3.1664283314796492E-6</c:v>
                </c:pt>
                <c:pt idx="25">
                  <c:v>3.3049224141305245E-6</c:v>
                </c:pt>
                <c:pt idx="26">
                  <c:v>3.4145846618322565E-6</c:v>
                </c:pt>
                <c:pt idx="27">
                  <c:v>3.495410098547841E-6</c:v>
                </c:pt>
                <c:pt idx="28">
                  <c:v>3.5473971957951964E-6</c:v>
                </c:pt>
                <c:pt idx="29">
                  <c:v>3.5956761041597956E-6</c:v>
                </c:pt>
                <c:pt idx="30">
                  <c:v>3.6226633619506221E-6</c:v>
                </c:pt>
                <c:pt idx="31">
                  <c:v>3.6283638997743138E-6</c:v>
                </c:pt>
                <c:pt idx="32">
                  <c:v>3.6127842862559102E-6</c:v>
                </c:pt>
                <c:pt idx="33">
                  <c:v>3.57593246247793E-6</c:v>
                </c:pt>
                <c:pt idx="34">
                  <c:v>3.5178174764361922E-6</c:v>
                </c:pt>
                <c:pt idx="35">
                  <c:v>3.4384492174923626E-6</c:v>
                </c:pt>
                <c:pt idx="36">
                  <c:v>3.337838150818555E-6</c:v>
                </c:pt>
                <c:pt idx="37">
                  <c:v>3.2391697950532213E-6</c:v>
                </c:pt>
                <c:pt idx="38">
                  <c:v>3.1887944885101952E-6</c:v>
                </c:pt>
                <c:pt idx="39">
                  <c:v>3.1867042738971613E-6</c:v>
                </c:pt>
                <c:pt idx="40">
                  <c:v>3.2328904247161041E-6</c:v>
                </c:pt>
                <c:pt idx="41">
                  <c:v>3.327344049266972E-6</c:v>
                </c:pt>
                <c:pt idx="42">
                  <c:v>3.4700566946298663E-6</c:v>
                </c:pt>
                <c:pt idx="43">
                  <c:v>3.6108131452971251E-6</c:v>
                </c:pt>
                <c:pt idx="44">
                  <c:v>3.7245178896973437E-6</c:v>
                </c:pt>
                <c:pt idx="45">
                  <c:v>3.811183617888874E-6</c:v>
                </c:pt>
                <c:pt idx="46">
                  <c:v>3.8708226627640505E-6</c:v>
                </c:pt>
                <c:pt idx="47">
                  <c:v>3.9034466616455691E-6</c:v>
                </c:pt>
                <c:pt idx="48">
                  <c:v>3.9090662178335221E-6</c:v>
                </c:pt>
                <c:pt idx="49">
                  <c:v>3.8876905621868668E-6</c:v>
                </c:pt>
                <c:pt idx="50">
                  <c:v>3.8393272146812589E-6</c:v>
                </c:pt>
                <c:pt idx="51">
                  <c:v>3.7758482146072579E-6</c:v>
                </c:pt>
                <c:pt idx="52">
                  <c:v>3.6740836803915941E-6</c:v>
                </c:pt>
                <c:pt idx="53">
                  <c:v>3.5340131623046748E-6</c:v>
                </c:pt>
                <c:pt idx="54">
                  <c:v>3.3556346730326095E-6</c:v>
                </c:pt>
                <c:pt idx="55">
                  <c:v>3.1389458004246712E-6</c:v>
                </c:pt>
                <c:pt idx="56">
                  <c:v>2.8839438492594599E-6</c:v>
                </c:pt>
                <c:pt idx="57">
                  <c:v>2.6267083404018544E-6</c:v>
                </c:pt>
                <c:pt idx="58">
                  <c:v>2.4174231778655817E-6</c:v>
                </c:pt>
                <c:pt idx="59">
                  <c:v>2.2560874149557951E-6</c:v>
                </c:pt>
                <c:pt idx="60">
                  <c:v>2.1427006734607572E-6</c:v>
                </c:pt>
                <c:pt idx="61">
                  <c:v>2.0772629662603344E-6</c:v>
                </c:pt>
                <c:pt idx="62">
                  <c:v>2.0597745199313679E-6</c:v>
                </c:pt>
                <c:pt idx="63">
                  <c:v>2.090235597359356E-6</c:v>
                </c:pt>
                <c:pt idx="64">
                  <c:v>2.1686463203417746E-6</c:v>
                </c:pt>
                <c:pt idx="65">
                  <c:v>2.2905366493744951E-6</c:v>
                </c:pt>
                <c:pt idx="66">
                  <c:v>2.4440387705567374E-6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3.3741272466866925E-6</c:v>
                </c:pt>
                <c:pt idx="71">
                  <c:v>3.6636737150997456E-6</c:v>
                </c:pt>
                <c:pt idx="72">
                  <c:v>3.9267503480239161E-6</c:v>
                </c:pt>
                <c:pt idx="73">
                  <c:v>4.1633537306605115E-6</c:v>
                </c:pt>
                <c:pt idx="74">
                  <c:v>4.3734807380300476E-6</c:v>
                </c:pt>
                <c:pt idx="75">
                  <c:v>4.5571286328274195E-6</c:v>
                </c:pt>
                <c:pt idx="76">
                  <c:v>4.7142951632641221E-6</c:v>
                </c:pt>
                <c:pt idx="77">
                  <c:v>4.8449786609246376E-6</c:v>
                </c:pt>
                <c:pt idx="78">
                  <c:v>4.9491783029254549E-6</c:v>
                </c:pt>
                <c:pt idx="79">
                  <c:v>5.0002592090116822E-6</c:v>
                </c:pt>
                <c:pt idx="80">
                  <c:v>5.0027087476007963E-6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4.3044670236098954E-6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3.5919148445592606E-6</c:v>
                </c:pt>
                <c:pt idx="89">
                  <c:v>3.3387206427223192E-6</c:v>
                </c:pt>
                <c:pt idx="90">
                  <c:v>3.077692164702226E-6</c:v>
                </c:pt>
                <c:pt idx="91">
                  <c:v>2.8088325968136672E-6</c:v>
                </c:pt>
                <c:pt idx="92">
                  <c:v>2.5321456335411343E-6</c:v>
                </c:pt>
                <c:pt idx="93">
                  <c:v>2.2668791041272077E-6</c:v>
                </c:pt>
                <c:pt idx="94">
                  <c:v>2.0396637989974456E-6</c:v>
                </c:pt>
                <c:pt idx="95">
                  <c:v>1.8504929285248755E-6</c:v>
                </c:pt>
                <c:pt idx="96">
                  <c:v>1.6993588603540054E-6</c:v>
                </c:pt>
                <c:pt idx="97">
                  <c:v>1.5862529975133079E-6</c:v>
                </c:pt>
                <c:pt idx="98">
                  <c:v>1.511165656509888E-6</c:v>
                </c:pt>
                <c:pt idx="99">
                  <c:v>1.458493092391682E-6</c:v>
                </c:pt>
                <c:pt idx="100">
                  <c:v>1.4094622783048154E-6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1.2497401259607919E-6</c:v>
                </c:pt>
                <c:pt idx="105">
                  <c:v>1.2189048727677318E-6</c:v>
                </c:pt>
                <c:pt idx="106">
                  <c:v>1.1917053148954624E-6</c:v>
                </c:pt>
                <c:pt idx="107">
                  <c:v>1.1681399992304908E-6</c:v>
                </c:pt>
                <c:pt idx="108">
                  <c:v>1.1289998573280194E-6</c:v>
                </c:pt>
                <c:pt idx="109">
                  <c:v>1.0742939653095836E-6</c:v>
                </c:pt>
                <c:pt idx="110">
                  <c:v>1.0040351942635609E-6</c:v>
                </c:pt>
                <c:pt idx="111">
                  <c:v>9.1823648834350401E-7</c:v>
                </c:pt>
                <c:pt idx="112">
                  <c:v>8.1690808123469711E-7</c:v>
                </c:pt>
                <c:pt idx="113">
                  <c:v>7.0783915798697071E-7</c:v>
                </c:pt>
                <c:pt idx="114">
                  <c:v>6.0658957468341469E-7</c:v>
                </c:pt>
                <c:pt idx="115">
                  <c:v>5.1315571981109398E-7</c:v>
                </c:pt>
                <c:pt idx="116">
                  <c:v>4.2753382755690958E-7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2.1749959678332207E-7</c:v>
                </c:pt>
                <c:pt idx="120">
                  <c:v>1.6308421569738951E-7</c:v>
                </c:pt>
                <c:pt idx="121">
                  <c:v>1.1645905846929401E-7</c:v>
                </c:pt>
                <c:pt idx="122">
                  <c:v>7.7619076357969265E-8</c:v>
                </c:pt>
                <c:pt idx="123">
                  <c:v>4.6558947276336062E-8</c:v>
                </c:pt>
                <c:pt idx="124">
                  <c:v>2.3273058784033692E-8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1.8417725890849649E-8</c:v>
                </c:pt>
                <c:pt idx="137">
                  <c:v>3.6821100195329128E-8</c:v>
                </c:pt>
                <c:pt idx="138">
                  <c:v>6.134395331578922E-8</c:v>
                </c:pt>
                <c:pt idx="139">
                  <c:v>9.197814764298436E-8</c:v>
                </c:pt>
                <c:pt idx="140">
                  <c:v>1.2871513651849392E-7</c:v>
                </c:pt>
                <c:pt idx="141">
                  <c:v>1.7904933662690809E-7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6.3389452971663173E-7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1.343347845130702E-6</c:v>
                </c:pt>
                <c:pt idx="152">
                  <c:v>1.4811692730990791E-6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1.8617144056826615E-6</c:v>
                </c:pt>
                <c:pt idx="156">
                  <c:v>1.9524985667578205E-6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2.081636676707725E-6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1.9969585538636513E-6</c:v>
                </c:pt>
                <c:pt idx="163">
                  <c:v>1.9316729672644165E-6</c:v>
                </c:pt>
                <c:pt idx="164">
                  <c:v>1.8635113112426765E-6</c:v>
                </c:pt>
                <c:pt idx="165">
                  <c:v>1.7924801112168777E-6</c:v>
                </c:pt>
                <c:pt idx="166">
                  <c:v>1.718585371130804E-6</c:v>
                </c:pt>
                <c:pt idx="167">
                  <c:v>1.6418325330098322E-6</c:v>
                </c:pt>
                <c:pt idx="168">
                  <c:v>1.5622264365744084E-6</c:v>
                </c:pt>
                <c:pt idx="169">
                  <c:v>1.489968402916073E-6</c:v>
                </c:pt>
                <c:pt idx="170">
                  <c:v>1.4381953136465537E-6</c:v>
                </c:pt>
                <c:pt idx="171">
                  <c:v>1.4068732850101583E-6</c:v>
                </c:pt>
                <c:pt idx="172">
                  <c:v>1.3959702375537565E-6</c:v>
                </c:pt>
                <c:pt idx="173">
                  <c:v>1.4054418023439165E-6</c:v>
                </c:pt>
                <c:pt idx="174">
                  <c:v>1.4352439740240213E-6</c:v>
                </c:pt>
                <c:pt idx="175">
                  <c:v>1.4853467677948971E-6</c:v>
                </c:pt>
                <c:pt idx="176">
                  <c:v>1.5557203329481296E-6</c:v>
                </c:pt>
                <c:pt idx="177">
                  <c:v>1.6332317839746557E-6</c:v>
                </c:pt>
                <c:pt idx="178">
                  <c:v>1.7077214310021596E-6</c:v>
                </c:pt>
                <c:pt idx="179">
                  <c:v>1.7791952220879077E-6</c:v>
                </c:pt>
                <c:pt idx="180">
                  <c:v>1.8476592316065869E-6</c:v>
                </c:pt>
                <c:pt idx="181">
                  <c:v>1.913119642934666E-6</c:v>
                </c:pt>
                <c:pt idx="182">
                  <c:v>1.9755827311497824E-6</c:v>
                </c:pt>
                <c:pt idx="183">
                  <c:v>2.0246799704882936E-6</c:v>
                </c:pt>
                <c:pt idx="184">
                  <c:v>2.0503122341825057E-6</c:v>
                </c:pt>
                <c:pt idx="185">
                  <c:v>2.0525147797205453E-6</c:v>
                </c:pt>
                <c:pt idx="186">
                  <c:v>2.0313220268279997E-6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1.8277007104463907E-6</c:v>
                </c:pt>
                <c:pt idx="190">
                  <c:v>1.7132493758769523E-6</c:v>
                </c:pt>
                <c:pt idx="191">
                  <c:v>1.5828604610629993E-6</c:v>
                </c:pt>
                <c:pt idx="192">
                  <c:v>1.4495633527225124E-6</c:v>
                </c:pt>
                <c:pt idx="193">
                  <c:v>1.3133584624326812E-6</c:v>
                </c:pt>
                <c:pt idx="194">
                  <c:v>1.1742456850469423E-6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6.1684642237354768E-7</c:v>
                </c:pt>
                <c:pt idx="199">
                  <c:v>5.0161361281402749E-7</c:v>
                </c:pt>
                <c:pt idx="200">
                  <c:v>3.9968404663208849E-7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1.2467911118613412E-7</c:v>
                </c:pt>
                <c:pt idx="205">
                  <c:v>8.9035928438088664E-8</c:v>
                </c:pt>
                <c:pt idx="206">
                  <c:v>5.9344396154236784E-8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7.4566945315196598E-9</c:v>
                </c:pt>
                <c:pt idx="220">
                  <c:v>2.2368875529623593E-8</c:v>
                </c:pt>
                <c:pt idx="221">
                  <c:v>4.4735753352622087E-8</c:v>
                </c:pt>
                <c:pt idx="222">
                  <c:v>7.4556933609048869E-8</c:v>
                </c:pt>
                <c:pt idx="223">
                  <c:v>1.1183239398533319E-7</c:v>
                </c:pt>
                <c:pt idx="224">
                  <c:v>1.5656246107312541E-7</c:v>
                </c:pt>
                <c:pt idx="225">
                  <c:v>2.0874778719612551E-7</c:v>
                </c:pt>
                <c:pt idx="226">
                  <c:v>2.6838932723797103E-7</c:v>
                </c:pt>
                <c:pt idx="227">
                  <c:v>3.3548831546880296E-7</c:v>
                </c:pt>
                <c:pt idx="228">
                  <c:v>4.1004624237503021E-7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6.7849191658292622E-7</c:v>
                </c:pt>
                <c:pt idx="232">
                  <c:v>7.8290481628222E-7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1.0813786567910856E-6</c:v>
                </c:pt>
                <c:pt idx="237">
                  <c:v>1.118743515562296E-6</c:v>
                </c:pt>
                <c:pt idx="238">
                  <c:v>1.1412038108491118E-6</c:v>
                </c:pt>
                <c:pt idx="239">
                  <c:v>1.1671582862673512E-6</c:v>
                </c:pt>
                <c:pt idx="240">
                  <c:v>1.1966085649714418E-6</c:v>
                </c:pt>
                <c:pt idx="241">
                  <c:v>1.2295564428354801E-6</c:v>
                </c:pt>
                <c:pt idx="242">
                  <c:v>1.2660038945839068E-6</c:v>
                </c:pt>
                <c:pt idx="243">
                  <c:v>1.3059530799483654E-6</c:v>
                </c:pt>
                <c:pt idx="244">
                  <c:v>1.3494063498186493E-6</c:v>
                </c:pt>
                <c:pt idx="245">
                  <c:v>1.3963662523800006E-6</c:v>
                </c:pt>
                <c:pt idx="246">
                  <c:v>1.4468355392463738E-6</c:v>
                </c:pt>
                <c:pt idx="247">
                  <c:v>1.518791153941523E-6</c:v>
                </c:pt>
                <c:pt idx="248">
                  <c:v>1.6271797593465379E-6</c:v>
                </c:pt>
                <c:pt idx="249">
                  <c:v>1.7720213389591406E-6</c:v>
                </c:pt>
                <c:pt idx="250">
                  <c:v>1.9533379116087045E-6</c:v>
                </c:pt>
                <c:pt idx="251">
                  <c:v>2.1711535956662511E-6</c:v>
                </c:pt>
                <c:pt idx="252">
                  <c:v>2.4254946731839573E-6</c:v>
                </c:pt>
                <c:pt idx="253">
                  <c:v>2.6908714497606449E-6</c:v>
                </c:pt>
                <c:pt idx="254">
                  <c:v>2.9488565727215563E-6</c:v>
                </c:pt>
                <c:pt idx="255">
                  <c:v>3.1994534164207162E-6</c:v>
                </c:pt>
                <c:pt idx="256">
                  <c:v>3.4426650841634012E-6</c:v>
                </c:pt>
                <c:pt idx="257">
                  <c:v>3.6784943949254549E-6</c:v>
                </c:pt>
                <c:pt idx="258">
                  <c:v>3.9069438700982244E-6</c:v>
                </c:pt>
                <c:pt idx="259">
                  <c:v>4.1280157202924656E-6</c:v>
                </c:pt>
                <c:pt idx="260">
                  <c:v>4.3417118320291591E-6</c:v>
                </c:pt>
                <c:pt idx="261">
                  <c:v>4.5269548916306567E-6</c:v>
                </c:pt>
                <c:pt idx="262">
                  <c:v>4.6656936729583585E-6</c:v>
                </c:pt>
                <c:pt idx="263">
                  <c:v>4.757892451456215E-6</c:v>
                </c:pt>
                <c:pt idx="264">
                  <c:v>4.8035126374735895E-6</c:v>
                </c:pt>
                <c:pt idx="265">
                  <c:v>4.8025381978420902E-6</c:v>
                </c:pt>
                <c:pt idx="266">
                  <c:v>4.7549362883837774E-6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4.3828917149384992E-6</c:v>
                </c:pt>
                <c:pt idx="270">
                  <c:v>4.2079268200122179E-6</c:v>
                </c:pt>
                <c:pt idx="271">
                  <c:v>4.0074134058591169E-6</c:v>
                </c:pt>
                <c:pt idx="272">
                  <c:v>3.7813051218954002E-6</c:v>
                </c:pt>
                <c:pt idx="273">
                  <c:v>3.5295545094172917E-6</c:v>
                </c:pt>
                <c:pt idx="274">
                  <c:v>3.2521132816441999E-6</c:v>
                </c:pt>
                <c:pt idx="275">
                  <c:v>2.9837284650238285E-6</c:v>
                </c:pt>
                <c:pt idx="276">
                  <c:v>2.7456079334007053E-6</c:v>
                </c:pt>
                <c:pt idx="277">
                  <c:v>2.5377874236699225E-6</c:v>
                </c:pt>
                <c:pt idx="278">
                  <c:v>2.3603051088738381E-6</c:v>
                </c:pt>
                <c:pt idx="279">
                  <c:v>2.2132012635034686E-6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1.9933661699496851E-6</c:v>
                </c:pt>
                <c:pt idx="283">
                  <c:v>2.011356112850197E-6</c:v>
                </c:pt>
                <c:pt idx="284">
                  <c:v>2.0758172377802519E-6</c:v>
                </c:pt>
                <c:pt idx="285">
                  <c:v>2.1868200141975788E-6</c:v>
                </c:pt>
                <c:pt idx="286">
                  <c:v>2.344434297684399E-6</c:v>
                </c:pt>
                <c:pt idx="287">
                  <c:v>2.5487288222987358E-6</c:v>
                </c:pt>
                <c:pt idx="288">
                  <c:v>2.7997706929333395E-6</c:v>
                </c:pt>
                <c:pt idx="289">
                  <c:v>3.0488792685568288E-6</c:v>
                </c:pt>
                <c:pt idx="290">
                  <c:v>3.2609794553101931E-6</c:v>
                </c:pt>
                <c:pt idx="291">
                  <c:v>3.436007740143038E-6</c:v>
                </c:pt>
                <c:pt idx="292">
                  <c:v>3.5739014219272954E-6</c:v>
                </c:pt>
                <c:pt idx="293">
                  <c:v>3.6745990171631916E-6</c:v>
                </c:pt>
                <c:pt idx="294">
                  <c:v>3.7380406656734912E-6</c:v>
                </c:pt>
                <c:pt idx="295">
                  <c:v>3.7867214032012105E-6</c:v>
                </c:pt>
                <c:pt idx="296">
                  <c:v>3.8090976069998903E-6</c:v>
                </c:pt>
                <c:pt idx="297">
                  <c:v>3.8051616129262548E-6</c:v>
                </c:pt>
                <c:pt idx="298">
                  <c:v>3.7748737260807776E-6</c:v>
                </c:pt>
                <c:pt idx="299">
                  <c:v>3.7181933976093961E-6</c:v>
                </c:pt>
                <c:pt idx="300">
                  <c:v>3.6350794680613559E-6</c:v>
                </c:pt>
                <c:pt idx="301">
                  <c:v>3.52549041073555E-6</c:v>
                </c:pt>
                <c:pt idx="302">
                  <c:v>3.389384575035166E-6</c:v>
                </c:pt>
                <c:pt idx="303">
                  <c:v>3.2512544763628784E-6</c:v>
                </c:pt>
                <c:pt idx="304">
                  <c:v>3.1601855102802912E-6</c:v>
                </c:pt>
                <c:pt idx="305">
                  <c:v>3.1162421791947182E-6</c:v>
                </c:pt>
                <c:pt idx="306">
                  <c:v>3.11948906381147E-6</c:v>
                </c:pt>
                <c:pt idx="307">
                  <c:v>3.1699903888408433E-6</c:v>
                </c:pt>
                <c:pt idx="308">
                  <c:v>3.2678095886790569E-6</c:v>
                </c:pt>
                <c:pt idx="309">
                  <c:v>3.3676070398030423E-6</c:v>
                </c:pt>
                <c:pt idx="310">
                  <c:v>3.4466696264011765E-6</c:v>
                </c:pt>
                <c:pt idx="311">
                  <c:v>3.504964357033967E-6</c:v>
                </c:pt>
                <c:pt idx="312">
                  <c:v>3.5424587585829341E-6</c:v>
                </c:pt>
                <c:pt idx="313">
                  <c:v>3.5591210672126792E-6</c:v>
                </c:pt>
                <c:pt idx="314">
                  <c:v>3.5549204193010991E-6</c:v>
                </c:pt>
                <c:pt idx="315">
                  <c:v>3.529827042414156E-6</c:v>
                </c:pt>
                <c:pt idx="316">
                  <c:v>3.4838124462256386E-6</c:v>
                </c:pt>
                <c:pt idx="317">
                  <c:v>3.4341277718675641E-6</c:v>
                </c:pt>
                <c:pt idx="318">
                  <c:v>3.3560698738010554E-6</c:v>
                </c:pt>
                <c:pt idx="319">
                  <c:v>3.2496063694329146E-6</c:v>
                </c:pt>
                <c:pt idx="320">
                  <c:v>3.1147074964535549E-6</c:v>
                </c:pt>
                <c:pt idx="321">
                  <c:v>2.951346371592147E-6</c:v>
                </c:pt>
                <c:pt idx="322">
                  <c:v>2.7594992493815754E-6</c:v>
                </c:pt>
                <c:pt idx="323">
                  <c:v>2.5619719524558173E-6</c:v>
                </c:pt>
                <c:pt idx="324">
                  <c:v>2.4044328741975665E-6</c:v>
                </c:pt>
                <c:pt idx="325">
                  <c:v>2.2869228697859457E-6</c:v>
                </c:pt>
                <c:pt idx="326">
                  <c:v>2.2094650287225868E-6</c:v>
                </c:pt>
                <c:pt idx="327">
                  <c:v>2.1720879674591168E-6</c:v>
                </c:pt>
                <c:pt idx="328">
                  <c:v>2.1748251288967555E-6</c:v>
                </c:pt>
                <c:pt idx="329">
                  <c:v>2.2177032821088016E-6</c:v>
                </c:pt>
                <c:pt idx="330">
                  <c:v>2.3007433586152091E-6</c:v>
                </c:pt>
                <c:pt idx="331">
                  <c:v>2.3904337840915479E-6</c:v>
                </c:pt>
                <c:pt idx="332">
                  <c:v>2.4694329730022363E-6</c:v>
                </c:pt>
                <c:pt idx="333">
                  <c:v>2.53773864667545E-6</c:v>
                </c:pt>
                <c:pt idx="334">
                  <c:v>2.5953502029212679E-6</c:v>
                </c:pt>
                <c:pt idx="335">
                  <c:v>2.642268494219423E-6</c:v>
                </c:pt>
                <c:pt idx="336">
                  <c:v>2.6784956058744843E-6</c:v>
                </c:pt>
                <c:pt idx="337">
                  <c:v>2.7040346341846794E-6</c:v>
                </c:pt>
                <c:pt idx="338">
                  <c:v>2.6960172192315259E-6</c:v>
                </c:pt>
                <c:pt idx="339">
                  <c:v>2.6544461021499016E-6</c:v>
                </c:pt>
                <c:pt idx="340">
                  <c:v>2.579324656570052E-6</c:v>
                </c:pt>
                <c:pt idx="341">
                  <c:v>2.4706561912279564E-6</c:v>
                </c:pt>
                <c:pt idx="342">
                  <c:v>2.3284432525720287E-6</c:v>
                </c:pt>
                <c:pt idx="343">
                  <c:v>2.1526869273400878E-6</c:v>
                </c:pt>
                <c:pt idx="344">
                  <c:v>1.943386145176029E-6</c:v>
                </c:pt>
                <c:pt idx="345">
                  <c:v>1.7005369812211212E-6</c:v>
                </c:pt>
                <c:pt idx="346">
                  <c:v>1.4738782416091831E-6</c:v>
                </c:pt>
                <c:pt idx="347">
                  <c:v>1.2634081121362669E-6</c:v>
                </c:pt>
                <c:pt idx="348">
                  <c:v>1.0691241714116076E-6</c:v>
                </c:pt>
                <c:pt idx="349">
                  <c:v>8.9102372752216014E-7</c:v>
                </c:pt>
                <c:pt idx="350">
                  <c:v>7.29104154723339E-7</c:v>
                </c:pt>
                <c:pt idx="351">
                  <c:v>5.9956776426485905E-7</c:v>
                </c:pt>
                <c:pt idx="352">
                  <c:v>5.0242084204280529E-7</c:v>
                </c:pt>
                <c:pt idx="353">
                  <c:v>4.3767317302665438E-7</c:v>
                </c:pt>
                <c:pt idx="354">
                  <c:v>4.0533871462721434E-7</c:v>
                </c:pt>
                <c:pt idx="355">
                  <c:v>4.0543627002565422E-7</c:v>
                </c:pt>
                <c:pt idx="356">
                  <c:v>4.3799046420287276E-7</c:v>
                </c:pt>
                <c:pt idx="357">
                  <c:v>5.030308258323437E-7</c:v>
                </c:pt>
                <c:pt idx="358">
                  <c:v>6.0059157006391153E-7</c:v>
                </c:pt>
                <c:pt idx="359">
                  <c:v>7.3071174430800361E-7</c:v>
                </c:pt>
                <c:pt idx="360">
                  <c:v>8.9343439683052071E-7</c:v>
                </c:pt>
                <c:pt idx="361">
                  <c:v>1.0725549132926809E-6</c:v>
                </c:pt>
                <c:pt idx="362">
                  <c:v>1.2681012215496622E-6</c:v>
                </c:pt>
                <c:pt idx="363">
                  <c:v>1.4801011713125309E-6</c:v>
                </c:pt>
                <c:pt idx="364">
                  <c:v>1.7085821184508735E-6</c:v>
                </c:pt>
                <c:pt idx="365" formatCode="0.0000">
                  <c:v>1.953570509292427E-6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3.5780116047720248E-6</c:v>
                </c:pt>
                <c:pt idx="1">
                  <c:v>3.9653702769791992E-6</c:v>
                </c:pt>
                <c:pt idx="2">
                  <c:v>4.2912969727133664E-6</c:v>
                </c:pt>
                <c:pt idx="3">
                  <c:v>4.5556973533482528E-6</c:v>
                </c:pt>
                <c:pt idx="4">
                  <c:v>4.7584728083641673E-6</c:v>
                </c:pt>
                <c:pt idx="5">
                  <c:v>4.8995220324891409E-6</c:v>
                </c:pt>
                <c:pt idx="6">
                  <c:v>4.9787426029033501E-6</c:v>
                </c:pt>
                <c:pt idx="7">
                  <c:v>4.9960325563350202E-6</c:v>
                </c:pt>
                <c:pt idx="8">
                  <c:v>4.951291966221911E-6</c:v>
                </c:pt>
                <c:pt idx="9">
                  <c:v>4.8684687550629273E-6</c:v>
                </c:pt>
                <c:pt idx="10">
                  <c:v>4.747502981117472E-6</c:v>
                </c:pt>
                <c:pt idx="11">
                  <c:v>4.588339032675429E-6</c:v>
                </c:pt>
                <c:pt idx="12">
                  <c:v>4.3909265938258291E-6</c:v>
                </c:pt>
                <c:pt idx="13">
                  <c:v>4.1552216102338326E-6</c:v>
                </c:pt>
                <c:pt idx="14">
                  <c:v>3.8811872548479172E-6</c:v>
                </c:pt>
                <c:pt idx="15">
                  <c:v>3.6009506176049762E-6</c:v>
                </c:pt>
                <c:pt idx="16">
                  <c:v>3.3767062846839987E-6</c:v>
                </c:pt>
                <c:pt idx="17">
                  <c:v>3.2085153721118335E-6</c:v>
                </c:pt>
                <c:pt idx="18">
                  <c:v>3.0964301668664813E-6</c:v>
                </c:pt>
                <c:pt idx="19">
                  <c:v>3.0405096593321355E-6</c:v>
                </c:pt>
                <c:pt idx="20">
                  <c:v>3.0408088245955709E-6</c:v>
                </c:pt>
                <c:pt idx="21">
                  <c:v>3.0973598655646298E-6</c:v>
                </c:pt>
                <c:pt idx="22">
                  <c:v>3.2101867713845281E-6</c:v>
                </c:pt>
                <c:pt idx="23">
                  <c:v>3.3310352335557017E-6</c:v>
                </c:pt>
                <c:pt idx="24">
                  <c:v>3.4357666645152933E-6</c:v>
                </c:pt>
                <c:pt idx="25">
                  <c:v>3.5243752296454771E-6</c:v>
                </c:pt>
                <c:pt idx="26">
                  <c:v>3.5968574768226508E-6</c:v>
                </c:pt>
                <c:pt idx="27">
                  <c:v>3.6532121354883459E-6</c:v>
                </c:pt>
                <c:pt idx="28">
                  <c:v>3.6934399157962975E-6</c:v>
                </c:pt>
                <c:pt idx="29">
                  <c:v>3.7426718990701259E-6</c:v>
                </c:pt>
                <c:pt idx="30">
                  <c:v>3.7687012302464087E-6</c:v>
                </c:pt>
                <c:pt idx="31">
                  <c:v>3.7715331911211202E-6</c:v>
                </c:pt>
                <c:pt idx="32">
                  <c:v>3.7511748317786474E-6</c:v>
                </c:pt>
                <c:pt idx="33">
                  <c:v>3.7076346811652441E-6</c:v>
                </c:pt>
                <c:pt idx="34">
                  <c:v>3.6409224576799089E-6</c:v>
                </c:pt>
                <c:pt idx="35">
                  <c:v>3.5510487797617922E-6</c:v>
                </c:pt>
                <c:pt idx="36">
                  <c:v>3.4380248764693401E-6</c:v>
                </c:pt>
                <c:pt idx="37">
                  <c:v>3.325991121783413E-6</c:v>
                </c:pt>
                <c:pt idx="38">
                  <c:v>3.2632063665683269E-6</c:v>
                </c:pt>
                <c:pt idx="39">
                  <c:v>3.249662614697627E-6</c:v>
                </c:pt>
                <c:pt idx="40">
                  <c:v>3.2853510285442866E-6</c:v>
                </c:pt>
                <c:pt idx="41">
                  <c:v>3.3702625449174826E-6</c:v>
                </c:pt>
                <c:pt idx="42">
                  <c:v>3.5043884909772946E-6</c:v>
                </c:pt>
                <c:pt idx="43">
                  <c:v>3.6375133947992743E-6</c:v>
                </c:pt>
                <c:pt idx="44">
                  <c:v>3.7445414638313506E-6</c:v>
                </c:pt>
                <c:pt idx="45">
                  <c:v>3.8254850945199304E-6</c:v>
                </c:pt>
                <c:pt idx="46">
                  <c:v>3.8803563254467108E-6</c:v>
                </c:pt>
                <c:pt idx="47">
                  <c:v>3.9091665108578416E-6</c:v>
                </c:pt>
                <c:pt idx="48">
                  <c:v>3.911925994143544E-6</c:v>
                </c:pt>
                <c:pt idx="49">
                  <c:v>3.8886437813522867E-6</c:v>
                </c:pt>
                <c:pt idx="50">
                  <c:v>3.8393272146812598E-6</c:v>
                </c:pt>
                <c:pt idx="51">
                  <c:v>3.7758482146072588E-6</c:v>
                </c:pt>
                <c:pt idx="52">
                  <c:v>3.6740836803915941E-6</c:v>
                </c:pt>
                <c:pt idx="53">
                  <c:v>3.5340131623046753E-6</c:v>
                </c:pt>
                <c:pt idx="54">
                  <c:v>3.3556346730326091E-6</c:v>
                </c:pt>
                <c:pt idx="55">
                  <c:v>3.1389458004246704E-6</c:v>
                </c:pt>
                <c:pt idx="56">
                  <c:v>2.8839438492594603E-6</c:v>
                </c:pt>
                <c:pt idx="57">
                  <c:v>2.6267083404018548E-6</c:v>
                </c:pt>
                <c:pt idx="58">
                  <c:v>2.4174231778655822E-6</c:v>
                </c:pt>
                <c:pt idx="59">
                  <c:v>2.2560874149557955E-6</c:v>
                </c:pt>
                <c:pt idx="60">
                  <c:v>2.1427006734607576E-6</c:v>
                </c:pt>
                <c:pt idx="61">
                  <c:v>2.0772629662603344E-6</c:v>
                </c:pt>
                <c:pt idx="62">
                  <c:v>2.0597745199313675E-6</c:v>
                </c:pt>
                <c:pt idx="63">
                  <c:v>2.0902355973593565E-6</c:v>
                </c:pt>
                <c:pt idx="64">
                  <c:v>2.1686463203417742E-6</c:v>
                </c:pt>
                <c:pt idx="65">
                  <c:v>2.2905366493744946E-6</c:v>
                </c:pt>
                <c:pt idx="66">
                  <c:v>2.444038770556737E-6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3.374127246686693E-6</c:v>
                </c:pt>
                <c:pt idx="71">
                  <c:v>3.6636737150997451E-6</c:v>
                </c:pt>
                <c:pt idx="72">
                  <c:v>3.926750348023917E-6</c:v>
                </c:pt>
                <c:pt idx="73">
                  <c:v>4.1633537306605124E-6</c:v>
                </c:pt>
                <c:pt idx="74">
                  <c:v>4.3734807380300476E-6</c:v>
                </c:pt>
                <c:pt idx="75">
                  <c:v>4.5571286328274204E-6</c:v>
                </c:pt>
                <c:pt idx="76">
                  <c:v>4.7142951632641221E-6</c:v>
                </c:pt>
                <c:pt idx="77">
                  <c:v>4.8449786609246359E-6</c:v>
                </c:pt>
                <c:pt idx="78">
                  <c:v>4.9491783029254557E-6</c:v>
                </c:pt>
                <c:pt idx="79">
                  <c:v>5.0002592090116822E-6</c:v>
                </c:pt>
                <c:pt idx="80">
                  <c:v>5.002708747600798E-6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4.3044670236098946E-6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3.5919148445592594E-6</c:v>
                </c:pt>
                <c:pt idx="89">
                  <c:v>3.3387206427223188E-6</c:v>
                </c:pt>
                <c:pt idx="90">
                  <c:v>3.0776921647022256E-6</c:v>
                </c:pt>
                <c:pt idx="91">
                  <c:v>2.8088325968136672E-6</c:v>
                </c:pt>
                <c:pt idx="92">
                  <c:v>2.5321456335411339E-6</c:v>
                </c:pt>
                <c:pt idx="93">
                  <c:v>2.2668791041272077E-6</c:v>
                </c:pt>
                <c:pt idx="94">
                  <c:v>2.039663798997446E-6</c:v>
                </c:pt>
                <c:pt idx="95">
                  <c:v>1.8504929285248757E-6</c:v>
                </c:pt>
                <c:pt idx="96">
                  <c:v>1.699358860354006E-6</c:v>
                </c:pt>
                <c:pt idx="97">
                  <c:v>1.5862529975133079E-6</c:v>
                </c:pt>
                <c:pt idx="98">
                  <c:v>1.5111656565098884E-6</c:v>
                </c:pt>
                <c:pt idx="99">
                  <c:v>1.4584930923916818E-6</c:v>
                </c:pt>
                <c:pt idx="100">
                  <c:v>1.4094622783048156E-6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1.2497401259607916E-6</c:v>
                </c:pt>
                <c:pt idx="105">
                  <c:v>1.2189048727677316E-6</c:v>
                </c:pt>
                <c:pt idx="106">
                  <c:v>1.1917053148954627E-6</c:v>
                </c:pt>
                <c:pt idx="107">
                  <c:v>1.1681399992304908E-6</c:v>
                </c:pt>
                <c:pt idx="108">
                  <c:v>1.1289998573280191E-6</c:v>
                </c:pt>
                <c:pt idx="109">
                  <c:v>1.0742939653095838E-6</c:v>
                </c:pt>
                <c:pt idx="110">
                  <c:v>1.0040351942635609E-6</c:v>
                </c:pt>
                <c:pt idx="111">
                  <c:v>9.1823648834350411E-7</c:v>
                </c:pt>
                <c:pt idx="112">
                  <c:v>8.16908081234697E-7</c:v>
                </c:pt>
                <c:pt idx="113">
                  <c:v>7.0783915798697071E-7</c:v>
                </c:pt>
                <c:pt idx="114">
                  <c:v>6.0658957468341458E-7</c:v>
                </c:pt>
                <c:pt idx="115">
                  <c:v>5.1315571981109409E-7</c:v>
                </c:pt>
                <c:pt idx="116">
                  <c:v>4.2753382755690953E-7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2.1749959678332204E-7</c:v>
                </c:pt>
                <c:pt idx="120">
                  <c:v>1.6308421569738951E-7</c:v>
                </c:pt>
                <c:pt idx="121">
                  <c:v>1.1645905846929399E-7</c:v>
                </c:pt>
                <c:pt idx="122">
                  <c:v>7.7619076357969252E-8</c:v>
                </c:pt>
                <c:pt idx="123">
                  <c:v>4.6558947276336068E-8</c:v>
                </c:pt>
                <c:pt idx="124">
                  <c:v>2.3273058784033689E-8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1.8417725890849642E-8</c:v>
                </c:pt>
                <c:pt idx="137">
                  <c:v>3.6821100195329128E-8</c:v>
                </c:pt>
                <c:pt idx="138">
                  <c:v>6.1343953315789233E-8</c:v>
                </c:pt>
                <c:pt idx="139">
                  <c:v>9.197814764298436E-8</c:v>
                </c:pt>
                <c:pt idx="140">
                  <c:v>1.287151365184939E-7</c:v>
                </c:pt>
                <c:pt idx="141">
                  <c:v>1.7904933662690807E-7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6.3389452971663184E-7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1.3433478451307018E-6</c:v>
                </c:pt>
                <c:pt idx="152">
                  <c:v>1.4811692730990793E-6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1.8617144056826611E-6</c:v>
                </c:pt>
                <c:pt idx="156">
                  <c:v>1.9524985667578201E-6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2.0816366767077246E-6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1.9969585538636509E-6</c:v>
                </c:pt>
                <c:pt idx="163">
                  <c:v>1.9316729672644165E-6</c:v>
                </c:pt>
                <c:pt idx="164">
                  <c:v>1.8635113112426761E-6</c:v>
                </c:pt>
                <c:pt idx="165">
                  <c:v>1.7924801112168781E-6</c:v>
                </c:pt>
                <c:pt idx="166">
                  <c:v>1.718585371130804E-6</c:v>
                </c:pt>
                <c:pt idx="167">
                  <c:v>1.6418325330098316E-6</c:v>
                </c:pt>
                <c:pt idx="168">
                  <c:v>1.5622264365744084E-6</c:v>
                </c:pt>
                <c:pt idx="169">
                  <c:v>1.4899684029160728E-6</c:v>
                </c:pt>
                <c:pt idx="170">
                  <c:v>1.4381953136465535E-6</c:v>
                </c:pt>
                <c:pt idx="171">
                  <c:v>1.406873285010158E-6</c:v>
                </c:pt>
                <c:pt idx="172">
                  <c:v>1.3959702375537562E-6</c:v>
                </c:pt>
                <c:pt idx="173">
                  <c:v>1.4054418023439165E-6</c:v>
                </c:pt>
                <c:pt idx="174">
                  <c:v>1.4352439740240211E-6</c:v>
                </c:pt>
                <c:pt idx="175">
                  <c:v>1.4853467677948969E-6</c:v>
                </c:pt>
                <c:pt idx="176">
                  <c:v>1.5557203329481296E-6</c:v>
                </c:pt>
                <c:pt idx="177">
                  <c:v>1.6332317839746559E-6</c:v>
                </c:pt>
                <c:pt idx="178">
                  <c:v>1.7077214310021592E-6</c:v>
                </c:pt>
                <c:pt idx="179">
                  <c:v>1.7791952220879083E-6</c:v>
                </c:pt>
                <c:pt idx="180">
                  <c:v>1.8476592316065873E-6</c:v>
                </c:pt>
                <c:pt idx="181">
                  <c:v>1.9131196429346664E-6</c:v>
                </c:pt>
                <c:pt idx="182">
                  <c:v>1.9755827311497829E-6</c:v>
                </c:pt>
                <c:pt idx="183">
                  <c:v>2.024679970488294E-6</c:v>
                </c:pt>
                <c:pt idx="184">
                  <c:v>2.0503122341825057E-6</c:v>
                </c:pt>
                <c:pt idx="185">
                  <c:v>2.0525147797205457E-6</c:v>
                </c:pt>
                <c:pt idx="186">
                  <c:v>2.0313220268279993E-6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1.8277007104463905E-6</c:v>
                </c:pt>
                <c:pt idx="190">
                  <c:v>1.7132493758769521E-6</c:v>
                </c:pt>
                <c:pt idx="191">
                  <c:v>1.5828604610629997E-6</c:v>
                </c:pt>
                <c:pt idx="192">
                  <c:v>1.4495633527225122E-6</c:v>
                </c:pt>
                <c:pt idx="193">
                  <c:v>1.313358462432681E-6</c:v>
                </c:pt>
                <c:pt idx="194">
                  <c:v>1.1742456850469425E-6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6.1684642237354758E-7</c:v>
                </c:pt>
                <c:pt idx="199">
                  <c:v>5.0161361281402739E-7</c:v>
                </c:pt>
                <c:pt idx="200">
                  <c:v>3.9968404663208844E-7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1.2467911118613415E-7</c:v>
                </c:pt>
                <c:pt idx="205">
                  <c:v>8.9035928438088664E-8</c:v>
                </c:pt>
                <c:pt idx="206">
                  <c:v>5.9344396154236798E-8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7.4566945315196614E-9</c:v>
                </c:pt>
                <c:pt idx="220">
                  <c:v>2.2368875529623589E-8</c:v>
                </c:pt>
                <c:pt idx="221">
                  <c:v>4.4735753352622087E-8</c:v>
                </c:pt>
                <c:pt idx="222">
                  <c:v>7.4556933609048882E-8</c:v>
                </c:pt>
                <c:pt idx="223">
                  <c:v>1.1183239398533318E-7</c:v>
                </c:pt>
                <c:pt idx="224">
                  <c:v>1.5656246107312539E-7</c:v>
                </c:pt>
                <c:pt idx="225">
                  <c:v>2.0874778719612551E-7</c:v>
                </c:pt>
                <c:pt idx="226">
                  <c:v>2.6838932723797108E-7</c:v>
                </c:pt>
                <c:pt idx="227">
                  <c:v>3.3548831546880296E-7</c:v>
                </c:pt>
                <c:pt idx="228">
                  <c:v>4.1004624237503016E-7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6.7849191658292633E-7</c:v>
                </c:pt>
                <c:pt idx="232">
                  <c:v>7.8290481628221989E-7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1.0813786567910854E-6</c:v>
                </c:pt>
                <c:pt idx="237">
                  <c:v>1.1187435155622958E-6</c:v>
                </c:pt>
                <c:pt idx="238">
                  <c:v>1.1412038108491118E-6</c:v>
                </c:pt>
                <c:pt idx="239">
                  <c:v>1.1671582862673515E-6</c:v>
                </c:pt>
                <c:pt idx="240">
                  <c:v>1.1966085649714414E-6</c:v>
                </c:pt>
                <c:pt idx="241">
                  <c:v>1.2295564428354799E-6</c:v>
                </c:pt>
                <c:pt idx="242">
                  <c:v>1.2660038945839068E-6</c:v>
                </c:pt>
                <c:pt idx="243">
                  <c:v>1.305953079948365E-6</c:v>
                </c:pt>
                <c:pt idx="244">
                  <c:v>1.3494063498186491E-6</c:v>
                </c:pt>
                <c:pt idx="245">
                  <c:v>1.3963662523800009E-6</c:v>
                </c:pt>
                <c:pt idx="246">
                  <c:v>1.4468355392463743E-6</c:v>
                </c:pt>
                <c:pt idx="247">
                  <c:v>1.5187911539415228E-6</c:v>
                </c:pt>
                <c:pt idx="248">
                  <c:v>1.6271797593465377E-6</c:v>
                </c:pt>
                <c:pt idx="249">
                  <c:v>1.7720213389591403E-6</c:v>
                </c:pt>
                <c:pt idx="250">
                  <c:v>1.953337911608705E-6</c:v>
                </c:pt>
                <c:pt idx="251">
                  <c:v>2.1711535956662515E-6</c:v>
                </c:pt>
                <c:pt idx="252">
                  <c:v>2.4254946731839577E-6</c:v>
                </c:pt>
                <c:pt idx="253">
                  <c:v>2.6908714497606445E-6</c:v>
                </c:pt>
                <c:pt idx="254">
                  <c:v>2.9488565727215559E-6</c:v>
                </c:pt>
                <c:pt idx="255">
                  <c:v>3.1994534164207175E-6</c:v>
                </c:pt>
                <c:pt idx="256">
                  <c:v>3.442665084163402E-6</c:v>
                </c:pt>
                <c:pt idx="257">
                  <c:v>3.6784943949254549E-6</c:v>
                </c:pt>
                <c:pt idx="258">
                  <c:v>3.9069438700982252E-6</c:v>
                </c:pt>
                <c:pt idx="259">
                  <c:v>4.1280157202924656E-6</c:v>
                </c:pt>
                <c:pt idx="260">
                  <c:v>4.3417118320291583E-6</c:v>
                </c:pt>
                <c:pt idx="261">
                  <c:v>4.5269548916306558E-6</c:v>
                </c:pt>
                <c:pt idx="262">
                  <c:v>4.6656936729583593E-6</c:v>
                </c:pt>
                <c:pt idx="263">
                  <c:v>4.7578924514562141E-6</c:v>
                </c:pt>
                <c:pt idx="264">
                  <c:v>4.8035126374735887E-6</c:v>
                </c:pt>
                <c:pt idx="265">
                  <c:v>4.8025381978420902E-6</c:v>
                </c:pt>
                <c:pt idx="266">
                  <c:v>4.7549362883837766E-6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4.3828917149385E-6</c:v>
                </c:pt>
                <c:pt idx="270">
                  <c:v>4.2079268200122196E-6</c:v>
                </c:pt>
                <c:pt idx="271">
                  <c:v>4.0074134058591161E-6</c:v>
                </c:pt>
                <c:pt idx="272">
                  <c:v>3.7813051218954006E-6</c:v>
                </c:pt>
                <c:pt idx="273">
                  <c:v>3.5295545094172917E-6</c:v>
                </c:pt>
                <c:pt idx="274">
                  <c:v>3.252113281644199E-6</c:v>
                </c:pt>
                <c:pt idx="275">
                  <c:v>2.9837284650238289E-6</c:v>
                </c:pt>
                <c:pt idx="276">
                  <c:v>2.7456079334007058E-6</c:v>
                </c:pt>
                <c:pt idx="277">
                  <c:v>2.5377874236699225E-6</c:v>
                </c:pt>
                <c:pt idx="278">
                  <c:v>2.3603051088738373E-6</c:v>
                </c:pt>
                <c:pt idx="279">
                  <c:v>2.2132012635034682E-6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1.9933661699496843E-6</c:v>
                </c:pt>
                <c:pt idx="283">
                  <c:v>2.0113561128501961E-6</c:v>
                </c:pt>
                <c:pt idx="284">
                  <c:v>2.075817237780251E-6</c:v>
                </c:pt>
                <c:pt idx="285">
                  <c:v>2.1868200141975793E-6</c:v>
                </c:pt>
                <c:pt idx="286">
                  <c:v>2.344434297684399E-6</c:v>
                </c:pt>
                <c:pt idx="287">
                  <c:v>2.548728822298735E-6</c:v>
                </c:pt>
                <c:pt idx="288">
                  <c:v>2.7997706929333399E-6</c:v>
                </c:pt>
                <c:pt idx="289">
                  <c:v>3.0488792685568284E-6</c:v>
                </c:pt>
                <c:pt idx="290">
                  <c:v>3.2609794553101931E-6</c:v>
                </c:pt>
                <c:pt idx="291">
                  <c:v>3.4360077401430384E-6</c:v>
                </c:pt>
                <c:pt idx="292">
                  <c:v>3.573901421927295E-6</c:v>
                </c:pt>
                <c:pt idx="293">
                  <c:v>3.6745990171631924E-6</c:v>
                </c:pt>
                <c:pt idx="294">
                  <c:v>3.7380406656734908E-6</c:v>
                </c:pt>
                <c:pt idx="295">
                  <c:v>3.7876498658342058E-6</c:v>
                </c:pt>
                <c:pt idx="296">
                  <c:v>3.811884248742966E-6</c:v>
                </c:pt>
                <c:pt idx="297">
                  <c:v>3.8107374418130999E-6</c:v>
                </c:pt>
                <c:pt idx="298">
                  <c:v>3.7841710708339454E-6</c:v>
                </c:pt>
                <c:pt idx="299">
                  <c:v>3.7321459281923014E-6</c:v>
                </c:pt>
                <c:pt idx="300">
                  <c:v>3.6546222076500342E-6</c:v>
                </c:pt>
                <c:pt idx="301">
                  <c:v>3.5515597391101513E-6</c:v>
                </c:pt>
                <c:pt idx="302">
                  <c:v>3.4229182233912022E-6</c:v>
                </c:pt>
                <c:pt idx="303">
                  <c:v>3.2931915135421944E-6</c:v>
                </c:pt>
                <c:pt idx="304">
                  <c:v>3.2114663204218646E-6</c:v>
                </c:pt>
                <c:pt idx="305">
                  <c:v>3.1778084308050686E-6</c:v>
                </c:pt>
                <c:pt idx="306">
                  <c:v>3.1922836702548809E-6</c:v>
                </c:pt>
                <c:pt idx="307">
                  <c:v>3.2549574602495198E-6</c:v>
                </c:pt>
                <c:pt idx="308">
                  <c:v>3.3658943752825362E-6</c:v>
                </c:pt>
                <c:pt idx="309">
                  <c:v>3.4778867195633887E-6</c:v>
                </c:pt>
                <c:pt idx="310">
                  <c:v>3.5672848096941003E-6</c:v>
                </c:pt>
                <c:pt idx="311">
                  <c:v>3.6340528079722876E-6</c:v>
                </c:pt>
                <c:pt idx="312">
                  <c:v>3.6781554294185336E-6</c:v>
                </c:pt>
                <c:pt idx="313">
                  <c:v>3.6995581498994578E-6</c:v>
                </c:pt>
                <c:pt idx="314">
                  <c:v>3.6982274142177778E-6</c:v>
                </c:pt>
                <c:pt idx="315">
                  <c:v>3.6741308442486361E-6</c:v>
                </c:pt>
                <c:pt idx="316">
                  <c:v>3.6272374470187696E-6</c:v>
                </c:pt>
                <c:pt idx="317">
                  <c:v>3.5891631875230249E-6</c:v>
                </c:pt>
                <c:pt idx="318">
                  <c:v>3.535219130236222E-6</c:v>
                </c:pt>
                <c:pt idx="319">
                  <c:v>3.4653860997038272E-6</c:v>
                </c:pt>
                <c:pt idx="320">
                  <c:v>3.3796464235873993E-6</c:v>
                </c:pt>
                <c:pt idx="321">
                  <c:v>3.2779840771282412E-6</c:v>
                </c:pt>
                <c:pt idx="322">
                  <c:v>3.1603848276231761E-6</c:v>
                </c:pt>
                <c:pt idx="323">
                  <c:v>3.0506022805999537E-6</c:v>
                </c:pt>
                <c:pt idx="324">
                  <c:v>2.9961921162104669E-6</c:v>
                </c:pt>
                <c:pt idx="325">
                  <c:v>2.9972021515435742E-6</c:v>
                </c:pt>
                <c:pt idx="326">
                  <c:v>3.053655015137911E-6</c:v>
                </c:pt>
                <c:pt idx="327">
                  <c:v>3.1655769481713192E-6</c:v>
                </c:pt>
                <c:pt idx="328">
                  <c:v>3.333000546844542E-6</c:v>
                </c:pt>
                <c:pt idx="329">
                  <c:v>3.5559505454600054E-6</c:v>
                </c:pt>
                <c:pt idx="330">
                  <c:v>3.8344449722156852E-6</c:v>
                </c:pt>
                <c:pt idx="331">
                  <c:v>4.1070898700284729E-6</c:v>
                </c:pt>
                <c:pt idx="332">
                  <c:v>4.3421102408854063E-6</c:v>
                </c:pt>
                <c:pt idx="333">
                  <c:v>4.5394913042842432E-6</c:v>
                </c:pt>
                <c:pt idx="334">
                  <c:v>4.6992238322826336E-6</c:v>
                </c:pt>
                <c:pt idx="335">
                  <c:v>4.8213033673740039E-6</c:v>
                </c:pt>
                <c:pt idx="336">
                  <c:v>4.9057294403061706E-6</c:v>
                </c:pt>
                <c:pt idx="337">
                  <c:v>4.9525047879241969E-6</c:v>
                </c:pt>
                <c:pt idx="338">
                  <c:v>4.9378206986598462E-6</c:v>
                </c:pt>
                <c:pt idx="339">
                  <c:v>4.8616821929678962E-6</c:v>
                </c:pt>
                <c:pt idx="340">
                  <c:v>4.7240954497336806E-6</c:v>
                </c:pt>
                <c:pt idx="341">
                  <c:v>4.5250665289871176E-6</c:v>
                </c:pt>
                <c:pt idx="342">
                  <c:v>4.2646000946100233E-6</c:v>
                </c:pt>
                <c:pt idx="343">
                  <c:v>3.9426981369889808E-6</c:v>
                </c:pt>
                <c:pt idx="344">
                  <c:v>3.5593586957409115E-6</c:v>
                </c:pt>
                <c:pt idx="345">
                  <c:v>3.1145745823921895E-6</c:v>
                </c:pt>
                <c:pt idx="346">
                  <c:v>2.6994436225435728E-6</c:v>
                </c:pt>
                <c:pt idx="347">
                  <c:v>2.313962493436684E-6</c:v>
                </c:pt>
                <c:pt idx="348">
                  <c:v>1.9581267602358127E-6</c:v>
                </c:pt>
                <c:pt idx="349">
                  <c:v>1.6319314926371539E-6</c:v>
                </c:pt>
                <c:pt idx="350">
                  <c:v>1.335371881526036E-6</c:v>
                </c:pt>
                <c:pt idx="351">
                  <c:v>1.0981228515595708E-6</c:v>
                </c:pt>
                <c:pt idx="352">
                  <c:v>9.2019591550836599E-7</c:v>
                </c:pt>
                <c:pt idx="353">
                  <c:v>8.0160899478051618E-7</c:v>
                </c:pt>
                <c:pt idx="354">
                  <c:v>7.4238765271126169E-7</c:v>
                </c:pt>
                <c:pt idx="355">
                  <c:v>7.425663277813785E-7</c:v>
                </c:pt>
                <c:pt idx="356">
                  <c:v>8.0219012123855844E-7</c:v>
                </c:pt>
                <c:pt idx="357">
                  <c:v>9.2131311556196507E-7</c:v>
                </c:pt>
                <c:pt idx="358">
                  <c:v>1.0999979766255045E-6</c:v>
                </c:pt>
                <c:pt idx="359">
                  <c:v>1.3383162207051341E-6</c:v>
                </c:pt>
                <c:pt idx="360">
                  <c:v>1.636346691740311E-6</c:v>
                </c:pt>
                <c:pt idx="361">
                  <c:v>1.9644102469106315E-6</c:v>
                </c:pt>
                <c:pt idx="362">
                  <c:v>2.3225580367578597E-6</c:v>
                </c:pt>
                <c:pt idx="363">
                  <c:v>2.7108410687009293E-6</c:v>
                </c:pt>
                <c:pt idx="364">
                  <c:v>3.1293094456761687E-6</c:v>
                </c:pt>
                <c:pt idx="365">
                  <c:v>3.5780116047720248E-6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3.347594678828418E-5</c:v>
                </c:pt>
                <c:pt idx="1">
                  <c:v>3.3780887615079431E-5</c:v>
                </c:pt>
                <c:pt idx="2">
                  <c:v>3.3820947572776935E-5</c:v>
                </c:pt>
                <c:pt idx="3">
                  <c:v>3.3595661307667704E-5</c:v>
                </c:pt>
                <c:pt idx="4">
                  <c:v>3.3104559078516508E-5</c:v>
                </c:pt>
                <c:pt idx="5">
                  <c:v>3.2347173526101725E-5</c:v>
                </c:pt>
                <c:pt idx="6">
                  <c:v>3.1323046443172826E-5</c:v>
                </c:pt>
                <c:pt idx="7">
                  <c:v>3.0031735543662329E-5</c:v>
                </c:pt>
                <c:pt idx="8">
                  <c:v>2.8472821232378743E-5</c:v>
                </c:pt>
                <c:pt idx="9">
                  <c:v>2.6746686276671024E-5</c:v>
                </c:pt>
                <c:pt idx="10">
                  <c:v>2.4929122122068878E-5</c:v>
                </c:pt>
                <c:pt idx="11">
                  <c:v>2.3020033003633385E-5</c:v>
                </c:pt>
                <c:pt idx="12">
                  <c:v>2.101935128077421E-5</c:v>
                </c:pt>
                <c:pt idx="13">
                  <c:v>1.8927039712471796E-5</c:v>
                </c:pt>
                <c:pt idx="14">
                  <c:v>1.6743093732189222E-5</c:v>
                </c:pt>
                <c:pt idx="15">
                  <c:v>1.4596870870519448E-5</c:v>
                </c:pt>
                <c:pt idx="16">
                  <c:v>1.2679294419007884E-5</c:v>
                </c:pt>
                <c:pt idx="17">
                  <c:v>1.0990708612727579E-5</c:v>
                </c:pt>
                <c:pt idx="18">
                  <c:v>9.5314316756163534E-6</c:v>
                </c:pt>
                <c:pt idx="19">
                  <c:v>8.3017962836761754E-6</c:v>
                </c:pt>
                <c:pt idx="20">
                  <c:v>7.3020935081470277E-6</c:v>
                </c:pt>
                <c:pt idx="21">
                  <c:v>6.5325254446248741E-6</c:v>
                </c:pt>
                <c:pt idx="22">
                  <c:v>5.9932555537388845E-6</c:v>
                </c:pt>
                <c:pt idx="23">
                  <c:v>5.6220515947342855E-6</c:v>
                </c:pt>
                <c:pt idx="24">
                  <c:v>5.3178314944277959E-6</c:v>
                </c:pt>
                <c:pt idx="25">
                  <c:v>5.0806361069344379E-6</c:v>
                </c:pt>
                <c:pt idx="26">
                  <c:v>4.9104969879392122E-6</c:v>
                </c:pt>
                <c:pt idx="27">
                  <c:v>4.8074372343977024E-6</c:v>
                </c:pt>
                <c:pt idx="28">
                  <c:v>4.7714723243462577E-6</c:v>
                </c:pt>
                <c:pt idx="29">
                  <c:v>4.8277395479930309E-6</c:v>
                </c:pt>
                <c:pt idx="30">
                  <c:v>4.8466978253332632E-6</c:v>
                </c:pt>
                <c:pt idx="31">
                  <c:v>4.8283550305104898E-6</c:v>
                </c:pt>
                <c:pt idx="32">
                  <c:v>4.7727217675608365E-6</c:v>
                </c:pt>
                <c:pt idx="33">
                  <c:v>4.6798109048194606E-6</c:v>
                </c:pt>
                <c:pt idx="34">
                  <c:v>4.5496371093493743E-6</c:v>
                </c:pt>
                <c:pt idx="35">
                  <c:v>4.3822163813654221E-6</c:v>
                </c:pt>
                <c:pt idx="36">
                  <c:v>4.1775655886475005E-6</c:v>
                </c:pt>
                <c:pt idx="37">
                  <c:v>3.9668734880372496E-6</c:v>
                </c:pt>
                <c:pt idx="38">
                  <c:v>3.8124868519436339E-6</c:v>
                </c:pt>
                <c:pt idx="39">
                  <c:v>3.7143973975811867E-6</c:v>
                </c:pt>
                <c:pt idx="40">
                  <c:v>3.6725954670103401E-6</c:v>
                </c:pt>
                <c:pt idx="41">
                  <c:v>3.6870707311599245E-6</c:v>
                </c:pt>
                <c:pt idx="42">
                  <c:v>3.7578128938231656E-6</c:v>
                </c:pt>
                <c:pt idx="43">
                  <c:v>3.8346045903033687E-6</c:v>
                </c:pt>
                <c:pt idx="44">
                  <c:v>3.8923479539549201E-6</c:v>
                </c:pt>
                <c:pt idx="45">
                  <c:v>3.9310532138913251E-6</c:v>
                </c:pt>
                <c:pt idx="46">
                  <c:v>3.9507302362038708E-6</c:v>
                </c:pt>
                <c:pt idx="47">
                  <c:v>3.9513882855741771E-6</c:v>
                </c:pt>
                <c:pt idx="48">
                  <c:v>3.9330357868356042E-6</c:v>
                </c:pt>
                <c:pt idx="49">
                  <c:v>3.8956800865701453E-6</c:v>
                </c:pt>
                <c:pt idx="50">
                  <c:v>3.8393272146812598E-6</c:v>
                </c:pt>
                <c:pt idx="51">
                  <c:v>3.7758482146072588E-6</c:v>
                </c:pt>
                <c:pt idx="52">
                  <c:v>3.6740836803915941E-6</c:v>
                </c:pt>
                <c:pt idx="53">
                  <c:v>3.5340131623046753E-6</c:v>
                </c:pt>
                <c:pt idx="54">
                  <c:v>3.3556346730326091E-6</c:v>
                </c:pt>
                <c:pt idx="55">
                  <c:v>3.1389458004246704E-6</c:v>
                </c:pt>
                <c:pt idx="56">
                  <c:v>2.8839438492594603E-6</c:v>
                </c:pt>
                <c:pt idx="57">
                  <c:v>2.6267083404018548E-6</c:v>
                </c:pt>
                <c:pt idx="58">
                  <c:v>2.4174231778655822E-6</c:v>
                </c:pt>
                <c:pt idx="59">
                  <c:v>2.2560874149557955E-6</c:v>
                </c:pt>
                <c:pt idx="60">
                  <c:v>2.1427006734607576E-6</c:v>
                </c:pt>
                <c:pt idx="61">
                  <c:v>2.0772629662603344E-6</c:v>
                </c:pt>
                <c:pt idx="62">
                  <c:v>2.0597745199313675E-6</c:v>
                </c:pt>
                <c:pt idx="63">
                  <c:v>2.0902355973593565E-6</c:v>
                </c:pt>
                <c:pt idx="64">
                  <c:v>2.1686463203417742E-6</c:v>
                </c:pt>
                <c:pt idx="65">
                  <c:v>2.2905366493744946E-6</c:v>
                </c:pt>
                <c:pt idx="66">
                  <c:v>2.444038770556737E-6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3.374127246686693E-6</c:v>
                </c:pt>
                <c:pt idx="71">
                  <c:v>3.6636737150997451E-6</c:v>
                </c:pt>
                <c:pt idx="72">
                  <c:v>3.926750348023917E-6</c:v>
                </c:pt>
                <c:pt idx="73">
                  <c:v>4.1633537306605124E-6</c:v>
                </c:pt>
                <c:pt idx="74">
                  <c:v>4.3734807380300476E-6</c:v>
                </c:pt>
                <c:pt idx="75">
                  <c:v>4.5571286328274204E-6</c:v>
                </c:pt>
                <c:pt idx="76">
                  <c:v>4.7142951632641221E-6</c:v>
                </c:pt>
                <c:pt idx="77">
                  <c:v>4.8449786609246359E-6</c:v>
                </c:pt>
                <c:pt idx="78">
                  <c:v>4.9491783029254557E-6</c:v>
                </c:pt>
                <c:pt idx="79">
                  <c:v>5.0002592090116822E-6</c:v>
                </c:pt>
                <c:pt idx="80">
                  <c:v>5.002708747600798E-6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4.3044670236098946E-6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3.5919148445592594E-6</c:v>
                </c:pt>
                <c:pt idx="89">
                  <c:v>3.3387206427223188E-6</c:v>
                </c:pt>
                <c:pt idx="90">
                  <c:v>3.0776921647022256E-6</c:v>
                </c:pt>
                <c:pt idx="91">
                  <c:v>2.8088325968136672E-6</c:v>
                </c:pt>
                <c:pt idx="92">
                  <c:v>2.5321456335411339E-6</c:v>
                </c:pt>
                <c:pt idx="93">
                  <c:v>2.2668791041272077E-6</c:v>
                </c:pt>
                <c:pt idx="94">
                  <c:v>2.039663798997446E-6</c:v>
                </c:pt>
                <c:pt idx="95">
                  <c:v>1.8504929285248757E-6</c:v>
                </c:pt>
                <c:pt idx="96">
                  <c:v>1.699358860354006E-6</c:v>
                </c:pt>
                <c:pt idx="97">
                  <c:v>1.5862529975133079E-6</c:v>
                </c:pt>
                <c:pt idx="98">
                  <c:v>1.5111656565098884E-6</c:v>
                </c:pt>
                <c:pt idx="99">
                  <c:v>1.4584930923916818E-6</c:v>
                </c:pt>
                <c:pt idx="100">
                  <c:v>1.4094622783048156E-6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1.2497401259607916E-6</c:v>
                </c:pt>
                <c:pt idx="105">
                  <c:v>1.2189048727677316E-6</c:v>
                </c:pt>
                <c:pt idx="106">
                  <c:v>1.1917053148954627E-6</c:v>
                </c:pt>
                <c:pt idx="107">
                  <c:v>1.1681399992304908E-6</c:v>
                </c:pt>
                <c:pt idx="108">
                  <c:v>1.1289998573280191E-6</c:v>
                </c:pt>
                <c:pt idx="109">
                  <c:v>1.0742939653095838E-6</c:v>
                </c:pt>
                <c:pt idx="110">
                  <c:v>1.0040351942635609E-6</c:v>
                </c:pt>
                <c:pt idx="111">
                  <c:v>9.1823648834350411E-7</c:v>
                </c:pt>
                <c:pt idx="112">
                  <c:v>8.16908081234697E-7</c:v>
                </c:pt>
                <c:pt idx="113">
                  <c:v>7.0783915798697071E-7</c:v>
                </c:pt>
                <c:pt idx="114">
                  <c:v>6.0658957468341458E-7</c:v>
                </c:pt>
                <c:pt idx="115">
                  <c:v>5.1315571981109409E-7</c:v>
                </c:pt>
                <c:pt idx="116">
                  <c:v>4.2753382755690953E-7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2.1749959678332204E-7</c:v>
                </c:pt>
                <c:pt idx="120">
                  <c:v>1.6308421569738951E-7</c:v>
                </c:pt>
                <c:pt idx="121">
                  <c:v>1.1645905846929399E-7</c:v>
                </c:pt>
                <c:pt idx="122">
                  <c:v>7.7619076357969252E-8</c:v>
                </c:pt>
                <c:pt idx="123">
                  <c:v>4.6558947276336068E-8</c:v>
                </c:pt>
                <c:pt idx="124">
                  <c:v>2.3273058784033689E-8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1.8417725890849642E-8</c:v>
                </c:pt>
                <c:pt idx="137">
                  <c:v>3.6821100195329128E-8</c:v>
                </c:pt>
                <c:pt idx="138">
                  <c:v>6.1343953315789233E-8</c:v>
                </c:pt>
                <c:pt idx="139">
                  <c:v>9.197814764298436E-8</c:v>
                </c:pt>
                <c:pt idx="140">
                  <c:v>1.287151365184939E-7</c:v>
                </c:pt>
                <c:pt idx="141">
                  <c:v>1.7904933662690807E-7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6.3389452971663184E-7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1.3433478451307018E-6</c:v>
                </c:pt>
                <c:pt idx="152">
                  <c:v>1.4811692730990793E-6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1.8617144056826611E-6</c:v>
                </c:pt>
                <c:pt idx="156">
                  <c:v>1.9524985667578201E-6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2.0816366767077246E-6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1.9969585538636509E-6</c:v>
                </c:pt>
                <c:pt idx="163">
                  <c:v>1.9316729672644165E-6</c:v>
                </c:pt>
                <c:pt idx="164">
                  <c:v>1.8635113112426761E-6</c:v>
                </c:pt>
                <c:pt idx="165">
                  <c:v>1.7924801112168781E-6</c:v>
                </c:pt>
                <c:pt idx="166">
                  <c:v>1.718585371130804E-6</c:v>
                </c:pt>
                <c:pt idx="167">
                  <c:v>1.6418325330098316E-6</c:v>
                </c:pt>
                <c:pt idx="168">
                  <c:v>1.5622264365744084E-6</c:v>
                </c:pt>
                <c:pt idx="169">
                  <c:v>1.4899684029160728E-6</c:v>
                </c:pt>
                <c:pt idx="170">
                  <c:v>1.4381953136465535E-6</c:v>
                </c:pt>
                <c:pt idx="171">
                  <c:v>1.406873285010158E-6</c:v>
                </c:pt>
                <c:pt idx="172">
                  <c:v>1.3959702375537562E-6</c:v>
                </c:pt>
                <c:pt idx="173">
                  <c:v>1.4054418023439165E-6</c:v>
                </c:pt>
                <c:pt idx="174">
                  <c:v>1.4352439740240211E-6</c:v>
                </c:pt>
                <c:pt idx="175">
                  <c:v>1.4853467677948969E-6</c:v>
                </c:pt>
                <c:pt idx="176">
                  <c:v>1.5557203329481296E-6</c:v>
                </c:pt>
                <c:pt idx="177">
                  <c:v>1.6332317839746559E-6</c:v>
                </c:pt>
                <c:pt idx="178">
                  <c:v>1.7077214310021592E-6</c:v>
                </c:pt>
                <c:pt idx="179">
                  <c:v>1.7791952220879083E-6</c:v>
                </c:pt>
                <c:pt idx="180">
                  <c:v>1.8476592316065873E-6</c:v>
                </c:pt>
                <c:pt idx="181">
                  <c:v>1.9131196429346664E-6</c:v>
                </c:pt>
                <c:pt idx="182">
                  <c:v>1.9755827311497829E-6</c:v>
                </c:pt>
                <c:pt idx="183">
                  <c:v>2.024679970488294E-6</c:v>
                </c:pt>
                <c:pt idx="184">
                  <c:v>2.0503122341825057E-6</c:v>
                </c:pt>
                <c:pt idx="185">
                  <c:v>2.0525147797205457E-6</c:v>
                </c:pt>
                <c:pt idx="186">
                  <c:v>2.0313220268279993E-6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1.8277007104463905E-6</c:v>
                </c:pt>
                <c:pt idx="190">
                  <c:v>1.7132493758769521E-6</c:v>
                </c:pt>
                <c:pt idx="191">
                  <c:v>1.5828604610629997E-6</c:v>
                </c:pt>
                <c:pt idx="192">
                  <c:v>1.4495633527225122E-6</c:v>
                </c:pt>
                <c:pt idx="193">
                  <c:v>1.313358462432681E-6</c:v>
                </c:pt>
                <c:pt idx="194">
                  <c:v>1.1742456850469425E-6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6.1684642237354758E-7</c:v>
                </c:pt>
                <c:pt idx="199">
                  <c:v>5.0161361281402739E-7</c:v>
                </c:pt>
                <c:pt idx="200">
                  <c:v>3.9968404663208844E-7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1.2467911118613415E-7</c:v>
                </c:pt>
                <c:pt idx="205">
                  <c:v>8.9035928438088664E-8</c:v>
                </c:pt>
                <c:pt idx="206">
                  <c:v>5.9344396154236798E-8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7.4566945315196614E-9</c:v>
                </c:pt>
                <c:pt idx="220">
                  <c:v>2.2368875529623589E-8</c:v>
                </c:pt>
                <c:pt idx="221">
                  <c:v>4.4735753352622087E-8</c:v>
                </c:pt>
                <c:pt idx="222">
                  <c:v>7.4556933609048882E-8</c:v>
                </c:pt>
                <c:pt idx="223">
                  <c:v>1.1183239398533318E-7</c:v>
                </c:pt>
                <c:pt idx="224">
                  <c:v>1.5656246107312539E-7</c:v>
                </c:pt>
                <c:pt idx="225">
                  <c:v>2.0874778719612551E-7</c:v>
                </c:pt>
                <c:pt idx="226">
                  <c:v>2.6838932723797108E-7</c:v>
                </c:pt>
                <c:pt idx="227">
                  <c:v>3.3548831546880296E-7</c:v>
                </c:pt>
                <c:pt idx="228">
                  <c:v>4.1004624237503016E-7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6.7849191658292633E-7</c:v>
                </c:pt>
                <c:pt idx="232">
                  <c:v>7.8290481628221989E-7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1.0813786567910854E-6</c:v>
                </c:pt>
                <c:pt idx="237">
                  <c:v>1.1187435155622958E-6</c:v>
                </c:pt>
                <c:pt idx="238">
                  <c:v>1.1412038108491118E-6</c:v>
                </c:pt>
                <c:pt idx="239">
                  <c:v>1.1671582862673515E-6</c:v>
                </c:pt>
                <c:pt idx="240">
                  <c:v>1.1966085649714414E-6</c:v>
                </c:pt>
                <c:pt idx="241">
                  <c:v>1.2295564428354799E-6</c:v>
                </c:pt>
                <c:pt idx="242">
                  <c:v>1.2660038945839068E-6</c:v>
                </c:pt>
                <c:pt idx="243">
                  <c:v>1.305953079948365E-6</c:v>
                </c:pt>
                <c:pt idx="244">
                  <c:v>1.3494063498186491E-6</c:v>
                </c:pt>
                <c:pt idx="245">
                  <c:v>1.3963662523800009E-6</c:v>
                </c:pt>
                <c:pt idx="246">
                  <c:v>1.4468355392463743E-6</c:v>
                </c:pt>
                <c:pt idx="247">
                  <c:v>1.5187911539415228E-6</c:v>
                </c:pt>
                <c:pt idx="248">
                  <c:v>1.6271797593465377E-6</c:v>
                </c:pt>
                <c:pt idx="249">
                  <c:v>1.7720213389591403E-6</c:v>
                </c:pt>
                <c:pt idx="250">
                  <c:v>1.953337911608705E-6</c:v>
                </c:pt>
                <c:pt idx="251">
                  <c:v>2.1711535956662515E-6</c:v>
                </c:pt>
                <c:pt idx="252">
                  <c:v>2.4254946731839577E-6</c:v>
                </c:pt>
                <c:pt idx="253">
                  <c:v>2.6908714497606445E-6</c:v>
                </c:pt>
                <c:pt idx="254">
                  <c:v>2.9488565727215559E-6</c:v>
                </c:pt>
                <c:pt idx="255">
                  <c:v>3.1994534164207175E-6</c:v>
                </c:pt>
                <c:pt idx="256">
                  <c:v>3.442665084163402E-6</c:v>
                </c:pt>
                <c:pt idx="257">
                  <c:v>3.6784943949254549E-6</c:v>
                </c:pt>
                <c:pt idx="258">
                  <c:v>3.9069438700982252E-6</c:v>
                </c:pt>
                <c:pt idx="259">
                  <c:v>4.1280157202924656E-6</c:v>
                </c:pt>
                <c:pt idx="260">
                  <c:v>4.3417118320291583E-6</c:v>
                </c:pt>
                <c:pt idx="261">
                  <c:v>4.5269548916306558E-6</c:v>
                </c:pt>
                <c:pt idx="262">
                  <c:v>4.6656936729583593E-6</c:v>
                </c:pt>
                <c:pt idx="263">
                  <c:v>4.7578924514562141E-6</c:v>
                </c:pt>
                <c:pt idx="264">
                  <c:v>4.8035126374735887E-6</c:v>
                </c:pt>
                <c:pt idx="265">
                  <c:v>4.8025381978420902E-6</c:v>
                </c:pt>
                <c:pt idx="266">
                  <c:v>4.7549362883837766E-6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4.3828917149385E-6</c:v>
                </c:pt>
                <c:pt idx="270">
                  <c:v>4.2079268200122196E-6</c:v>
                </c:pt>
                <c:pt idx="271">
                  <c:v>4.0074134058591161E-6</c:v>
                </c:pt>
                <c:pt idx="272">
                  <c:v>3.7813051218954006E-6</c:v>
                </c:pt>
                <c:pt idx="273">
                  <c:v>3.5295545094172917E-6</c:v>
                </c:pt>
                <c:pt idx="274">
                  <c:v>3.252113281644199E-6</c:v>
                </c:pt>
                <c:pt idx="275">
                  <c:v>2.9837284650238289E-6</c:v>
                </c:pt>
                <c:pt idx="276">
                  <c:v>2.7456079334007058E-6</c:v>
                </c:pt>
                <c:pt idx="277">
                  <c:v>2.5377874236699225E-6</c:v>
                </c:pt>
                <c:pt idx="278">
                  <c:v>2.3603051088738373E-6</c:v>
                </c:pt>
                <c:pt idx="279">
                  <c:v>2.2132012635034682E-6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1.9933661699496843E-6</c:v>
                </c:pt>
                <c:pt idx="283">
                  <c:v>2.0113561128501961E-6</c:v>
                </c:pt>
                <c:pt idx="284">
                  <c:v>2.075817237780251E-6</c:v>
                </c:pt>
                <c:pt idx="285">
                  <c:v>2.1868200141975793E-6</c:v>
                </c:pt>
                <c:pt idx="286">
                  <c:v>2.344434297684399E-6</c:v>
                </c:pt>
                <c:pt idx="287">
                  <c:v>2.548728822298735E-6</c:v>
                </c:pt>
                <c:pt idx="288">
                  <c:v>2.7997706929333399E-6</c:v>
                </c:pt>
                <c:pt idx="289">
                  <c:v>3.0488792685568284E-6</c:v>
                </c:pt>
                <c:pt idx="290">
                  <c:v>3.2609794553101931E-6</c:v>
                </c:pt>
                <c:pt idx="291">
                  <c:v>3.4360077401430384E-6</c:v>
                </c:pt>
                <c:pt idx="292">
                  <c:v>3.573901421927295E-6</c:v>
                </c:pt>
                <c:pt idx="293">
                  <c:v>3.6745990171631924E-6</c:v>
                </c:pt>
                <c:pt idx="294">
                  <c:v>3.7380406656734908E-6</c:v>
                </c:pt>
                <c:pt idx="295">
                  <c:v>3.7945034276446735E-6</c:v>
                </c:pt>
                <c:pt idx="296">
                  <c:v>3.8324541895796694E-6</c:v>
                </c:pt>
                <c:pt idx="297">
                  <c:v>3.8518961126766826E-6</c:v>
                </c:pt>
                <c:pt idx="298">
                  <c:v>3.8528005715533237E-6</c:v>
                </c:pt>
                <c:pt idx="299">
                  <c:v>3.8351382591317881E-6</c:v>
                </c:pt>
                <c:pt idx="300">
                  <c:v>3.7988793580803314E-6</c:v>
                </c:pt>
                <c:pt idx="301">
                  <c:v>3.7439937122430677E-6</c:v>
                </c:pt>
                <c:pt idx="302">
                  <c:v>3.6704509980783067E-6</c:v>
                </c:pt>
                <c:pt idx="303">
                  <c:v>3.6027549426369589E-6</c:v>
                </c:pt>
                <c:pt idx="304">
                  <c:v>3.5900019658062934E-6</c:v>
                </c:pt>
                <c:pt idx="305">
                  <c:v>3.6322673350790906E-6</c:v>
                </c:pt>
                <c:pt idx="306">
                  <c:v>3.7296260650900725E-6</c:v>
                </c:pt>
                <c:pt idx="307">
                  <c:v>3.8821524114079414E-6</c:v>
                </c:pt>
                <c:pt idx="308">
                  <c:v>4.0899193642957618E-6</c:v>
                </c:pt>
                <c:pt idx="309">
                  <c:v>4.2919298213713367E-6</c:v>
                </c:pt>
                <c:pt idx="310">
                  <c:v>4.4576207097101117E-6</c:v>
                </c:pt>
                <c:pt idx="311">
                  <c:v>4.5869351815679946E-6</c:v>
                </c:pt>
                <c:pt idx="312">
                  <c:v>4.6798171958661186E-6</c:v>
                </c:pt>
                <c:pt idx="313">
                  <c:v>4.7362118529900221E-6</c:v>
                </c:pt>
                <c:pt idx="314">
                  <c:v>4.7560657295471593E-6</c:v>
                </c:pt>
                <c:pt idx="315">
                  <c:v>4.7393272131834851E-6</c:v>
                </c:pt>
                <c:pt idx="316">
                  <c:v>4.685946837326858E-6</c:v>
                </c:pt>
                <c:pt idx="317">
                  <c:v>4.7231521488749245E-6</c:v>
                </c:pt>
                <c:pt idx="318">
                  <c:v>4.8263471662672169E-6</c:v>
                </c:pt>
                <c:pt idx="319">
                  <c:v>4.9955991049213628E-6</c:v>
                </c:pt>
                <c:pt idx="320">
                  <c:v>5.2309693719898812E-6</c:v>
                </c:pt>
                <c:pt idx="321">
                  <c:v>5.5325129625424155E-6</c:v>
                </c:pt>
                <c:pt idx="322">
                  <c:v>5.9002778557758507E-6</c:v>
                </c:pt>
                <c:pt idx="323">
                  <c:v>6.4339107770472432E-6</c:v>
                </c:pt>
                <c:pt idx="324">
                  <c:v>7.1949524823717305E-6</c:v>
                </c:pt>
                <c:pt idx="325">
                  <c:v>8.1835496252217706E-6</c:v>
                </c:pt>
                <c:pt idx="326">
                  <c:v>9.3997611989242911E-6</c:v>
                </c:pt>
                <c:pt idx="327">
                  <c:v>1.0843623855109808E-5</c:v>
                </c:pt>
                <c:pt idx="328">
                  <c:v>1.2515182449785094E-5</c:v>
                </c:pt>
                <c:pt idx="329">
                  <c:v>1.4414457860173559E-5</c:v>
                </c:pt>
                <c:pt idx="330">
                  <c:v>1.6541451717006783E-5</c:v>
                </c:pt>
                <c:pt idx="331">
                  <c:v>1.8707799574700672E-5</c:v>
                </c:pt>
                <c:pt idx="332">
                  <c:v>2.0785667558494768E-5</c:v>
                </c:pt>
                <c:pt idx="333">
                  <c:v>2.2774960372402398E-5</c:v>
                </c:pt>
                <c:pt idx="334">
                  <c:v>2.4675608474570351E-5</c:v>
                </c:pt>
                <c:pt idx="335">
                  <c:v>2.6487566234805442E-5</c:v>
                </c:pt>
                <c:pt idx="336">
                  <c:v>2.8210810091822957E-5</c:v>
                </c:pt>
                <c:pt idx="337">
                  <c:v>2.977008504099255E-5</c:v>
                </c:pt>
                <c:pt idx="338">
                  <c:v>3.1065592140069286E-5</c:v>
                </c:pt>
                <c:pt idx="339">
                  <c:v>3.2097350819503609E-5</c:v>
                </c:pt>
                <c:pt idx="340">
                  <c:v>3.2865396778850537E-5</c:v>
                </c:pt>
                <c:pt idx="341">
                  <c:v>3.3369776504311519E-5</c:v>
                </c:pt>
                <c:pt idx="342">
                  <c:v>3.3610541786267344E-5</c:v>
                </c:pt>
                <c:pt idx="343">
                  <c:v>3.3587744236401987E-5</c:v>
                </c:pt>
                <c:pt idx="344">
                  <c:v>3.3301429805348889E-5</c:v>
                </c:pt>
                <c:pt idx="345">
                  <c:v>3.2751633299988465E-5</c:v>
                </c:pt>
                <c:pt idx="346">
                  <c:v>3.2193710946299636E-5</c:v>
                </c:pt>
                <c:pt idx="347">
                  <c:v>3.1627709691641934E-5</c:v>
                </c:pt>
                <c:pt idx="348">
                  <c:v>3.1053671165930283E-5</c:v>
                </c:pt>
                <c:pt idx="349">
                  <c:v>3.0471631506505085E-5</c:v>
                </c:pt>
                <c:pt idx="350">
                  <c:v>2.9881621183731546E-5</c:v>
                </c:pt>
                <c:pt idx="351">
                  <c:v>2.9350559265659037E-5</c:v>
                </c:pt>
                <c:pt idx="352">
                  <c:v>2.8953819211477472E-5</c:v>
                </c:pt>
                <c:pt idx="353">
                  <c:v>2.869149725282378E-5</c:v>
                </c:pt>
                <c:pt idx="354">
                  <c:v>2.8563706846348455E-5</c:v>
                </c:pt>
                <c:pt idx="355">
                  <c:v>2.8570581451960411E-5</c:v>
                </c:pt>
                <c:pt idx="356">
                  <c:v>2.8712297154375571E-5</c:v>
                </c:pt>
                <c:pt idx="357">
                  <c:v>2.8988971734793218E-5</c:v>
                </c:pt>
                <c:pt idx="358">
                  <c:v>2.9400677491775584E-5</c:v>
                </c:pt>
                <c:pt idx="359">
                  <c:v>2.9947506671664449E-5</c:v>
                </c:pt>
                <c:pt idx="360">
                  <c:v>3.0554072663322163E-5</c:v>
                </c:pt>
                <c:pt idx="361">
                  <c:v>3.1153320143176181E-5</c:v>
                </c:pt>
                <c:pt idx="362">
                  <c:v>3.1745195324868552E-5</c:v>
                </c:pt>
                <c:pt idx="363">
                  <c:v>3.2329637506888508E-5</c:v>
                </c:pt>
                <c:pt idx="364">
                  <c:v>3.2906579288994682E-5</c:v>
                </c:pt>
                <c:pt idx="365">
                  <c:v>3.347594678828418E-5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1.7921524036117761E-4</c:v>
                </c:pt>
                <c:pt idx="1">
                  <c:v>1.8285479935237052E-4</c:v>
                </c:pt>
                <c:pt idx="2">
                  <c:v>1.8603091735020275E-4</c:v>
                </c:pt>
                <c:pt idx="3">
                  <c:v>1.8874249843894096E-4</c:v>
                </c:pt>
                <c:pt idx="4">
                  <c:v>1.9098840787729347E-4</c:v>
                </c:pt>
                <c:pt idx="5">
                  <c:v>1.9276748403503172E-4</c:v>
                </c:pt>
                <c:pt idx="6">
                  <c:v>1.9407855033208045E-4</c:v>
                </c:pt>
                <c:pt idx="7">
                  <c:v>1.9492042717329447E-4</c:v>
                </c:pt>
                <c:pt idx="8">
                  <c:v>1.952919438858894E-4</c:v>
                </c:pt>
                <c:pt idx="9">
                  <c:v>1.9542804252715474E-4</c:v>
                </c:pt>
                <c:pt idx="10">
                  <c:v>1.9537650512194498E-4</c:v>
                </c:pt>
                <c:pt idx="11">
                  <c:v>1.9513660213010386E-4</c:v>
                </c:pt>
                <c:pt idx="12">
                  <c:v>1.9470762507278617E-4</c:v>
                </c:pt>
                <c:pt idx="13">
                  <c:v>1.9408889123159856E-4</c:v>
                </c:pt>
                <c:pt idx="14">
                  <c:v>1.9327974834442246E-4</c:v>
                </c:pt>
                <c:pt idx="15">
                  <c:v>1.9247408571467327E-4</c:v>
                </c:pt>
                <c:pt idx="16">
                  <c:v>1.9209346824199203E-4</c:v>
                </c:pt>
                <c:pt idx="17">
                  <c:v>1.9213782520067555E-4</c:v>
                </c:pt>
                <c:pt idx="18">
                  <c:v>1.9260700511142641E-4</c:v>
                </c:pt>
                <c:pt idx="19">
                  <c:v>1.9350184413368963E-4</c:v>
                </c:pt>
                <c:pt idx="20">
                  <c:v>1.9482359614980018E-4</c:v>
                </c:pt>
                <c:pt idx="21">
                  <c:v>1.9657262352767543E-4</c:v>
                </c:pt>
                <c:pt idx="22">
                  <c:v>1.9874923214765948E-4</c:v>
                </c:pt>
                <c:pt idx="23">
                  <c:v>2.0091341290293246E-4</c:v>
                </c:pt>
                <c:pt idx="24">
                  <c:v>2.0282826926847175E-4</c:v>
                </c:pt>
                <c:pt idx="25">
                  <c:v>2.0449388136915865E-4</c:v>
                </c:pt>
                <c:pt idx="26">
                  <c:v>2.0591036724688669E-4</c:v>
                </c:pt>
                <c:pt idx="27">
                  <c:v>2.070778797892795E-4</c:v>
                </c:pt>
                <c:pt idx="28">
                  <c:v>2.0799660366282229E-4</c:v>
                </c:pt>
                <c:pt idx="29">
                  <c:v>2.0881214711107273E-4</c:v>
                </c:pt>
                <c:pt idx="30">
                  <c:v>2.0932990930604944E-4</c:v>
                </c:pt>
                <c:pt idx="31">
                  <c:v>2.0955015177960543E-4</c:v>
                </c:pt>
                <c:pt idx="32">
                  <c:v>2.0947315954156329E-4</c:v>
                </c:pt>
                <c:pt idx="33">
                  <c:v>2.090992373920297E-4</c:v>
                </c:pt>
                <c:pt idx="34">
                  <c:v>2.0842870623466491E-4</c:v>
                </c:pt>
                <c:pt idx="35">
                  <c:v>2.0746189938977957E-4</c:v>
                </c:pt>
                <c:pt idx="36">
                  <c:v>2.0619915890699394E-4</c:v>
                </c:pt>
                <c:pt idx="37">
                  <c:v>2.0493425160002349E-4</c:v>
                </c:pt>
                <c:pt idx="38">
                  <c:v>2.0410755636367968E-4</c:v>
                </c:pt>
                <c:pt idx="39">
                  <c:v>2.0371922319321572E-4</c:v>
                </c:pt>
                <c:pt idx="40">
                  <c:v>2.0376939332401165E-4</c:v>
                </c:pt>
                <c:pt idx="41">
                  <c:v>2.0425820472021018E-4</c:v>
                </c:pt>
                <c:pt idx="42">
                  <c:v>2.0518579756194063E-4</c:v>
                </c:pt>
                <c:pt idx="43">
                  <c:v>2.0616308954659953E-4</c:v>
                </c:pt>
                <c:pt idx="44">
                  <c:v>2.0704509548307402E-4</c:v>
                </c:pt>
                <c:pt idx="45">
                  <c:v>2.0783210958950885E-4</c:v>
                </c:pt>
                <c:pt idx="46">
                  <c:v>2.0852442728948835E-4</c:v>
                </c:pt>
                <c:pt idx="47">
                  <c:v>2.0912234401270836E-4</c:v>
                </c:pt>
                <c:pt idx="48">
                  <c:v>2.0962615399293879E-4</c:v>
                </c:pt>
                <c:pt idx="49">
                  <c:v>2.1003614906786483E-4</c:v>
                </c:pt>
                <c:pt idx="50">
                  <c:v>2.1035261747765136E-4</c:v>
                </c:pt>
                <c:pt idx="51">
                  <c:v>2.1040281490402484E-4</c:v>
                </c:pt>
                <c:pt idx="52">
                  <c:v>2.09892726517506E-4</c:v>
                </c:pt>
                <c:pt idx="53">
                  <c:v>2.0882124148475413E-4</c:v>
                </c:pt>
                <c:pt idx="54">
                  <c:v>2.0718828178469432E-4</c:v>
                </c:pt>
                <c:pt idx="55">
                  <c:v>2.0499376170845032E-4</c:v>
                </c:pt>
                <c:pt idx="56">
                  <c:v>2.0223758993877423E-4</c:v>
                </c:pt>
                <c:pt idx="57">
                  <c:v>1.9896247980844822E-4</c:v>
                </c:pt>
                <c:pt idx="58">
                  <c:v>1.9555739813408469E-4</c:v>
                </c:pt>
                <c:pt idx="59">
                  <c:v>1.920222575740178E-4</c:v>
                </c:pt>
                <c:pt idx="60">
                  <c:v>1.8835697512439937E-4</c:v>
                </c:pt>
                <c:pt idx="61">
                  <c:v>1.8456147260101821E-4</c:v>
                </c:pt>
                <c:pt idx="62">
                  <c:v>1.8063567712084025E-4</c:v>
                </c:pt>
                <c:pt idx="63">
                  <c:v>1.7657952158410732E-4</c:v>
                </c:pt>
                <c:pt idx="64">
                  <c:v>1.723929451557017E-4</c:v>
                </c:pt>
                <c:pt idx="65">
                  <c:v>1.6803233409178669E-4</c:v>
                </c:pt>
                <c:pt idx="66">
                  <c:v>1.6367067633377464E-4</c:v>
                </c:pt>
                <c:pt idx="67">
                  <c:v>1.5930793344539156E-4</c:v>
                </c:pt>
                <c:pt idx="68">
                  <c:v>1.5494407345496928E-4</c:v>
                </c:pt>
                <c:pt idx="69">
                  <c:v>1.5057907085769303E-4</c:v>
                </c:pt>
                <c:pt idx="70">
                  <c:v>1.4621290661861401E-4</c:v>
                </c:pt>
                <c:pt idx="71">
                  <c:v>1.4195824466891211E-4</c:v>
                </c:pt>
                <c:pt idx="72">
                  <c:v>1.3777226519995917E-4</c:v>
                </c:pt>
                <c:pt idx="73">
                  <c:v>1.3365496338229671E-4</c:v>
                </c:pt>
                <c:pt idx="74">
                  <c:v>1.2960633880300645E-4</c:v>
                </c:pt>
                <c:pt idx="75">
                  <c:v>1.2562639521021258E-4</c:v>
                </c:pt>
                <c:pt idx="76">
                  <c:v>1.21715140257171E-4</c:v>
                </c:pt>
                <c:pt idx="77">
                  <c:v>1.1787258524677816E-4</c:v>
                </c:pt>
                <c:pt idx="78">
                  <c:v>1.1409874866385745E-4</c:v>
                </c:pt>
                <c:pt idx="79">
                  <c:v>1.1049092363379482E-4</c:v>
                </c:pt>
                <c:pt idx="80">
                  <c:v>1.0709291195872893E-4</c:v>
                </c:pt>
                <c:pt idx="81">
                  <c:v>1.0390465137552505E-4</c:v>
                </c:pt>
                <c:pt idx="82">
                  <c:v>1.0092608336346945E-4</c:v>
                </c:pt>
                <c:pt idx="83">
                  <c:v>9.8157152473104877E-5</c:v>
                </c:pt>
                <c:pt idx="84">
                  <c:v>9.5597805655398961E-5</c:v>
                </c:pt>
                <c:pt idx="85">
                  <c:v>9.3392060338603813E-5</c:v>
                </c:pt>
                <c:pt idx="86">
                  <c:v>9.1427233260732606E-5</c:v>
                </c:pt>
                <c:pt idx="87">
                  <c:v>8.9703268236625408E-5</c:v>
                </c:pt>
                <c:pt idx="88">
                  <c:v>8.822010811832986E-5</c:v>
                </c:pt>
                <c:pt idx="89">
                  <c:v>8.6977694023285365E-5</c:v>
                </c:pt>
                <c:pt idx="90">
                  <c:v>8.5975964562324709E-5</c:v>
                </c:pt>
                <c:pt idx="91">
                  <c:v>8.5214855068007774E-5</c:v>
                </c:pt>
                <c:pt idx="92">
                  <c:v>8.4694296822716849E-5</c:v>
                </c:pt>
                <c:pt idx="93">
                  <c:v>8.4429473930670479E-5</c:v>
                </c:pt>
                <c:pt idx="94">
                  <c:v>8.4323547667944428E-5</c:v>
                </c:pt>
                <c:pt idx="95">
                  <c:v>8.4376453417253294E-5</c:v>
                </c:pt>
                <c:pt idx="96">
                  <c:v>8.4588121938956786E-5</c:v>
                </c:pt>
                <c:pt idx="97">
                  <c:v>8.4958478860982912E-5</c:v>
                </c:pt>
                <c:pt idx="98">
                  <c:v>8.5487444168001278E-5</c:v>
                </c:pt>
                <c:pt idx="99">
                  <c:v>8.6112437445615326E-5</c:v>
                </c:pt>
                <c:pt idx="100">
                  <c:v>8.6689491338191754E-5</c:v>
                </c:pt>
                <c:pt idx="101">
                  <c:v>8.7218582837002582E-5</c:v>
                </c:pt>
                <c:pt idx="102">
                  <c:v>8.7699690135625515E-5</c:v>
                </c:pt>
                <c:pt idx="103">
                  <c:v>8.8132792780616534E-5</c:v>
                </c:pt>
                <c:pt idx="104">
                  <c:v>8.8517871824224812E-5</c:v>
                </c:pt>
                <c:pt idx="105">
                  <c:v>8.8854909975219186E-5</c:v>
                </c:pt>
                <c:pt idx="106">
                  <c:v>8.914389175076493E-5</c:v>
                </c:pt>
                <c:pt idx="107">
                  <c:v>8.952034598395062E-5</c:v>
                </c:pt>
                <c:pt idx="108">
                  <c:v>8.9968959485203274E-5</c:v>
                </c:pt>
                <c:pt idx="109">
                  <c:v>9.0489651303837828E-5</c:v>
                </c:pt>
                <c:pt idx="110">
                  <c:v>9.1082595142124675E-5</c:v>
                </c:pt>
                <c:pt idx="111">
                  <c:v>9.1747973792675281E-5</c:v>
                </c:pt>
                <c:pt idx="112">
                  <c:v>9.2485714563695018E-5</c:v>
                </c:pt>
                <c:pt idx="113">
                  <c:v>9.3267663929660137E-5</c:v>
                </c:pt>
                <c:pt idx="114">
                  <c:v>9.4156098707071011E-5</c:v>
                </c:pt>
                <c:pt idx="115">
                  <c:v>9.5150915882985618E-5</c:v>
                </c:pt>
                <c:pt idx="116">
                  <c:v>9.6252008300867995E-5</c:v>
                </c:pt>
                <c:pt idx="117">
                  <c:v>9.7459264426661099E-5</c:v>
                </c:pt>
                <c:pt idx="118">
                  <c:v>9.8772568113908424E-5</c:v>
                </c:pt>
                <c:pt idx="119">
                  <c:v>1.0019179836914239E-4</c:v>
                </c:pt>
                <c:pt idx="120">
                  <c:v>1.0171682911710848E-4</c:v>
                </c:pt>
                <c:pt idx="121">
                  <c:v>1.0313786031671722E-4</c:v>
                </c:pt>
                <c:pt idx="122">
                  <c:v>1.0431982427251853E-4</c:v>
                </c:pt>
                <c:pt idx="123">
                  <c:v>1.0526286012324541E-4</c:v>
                </c:pt>
                <c:pt idx="124">
                  <c:v>1.0596711587818989E-4</c:v>
                </c:pt>
                <c:pt idx="125">
                  <c:v>1.0643274893873697E-4</c:v>
                </c:pt>
                <c:pt idx="126">
                  <c:v>1.0665992661843394E-4</c:v>
                </c:pt>
                <c:pt idx="127">
                  <c:v>1.0660485837934526E-4</c:v>
                </c:pt>
                <c:pt idx="128">
                  <c:v>1.0629574365326711E-4</c:v>
                </c:pt>
                <c:pt idx="129">
                  <c:v>1.05732798797449E-4</c:v>
                </c:pt>
                <c:pt idx="130">
                  <c:v>1.04916253013124E-4</c:v>
                </c:pt>
                <c:pt idx="131">
                  <c:v>1.0384634890014498E-4</c:v>
                </c:pt>
                <c:pt idx="132">
                  <c:v>1.0252334301266095E-4</c:v>
                </c:pt>
                <c:pt idx="133">
                  <c:v>1.0094750641544282E-4</c:v>
                </c:pt>
                <c:pt idx="134">
                  <c:v>9.9119125239648822E-5</c:v>
                </c:pt>
                <c:pt idx="135">
                  <c:v>9.7162074189343758E-5</c:v>
                </c:pt>
                <c:pt idx="136">
                  <c:v>9.5285204433514611E-5</c:v>
                </c:pt>
                <c:pt idx="137">
                  <c:v>9.3488458640096262E-5</c:v>
                </c:pt>
                <c:pt idx="138">
                  <c:v>9.1771776277497686E-5</c:v>
                </c:pt>
                <c:pt idx="139">
                  <c:v>9.0135093441481376E-5</c:v>
                </c:pt>
                <c:pt idx="140">
                  <c:v>8.857834267681755E-5</c:v>
                </c:pt>
                <c:pt idx="141">
                  <c:v>8.7216507532928702E-5</c:v>
                </c:pt>
                <c:pt idx="142">
                  <c:v>8.6092609557790435E-5</c:v>
                </c:pt>
                <c:pt idx="143">
                  <c:v>8.5205982423802785E-5</c:v>
                </c:pt>
                <c:pt idx="144">
                  <c:v>8.4556457489809295E-5</c:v>
                </c:pt>
                <c:pt idx="145">
                  <c:v>8.4143833652431182E-5</c:v>
                </c:pt>
                <c:pt idx="146">
                  <c:v>8.3967880545674669E-5</c:v>
                </c:pt>
                <c:pt idx="147">
                  <c:v>8.4028341743396862E-5</c:v>
                </c:pt>
                <c:pt idx="148">
                  <c:v>8.4324937959741588E-5</c:v>
                </c:pt>
                <c:pt idx="149">
                  <c:v>8.4785986856169396E-5</c:v>
                </c:pt>
                <c:pt idx="150">
                  <c:v>8.5288604907575582E-5</c:v>
                </c:pt>
                <c:pt idx="151">
                  <c:v>8.5832812425240947E-5</c:v>
                </c:pt>
                <c:pt idx="152">
                  <c:v>8.6418630067892498E-5</c:v>
                </c:pt>
                <c:pt idx="153">
                  <c:v>8.7046079423953938E-5</c:v>
                </c:pt>
                <c:pt idx="154">
                  <c:v>8.7715183594264137E-5</c:v>
                </c:pt>
                <c:pt idx="155">
                  <c:v>8.8324405190501502E-5</c:v>
                </c:pt>
                <c:pt idx="156">
                  <c:v>8.8759872056190235E-5</c:v>
                </c:pt>
                <c:pt idx="157">
                  <c:v>8.9022025685405587E-5</c:v>
                </c:pt>
                <c:pt idx="158">
                  <c:v>8.9111312383813581E-5</c:v>
                </c:pt>
                <c:pt idx="159">
                  <c:v>8.9028180930702294E-5</c:v>
                </c:pt>
                <c:pt idx="160">
                  <c:v>8.8773080242111226E-5</c:v>
                </c:pt>
                <c:pt idx="161">
                  <c:v>8.8346457032950938E-5</c:v>
                </c:pt>
                <c:pt idx="162">
                  <c:v>8.7748753479603323E-5</c:v>
                </c:pt>
                <c:pt idx="163">
                  <c:v>8.7068407687167121E-5</c:v>
                </c:pt>
                <c:pt idx="164">
                  <c:v>8.6376404850061557E-5</c:v>
                </c:pt>
                <c:pt idx="165">
                  <c:v>8.5672872385997238E-5</c:v>
                </c:pt>
                <c:pt idx="166">
                  <c:v>8.4957933548352059E-5</c:v>
                </c:pt>
                <c:pt idx="167">
                  <c:v>8.4231707247295261E-5</c:v>
                </c:pt>
                <c:pt idx="168">
                  <c:v>8.3494307873646848E-5</c:v>
                </c:pt>
                <c:pt idx="169">
                  <c:v>8.2833536195873426E-5</c:v>
                </c:pt>
                <c:pt idx="170">
                  <c:v>8.234999094713283E-5</c:v>
                </c:pt>
                <c:pt idx="171">
                  <c:v>8.2043476339366023E-5</c:v>
                </c:pt>
                <c:pt idx="172">
                  <c:v>8.1913812100938105E-5</c:v>
                </c:pt>
                <c:pt idx="173">
                  <c:v>8.1959997737910309E-5</c:v>
                </c:pt>
                <c:pt idx="174">
                  <c:v>8.2180999441673684E-5</c:v>
                </c:pt>
                <c:pt idx="175">
                  <c:v>8.257660029082687E-5</c:v>
                </c:pt>
                <c:pt idx="176">
                  <c:v>8.3146584517728307E-5</c:v>
                </c:pt>
                <c:pt idx="177">
                  <c:v>8.3790458971193485E-5</c:v>
                </c:pt>
                <c:pt idx="178">
                  <c:v>8.4420876781183553E-5</c:v>
                </c:pt>
                <c:pt idx="179">
                  <c:v>8.5037911582869674E-5</c:v>
                </c:pt>
                <c:pt idx="180">
                  <c:v>8.5641638369116915E-5</c:v>
                </c:pt>
                <c:pt idx="181">
                  <c:v>8.623213341400033E-5</c:v>
                </c:pt>
                <c:pt idx="182">
                  <c:v>8.6809474197059347E-5</c:v>
                </c:pt>
                <c:pt idx="183">
                  <c:v>8.7303721810935039E-5</c:v>
                </c:pt>
                <c:pt idx="184">
                  <c:v>8.76280249601477E-5</c:v>
                </c:pt>
                <c:pt idx="185">
                  <c:v>8.778268523828378E-5</c:v>
                </c:pt>
                <c:pt idx="186">
                  <c:v>8.7767998570281898E-5</c:v>
                </c:pt>
                <c:pt idx="187">
                  <c:v>8.7584254211885856E-5</c:v>
                </c:pt>
                <c:pt idx="188">
                  <c:v>8.7231733749606585E-5</c:v>
                </c:pt>
                <c:pt idx="189">
                  <c:v>8.6710710098008011E-5</c:v>
                </c:pt>
                <c:pt idx="190">
                  <c:v>8.6021446500724396E-5</c:v>
                </c:pt>
                <c:pt idx="191">
                  <c:v>8.527617784406047E-5</c:v>
                </c:pt>
                <c:pt idx="192">
                  <c:v>8.4574586722824331E-5</c:v>
                </c:pt>
                <c:pt idx="193">
                  <c:v>8.3916649705958413E-5</c:v>
                </c:pt>
                <c:pt idx="194">
                  <c:v>8.3302344610863374E-5</c:v>
                </c:pt>
                <c:pt idx="195">
                  <c:v>8.2731650754766064E-5</c:v>
                </c:pt>
                <c:pt idx="196">
                  <c:v>8.2204549202839471E-5</c:v>
                </c:pt>
                <c:pt idx="197">
                  <c:v>8.1840727374798904E-5</c:v>
                </c:pt>
                <c:pt idx="198">
                  <c:v>8.1709628780110674E-5</c:v>
                </c:pt>
                <c:pt idx="199">
                  <c:v>8.1811061970761483E-5</c:v>
                </c:pt>
                <c:pt idx="200">
                  <c:v>8.2144855711568856E-5</c:v>
                </c:pt>
                <c:pt idx="201">
                  <c:v>8.2710860350116127E-5</c:v>
                </c:pt>
                <c:pt idx="202">
                  <c:v>8.3508949187148206E-5</c:v>
                </c:pt>
                <c:pt idx="203">
                  <c:v>8.4539019848819702E-5</c:v>
                </c:pt>
                <c:pt idx="204">
                  <c:v>8.5800857101989953E-5</c:v>
                </c:pt>
                <c:pt idx="205">
                  <c:v>8.7251830299588559E-5</c:v>
                </c:pt>
                <c:pt idx="206">
                  <c:v>8.8780398927892985E-5</c:v>
                </c:pt>
                <c:pt idx="207">
                  <c:v>9.0386549694028331E-5</c:v>
                </c:pt>
                <c:pt idx="208">
                  <c:v>9.2070273660255458E-5</c:v>
                </c:pt>
                <c:pt idx="209">
                  <c:v>9.3831566003833175E-5</c:v>
                </c:pt>
                <c:pt idx="210">
                  <c:v>9.5670425779954314E-5</c:v>
                </c:pt>
                <c:pt idx="211">
                  <c:v>9.7385321953016903E-5</c:v>
                </c:pt>
                <c:pt idx="212">
                  <c:v>9.8857062511219568E-5</c:v>
                </c:pt>
                <c:pt idx="213">
                  <c:v>1.0008577281892948E-4</c:v>
                </c:pt>
                <c:pt idx="214">
                  <c:v>1.0107155923842793E-4</c:v>
                </c:pt>
                <c:pt idx="215">
                  <c:v>1.0181450988746238E-4</c:v>
                </c:pt>
                <c:pt idx="216">
                  <c:v>1.0231469539645023E-4</c:v>
                </c:pt>
                <c:pt idx="217">
                  <c:v>1.0257216966607552E-4</c:v>
                </c:pt>
                <c:pt idx="218">
                  <c:v>1.0258697062431327E-4</c:v>
                </c:pt>
                <c:pt idx="219">
                  <c:v>1.0233220420214344E-4</c:v>
                </c:pt>
                <c:pt idx="220">
                  <c:v>1.0185017995737633E-4</c:v>
                </c:pt>
                <c:pt idx="221">
                  <c:v>1.0114088962785585E-4</c:v>
                </c:pt>
                <c:pt idx="222">
                  <c:v>1.0020431287437313E-4</c:v>
                </c:pt>
                <c:pt idx="223">
                  <c:v>9.9040417991911862E-5</c:v>
                </c:pt>
                <c:pt idx="224">
                  <c:v>9.764916261840263E-5</c:v>
                </c:pt>
                <c:pt idx="225">
                  <c:v>9.6160252773225393E-5</c:v>
                </c:pt>
                <c:pt idx="226">
                  <c:v>9.477495857163877E-5</c:v>
                </c:pt>
                <c:pt idx="227">
                  <c:v>9.349321775641592E-5</c:v>
                </c:pt>
                <c:pt idx="228">
                  <c:v>9.231497435034548E-5</c:v>
                </c:pt>
                <c:pt idx="229">
                  <c:v>9.1240178335482219E-5</c:v>
                </c:pt>
                <c:pt idx="230">
                  <c:v>9.0268785333910435E-5</c:v>
                </c:pt>
                <c:pt idx="231">
                  <c:v>8.9400756288778556E-5</c:v>
                </c:pt>
                <c:pt idx="232">
                  <c:v>8.8636057143394722E-5</c:v>
                </c:pt>
                <c:pt idx="233">
                  <c:v>8.7914888568781772E-5</c:v>
                </c:pt>
                <c:pt idx="234">
                  <c:v>8.7264134430310454E-5</c:v>
                </c:pt>
                <c:pt idx="235">
                  <c:v>8.6683837523948424E-5</c:v>
                </c:pt>
                <c:pt idx="236">
                  <c:v>8.617406984554999E-5</c:v>
                </c:pt>
                <c:pt idx="237">
                  <c:v>8.5734849116040666E-5</c:v>
                </c:pt>
                <c:pt idx="238">
                  <c:v>8.5366195575638281E-5</c:v>
                </c:pt>
                <c:pt idx="239">
                  <c:v>8.5082722015566783E-5</c:v>
                </c:pt>
                <c:pt idx="240">
                  <c:v>8.4754615281701153E-5</c:v>
                </c:pt>
                <c:pt idx="241">
                  <c:v>8.4381870763073548E-5</c:v>
                </c:pt>
                <c:pt idx="242">
                  <c:v>8.3964481558365352E-5</c:v>
                </c:pt>
                <c:pt idx="243">
                  <c:v>8.3502438396939506E-5</c:v>
                </c:pt>
                <c:pt idx="244">
                  <c:v>8.2995729559359215E-5</c:v>
                </c:pt>
                <c:pt idx="245">
                  <c:v>8.244434079702119E-5</c:v>
                </c:pt>
                <c:pt idx="246">
                  <c:v>8.1848255251686954E-5</c:v>
                </c:pt>
                <c:pt idx="247">
                  <c:v>8.1345274901714498E-5</c:v>
                </c:pt>
                <c:pt idx="248">
                  <c:v>8.0995299528161205E-5</c:v>
                </c:pt>
                <c:pt idx="249">
                  <c:v>8.0798404390689739E-5</c:v>
                </c:pt>
                <c:pt idx="250">
                  <c:v>8.0754672697579165E-5</c:v>
                </c:pt>
                <c:pt idx="251">
                  <c:v>8.0864195876631379E-5</c:v>
                </c:pt>
                <c:pt idx="252">
                  <c:v>8.1127073842620506E-5</c:v>
                </c:pt>
                <c:pt idx="253">
                  <c:v>8.1636129137106027E-5</c:v>
                </c:pt>
                <c:pt idx="254">
                  <c:v>8.2376915762859165E-5</c:v>
                </c:pt>
                <c:pt idx="255">
                  <c:v>8.3349615039457722E-5</c:v>
                </c:pt>
                <c:pt idx="256">
                  <c:v>8.4554422664037576E-5</c:v>
                </c:pt>
                <c:pt idx="257">
                  <c:v>8.5991549116880341E-5</c:v>
                </c:pt>
                <c:pt idx="258">
                  <c:v>8.7661220067773195E-5</c:v>
                </c:pt>
                <c:pt idx="259">
                  <c:v>8.9563676783599455E-5</c:v>
                </c:pt>
                <c:pt idx="260">
                  <c:v>9.1699176533306369E-5</c:v>
                </c:pt>
                <c:pt idx="261">
                  <c:v>9.4176052276010846E-5</c:v>
                </c:pt>
                <c:pt idx="262">
                  <c:v>9.6856409484533936E-5</c:v>
                </c:pt>
                <c:pt idx="263">
                  <c:v>9.9740531891585914E-5</c:v>
                </c:pt>
                <c:pt idx="264">
                  <c:v>1.0282872378375175E-4</c:v>
                </c:pt>
                <c:pt idx="265">
                  <c:v>1.0612187470397861E-4</c:v>
                </c:pt>
                <c:pt idx="266">
                  <c:v>1.0962067787298458E-4</c:v>
                </c:pt>
                <c:pt idx="267">
                  <c:v>1.1328357406772152E-4</c:v>
                </c:pt>
                <c:pt idx="268">
                  <c:v>1.1701770221200575E-4</c:v>
                </c:pt>
                <c:pt idx="269">
                  <c:v>1.2082320494052251E-4</c:v>
                </c:pt>
                <c:pt idx="270">
                  <c:v>1.2470021517424457E-4</c:v>
                </c:pt>
                <c:pt idx="271">
                  <c:v>1.2864885538631647E-4</c:v>
                </c:pt>
                <c:pt idx="272">
                  <c:v>1.3266923687111978E-4</c:v>
                </c:pt>
                <c:pt idx="273">
                  <c:v>1.3676145901177247E-4</c:v>
                </c:pt>
                <c:pt idx="274">
                  <c:v>1.4092560854933007E-4</c:v>
                </c:pt>
                <c:pt idx="275">
                  <c:v>1.4520304072828939E-4</c:v>
                </c:pt>
                <c:pt idx="276">
                  <c:v>1.4948516675117939E-4</c:v>
                </c:pt>
                <c:pt idx="277">
                  <c:v>1.5377193094783195E-4</c:v>
                </c:pt>
                <c:pt idx="278">
                  <c:v>1.5806325913375138E-4</c:v>
                </c:pt>
                <c:pt idx="279">
                  <c:v>1.6235905861752329E-4</c:v>
                </c:pt>
                <c:pt idx="280">
                  <c:v>1.6665921820970396E-4</c:v>
                </c:pt>
                <c:pt idx="281">
                  <c:v>1.7079624250879939E-4</c:v>
                </c:pt>
                <c:pt idx="282">
                  <c:v>1.7481187594777856E-4</c:v>
                </c:pt>
                <c:pt idx="283">
                  <c:v>1.7870575470807712E-4</c:v>
                </c:pt>
                <c:pt idx="284">
                  <c:v>1.8247749704948938E-4</c:v>
                </c:pt>
                <c:pt idx="285">
                  <c:v>1.8612670468821024E-4</c:v>
                </c:pt>
                <c:pt idx="286">
                  <c:v>1.8965296417661971E-4</c:v>
                </c:pt>
                <c:pt idx="287">
                  <c:v>1.9305584828129097E-4</c:v>
                </c:pt>
                <c:pt idx="288">
                  <c:v>1.9633491736166929E-4</c:v>
                </c:pt>
                <c:pt idx="289">
                  <c:v>1.9911182606970016E-4</c:v>
                </c:pt>
                <c:pt idx="290">
                  <c:v>2.0134394715569848E-4</c:v>
                </c:pt>
                <c:pt idx="291">
                  <c:v>2.0303020082131646E-4</c:v>
                </c:pt>
                <c:pt idx="292">
                  <c:v>2.0416952334443292E-4</c:v>
                </c:pt>
                <c:pt idx="293">
                  <c:v>2.0476087303078125E-4</c:v>
                </c:pt>
                <c:pt idx="294">
                  <c:v>2.0480323616480295E-4</c:v>
                </c:pt>
                <c:pt idx="295">
                  <c:v>2.0458119503056636E-4</c:v>
                </c:pt>
                <c:pt idx="296">
                  <c:v>2.0426527386420941E-4</c:v>
                </c:pt>
                <c:pt idx="297">
                  <c:v>2.0385684366104701E-4</c:v>
                </c:pt>
                <c:pt idx="298">
                  <c:v>2.0335557849065759E-4</c:v>
                </c:pt>
                <c:pt idx="299">
                  <c:v>2.0276115117093176E-4</c:v>
                </c:pt>
                <c:pt idx="300">
                  <c:v>2.0207323413191716E-4</c:v>
                </c:pt>
                <c:pt idx="301">
                  <c:v>2.0129150027904389E-4</c:v>
                </c:pt>
                <c:pt idx="302">
                  <c:v>2.0041562385680574E-4</c:v>
                </c:pt>
                <c:pt idx="303">
                  <c:v>1.9958723612508049E-4</c:v>
                </c:pt>
                <c:pt idx="304">
                  <c:v>1.9918679559876996E-4</c:v>
                </c:pt>
                <c:pt idx="305">
                  <c:v>1.9921473141626335E-4</c:v>
                </c:pt>
                <c:pt idx="306">
                  <c:v>1.9967147215412231E-4</c:v>
                </c:pt>
                <c:pt idx="307">
                  <c:v>2.0055744188170652E-4</c:v>
                </c:pt>
                <c:pt idx="308">
                  <c:v>2.0187305621412088E-4</c:v>
                </c:pt>
                <c:pt idx="309">
                  <c:v>2.0318757343330864E-4</c:v>
                </c:pt>
                <c:pt idx="310">
                  <c:v>2.0421323615029904E-4</c:v>
                </c:pt>
                <c:pt idx="311">
                  <c:v>2.0494944516770823E-4</c:v>
                </c:pt>
                <c:pt idx="312">
                  <c:v>2.0539560901242486E-4</c:v>
                </c:pt>
                <c:pt idx="313">
                  <c:v>2.0555114658780453E-4</c:v>
                </c:pt>
                <c:pt idx="314">
                  <c:v>2.0541548982399354E-4</c:v>
                </c:pt>
                <c:pt idx="315">
                  <c:v>2.0498808633083468E-4</c:v>
                </c:pt>
                <c:pt idx="316">
                  <c:v>2.0426840204759418E-4</c:v>
                </c:pt>
                <c:pt idx="317">
                  <c:v>2.034473431942236E-4</c:v>
                </c:pt>
                <c:pt idx="318">
                  <c:v>2.0238173853032325E-4</c:v>
                </c:pt>
                <c:pt idx="319">
                  <c:v>2.0107117085896951E-4</c:v>
                </c:pt>
                <c:pt idx="320">
                  <c:v>1.9951524703797625E-4</c:v>
                </c:pt>
                <c:pt idx="321">
                  <c:v>1.9771360018737882E-4</c:v>
                </c:pt>
                <c:pt idx="322">
                  <c:v>1.956658918977211E-4</c:v>
                </c:pt>
                <c:pt idx="323">
                  <c:v>1.9360517332968268E-4</c:v>
                </c:pt>
                <c:pt idx="324">
                  <c:v>1.9196501868657905E-4</c:v>
                </c:pt>
                <c:pt idx="325">
                  <c:v>1.9074570007862957E-4</c:v>
                </c:pt>
                <c:pt idx="326">
                  <c:v>1.8994626567160749E-4</c:v>
                </c:pt>
                <c:pt idx="327">
                  <c:v>1.8956651279083517E-4</c:v>
                </c:pt>
                <c:pt idx="328">
                  <c:v>1.8960714397928165E-4</c:v>
                </c:pt>
                <c:pt idx="329">
                  <c:v>1.9006879092922063E-4</c:v>
                </c:pt>
                <c:pt idx="330">
                  <c:v>1.9095202333890601E-4</c:v>
                </c:pt>
                <c:pt idx="331">
                  <c:v>1.9184067513970646E-4</c:v>
                </c:pt>
                <c:pt idx="332">
                  <c:v>1.9254295300582204E-4</c:v>
                </c:pt>
                <c:pt idx="333">
                  <c:v>1.9305916633642143E-4</c:v>
                </c:pt>
                <c:pt idx="334">
                  <c:v>1.9338964773457103E-4</c:v>
                </c:pt>
                <c:pt idx="335">
                  <c:v>1.9353474920335659E-4</c:v>
                </c:pt>
                <c:pt idx="336">
                  <c:v>1.9349483833947063E-4</c:v>
                </c:pt>
                <c:pt idx="337">
                  <c:v>1.9322218939824638E-4</c:v>
                </c:pt>
                <c:pt idx="338">
                  <c:v>1.9248335562412826E-4</c:v>
                </c:pt>
                <c:pt idx="339">
                  <c:v>1.91278708066186E-4</c:v>
                </c:pt>
                <c:pt idx="340">
                  <c:v>1.8960862128266948E-4</c:v>
                </c:pt>
                <c:pt idx="341">
                  <c:v>1.8747346367417196E-4</c:v>
                </c:pt>
                <c:pt idx="342">
                  <c:v>1.8487358781660694E-4</c:v>
                </c:pt>
                <c:pt idx="343">
                  <c:v>1.8180932079192743E-4</c:v>
                </c:pt>
                <c:pt idx="344">
                  <c:v>1.7828095452180595E-4</c:v>
                </c:pt>
                <c:pt idx="345">
                  <c:v>1.7428873609934661E-4</c:v>
                </c:pt>
                <c:pt idx="346">
                  <c:v>1.7053574587987821E-4</c:v>
                </c:pt>
                <c:pt idx="347">
                  <c:v>1.670222523460571E-4</c:v>
                </c:pt>
                <c:pt idx="348">
                  <c:v>1.6374851146506292E-4</c:v>
                </c:pt>
                <c:pt idx="349">
                  <c:v>1.6071477163051746E-4</c:v>
                </c:pt>
                <c:pt idx="350">
                  <c:v>1.5792127860825679E-4</c:v>
                </c:pt>
                <c:pt idx="351">
                  <c:v>1.5565435074315994E-4</c:v>
                </c:pt>
                <c:pt idx="352">
                  <c:v>1.5396253111269489E-4</c:v>
                </c:pt>
                <c:pt idx="353">
                  <c:v>1.5284629386314705E-4</c:v>
                </c:pt>
                <c:pt idx="354">
                  <c:v>1.5230618680329779E-4</c:v>
                </c:pt>
                <c:pt idx="355">
                  <c:v>1.5234284328392072E-4</c:v>
                </c:pt>
                <c:pt idx="356">
                  <c:v>1.5295709978717733E-4</c:v>
                </c:pt>
                <c:pt idx="357">
                  <c:v>1.5414945538079095E-4</c:v>
                </c:pt>
                <c:pt idx="358">
                  <c:v>1.5592014192880517E-4</c:v>
                </c:pt>
                <c:pt idx="359">
                  <c:v>1.5826947660033084E-4</c:v>
                </c:pt>
                <c:pt idx="360">
                  <c:v>1.6114958627731391E-4</c:v>
                </c:pt>
                <c:pt idx="361">
                  <c:v>1.6427396855533234E-4</c:v>
                </c:pt>
                <c:pt idx="362">
                  <c:v>1.6764268029582411E-4</c:v>
                </c:pt>
                <c:pt idx="363">
                  <c:v>1.7125577276443264E-4</c:v>
                </c:pt>
                <c:pt idx="364">
                  <c:v>1.7511328552991079E-4</c:v>
                </c:pt>
                <c:pt idx="365">
                  <c:v>1.7921524036117761E-4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5.5705537717475632E-3</c:v>
                </c:pt>
                <c:pt idx="1">
                  <c:v>5.5879331702379277E-3</c:v>
                </c:pt>
                <c:pt idx="2">
                  <c:v>5.6059098025673096E-3</c:v>
                </c:pt>
                <c:pt idx="3">
                  <c:v>5.6244703900188613E-3</c:v>
                </c:pt>
                <c:pt idx="4">
                  <c:v>5.6436015062521433E-3</c:v>
                </c:pt>
                <c:pt idx="5">
                  <c:v>5.6632895632676662E-3</c:v>
                </c:pt>
                <c:pt idx="6">
                  <c:v>5.6835207974437647E-3</c:v>
                </c:pt>
                <c:pt idx="7">
                  <c:v>5.704281255446377E-3</c:v>
                </c:pt>
                <c:pt idx="8">
                  <c:v>5.7255567802174728E-3</c:v>
                </c:pt>
                <c:pt idx="9">
                  <c:v>5.7486514212698597E-3</c:v>
                </c:pt>
                <c:pt idx="10">
                  <c:v>5.7730020655260257E-3</c:v>
                </c:pt>
                <c:pt idx="11">
                  <c:v>5.7985947513715169E-3</c:v>
                </c:pt>
                <c:pt idx="12">
                  <c:v>5.8254151543413206E-3</c:v>
                </c:pt>
                <c:pt idx="13">
                  <c:v>5.8534485535679014E-3</c:v>
                </c:pt>
                <c:pt idx="14">
                  <c:v>5.8826797981288981E-3</c:v>
                </c:pt>
                <c:pt idx="15">
                  <c:v>5.9153262132607158E-3</c:v>
                </c:pt>
                <c:pt idx="16">
                  <c:v>5.9513721426183502E-3</c:v>
                </c:pt>
                <c:pt idx="17">
                  <c:v>5.9908024694024578E-3</c:v>
                </c:pt>
                <c:pt idx="18">
                  <c:v>6.033601026313601E-3</c:v>
                </c:pt>
                <c:pt idx="19">
                  <c:v>6.0797844176847657E-3</c:v>
                </c:pt>
                <c:pt idx="20">
                  <c:v>6.1293845667527297E-3</c:v>
                </c:pt>
                <c:pt idx="21">
                  <c:v>6.1824072089709308E-3</c:v>
                </c:pt>
                <c:pt idx="22">
                  <c:v>6.2388578040844904E-3</c:v>
                </c:pt>
                <c:pt idx="23">
                  <c:v>6.300386595604072E-3</c:v>
                </c:pt>
                <c:pt idx="24">
                  <c:v>6.3656754773099497E-3</c:v>
                </c:pt>
                <c:pt idx="25">
                  <c:v>6.4347293055854364E-3</c:v>
                </c:pt>
                <c:pt idx="26">
                  <c:v>6.5075528116364046E-3</c:v>
                </c:pt>
                <c:pt idx="27">
                  <c:v>6.5841506499559619E-3</c:v>
                </c:pt>
                <c:pt idx="28">
                  <c:v>6.6645274469282964E-3</c:v>
                </c:pt>
                <c:pt idx="29">
                  <c:v>6.7522842069006649E-3</c:v>
                </c:pt>
                <c:pt idx="30">
                  <c:v>6.8451887431257227E-3</c:v>
                </c:pt>
                <c:pt idx="31">
                  <c:v>6.9432456120366816E-3</c:v>
                </c:pt>
                <c:pt idx="32">
                  <c:v>7.0464594646430685E-3</c:v>
                </c:pt>
                <c:pt idx="33">
                  <c:v>7.1548351120435836E-3</c:v>
                </c:pt>
                <c:pt idx="34">
                  <c:v>7.2683775909705975E-3</c:v>
                </c:pt>
                <c:pt idx="35">
                  <c:v>7.3870922293301786E-3</c:v>
                </c:pt>
                <c:pt idx="36">
                  <c:v>7.5109847117280542E-3</c:v>
                </c:pt>
                <c:pt idx="37">
                  <c:v>7.6462605054284415E-3</c:v>
                </c:pt>
                <c:pt idx="38">
                  <c:v>7.7912801791930131E-3</c:v>
                </c:pt>
                <c:pt idx="39">
                  <c:v>7.946049634149575E-3</c:v>
                </c:pt>
                <c:pt idx="40">
                  <c:v>8.1105753950871592E-3</c:v>
                </c:pt>
                <c:pt idx="41">
                  <c:v>8.2848647329969872E-3</c:v>
                </c:pt>
                <c:pt idx="42">
                  <c:v>8.4689257875608989E-3</c:v>
                </c:pt>
                <c:pt idx="43">
                  <c:v>8.6548426177005325E-3</c:v>
                </c:pt>
                <c:pt idx="44">
                  <c:v>8.8390348481677383E-3</c:v>
                </c:pt>
                <c:pt idx="45">
                  <c:v>9.0215164337126511E-3</c:v>
                </c:pt>
                <c:pt idx="46">
                  <c:v>9.2023021952625794E-3</c:v>
                </c:pt>
                <c:pt idx="47">
                  <c:v>9.3814077983522797E-3</c:v>
                </c:pt>
                <c:pt idx="48">
                  <c:v>9.5588497314371915E-3</c:v>
                </c:pt>
                <c:pt idx="49">
                  <c:v>9.7346452842886795E-3</c:v>
                </c:pt>
                <c:pt idx="50">
                  <c:v>9.9088125263320989E-3</c:v>
                </c:pt>
                <c:pt idx="51">
                  <c:v>1.0060203765694956E-2</c:v>
                </c:pt>
                <c:pt idx="52">
                  <c:v>1.0182589336655975E-2</c:v>
                </c:pt>
                <c:pt idx="53">
                  <c:v>1.0275918404245769E-2</c:v>
                </c:pt>
                <c:pt idx="54">
                  <c:v>1.0340188519339669E-2</c:v>
                </c:pt>
                <c:pt idx="55">
                  <c:v>1.0375396614805478E-2</c:v>
                </c:pt>
                <c:pt idx="56">
                  <c:v>1.0381539113113861E-2</c:v>
                </c:pt>
                <c:pt idx="57">
                  <c:v>1.0355505174503234E-2</c:v>
                </c:pt>
                <c:pt idx="58">
                  <c:v>1.0305212130383958E-2</c:v>
                </c:pt>
                <c:pt idx="59">
                  <c:v>1.0230655599529291E-2</c:v>
                </c:pt>
                <c:pt idx="60">
                  <c:v>1.0131831144230044E-2</c:v>
                </c:pt>
                <c:pt idx="61">
                  <c:v>1.0008734360099398E-2</c:v>
                </c:pt>
                <c:pt idx="62">
                  <c:v>9.8613609658626585E-3</c:v>
                </c:pt>
                <c:pt idx="63">
                  <c:v>9.6897068931771427E-3</c:v>
                </c:pt>
                <c:pt idx="64">
                  <c:v>9.4937683764123454E-3</c:v>
                </c:pt>
                <c:pt idx="65">
                  <c:v>9.2775223401086286E-3</c:v>
                </c:pt>
                <c:pt idx="66">
                  <c:v>9.0621333613504704E-3</c:v>
                </c:pt>
                <c:pt idx="67">
                  <c:v>8.8475991878423556E-3</c:v>
                </c:pt>
                <c:pt idx="68">
                  <c:v>8.6339178752806913E-3</c:v>
                </c:pt>
                <c:pt idx="69">
                  <c:v>8.4210877840941063E-3</c:v>
                </c:pt>
                <c:pt idx="70">
                  <c:v>8.2091075762261434E-3</c:v>
                </c:pt>
                <c:pt idx="71">
                  <c:v>7.9875815441787981E-3</c:v>
                </c:pt>
                <c:pt idx="72">
                  <c:v>7.7596162984041768E-3</c:v>
                </c:pt>
                <c:pt idx="73">
                  <c:v>7.5252119136203126E-3</c:v>
                </c:pt>
                <c:pt idx="74">
                  <c:v>7.2843689664405424E-3</c:v>
                </c:pt>
                <c:pt idx="75">
                  <c:v>7.0370885591151183E-3</c:v>
                </c:pt>
                <c:pt idx="76">
                  <c:v>6.7833723432495557E-3</c:v>
                </c:pt>
                <c:pt idx="77">
                  <c:v>6.5232225435465788E-3</c:v>
                </c:pt>
                <c:pt idx="78">
                  <c:v>6.2566421892516072E-3</c:v>
                </c:pt>
                <c:pt idx="79">
                  <c:v>5.9845647530017707E-3</c:v>
                </c:pt>
                <c:pt idx="80">
                  <c:v>5.7030273999697755E-3</c:v>
                </c:pt>
                <c:pt idx="81">
                  <c:v>5.4120297792393281E-3</c:v>
                </c:pt>
                <c:pt idx="82">
                  <c:v>5.1115719277031171E-3</c:v>
                </c:pt>
                <c:pt idx="83">
                  <c:v>4.8016543004440193E-3</c:v>
                </c:pt>
                <c:pt idx="84">
                  <c:v>4.48227780113285E-3</c:v>
                </c:pt>
                <c:pt idx="85">
                  <c:v>4.1707126159803345E-3</c:v>
                </c:pt>
                <c:pt idx="86">
                  <c:v>3.8773463366685262E-3</c:v>
                </c:pt>
                <c:pt idx="87">
                  <c:v>3.6021766001816031E-3</c:v>
                </c:pt>
                <c:pt idx="88">
                  <c:v>3.3452011570673915E-3</c:v>
                </c:pt>
                <c:pt idx="89">
                  <c:v>3.1064178132006585E-3</c:v>
                </c:pt>
                <c:pt idx="90">
                  <c:v>2.8858243715396948E-3</c:v>
                </c:pt>
                <c:pt idx="91">
                  <c:v>2.6834185738950772E-3</c:v>
                </c:pt>
                <c:pt idx="92">
                  <c:v>2.4991980426889407E-3</c:v>
                </c:pt>
                <c:pt idx="93">
                  <c:v>2.3419397834722037E-3</c:v>
                </c:pt>
                <c:pt idx="94">
                  <c:v>2.210733112301507E-3</c:v>
                </c:pt>
                <c:pt idx="95">
                  <c:v>2.1055727771376151E-3</c:v>
                </c:pt>
                <c:pt idx="96">
                  <c:v>2.0264529174285786E-3</c:v>
                </c:pt>
                <c:pt idx="97">
                  <c:v>1.9733669806407789E-3</c:v>
                </c:pt>
                <c:pt idx="98">
                  <c:v>1.9463076387704979E-3</c:v>
                </c:pt>
                <c:pt idx="99">
                  <c:v>1.9453073060007649E-3</c:v>
                </c:pt>
                <c:pt idx="100">
                  <c:v>1.9531087205497729E-3</c:v>
                </c:pt>
                <c:pt idx="101">
                  <c:v>1.9697080401026744E-3</c:v>
                </c:pt>
                <c:pt idx="102">
                  <c:v>1.9951010472238156E-3</c:v>
                </c:pt>
                <c:pt idx="103">
                  <c:v>2.0292831210596252E-3</c:v>
                </c:pt>
                <c:pt idx="104">
                  <c:v>2.0722492090877414E-3</c:v>
                </c:pt>
                <c:pt idx="105">
                  <c:v>2.1239937988234373E-3</c:v>
                </c:pt>
                <c:pt idx="106">
                  <c:v>2.1845108895500866E-3</c:v>
                </c:pt>
                <c:pt idx="107">
                  <c:v>2.25441001821943E-3</c:v>
                </c:pt>
                <c:pt idx="108">
                  <c:v>2.3249207213155978E-3</c:v>
                </c:pt>
                <c:pt idx="109">
                  <c:v>2.3960399515440072E-3</c:v>
                </c:pt>
                <c:pt idx="110">
                  <c:v>2.4677715614769241E-3</c:v>
                </c:pt>
                <c:pt idx="111">
                  <c:v>2.5401202772696303E-3</c:v>
                </c:pt>
                <c:pt idx="112">
                  <c:v>2.613084205663569E-3</c:v>
                </c:pt>
                <c:pt idx="113">
                  <c:v>2.6870628903525608E-3</c:v>
                </c:pt>
                <c:pt idx="114">
                  <c:v>2.7620135171277059E-3</c:v>
                </c:pt>
                <c:pt idx="115">
                  <c:v>2.8379337004952546E-3</c:v>
                </c:pt>
                <c:pt idx="116">
                  <c:v>2.9148209571508046E-3</c:v>
                </c:pt>
                <c:pt idx="117">
                  <c:v>2.9926727037760908E-3</c:v>
                </c:pt>
                <c:pt idx="118">
                  <c:v>3.0714862548080358E-3</c:v>
                </c:pt>
                <c:pt idx="119">
                  <c:v>3.151258820215492E-3</c:v>
                </c:pt>
                <c:pt idx="120">
                  <c:v>3.231987503270787E-3</c:v>
                </c:pt>
                <c:pt idx="121">
                  <c:v>3.3127554185848063E-3</c:v>
                </c:pt>
                <c:pt idx="122">
                  <c:v>3.3929461443402268E-3</c:v>
                </c:pt>
                <c:pt idx="123">
                  <c:v>3.4725576992510492E-3</c:v>
                </c:pt>
                <c:pt idx="124">
                  <c:v>3.5515880524125479E-3</c:v>
                </c:pt>
                <c:pt idx="125">
                  <c:v>3.6300351244533857E-3</c:v>
                </c:pt>
                <c:pt idx="126">
                  <c:v>3.7078967886397928E-3</c:v>
                </c:pt>
                <c:pt idx="127">
                  <c:v>3.7843336862439618E-3</c:v>
                </c:pt>
                <c:pt idx="128">
                  <c:v>3.8589443943176181E-3</c:v>
                </c:pt>
                <c:pt idx="129">
                  <c:v>3.9317278398112755E-3</c:v>
                </c:pt>
                <c:pt idx="130">
                  <c:v>4.0026829702196594E-3</c:v>
                </c:pt>
                <c:pt idx="131">
                  <c:v>4.0718087573807264E-3</c:v>
                </c:pt>
                <c:pt idx="132">
                  <c:v>4.1391042013100886E-3</c:v>
                </c:pt>
                <c:pt idx="133">
                  <c:v>4.2045683340615177E-3</c:v>
                </c:pt>
                <c:pt idx="134">
                  <c:v>4.2682002235675184E-3</c:v>
                </c:pt>
                <c:pt idx="135">
                  <c:v>4.3300824438443639E-3</c:v>
                </c:pt>
                <c:pt idx="136">
                  <c:v>4.3911235950589598E-3</c:v>
                </c:pt>
                <c:pt idx="137">
                  <c:v>4.4513217126398727E-3</c:v>
                </c:pt>
                <c:pt idx="138">
                  <c:v>4.510674822215093E-3</c:v>
                </c:pt>
                <c:pt idx="139">
                  <c:v>4.5691809413752884E-3</c:v>
                </c:pt>
                <c:pt idx="140">
                  <c:v>4.6268380811851969E-3</c:v>
                </c:pt>
                <c:pt idx="141">
                  <c:v>4.6810991414789963E-3</c:v>
                </c:pt>
                <c:pt idx="142">
                  <c:v>4.7327719901514966E-3</c:v>
                </c:pt>
                <c:pt idx="143">
                  <c:v>4.781834858762218E-3</c:v>
                </c:pt>
                <c:pt idx="144">
                  <c:v>4.8282944353243498E-3</c:v>
                </c:pt>
                <c:pt idx="145">
                  <c:v>4.8721579720321408E-3</c:v>
                </c:pt>
                <c:pt idx="146">
                  <c:v>4.9134332521139183E-3</c:v>
                </c:pt>
                <c:pt idx="147">
                  <c:v>4.9521285568484199E-3</c:v>
                </c:pt>
                <c:pt idx="148">
                  <c:v>4.9882526324654215E-3</c:v>
                </c:pt>
                <c:pt idx="149">
                  <c:v>5.0184281734750947E-3</c:v>
                </c:pt>
                <c:pt idx="150">
                  <c:v>5.0425878241386795E-3</c:v>
                </c:pt>
                <c:pt idx="151">
                  <c:v>5.0607478303688691E-3</c:v>
                </c:pt>
                <c:pt idx="152">
                  <c:v>5.0729249452871571E-3</c:v>
                </c:pt>
                <c:pt idx="153">
                  <c:v>5.0791363493467292E-3</c:v>
                </c:pt>
                <c:pt idx="154">
                  <c:v>5.0793995704831703E-3</c:v>
                </c:pt>
                <c:pt idx="155">
                  <c:v>5.0742498039816229E-3</c:v>
                </c:pt>
                <c:pt idx="156">
                  <c:v>5.0662278668739376E-3</c:v>
                </c:pt>
                <c:pt idx="157">
                  <c:v>5.0553460692642996E-3</c:v>
                </c:pt>
                <c:pt idx="158">
                  <c:v>5.0416167307106774E-3</c:v>
                </c:pt>
                <c:pt idx="159">
                  <c:v>5.0250521415281689E-3</c:v>
                </c:pt>
                <c:pt idx="160">
                  <c:v>5.0056645241546112E-3</c:v>
                </c:pt>
                <c:pt idx="161">
                  <c:v>4.9834659944590241E-3</c:v>
                </c:pt>
                <c:pt idx="162">
                  <c:v>4.9584685230772496E-3</c:v>
                </c:pt>
                <c:pt idx="163">
                  <c:v>4.9321245547267528E-3</c:v>
                </c:pt>
                <c:pt idx="164">
                  <c:v>4.907798083439923E-3</c:v>
                </c:pt>
                <c:pt idx="165">
                  <c:v>4.8854917051941909E-3</c:v>
                </c:pt>
                <c:pt idx="166">
                  <c:v>4.8652080032943043E-3</c:v>
                </c:pt>
                <c:pt idx="167">
                  <c:v>4.8469495748976943E-3</c:v>
                </c:pt>
                <c:pt idx="168">
                  <c:v>4.8307190576959477E-3</c:v>
                </c:pt>
                <c:pt idx="169">
                  <c:v>4.8179547112620373E-3</c:v>
                </c:pt>
                <c:pt idx="170">
                  <c:v>4.8081442884322879E-3</c:v>
                </c:pt>
                <c:pt idx="171">
                  <c:v>4.8012893105725011E-3</c:v>
                </c:pt>
                <c:pt idx="172">
                  <c:v>4.7973915530696359E-3</c:v>
                </c:pt>
                <c:pt idx="173">
                  <c:v>4.7964040359021213E-3</c:v>
                </c:pt>
                <c:pt idx="174">
                  <c:v>4.7982774319527436E-3</c:v>
                </c:pt>
                <c:pt idx="175">
                  <c:v>4.803010214008121E-3</c:v>
                </c:pt>
                <c:pt idx="176">
                  <c:v>4.8106008737739524E-3</c:v>
                </c:pt>
                <c:pt idx="177">
                  <c:v>4.8215588020620367E-3</c:v>
                </c:pt>
                <c:pt idx="178">
                  <c:v>4.8344528663374388E-3</c:v>
                </c:pt>
                <c:pt idx="179">
                  <c:v>4.8492830938752377E-3</c:v>
                </c:pt>
                <c:pt idx="180">
                  <c:v>4.8660495812509787E-3</c:v>
                </c:pt>
                <c:pt idx="181">
                  <c:v>4.8847525057053509E-3</c:v>
                </c:pt>
                <c:pt idx="182">
                  <c:v>4.9053921365510835E-3</c:v>
                </c:pt>
                <c:pt idx="183">
                  <c:v>4.9246471612577952E-3</c:v>
                </c:pt>
                <c:pt idx="184">
                  <c:v>4.9410980746466254E-3</c:v>
                </c:pt>
                <c:pt idx="185">
                  <c:v>4.9547521451559695E-3</c:v>
                </c:pt>
                <c:pt idx="186">
                  <c:v>4.9656165774672129E-3</c:v>
                </c:pt>
                <c:pt idx="187">
                  <c:v>4.9736984959677299E-3</c:v>
                </c:pt>
                <c:pt idx="188">
                  <c:v>4.9790049282429473E-3</c:v>
                </c:pt>
                <c:pt idx="189">
                  <c:v>4.9815427884165511E-3</c:v>
                </c:pt>
                <c:pt idx="190">
                  <c:v>4.9813188607028399E-3</c:v>
                </c:pt>
                <c:pt idx="191">
                  <c:v>4.9758626406548071E-3</c:v>
                </c:pt>
                <c:pt idx="192">
                  <c:v>4.964676371130892E-3</c:v>
                </c:pt>
                <c:pt idx="193">
                  <c:v>4.9477698671605798E-3</c:v>
                </c:pt>
                <c:pt idx="194">
                  <c:v>4.9251525348802229E-3</c:v>
                </c:pt>
                <c:pt idx="195">
                  <c:v>4.8968333374491977E-3</c:v>
                </c:pt>
                <c:pt idx="196">
                  <c:v>4.862820760775024E-3</c:v>
                </c:pt>
                <c:pt idx="197">
                  <c:v>4.8232036326938035E-3</c:v>
                </c:pt>
                <c:pt idx="198">
                  <c:v>4.7812902321346124E-3</c:v>
                </c:pt>
                <c:pt idx="199">
                  <c:v>4.737084115132237E-3</c:v>
                </c:pt>
                <c:pt idx="200">
                  <c:v>4.6905885309881856E-3</c:v>
                </c:pt>
                <c:pt idx="201">
                  <c:v>4.6418064080663759E-3</c:v>
                </c:pt>
                <c:pt idx="202">
                  <c:v>4.5907403396178688E-3</c:v>
                </c:pt>
                <c:pt idx="203">
                  <c:v>4.5373925697079201E-3</c:v>
                </c:pt>
                <c:pt idx="204">
                  <c:v>4.4817577416890932E-3</c:v>
                </c:pt>
                <c:pt idx="205">
                  <c:v>4.4230208776986505E-3</c:v>
                </c:pt>
                <c:pt idx="206">
                  <c:v>4.3636456260730677E-3</c:v>
                </c:pt>
                <c:pt idx="207">
                  <c:v>4.3036286728453136E-3</c:v>
                </c:pt>
                <c:pt idx="208">
                  <c:v>4.2429667174107644E-3</c:v>
                </c:pt>
                <c:pt idx="209">
                  <c:v>4.1816564747254271E-3</c:v>
                </c:pt>
                <c:pt idx="210">
                  <c:v>4.11969467764693E-3</c:v>
                </c:pt>
                <c:pt idx="211">
                  <c:v>4.0561996568882234E-3</c:v>
                </c:pt>
                <c:pt idx="212">
                  <c:v>3.991087987823729E-3</c:v>
                </c:pt>
                <c:pt idx="213">
                  <c:v>3.9243568076254825E-3</c:v>
                </c:pt>
                <c:pt idx="214">
                  <c:v>3.8560032151224162E-3</c:v>
                </c:pt>
                <c:pt idx="215">
                  <c:v>3.7860242760445529E-3</c:v>
                </c:pt>
                <c:pt idx="216">
                  <c:v>3.7144170282523911E-3</c:v>
                </c:pt>
                <c:pt idx="217">
                  <c:v>3.6411784869803689E-3</c:v>
                </c:pt>
                <c:pt idx="218">
                  <c:v>3.5663056500587803E-3</c:v>
                </c:pt>
                <c:pt idx="219">
                  <c:v>3.4901804127067705E-3</c:v>
                </c:pt>
                <c:pt idx="220">
                  <c:v>3.413605053557344E-3</c:v>
                </c:pt>
                <c:pt idx="221">
                  <c:v>3.3365764009746046E-3</c:v>
                </c:pt>
                <c:pt idx="222">
                  <c:v>3.2590913508941822E-3</c:v>
                </c:pt>
                <c:pt idx="223">
                  <c:v>3.1811468684155961E-3</c:v>
                </c:pt>
                <c:pt idx="224">
                  <c:v>3.1027399893106891E-3</c:v>
                </c:pt>
                <c:pt idx="225">
                  <c:v>3.0244575867310231E-3</c:v>
                </c:pt>
                <c:pt idx="226">
                  <c:v>2.9471743836515575E-3</c:v>
                </c:pt>
                <c:pt idx="227">
                  <c:v>2.8708876720321217E-3</c:v>
                </c:pt>
                <c:pt idx="228">
                  <c:v>2.7955948831126826E-3</c:v>
                </c:pt>
                <c:pt idx="229">
                  <c:v>2.7212935843507029E-3</c:v>
                </c:pt>
                <c:pt idx="230">
                  <c:v>2.647981476405797E-3</c:v>
                </c:pt>
                <c:pt idx="231">
                  <c:v>2.5756563901311118E-3</c:v>
                </c:pt>
                <c:pt idx="232">
                  <c:v>2.5043162835076071E-3</c:v>
                </c:pt>
                <c:pt idx="233">
                  <c:v>2.4339980698875217E-3</c:v>
                </c:pt>
                <c:pt idx="234">
                  <c:v>2.3643150367860274E-3</c:v>
                </c:pt>
                <c:pt idx="235">
                  <c:v>2.2952673025906671E-3</c:v>
                </c:pt>
                <c:pt idx="236">
                  <c:v>2.2268555929777869E-3</c:v>
                </c:pt>
                <c:pt idx="237">
                  <c:v>2.1590790410080103E-3</c:v>
                </c:pt>
                <c:pt idx="238">
                  <c:v>2.0919367572130258E-3</c:v>
                </c:pt>
                <c:pt idx="239">
                  <c:v>2.0338231618093118E-3</c:v>
                </c:pt>
                <c:pt idx="240">
                  <c:v>1.9841494250201265E-3</c:v>
                </c:pt>
                <c:pt idx="241">
                  <c:v>1.942917053464807E-3</c:v>
                </c:pt>
                <c:pt idx="242">
                  <c:v>1.9101279015654139E-3</c:v>
                </c:pt>
                <c:pt idx="243">
                  <c:v>1.8857841864503573E-3</c:v>
                </c:pt>
                <c:pt idx="244">
                  <c:v>1.8698885028451051E-3</c:v>
                </c:pt>
                <c:pt idx="245">
                  <c:v>1.8624438379432782E-3</c:v>
                </c:pt>
                <c:pt idx="246">
                  <c:v>1.8634535862755855E-3</c:v>
                </c:pt>
                <c:pt idx="247">
                  <c:v>1.8894415445556082E-3</c:v>
                </c:pt>
                <c:pt idx="248">
                  <c:v>1.9403807208923601E-3</c:v>
                </c:pt>
                <c:pt idx="249">
                  <c:v>2.0162843285186625E-3</c:v>
                </c:pt>
                <c:pt idx="250">
                  <c:v>2.1171669580201469E-3</c:v>
                </c:pt>
                <c:pt idx="251">
                  <c:v>2.2430446213307122E-3</c:v>
                </c:pt>
                <c:pt idx="252">
                  <c:v>2.3939347956446542E-3</c:v>
                </c:pt>
                <c:pt idx="253">
                  <c:v>2.5707243772529818E-3</c:v>
                </c:pt>
                <c:pt idx="254">
                  <c:v>2.7650205772149516E-3</c:v>
                </c:pt>
                <c:pt idx="255">
                  <c:v>2.9768405772251471E-3</c:v>
                </c:pt>
                <c:pt idx="256">
                  <c:v>3.206202741800251E-3</c:v>
                </c:pt>
                <c:pt idx="257">
                  <c:v>3.4531266489097787E-3</c:v>
                </c:pt>
                <c:pt idx="258">
                  <c:v>3.7176331206301028E-3</c:v>
                </c:pt>
                <c:pt idx="259">
                  <c:v>3.9997442538542861E-3</c:v>
                </c:pt>
                <c:pt idx="260">
                  <c:v>4.2994834508964354E-3</c:v>
                </c:pt>
                <c:pt idx="261">
                  <c:v>4.6069067308554196E-3</c:v>
                </c:pt>
                <c:pt idx="262">
                  <c:v>4.90545642157021E-3</c:v>
                </c:pt>
                <c:pt idx="263">
                  <c:v>5.1951353635125447E-3</c:v>
                </c:pt>
                <c:pt idx="264">
                  <c:v>5.4759462462712566E-3</c:v>
                </c:pt>
                <c:pt idx="265">
                  <c:v>5.7479221821044729E-3</c:v>
                </c:pt>
                <c:pt idx="266">
                  <c:v>6.0110857132627911E-3</c:v>
                </c:pt>
                <c:pt idx="267">
                  <c:v>6.2692606819895634E-3</c:v>
                </c:pt>
                <c:pt idx="268">
                  <c:v>6.5215768817122625E-3</c:v>
                </c:pt>
                <c:pt idx="269">
                  <c:v>6.768033037482659E-3</c:v>
                </c:pt>
                <c:pt idx="270">
                  <c:v>7.0086261668449697E-3</c:v>
                </c:pt>
                <c:pt idx="271">
                  <c:v>7.2433516476123365E-3</c:v>
                </c:pt>
                <c:pt idx="272">
                  <c:v>7.4722032858198983E-3</c:v>
                </c:pt>
                <c:pt idx="273">
                  <c:v>7.6951733835902087E-3</c:v>
                </c:pt>
                <c:pt idx="274">
                  <c:v>7.9122528070945733E-3</c:v>
                </c:pt>
                <c:pt idx="275">
                  <c:v>8.1204349683224632E-3</c:v>
                </c:pt>
                <c:pt idx="276">
                  <c:v>8.3297322996830573E-3</c:v>
                </c:pt>
                <c:pt idx="277">
                  <c:v>8.5401422386371783E-3</c:v>
                </c:pt>
                <c:pt idx="278">
                  <c:v>8.7516613597824321E-3</c:v>
                </c:pt>
                <c:pt idx="279">
                  <c:v>8.9642853655789671E-3</c:v>
                </c:pt>
                <c:pt idx="280">
                  <c:v>9.1780090771571843E-3</c:v>
                </c:pt>
                <c:pt idx="281">
                  <c:v>9.3723525441651249E-3</c:v>
                </c:pt>
                <c:pt idx="282">
                  <c:v>9.5434248500500737E-3</c:v>
                </c:pt>
                <c:pt idx="283">
                  <c:v>9.6911798669965712E-3</c:v>
                </c:pt>
                <c:pt idx="284">
                  <c:v>9.8155706020767852E-3</c:v>
                </c:pt>
                <c:pt idx="285">
                  <c:v>9.9165494542025733E-3</c:v>
                </c:pt>
                <c:pt idx="286">
                  <c:v>9.994068471171437E-3</c:v>
                </c:pt>
                <c:pt idx="287">
                  <c:v>1.0048079606616026E-2</c:v>
                </c:pt>
                <c:pt idx="288">
                  <c:v>1.0078534976990247E-2</c:v>
                </c:pt>
                <c:pt idx="289">
                  <c:v>1.0077692847597247E-2</c:v>
                </c:pt>
                <c:pt idx="290">
                  <c:v>1.0048514099756803E-2</c:v>
                </c:pt>
                <c:pt idx="291">
                  <c:v>9.9909461432341872E-3</c:v>
                </c:pt>
                <c:pt idx="292">
                  <c:v>9.9049378497818499E-3</c:v>
                </c:pt>
                <c:pt idx="293">
                  <c:v>9.7904398611344135E-3</c:v>
                </c:pt>
                <c:pt idx="294">
                  <c:v>9.6474048969642946E-3</c:v>
                </c:pt>
                <c:pt idx="295">
                  <c:v>9.4818219353991467E-3</c:v>
                </c:pt>
                <c:pt idx="296">
                  <c:v>9.314396228843726E-3</c:v>
                </c:pt>
                <c:pt idx="297">
                  <c:v>9.1451929342997746E-3</c:v>
                </c:pt>
                <c:pt idx="298">
                  <c:v>8.9741979426014411E-3</c:v>
                </c:pt>
                <c:pt idx="299">
                  <c:v>8.8013977292534396E-3</c:v>
                </c:pt>
                <c:pt idx="300">
                  <c:v>8.6267793700044015E-3</c:v>
                </c:pt>
                <c:pt idx="301">
                  <c:v>8.4503305563926653E-3</c:v>
                </c:pt>
                <c:pt idx="302">
                  <c:v>8.2720396113119456E-3</c:v>
                </c:pt>
                <c:pt idx="303">
                  <c:v>8.0954067720023001E-3</c:v>
                </c:pt>
                <c:pt idx="304">
                  <c:v>7.9281755569680559E-3</c:v>
                </c:pt>
                <c:pt idx="305">
                  <c:v>7.7703523451297047E-3</c:v>
                </c:pt>
                <c:pt idx="306">
                  <c:v>7.6219440919313959E-3</c:v>
                </c:pt>
                <c:pt idx="307">
                  <c:v>7.4829582412746709E-3</c:v>
                </c:pt>
                <c:pt idx="308">
                  <c:v>7.3534026373889847E-3</c:v>
                </c:pt>
                <c:pt idx="309">
                  <c:v>7.2348963796269638E-3</c:v>
                </c:pt>
                <c:pt idx="310">
                  <c:v>7.1213746716024947E-3</c:v>
                </c:pt>
                <c:pt idx="311">
                  <c:v>7.012839954698296E-3</c:v>
                </c:pt>
                <c:pt idx="312">
                  <c:v>6.9092949010231301E-3</c:v>
                </c:pt>
                <c:pt idx="313">
                  <c:v>6.8107423663235191E-3</c:v>
                </c:pt>
                <c:pt idx="314">
                  <c:v>6.7171853428315718E-3</c:v>
                </c:pt>
                <c:pt idx="315">
                  <c:v>6.6286269121988645E-3</c:v>
                </c:pt>
                <c:pt idx="316">
                  <c:v>6.5450701983250986E-3</c:v>
                </c:pt>
                <c:pt idx="317">
                  <c:v>6.4687158198024437E-3</c:v>
                </c:pt>
                <c:pt idx="318">
                  <c:v>6.3960346883252016E-3</c:v>
                </c:pt>
                <c:pt idx="319">
                  <c:v>6.327028207259223E-3</c:v>
                </c:pt>
                <c:pt idx="320">
                  <c:v>6.2616977406536609E-3</c:v>
                </c:pt>
                <c:pt idx="321">
                  <c:v>6.2000445783627579E-3</c:v>
                </c:pt>
                <c:pt idx="322">
                  <c:v>6.1420699011924462E-3</c:v>
                </c:pt>
                <c:pt idx="323">
                  <c:v>6.0890779082417796E-3</c:v>
                </c:pt>
                <c:pt idx="324">
                  <c:v>6.0394502829585715E-3</c:v>
                </c:pt>
                <c:pt idx="325">
                  <c:v>5.9931869914231764E-3</c:v>
                </c:pt>
                <c:pt idx="326">
                  <c:v>5.9502507857262582E-3</c:v>
                </c:pt>
                <c:pt idx="327">
                  <c:v>5.9106296834432739E-3</c:v>
                </c:pt>
                <c:pt idx="328">
                  <c:v>5.8743417204492323E-3</c:v>
                </c:pt>
                <c:pt idx="329">
                  <c:v>5.8414040369730511E-3</c:v>
                </c:pt>
                <c:pt idx="330">
                  <c:v>5.8118329505784235E-3</c:v>
                </c:pt>
                <c:pt idx="331">
                  <c:v>5.7856455116334143E-3</c:v>
                </c:pt>
                <c:pt idx="332">
                  <c:v>5.760650800822254E-3</c:v>
                </c:pt>
                <c:pt idx="333">
                  <c:v>5.7368625691050328E-3</c:v>
                </c:pt>
                <c:pt idx="334">
                  <c:v>5.7142942296270482E-3</c:v>
                </c:pt>
                <c:pt idx="335">
                  <c:v>5.6929588849481058E-3</c:v>
                </c:pt>
                <c:pt idx="336">
                  <c:v>5.6728693541960688E-3</c:v>
                </c:pt>
                <c:pt idx="337">
                  <c:v>5.654582893668803E-3</c:v>
                </c:pt>
                <c:pt idx="338">
                  <c:v>5.6368060920674833E-3</c:v>
                </c:pt>
                <c:pt idx="339">
                  <c:v>5.619551017585993E-3</c:v>
                </c:pt>
                <c:pt idx="340">
                  <c:v>5.6028295777865722E-3</c:v>
                </c:pt>
                <c:pt idx="341">
                  <c:v>5.5866535309787276E-3</c:v>
                </c:pt>
                <c:pt idx="342">
                  <c:v>5.5710344975932859E-3</c:v>
                </c:pt>
                <c:pt idx="343">
                  <c:v>5.5559839714891708E-3</c:v>
                </c:pt>
                <c:pt idx="344">
                  <c:v>5.5415133313479982E-3</c:v>
                </c:pt>
                <c:pt idx="345">
                  <c:v>5.5276338520097333E-3</c:v>
                </c:pt>
                <c:pt idx="346">
                  <c:v>5.5150787416754854E-3</c:v>
                </c:pt>
                <c:pt idx="347">
                  <c:v>5.5038592454456072E-3</c:v>
                </c:pt>
                <c:pt idx="348">
                  <c:v>5.4939866016656411E-3</c:v>
                </c:pt>
                <c:pt idx="349">
                  <c:v>5.4854720682454622E-3</c:v>
                </c:pt>
                <c:pt idx="350">
                  <c:v>5.4783269491071309E-3</c:v>
                </c:pt>
                <c:pt idx="351">
                  <c:v>5.4732864900661829E-3</c:v>
                </c:pt>
                <c:pt idx="352">
                  <c:v>5.4698173049758719E-3</c:v>
                </c:pt>
                <c:pt idx="353">
                  <c:v>5.4679311469050295E-3</c:v>
                </c:pt>
                <c:pt idx="354">
                  <c:v>5.4676399554363037E-3</c:v>
                </c:pt>
                <c:pt idx="355">
                  <c:v>5.4689558864715821E-3</c:v>
                </c:pt>
                <c:pt idx="356">
                  <c:v>5.471895123707827E-3</c:v>
                </c:pt>
                <c:pt idx="357">
                  <c:v>5.4764581518687017E-3</c:v>
                </c:pt>
                <c:pt idx="358">
                  <c:v>5.4826325269654074E-3</c:v>
                </c:pt>
                <c:pt idx="359">
                  <c:v>5.4904060207839542E-3</c:v>
                </c:pt>
                <c:pt idx="360">
                  <c:v>5.5003130413288194E-3</c:v>
                </c:pt>
                <c:pt idx="361">
                  <c:v>5.5116164059787415E-3</c:v>
                </c:pt>
                <c:pt idx="362">
                  <c:v>5.524304114674067E-3</c:v>
                </c:pt>
                <c:pt idx="363">
                  <c:v>5.5383642114985587E-3</c:v>
                </c:pt>
                <c:pt idx="364">
                  <c:v>5.5537847522173292E-3</c:v>
                </c:pt>
                <c:pt idx="365">
                  <c:v>5.5705537717475632E-3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3.0408870001478423E-2</c:v>
                </c:pt>
                <c:pt idx="1">
                  <c:v>3.0174468975010277E-2</c:v>
                </c:pt>
                <c:pt idx="2">
                  <c:v>2.9930171771357612E-2</c:v>
                </c:pt>
                <c:pt idx="3">
                  <c:v>2.9675883962975939E-2</c:v>
                </c:pt>
                <c:pt idx="4">
                  <c:v>2.9411513608656265E-2</c:v>
                </c:pt>
                <c:pt idx="5">
                  <c:v>2.9136971504522647E-2</c:v>
                </c:pt>
                <c:pt idx="6">
                  <c:v>2.8852171435402321E-2</c:v>
                </c:pt>
                <c:pt idx="7">
                  <c:v>2.8557030425535045E-2</c:v>
                </c:pt>
                <c:pt idx="8">
                  <c:v>2.8251468989698453E-2</c:v>
                </c:pt>
                <c:pt idx="9">
                  <c:v>2.7960433095070195E-2</c:v>
                </c:pt>
                <c:pt idx="10">
                  <c:v>2.7701519431571165E-2</c:v>
                </c:pt>
                <c:pt idx="11">
                  <c:v>2.7474712368664181E-2</c:v>
                </c:pt>
                <c:pt idx="12">
                  <c:v>2.7279995540665399E-2</c:v>
                </c:pt>
                <c:pt idx="13">
                  <c:v>2.7117351013371982E-2</c:v>
                </c:pt>
                <c:pt idx="14">
                  <c:v>2.6986758450227039E-2</c:v>
                </c:pt>
                <c:pt idx="15">
                  <c:v>2.6907720602686078E-2</c:v>
                </c:pt>
                <c:pt idx="16">
                  <c:v>2.6872452236233021E-2</c:v>
                </c:pt>
                <c:pt idx="17">
                  <c:v>2.688092809546562E-2</c:v>
                </c:pt>
                <c:pt idx="18">
                  <c:v>2.6933114549190628E-2</c:v>
                </c:pt>
                <c:pt idx="19">
                  <c:v>2.7029119223997405E-2</c:v>
                </c:pt>
                <c:pt idx="20">
                  <c:v>2.7169110683966227E-2</c:v>
                </c:pt>
                <c:pt idx="21">
                  <c:v>2.7353135032356771E-2</c:v>
                </c:pt>
                <c:pt idx="22">
                  <c:v>2.7581232538777128E-2</c:v>
                </c:pt>
                <c:pt idx="23">
                  <c:v>2.7867252252401345E-2</c:v>
                </c:pt>
                <c:pt idx="24">
                  <c:v>2.8186109117723943E-2</c:v>
                </c:pt>
                <c:pt idx="25">
                  <c:v>2.8537826521471136E-2</c:v>
                </c:pt>
                <c:pt idx="26">
                  <c:v>2.8922425571463063E-2</c:v>
                </c:pt>
                <c:pt idx="27">
                  <c:v>2.9339925513563406E-2</c:v>
                </c:pt>
                <c:pt idx="28">
                  <c:v>2.9790344149246393E-2</c:v>
                </c:pt>
                <c:pt idx="29">
                  <c:v>3.0288669499620838E-2</c:v>
                </c:pt>
                <c:pt idx="30">
                  <c:v>3.0815357905994337E-2</c:v>
                </c:pt>
                <c:pt idx="31">
                  <c:v>3.1370425280590745E-2</c:v>
                </c:pt>
                <c:pt idx="32">
                  <c:v>3.1953888136508464E-2</c:v>
                </c:pt>
                <c:pt idx="33">
                  <c:v>3.2565763947537983E-2</c:v>
                </c:pt>
                <c:pt idx="34">
                  <c:v>3.3206071508122333E-2</c:v>
                </c:pt>
                <c:pt idx="35">
                  <c:v>3.3874831293299081E-2</c:v>
                </c:pt>
                <c:pt idx="36">
                  <c:v>3.4572065818578405E-2</c:v>
                </c:pt>
                <c:pt idx="37">
                  <c:v>3.531617889855497E-2</c:v>
                </c:pt>
                <c:pt idx="38">
                  <c:v>3.609338435909909E-2</c:v>
                </c:pt>
                <c:pt idx="39">
                  <c:v>3.6903711665259097E-2</c:v>
                </c:pt>
                <c:pt idx="40">
                  <c:v>3.7747193827649246E-2</c:v>
                </c:pt>
                <c:pt idx="41">
                  <c:v>3.862386781968994E-2</c:v>
                </c:pt>
                <c:pt idx="42">
                  <c:v>3.953377499460544E-2</c:v>
                </c:pt>
                <c:pt idx="43">
                  <c:v>4.0468028312440223E-2</c:v>
                </c:pt>
                <c:pt idx="44">
                  <c:v>4.1411725962407421E-2</c:v>
                </c:pt>
                <c:pt idx="45">
                  <c:v>4.2364930190005007E-2</c:v>
                </c:pt>
                <c:pt idx="46">
                  <c:v>4.3327708304580027E-2</c:v>
                </c:pt>
                <c:pt idx="47">
                  <c:v>4.4300132797715414E-2</c:v>
                </c:pt>
                <c:pt idx="48">
                  <c:v>4.5282281461067719E-2</c:v>
                </c:pt>
                <c:pt idx="49">
                  <c:v>4.6274237504590109E-2</c:v>
                </c:pt>
                <c:pt idx="50">
                  <c:v>4.7276089674485801E-2</c:v>
                </c:pt>
                <c:pt idx="51">
                  <c:v>4.8254723057634979E-2</c:v>
                </c:pt>
                <c:pt idx="52">
                  <c:v>4.9191606342663646E-2</c:v>
                </c:pt>
                <c:pt idx="53">
                  <c:v>5.0086497928623887E-2</c:v>
                </c:pt>
                <c:pt idx="54">
                  <c:v>5.0939388355376723E-2</c:v>
                </c:pt>
                <c:pt idx="55">
                  <c:v>5.1750266143005937E-2</c:v>
                </c:pt>
                <c:pt idx="56">
                  <c:v>5.2519117947695017E-2</c:v>
                </c:pt>
                <c:pt idx="57">
                  <c:v>5.3194357572281248E-2</c:v>
                </c:pt>
                <c:pt idx="58">
                  <c:v>5.3784896932553068E-2</c:v>
                </c:pt>
                <c:pt idx="59">
                  <c:v>5.4290717061313165E-2</c:v>
                </c:pt>
                <c:pt idx="60">
                  <c:v>5.4711797660365213E-2</c:v>
                </c:pt>
                <c:pt idx="61">
                  <c:v>5.5048117414186672E-2</c:v>
                </c:pt>
                <c:pt idx="62">
                  <c:v>5.5299654303519415E-2</c:v>
                </c:pt>
                <c:pt idx="63">
                  <c:v>5.5466385919125082E-2</c:v>
                </c:pt>
                <c:pt idx="64">
                  <c:v>5.5548289775320753E-2</c:v>
                </c:pt>
                <c:pt idx="65">
                  <c:v>5.5480699924390593E-2</c:v>
                </c:pt>
                <c:pt idx="66">
                  <c:v>5.5296804806694966E-2</c:v>
                </c:pt>
                <c:pt idx="67">
                  <c:v>5.4996583853063323E-2</c:v>
                </c:pt>
                <c:pt idx="68">
                  <c:v>5.4580018203386226E-2</c:v>
                </c:pt>
                <c:pt idx="69">
                  <c:v>5.4047091136376457E-2</c:v>
                </c:pt>
                <c:pt idx="70">
                  <c:v>5.3397788499588907E-2</c:v>
                </c:pt>
                <c:pt idx="71">
                  <c:v>5.262379279992848E-2</c:v>
                </c:pt>
                <c:pt idx="72">
                  <c:v>5.1776668764934607E-2</c:v>
                </c:pt>
                <c:pt idx="73">
                  <c:v>5.0856410268980502E-2</c:v>
                </c:pt>
                <c:pt idx="74">
                  <c:v>4.9863014312188508E-2</c:v>
                </c:pt>
                <c:pt idx="75">
                  <c:v>4.8796481290381166E-2</c:v>
                </c:pt>
                <c:pt idx="76">
                  <c:v>4.7656815264874607E-2</c:v>
                </c:pt>
                <c:pt idx="77">
                  <c:v>4.6444024232433795E-2</c:v>
                </c:pt>
                <c:pt idx="78">
                  <c:v>4.5158121894361143E-2</c:v>
                </c:pt>
                <c:pt idx="79">
                  <c:v>4.3789279917162784E-2</c:v>
                </c:pt>
                <c:pt idx="80">
                  <c:v>4.240224356059269E-2</c:v>
                </c:pt>
                <c:pt idx="81">
                  <c:v>4.0997002498943745E-2</c:v>
                </c:pt>
                <c:pt idx="82">
                  <c:v>3.9573548234175228E-2</c:v>
                </c:pt>
                <c:pt idx="83">
                  <c:v>3.8131874154567834E-2</c:v>
                </c:pt>
                <c:pt idx="84">
                  <c:v>3.6671975593508606E-2</c:v>
                </c:pt>
                <c:pt idx="85">
                  <c:v>3.5183583324608712E-2</c:v>
                </c:pt>
                <c:pt idx="86">
                  <c:v>3.3674999823001393E-2</c:v>
                </c:pt>
                <c:pt idx="87">
                  <c:v>3.2146227012165254E-2</c:v>
                </c:pt>
                <c:pt idx="88">
                  <c:v>3.0597269039375416E-2</c:v>
                </c:pt>
                <c:pt idx="89">
                  <c:v>2.9028132340705063E-2</c:v>
                </c:pt>
                <c:pt idx="90">
                  <c:v>2.74388257059653E-2</c:v>
                </c:pt>
                <c:pt idx="91">
                  <c:v>2.582936034375841E-2</c:v>
                </c:pt>
                <c:pt idx="92">
                  <c:v>2.4199749946445193E-2</c:v>
                </c:pt>
                <c:pt idx="93">
                  <c:v>2.262842391307299E-2</c:v>
                </c:pt>
                <c:pt idx="94">
                  <c:v>2.1125389940800612E-2</c:v>
                </c:pt>
                <c:pt idx="95">
                  <c:v>1.9690645523765E-2</c:v>
                </c:pt>
                <c:pt idx="96">
                  <c:v>1.8324188048913444E-2</c:v>
                </c:pt>
                <c:pt idx="97">
                  <c:v>1.7026014577630203E-2</c:v>
                </c:pt>
                <c:pt idx="98">
                  <c:v>1.5796121627177553E-2</c:v>
                </c:pt>
                <c:pt idx="99">
                  <c:v>1.4694301378729327E-2</c:v>
                </c:pt>
                <c:pt idx="100">
                  <c:v>1.3730782151750177E-2</c:v>
                </c:pt>
                <c:pt idx="101">
                  <c:v>1.2905530601446433E-2</c:v>
                </c:pt>
                <c:pt idx="102">
                  <c:v>1.2218508899194189E-2</c:v>
                </c:pt>
                <c:pt idx="103">
                  <c:v>1.1669674289209028E-2</c:v>
                </c:pt>
                <c:pt idx="104">
                  <c:v>1.1258978645510018E-2</c:v>
                </c:pt>
                <c:pt idx="105">
                  <c:v>1.0986368028610196E-2</c:v>
                </c:pt>
                <c:pt idx="106">
                  <c:v>1.0851782242357078E-2</c:v>
                </c:pt>
                <c:pt idx="107">
                  <c:v>1.0857597256123723E-2</c:v>
                </c:pt>
                <c:pt idx="108">
                  <c:v>1.0925471839499568E-2</c:v>
                </c:pt>
                <c:pt idx="109">
                  <c:v>1.1055367157085799E-2</c:v>
                </c:pt>
                <c:pt idx="110">
                  <c:v>1.1247272782096642E-2</c:v>
                </c:pt>
                <c:pt idx="111">
                  <c:v>1.1501178171232604E-2</c:v>
                </c:pt>
                <c:pt idx="112">
                  <c:v>1.1817040269614115E-2</c:v>
                </c:pt>
                <c:pt idx="113">
                  <c:v>1.2195796872011624E-2</c:v>
                </c:pt>
                <c:pt idx="114">
                  <c:v>1.2577754507259812E-2</c:v>
                </c:pt>
                <c:pt idx="115">
                  <c:v>1.2962902479563819E-2</c:v>
                </c:pt>
                <c:pt idx="116">
                  <c:v>1.335122964985906E-2</c:v>
                </c:pt>
                <c:pt idx="117">
                  <c:v>1.374272442841875E-2</c:v>
                </c:pt>
                <c:pt idx="118">
                  <c:v>1.4137374767335453E-2</c:v>
                </c:pt>
                <c:pt idx="119">
                  <c:v>1.4535168153037356E-2</c:v>
                </c:pt>
                <c:pt idx="120">
                  <c:v>1.4936091598780706E-2</c:v>
                </c:pt>
                <c:pt idx="121">
                  <c:v>1.5335349423989288E-2</c:v>
                </c:pt>
                <c:pt idx="122">
                  <c:v>1.5730496617485813E-2</c:v>
                </c:pt>
                <c:pt idx="123">
                  <c:v>1.6121524636652576E-2</c:v>
                </c:pt>
                <c:pt idx="124">
                  <c:v>1.650842474778114E-2</c:v>
                </c:pt>
                <c:pt idx="125">
                  <c:v>1.6891188034529561E-2</c:v>
                </c:pt>
                <c:pt idx="126">
                  <c:v>1.7269805406157312E-2</c:v>
                </c:pt>
                <c:pt idx="127">
                  <c:v>1.7635864329467444E-2</c:v>
                </c:pt>
                <c:pt idx="128">
                  <c:v>1.7988384129599744E-2</c:v>
                </c:pt>
                <c:pt idx="129">
                  <c:v>1.8327364309862745E-2</c:v>
                </c:pt>
                <c:pt idx="130">
                  <c:v>1.8652804715022581E-2</c:v>
                </c:pt>
                <c:pt idx="131">
                  <c:v>1.8964705560031297E-2</c:v>
                </c:pt>
                <c:pt idx="132">
                  <c:v>1.9263067458920403E-2</c:v>
                </c:pt>
                <c:pt idx="133">
                  <c:v>1.9547891453815854E-2</c:v>
                </c:pt>
                <c:pt idx="134">
                  <c:v>1.9819179043859988E-2</c:v>
                </c:pt>
                <c:pt idx="135">
                  <c:v>2.0074787575086208E-2</c:v>
                </c:pt>
                <c:pt idx="136">
                  <c:v>2.0319481513563328E-2</c:v>
                </c:pt>
                <c:pt idx="137">
                  <c:v>2.0553260909808614E-2</c:v>
                </c:pt>
                <c:pt idx="138">
                  <c:v>2.0776126228224549E-2</c:v>
                </c:pt>
                <c:pt idx="139">
                  <c:v>2.0988078370762869E-2</c:v>
                </c:pt>
                <c:pt idx="140">
                  <c:v>2.1189118699426756E-2</c:v>
                </c:pt>
                <c:pt idx="141">
                  <c:v>2.1376597480176635E-2</c:v>
                </c:pt>
                <c:pt idx="142">
                  <c:v>2.1558758458747537E-2</c:v>
                </c:pt>
                <c:pt idx="143">
                  <c:v>2.1735496690779104E-2</c:v>
                </c:pt>
                <c:pt idx="144">
                  <c:v>2.1906836446853078E-2</c:v>
                </c:pt>
                <c:pt idx="145">
                  <c:v>2.2072803563810962E-2</c:v>
                </c:pt>
                <c:pt idx="146">
                  <c:v>2.2233425380035601E-2</c:v>
                </c:pt>
                <c:pt idx="147">
                  <c:v>2.2388730671473903E-2</c:v>
                </c:pt>
                <c:pt idx="148">
                  <c:v>2.2538749587134286E-2</c:v>
                </c:pt>
                <c:pt idx="149">
                  <c:v>2.2677833350531543E-2</c:v>
                </c:pt>
                <c:pt idx="150">
                  <c:v>2.2808153999101143E-2</c:v>
                </c:pt>
                <c:pt idx="151">
                  <c:v>2.2929751934380214E-2</c:v>
                </c:pt>
                <c:pt idx="152">
                  <c:v>2.3042668840210473E-2</c:v>
                </c:pt>
                <c:pt idx="153">
                  <c:v>2.3146947570423446E-2</c:v>
                </c:pt>
                <c:pt idx="154">
                  <c:v>2.3242632036651317E-2</c:v>
                </c:pt>
                <c:pt idx="155">
                  <c:v>2.3327481465519353E-2</c:v>
                </c:pt>
                <c:pt idx="156">
                  <c:v>2.3404175264478539E-2</c:v>
                </c:pt>
                <c:pt idx="157">
                  <c:v>2.3472759206789068E-2</c:v>
                </c:pt>
                <c:pt idx="158">
                  <c:v>2.3533279659881928E-2</c:v>
                </c:pt>
                <c:pt idx="159">
                  <c:v>2.3585783477684735E-2</c:v>
                </c:pt>
                <c:pt idx="160">
                  <c:v>2.3630317893237416E-2</c:v>
                </c:pt>
                <c:pt idx="161">
                  <c:v>2.3666930411041565E-2</c:v>
                </c:pt>
                <c:pt idx="162">
                  <c:v>2.3695668699536546E-2</c:v>
                </c:pt>
                <c:pt idx="163">
                  <c:v>2.3715112847551081E-2</c:v>
                </c:pt>
                <c:pt idx="164">
                  <c:v>2.3730940818893802E-2</c:v>
                </c:pt>
                <c:pt idx="165">
                  <c:v>2.3743192504825813E-2</c:v>
                </c:pt>
                <c:pt idx="166">
                  <c:v>2.3751907764955366E-2</c:v>
                </c:pt>
                <c:pt idx="167">
                  <c:v>2.3757126375955593E-2</c:v>
                </c:pt>
                <c:pt idx="168">
                  <c:v>2.3758887981040675E-2</c:v>
                </c:pt>
                <c:pt idx="169">
                  <c:v>2.3755769601602448E-2</c:v>
                </c:pt>
                <c:pt idx="170">
                  <c:v>2.3750077682317235E-2</c:v>
                </c:pt>
                <c:pt idx="171">
                  <c:v>2.3741849807982347E-2</c:v>
                </c:pt>
                <c:pt idx="172">
                  <c:v>2.3731123304684246E-2</c:v>
                </c:pt>
                <c:pt idx="173">
                  <c:v>2.3717692659768117E-2</c:v>
                </c:pt>
                <c:pt idx="174">
                  <c:v>2.3701339833822711E-2</c:v>
                </c:pt>
                <c:pt idx="175">
                  <c:v>2.3682083140261084E-2</c:v>
                </c:pt>
                <c:pt idx="176">
                  <c:v>2.365994087348261E-2</c:v>
                </c:pt>
                <c:pt idx="177">
                  <c:v>2.3632674534706008E-2</c:v>
                </c:pt>
                <c:pt idx="178">
                  <c:v>2.360176142469543E-2</c:v>
                </c:pt>
                <c:pt idx="179">
                  <c:v>2.3567220856370391E-2</c:v>
                </c:pt>
                <c:pt idx="180">
                  <c:v>2.3529072034180313E-2</c:v>
                </c:pt>
                <c:pt idx="181">
                  <c:v>2.3487334032175147E-2</c:v>
                </c:pt>
                <c:pt idx="182">
                  <c:v>2.3442025772282059E-2</c:v>
                </c:pt>
                <c:pt idx="183">
                  <c:v>2.3387594456149949E-2</c:v>
                </c:pt>
                <c:pt idx="184">
                  <c:v>2.332551805702204E-2</c:v>
                </c:pt>
                <c:pt idx="185">
                  <c:v>2.3255820634271829E-2</c:v>
                </c:pt>
                <c:pt idx="186">
                  <c:v>2.317852582673598E-2</c:v>
                </c:pt>
                <c:pt idx="187">
                  <c:v>2.3093656806765256E-2</c:v>
                </c:pt>
                <c:pt idx="188">
                  <c:v>2.3001236234406409E-2</c:v>
                </c:pt>
                <c:pt idx="189">
                  <c:v>2.2901286210878766E-2</c:v>
                </c:pt>
                <c:pt idx="190">
                  <c:v>2.2793828233035413E-2</c:v>
                </c:pt>
                <c:pt idx="191">
                  <c:v>2.2676302374847534E-2</c:v>
                </c:pt>
                <c:pt idx="192">
                  <c:v>2.2550973009184017E-2</c:v>
                </c:pt>
                <c:pt idx="193">
                  <c:v>2.2417859866794471E-2</c:v>
                </c:pt>
                <c:pt idx="194">
                  <c:v>2.2276981859765444E-2</c:v>
                </c:pt>
                <c:pt idx="195">
                  <c:v>2.2128357033971841E-2</c:v>
                </c:pt>
                <c:pt idx="196">
                  <c:v>2.1972002520661407E-2</c:v>
                </c:pt>
                <c:pt idx="197">
                  <c:v>2.1805856989863561E-2</c:v>
                </c:pt>
                <c:pt idx="198">
                  <c:v>2.1635474451743575E-2</c:v>
                </c:pt>
                <c:pt idx="199">
                  <c:v>2.1460865542286923E-2</c:v>
                </c:pt>
                <c:pt idx="200">
                  <c:v>2.1282040100137387E-2</c:v>
                </c:pt>
                <c:pt idx="201">
                  <c:v>2.1099007138837059E-2</c:v>
                </c:pt>
                <c:pt idx="202">
                  <c:v>2.0911774819196868E-2</c:v>
                </c:pt>
                <c:pt idx="203">
                  <c:v>2.0720350422132956E-2</c:v>
                </c:pt>
                <c:pt idx="204">
                  <c:v>2.0524707176785215E-2</c:v>
                </c:pt>
                <c:pt idx="205">
                  <c:v>2.0316706649992796E-2</c:v>
                </c:pt>
                <c:pt idx="206">
                  <c:v>2.0098911119913767E-2</c:v>
                </c:pt>
                <c:pt idx="207">
                  <c:v>1.9871312091586692E-2</c:v>
                </c:pt>
                <c:pt idx="208">
                  <c:v>1.9633900506490973E-2</c:v>
                </c:pt>
                <c:pt idx="209">
                  <c:v>1.938666677384725E-2</c:v>
                </c:pt>
                <c:pt idx="210">
                  <c:v>1.9129600802578181E-2</c:v>
                </c:pt>
                <c:pt idx="211">
                  <c:v>1.8858095363921371E-2</c:v>
                </c:pt>
                <c:pt idx="212">
                  <c:v>1.8574211569643867E-2</c:v>
                </c:pt>
                <c:pt idx="213">
                  <c:v>1.8277938823678102E-2</c:v>
                </c:pt>
                <c:pt idx="214">
                  <c:v>1.7969265986666566E-2</c:v>
                </c:pt>
                <c:pt idx="215">
                  <c:v>1.7648181415421554E-2</c:v>
                </c:pt>
                <c:pt idx="216">
                  <c:v>1.7314673002316105E-2</c:v>
                </c:pt>
                <c:pt idx="217">
                  <c:v>1.696872821474063E-2</c:v>
                </c:pt>
                <c:pt idx="218">
                  <c:v>1.6610334134459014E-2</c:v>
                </c:pt>
                <c:pt idx="219">
                  <c:v>1.6240419611460177E-2</c:v>
                </c:pt>
                <c:pt idx="220">
                  <c:v>1.5867054769208602E-2</c:v>
                </c:pt>
                <c:pt idx="221">
                  <c:v>1.5490224586329289E-2</c:v>
                </c:pt>
                <c:pt idx="222">
                  <c:v>1.510991430171589E-2</c:v>
                </c:pt>
                <c:pt idx="223">
                  <c:v>1.4726109426159435E-2</c:v>
                </c:pt>
                <c:pt idx="224">
                  <c:v>1.4338795753586658E-2</c:v>
                </c:pt>
                <c:pt idx="225">
                  <c:v>1.3950297992933137E-2</c:v>
                </c:pt>
                <c:pt idx="226">
                  <c:v>1.3565194602824938E-2</c:v>
                </c:pt>
                <c:pt idx="227">
                  <c:v>1.318347244986065E-2</c:v>
                </c:pt>
                <c:pt idx="228">
                  <c:v>1.2805119024838016E-2</c:v>
                </c:pt>
                <c:pt idx="229">
                  <c:v>1.2430122432403821E-2</c:v>
                </c:pt>
                <c:pt idx="230">
                  <c:v>1.2058471380921761E-2</c:v>
                </c:pt>
                <c:pt idx="231">
                  <c:v>1.1690155172369742E-2</c:v>
                </c:pt>
                <c:pt idx="232">
                  <c:v>1.1325163691977058E-2</c:v>
                </c:pt>
                <c:pt idx="233">
                  <c:v>1.1020677139077513E-2</c:v>
                </c:pt>
                <c:pt idx="234">
                  <c:v>1.0775752738486999E-2</c:v>
                </c:pt>
                <c:pt idx="235">
                  <c:v>1.0590400522095688E-2</c:v>
                </c:pt>
                <c:pt idx="236">
                  <c:v>1.0464635567419979E-2</c:v>
                </c:pt>
                <c:pt idx="237">
                  <c:v>1.0398468105601306E-2</c:v>
                </c:pt>
                <c:pt idx="238">
                  <c:v>1.0391910730522308E-2</c:v>
                </c:pt>
                <c:pt idx="239">
                  <c:v>1.0519959979697737E-2</c:v>
                </c:pt>
                <c:pt idx="240">
                  <c:v>1.0780313442916951E-2</c:v>
                </c:pt>
                <c:pt idx="241">
                  <c:v>1.1173014228317643E-2</c:v>
                </c:pt>
                <c:pt idx="242">
                  <c:v>1.1698111630161412E-2</c:v>
                </c:pt>
                <c:pt idx="243">
                  <c:v>1.2355661362224142E-2</c:v>
                </c:pt>
                <c:pt idx="244">
                  <c:v>1.3145725791138381E-2</c:v>
                </c:pt>
                <c:pt idx="245">
                  <c:v>1.4068374169610549E-2</c:v>
                </c:pt>
                <c:pt idx="246">
                  <c:v>1.5123682869581677E-2</c:v>
                </c:pt>
                <c:pt idx="247">
                  <c:v>1.6301914239356532E-2</c:v>
                </c:pt>
                <c:pt idx="248">
                  <c:v>1.7545880740834432E-2</c:v>
                </c:pt>
                <c:pt idx="249">
                  <c:v>1.8855648410289402E-2</c:v>
                </c:pt>
                <c:pt idx="250">
                  <c:v>2.0231287670627849E-2</c:v>
                </c:pt>
                <c:pt idx="251">
                  <c:v>2.1672873446881291E-2</c:v>
                </c:pt>
                <c:pt idx="252">
                  <c:v>2.3180485280935987E-2</c:v>
                </c:pt>
                <c:pt idx="253">
                  <c:v>2.4744617530230856E-2</c:v>
                </c:pt>
                <c:pt idx="254">
                  <c:v>2.6290206167719682E-2</c:v>
                </c:pt>
                <c:pt idx="255">
                  <c:v>2.7817289054185134E-2</c:v>
                </c:pt>
                <c:pt idx="256">
                  <c:v>2.9325903967953534E-2</c:v>
                </c:pt>
                <c:pt idx="257">
                  <c:v>3.0816088570453454E-2</c:v>
                </c:pt>
                <c:pt idx="258">
                  <c:v>3.2287880372009553E-2</c:v>
                </c:pt>
                <c:pt idx="259">
                  <c:v>3.3741316698112846E-2</c:v>
                </c:pt>
                <c:pt idx="260">
                  <c:v>3.5176434654745993E-2</c:v>
                </c:pt>
                <c:pt idx="261">
                  <c:v>3.6585305128394134E-2</c:v>
                </c:pt>
                <c:pt idx="262">
                  <c:v>3.7977811729020088E-2</c:v>
                </c:pt>
                <c:pt idx="263">
                  <c:v>3.9353992156009591E-2</c:v>
                </c:pt>
                <c:pt idx="264">
                  <c:v>4.0713885831994721E-2</c:v>
                </c:pt>
                <c:pt idx="265">
                  <c:v>4.2057757541681562E-2</c:v>
                </c:pt>
                <c:pt idx="266">
                  <c:v>4.338578636050202E-2</c:v>
                </c:pt>
                <c:pt idx="267">
                  <c:v>4.4635867179147783E-2</c:v>
                </c:pt>
                <c:pt idx="268">
                  <c:v>4.5817562262629924E-2</c:v>
                </c:pt>
                <c:pt idx="269">
                  <c:v>4.6930800246704901E-2</c:v>
                </c:pt>
                <c:pt idx="270">
                  <c:v>4.7975497737168631E-2</c:v>
                </c:pt>
                <c:pt idx="271">
                  <c:v>4.8951560081216233E-2</c:v>
                </c:pt>
                <c:pt idx="272">
                  <c:v>4.985888214005104E-2</c:v>
                </c:pt>
                <c:pt idx="273">
                  <c:v>5.0697349060892537E-2</c:v>
                </c:pt>
                <c:pt idx="274">
                  <c:v>5.1466837049630065E-2</c:v>
                </c:pt>
                <c:pt idx="275">
                  <c:v>5.2117481737800862E-2</c:v>
                </c:pt>
                <c:pt idx="276">
                  <c:v>5.2657084201331361E-2</c:v>
                </c:pt>
                <c:pt idx="277">
                  <c:v>5.3085434678109202E-2</c:v>
                </c:pt>
                <c:pt idx="278">
                  <c:v>5.3402316060604228E-2</c:v>
                </c:pt>
                <c:pt idx="279">
                  <c:v>5.3607505126036653E-2</c:v>
                </c:pt>
                <c:pt idx="280">
                  <c:v>5.3700773767045649E-2</c:v>
                </c:pt>
                <c:pt idx="281">
                  <c:v>5.3649767626180851E-2</c:v>
                </c:pt>
                <c:pt idx="282">
                  <c:v>5.3516760709430032E-2</c:v>
                </c:pt>
                <c:pt idx="283">
                  <c:v>5.330156521359921E-2</c:v>
                </c:pt>
                <c:pt idx="284">
                  <c:v>5.3003993558231051E-2</c:v>
                </c:pt>
                <c:pt idx="285">
                  <c:v>5.2623859283016224E-2</c:v>
                </c:pt>
                <c:pt idx="286">
                  <c:v>5.2160977945711277E-2</c:v>
                </c:pt>
                <c:pt idx="287">
                  <c:v>5.1615168019528368E-2</c:v>
                </c:pt>
                <c:pt idx="288">
                  <c:v>5.0986251790728583E-2</c:v>
                </c:pt>
                <c:pt idx="289">
                  <c:v>5.0265383226547888E-2</c:v>
                </c:pt>
                <c:pt idx="290">
                  <c:v>4.9502498060323398E-2</c:v>
                </c:pt>
                <c:pt idx="291">
                  <c:v>4.8697496770832072E-2</c:v>
                </c:pt>
                <c:pt idx="292">
                  <c:v>4.785028517265439E-2</c:v>
                </c:pt>
                <c:pt idx="293">
                  <c:v>4.696077486247973E-2</c:v>
                </c:pt>
                <c:pt idx="294">
                  <c:v>4.6028883665214189E-2</c:v>
                </c:pt>
                <c:pt idx="295">
                  <c:v>4.5072426102987E-2</c:v>
                </c:pt>
                <c:pt idx="296">
                  <c:v>4.4124253809249316E-2</c:v>
                </c:pt>
                <c:pt idx="297">
                  <c:v>4.3184697878858362E-2</c:v>
                </c:pt>
                <c:pt idx="298">
                  <c:v>4.225371243782574E-2</c:v>
                </c:pt>
                <c:pt idx="299">
                  <c:v>4.1331255461765207E-2</c:v>
                </c:pt>
                <c:pt idx="300">
                  <c:v>4.0417288691064167E-2</c:v>
                </c:pt>
                <c:pt idx="301">
                  <c:v>3.9511777545925282E-2</c:v>
                </c:pt>
                <c:pt idx="302">
                  <c:v>3.8614691041501628E-2</c:v>
                </c:pt>
                <c:pt idx="303">
                  <c:v>3.7740618728886788E-2</c:v>
                </c:pt>
                <c:pt idx="304">
                  <c:v>3.6898292028674028E-2</c:v>
                </c:pt>
                <c:pt idx="305">
                  <c:v>3.6087723546270857E-2</c:v>
                </c:pt>
                <c:pt idx="306">
                  <c:v>3.530892887260257E-2</c:v>
                </c:pt>
                <c:pt idx="307">
                  <c:v>3.4561926284313121E-2</c:v>
                </c:pt>
                <c:pt idx="308">
                  <c:v>3.3846736443673441E-2</c:v>
                </c:pt>
                <c:pt idx="309">
                  <c:v>3.317691003115935E-2</c:v>
                </c:pt>
                <c:pt idx="310">
                  <c:v>3.2534478791406023E-2</c:v>
                </c:pt>
                <c:pt idx="311">
                  <c:v>3.1919462432075184E-2</c:v>
                </c:pt>
                <c:pt idx="312">
                  <c:v>3.1331881986583571E-2</c:v>
                </c:pt>
                <c:pt idx="313">
                  <c:v>3.0771759555461482E-2</c:v>
                </c:pt>
                <c:pt idx="314">
                  <c:v>3.0239118047420698E-2</c:v>
                </c:pt>
                <c:pt idx="315">
                  <c:v>2.9733980920811854E-2</c:v>
                </c:pt>
                <c:pt idx="316">
                  <c:v>2.9256371924606298E-2</c:v>
                </c:pt>
                <c:pt idx="317">
                  <c:v>2.8825531250971956E-2</c:v>
                </c:pt>
                <c:pt idx="318">
                  <c:v>2.8426790005421993E-2</c:v>
                </c:pt>
                <c:pt idx="319">
                  <c:v>2.8060175463556766E-2</c:v>
                </c:pt>
                <c:pt idx="320">
                  <c:v>2.7725713698313306E-2</c:v>
                </c:pt>
                <c:pt idx="321">
                  <c:v>2.7423429280025415E-2</c:v>
                </c:pt>
                <c:pt idx="322">
                  <c:v>2.7153344976592528E-2</c:v>
                </c:pt>
                <c:pt idx="323">
                  <c:v>2.6940213515052713E-2</c:v>
                </c:pt>
                <c:pt idx="324">
                  <c:v>2.6770467968033455E-2</c:v>
                </c:pt>
                <c:pt idx="325">
                  <c:v>2.6644129889160578E-2</c:v>
                </c:pt>
                <c:pt idx="326">
                  <c:v>2.6561051237803099E-2</c:v>
                </c:pt>
                <c:pt idx="327">
                  <c:v>2.6521190162928338E-2</c:v>
                </c:pt>
                <c:pt idx="328">
                  <c:v>2.6524633902767863E-2</c:v>
                </c:pt>
                <c:pt idx="329">
                  <c:v>2.6571462348419058E-2</c:v>
                </c:pt>
                <c:pt idx="330">
                  <c:v>2.6661748960094198E-2</c:v>
                </c:pt>
                <c:pt idx="331">
                  <c:v>2.6803238935494213E-2</c:v>
                </c:pt>
                <c:pt idx="332">
                  <c:v>2.6976708782831912E-2</c:v>
                </c:pt>
                <c:pt idx="333">
                  <c:v>2.7182214957759503E-2</c:v>
                </c:pt>
                <c:pt idx="334">
                  <c:v>2.7419812229931211E-2</c:v>
                </c:pt>
                <c:pt idx="335">
                  <c:v>2.7689554358196783E-2</c:v>
                </c:pt>
                <c:pt idx="336">
                  <c:v>2.7991494765438937E-2</c:v>
                </c:pt>
                <c:pt idx="337">
                  <c:v>2.8308228242433304E-2</c:v>
                </c:pt>
                <c:pt idx="338">
                  <c:v>2.8615026057368893E-2</c:v>
                </c:pt>
                <c:pt idx="339">
                  <c:v>2.8911941732525454E-2</c:v>
                </c:pt>
                <c:pt idx="340">
                  <c:v>2.9199031538902076E-2</c:v>
                </c:pt>
                <c:pt idx="341">
                  <c:v>2.9476354292998348E-2</c:v>
                </c:pt>
                <c:pt idx="342">
                  <c:v>2.9743971153578689E-2</c:v>
                </c:pt>
                <c:pt idx="343">
                  <c:v>3.0001945418079531E-2</c:v>
                </c:pt>
                <c:pt idx="344">
                  <c:v>3.02503423194776E-2</c:v>
                </c:pt>
                <c:pt idx="345">
                  <c:v>3.0489228822846864E-2</c:v>
                </c:pt>
                <c:pt idx="346">
                  <c:v>3.0702137914475566E-2</c:v>
                </c:pt>
                <c:pt idx="347">
                  <c:v>3.0889136119033753E-2</c:v>
                </c:pt>
                <c:pt idx="348">
                  <c:v>3.1050289641037787E-2</c:v>
                </c:pt>
                <c:pt idx="349">
                  <c:v>3.1185663817537762E-2</c:v>
                </c:pt>
                <c:pt idx="350">
                  <c:v>3.1295322571530795E-2</c:v>
                </c:pt>
                <c:pt idx="351">
                  <c:v>3.1370470306385623E-2</c:v>
                </c:pt>
                <c:pt idx="352">
                  <c:v>3.1428637696452918E-2</c:v>
                </c:pt>
                <c:pt idx="353">
                  <c:v>3.1469885251162587E-2</c:v>
                </c:pt>
                <c:pt idx="354">
                  <c:v>3.1494271199988995E-2</c:v>
                </c:pt>
                <c:pt idx="355">
                  <c:v>3.150185112281554E-2</c:v>
                </c:pt>
                <c:pt idx="356">
                  <c:v>3.1492699345153648E-2</c:v>
                </c:pt>
                <c:pt idx="357">
                  <c:v>3.1466794870514743E-2</c:v>
                </c:pt>
                <c:pt idx="358">
                  <c:v>3.1424037678304075E-2</c:v>
                </c:pt>
                <c:pt idx="359">
                  <c:v>3.1364325106064149E-2</c:v>
                </c:pt>
                <c:pt idx="360">
                  <c:v>3.1270036792469473E-2</c:v>
                </c:pt>
                <c:pt idx="361">
                  <c:v>3.1149927767215712E-2</c:v>
                </c:pt>
                <c:pt idx="362">
                  <c:v>3.1003878215510219E-2</c:v>
                </c:pt>
                <c:pt idx="363">
                  <c:v>3.0831766835366387E-2</c:v>
                </c:pt>
                <c:pt idx="364">
                  <c:v>3.0633471513607392E-2</c:v>
                </c:pt>
                <c:pt idx="365">
                  <c:v>3.0408870001478423E-2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8.6710152914012073E-2</c:v>
                </c:pt>
                <c:pt idx="1">
                  <c:v>8.6782659273057353E-2</c:v>
                </c:pt>
                <c:pt idx="2">
                  <c:v>8.6839857048382388E-2</c:v>
                </c:pt>
                <c:pt idx="3">
                  <c:v>8.6881502266010935E-2</c:v>
                </c:pt>
                <c:pt idx="4">
                  <c:v>8.6907350543638295E-2</c:v>
                </c:pt>
                <c:pt idx="5">
                  <c:v>8.691715749503881E-2</c:v>
                </c:pt>
                <c:pt idx="6">
                  <c:v>8.6910679135584271E-2</c:v>
                </c:pt>
                <c:pt idx="7">
                  <c:v>8.688767228580592E-2</c:v>
                </c:pt>
                <c:pt idx="8">
                  <c:v>8.6847894976172887E-2</c:v>
                </c:pt>
                <c:pt idx="9">
                  <c:v>8.6742767110259078E-2</c:v>
                </c:pt>
                <c:pt idx="10">
                  <c:v>8.6576469689007562E-2</c:v>
                </c:pt>
                <c:pt idx="11">
                  <c:v>8.6348714599860474E-2</c:v>
                </c:pt>
                <c:pt idx="12">
                  <c:v>8.6059222167218827E-2</c:v>
                </c:pt>
                <c:pt idx="13">
                  <c:v>8.5707722672429612E-2</c:v>
                </c:pt>
                <c:pt idx="14">
                  <c:v>8.5293957872307924E-2</c:v>
                </c:pt>
                <c:pt idx="15">
                  <c:v>8.4822735375038039E-2</c:v>
                </c:pt>
                <c:pt idx="16">
                  <c:v>8.4305290439503675E-2</c:v>
                </c:pt>
                <c:pt idx="17">
                  <c:v>8.3741420762991445E-2</c:v>
                </c:pt>
                <c:pt idx="18">
                  <c:v>8.3130938116421027E-2</c:v>
                </c:pt>
                <c:pt idx="19">
                  <c:v>8.2474129476159397E-2</c:v>
                </c:pt>
                <c:pt idx="20">
                  <c:v>8.1771488442076934E-2</c:v>
                </c:pt>
                <c:pt idx="21">
                  <c:v>8.102315032517636E-2</c:v>
                </c:pt>
                <c:pt idx="22">
                  <c:v>8.0229253189410446E-2</c:v>
                </c:pt>
                <c:pt idx="23">
                  <c:v>7.9490863954394905E-2</c:v>
                </c:pt>
                <c:pt idx="24">
                  <c:v>7.8856674325376089E-2</c:v>
                </c:pt>
                <c:pt idx="25">
                  <c:v>7.832684670191907E-2</c:v>
                </c:pt>
                <c:pt idx="26">
                  <c:v>7.7901528012453244E-2</c:v>
                </c:pt>
                <c:pt idx="27">
                  <c:v>7.7580851038690876E-2</c:v>
                </c:pt>
                <c:pt idx="28">
                  <c:v>7.736493574173478E-2</c:v>
                </c:pt>
                <c:pt idx="29">
                  <c:v>7.7338073510449593E-2</c:v>
                </c:pt>
                <c:pt idx="30">
                  <c:v>7.7495295493925462E-2</c:v>
                </c:pt>
                <c:pt idx="31">
                  <c:v>7.7836679621308483E-2</c:v>
                </c:pt>
                <c:pt idx="32">
                  <c:v>7.8362291521186109E-2</c:v>
                </c:pt>
                <c:pt idx="33">
                  <c:v>7.9072186835762795E-2</c:v>
                </c:pt>
                <c:pt idx="34">
                  <c:v>7.9966413535387165E-2</c:v>
                </c:pt>
                <c:pt idx="35">
                  <c:v>8.1045014233022933E-2</c:v>
                </c:pt>
                <c:pt idx="36">
                  <c:v>8.2308028498565014E-2</c:v>
                </c:pt>
                <c:pt idx="37">
                  <c:v>8.3799033171499795E-2</c:v>
                </c:pt>
                <c:pt idx="38">
                  <c:v>8.5417166948451542E-2</c:v>
                </c:pt>
                <c:pt idx="39">
                  <c:v>8.7162489050995384E-2</c:v>
                </c:pt>
                <c:pt idx="40">
                  <c:v>8.9035065461314566E-2</c:v>
                </c:pt>
                <c:pt idx="41">
                  <c:v>9.1034970519632941E-2</c:v>
                </c:pt>
                <c:pt idx="42">
                  <c:v>9.3162288521072445E-2</c:v>
                </c:pt>
                <c:pt idx="43">
                  <c:v>9.5433767384967519E-2</c:v>
                </c:pt>
                <c:pt idx="44">
                  <c:v>9.7765418642209209E-2</c:v>
                </c:pt>
                <c:pt idx="45">
                  <c:v>0.10015738152447438</c:v>
                </c:pt>
                <c:pt idx="46">
                  <c:v>0.10260980903743207</c:v>
                </c:pt>
                <c:pt idx="47">
                  <c:v>0.105122868714377</c:v>
                </c:pt>
                <c:pt idx="48">
                  <c:v>0.10769674336856484</c:v>
                </c:pt>
                <c:pt idx="49">
                  <c:v>0.11033163184645983</c:v>
                </c:pt>
                <c:pt idx="50">
                  <c:v>0.11302774978034176</c:v>
                </c:pt>
                <c:pt idx="51">
                  <c:v>0.11576074583875058</c:v>
                </c:pt>
                <c:pt idx="52">
                  <c:v>0.11848672387558201</c:v>
                </c:pt>
                <c:pt idx="53">
                  <c:v>0.12120510860339755</c:v>
                </c:pt>
                <c:pt idx="54">
                  <c:v>0.12391588075489895</c:v>
                </c:pt>
                <c:pt idx="55">
                  <c:v>0.12661901690808738</c:v>
                </c:pt>
                <c:pt idx="56">
                  <c:v>0.12931448951559096</c:v>
                </c:pt>
                <c:pt idx="57">
                  <c:v>0.13193103689178279</c:v>
                </c:pt>
                <c:pt idx="58">
                  <c:v>0.13445197729813718</c:v>
                </c:pt>
                <c:pt idx="59">
                  <c:v>0.13687726910208087</c:v>
                </c:pt>
                <c:pt idx="60">
                  <c:v>0.13920686642443073</c:v>
                </c:pt>
                <c:pt idx="61">
                  <c:v>0.14144071949391845</c:v>
                </c:pt>
                <c:pt idx="62">
                  <c:v>0.14357877500150493</c:v>
                </c:pt>
                <c:pt idx="63">
                  <c:v>0.14562097645511632</c:v>
                </c:pt>
                <c:pt idx="64">
                  <c:v>0.14756726453381452</c:v>
                </c:pt>
                <c:pt idx="65">
                  <c:v>0.14926017581816001</c:v>
                </c:pt>
                <c:pt idx="66">
                  <c:v>0.15072423047981096</c:v>
                </c:pt>
                <c:pt idx="67">
                  <c:v>0.15195936328046758</c:v>
                </c:pt>
                <c:pt idx="68">
                  <c:v>0.152965509642537</c:v>
                </c:pt>
                <c:pt idx="69">
                  <c:v>0.15374260649447166</c:v>
                </c:pt>
                <c:pt idx="70">
                  <c:v>0.15429059311681051</c:v>
                </c:pt>
                <c:pt idx="71">
                  <c:v>0.15444237252112217</c:v>
                </c:pt>
                <c:pt idx="72">
                  <c:v>0.15426912963325876</c:v>
                </c:pt>
                <c:pt idx="73">
                  <c:v>0.15377082318006566</c:v>
                </c:pt>
                <c:pt idx="74">
                  <c:v>0.15294742047284182</c:v>
                </c:pt>
                <c:pt idx="75">
                  <c:v>0.15179889860782919</c:v>
                </c:pt>
                <c:pt idx="76">
                  <c:v>0.15032524566622518</c:v>
                </c:pt>
                <c:pt idx="77">
                  <c:v>0.1485264619146911</c:v>
                </c:pt>
                <c:pt idx="78">
                  <c:v>0.14640256586607034</c:v>
                </c:pt>
                <c:pt idx="79">
                  <c:v>0.14389384696408375</c:v>
                </c:pt>
                <c:pt idx="80">
                  <c:v>0.14115806342355922</c:v>
                </c:pt>
                <c:pt idx="81">
                  <c:v>0.13819520345596767</c:v>
                </c:pt>
                <c:pt idx="82">
                  <c:v>0.13500525942647937</c:v>
                </c:pt>
                <c:pt idx="83">
                  <c:v>0.13158822858198135</c:v>
                </c:pt>
                <c:pt idx="84">
                  <c:v>0.12794411377953979</c:v>
                </c:pt>
                <c:pt idx="85">
                  <c:v>0.12410181308418668</c:v>
                </c:pt>
                <c:pt idx="86">
                  <c:v>0.12022827842655877</c:v>
                </c:pt>
                <c:pt idx="87">
                  <c:v>0.11632350055551947</c:v>
                </c:pt>
                <c:pt idx="88">
                  <c:v>0.11238747562928486</c:v>
                </c:pt>
                <c:pt idx="89">
                  <c:v>0.1084202053160898</c:v>
                </c:pt>
                <c:pt idx="90">
                  <c:v>0.10442169689462492</c:v>
                </c:pt>
                <c:pt idx="91">
                  <c:v>0.10039196335489375</c:v>
                </c:pt>
                <c:pt idx="92">
                  <c:v>9.6331023498758953E-2</c:v>
                </c:pt>
                <c:pt idx="93">
                  <c:v>9.2298870127187418E-2</c:v>
                </c:pt>
                <c:pt idx="94">
                  <c:v>8.8355769643715276E-2</c:v>
                </c:pt>
                <c:pt idx="95">
                  <c:v>8.4501726884731412E-2</c:v>
                </c:pt>
                <c:pt idx="96">
                  <c:v>8.0736749084285755E-2</c:v>
                </c:pt>
                <c:pt idx="97">
                  <c:v>7.7060845589763283E-2</c:v>
                </c:pt>
                <c:pt idx="98">
                  <c:v>7.3474027576778414E-2</c:v>
                </c:pt>
                <c:pt idx="99">
                  <c:v>7.0058967898541102E-2</c:v>
                </c:pt>
                <c:pt idx="100">
                  <c:v>6.678679762470334E-2</c:v>
                </c:pt>
                <c:pt idx="101">
                  <c:v>6.3657510283753438E-2</c:v>
                </c:pt>
                <c:pt idx="102">
                  <c:v>6.0671097691598418E-2</c:v>
                </c:pt>
                <c:pt idx="103">
                  <c:v>5.7827549493525664E-2</c:v>
                </c:pt>
                <c:pt idx="104">
                  <c:v>5.5126852707622027E-2</c:v>
                </c:pt>
                <c:pt idx="105">
                  <c:v>5.2568991266837894E-2</c:v>
                </c:pt>
                <c:pt idx="106">
                  <c:v>5.0153945561787094E-2</c:v>
                </c:pt>
                <c:pt idx="107">
                  <c:v>4.8000893031867969E-2</c:v>
                </c:pt>
                <c:pt idx="108">
                  <c:v>4.6049886142750802E-2</c:v>
                </c:pt>
                <c:pt idx="109">
                  <c:v>4.4300855030697528E-2</c:v>
                </c:pt>
                <c:pt idx="110">
                  <c:v>4.275384262200891E-2</c:v>
                </c:pt>
                <c:pt idx="111">
                  <c:v>4.1408869831492348E-2</c:v>
                </c:pt>
                <c:pt idx="112">
                  <c:v>4.0265824163037575E-2</c:v>
                </c:pt>
                <c:pt idx="113">
                  <c:v>3.9390954141169415E-2</c:v>
                </c:pt>
                <c:pt idx="114">
                  <c:v>3.8701643675954009E-2</c:v>
                </c:pt>
                <c:pt idx="115">
                  <c:v>3.8197775522207177E-2</c:v>
                </c:pt>
                <c:pt idx="116">
                  <c:v>3.7879227243779297E-2</c:v>
                </c:pt>
                <c:pt idx="117">
                  <c:v>3.7745870808419173E-2</c:v>
                </c:pt>
                <c:pt idx="118">
                  <c:v>3.7797572182243798E-2</c:v>
                </c:pt>
                <c:pt idx="119">
                  <c:v>3.8034190924319998E-2</c:v>
                </c:pt>
                <c:pt idx="120">
                  <c:v>3.8455579781183552E-2</c:v>
                </c:pt>
                <c:pt idx="121">
                  <c:v>3.905630843033793E-2</c:v>
                </c:pt>
                <c:pt idx="122">
                  <c:v>3.9717411126446292E-2</c:v>
                </c:pt>
                <c:pt idx="123">
                  <c:v>4.0438817756463658E-2</c:v>
                </c:pt>
                <c:pt idx="124">
                  <c:v>4.1220455071745356E-2</c:v>
                </c:pt>
                <c:pt idx="125">
                  <c:v>4.2062246554829825E-2</c:v>
                </c:pt>
                <c:pt idx="126">
                  <c:v>4.296411228566157E-2</c:v>
                </c:pt>
                <c:pt idx="127">
                  <c:v>4.3914513339155116E-2</c:v>
                </c:pt>
                <c:pt idx="128">
                  <c:v>4.4847262926044316E-2</c:v>
                </c:pt>
                <c:pt idx="129">
                  <c:v>4.5762343665214054E-2</c:v>
                </c:pt>
                <c:pt idx="130">
                  <c:v>4.6659738177097738E-2</c:v>
                </c:pt>
                <c:pt idx="131">
                  <c:v>4.7539429119907689E-2</c:v>
                </c:pt>
                <c:pt idx="132">
                  <c:v>4.840139922627551E-2</c:v>
                </c:pt>
                <c:pt idx="133">
                  <c:v>4.9245631340197188E-2</c:v>
                </c:pt>
                <c:pt idx="134">
                  <c:v>5.0072108453746954E-2</c:v>
                </c:pt>
                <c:pt idx="135">
                  <c:v>5.0871430226746721E-2</c:v>
                </c:pt>
                <c:pt idx="136">
                  <c:v>5.1648841560147762E-2</c:v>
                </c:pt>
                <c:pt idx="137">
                  <c:v>5.2404331217816937E-2</c:v>
                </c:pt>
                <c:pt idx="138">
                  <c:v>5.3137888519496829E-2</c:v>
                </c:pt>
                <c:pt idx="139">
                  <c:v>5.3849503387880658E-2</c:v>
                </c:pt>
                <c:pt idx="140">
                  <c:v>5.4539166392721744E-2</c:v>
                </c:pt>
                <c:pt idx="141">
                  <c:v>5.519160616453448E-2</c:v>
                </c:pt>
                <c:pt idx="142">
                  <c:v>5.5817919511733309E-2</c:v>
                </c:pt>
                <c:pt idx="143">
                  <c:v>5.6417842810055664E-2</c:v>
                </c:pt>
                <c:pt idx="144">
                  <c:v>5.6991447409911578E-2</c:v>
                </c:pt>
                <c:pt idx="145">
                  <c:v>5.7538810913378369E-2</c:v>
                </c:pt>
                <c:pt idx="146">
                  <c:v>5.8060016842517957E-2</c:v>
                </c:pt>
                <c:pt idx="147">
                  <c:v>5.855515430962218E-2</c:v>
                </c:pt>
                <c:pt idx="148">
                  <c:v>5.9024317686092481E-2</c:v>
                </c:pt>
                <c:pt idx="149">
                  <c:v>5.9453582829075896E-2</c:v>
                </c:pt>
                <c:pt idx="150">
                  <c:v>5.9852394953929529E-2</c:v>
                </c:pt>
                <c:pt idx="151">
                  <c:v>6.0220871066535266E-2</c:v>
                </c:pt>
                <c:pt idx="152">
                  <c:v>6.05591322946945E-2</c:v>
                </c:pt>
                <c:pt idx="153">
                  <c:v>6.0867303493757553E-2</c:v>
                </c:pt>
                <c:pt idx="154">
                  <c:v>6.1145512852582712E-2</c:v>
                </c:pt>
                <c:pt idx="155">
                  <c:v>6.1388010868400782E-2</c:v>
                </c:pt>
                <c:pt idx="156">
                  <c:v>6.1610077269808626E-2</c:v>
                </c:pt>
                <c:pt idx="157">
                  <c:v>6.1811830337341257E-2</c:v>
                </c:pt>
                <c:pt idx="158">
                  <c:v>6.199339001165835E-2</c:v>
                </c:pt>
                <c:pt idx="159">
                  <c:v>6.215487762447653E-2</c:v>
                </c:pt>
                <c:pt idx="160">
                  <c:v>6.2296415630264251E-2</c:v>
                </c:pt>
                <c:pt idx="161">
                  <c:v>6.2418127337236617E-2</c:v>
                </c:pt>
                <c:pt idx="162">
                  <c:v>6.2520136638682569E-2</c:v>
                </c:pt>
                <c:pt idx="163">
                  <c:v>6.2596818699305709E-2</c:v>
                </c:pt>
                <c:pt idx="164">
                  <c:v>6.2662201843238119E-2</c:v>
                </c:pt>
                <c:pt idx="165">
                  <c:v>6.2716395105530925E-2</c:v>
                </c:pt>
                <c:pt idx="166">
                  <c:v>6.2759507475238549E-2</c:v>
                </c:pt>
                <c:pt idx="167">
                  <c:v>6.2791647736608239E-2</c:v>
                </c:pt>
                <c:pt idx="168">
                  <c:v>6.2812924312273088E-2</c:v>
                </c:pt>
                <c:pt idx="169">
                  <c:v>6.2817716424594619E-2</c:v>
                </c:pt>
                <c:pt idx="170">
                  <c:v>6.2811967792948412E-2</c:v>
                </c:pt>
                <c:pt idx="171">
                  <c:v>6.2795784360357002E-2</c:v>
                </c:pt>
                <c:pt idx="172">
                  <c:v>6.2769271056345902E-2</c:v>
                </c:pt>
                <c:pt idx="173">
                  <c:v>6.2731890136347834E-2</c:v>
                </c:pt>
                <c:pt idx="174">
                  <c:v>6.2683070523184337E-2</c:v>
                </c:pt>
                <c:pt idx="175">
                  <c:v>6.2622866276167435E-2</c:v>
                </c:pt>
                <c:pt idx="176">
                  <c:v>6.2551331379854566E-2</c:v>
                </c:pt>
                <c:pt idx="177">
                  <c:v>6.2462713333842033E-2</c:v>
                </c:pt>
                <c:pt idx="178">
                  <c:v>6.2362776801762852E-2</c:v>
                </c:pt>
                <c:pt idx="179">
                  <c:v>6.2251575244863133E-2</c:v>
                </c:pt>
                <c:pt idx="180">
                  <c:v>6.2129161765724826E-2</c:v>
                </c:pt>
                <c:pt idx="181">
                  <c:v>6.1995589040341491E-2</c:v>
                </c:pt>
                <c:pt idx="182">
                  <c:v>6.185090925073819E-2</c:v>
                </c:pt>
                <c:pt idx="183">
                  <c:v>6.168141890485962E-2</c:v>
                </c:pt>
                <c:pt idx="184">
                  <c:v>6.1492874291265071E-2</c:v>
                </c:pt>
                <c:pt idx="185">
                  <c:v>6.1285336861823574E-2</c:v>
                </c:pt>
                <c:pt idx="186">
                  <c:v>6.1058866942447602E-2</c:v>
                </c:pt>
                <c:pt idx="187">
                  <c:v>6.0813523618292509E-2</c:v>
                </c:pt>
                <c:pt idx="188">
                  <c:v>6.0549364619299516E-2</c:v>
                </c:pt>
                <c:pt idx="189">
                  <c:v>6.0266446203882329E-2</c:v>
                </c:pt>
                <c:pt idx="190">
                  <c:v>5.9964823045205888E-2</c:v>
                </c:pt>
                <c:pt idx="191">
                  <c:v>5.9629693054202106E-2</c:v>
                </c:pt>
                <c:pt idx="192">
                  <c:v>5.9266891665522271E-2</c:v>
                </c:pt>
                <c:pt idx="193">
                  <c:v>5.887647858072545E-2</c:v>
                </c:pt>
                <c:pt idx="194">
                  <c:v>5.8458510789814511E-2</c:v>
                </c:pt>
                <c:pt idx="195">
                  <c:v>5.8013042403796157E-2</c:v>
                </c:pt>
                <c:pt idx="196">
                  <c:v>5.7540124484964233E-2</c:v>
                </c:pt>
                <c:pt idx="197">
                  <c:v>5.7030715123206087E-2</c:v>
                </c:pt>
                <c:pt idx="198">
                  <c:v>5.6498537206599635E-2</c:v>
                </c:pt>
                <c:pt idx="199">
                  <c:v>5.5943626776058068E-2</c:v>
                </c:pt>
                <c:pt idx="200">
                  <c:v>5.5366016543974418E-2</c:v>
                </c:pt>
                <c:pt idx="201">
                  <c:v>5.4765735752067751E-2</c:v>
                </c:pt>
                <c:pt idx="202">
                  <c:v>5.4142810029573198E-2</c:v>
                </c:pt>
                <c:pt idx="203">
                  <c:v>5.3497261252638706E-2</c:v>
                </c:pt>
                <c:pt idx="204">
                  <c:v>5.2829022091742943E-2</c:v>
                </c:pt>
                <c:pt idx="205">
                  <c:v>5.2126952465710565E-2</c:v>
                </c:pt>
                <c:pt idx="206">
                  <c:v>5.1405814862750789E-2</c:v>
                </c:pt>
                <c:pt idx="207">
                  <c:v>5.0665576871218553E-2</c:v>
                </c:pt>
                <c:pt idx="208">
                  <c:v>4.9906205322737318E-2</c:v>
                </c:pt>
                <c:pt idx="209">
                  <c:v>4.9127666353935208E-2</c:v>
                </c:pt>
                <c:pt idx="210">
                  <c:v>4.8329925469860764E-2</c:v>
                </c:pt>
                <c:pt idx="211">
                  <c:v>4.7507876451230779E-2</c:v>
                </c:pt>
                <c:pt idx="212">
                  <c:v>4.6670543588805125E-2</c:v>
                </c:pt>
                <c:pt idx="213">
                  <c:v>4.5817889152865922E-2</c:v>
                </c:pt>
                <c:pt idx="214">
                  <c:v>4.4949875312704411E-2</c:v>
                </c:pt>
                <c:pt idx="215">
                  <c:v>4.4066464186776094E-2</c:v>
                </c:pt>
                <c:pt idx="216">
                  <c:v>4.316761789268226E-2</c:v>
                </c:pt>
                <c:pt idx="217">
                  <c:v>4.2253298597315046E-2</c:v>
                </c:pt>
                <c:pt idx="218">
                  <c:v>4.1323468566751342E-2</c:v>
                </c:pt>
                <c:pt idx="219">
                  <c:v>4.0441710343564766E-2</c:v>
                </c:pt>
                <c:pt idx="220">
                  <c:v>3.9618996253594406E-2</c:v>
                </c:pt>
                <c:pt idx="221">
                  <c:v>3.8855280947133052E-2</c:v>
                </c:pt>
                <c:pt idx="222">
                  <c:v>3.8150523343269904E-2</c:v>
                </c:pt>
                <c:pt idx="223">
                  <c:v>3.7504686448636027E-2</c:v>
                </c:pt>
                <c:pt idx="224">
                  <c:v>3.691773717517649E-2</c:v>
                </c:pt>
                <c:pt idx="225">
                  <c:v>3.6503760515732453E-2</c:v>
                </c:pt>
                <c:pt idx="226">
                  <c:v>3.6267795867669213E-2</c:v>
                </c:pt>
                <c:pt idx="227">
                  <c:v>3.6209825096234605E-2</c:v>
                </c:pt>
                <c:pt idx="228">
                  <c:v>3.6329838235581634E-2</c:v>
                </c:pt>
                <c:pt idx="229">
                  <c:v>3.6627832935952856E-2</c:v>
                </c:pt>
                <c:pt idx="230">
                  <c:v>3.7103813911438362E-2</c:v>
                </c:pt>
                <c:pt idx="231">
                  <c:v>3.7757792387863566E-2</c:v>
                </c:pt>
                <c:pt idx="232">
                  <c:v>3.8589785549885146E-2</c:v>
                </c:pt>
                <c:pt idx="233">
                  <c:v>3.9678872747873954E-2</c:v>
                </c:pt>
                <c:pt idx="234">
                  <c:v>4.0961470895264723E-2</c:v>
                </c:pt>
                <c:pt idx="235">
                  <c:v>4.2437649657404618E-2</c:v>
                </c:pt>
                <c:pt idx="236">
                  <c:v>4.4107502493653715E-2</c:v>
                </c:pt>
                <c:pt idx="237">
                  <c:v>4.5971106079730921E-2</c:v>
                </c:pt>
                <c:pt idx="238">
                  <c:v>4.802854622600311E-2</c:v>
                </c:pt>
                <c:pt idx="239">
                  <c:v>5.0337261855788511E-2</c:v>
                </c:pt>
                <c:pt idx="240">
                  <c:v>5.278318487145154E-2</c:v>
                </c:pt>
                <c:pt idx="241">
                  <c:v>5.5366415314381329E-2</c:v>
                </c:pt>
                <c:pt idx="242">
                  <c:v>5.8087061144388406E-2</c:v>
                </c:pt>
                <c:pt idx="243">
                  <c:v>6.0945238480950563E-2</c:v>
                </c:pt>
                <c:pt idx="244">
                  <c:v>6.3941071844235295E-2</c:v>
                </c:pt>
                <c:pt idx="245">
                  <c:v>6.7074694395484094E-2</c:v>
                </c:pt>
                <c:pt idx="246">
                  <c:v>7.0346248177163756E-2</c:v>
                </c:pt>
                <c:pt idx="247">
                  <c:v>7.3783520523184529E-2</c:v>
                </c:pt>
                <c:pt idx="248">
                  <c:v>7.7307511091578782E-2</c:v>
                </c:pt>
                <c:pt idx="249">
                  <c:v>8.0918365539503032E-2</c:v>
                </c:pt>
                <c:pt idx="250">
                  <c:v>8.4616236577453083E-2</c:v>
                </c:pt>
                <c:pt idx="251">
                  <c:v>8.8401284121294721E-2</c:v>
                </c:pt>
                <c:pt idx="252">
                  <c:v>9.2273675440952038E-2</c:v>
                </c:pt>
                <c:pt idx="253">
                  <c:v>9.6175851947726917E-2</c:v>
                </c:pt>
                <c:pt idx="254">
                  <c:v>0.10005048937447752</c:v>
                </c:pt>
                <c:pt idx="255">
                  <c:v>0.10389770017558471</c:v>
                </c:pt>
                <c:pt idx="256">
                  <c:v>0.10771759771317173</c:v>
                </c:pt>
                <c:pt idx="257">
                  <c:v>0.11151029620326917</c:v>
                </c:pt>
                <c:pt idx="258">
                  <c:v>0.11527591066289718</c:v>
                </c:pt>
                <c:pt idx="259">
                  <c:v>0.11901455685881639</c:v>
                </c:pt>
                <c:pt idx="260">
                  <c:v>0.1227263512528633</c:v>
                </c:pt>
                <c:pt idx="261">
                  <c:v>0.12625121635674882</c:v>
                </c:pt>
                <c:pt idx="262">
                  <c:v>0.12956140032190891</c:v>
                </c:pt>
                <c:pt idx="263">
                  <c:v>0.13265684370325417</c:v>
                </c:pt>
                <c:pt idx="264">
                  <c:v>0.1355374809420091</c:v>
                </c:pt>
                <c:pt idx="265">
                  <c:v>0.13820397455276037</c:v>
                </c:pt>
                <c:pt idx="266">
                  <c:v>0.14065665662875576</c:v>
                </c:pt>
                <c:pt idx="267">
                  <c:v>0.14274403512999576</c:v>
                </c:pt>
                <c:pt idx="268">
                  <c:v>0.14452363769330304</c:v>
                </c:pt>
                <c:pt idx="269">
                  <c:v>0.1459950307859216</c:v>
                </c:pt>
                <c:pt idx="270">
                  <c:v>0.14715774258771527</c:v>
                </c:pt>
                <c:pt idx="271">
                  <c:v>0.14801126642295268</c:v>
                </c:pt>
                <c:pt idx="272">
                  <c:v>0.14855506419605821</c:v>
                </c:pt>
                <c:pt idx="273">
                  <c:v>0.14878856982551761</c:v>
                </c:pt>
                <c:pt idx="274">
                  <c:v>0.14871119267972668</c:v>
                </c:pt>
                <c:pt idx="275">
                  <c:v>0.14825363063627642</c:v>
                </c:pt>
                <c:pt idx="276">
                  <c:v>0.14757631064049212</c:v>
                </c:pt>
                <c:pt idx="277">
                  <c:v>0.14667872598605056</c:v>
                </c:pt>
                <c:pt idx="278">
                  <c:v>0.14556036324723962</c:v>
                </c:pt>
                <c:pt idx="279">
                  <c:v>0.14422070469892392</c:v>
                </c:pt>
                <c:pt idx="280">
                  <c:v>0.14265923073788087</c:v>
                </c:pt>
                <c:pt idx="281">
                  <c:v>0.140851642284859</c:v>
                </c:pt>
                <c:pt idx="282">
                  <c:v>0.13894971029176234</c:v>
                </c:pt>
                <c:pt idx="283">
                  <c:v>0.13695312552179265</c:v>
                </c:pt>
                <c:pt idx="284">
                  <c:v>0.13486158683773733</c:v>
                </c:pt>
                <c:pt idx="285">
                  <c:v>0.13267480221594305</c:v>
                </c:pt>
                <c:pt idx="286">
                  <c:v>0.13039248976157711</c:v>
                </c:pt>
                <c:pt idx="287">
                  <c:v>0.12801437872253504</c:v>
                </c:pt>
                <c:pt idx="288">
                  <c:v>0.12554021050387468</c:v>
                </c:pt>
                <c:pt idx="289">
                  <c:v>0.12298590679835429</c:v>
                </c:pt>
                <c:pt idx="290">
                  <c:v>0.12042048098257514</c:v>
                </c:pt>
                <c:pt idx="291">
                  <c:v>0.11784384273050068</c:v>
                </c:pt>
                <c:pt idx="292">
                  <c:v>0.115255913521631</c:v>
                </c:pt>
                <c:pt idx="293">
                  <c:v>0.11265662672549875</c:v>
                </c:pt>
                <c:pt idx="294">
                  <c:v>0.11004592768568221</c:v>
                </c:pt>
                <c:pt idx="295">
                  <c:v>0.10746615376921653</c:v>
                </c:pt>
                <c:pt idx="296">
                  <c:v>0.10494255778410361</c:v>
                </c:pt>
                <c:pt idx="297">
                  <c:v>0.1024759755533594</c:v>
                </c:pt>
                <c:pt idx="298">
                  <c:v>0.10006634400992681</c:v>
                </c:pt>
                <c:pt idx="299">
                  <c:v>9.7713611319632965E-2</c:v>
                </c:pt>
                <c:pt idx="300">
                  <c:v>9.5417736339990178E-2</c:v>
                </c:pt>
                <c:pt idx="301">
                  <c:v>9.3178688078688801E-2</c:v>
                </c:pt>
                <c:pt idx="302">
                  <c:v>9.0996445152311742E-2</c:v>
                </c:pt>
                <c:pt idx="303">
                  <c:v>8.8953186392830175E-2</c:v>
                </c:pt>
                <c:pt idx="304">
                  <c:v>8.7032743710270269E-2</c:v>
                </c:pt>
                <c:pt idx="305">
                  <c:v>8.5235215281565566E-2</c:v>
                </c:pt>
                <c:pt idx="306">
                  <c:v>8.356070581454822E-2</c:v>
                </c:pt>
                <c:pt idx="307">
                  <c:v>8.2009325399826624E-2</c:v>
                </c:pt>
                <c:pt idx="308">
                  <c:v>8.0581188361970049E-2</c:v>
                </c:pt>
                <c:pt idx="309">
                  <c:v>7.9375248319389205E-2</c:v>
                </c:pt>
                <c:pt idx="310">
                  <c:v>7.8349093013170168E-2</c:v>
                </c:pt>
                <c:pt idx="311">
                  <c:v>7.7502916903534669E-2</c:v>
                </c:pt>
                <c:pt idx="312">
                  <c:v>7.6836911353359336E-2</c:v>
                </c:pt>
                <c:pt idx="313">
                  <c:v>7.6351262964366465E-2</c:v>
                </c:pt>
                <c:pt idx="314">
                  <c:v>7.6046151912605761E-2</c:v>
                </c:pt>
                <c:pt idx="315">
                  <c:v>7.5921750284899128E-2</c:v>
                </c:pt>
                <c:pt idx="316">
                  <c:v>7.5978220414104139E-2</c:v>
                </c:pt>
                <c:pt idx="317">
                  <c:v>7.6220685872531377E-2</c:v>
                </c:pt>
                <c:pt idx="318">
                  <c:v>7.6566551184990589E-2</c:v>
                </c:pt>
                <c:pt idx="319">
                  <c:v>7.7015853338001886E-2</c:v>
                </c:pt>
                <c:pt idx="320">
                  <c:v>7.7568619578347167E-2</c:v>
                </c:pt>
                <c:pt idx="321">
                  <c:v>7.8224866460367443E-2</c:v>
                </c:pt>
                <c:pt idx="322">
                  <c:v>7.8984598893601002E-2</c:v>
                </c:pt>
                <c:pt idx="323">
                  <c:v>7.9800029021916172E-2</c:v>
                </c:pt>
                <c:pt idx="324">
                  <c:v>8.0571684421342007E-2</c:v>
                </c:pt>
                <c:pt idx="325">
                  <c:v>8.1299408983599511E-2</c:v>
                </c:pt>
                <c:pt idx="326">
                  <c:v>8.1982538734022933E-2</c:v>
                </c:pt>
                <c:pt idx="327">
                  <c:v>8.2620739011750322E-2</c:v>
                </c:pt>
                <c:pt idx="328">
                  <c:v>8.3214101389647369E-2</c:v>
                </c:pt>
                <c:pt idx="329">
                  <c:v>8.3762729388632925E-2</c:v>
                </c:pt>
                <c:pt idx="330">
                  <c:v>8.4266737585343129E-2</c:v>
                </c:pt>
                <c:pt idx="331">
                  <c:v>8.471493282191904E-2</c:v>
                </c:pt>
                <c:pt idx="332">
                  <c:v>8.5102454324868557E-2</c:v>
                </c:pt>
                <c:pt idx="333">
                  <c:v>8.5429441083308091E-2</c:v>
                </c:pt>
                <c:pt idx="334">
                  <c:v>8.5696040907322704E-2</c:v>
                </c:pt>
                <c:pt idx="335">
                  <c:v>8.5902409197781859E-2</c:v>
                </c:pt>
                <c:pt idx="336">
                  <c:v>8.6048707715034908E-2</c:v>
                </c:pt>
                <c:pt idx="337">
                  <c:v>8.6130666314694584E-2</c:v>
                </c:pt>
                <c:pt idx="338">
                  <c:v>8.6196332005598009E-2</c:v>
                </c:pt>
                <c:pt idx="339">
                  <c:v>8.6245881548232983E-2</c:v>
                </c:pt>
                <c:pt idx="340">
                  <c:v>8.6279492556930334E-2</c:v>
                </c:pt>
                <c:pt idx="341">
                  <c:v>8.6297343172522037E-2</c:v>
                </c:pt>
                <c:pt idx="342">
                  <c:v>8.6299611734931947E-2</c:v>
                </c:pt>
                <c:pt idx="343">
                  <c:v>8.6286476454725203E-2</c:v>
                </c:pt>
                <c:pt idx="344">
                  <c:v>8.6258115086012346E-2</c:v>
                </c:pt>
                <c:pt idx="345">
                  <c:v>8.6214704598443367E-2</c:v>
                </c:pt>
                <c:pt idx="346">
                  <c:v>8.6172666408812548E-2</c:v>
                </c:pt>
                <c:pt idx="347">
                  <c:v>8.6132178171883275E-2</c:v>
                </c:pt>
                <c:pt idx="348">
                  <c:v>8.6093417192568911E-2</c:v>
                </c:pt>
                <c:pt idx="349">
                  <c:v>8.6056560435225651E-2</c:v>
                </c:pt>
                <c:pt idx="350">
                  <c:v>8.6021784534961121E-2</c:v>
                </c:pt>
                <c:pt idx="351">
                  <c:v>8.5994188383489767E-2</c:v>
                </c:pt>
                <c:pt idx="352">
                  <c:v>8.5978391571248577E-2</c:v>
                </c:pt>
                <c:pt idx="353">
                  <c:v>8.5974575358716152E-2</c:v>
                </c:pt>
                <c:pt idx="354">
                  <c:v>8.5982922275874715E-2</c:v>
                </c:pt>
                <c:pt idx="355">
                  <c:v>8.60036163224559E-2</c:v>
                </c:pt>
                <c:pt idx="356">
                  <c:v>8.6036902628975384E-2</c:v>
                </c:pt>
                <c:pt idx="357">
                  <c:v>8.6082777020100198E-2</c:v>
                </c:pt>
                <c:pt idx="358">
                  <c:v>8.6141029748218204E-2</c:v>
                </c:pt>
                <c:pt idx="359">
                  <c:v>8.6211452532292912E-2</c:v>
                </c:pt>
                <c:pt idx="360">
                  <c:v>8.6289386905067447E-2</c:v>
                </c:pt>
                <c:pt idx="361">
                  <c:v>8.6369684720649667E-2</c:v>
                </c:pt>
                <c:pt idx="362">
                  <c:v>8.6452128417802754E-2</c:v>
                </c:pt>
                <c:pt idx="363">
                  <c:v>8.6536500021571885E-2</c:v>
                </c:pt>
                <c:pt idx="364">
                  <c:v>8.6622581132371465E-2</c:v>
                </c:pt>
                <c:pt idx="365">
                  <c:v>8.6710152914012073E-2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0.15432530929580346</c:v>
                </c:pt>
                <c:pt idx="1">
                  <c:v>0.15503778659928877</c:v>
                </c:pt>
                <c:pt idx="2">
                  <c:v>0.15578893117017892</c:v>
                </c:pt>
                <c:pt idx="3">
                  <c:v>0.15657840913136226</c:v>
                </c:pt>
                <c:pt idx="4">
                  <c:v>0.15740588027608987</c:v>
                </c:pt>
                <c:pt idx="5">
                  <c:v>0.15827099712041706</c:v>
                </c:pt>
                <c:pt idx="6">
                  <c:v>0.15917340395766588</c:v>
                </c:pt>
                <c:pt idx="7">
                  <c:v>0.16011273590934119</c:v>
                </c:pt>
                <c:pt idx="8">
                  <c:v>0.16108861797823551</c:v>
                </c:pt>
                <c:pt idx="9">
                  <c:v>0.16204404183576154</c:v>
                </c:pt>
                <c:pt idx="10">
                  <c:v>0.16295748337060784</c:v>
                </c:pt>
                <c:pt idx="11">
                  <c:v>0.16382843764163571</c:v>
                </c:pt>
                <c:pt idx="12">
                  <c:v>0.164656395437113</c:v>
                </c:pt>
                <c:pt idx="13">
                  <c:v>0.16544084430264328</c:v>
                </c:pt>
                <c:pt idx="14">
                  <c:v>0.16618126956625834</c:v>
                </c:pt>
                <c:pt idx="15">
                  <c:v>0.16681493924216906</c:v>
                </c:pt>
                <c:pt idx="16">
                  <c:v>0.16732503338937529</c:v>
                </c:pt>
                <c:pt idx="17">
                  <c:v>0.1677109816559996</c:v>
                </c:pt>
                <c:pt idx="18">
                  <c:v>0.16797223251211726</c:v>
                </c:pt>
                <c:pt idx="19">
                  <c:v>0.16810919396079213</c:v>
                </c:pt>
                <c:pt idx="20">
                  <c:v>0.16812272275355558</c:v>
                </c:pt>
                <c:pt idx="21">
                  <c:v>0.1680129702748959</c:v>
                </c:pt>
                <c:pt idx="22">
                  <c:v>0.16778010520826322</c:v>
                </c:pt>
                <c:pt idx="23">
                  <c:v>0.16743250043471705</c:v>
                </c:pt>
                <c:pt idx="24">
                  <c:v>0.16702719789587339</c:v>
                </c:pt>
                <c:pt idx="25">
                  <c:v>0.16656441974921546</c:v>
                </c:pt>
                <c:pt idx="26">
                  <c:v>0.16604439232755572</c:v>
                </c:pt>
                <c:pt idx="27">
                  <c:v>0.16546734546063294</c:v>
                </c:pt>
                <c:pt idx="28">
                  <c:v>0.16483351180029995</c:v>
                </c:pt>
                <c:pt idx="29">
                  <c:v>0.16422881531184511</c:v>
                </c:pt>
                <c:pt idx="30">
                  <c:v>0.16371580578686185</c:v>
                </c:pt>
                <c:pt idx="31">
                  <c:v>0.16329470135905633</c:v>
                </c:pt>
                <c:pt idx="32">
                  <c:v>0.16296571097499987</c:v>
                </c:pt>
                <c:pt idx="33">
                  <c:v>0.16272903556740406</c:v>
                </c:pt>
                <c:pt idx="34">
                  <c:v>0.1625848692291352</c:v>
                </c:pt>
                <c:pt idx="35">
                  <c:v>0.1625334003870928</c:v>
                </c:pt>
                <c:pt idx="36">
                  <c:v>0.16257481297575524</c:v>
                </c:pt>
                <c:pt idx="37">
                  <c:v>0.16288547252274643</c:v>
                </c:pt>
                <c:pt idx="38">
                  <c:v>0.16345732656751674</c:v>
                </c:pt>
                <c:pt idx="39">
                  <c:v>0.16429050697220521</c:v>
                </c:pt>
                <c:pt idx="40">
                  <c:v>0.16538514571804133</c:v>
                </c:pt>
                <c:pt idx="41">
                  <c:v>0.16674137818108806</c:v>
                </c:pt>
                <c:pt idx="42">
                  <c:v>0.16835934640686312</c:v>
                </c:pt>
                <c:pt idx="43">
                  <c:v>0.17036837687255335</c:v>
                </c:pt>
                <c:pt idx="44">
                  <c:v>0.17268300548666893</c:v>
                </c:pt>
                <c:pt idx="45">
                  <c:v>0.17530340616942675</c:v>
                </c:pt>
                <c:pt idx="46">
                  <c:v>0.17822977496797524</c:v>
                </c:pt>
                <c:pt idx="47">
                  <c:v>0.18146233387764579</c:v>
                </c:pt>
                <c:pt idx="48">
                  <c:v>0.18500133466092508</c:v>
                </c:pt>
                <c:pt idx="49">
                  <c:v>0.18884706266802134</c:v>
                </c:pt>
                <c:pt idx="50">
                  <c:v>0.1929998406563227</c:v>
                </c:pt>
                <c:pt idx="51">
                  <c:v>0.19748689068153102</c:v>
                </c:pt>
                <c:pt idx="52">
                  <c:v>0.20213149338607803</c:v>
                </c:pt>
                <c:pt idx="53">
                  <c:v>0.20693266196627771</c:v>
                </c:pt>
                <c:pt idx="54">
                  <c:v>0.2118903622350303</c:v>
                </c:pt>
                <c:pt idx="55">
                  <c:v>0.21700455547150355</c:v>
                </c:pt>
                <c:pt idx="56">
                  <c:v>0.22227519784400321</c:v>
                </c:pt>
                <c:pt idx="57">
                  <c:v>0.22765383831192876</c:v>
                </c:pt>
                <c:pt idx="58">
                  <c:v>0.23301130150570815</c:v>
                </c:pt>
                <c:pt idx="59">
                  <c:v>0.23834752128309558</c:v>
                </c:pt>
                <c:pt idx="60">
                  <c:v>0.24366242345918757</c:v>
                </c:pt>
                <c:pt idx="61">
                  <c:v>0.24895592588621251</c:v>
                </c:pt>
                <c:pt idx="62">
                  <c:v>0.25422793853294906</c:v>
                </c:pt>
                <c:pt idx="63">
                  <c:v>0.25947836356488768</c:v>
                </c:pt>
                <c:pt idx="64">
                  <c:v>0.26470709542339382</c:v>
                </c:pt>
                <c:pt idx="65">
                  <c:v>0.26975899650098278</c:v>
                </c:pt>
                <c:pt idx="66">
                  <c:v>0.27460708535141831</c:v>
                </c:pt>
                <c:pt idx="67">
                  <c:v>0.27925123397617274</c:v>
                </c:pt>
                <c:pt idx="68">
                  <c:v>0.28369130971906054</c:v>
                </c:pt>
                <c:pt idx="69">
                  <c:v>0.287927176017931</c:v>
                </c:pt>
                <c:pt idx="70">
                  <c:v>0.29195869315764006</c:v>
                </c:pt>
                <c:pt idx="71">
                  <c:v>0.29548539604103341</c:v>
                </c:pt>
                <c:pt idx="72">
                  <c:v>0.29855555598036915</c:v>
                </c:pt>
                <c:pt idx="73">
                  <c:v>0.30116904581970966</c:v>
                </c:pt>
                <c:pt idx="74">
                  <c:v>0.30332574554649194</c:v>
                </c:pt>
                <c:pt idx="75">
                  <c:v>0.30502554397652354</c:v>
                </c:pt>
                <c:pt idx="76">
                  <c:v>0.30626834043804357</c:v>
                </c:pt>
                <c:pt idx="77">
                  <c:v>0.30705404645676798</c:v>
                </c:pt>
                <c:pt idx="78">
                  <c:v>0.30738259764533571</c:v>
                </c:pt>
                <c:pt idx="79">
                  <c:v>0.30697914229459289</c:v>
                </c:pt>
                <c:pt idx="80">
                  <c:v>0.305999485051968</c:v>
                </c:pt>
                <c:pt idx="81">
                  <c:v>0.30444360976658508</c:v>
                </c:pt>
                <c:pt idx="82">
                  <c:v>0.30231150318926842</c:v>
                </c:pt>
                <c:pt idx="83">
                  <c:v>0.29960315681822453</c:v>
                </c:pt>
                <c:pt idx="84">
                  <c:v>0.29631856874572748</c:v>
                </c:pt>
                <c:pt idx="85">
                  <c:v>0.29232845443034461</c:v>
                </c:pt>
                <c:pt idx="86">
                  <c:v>0.28793299644020065</c:v>
                </c:pt>
                <c:pt idx="87">
                  <c:v>0.28313219572791709</c:v>
                </c:pt>
                <c:pt idx="88">
                  <c:v>0.277926064705113</c:v>
                </c:pt>
                <c:pt idx="89">
                  <c:v>0.27231462854096311</c:v>
                </c:pt>
                <c:pt idx="90">
                  <c:v>0.26629792646018619</c:v>
                </c:pt>
                <c:pt idx="91">
                  <c:v>0.2598760130420803</c:v>
                </c:pt>
                <c:pt idx="92">
                  <c:v>0.25304895951880035</c:v>
                </c:pt>
                <c:pt idx="93">
                  <c:v>0.24580639240531946</c:v>
                </c:pt>
                <c:pt idx="94">
                  <c:v>0.23842417663188872</c:v>
                </c:pt>
                <c:pt idx="95">
                  <c:v>0.23090237263399471</c:v>
                </c:pt>
                <c:pt idx="96">
                  <c:v>0.2232410544539366</c:v>
                </c:pt>
                <c:pt idx="97">
                  <c:v>0.21544031019000245</c:v>
                </c:pt>
                <c:pt idx="98">
                  <c:v>0.20750024244353915</c:v>
                </c:pt>
                <c:pt idx="99">
                  <c:v>0.19960986042671616</c:v>
                </c:pt>
                <c:pt idx="100">
                  <c:v>0.19189836784165223</c:v>
                </c:pt>
                <c:pt idx="101">
                  <c:v>0.18436579295475927</c:v>
                </c:pt>
                <c:pt idx="102">
                  <c:v>0.17701216651453425</c:v>
                </c:pt>
                <c:pt idx="103">
                  <c:v>0.16983752117735607</c:v>
                </c:pt>
                <c:pt idx="104">
                  <c:v>0.16284189093751697</c:v>
                </c:pt>
                <c:pt idx="105">
                  <c:v>0.15602531055332</c:v>
                </c:pt>
                <c:pt idx="106">
                  <c:v>0.14938781497531625</c:v>
                </c:pt>
                <c:pt idx="107">
                  <c:v>0.14311432855797587</c:v>
                </c:pt>
                <c:pt idx="108">
                  <c:v>0.13721522864293156</c:v>
                </c:pt>
                <c:pt idx="109">
                  <c:v>0.13169043173438491</c:v>
                </c:pt>
                <c:pt idx="110">
                  <c:v>0.12654020103734462</c:v>
                </c:pt>
                <c:pt idx="111">
                  <c:v>0.12176473908886991</c:v>
                </c:pt>
                <c:pt idx="112">
                  <c:v>0.11736385727521777</c:v>
                </c:pt>
                <c:pt idx="113">
                  <c:v>0.11343570176226213</c:v>
                </c:pt>
                <c:pt idx="114">
                  <c:v>0.10979159211235696</c:v>
                </c:pt>
                <c:pt idx="115">
                  <c:v>0.10643137686475514</c:v>
                </c:pt>
                <c:pt idx="116">
                  <c:v>0.10335489889299447</c:v>
                </c:pt>
                <c:pt idx="117">
                  <c:v>0.10056199478692007</c:v>
                </c:pt>
                <c:pt idx="118">
                  <c:v>9.8052494233582865E-2</c:v>
                </c:pt>
                <c:pt idx="119">
                  <c:v>9.5826219398460255E-2</c:v>
                </c:pt>
                <c:pt idx="120">
                  <c:v>9.3882984306524475E-2</c:v>
                </c:pt>
                <c:pt idx="121">
                  <c:v>9.2343847229148193E-2</c:v>
                </c:pt>
                <c:pt idx="122">
                  <c:v>9.1024229154709133E-2</c:v>
                </c:pt>
                <c:pt idx="123">
                  <c:v>8.9923964238113649E-2</c:v>
                </c:pt>
                <c:pt idx="124">
                  <c:v>8.9042878602601558E-2</c:v>
                </c:pt>
                <c:pt idx="125">
                  <c:v>8.838078985987112E-2</c:v>
                </c:pt>
                <c:pt idx="126">
                  <c:v>8.7937506628938733E-2</c:v>
                </c:pt>
                <c:pt idx="127">
                  <c:v>8.7759284987862077E-2</c:v>
                </c:pt>
                <c:pt idx="128">
                  <c:v>8.774790868527077E-2</c:v>
                </c:pt>
                <c:pt idx="129">
                  <c:v>8.7903203999193547E-2</c:v>
                </c:pt>
                <c:pt idx="130">
                  <c:v>8.8224988861636641E-2</c:v>
                </c:pt>
                <c:pt idx="131">
                  <c:v>8.8713072490123432E-2</c:v>
                </c:pt>
                <c:pt idx="132">
                  <c:v>8.9367255020074365E-2</c:v>
                </c:pt>
                <c:pt idx="133">
                  <c:v>9.0187327137741802E-2</c:v>
                </c:pt>
                <c:pt idx="134">
                  <c:v>9.1173069712697188E-2</c:v>
                </c:pt>
                <c:pt idx="135">
                  <c:v>9.2308927059912241E-2</c:v>
                </c:pt>
                <c:pt idx="136">
                  <c:v>9.3473999018195433E-2</c:v>
                </c:pt>
                <c:pt idx="137">
                  <c:v>9.4668194221170121E-2</c:v>
                </c:pt>
                <c:pt idx="138">
                  <c:v>9.5891418371112647E-2</c:v>
                </c:pt>
                <c:pt idx="139">
                  <c:v>9.7143574173074676E-2</c:v>
                </c:pt>
                <c:pt idx="140">
                  <c:v>9.8424561263650401E-2</c:v>
                </c:pt>
                <c:pt idx="141">
                  <c:v>9.9712496637690509E-2</c:v>
                </c:pt>
                <c:pt idx="142">
                  <c:v>0.10096054821496747</c:v>
                </c:pt>
                <c:pt idx="143">
                  <c:v>0.10216822277528688</c:v>
                </c:pt>
                <c:pt idx="144">
                  <c:v>0.10333563132422706</c:v>
                </c:pt>
                <c:pt idx="145">
                  <c:v>0.10446289595939373</c:v>
                </c:pt>
                <c:pt idx="146">
                  <c:v>0.10555014937080086</c:v>
                </c:pt>
                <c:pt idx="147">
                  <c:v>0.10659753434474685</c:v>
                </c:pt>
                <c:pt idx="148">
                  <c:v>0.10760520326521567</c:v>
                </c:pt>
                <c:pt idx="149">
                  <c:v>0.10855218685029881</c:v>
                </c:pt>
                <c:pt idx="150">
                  <c:v>0.109453909519324</c:v>
                </c:pt>
                <c:pt idx="151">
                  <c:v>0.11031056067849891</c:v>
                </c:pt>
                <c:pt idx="152">
                  <c:v>0.11112233755452609</c:v>
                </c:pt>
                <c:pt idx="153">
                  <c:v>0.11188944461664556</c:v>
                </c:pt>
                <c:pt idx="154">
                  <c:v>0.11261209299927892</c:v>
                </c:pt>
                <c:pt idx="155">
                  <c:v>0.11327166665958628</c:v>
                </c:pt>
                <c:pt idx="156">
                  <c:v>0.11389002122814824</c:v>
                </c:pt>
                <c:pt idx="157">
                  <c:v>0.11446737923918777</c:v>
                </c:pt>
                <c:pt idx="158">
                  <c:v>0.11500396746085735</c:v>
                </c:pt>
                <c:pt idx="159">
                  <c:v>0.11550001635470235</c:v>
                </c:pt>
                <c:pt idx="160">
                  <c:v>0.11595575953653826</c:v>
                </c:pt>
                <c:pt idx="161">
                  <c:v>0.11637143323602893</c:v>
                </c:pt>
                <c:pt idx="162">
                  <c:v>0.11674727575688258</c:v>
                </c:pt>
                <c:pt idx="163">
                  <c:v>0.11706376155304637</c:v>
                </c:pt>
                <c:pt idx="164">
                  <c:v>0.11734210285487022</c:v>
                </c:pt>
                <c:pt idx="165">
                  <c:v>0.1175825382990328</c:v>
                </c:pt>
                <c:pt idx="166">
                  <c:v>0.11778530639866534</c:v>
                </c:pt>
                <c:pt idx="167">
                  <c:v>0.11795064501765601</c:v>
                </c:pt>
                <c:pt idx="168">
                  <c:v>0.11807879084871055</c:v>
                </c:pt>
                <c:pt idx="169">
                  <c:v>0.11815028351883711</c:v>
                </c:pt>
                <c:pt idx="170">
                  <c:v>0.11818404993212163</c:v>
                </c:pt>
                <c:pt idx="171">
                  <c:v>0.11818032077247402</c:v>
                </c:pt>
                <c:pt idx="172">
                  <c:v>0.11813932323914345</c:v>
                </c:pt>
                <c:pt idx="173">
                  <c:v>0.11806007321181654</c:v>
                </c:pt>
                <c:pt idx="174">
                  <c:v>0.11794152288033226</c:v>
                </c:pt>
                <c:pt idx="175">
                  <c:v>0.11778380091503228</c:v>
                </c:pt>
                <c:pt idx="176">
                  <c:v>0.11758703572836327</c:v>
                </c:pt>
                <c:pt idx="177">
                  <c:v>0.1173327598948206</c:v>
                </c:pt>
                <c:pt idx="178">
                  <c:v>0.11704073325249265</c:v>
                </c:pt>
                <c:pt idx="179">
                  <c:v>0.11671108038157502</c:v>
                </c:pt>
                <c:pt idx="180">
                  <c:v>0.11634392465874153</c:v>
                </c:pt>
                <c:pt idx="181">
                  <c:v>0.11593938803218577</c:v>
                </c:pt>
                <c:pt idx="182">
                  <c:v>0.115497590797684</c:v>
                </c:pt>
                <c:pt idx="183">
                  <c:v>0.114997924933071</c:v>
                </c:pt>
                <c:pt idx="184">
                  <c:v>0.11446008365631326</c:v>
                </c:pt>
                <c:pt idx="185">
                  <c:v>0.11388418222959512</c:v>
                </c:pt>
                <c:pt idx="186">
                  <c:v>0.11327033326820035</c:v>
                </c:pt>
                <c:pt idx="187">
                  <c:v>0.11261864650982627</c:v>
                </c:pt>
                <c:pt idx="188">
                  <c:v>0.11192922858452907</c:v>
                </c:pt>
                <c:pt idx="189">
                  <c:v>0.11120218278123016</c:v>
                </c:pt>
                <c:pt idx="190">
                  <c:v>0.11043760881902231</c:v>
                </c:pt>
                <c:pt idx="191">
                  <c:v>0.10961440470547511</c:v>
                </c:pt>
                <c:pt idx="192">
                  <c:v>0.10875115431666575</c:v>
                </c:pt>
                <c:pt idx="193">
                  <c:v>0.10784794786245722</c:v>
                </c:pt>
                <c:pt idx="194">
                  <c:v>0.10690487081674743</c:v>
                </c:pt>
                <c:pt idx="195">
                  <c:v>0.10592200367260991</c:v>
                </c:pt>
                <c:pt idx="196">
                  <c:v>0.10489942169326044</c:v>
                </c:pt>
                <c:pt idx="197">
                  <c:v>0.10382234810458756</c:v>
                </c:pt>
                <c:pt idx="198">
                  <c:v>0.10271145903321997</c:v>
                </c:pt>
                <c:pt idx="199">
                  <c:v>0.10156680631263633</c:v>
                </c:pt>
                <c:pt idx="200">
                  <c:v>0.1003884360460056</c:v>
                </c:pt>
                <c:pt idx="201">
                  <c:v>9.917638839201541E-2</c:v>
                </c:pt>
                <c:pt idx="202">
                  <c:v>9.7930697351331711E-2</c:v>
                </c:pt>
                <c:pt idx="203">
                  <c:v>9.6651390555239539E-2</c:v>
                </c:pt>
                <c:pt idx="204">
                  <c:v>9.5338335095297558E-2</c:v>
                </c:pt>
                <c:pt idx="205">
                  <c:v>9.4036122056582405E-2</c:v>
                </c:pt>
                <c:pt idx="206">
                  <c:v>9.2765757862271148E-2</c:v>
                </c:pt>
                <c:pt idx="207">
                  <c:v>9.1527142129454564E-2</c:v>
                </c:pt>
                <c:pt idx="208">
                  <c:v>9.0320178467252751E-2</c:v>
                </c:pt>
                <c:pt idx="209">
                  <c:v>8.9144774382710013E-2</c:v>
                </c:pt>
                <c:pt idx="210">
                  <c:v>8.800084118972902E-2</c:v>
                </c:pt>
                <c:pt idx="211">
                  <c:v>8.7004842430138965E-2</c:v>
                </c:pt>
                <c:pt idx="212">
                  <c:v>8.6171442096699705E-2</c:v>
                </c:pt>
                <c:pt idx="213">
                  <c:v>8.5500516035025717E-2</c:v>
                </c:pt>
                <c:pt idx="214">
                  <c:v>8.4991952456814471E-2</c:v>
                </c:pt>
                <c:pt idx="215">
                  <c:v>8.464565143934738E-2</c:v>
                </c:pt>
                <c:pt idx="216">
                  <c:v>8.4461524424671211E-2</c:v>
                </c:pt>
                <c:pt idx="217">
                  <c:v>8.4439493719101866E-2</c:v>
                </c:pt>
                <c:pt idx="218">
                  <c:v>8.4579491992254521E-2</c:v>
                </c:pt>
                <c:pt idx="219">
                  <c:v>8.4975734683813642E-2</c:v>
                </c:pt>
                <c:pt idx="220">
                  <c:v>8.5583467422315374E-2</c:v>
                </c:pt>
                <c:pt idx="221">
                  <c:v>8.6402646966437915E-2</c:v>
                </c:pt>
                <c:pt idx="222">
                  <c:v>8.7433241006425869E-2</c:v>
                </c:pt>
                <c:pt idx="223">
                  <c:v>8.8675227510742582E-2</c:v>
                </c:pt>
                <c:pt idx="224">
                  <c:v>9.0128594070642234E-2</c:v>
                </c:pt>
                <c:pt idx="225">
                  <c:v>9.1970337189760207E-2</c:v>
                </c:pt>
                <c:pt idx="226">
                  <c:v>9.4084028149563806E-2</c:v>
                </c:pt>
                <c:pt idx="227">
                  <c:v>9.6469684354205873E-2</c:v>
                </c:pt>
                <c:pt idx="228">
                  <c:v>9.9127332600324525E-2</c:v>
                </c:pt>
                <c:pt idx="229">
                  <c:v>0.10205700823283002</c:v>
                </c:pt>
                <c:pt idx="230">
                  <c:v>0.10525875430217163</c:v>
                </c:pt>
                <c:pt idx="231">
                  <c:v>0.10873262072204143</c:v>
                </c:pt>
                <c:pt idx="232">
                  <c:v>0.11247866342483721</c:v>
                </c:pt>
                <c:pt idx="233">
                  <c:v>0.11667760088952951</c:v>
                </c:pt>
                <c:pt idx="234">
                  <c:v>0.12123524913767358</c:v>
                </c:pt>
                <c:pt idx="235">
                  <c:v>0.12615179551960429</c:v>
                </c:pt>
                <c:pt idx="236">
                  <c:v>0.1314274919328571</c:v>
                </c:pt>
                <c:pt idx="237">
                  <c:v>0.13706253288455</c:v>
                </c:pt>
                <c:pt idx="238">
                  <c:v>0.14305713133385473</c:v>
                </c:pt>
                <c:pt idx="239">
                  <c:v>0.14940151454661177</c:v>
                </c:pt>
                <c:pt idx="240">
                  <c:v>0.15591881654769837</c:v>
                </c:pt>
                <c:pt idx="241">
                  <c:v>0.16260925485911029</c:v>
                </c:pt>
                <c:pt idx="242">
                  <c:v>0.16947305934526138</c:v>
                </c:pt>
                <c:pt idx="243">
                  <c:v>0.17651047251568441</c:v>
                </c:pt>
                <c:pt idx="244">
                  <c:v>0.18372174982703529</c:v>
                </c:pt>
                <c:pt idx="245">
                  <c:v>0.19110715998324079</c:v>
                </c:pt>
                <c:pt idx="246">
                  <c:v>0.1986669852350412</c:v>
                </c:pt>
                <c:pt idx="247">
                  <c:v>0.20627783703604849</c:v>
                </c:pt>
                <c:pt idx="248">
                  <c:v>0.21375904391786438</c:v>
                </c:pt>
                <c:pt idx="249">
                  <c:v>0.22111077822377823</c:v>
                </c:pt>
                <c:pt idx="250">
                  <c:v>0.22833321034970319</c:v>
                </c:pt>
                <c:pt idx="251">
                  <c:v>0.23542650851424093</c:v>
                </c:pt>
                <c:pt idx="252">
                  <c:v>0.24239083851952656</c:v>
                </c:pt>
                <c:pt idx="253">
                  <c:v>0.248962129236835</c:v>
                </c:pt>
                <c:pt idx="254">
                  <c:v>0.25515040124885879</c:v>
                </c:pt>
                <c:pt idx="255">
                  <c:v>0.26095563596369603</c:v>
                </c:pt>
                <c:pt idx="256">
                  <c:v>0.26637779578447501</c:v>
                </c:pt>
                <c:pt idx="257">
                  <c:v>0.27141682342368206</c:v>
                </c:pt>
                <c:pt idx="258">
                  <c:v>0.27607264121989378</c:v>
                </c:pt>
                <c:pt idx="259">
                  <c:v>0.28034515045842912</c:v>
                </c:pt>
                <c:pt idx="260">
                  <c:v>0.28423423068368908</c:v>
                </c:pt>
                <c:pt idx="261">
                  <c:v>0.28745172254566015</c:v>
                </c:pt>
                <c:pt idx="262">
                  <c:v>0.29012130233306027</c:v>
                </c:pt>
                <c:pt idx="263">
                  <c:v>0.29224262020156511</c:v>
                </c:pt>
                <c:pt idx="264">
                  <c:v>0.29381530440133297</c:v>
                </c:pt>
                <c:pt idx="265">
                  <c:v>0.29484052629783186</c:v>
                </c:pt>
                <c:pt idx="266">
                  <c:v>0.29531865261300744</c:v>
                </c:pt>
                <c:pt idx="267">
                  <c:v>0.2950998295469186</c:v>
                </c:pt>
                <c:pt idx="268">
                  <c:v>0.29444831088902018</c:v>
                </c:pt>
                <c:pt idx="269">
                  <c:v>0.29336321996902964</c:v>
                </c:pt>
                <c:pt idx="270">
                  <c:v>0.29184364041813593</c:v>
                </c:pt>
                <c:pt idx="271">
                  <c:v>0.28988862098350426</c:v>
                </c:pt>
                <c:pt idx="272">
                  <c:v>0.28749718035092742</c:v>
                </c:pt>
                <c:pt idx="273">
                  <c:v>0.28466831196379871</c:v>
                </c:pt>
                <c:pt idx="274">
                  <c:v>0.28140098884587494</c:v>
                </c:pt>
                <c:pt idx="275">
                  <c:v>0.2776474926294647</c:v>
                </c:pt>
                <c:pt idx="276">
                  <c:v>0.27369644926457265</c:v>
                </c:pt>
                <c:pt idx="277">
                  <c:v>0.26954716277705298</c:v>
                </c:pt>
                <c:pt idx="278">
                  <c:v>0.26519894622631562</c:v>
                </c:pt>
                <c:pt idx="279">
                  <c:v>0.26065112385800132</c:v>
                </c:pt>
                <c:pt idx="280">
                  <c:v>0.25590303325916125</c:v>
                </c:pt>
                <c:pt idx="281">
                  <c:v>0.25098000669407022</c:v>
                </c:pt>
                <c:pt idx="282">
                  <c:v>0.24603147928274904</c:v>
                </c:pt>
                <c:pt idx="283">
                  <c:v>0.24105711770473962</c:v>
                </c:pt>
                <c:pt idx="284">
                  <c:v>0.23605661074393466</c:v>
                </c:pt>
                <c:pt idx="285">
                  <c:v>0.23102966951591697</c:v>
                </c:pt>
                <c:pt idx="286">
                  <c:v>0.22597602769755445</c:v>
                </c:pt>
                <c:pt idx="287">
                  <c:v>0.22089544175421519</c:v>
                </c:pt>
                <c:pt idx="288">
                  <c:v>0.21578769116791216</c:v>
                </c:pt>
                <c:pt idx="289">
                  <c:v>0.21077799121920049</c:v>
                </c:pt>
                <c:pt idx="290">
                  <c:v>0.20591339205653567</c:v>
                </c:pt>
                <c:pt idx="291">
                  <c:v>0.20119399548043745</c:v>
                </c:pt>
                <c:pt idx="292">
                  <c:v>0.19661991790883668</c:v>
                </c:pt>
                <c:pt idx="293">
                  <c:v>0.19219128872648553</c:v>
                </c:pt>
                <c:pt idx="294">
                  <c:v>0.18790824863353883</c:v>
                </c:pt>
                <c:pt idx="295">
                  <c:v>0.1839424210075041</c:v>
                </c:pt>
                <c:pt idx="296">
                  <c:v>0.18027019801656552</c:v>
                </c:pt>
                <c:pt idx="297">
                  <c:v>0.17689328609197272</c:v>
                </c:pt>
                <c:pt idx="298">
                  <c:v>0.1738118620633152</c:v>
                </c:pt>
                <c:pt idx="299">
                  <c:v>0.17102612541104975</c:v>
                </c:pt>
                <c:pt idx="300">
                  <c:v>0.16853629552004254</c:v>
                </c:pt>
                <c:pt idx="301">
                  <c:v>0.16634260893257677</c:v>
                </c:pt>
                <c:pt idx="302">
                  <c:v>0.16444531660174821</c:v>
                </c:pt>
                <c:pt idx="303">
                  <c:v>0.1629283429002808</c:v>
                </c:pt>
                <c:pt idx="304">
                  <c:v>0.16166577658122919</c:v>
                </c:pt>
                <c:pt idx="305">
                  <c:v>0.16065783438447531</c:v>
                </c:pt>
                <c:pt idx="306">
                  <c:v>0.15990473655938092</c:v>
                </c:pt>
                <c:pt idx="307">
                  <c:v>0.15940670451035174</c:v>
                </c:pt>
                <c:pt idx="308">
                  <c:v>0.15916395844106243</c:v>
                </c:pt>
                <c:pt idx="309">
                  <c:v>0.15918473379283404</c:v>
                </c:pt>
                <c:pt idx="310">
                  <c:v>0.1592965906384006</c:v>
                </c:pt>
                <c:pt idx="311">
                  <c:v>0.1594995083109135</c:v>
                </c:pt>
                <c:pt idx="312">
                  <c:v>0.15979346245174367</c:v>
                </c:pt>
                <c:pt idx="313">
                  <c:v>0.16017842416725905</c:v>
                </c:pt>
                <c:pt idx="314">
                  <c:v>0.16065435918414242</c:v>
                </c:pt>
                <c:pt idx="315">
                  <c:v>0.16122122700672162</c:v>
                </c:pt>
                <c:pt idx="316">
                  <c:v>0.16187898007182136</c:v>
                </c:pt>
                <c:pt idx="317">
                  <c:v>0.1625663342391887</c:v>
                </c:pt>
                <c:pt idx="318">
                  <c:v>0.1631989357396956</c:v>
                </c:pt>
                <c:pt idx="319">
                  <c:v>0.16377655252168685</c:v>
                </c:pt>
                <c:pt idx="320">
                  <c:v>0.16429895482737911</c:v>
                </c:pt>
                <c:pt idx="321">
                  <c:v>0.16476591567988649</c:v>
                </c:pt>
                <c:pt idx="322">
                  <c:v>0.1651772113709517</c:v>
                </c:pt>
                <c:pt idx="323">
                  <c:v>0.16547665513110688</c:v>
                </c:pt>
                <c:pt idx="324">
                  <c:v>0.16565591772677049</c:v>
                </c:pt>
                <c:pt idx="325">
                  <c:v>0.16571473018908842</c:v>
                </c:pt>
                <c:pt idx="326">
                  <c:v>0.1656518062971887</c:v>
                </c:pt>
                <c:pt idx="327">
                  <c:v>0.16546656503502352</c:v>
                </c:pt>
                <c:pt idx="328">
                  <c:v>0.1651592945223424</c:v>
                </c:pt>
                <c:pt idx="329">
                  <c:v>0.16473029962949112</c:v>
                </c:pt>
                <c:pt idx="330">
                  <c:v>0.16417989953172923</c:v>
                </c:pt>
                <c:pt idx="331">
                  <c:v>0.16352447100555648</c:v>
                </c:pt>
                <c:pt idx="332">
                  <c:v>0.16282581946600516</c:v>
                </c:pt>
                <c:pt idx="333">
                  <c:v>0.16208431041658092</c:v>
                </c:pt>
                <c:pt idx="334">
                  <c:v>0.16130030724566555</c:v>
                </c:pt>
                <c:pt idx="335">
                  <c:v>0.16047417039560585</c:v>
                </c:pt>
                <c:pt idx="336">
                  <c:v>0.15960625652966098</c:v>
                </c:pt>
                <c:pt idx="337">
                  <c:v>0.15871775899321847</c:v>
                </c:pt>
                <c:pt idx="338">
                  <c:v>0.15786510599683742</c:v>
                </c:pt>
                <c:pt idx="339">
                  <c:v>0.15704864336995103</c:v>
                </c:pt>
                <c:pt idx="340">
                  <c:v>0.15626870904180493</c:v>
                </c:pt>
                <c:pt idx="341">
                  <c:v>0.15552563380919915</c:v>
                </c:pt>
                <c:pt idx="342">
                  <c:v>0.15481974210408855</c:v>
                </c:pt>
                <c:pt idx="343">
                  <c:v>0.15415135275931194</c:v>
                </c:pt>
                <c:pt idx="344">
                  <c:v>0.15352077977676731</c:v>
                </c:pt>
                <c:pt idx="345">
                  <c:v>0.15292833309394691</c:v>
                </c:pt>
                <c:pt idx="346">
                  <c:v>0.15238986864684639</c:v>
                </c:pt>
                <c:pt idx="347">
                  <c:v>0.15190569364398396</c:v>
                </c:pt>
                <c:pt idx="348">
                  <c:v>0.15147611488813584</c:v>
                </c:pt>
                <c:pt idx="349">
                  <c:v>0.15110143986539981</c:v>
                </c:pt>
                <c:pt idx="350">
                  <c:v>0.15078197783780864</c:v>
                </c:pt>
                <c:pt idx="351">
                  <c:v>0.15054966239004511</c:v>
                </c:pt>
                <c:pt idx="352">
                  <c:v>0.15038396377745272</c:v>
                </c:pt>
                <c:pt idx="353">
                  <c:v>0.15028521145410981</c:v>
                </c:pt>
                <c:pt idx="354">
                  <c:v>0.1502537430196757</c:v>
                </c:pt>
                <c:pt idx="355">
                  <c:v>0.15028990552584254</c:v>
                </c:pt>
                <c:pt idx="356">
                  <c:v>0.15039416072139244</c:v>
                </c:pt>
                <c:pt idx="357">
                  <c:v>0.15056654334508732</c:v>
                </c:pt>
                <c:pt idx="358">
                  <c:v>0.15080673694706256</c:v>
                </c:pt>
                <c:pt idx="359">
                  <c:v>0.15111443450474274</c:v>
                </c:pt>
                <c:pt idx="360">
                  <c:v>0.15151024559332979</c:v>
                </c:pt>
                <c:pt idx="361">
                  <c:v>0.15196219074838216</c:v>
                </c:pt>
                <c:pt idx="362">
                  <c:v>0.15246996898299811</c:v>
                </c:pt>
                <c:pt idx="363">
                  <c:v>0.15303328098127122</c:v>
                </c:pt>
                <c:pt idx="364">
                  <c:v>0.15365182775454203</c:v>
                </c:pt>
                <c:pt idx="365">
                  <c:v>0.15432530929580346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0.21344327525319404</c:v>
                </c:pt>
                <c:pt idx="1">
                  <c:v>0.21518068424779144</c:v>
                </c:pt>
                <c:pt idx="2">
                  <c:v>0.21703221617099702</c:v>
                </c:pt>
                <c:pt idx="3">
                  <c:v>0.21899750350075911</c:v>
                </c:pt>
                <c:pt idx="4">
                  <c:v>0.22107616260741106</c:v>
                </c:pt>
                <c:pt idx="5">
                  <c:v>0.22326779091436114</c:v>
                </c:pt>
                <c:pt idx="6">
                  <c:v>0.22557196406163235</c:v>
                </c:pt>
                <c:pt idx="7">
                  <c:v>0.22798823306441754</c:v>
                </c:pt>
                <c:pt idx="8">
                  <c:v>0.23051612147469178</c:v>
                </c:pt>
                <c:pt idx="9">
                  <c:v>0.23310718981528733</c:v>
                </c:pt>
                <c:pt idx="10">
                  <c:v>0.23569084160815315</c:v>
                </c:pt>
                <c:pt idx="11">
                  <c:v>0.23826635650749309</c:v>
                </c:pt>
                <c:pt idx="12">
                  <c:v>0.24083298959122076</c:v>
                </c:pt>
                <c:pt idx="13">
                  <c:v>0.24338997152040506</c:v>
                </c:pt>
                <c:pt idx="14">
                  <c:v>0.24593650869453262</c:v>
                </c:pt>
                <c:pt idx="15">
                  <c:v>0.24839573770341228</c:v>
                </c:pt>
                <c:pt idx="16">
                  <c:v>0.25072496358588903</c:v>
                </c:pt>
                <c:pt idx="17">
                  <c:v>0.25292323635731784</c:v>
                </c:pt>
                <c:pt idx="18">
                  <c:v>0.2549896076523675</c:v>
                </c:pt>
                <c:pt idx="19">
                  <c:v>0.25692456696730831</c:v>
                </c:pt>
                <c:pt idx="20">
                  <c:v>0.25872930385333509</c:v>
                </c:pt>
                <c:pt idx="21">
                  <c:v>0.26040394425920649</c:v>
                </c:pt>
                <c:pt idx="22">
                  <c:v>0.26194864106955407</c:v>
                </c:pt>
                <c:pt idx="23">
                  <c:v>0.26331895325825588</c:v>
                </c:pt>
                <c:pt idx="24">
                  <c:v>0.26456319083109148</c:v>
                </c:pt>
                <c:pt idx="25">
                  <c:v>0.26568158136706865</c:v>
                </c:pt>
                <c:pt idx="26">
                  <c:v>0.26667437255052312</c:v>
                </c:pt>
                <c:pt idx="27">
                  <c:v>0.26754183065824505</c:v>
                </c:pt>
                <c:pt idx="28">
                  <c:v>0.26828423905233983</c:v>
                </c:pt>
                <c:pt idx="29">
                  <c:v>0.2689100434888006</c:v>
                </c:pt>
                <c:pt idx="30">
                  <c:v>0.26949572849262865</c:v>
                </c:pt>
                <c:pt idx="31">
                  <c:v>0.2700416103259759</c:v>
                </c:pt>
                <c:pt idx="32">
                  <c:v>0.27054801079172025</c:v>
                </c:pt>
                <c:pt idx="33">
                  <c:v>0.27101525677685728</c:v>
                </c:pt>
                <c:pt idx="34">
                  <c:v>0.2714436797971177</c:v>
                </c:pt>
                <c:pt idx="35">
                  <c:v>0.27183361554137159</c:v>
                </c:pt>
                <c:pt idx="36">
                  <c:v>0.2721854034154782</c:v>
                </c:pt>
                <c:pt idx="37">
                  <c:v>0.27257940262813518</c:v>
                </c:pt>
                <c:pt idx="38">
                  <c:v>0.27306054129980267</c:v>
                </c:pt>
                <c:pt idx="39">
                  <c:v>0.27362913373164055</c:v>
                </c:pt>
                <c:pt idx="40">
                  <c:v>0.27428549580174394</c:v>
                </c:pt>
                <c:pt idx="41">
                  <c:v>0.27502994606939279</c:v>
                </c:pt>
                <c:pt idx="42">
                  <c:v>0.27586280687741743</c:v>
                </c:pt>
                <c:pt idx="43">
                  <c:v>0.27694866691350639</c:v>
                </c:pt>
                <c:pt idx="44">
                  <c:v>0.2782796815397211</c:v>
                </c:pt>
                <c:pt idx="45">
                  <c:v>0.27985615843228523</c:v>
                </c:pt>
                <c:pt idx="46">
                  <c:v>0.28167842041945973</c:v>
                </c:pt>
                <c:pt idx="47">
                  <c:v>0.2837468085398534</c:v>
                </c:pt>
                <c:pt idx="48">
                  <c:v>0.28606168509708424</c:v>
                </c:pt>
                <c:pt idx="49">
                  <c:v>0.28862343671697682</c:v>
                </c:pt>
                <c:pt idx="50">
                  <c:v>0.29143247740302464</c:v>
                </c:pt>
                <c:pt idx="51">
                  <c:v>0.29470388002850567</c:v>
                </c:pt>
                <c:pt idx="52">
                  <c:v>0.29835654014154106</c:v>
                </c:pt>
                <c:pt idx="53">
                  <c:v>0.30238893126349403</c:v>
                </c:pt>
                <c:pt idx="54">
                  <c:v>0.30680097303531567</c:v>
                </c:pt>
                <c:pt idx="55">
                  <c:v>0.31159258537696483</c:v>
                </c:pt>
                <c:pt idx="56">
                  <c:v>0.31676368708582031</c:v>
                </c:pt>
                <c:pt idx="57">
                  <c:v>0.32243028339059382</c:v>
                </c:pt>
                <c:pt idx="58">
                  <c:v>0.32842809781999777</c:v>
                </c:pt>
                <c:pt idx="59">
                  <c:v>0.3347570368389014</c:v>
                </c:pt>
                <c:pt idx="60">
                  <c:v>0.34141699982359608</c:v>
                </c:pt>
                <c:pt idx="61">
                  <c:v>0.34840787783839638</c:v>
                </c:pt>
                <c:pt idx="62">
                  <c:v>0.35572955241172205</c:v>
                </c:pt>
                <c:pt idx="63">
                  <c:v>0.36338189431321927</c:v>
                </c:pt>
                <c:pt idx="64">
                  <c:v>0.37136476232948495</c:v>
                </c:pt>
                <c:pt idx="65">
                  <c:v>0.37962438473277943</c:v>
                </c:pt>
                <c:pt idx="66">
                  <c:v>0.38794595449709829</c:v>
                </c:pt>
                <c:pt idx="67">
                  <c:v>0.39632928647672827</c:v>
                </c:pt>
                <c:pt idx="68">
                  <c:v>0.40477418244220625</c:v>
                </c:pt>
                <c:pt idx="69">
                  <c:v>0.41328043084795008</c:v>
                </c:pt>
                <c:pt idx="70">
                  <c:v>0.42184780660169657</c:v>
                </c:pt>
                <c:pt idx="71">
                  <c:v>0.43012410455566391</c:v>
                </c:pt>
                <c:pt idx="72">
                  <c:v>0.4379929955538599</c:v>
                </c:pt>
                <c:pt idx="73">
                  <c:v>0.44545424242776366</c:v>
                </c:pt>
                <c:pt idx="74">
                  <c:v>0.45250760677021279</c:v>
                </c:pt>
                <c:pt idx="75">
                  <c:v>0.45915285043651871</c:v>
                </c:pt>
                <c:pt idx="76">
                  <c:v>0.46538973704419712</c:v>
                </c:pt>
                <c:pt idx="77">
                  <c:v>0.47121803347416874</c:v>
                </c:pt>
                <c:pt idx="78">
                  <c:v>0.47663752719528157</c:v>
                </c:pt>
                <c:pt idx="79">
                  <c:v>0.48121687446399358</c:v>
                </c:pt>
                <c:pt idx="80">
                  <c:v>0.48501090634845551</c:v>
                </c:pt>
                <c:pt idx="81">
                  <c:v>0.48801957651570066</c:v>
                </c:pt>
                <c:pt idx="82">
                  <c:v>0.49024283600974755</c:v>
                </c:pt>
                <c:pt idx="83">
                  <c:v>0.4916806357654942</c:v>
                </c:pt>
                <c:pt idx="84">
                  <c:v>0.49233292912424992</c:v>
                </c:pt>
                <c:pt idx="85">
                  <c:v>0.49191126369215188</c:v>
                </c:pt>
                <c:pt idx="86">
                  <c:v>0.49076740937187874</c:v>
                </c:pt>
                <c:pt idx="87">
                  <c:v>0.48890133308182038</c:v>
                </c:pt>
                <c:pt idx="88">
                  <c:v>0.48631301357726148</c:v>
                </c:pt>
                <c:pt idx="89">
                  <c:v>0.48300244376188489</c:v>
                </c:pt>
                <c:pt idx="90">
                  <c:v>0.47896963299826756</c:v>
                </c:pt>
                <c:pt idx="91">
                  <c:v>0.47421460942022448</c:v>
                </c:pt>
                <c:pt idx="92">
                  <c:v>0.46873742224384146</c:v>
                </c:pt>
                <c:pt idx="93">
                  <c:v>0.46234171838298083</c:v>
                </c:pt>
                <c:pt idx="94">
                  <c:v>0.45546027285487106</c:v>
                </c:pt>
                <c:pt idx="95">
                  <c:v>0.44809315368613128</c:v>
                </c:pt>
                <c:pt idx="96">
                  <c:v>0.44024045213302654</c:v>
                </c:pt>
                <c:pt idx="97">
                  <c:v>0.4319022842379332</c:v>
                </c:pt>
                <c:pt idx="98">
                  <c:v>0.42307879238176743</c:v>
                </c:pt>
                <c:pt idx="99">
                  <c:v>0.41374993793053788</c:v>
                </c:pt>
                <c:pt idx="100">
                  <c:v>0.40420399279235725</c:v>
                </c:pt>
                <c:pt idx="101">
                  <c:v>0.39444108981631976</c:v>
                </c:pt>
                <c:pt idx="102">
                  <c:v>0.38446138300244881</c:v>
                </c:pt>
                <c:pt idx="103">
                  <c:v>0.3742650481923307</c:v>
                </c:pt>
                <c:pt idx="104">
                  <c:v>0.36385228376886736</c:v>
                </c:pt>
                <c:pt idx="105">
                  <c:v>0.35322331134756818</c:v>
                </c:pt>
                <c:pt idx="106">
                  <c:v>0.34237837647247055</c:v>
                </c:pt>
                <c:pt idx="107">
                  <c:v>0.33144004330058413</c:v>
                </c:pt>
                <c:pt idx="108">
                  <c:v>0.32060459840085404</c:v>
                </c:pt>
                <c:pt idx="109">
                  <c:v>0.30987217989782545</c:v>
                </c:pt>
                <c:pt idx="110">
                  <c:v>0.29924378621384801</c:v>
                </c:pt>
                <c:pt idx="111">
                  <c:v>0.28872032404965742</c:v>
                </c:pt>
                <c:pt idx="112">
                  <c:v>0.27830180493373086</c:v>
                </c:pt>
                <c:pt idx="113">
                  <c:v>0.26826462484525765</c:v>
                </c:pt>
                <c:pt idx="114">
                  <c:v>0.25862878857642441</c:v>
                </c:pt>
                <c:pt idx="115">
                  <c:v>0.24939412709140171</c:v>
                </c:pt>
                <c:pt idx="116">
                  <c:v>0.2405604672955266</c:v>
                </c:pt>
                <c:pt idx="117">
                  <c:v>0.23212763116585874</c:v>
                </c:pt>
                <c:pt idx="118">
                  <c:v>0.22409543487908548</c:v>
                </c:pt>
                <c:pt idx="119">
                  <c:v>0.21646368794018875</c:v>
                </c:pt>
                <c:pt idx="120">
                  <c:v>0.20923219231077425</c:v>
                </c:pt>
                <c:pt idx="121">
                  <c:v>0.20262381249346262</c:v>
                </c:pt>
                <c:pt idx="122">
                  <c:v>0.19651626728158667</c:v>
                </c:pt>
                <c:pt idx="123">
                  <c:v>0.19090924475395729</c:v>
                </c:pt>
                <c:pt idx="124">
                  <c:v>0.18580241745019829</c:v>
                </c:pt>
                <c:pt idx="125">
                  <c:v>0.18119544127942841</c:v>
                </c:pt>
                <c:pt idx="126">
                  <c:v>0.17708795442623215</c:v>
                </c:pt>
                <c:pt idx="127">
                  <c:v>0.17356383601896</c:v>
                </c:pt>
                <c:pt idx="128">
                  <c:v>0.17034729250933908</c:v>
                </c:pt>
                <c:pt idx="129">
                  <c:v>0.16743808077024336</c:v>
                </c:pt>
                <c:pt idx="130">
                  <c:v>0.16483594518272635</c:v>
                </c:pt>
                <c:pt idx="131">
                  <c:v>0.16254061696068592</c:v>
                </c:pt>
                <c:pt idx="132">
                  <c:v>0.16055181347723887</c:v>
                </c:pt>
                <c:pt idx="133">
                  <c:v>0.15886923759208851</c:v>
                </c:pt>
                <c:pt idx="134">
                  <c:v>0.15749257697801797</c:v>
                </c:pt>
                <c:pt idx="135">
                  <c:v>0.15652450568851833</c:v>
                </c:pt>
                <c:pt idx="136">
                  <c:v>0.15574254910987939</c:v>
                </c:pt>
                <c:pt idx="137">
                  <c:v>0.1551464813712756</c:v>
                </c:pt>
                <c:pt idx="138">
                  <c:v>0.15473606593185985</c:v>
                </c:pt>
                <c:pt idx="139">
                  <c:v>0.1545110551730722</c:v>
                </c:pt>
                <c:pt idx="140">
                  <c:v>0.15447118998222439</c:v>
                </c:pt>
                <c:pt idx="141">
                  <c:v>0.15464416507115974</c:v>
                </c:pt>
                <c:pt idx="142">
                  <c:v>0.15494501569920527</c:v>
                </c:pt>
                <c:pt idx="143">
                  <c:v>0.15537281924317087</c:v>
                </c:pt>
                <c:pt idx="144">
                  <c:v>0.15592756881329847</c:v>
                </c:pt>
                <c:pt idx="145">
                  <c:v>0.15660924490399936</c:v>
                </c:pt>
                <c:pt idx="146">
                  <c:v>0.15741781714692565</c:v>
                </c:pt>
                <c:pt idx="147">
                  <c:v>0.15835324606931586</c:v>
                </c:pt>
                <c:pt idx="148">
                  <c:v>0.15941548484860152</c:v>
                </c:pt>
                <c:pt idx="149">
                  <c:v>0.16057266737690898</c:v>
                </c:pt>
                <c:pt idx="150">
                  <c:v>0.16172252415548016</c:v>
                </c:pt>
                <c:pt idx="151">
                  <c:v>0.16286523740220457</c:v>
                </c:pt>
                <c:pt idx="152">
                  <c:v>0.16400099629036083</c:v>
                </c:pt>
                <c:pt idx="153">
                  <c:v>0.165129996894509</c:v>
                </c:pt>
                <c:pt idx="154">
                  <c:v>0.16625244213727111</c:v>
                </c:pt>
                <c:pt idx="155">
                  <c:v>0.16733705676552194</c:v>
                </c:pt>
                <c:pt idx="156">
                  <c:v>0.16835638503444772</c:v>
                </c:pt>
                <c:pt idx="157">
                  <c:v>0.16931076279460167</c:v>
                </c:pt>
                <c:pt idx="158">
                  <c:v>0.17020053277773076</c:v>
                </c:pt>
                <c:pt idx="159">
                  <c:v>0.17102604374060759</c:v>
                </c:pt>
                <c:pt idx="160">
                  <c:v>0.17178764961095472</c:v>
                </c:pt>
                <c:pt idx="161">
                  <c:v>0.17248570863144772</c:v>
                </c:pt>
                <c:pt idx="162">
                  <c:v>0.17312058250463144</c:v>
                </c:pt>
                <c:pt idx="163">
                  <c:v>0.17365984621736844</c:v>
                </c:pt>
                <c:pt idx="164">
                  <c:v>0.17413544517957449</c:v>
                </c:pt>
                <c:pt idx="165">
                  <c:v>0.17454774780068352</c:v>
                </c:pt>
                <c:pt idx="166">
                  <c:v>0.17489712227888168</c:v>
                </c:pt>
                <c:pt idx="167">
                  <c:v>0.17518393572606772</c:v>
                </c:pt>
                <c:pt idx="168">
                  <c:v>0.17540855329838856</c:v>
                </c:pt>
                <c:pt idx="169">
                  <c:v>0.175538664150618</c:v>
                </c:pt>
                <c:pt idx="170">
                  <c:v>0.17560587885554391</c:v>
                </c:pt>
                <c:pt idx="171">
                  <c:v>0.17561055216152688</c:v>
                </c:pt>
                <c:pt idx="172">
                  <c:v>0.17555303303608341</c:v>
                </c:pt>
                <c:pt idx="173">
                  <c:v>0.17543186978543315</c:v>
                </c:pt>
                <c:pt idx="174">
                  <c:v>0.17524551570924649</c:v>
                </c:pt>
                <c:pt idx="175">
                  <c:v>0.17499417229845862</c:v>
                </c:pt>
                <c:pt idx="176">
                  <c:v>0.1746780406159906</c:v>
                </c:pt>
                <c:pt idx="177">
                  <c:v>0.1742662336852803</c:v>
                </c:pt>
                <c:pt idx="178">
                  <c:v>0.17379152002191636</c:v>
                </c:pt>
                <c:pt idx="179">
                  <c:v>0.1732540946869153</c:v>
                </c:pt>
                <c:pt idx="180">
                  <c:v>0.1726541507394502</c:v>
                </c:pt>
                <c:pt idx="181">
                  <c:v>0.17199187886237244</c:v>
                </c:pt>
                <c:pt idx="182">
                  <c:v>0.17126746698924886</c:v>
                </c:pt>
                <c:pt idx="183">
                  <c:v>0.17044989497547625</c:v>
                </c:pt>
                <c:pt idx="184">
                  <c:v>0.16957181621836928</c:v>
                </c:pt>
                <c:pt idx="185">
                  <c:v>0.16863340583041483</c:v>
                </c:pt>
                <c:pt idx="186">
                  <c:v>0.16763483465664344</c:v>
                </c:pt>
                <c:pt idx="187">
                  <c:v>0.1665762689091648</c:v>
                </c:pt>
                <c:pt idx="188">
                  <c:v>0.16545786980262964</c:v>
                </c:pt>
                <c:pt idx="189">
                  <c:v>0.16427979318460767</c:v>
                </c:pt>
                <c:pt idx="190">
                  <c:v>0.16304218917306382</c:v>
                </c:pt>
                <c:pt idx="191">
                  <c:v>0.16177242071961961</c:v>
                </c:pt>
                <c:pt idx="192">
                  <c:v>0.16050146215569341</c:v>
                </c:pt>
                <c:pt idx="193">
                  <c:v>0.15922937499295373</c:v>
                </c:pt>
                <c:pt idx="194">
                  <c:v>0.15795621763467096</c:v>
                </c:pt>
                <c:pt idx="195">
                  <c:v>0.15668204535642571</c:v>
                </c:pt>
                <c:pt idx="196">
                  <c:v>0.15540691028065509</c:v>
                </c:pt>
                <c:pt idx="197">
                  <c:v>0.15423063899141787</c:v>
                </c:pt>
                <c:pt idx="198">
                  <c:v>0.15318418565363215</c:v>
                </c:pt>
                <c:pt idx="199">
                  <c:v>0.15226746968718677</c:v>
                </c:pt>
                <c:pt idx="200">
                  <c:v>0.15148041937740622</c:v>
                </c:pt>
                <c:pt idx="201">
                  <c:v>0.15082297262540248</c:v>
                </c:pt>
                <c:pt idx="202">
                  <c:v>0.15029507769933717</c:v>
                </c:pt>
                <c:pt idx="203">
                  <c:v>0.14989669398902516</c:v>
                </c:pt>
                <c:pt idx="204">
                  <c:v>0.14962755113172727</c:v>
                </c:pt>
                <c:pt idx="205">
                  <c:v>0.14956851821675646</c:v>
                </c:pt>
                <c:pt idx="206">
                  <c:v>0.14969231521055015</c:v>
                </c:pt>
                <c:pt idx="207">
                  <c:v>0.14999878436656627</c:v>
                </c:pt>
                <c:pt idx="208">
                  <c:v>0.15048778246676911</c:v>
                </c:pt>
                <c:pt idx="209">
                  <c:v>0.15115918025904354</c:v>
                </c:pt>
                <c:pt idx="210">
                  <c:v>0.15201286189965366</c:v>
                </c:pt>
                <c:pt idx="211">
                  <c:v>0.15326314042531977</c:v>
                </c:pt>
                <c:pt idx="212">
                  <c:v>0.15481040897436424</c:v>
                </c:pt>
                <c:pt idx="213">
                  <c:v>0.15665455199218023</c:v>
                </c:pt>
                <c:pt idx="214">
                  <c:v>0.15879547276697112</c:v>
                </c:pt>
                <c:pt idx="215">
                  <c:v>0.16123309251254755</c:v>
                </c:pt>
                <c:pt idx="216">
                  <c:v>0.16396734945056607</c:v>
                </c:pt>
                <c:pt idx="217">
                  <c:v>0.16699819789339909</c:v>
                </c:pt>
                <c:pt idx="218">
                  <c:v>0.17032560732611482</c:v>
                </c:pt>
                <c:pt idx="219">
                  <c:v>0.17421450711732411</c:v>
                </c:pt>
                <c:pt idx="220">
                  <c:v>0.17858379457615484</c:v>
                </c:pt>
                <c:pt idx="221">
                  <c:v>0.18343346200160227</c:v>
                </c:pt>
                <c:pt idx="222">
                  <c:v>0.18876352283863596</c:v>
                </c:pt>
                <c:pt idx="223">
                  <c:v>0.19457401019220652</c:v>
                </c:pt>
                <c:pt idx="224">
                  <c:v>0.20086497533693956</c:v>
                </c:pt>
                <c:pt idx="225">
                  <c:v>0.20775356154265731</c:v>
                </c:pt>
                <c:pt idx="226">
                  <c:v>0.21502564894602591</c:v>
                </c:pt>
                <c:pt idx="227">
                  <c:v>0.22268133558715542</c:v>
                </c:pt>
                <c:pt idx="228">
                  <c:v>0.23072072739175667</c:v>
                </c:pt>
                <c:pt idx="229">
                  <c:v>0.23914393698138117</c:v>
                </c:pt>
                <c:pt idx="230">
                  <c:v>0.24795108248703701</c:v>
                </c:pt>
                <c:pt idx="231">
                  <c:v>0.25714228636388742</c:v>
                </c:pt>
                <c:pt idx="232">
                  <c:v>0.26671767420067299</c:v>
                </c:pt>
                <c:pt idx="233">
                  <c:v>0.27665804559048063</c:v>
                </c:pt>
                <c:pt idx="234">
                  <c:v>0.28669857228873813</c:v>
                </c:pt>
                <c:pt idx="235">
                  <c:v>0.29683957566886543</c:v>
                </c:pt>
                <c:pt idx="236">
                  <c:v>0.30708150025835862</c:v>
                </c:pt>
                <c:pt idx="237">
                  <c:v>0.31742462331953042</c:v>
                </c:pt>
                <c:pt idx="238">
                  <c:v>0.32786923335740076</c:v>
                </c:pt>
                <c:pt idx="239">
                  <c:v>0.33822780099810651</c:v>
                </c:pt>
                <c:pt idx="240">
                  <c:v>0.34838343596235427</c:v>
                </c:pt>
                <c:pt idx="241">
                  <c:v>0.35833636869211466</c:v>
                </c:pt>
                <c:pt idx="242">
                  <c:v>0.36808682736610315</c:v>
                </c:pt>
                <c:pt idx="243">
                  <c:v>0.37763503753738425</c:v>
                </c:pt>
                <c:pt idx="244">
                  <c:v>0.38698122176924321</c:v>
                </c:pt>
                <c:pt idx="245">
                  <c:v>0.39612559926706031</c:v>
                </c:pt>
                <c:pt idx="246">
                  <c:v>0.40506838550917929</c:v>
                </c:pt>
                <c:pt idx="247">
                  <c:v>0.41353388752994746</c:v>
                </c:pt>
                <c:pt idx="248">
                  <c:v>0.42154154114758385</c:v>
                </c:pt>
                <c:pt idx="249">
                  <c:v>0.42909141555395475</c:v>
                </c:pt>
                <c:pt idx="250">
                  <c:v>0.43618356056344298</c:v>
                </c:pt>
                <c:pt idx="251">
                  <c:v>0.44281800580636194</c:v>
                </c:pt>
                <c:pt idx="252">
                  <c:v>0.44899475990425813</c:v>
                </c:pt>
                <c:pt idx="253">
                  <c:v>0.4542992540729649</c:v>
                </c:pt>
                <c:pt idx="254">
                  <c:v>0.45891943534828061</c:v>
                </c:pt>
                <c:pt idx="255">
                  <c:v>0.46285508259040148</c:v>
                </c:pt>
                <c:pt idx="256">
                  <c:v>0.46610593632326264</c:v>
                </c:pt>
                <c:pt idx="257">
                  <c:v>0.46867169751400772</c:v>
                </c:pt>
                <c:pt idx="258">
                  <c:v>0.47055202635686161</c:v>
                </c:pt>
                <c:pt idx="259">
                  <c:v>0.4717465410635624</c:v>
                </c:pt>
                <c:pt idx="260">
                  <c:v>0.47225481663945185</c:v>
                </c:pt>
                <c:pt idx="261">
                  <c:v>0.47173884011805378</c:v>
                </c:pt>
                <c:pt idx="262">
                  <c:v>0.47047462151499708</c:v>
                </c:pt>
                <c:pt idx="263">
                  <c:v>0.46846153171010058</c:v>
                </c:pt>
                <c:pt idx="264">
                  <c:v>0.46569891142965941</c:v>
                </c:pt>
                <c:pt idx="265">
                  <c:v>0.46218852352582346</c:v>
                </c:pt>
                <c:pt idx="266">
                  <c:v>0.45793077875709126</c:v>
                </c:pt>
                <c:pt idx="267">
                  <c:v>0.45287259022407955</c:v>
                </c:pt>
                <c:pt idx="268">
                  <c:v>0.44742862348016738</c:v>
                </c:pt>
                <c:pt idx="269">
                  <c:v>0.44159763443412653</c:v>
                </c:pt>
                <c:pt idx="270">
                  <c:v>0.43537836538994251</c:v>
                </c:pt>
                <c:pt idx="271">
                  <c:v>0.42876954933123823</c:v>
                </c:pt>
                <c:pt idx="272">
                  <c:v>0.42176991421814525</c:v>
                </c:pt>
                <c:pt idx="273">
                  <c:v>0.41437818727866321</c:v>
                </c:pt>
                <c:pt idx="274">
                  <c:v>0.40659309930561127</c:v>
                </c:pt>
                <c:pt idx="275">
                  <c:v>0.39852533881904995</c:v>
                </c:pt>
                <c:pt idx="276">
                  <c:v>0.39051339499300419</c:v>
                </c:pt>
                <c:pt idx="277">
                  <c:v>0.3825567148769386</c:v>
                </c:pt>
                <c:pt idx="278">
                  <c:v>0.37465478428472471</c:v>
                </c:pt>
                <c:pt idx="279">
                  <c:v>0.36680712713186847</c:v>
                </c:pt>
                <c:pt idx="280">
                  <c:v>0.35901330477627996</c:v>
                </c:pt>
                <c:pt idx="281">
                  <c:v>0.35148052043433275</c:v>
                </c:pt>
                <c:pt idx="282">
                  <c:v>0.34426062103753846</c:v>
                </c:pt>
                <c:pt idx="283">
                  <c:v>0.33735368426512374</c:v>
                </c:pt>
                <c:pt idx="284">
                  <c:v>0.33075982207088139</c:v>
                </c:pt>
                <c:pt idx="285">
                  <c:v>0.32447917718078728</c:v>
                </c:pt>
                <c:pt idx="286">
                  <c:v>0.31851191959377495</c:v>
                </c:pt>
                <c:pt idx="287">
                  <c:v>0.31285824307918109</c:v>
                </c:pt>
                <c:pt idx="288">
                  <c:v>0.3075183616754939</c:v>
                </c:pt>
                <c:pt idx="289">
                  <c:v>0.30265198388048759</c:v>
                </c:pt>
                <c:pt idx="290">
                  <c:v>0.29814677920024535</c:v>
                </c:pt>
                <c:pt idx="291">
                  <c:v>0.29400306694878436</c:v>
                </c:pt>
                <c:pt idx="292">
                  <c:v>0.29022116963310779</c:v>
                </c:pt>
                <c:pt idx="293">
                  <c:v>0.28680140894370271</c:v>
                </c:pt>
                <c:pt idx="294">
                  <c:v>0.28374410174385661</c:v>
                </c:pt>
                <c:pt idx="295">
                  <c:v>0.28112745286674201</c:v>
                </c:pt>
                <c:pt idx="296">
                  <c:v>0.27874607884272606</c:v>
                </c:pt>
                <c:pt idx="297">
                  <c:v>0.27660233563714626</c:v>
                </c:pt>
                <c:pt idx="298">
                  <c:v>0.27469624963032524</c:v>
                </c:pt>
                <c:pt idx="299">
                  <c:v>0.27302786349077779</c:v>
                </c:pt>
                <c:pt idx="300">
                  <c:v>0.27159723397808505</c:v>
                </c:pt>
                <c:pt idx="301">
                  <c:v>0.27040442974492851</c:v>
                </c:pt>
                <c:pt idx="302">
                  <c:v>0.26944952913974113</c:v>
                </c:pt>
                <c:pt idx="303">
                  <c:v>0.26874057207548124</c:v>
                </c:pt>
                <c:pt idx="304">
                  <c:v>0.26811705181403861</c:v>
                </c:pt>
                <c:pt idx="305">
                  <c:v>0.26757884469406773</c:v>
                </c:pt>
                <c:pt idx="306">
                  <c:v>0.26712582934158918</c:v>
                </c:pt>
                <c:pt idx="307">
                  <c:v>0.26675788587765892</c:v>
                </c:pt>
                <c:pt idx="308">
                  <c:v>0.26647489512379513</c:v>
                </c:pt>
                <c:pt idx="309">
                  <c:v>0.26623304270285336</c:v>
                </c:pt>
                <c:pt idx="310">
                  <c:v>0.26595373202338518</c:v>
                </c:pt>
                <c:pt idx="311">
                  <c:v>0.26563667663820029</c:v>
                </c:pt>
                <c:pt idx="312">
                  <c:v>0.2652815929510029</c:v>
                </c:pt>
                <c:pt idx="313">
                  <c:v>0.26488820054543016</c:v>
                </c:pt>
                <c:pt idx="314">
                  <c:v>0.26445622251166512</c:v>
                </c:pt>
                <c:pt idx="315">
                  <c:v>0.26398538577638014</c:v>
                </c:pt>
                <c:pt idx="316">
                  <c:v>0.26347542142858377</c:v>
                </c:pt>
                <c:pt idx="317">
                  <c:v>0.26285122629286611</c:v>
                </c:pt>
                <c:pt idx="318">
                  <c:v>0.2621044479686051</c:v>
                </c:pt>
                <c:pt idx="319">
                  <c:v>0.26123474347235853</c:v>
                </c:pt>
                <c:pt idx="320">
                  <c:v>0.26024178269722803</c:v>
                </c:pt>
                <c:pt idx="321">
                  <c:v>0.25912524949946752</c:v>
                </c:pt>
                <c:pt idx="322">
                  <c:v>0.25788484278616569</c:v>
                </c:pt>
                <c:pt idx="323">
                  <c:v>0.25647289973183218</c:v>
                </c:pt>
                <c:pt idx="324">
                  <c:v>0.25493306062773863</c:v>
                </c:pt>
                <c:pt idx="325">
                  <c:v>0.2532650611831847</c:v>
                </c:pt>
                <c:pt idx="326">
                  <c:v>0.25146709347676871</c:v>
                </c:pt>
                <c:pt idx="327">
                  <c:v>0.24953845433585312</c:v>
                </c:pt>
                <c:pt idx="328">
                  <c:v>0.24747975402235792</c:v>
                </c:pt>
                <c:pt idx="329">
                  <c:v>0.24529160568268737</c:v>
                </c:pt>
                <c:pt idx="330">
                  <c:v>0.24297462279618412</c:v>
                </c:pt>
                <c:pt idx="331">
                  <c:v>0.24057067956039072</c:v>
                </c:pt>
                <c:pt idx="332">
                  <c:v>0.23815551640455593</c:v>
                </c:pt>
                <c:pt idx="333">
                  <c:v>0.23572975880088273</c:v>
                </c:pt>
                <c:pt idx="334">
                  <c:v>0.23329401252426074</c:v>
                </c:pt>
                <c:pt idx="335">
                  <c:v>0.23084886352546988</c:v>
                </c:pt>
                <c:pt idx="336">
                  <c:v>0.228394877801255</c:v>
                </c:pt>
                <c:pt idx="337">
                  <c:v>0.22600189312421096</c:v>
                </c:pt>
                <c:pt idx="338">
                  <c:v>0.22371791474645655</c:v>
                </c:pt>
                <c:pt idx="339">
                  <c:v>0.2215434559032233</c:v>
                </c:pt>
                <c:pt idx="340">
                  <c:v>0.21947900847147736</c:v>
                </c:pt>
                <c:pt idx="341">
                  <c:v>0.21752504526989602</c:v>
                </c:pt>
                <c:pt idx="342">
                  <c:v>0.21568202235862341</c:v>
                </c:pt>
                <c:pt idx="343">
                  <c:v>0.21395038133641409</c:v>
                </c:pt>
                <c:pt idx="344">
                  <c:v>0.21233055164120498</c:v>
                </c:pt>
                <c:pt idx="345">
                  <c:v>0.21082295284839192</c:v>
                </c:pt>
                <c:pt idx="346">
                  <c:v>0.20946011080978433</c:v>
                </c:pt>
                <c:pt idx="347">
                  <c:v>0.20824243867201833</c:v>
                </c:pt>
                <c:pt idx="348">
                  <c:v>0.20717034941907952</c:v>
                </c:pt>
                <c:pt idx="349">
                  <c:v>0.20624425883718644</c:v>
                </c:pt>
                <c:pt idx="350">
                  <c:v>0.20546458848453439</c:v>
                </c:pt>
                <c:pt idx="351">
                  <c:v>0.20490520945914983</c:v>
                </c:pt>
                <c:pt idx="352">
                  <c:v>0.20449724163596009</c:v>
                </c:pt>
                <c:pt idx="353">
                  <c:v>0.20424114943869562</c:v>
                </c:pt>
                <c:pt idx="354">
                  <c:v>0.20413741620580136</c:v>
                </c:pt>
                <c:pt idx="355">
                  <c:v>0.20418654723191806</c:v>
                </c:pt>
                <c:pt idx="356">
                  <c:v>0.20438921406438304</c:v>
                </c:pt>
                <c:pt idx="357">
                  <c:v>0.20474551955750511</c:v>
                </c:pt>
                <c:pt idx="358">
                  <c:v>0.20525510008737194</c:v>
                </c:pt>
                <c:pt idx="359">
                  <c:v>0.20591761392723049</c:v>
                </c:pt>
                <c:pt idx="360">
                  <c:v>0.2068022537473635</c:v>
                </c:pt>
                <c:pt idx="361">
                  <c:v>0.20783514403627559</c:v>
                </c:pt>
                <c:pt idx="362">
                  <c:v>0.20901598487598219</c:v>
                </c:pt>
                <c:pt idx="363">
                  <c:v>0.21034448206137535</c:v>
                </c:pt>
                <c:pt idx="364">
                  <c:v>0.21182034344064407</c:v>
                </c:pt>
                <c:pt idx="365">
                  <c:v>0.21344327525319404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0.24952131339305963</c:v>
                </c:pt>
                <c:pt idx="1">
                  <c:v>0.25180216462423904</c:v>
                </c:pt>
                <c:pt idx="2">
                  <c:v>0.2542753518437299</c:v>
                </c:pt>
                <c:pt idx="3">
                  <c:v>0.25694053266790978</c:v>
                </c:pt>
                <c:pt idx="4">
                  <c:v>0.25979734365036994</c:v>
                </c:pt>
                <c:pt idx="5">
                  <c:v>0.26284539546556462</c:v>
                </c:pt>
                <c:pt idx="6">
                  <c:v>0.26608426809581581</c:v>
                </c:pt>
                <c:pt idx="7">
                  <c:v>0.26951350601245722</c:v>
                </c:pt>
                <c:pt idx="8">
                  <c:v>0.27313261336056355</c:v>
                </c:pt>
                <c:pt idx="9">
                  <c:v>0.27700262916062779</c:v>
                </c:pt>
                <c:pt idx="10">
                  <c:v>0.2810319944455465</c:v>
                </c:pt>
                <c:pt idx="11">
                  <c:v>0.28522002369772187</c:v>
                </c:pt>
                <c:pt idx="12">
                  <c:v>0.28956597461806172</c:v>
                </c:pt>
                <c:pt idx="13">
                  <c:v>0.29406904405905238</c:v>
                </c:pt>
                <c:pt idx="14">
                  <c:v>0.29872836395276892</c:v>
                </c:pt>
                <c:pt idx="15">
                  <c:v>0.30351916978417309</c:v>
                </c:pt>
                <c:pt idx="16">
                  <c:v>0.30834179309156123</c:v>
                </c:pt>
                <c:pt idx="17">
                  <c:v>0.31319505346443122</c:v>
                </c:pt>
                <c:pt idx="18">
                  <c:v>0.31807771497557763</c:v>
                </c:pt>
                <c:pt idx="19">
                  <c:v>0.32299028682045483</c:v>
                </c:pt>
                <c:pt idx="20">
                  <c:v>0.32793415729600844</c:v>
                </c:pt>
                <c:pt idx="21">
                  <c:v>0.33290938082553373</c:v>
                </c:pt>
                <c:pt idx="22">
                  <c:v>0.33791603077212717</c:v>
                </c:pt>
                <c:pt idx="23">
                  <c:v>0.34280753944084691</c:v>
                </c:pt>
                <c:pt idx="24">
                  <c:v>0.3475221677756683</c:v>
                </c:pt>
                <c:pt idx="25">
                  <c:v>0.35206002214399607</c:v>
                </c:pt>
                <c:pt idx="26">
                  <c:v>0.35642125210294334</c:v>
                </c:pt>
                <c:pt idx="27">
                  <c:v>0.36060604826359732</c:v>
                </c:pt>
                <c:pt idx="28">
                  <c:v>0.36461464016289491</c:v>
                </c:pt>
                <c:pt idx="29">
                  <c:v>0.36834434807206179</c:v>
                </c:pt>
                <c:pt idx="30">
                  <c:v>0.37181934725347454</c:v>
                </c:pt>
                <c:pt idx="31">
                  <c:v>0.37503998342469275</c:v>
                </c:pt>
                <c:pt idx="32">
                  <c:v>0.37800663738215917</c:v>
                </c:pt>
                <c:pt idx="33">
                  <c:v>0.38071972187968178</c:v>
                </c:pt>
                <c:pt idx="34">
                  <c:v>0.38317967850862805</c:v>
                </c:pt>
                <c:pt idx="35">
                  <c:v>0.38538697457784649</c:v>
                </c:pt>
                <c:pt idx="36">
                  <c:v>0.38734209999281194</c:v>
                </c:pt>
                <c:pt idx="37">
                  <c:v>0.38907762608358271</c:v>
                </c:pt>
                <c:pt idx="38">
                  <c:v>0.39074067823423358</c:v>
                </c:pt>
                <c:pt idx="39">
                  <c:v>0.39233174790369013</c:v>
                </c:pt>
                <c:pt idx="40">
                  <c:v>0.39385133579818338</c:v>
                </c:pt>
                <c:pt idx="41">
                  <c:v>0.39529995098764031</c:v>
                </c:pt>
                <c:pt idx="42">
                  <c:v>0.39667811001938147</c:v>
                </c:pt>
                <c:pt idx="43">
                  <c:v>0.3980245306813921</c:v>
                </c:pt>
                <c:pt idx="44">
                  <c:v>0.39944256921454574</c:v>
                </c:pt>
                <c:pt idx="45">
                  <c:v>0.40093272804941765</c:v>
                </c:pt>
                <c:pt idx="46">
                  <c:v>0.40249551928362554</c:v>
                </c:pt>
                <c:pt idx="47">
                  <c:v>0.40413146556372403</c:v>
                </c:pt>
                <c:pt idx="48">
                  <c:v>0.40584110096186404</c:v>
                </c:pt>
                <c:pt idx="49">
                  <c:v>0.40762497185608443</c:v>
                </c:pt>
                <c:pt idx="50">
                  <c:v>0.40948363780813124</c:v>
                </c:pt>
                <c:pt idx="51">
                  <c:v>0.4115941533323646</c:v>
                </c:pt>
                <c:pt idx="52">
                  <c:v>0.4139227985834637</c:v>
                </c:pt>
                <c:pt idx="53">
                  <c:v>0.41646740967597973</c:v>
                </c:pt>
                <c:pt idx="54">
                  <c:v>0.41922785283161823</c:v>
                </c:pt>
                <c:pt idx="55">
                  <c:v>0.42220399404402326</c:v>
                </c:pt>
                <c:pt idx="56">
                  <c:v>0.42539569828447865</c:v>
                </c:pt>
                <c:pt idx="57">
                  <c:v>0.42911989290978347</c:v>
                </c:pt>
                <c:pt idx="58">
                  <c:v>0.43333826531620612</c:v>
                </c:pt>
                <c:pt idx="59">
                  <c:v>0.43805067890649069</c:v>
                </c:pt>
                <c:pt idx="60">
                  <c:v>0.44325699350762454</c:v>
                </c:pt>
                <c:pt idx="61">
                  <c:v>0.44895706354507253</c:v>
                </c:pt>
                <c:pt idx="62">
                  <c:v>0.45515073621633989</c:v>
                </c:pt>
                <c:pt idx="63">
                  <c:v>0.46183784966587943</c:v>
                </c:pt>
                <c:pt idx="64">
                  <c:v>0.4690182311581983</c:v>
                </c:pt>
                <c:pt idx="65">
                  <c:v>0.4768902620413738</c:v>
                </c:pt>
                <c:pt idx="66">
                  <c:v>0.48527725571788133</c:v>
                </c:pt>
                <c:pt idx="67">
                  <c:v>0.49417899478293242</c:v>
                </c:pt>
                <c:pt idx="68">
                  <c:v>0.50359524305016012</c:v>
                </c:pt>
                <c:pt idx="69">
                  <c:v>0.51352574364247028</c:v>
                </c:pt>
                <c:pt idx="70">
                  <c:v>0.5239702170851529</c:v>
                </c:pt>
                <c:pt idx="71">
                  <c:v>0.53478876879392911</c:v>
                </c:pt>
                <c:pt idx="72">
                  <c:v>0.54566400417264771</c:v>
                </c:pt>
                <c:pt idx="73">
                  <c:v>0.55659559118814617</c:v>
                </c:pt>
                <c:pt idx="74">
                  <c:v>0.56758318018798204</c:v>
                </c:pt>
                <c:pt idx="75">
                  <c:v>0.57862640368309415</c:v>
                </c:pt>
                <c:pt idx="76">
                  <c:v>0.58972487612873015</c:v>
                </c:pt>
                <c:pt idx="77">
                  <c:v>0.60087819370721895</c:v>
                </c:pt>
                <c:pt idx="78">
                  <c:v>0.61208595443069236</c:v>
                </c:pt>
                <c:pt idx="79">
                  <c:v>0.62290341763281842</c:v>
                </c:pt>
                <c:pt idx="80">
                  <c:v>0.63313355029795049</c:v>
                </c:pt>
                <c:pt idx="81">
                  <c:v>0.64277622747104679</c:v>
                </c:pt>
                <c:pt idx="82">
                  <c:v>0.65183131274458961</c:v>
                </c:pt>
                <c:pt idx="83">
                  <c:v>0.66029866013619842</c:v>
                </c:pt>
                <c:pt idx="84">
                  <c:v>0.66817811596842924</c:v>
                </c:pt>
                <c:pt idx="85">
                  <c:v>0.67494924867109862</c:v>
                </c:pt>
                <c:pt idx="86">
                  <c:v>0.68075148695412724</c:v>
                </c:pt>
                <c:pt idx="87">
                  <c:v>0.68558473327399072</c:v>
                </c:pt>
                <c:pt idx="88">
                  <c:v>0.68944889655062269</c:v>
                </c:pt>
                <c:pt idx="89">
                  <c:v>0.69234389526597095</c:v>
                </c:pt>
                <c:pt idx="90">
                  <c:v>0.69426966056111139</c:v>
                </c:pt>
                <c:pt idx="91">
                  <c:v>0.69522613933599919</c:v>
                </c:pt>
                <c:pt idx="92">
                  <c:v>0.69521329734738158</c:v>
                </c:pt>
                <c:pt idx="93">
                  <c:v>0.69387470429337883</c:v>
                </c:pt>
                <c:pt idx="94">
                  <c:v>0.6916568117181634</c:v>
                </c:pt>
                <c:pt idx="95">
                  <c:v>0.68855964244236689</c:v>
                </c:pt>
                <c:pt idx="96">
                  <c:v>0.68458324819241712</c:v>
                </c:pt>
                <c:pt idx="97">
                  <c:v>0.67972771241423213</c:v>
                </c:pt>
                <c:pt idx="98">
                  <c:v>0.67399315308077024</c:v>
                </c:pt>
                <c:pt idx="99">
                  <c:v>0.66710310401845474</c:v>
                </c:pt>
                <c:pt idx="100">
                  <c:v>0.65957750540821392</c:v>
                </c:pt>
                <c:pt idx="101">
                  <c:v>0.65141651211534957</c:v>
                </c:pt>
                <c:pt idx="102">
                  <c:v>0.64262031475640824</c:v>
                </c:pt>
                <c:pt idx="103">
                  <c:v>0.6331891417226686</c:v>
                </c:pt>
                <c:pt idx="104">
                  <c:v>0.62312326121876327</c:v>
                </c:pt>
                <c:pt idx="105">
                  <c:v>0.61242298328727596</c:v>
                </c:pt>
                <c:pt idx="106">
                  <c:v>0.60108866184105547</c:v>
                </c:pt>
                <c:pt idx="107">
                  <c:v>0.5889431142391478</c:v>
                </c:pt>
                <c:pt idx="108">
                  <c:v>0.57634263216811477</c:v>
                </c:pt>
                <c:pt idx="109">
                  <c:v>0.56328761759287049</c:v>
                </c:pt>
                <c:pt idx="110">
                  <c:v>0.54978008012863422</c:v>
                </c:pt>
                <c:pt idx="111">
                  <c:v>0.53582195164495061</c:v>
                </c:pt>
                <c:pt idx="112">
                  <c:v>0.52141356641622771</c:v>
                </c:pt>
                <c:pt idx="113">
                  <c:v>0.50679507460903017</c:v>
                </c:pt>
                <c:pt idx="114">
                  <c:v>0.49224263138774299</c:v>
                </c:pt>
                <c:pt idx="115">
                  <c:v>0.47775630500376165</c:v>
                </c:pt>
                <c:pt idx="116">
                  <c:v>0.4633361743933917</c:v>
                </c:pt>
                <c:pt idx="117">
                  <c:v>0.44898232904499968</c:v>
                </c:pt>
                <c:pt idx="118">
                  <c:v>0.4346948688611299</c:v>
                </c:pt>
                <c:pt idx="119">
                  <c:v>0.42047390402206658</c:v>
                </c:pt>
                <c:pt idx="120">
                  <c:v>0.40631955484873639</c:v>
                </c:pt>
                <c:pt idx="121">
                  <c:v>0.39258904883249496</c:v>
                </c:pt>
                <c:pt idx="122">
                  <c:v>0.37945924269990455</c:v>
                </c:pt>
                <c:pt idx="123">
                  <c:v>0.36692984906274678</c:v>
                </c:pt>
                <c:pt idx="124">
                  <c:v>0.35500056703010124</c:v>
                </c:pt>
                <c:pt idx="125">
                  <c:v>0.34367108090492055</c:v>
                </c:pt>
                <c:pt idx="126">
                  <c:v>0.33294105887538378</c:v>
                </c:pt>
                <c:pt idx="127">
                  <c:v>0.32305680082122407</c:v>
                </c:pt>
                <c:pt idx="128">
                  <c:v>0.31377884243689363</c:v>
                </c:pt>
                <c:pt idx="129">
                  <c:v>0.30510678236963229</c:v>
                </c:pt>
                <c:pt idx="130">
                  <c:v>0.29704019732252968</c:v>
                </c:pt>
                <c:pt idx="131">
                  <c:v>0.28957864072773282</c:v>
                </c:pt>
                <c:pt idx="132">
                  <c:v>0.28272164142288408</c:v>
                </c:pt>
                <c:pt idx="133">
                  <c:v>0.27646870232930121</c:v>
                </c:pt>
                <c:pt idx="134">
                  <c:v>0.27081929912854408</c:v>
                </c:pt>
                <c:pt idx="135">
                  <c:v>0.26596263701894368</c:v>
                </c:pt>
                <c:pt idx="136">
                  <c:v>0.26154251423114822</c:v>
                </c:pt>
                <c:pt idx="137">
                  <c:v>0.25755850478818859</c:v>
                </c:pt>
                <c:pt idx="138">
                  <c:v>0.2540101601760858</c:v>
                </c:pt>
                <c:pt idx="139">
                  <c:v>0.25089700839145812</c:v>
                </c:pt>
                <c:pt idx="140">
                  <c:v>0.24821855297470863</c:v>
                </c:pt>
                <c:pt idx="141">
                  <c:v>0.24602889935883518</c:v>
                </c:pt>
                <c:pt idx="142">
                  <c:v>0.24408080539666896</c:v>
                </c:pt>
                <c:pt idx="143">
                  <c:v>0.24237289846199961</c:v>
                </c:pt>
                <c:pt idx="144">
                  <c:v>0.24090526009789667</c:v>
                </c:pt>
                <c:pt idx="145">
                  <c:v>0.23967793471440577</c:v>
                </c:pt>
                <c:pt idx="146">
                  <c:v>0.23869093286069409</c:v>
                </c:pt>
                <c:pt idx="147">
                  <c:v>0.23794423450534119</c:v>
                </c:pt>
                <c:pt idx="148">
                  <c:v>0.23743779231084172</c:v>
                </c:pt>
                <c:pt idx="149">
                  <c:v>0.23716615912783889</c:v>
                </c:pt>
                <c:pt idx="150">
                  <c:v>0.23694084493594947</c:v>
                </c:pt>
                <c:pt idx="151">
                  <c:v>0.23676208654991324</c:v>
                </c:pt>
                <c:pt idx="152">
                  <c:v>0.23663011732846817</c:v>
                </c:pt>
                <c:pt idx="153">
                  <c:v>0.23654516783460211</c:v>
                </c:pt>
                <c:pt idx="154">
                  <c:v>0.23650746649710944</c:v>
                </c:pt>
                <c:pt idx="155">
                  <c:v>0.23651337482103532</c:v>
                </c:pt>
                <c:pt idx="156">
                  <c:v>0.23650895601286559</c:v>
                </c:pt>
                <c:pt idx="157">
                  <c:v>0.23649454635066769</c:v>
                </c:pt>
                <c:pt idx="158">
                  <c:v>0.23647048301161858</c:v>
                </c:pt>
                <c:pt idx="159">
                  <c:v>0.23643710394589135</c:v>
                </c:pt>
                <c:pt idx="160">
                  <c:v>0.23639474775345934</c:v>
                </c:pt>
                <c:pt idx="161">
                  <c:v>0.23634375355822168</c:v>
                </c:pt>
                <c:pt idx="162">
                  <c:v>0.23628446088340374</c:v>
                </c:pt>
                <c:pt idx="163">
                  <c:v>0.23621342759825567</c:v>
                </c:pt>
                <c:pt idx="164">
                  <c:v>0.23613632658500336</c:v>
                </c:pt>
                <c:pt idx="165">
                  <c:v>0.23605349490113159</c:v>
                </c:pt>
                <c:pt idx="166">
                  <c:v>0.23596526957521968</c:v>
                </c:pt>
                <c:pt idx="167">
                  <c:v>0.23587198749941549</c:v>
                </c:pt>
                <c:pt idx="168">
                  <c:v>0.23577398532944885</c:v>
                </c:pt>
                <c:pt idx="169">
                  <c:v>0.23566783084684254</c:v>
                </c:pt>
                <c:pt idx="170">
                  <c:v>0.23555769636450052</c:v>
                </c:pt>
                <c:pt idx="171">
                  <c:v>0.23544391691194089</c:v>
                </c:pt>
                <c:pt idx="172">
                  <c:v>0.23532682685242212</c:v>
                </c:pt>
                <c:pt idx="173">
                  <c:v>0.23520435455083658</c:v>
                </c:pt>
                <c:pt idx="174">
                  <c:v>0.23507430530066076</c:v>
                </c:pt>
                <c:pt idx="175">
                  <c:v>0.23493682828206244</c:v>
                </c:pt>
                <c:pt idx="176">
                  <c:v>0.23479207262779356</c:v>
                </c:pt>
                <c:pt idx="177">
                  <c:v>0.23463637075524502</c:v>
                </c:pt>
                <c:pt idx="178">
                  <c:v>0.23447362848239595</c:v>
                </c:pt>
                <c:pt idx="179">
                  <c:v>0.23430399459223364</c:v>
                </c:pt>
                <c:pt idx="180">
                  <c:v>0.2341276176324921</c:v>
                </c:pt>
                <c:pt idx="181">
                  <c:v>0.23394464586990812</c:v>
                </c:pt>
                <c:pt idx="182">
                  <c:v>0.23375522724652451</c:v>
                </c:pt>
                <c:pt idx="183">
                  <c:v>0.23355423641610606</c:v>
                </c:pt>
                <c:pt idx="184">
                  <c:v>0.23334556827466577</c:v>
                </c:pt>
                <c:pt idx="185">
                  <c:v>0.23312937159177607</c:v>
                </c:pt>
                <c:pt idx="186">
                  <c:v>0.23290579455821733</c:v>
                </c:pt>
                <c:pt idx="187">
                  <c:v>0.23267498473355072</c:v>
                </c:pt>
                <c:pt idx="188">
                  <c:v>0.23243708899502491</c:v>
                </c:pt>
                <c:pt idx="189">
                  <c:v>0.23219225347937886</c:v>
                </c:pt>
                <c:pt idx="190">
                  <c:v>0.23194062353457048</c:v>
                </c:pt>
                <c:pt idx="191">
                  <c:v>0.23173551220120417</c:v>
                </c:pt>
                <c:pt idx="192">
                  <c:v>0.23158078719259992</c:v>
                </c:pt>
                <c:pt idx="193">
                  <c:v>0.23147652417851081</c:v>
                </c:pt>
                <c:pt idx="194">
                  <c:v>0.23142280189285203</c:v>
                </c:pt>
                <c:pt idx="195">
                  <c:v>0.23141970242203902</c:v>
                </c:pt>
                <c:pt idx="196">
                  <c:v>0.23146731148439939</c:v>
                </c:pt>
                <c:pt idx="197">
                  <c:v>0.23174953619844732</c:v>
                </c:pt>
                <c:pt idx="198">
                  <c:v>0.23227152323580094</c:v>
                </c:pt>
                <c:pt idx="199">
                  <c:v>0.23303319469540029</c:v>
                </c:pt>
                <c:pt idx="200">
                  <c:v>0.23403449503882853</c:v>
                </c:pt>
                <c:pt idx="201">
                  <c:v>0.23527539249102183</c:v>
                </c:pt>
                <c:pt idx="202">
                  <c:v>0.23675588044228582</c:v>
                </c:pt>
                <c:pt idx="203">
                  <c:v>0.23847597885557534</c:v>
                </c:pt>
                <c:pt idx="204">
                  <c:v>0.24043534740258324</c:v>
                </c:pt>
                <c:pt idx="205">
                  <c:v>0.24287125428075837</c:v>
                </c:pt>
                <c:pt idx="206">
                  <c:v>0.2457304878133911</c:v>
                </c:pt>
                <c:pt idx="207">
                  <c:v>0.24901281859590704</c:v>
                </c:pt>
                <c:pt idx="208">
                  <c:v>0.25271804790905533</c:v>
                </c:pt>
                <c:pt idx="209">
                  <c:v>0.25684600640950045</c:v>
                </c:pt>
                <c:pt idx="210">
                  <c:v>0.2613965528288637</c:v>
                </c:pt>
                <c:pt idx="211">
                  <c:v>0.26671281483138248</c:v>
                </c:pt>
                <c:pt idx="212">
                  <c:v>0.27261138934930301</c:v>
                </c:pt>
                <c:pt idx="213">
                  <c:v>0.27909216218048288</c:v>
                </c:pt>
                <c:pt idx="214">
                  <c:v>0.28615505260298307</c:v>
                </c:pt>
                <c:pt idx="215">
                  <c:v>0.2938000115727028</c:v>
                </c:pt>
                <c:pt idx="216">
                  <c:v>0.30202701992004705</c:v>
                </c:pt>
                <c:pt idx="217">
                  <c:v>0.31083608654776296</c:v>
                </c:pt>
                <c:pt idx="218">
                  <c:v>0.32022724662716667</c:v>
                </c:pt>
                <c:pt idx="219">
                  <c:v>0.33043043217625495</c:v>
                </c:pt>
                <c:pt idx="220">
                  <c:v>0.34120841486852477</c:v>
                </c:pt>
                <c:pt idx="221">
                  <c:v>0.35256130530530444</c:v>
                </c:pt>
                <c:pt idx="222">
                  <c:v>0.36448923245157933</c:v>
                </c:pt>
                <c:pt idx="223">
                  <c:v>0.37699234186182884</c:v>
                </c:pt>
                <c:pt idx="224">
                  <c:v>0.39007079389764138</c:v>
                </c:pt>
                <c:pt idx="225">
                  <c:v>0.40355475750956837</c:v>
                </c:pt>
                <c:pt idx="226">
                  <c:v>0.41710151891673181</c:v>
                </c:pt>
                <c:pt idx="227">
                  <c:v>0.43071126080347999</c:v>
                </c:pt>
                <c:pt idx="228">
                  <c:v>0.44438415166374706</c:v>
                </c:pt>
                <c:pt idx="229">
                  <c:v>0.45812034561024023</c:v>
                </c:pt>
                <c:pt idx="230">
                  <c:v>0.47191998219019676</c:v>
                </c:pt>
                <c:pt idx="231">
                  <c:v>0.48578318620315381</c:v>
                </c:pt>
                <c:pt idx="232">
                  <c:v>0.4997100675086521</c:v>
                </c:pt>
                <c:pt idx="233">
                  <c:v>0.51343615803462861</c:v>
                </c:pt>
                <c:pt idx="234">
                  <c:v>0.5267316191923429</c:v>
                </c:pt>
                <c:pt idx="235">
                  <c:v>0.53959686681433239</c:v>
                </c:pt>
                <c:pt idx="236">
                  <c:v>0.55203250680687865</c:v>
                </c:pt>
                <c:pt idx="237">
                  <c:v>0.56403880572888898</c:v>
                </c:pt>
                <c:pt idx="238">
                  <c:v>0.5756160209886948</c:v>
                </c:pt>
                <c:pt idx="239">
                  <c:v>0.58642358039085751</c:v>
                </c:pt>
                <c:pt idx="240">
                  <c:v>0.59663174440691835</c:v>
                </c:pt>
                <c:pt idx="241">
                  <c:v>0.60624068113242358</c:v>
                </c:pt>
                <c:pt idx="242">
                  <c:v>0.61525053833088439</c:v>
                </c:pt>
                <c:pt idx="243">
                  <c:v>0.6236614423707888</c:v>
                </c:pt>
                <c:pt idx="244">
                  <c:v>0.63147349715939383</c:v>
                </c:pt>
                <c:pt idx="245">
                  <c:v>0.63868678306990112</c:v>
                </c:pt>
                <c:pt idx="246">
                  <c:v>0.64530135586733361</c:v>
                </c:pt>
                <c:pt idx="247">
                  <c:v>0.65081953403525861</c:v>
                </c:pt>
                <c:pt idx="248">
                  <c:v>0.65550604468226059</c:v>
                </c:pt>
                <c:pt idx="249">
                  <c:v>0.65936073612915047</c:v>
                </c:pt>
                <c:pt idx="250">
                  <c:v>0.66238341476451534</c:v>
                </c:pt>
                <c:pt idx="251">
                  <c:v>0.66457384358327365</c:v>
                </c:pt>
                <c:pt idx="252">
                  <c:v>0.66593174069714756</c:v>
                </c:pt>
                <c:pt idx="253">
                  <c:v>0.6660290725722664</c:v>
                </c:pt>
                <c:pt idx="254">
                  <c:v>0.66520676605253615</c:v>
                </c:pt>
                <c:pt idx="255">
                  <c:v>0.6634643260361478</c:v>
                </c:pt>
                <c:pt idx="256">
                  <c:v>0.66080120108221985</c:v>
                </c:pt>
                <c:pt idx="257">
                  <c:v>0.65721678177432119</c:v>
                </c:pt>
                <c:pt idx="258">
                  <c:v>0.65271039909046225</c:v>
                </c:pt>
                <c:pt idx="259">
                  <c:v>0.64728132278204009</c:v>
                </c:pt>
                <c:pt idx="260">
                  <c:v>0.64092875973268415</c:v>
                </c:pt>
                <c:pt idx="261">
                  <c:v>0.63351798180784746</c:v>
                </c:pt>
                <c:pt idx="262">
                  <c:v>0.62554731579807721</c:v>
                </c:pt>
                <c:pt idx="263">
                  <c:v>0.61701610049702371</c:v>
                </c:pt>
                <c:pt idx="264">
                  <c:v>0.60792365966202977</c:v>
                </c:pt>
                <c:pt idx="265">
                  <c:v>0.59827247582616383</c:v>
                </c:pt>
                <c:pt idx="266">
                  <c:v>0.58806321740563783</c:v>
                </c:pt>
                <c:pt idx="267">
                  <c:v>0.57748482583969618</c:v>
                </c:pt>
                <c:pt idx="268">
                  <c:v>0.56696520906139303</c:v>
                </c:pt>
                <c:pt idx="269">
                  <c:v>0.55650324471394719</c:v>
                </c:pt>
                <c:pt idx="270">
                  <c:v>0.54609786336377553</c:v>
                </c:pt>
                <c:pt idx="271">
                  <c:v>0.53574804786418884</c:v>
                </c:pt>
                <c:pt idx="272">
                  <c:v>0.5254528327349165</c:v>
                </c:pt>
                <c:pt idx="273">
                  <c:v>0.51521130353469358</c:v>
                </c:pt>
                <c:pt idx="274">
                  <c:v>0.50502259624082513</c:v>
                </c:pt>
                <c:pt idx="275">
                  <c:v>0.49519165608089</c:v>
                </c:pt>
                <c:pt idx="276">
                  <c:v>0.48585284486103419</c:v>
                </c:pt>
                <c:pt idx="277">
                  <c:v>0.47700611399669346</c:v>
                </c:pt>
                <c:pt idx="278">
                  <c:v>0.4686514795468138</c:v>
                </c:pt>
                <c:pt idx="279">
                  <c:v>0.46078901675321132</c:v>
                </c:pt>
                <c:pt idx="280">
                  <c:v>0.45341885458436487</c:v>
                </c:pt>
                <c:pt idx="281">
                  <c:v>0.44671187612038166</c:v>
                </c:pt>
                <c:pt idx="282">
                  <c:v>0.44047640701545138</c:v>
                </c:pt>
                <c:pt idx="283">
                  <c:v>0.43471267183583201</c:v>
                </c:pt>
                <c:pt idx="284">
                  <c:v>0.42942092625735456</c:v>
                </c:pt>
                <c:pt idx="285">
                  <c:v>0.42460145183883347</c:v>
                </c:pt>
                <c:pt idx="286">
                  <c:v>0.4202545507995728</c:v>
                </c:pt>
                <c:pt idx="287">
                  <c:v>0.41638054079258274</c:v>
                </c:pt>
                <c:pt idx="288">
                  <c:v>0.41297974967946227</c:v>
                </c:pt>
                <c:pt idx="289">
                  <c:v>0.41008959261690991</c:v>
                </c:pt>
                <c:pt idx="290">
                  <c:v>0.40740233916531193</c:v>
                </c:pt>
                <c:pt idx="291">
                  <c:v>0.40491791553792184</c:v>
                </c:pt>
                <c:pt idx="292">
                  <c:v>0.40263625086184657</c:v>
                </c:pt>
                <c:pt idx="293">
                  <c:v>0.40055727490691478</c:v>
                </c:pt>
                <c:pt idx="294">
                  <c:v>0.39868091581295068</c:v>
                </c:pt>
                <c:pt idx="295">
                  <c:v>0.39703833952732476</c:v>
                </c:pt>
                <c:pt idx="296">
                  <c:v>0.39546231257059578</c:v>
                </c:pt>
                <c:pt idx="297">
                  <c:v>0.393955822286151</c:v>
                </c:pt>
                <c:pt idx="298">
                  <c:v>0.39251856594330686</c:v>
                </c:pt>
                <c:pt idx="299">
                  <c:v>0.39115024931405323</c:v>
                </c:pt>
                <c:pt idx="300">
                  <c:v>0.38985058604174488</c:v>
                </c:pt>
                <c:pt idx="301">
                  <c:v>0.38861929700859593</c:v>
                </c:pt>
                <c:pt idx="302">
                  <c:v>0.38745610970405336</c:v>
                </c:pt>
                <c:pt idx="303">
                  <c:v>0.38626024724967389</c:v>
                </c:pt>
                <c:pt idx="304">
                  <c:v>0.38499395929982838</c:v>
                </c:pt>
                <c:pt idx="305">
                  <c:v>0.38365679271503145</c:v>
                </c:pt>
                <c:pt idx="306">
                  <c:v>0.38224830008014837</c:v>
                </c:pt>
                <c:pt idx="307">
                  <c:v>0.38076804034217165</c:v>
                </c:pt>
                <c:pt idx="308">
                  <c:v>0.37921557944479251</c:v>
                </c:pt>
                <c:pt idx="309">
                  <c:v>0.37744686820858497</c:v>
                </c:pt>
                <c:pt idx="310">
                  <c:v>0.37542987042858633</c:v>
                </c:pt>
                <c:pt idx="311">
                  <c:v>0.37316394233114103</c:v>
                </c:pt>
                <c:pt idx="312">
                  <c:v>0.37064845761512494</c:v>
                </c:pt>
                <c:pt idx="313">
                  <c:v>0.36788280969749043</c:v>
                </c:pt>
                <c:pt idx="314">
                  <c:v>0.36486641395541258</c:v>
                </c:pt>
                <c:pt idx="315">
                  <c:v>0.36159870997307003</c:v>
                </c:pt>
                <c:pt idx="316">
                  <c:v>0.35807916378273852</c:v>
                </c:pt>
                <c:pt idx="317">
                  <c:v>0.35428382081974047</c:v>
                </c:pt>
                <c:pt idx="318">
                  <c:v>0.35031336019745235</c:v>
                </c:pt>
                <c:pt idx="319">
                  <c:v>0.34616742755905411</c:v>
                </c:pt>
                <c:pt idx="320">
                  <c:v>0.34184569737248793</c:v>
                </c:pt>
                <c:pt idx="321">
                  <c:v>0.33734787446456976</c:v>
                </c:pt>
                <c:pt idx="322">
                  <c:v>0.33267369555643667</c:v>
                </c:pt>
                <c:pt idx="323">
                  <c:v>0.32788379796299799</c:v>
                </c:pt>
                <c:pt idx="324">
                  <c:v>0.32312249582382219</c:v>
                </c:pt>
                <c:pt idx="325">
                  <c:v>0.31838977377186956</c:v>
                </c:pt>
                <c:pt idx="326">
                  <c:v>0.31368367997839047</c:v>
                </c:pt>
                <c:pt idx="327">
                  <c:v>0.30900367507845955</c:v>
                </c:pt>
                <c:pt idx="328">
                  <c:v>0.3043508313561763</c:v>
                </c:pt>
                <c:pt idx="329">
                  <c:v>0.29972617565898468</c:v>
                </c:pt>
                <c:pt idx="330">
                  <c:v>0.29513069017377191</c:v>
                </c:pt>
                <c:pt idx="331">
                  <c:v>0.29066271434700314</c:v>
                </c:pt>
                <c:pt idx="332">
                  <c:v>0.28634670995616357</c:v>
                </c:pt>
                <c:pt idx="333">
                  <c:v>0.28218355447648608</c:v>
                </c:pt>
                <c:pt idx="334">
                  <c:v>0.27817407407326816</c:v>
                </c:pt>
                <c:pt idx="335">
                  <c:v>0.27431904689841752</c:v>
                </c:pt>
                <c:pt idx="336">
                  <c:v>0.27061920638323866</c:v>
                </c:pt>
                <c:pt idx="337">
                  <c:v>0.26716537850507655</c:v>
                </c:pt>
                <c:pt idx="338">
                  <c:v>0.26389723498159728</c:v>
                </c:pt>
                <c:pt idx="339">
                  <c:v>0.26081539590288033</c:v>
                </c:pt>
                <c:pt idx="340">
                  <c:v>0.25792045019871074</c:v>
                </c:pt>
                <c:pt idx="341">
                  <c:v>0.25521295953980833</c:v>
                </c:pt>
                <c:pt idx="342">
                  <c:v>0.2526934622387873</c:v>
                </c:pt>
                <c:pt idx="343">
                  <c:v>0.25036247714805465</c:v>
                </c:pt>
                <c:pt idx="344">
                  <c:v>0.24822050756173222</c:v>
                </c:pt>
                <c:pt idx="345">
                  <c:v>0.24626804511488595</c:v>
                </c:pt>
                <c:pt idx="346">
                  <c:v>0.24450293617325394</c:v>
                </c:pt>
                <c:pt idx="347">
                  <c:v>0.24292566022931628</c:v>
                </c:pt>
                <c:pt idx="348">
                  <c:v>0.24153669658841648</c:v>
                </c:pt>
                <c:pt idx="349">
                  <c:v>0.24033652821206741</c:v>
                </c:pt>
                <c:pt idx="350">
                  <c:v>0.23932564556692382</c:v>
                </c:pt>
                <c:pt idx="351">
                  <c:v>0.23859942616319865</c:v>
                </c:pt>
                <c:pt idx="352">
                  <c:v>0.23806821335517947</c:v>
                </c:pt>
                <c:pt idx="353">
                  <c:v>0.23773255286713116</c:v>
                </c:pt>
                <c:pt idx="354">
                  <c:v>0.23759301485798878</c:v>
                </c:pt>
                <c:pt idx="355">
                  <c:v>0.2376501978518519</c:v>
                </c:pt>
                <c:pt idx="356">
                  <c:v>0.23790489708645576</c:v>
                </c:pt>
                <c:pt idx="357">
                  <c:v>0.23835724943569039</c:v>
                </c:pt>
                <c:pt idx="358">
                  <c:v>0.23900685213023007</c:v>
                </c:pt>
                <c:pt idx="359">
                  <c:v>0.23985333068936351</c:v>
                </c:pt>
                <c:pt idx="360">
                  <c:v>0.24098675993356142</c:v>
                </c:pt>
                <c:pt idx="361">
                  <c:v>0.2423117703197567</c:v>
                </c:pt>
                <c:pt idx="362">
                  <c:v>0.24382804220060961</c:v>
                </c:pt>
                <c:pt idx="363">
                  <c:v>0.2455352633635971</c:v>
                </c:pt>
                <c:pt idx="364">
                  <c:v>0.24743312428701272</c:v>
                </c:pt>
                <c:pt idx="365">
                  <c:v>0.24952131339305963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0.27757713460842576</c:v>
                </c:pt>
                <c:pt idx="1">
                  <c:v>0.28013839882446079</c:v>
                </c:pt>
                <c:pt idx="2">
                  <c:v>0.28291743577817541</c:v>
                </c:pt>
                <c:pt idx="3">
                  <c:v>0.28591387030236814</c:v>
                </c:pt>
                <c:pt idx="4">
                  <c:v>0.28912730357468441</c:v>
                </c:pt>
                <c:pt idx="5">
                  <c:v>0.29255730766308841</c:v>
                </c:pt>
                <c:pt idx="6">
                  <c:v>0.29620342007506933</c:v>
                </c:pt>
                <c:pt idx="7">
                  <c:v>0.30006513830032622</c:v>
                </c:pt>
                <c:pt idx="8">
                  <c:v>0.30414191435744065</c:v>
                </c:pt>
                <c:pt idx="9">
                  <c:v>0.30854203226736648</c:v>
                </c:pt>
                <c:pt idx="10">
                  <c:v>0.31316227344794584</c:v>
                </c:pt>
                <c:pt idx="11">
                  <c:v>0.31800192301793551</c:v>
                </c:pt>
                <c:pt idx="12">
                  <c:v>0.3230601969772342</c:v>
                </c:pt>
                <c:pt idx="13">
                  <c:v>0.32833623659538896</c:v>
                </c:pt>
                <c:pt idx="14">
                  <c:v>0.33382910279444772</c:v>
                </c:pt>
                <c:pt idx="15">
                  <c:v>0.33965121797188741</c:v>
                </c:pt>
                <c:pt idx="16">
                  <c:v>0.34568944899197468</c:v>
                </c:pt>
                <c:pt idx="17">
                  <c:v>0.35194257222421937</c:v>
                </c:pt>
                <c:pt idx="18">
                  <c:v>0.35840925980651983</c:v>
                </c:pt>
                <c:pt idx="19">
                  <c:v>0.36509011042680634</c:v>
                </c:pt>
                <c:pt idx="20">
                  <c:v>0.3719866983478915</c:v>
                </c:pt>
                <c:pt idx="21">
                  <c:v>0.37909907711182916</c:v>
                </c:pt>
                <c:pt idx="22">
                  <c:v>0.38642730197336306</c:v>
                </c:pt>
                <c:pt idx="23">
                  <c:v>0.39392546684887575</c:v>
                </c:pt>
                <c:pt idx="24">
                  <c:v>0.40148432419834051</c:v>
                </c:pt>
                <c:pt idx="25">
                  <c:v>0.40910392753032687</c:v>
                </c:pt>
                <c:pt idx="26">
                  <c:v>0.41678436017566994</c:v>
                </c:pt>
                <c:pt idx="27">
                  <c:v>0.42452573612920264</c:v>
                </c:pt>
                <c:pt idx="28">
                  <c:v>0.43232820090034146</c:v>
                </c:pt>
                <c:pt idx="29">
                  <c:v>0.44006667468106336</c:v>
                </c:pt>
                <c:pt idx="30">
                  <c:v>0.44762774134413497</c:v>
                </c:pt>
                <c:pt idx="31">
                  <c:v>0.45501167607245108</c:v>
                </c:pt>
                <c:pt idx="32">
                  <c:v>0.4622188040229579</c:v>
                </c:pt>
                <c:pt idx="33">
                  <c:v>0.469249498185072</c:v>
                </c:pt>
                <c:pt idx="34">
                  <c:v>0.47610417724117804</c:v>
                </c:pt>
                <c:pt idx="35">
                  <c:v>0.48278330342683884</c:v>
                </c:pt>
                <c:pt idx="36">
                  <c:v>0.48928738039006708</c:v>
                </c:pt>
                <c:pt idx="37">
                  <c:v>0.49554937448930836</c:v>
                </c:pt>
                <c:pt idx="38">
                  <c:v>0.50161583257437403</c:v>
                </c:pt>
                <c:pt idx="39">
                  <c:v>0.50748737585501835</c:v>
                </c:pt>
                <c:pt idx="40">
                  <c:v>0.51316465817431012</c:v>
                </c:pt>
                <c:pt idx="41">
                  <c:v>0.51864836360058775</c:v>
                </c:pt>
                <c:pt idx="42">
                  <c:v>0.52393920401599225</c:v>
                </c:pt>
                <c:pt idx="43">
                  <c:v>0.52873540478925296</c:v>
                </c:pt>
                <c:pt idx="44">
                  <c:v>0.5331629238243567</c:v>
                </c:pt>
                <c:pt idx="45">
                  <c:v>0.53722257720755007</c:v>
                </c:pt>
                <c:pt idx="46">
                  <c:v>0.54091519070487637</c:v>
                </c:pt>
                <c:pt idx="47">
                  <c:v>0.54424159513543957</c:v>
                </c:pt>
                <c:pt idx="48">
                  <c:v>0.54720262173766665</c:v>
                </c:pt>
                <c:pt idx="49">
                  <c:v>0.54979909754043788</c:v>
                </c:pt>
                <c:pt idx="50">
                  <c:v>0.55203184073089129</c:v>
                </c:pt>
                <c:pt idx="51">
                  <c:v>0.55381254500320642</c:v>
                </c:pt>
                <c:pt idx="52">
                  <c:v>0.55520645793671464</c:v>
                </c:pt>
                <c:pt idx="53">
                  <c:v>0.5562106629599084</c:v>
                </c:pt>
                <c:pt idx="54">
                  <c:v>0.55682497016348198</c:v>
                </c:pt>
                <c:pt idx="55">
                  <c:v>0.55704918168994433</c:v>
                </c:pt>
                <c:pt idx="56">
                  <c:v>0.55688309318178075</c:v>
                </c:pt>
                <c:pt idx="57">
                  <c:v>0.55687050053881815</c:v>
                </c:pt>
                <c:pt idx="58">
                  <c:v>0.55731358093342398</c:v>
                </c:pt>
                <c:pt idx="59">
                  <c:v>0.55821213692296312</c:v>
                </c:pt>
                <c:pt idx="60">
                  <c:v>0.55956597286830811</c:v>
                </c:pt>
                <c:pt idx="61">
                  <c:v>0.56137489325109402</c:v>
                </c:pt>
                <c:pt idx="62">
                  <c:v>0.56363870099013269</c:v>
                </c:pt>
                <c:pt idx="63">
                  <c:v>0.5663571957595116</c:v>
                </c:pt>
                <c:pt idx="64">
                  <c:v>0.5695301723044478</c:v>
                </c:pt>
                <c:pt idx="65">
                  <c:v>0.57363557553606803</c:v>
                </c:pt>
                <c:pt idx="66">
                  <c:v>0.57876230463315714</c:v>
                </c:pt>
                <c:pt idx="67">
                  <c:v>0.58491012869858927</c:v>
                </c:pt>
                <c:pt idx="68">
                  <c:v>0.5920787966173201</c:v>
                </c:pt>
                <c:pt idx="69">
                  <c:v>0.60026803327301792</c:v>
                </c:pt>
                <c:pt idx="70">
                  <c:v>0.60947753576739616</c:v>
                </c:pt>
                <c:pt idx="71">
                  <c:v>0.61986827926495303</c:v>
                </c:pt>
                <c:pt idx="72">
                  <c:v>0.63089587175624018</c:v>
                </c:pt>
                <c:pt idx="73">
                  <c:v>0.64255992319708854</c:v>
                </c:pt>
                <c:pt idx="74">
                  <c:v>0.6548600107902004</c:v>
                </c:pt>
                <c:pt idx="75">
                  <c:v>0.66779567662043549</c:v>
                </c:pt>
                <c:pt idx="76">
                  <c:v>0.68136642528809577</c:v>
                </c:pt>
                <c:pt idx="77">
                  <c:v>0.69557172154434121</c:v>
                </c:pt>
                <c:pt idx="78">
                  <c:v>0.71041101151074604</c:v>
                </c:pt>
                <c:pt idx="79">
                  <c:v>0.72569480289972077</c:v>
                </c:pt>
                <c:pt idx="80">
                  <c:v>0.74094666475576565</c:v>
                </c:pt>
                <c:pt idx="81">
                  <c:v>0.75616635662686671</c:v>
                </c:pt>
                <c:pt idx="82">
                  <c:v>0.77135361856168116</c:v>
                </c:pt>
                <c:pt idx="83">
                  <c:v>0.78650817120645145</c:v>
                </c:pt>
                <c:pt idx="84">
                  <c:v>0.80162971590451826</c:v>
                </c:pt>
                <c:pt idx="85">
                  <c:v>0.81614021146254256</c:v>
                </c:pt>
                <c:pt idx="86">
                  <c:v>0.82987820067707174</c:v>
                </c:pt>
                <c:pt idx="87">
                  <c:v>0.84284345646714953</c:v>
                </c:pt>
                <c:pt idx="88">
                  <c:v>0.85503574518447834</c:v>
                </c:pt>
                <c:pt idx="89">
                  <c:v>0.86645482907919702</c:v>
                </c:pt>
                <c:pt idx="90">
                  <c:v>0.8771004687638676</c:v>
                </c:pt>
                <c:pt idx="91">
                  <c:v>0.88697242568074075</c:v>
                </c:pt>
                <c:pt idx="92">
                  <c:v>0.89607046456676231</c:v>
                </c:pt>
                <c:pt idx="93">
                  <c:v>0.90385905103712116</c:v>
                </c:pt>
                <c:pt idx="94">
                  <c:v>0.91052964701402705</c:v>
                </c:pt>
                <c:pt idx="95">
                  <c:v>0.91608213872600031</c:v>
                </c:pt>
                <c:pt idx="96">
                  <c:v>0.92051643693238416</c:v>
                </c:pt>
                <c:pt idx="97">
                  <c:v>0.9238324804958834</c:v>
                </c:pt>
                <c:pt idx="98">
                  <c:v>0.92603023994700173</c:v>
                </c:pt>
                <c:pt idx="99">
                  <c:v>0.9264089181493379</c:v>
                </c:pt>
                <c:pt idx="100">
                  <c:v>0.92554583381588729</c:v>
                </c:pt>
                <c:pt idx="101">
                  <c:v>0.92344113354759361</c:v>
                </c:pt>
                <c:pt idx="102">
                  <c:v>0.92009501606387611</c:v>
                </c:pt>
                <c:pt idx="103">
                  <c:v>0.91550773615754322</c:v>
                </c:pt>
                <c:pt idx="104">
                  <c:v>0.90967960867124487</c:v>
                </c:pt>
                <c:pt idx="105">
                  <c:v>0.90261101245398689</c:v>
                </c:pt>
                <c:pt idx="106">
                  <c:v>0.89430239432866787</c:v>
                </c:pt>
                <c:pt idx="107">
                  <c:v>0.88420532490087744</c:v>
                </c:pt>
                <c:pt idx="108">
                  <c:v>0.87285499309027681</c:v>
                </c:pt>
                <c:pt idx="109">
                  <c:v>0.86025209707195105</c:v>
                </c:pt>
                <c:pt idx="110">
                  <c:v>0.84639983097913318</c:v>
                </c:pt>
                <c:pt idx="111">
                  <c:v>0.83130136521505993</c:v>
                </c:pt>
                <c:pt idx="112">
                  <c:v>0.81495745945528963</c:v>
                </c:pt>
                <c:pt idx="113">
                  <c:v>0.79745520841226414</c:v>
                </c:pt>
                <c:pt idx="114">
                  <c:v>0.77949445105700998</c:v>
                </c:pt>
                <c:pt idx="115">
                  <c:v>0.76107557930121938</c:v>
                </c:pt>
                <c:pt idx="116">
                  <c:v>0.74219901503260377</c:v>
                </c:pt>
                <c:pt idx="117">
                  <c:v>0.72286521113078217</c:v>
                </c:pt>
                <c:pt idx="118">
                  <c:v>0.70307465247521217</c:v>
                </c:pt>
                <c:pt idx="119">
                  <c:v>0.68282785695539494</c:v>
                </c:pt>
                <c:pt idx="120">
                  <c:v>0.66212537648001479</c:v>
                </c:pt>
                <c:pt idx="121">
                  <c:v>0.64136776669897622</c:v>
                </c:pt>
                <c:pt idx="122">
                  <c:v>0.62110247401649987</c:v>
                </c:pt>
                <c:pt idx="123">
                  <c:v>0.60132938774827704</c:v>
                </c:pt>
                <c:pt idx="124">
                  <c:v>0.58204839451311863</c:v>
                </c:pt>
                <c:pt idx="125">
                  <c:v>0.5632593771732114</c:v>
                </c:pt>
                <c:pt idx="126">
                  <c:v>0.54496221376582288</c:v>
                </c:pt>
                <c:pt idx="127">
                  <c:v>0.52763465601099313</c:v>
                </c:pt>
                <c:pt idx="128">
                  <c:v>0.51119017340295714</c:v>
                </c:pt>
                <c:pt idx="129">
                  <c:v>0.49562824126061311</c:v>
                </c:pt>
                <c:pt idx="130">
                  <c:v>0.48094830556467488</c:v>
                </c:pt>
                <c:pt idx="131">
                  <c:v>0.46714978102747029</c:v>
                </c:pt>
                <c:pt idx="132">
                  <c:v>0.45423204916803883</c:v>
                </c:pt>
                <c:pt idx="133">
                  <c:v>0.44219445639002825</c:v>
                </c:pt>
                <c:pt idx="134">
                  <c:v>0.43103631205695803</c:v>
                </c:pt>
                <c:pt idx="135">
                  <c:v>0.42099579588568053</c:v>
                </c:pt>
                <c:pt idx="136">
                  <c:v>0.41167379428140832</c:v>
                </c:pt>
                <c:pt idx="137">
                  <c:v>0.40306967290848378</c:v>
                </c:pt>
                <c:pt idx="138">
                  <c:v>0.39518276224742044</c:v>
                </c:pt>
                <c:pt idx="139">
                  <c:v>0.3880123560305403</c:v>
                </c:pt>
                <c:pt idx="140">
                  <c:v>0.38155770965509506</c:v>
                </c:pt>
                <c:pt idx="141">
                  <c:v>0.37586052034002537</c:v>
                </c:pt>
                <c:pt idx="142">
                  <c:v>0.37044264415999323</c:v>
                </c:pt>
                <c:pt idx="143">
                  <c:v>0.36530225311338782</c:v>
                </c:pt>
                <c:pt idx="144">
                  <c:v>0.36043975327956473</c:v>
                </c:pt>
                <c:pt idx="145">
                  <c:v>0.35585549114749621</c:v>
                </c:pt>
                <c:pt idx="146">
                  <c:v>0.35154975738132976</c:v>
                </c:pt>
                <c:pt idx="147">
                  <c:v>0.34752279059813468</c:v>
                </c:pt>
                <c:pt idx="148">
                  <c:v>0.34377478113697035</c:v>
                </c:pt>
                <c:pt idx="149">
                  <c:v>0.34035996593724155</c:v>
                </c:pt>
                <c:pt idx="150">
                  <c:v>0.33704114653184042</c:v>
                </c:pt>
                <c:pt idx="151">
                  <c:v>0.33381871658117662</c:v>
                </c:pt>
                <c:pt idx="152">
                  <c:v>0.33069304702943142</c:v>
                </c:pt>
                <c:pt idx="153">
                  <c:v>0.32766448740329784</c:v>
                </c:pt>
                <c:pt idx="154">
                  <c:v>0.32473336711258305</c:v>
                </c:pt>
                <c:pt idx="155">
                  <c:v>0.32197179216194477</c:v>
                </c:pt>
                <c:pt idx="156">
                  <c:v>0.31933779357027908</c:v>
                </c:pt>
                <c:pt idx="157">
                  <c:v>0.31683159137305228</c:v>
                </c:pt>
                <c:pt idx="158">
                  <c:v>0.31445339087018481</c:v>
                </c:pt>
                <c:pt idx="159">
                  <c:v>0.31220338432566525</c:v>
                </c:pt>
                <c:pt idx="160">
                  <c:v>0.31008175267106225</c:v>
                </c:pt>
                <c:pt idx="161">
                  <c:v>0.30808866720545747</c:v>
                </c:pt>
                <c:pt idx="162">
                  <c:v>0.30622429129708628</c:v>
                </c:pt>
                <c:pt idx="163">
                  <c:v>0.30456320357505245</c:v>
                </c:pt>
                <c:pt idx="164">
                  <c:v>0.30305182948124726</c:v>
                </c:pt>
                <c:pt idx="165">
                  <c:v>0.30169028276039506</c:v>
                </c:pt>
                <c:pt idx="166">
                  <c:v>0.30047867764976638</c:v>
                </c:pt>
                <c:pt idx="167">
                  <c:v>0.29941713085867705</c:v>
                </c:pt>
                <c:pt idx="168">
                  <c:v>0.29850576355762587</c:v>
                </c:pt>
                <c:pt idx="169">
                  <c:v>0.29781886122943207</c:v>
                </c:pt>
                <c:pt idx="170">
                  <c:v>0.29728529644097745</c:v>
                </c:pt>
                <c:pt idx="171">
                  <c:v>0.29690521459081398</c:v>
                </c:pt>
                <c:pt idx="172">
                  <c:v>0.29667877419982897</c:v>
                </c:pt>
                <c:pt idx="173">
                  <c:v>0.2966031158355586</c:v>
                </c:pt>
                <c:pt idx="174">
                  <c:v>0.29667523335270479</c:v>
                </c:pt>
                <c:pt idx="175">
                  <c:v>0.29689507646586749</c:v>
                </c:pt>
                <c:pt idx="176">
                  <c:v>0.29726259586741205</c:v>
                </c:pt>
                <c:pt idx="177">
                  <c:v>0.29784863252064797</c:v>
                </c:pt>
                <c:pt idx="178">
                  <c:v>0.29857921870012261</c:v>
                </c:pt>
                <c:pt idx="179">
                  <c:v>0.29945431822573776</c:v>
                </c:pt>
                <c:pt idx="180">
                  <c:v>0.30047389947040348</c:v>
                </c:pt>
                <c:pt idx="181">
                  <c:v>0.30163793620806223</c:v>
                </c:pt>
                <c:pt idx="182">
                  <c:v>0.3029464084643243</c:v>
                </c:pt>
                <c:pt idx="183">
                  <c:v>0.30445235947351035</c:v>
                </c:pt>
                <c:pt idx="184">
                  <c:v>0.30608210832203042</c:v>
                </c:pt>
                <c:pt idx="185">
                  <c:v>0.30783568899289443</c:v>
                </c:pt>
                <c:pt idx="186">
                  <c:v>0.30971314440351372</c:v>
                </c:pt>
                <c:pt idx="187">
                  <c:v>0.3117145271355361</c:v>
                </c:pt>
                <c:pt idx="188">
                  <c:v>0.3138399001665379</c:v>
                </c:pt>
                <c:pt idx="189">
                  <c:v>0.31608933759219743</c:v>
                </c:pt>
                <c:pt idx="190">
                  <c:v>0.31846292536178195</c:v>
                </c:pt>
                <c:pt idx="191">
                  <c:v>0.32100210929542755</c:v>
                </c:pt>
                <c:pt idx="192">
                  <c:v>0.32363655571319727</c:v>
                </c:pt>
                <c:pt idx="193">
                  <c:v>0.32636642693065715</c:v>
                </c:pt>
                <c:pt idx="194">
                  <c:v>0.32919189810715305</c:v>
                </c:pt>
                <c:pt idx="195">
                  <c:v>0.33211315780981554</c:v>
                </c:pt>
                <c:pt idx="196">
                  <c:v>0.33513040856503523</c:v>
                </c:pt>
                <c:pt idx="197">
                  <c:v>0.33847529740292981</c:v>
                </c:pt>
                <c:pt idx="198">
                  <c:v>0.34209509620457024</c:v>
                </c:pt>
                <c:pt idx="199">
                  <c:v>0.34598988868464059</c:v>
                </c:pt>
                <c:pt idx="200">
                  <c:v>0.35015979151481957</c:v>
                </c:pt>
                <c:pt idx="201">
                  <c:v>0.35460495593562441</c:v>
                </c:pt>
                <c:pt idx="202">
                  <c:v>0.35932556937008764</c:v>
                </c:pt>
                <c:pt idx="203">
                  <c:v>0.36432185704542763</c:v>
                </c:pt>
                <c:pt idx="204">
                  <c:v>0.36959348677052484</c:v>
                </c:pt>
                <c:pt idx="205">
                  <c:v>0.37560052305820096</c:v>
                </c:pt>
                <c:pt idx="206">
                  <c:v>0.38230145154502526</c:v>
                </c:pt>
                <c:pt idx="207">
                  <c:v>0.38969598547721779</c:v>
                </c:pt>
                <c:pt idx="208">
                  <c:v>0.39778388600395781</c:v>
                </c:pt>
                <c:pt idx="209">
                  <c:v>0.40656496002754111</c:v>
                </c:pt>
                <c:pt idx="210">
                  <c:v>0.41603905806681779</c:v>
                </c:pt>
                <c:pt idx="211">
                  <c:v>0.4265905224459754</c:v>
                </c:pt>
                <c:pt idx="212">
                  <c:v>0.43798850836983372</c:v>
                </c:pt>
                <c:pt idx="213">
                  <c:v>0.4502329388709283</c:v>
                </c:pt>
                <c:pt idx="214">
                  <c:v>0.46332378216386466</c:v>
                </c:pt>
                <c:pt idx="215">
                  <c:v>0.47726104902419164</c:v>
                </c:pt>
                <c:pt idx="216">
                  <c:v>0.49204479016573088</c:v>
                </c:pt>
                <c:pt idx="217">
                  <c:v>0.507675093619813</c:v>
                </c:pt>
                <c:pt idx="218">
                  <c:v>0.52415208211190556</c:v>
                </c:pt>
                <c:pt idx="219">
                  <c:v>0.54155862907232366</c:v>
                </c:pt>
                <c:pt idx="220">
                  <c:v>0.55943519113238827</c:v>
                </c:pt>
                <c:pt idx="221">
                  <c:v>0.57778203219089463</c:v>
                </c:pt>
                <c:pt idx="222">
                  <c:v>0.59659941978824804</c:v>
                </c:pt>
                <c:pt idx="223">
                  <c:v>0.61588762366548422</c:v>
                </c:pt>
                <c:pt idx="224">
                  <c:v>0.63564691430980846</c:v>
                </c:pt>
                <c:pt idx="225">
                  <c:v>0.65535203873187675</c:v>
                </c:pt>
                <c:pt idx="226">
                  <c:v>0.67461920180371093</c:v>
                </c:pt>
                <c:pt idx="227">
                  <c:v>0.69344864226473368</c:v>
                </c:pt>
                <c:pt idx="228">
                  <c:v>0.71184055527876855</c:v>
                </c:pt>
                <c:pt idx="229">
                  <c:v>0.72979509380256768</c:v>
                </c:pt>
                <c:pt idx="230">
                  <c:v>0.74731236996499861</c:v>
                </c:pt>
                <c:pt idx="231">
                  <c:v>0.76439245644931331</c:v>
                </c:pt>
                <c:pt idx="232">
                  <c:v>0.78103538785945936</c:v>
                </c:pt>
                <c:pt idx="233">
                  <c:v>0.79657090907649875</c:v>
                </c:pt>
                <c:pt idx="234">
                  <c:v>0.81091616369849695</c:v>
                </c:pt>
                <c:pt idx="235">
                  <c:v>0.82407161413228103</c:v>
                </c:pt>
                <c:pt idx="236">
                  <c:v>0.83603797987648409</c:v>
                </c:pt>
                <c:pt idx="237">
                  <c:v>0.84681542821078115</c:v>
                </c:pt>
                <c:pt idx="238">
                  <c:v>0.85640408555942971</c:v>
                </c:pt>
                <c:pt idx="239">
                  <c:v>0.86429215765599932</c:v>
                </c:pt>
                <c:pt idx="240">
                  <c:v>0.87100541024801115</c:v>
                </c:pt>
                <c:pt idx="241">
                  <c:v>0.8765438270785213</c:v>
                </c:pt>
                <c:pt idx="242">
                  <c:v>0.88090734287391048</c:v>
                </c:pt>
                <c:pt idx="243">
                  <c:v>0.88409584126542451</c:v>
                </c:pt>
                <c:pt idx="244">
                  <c:v>0.88610915270572088</c:v>
                </c:pt>
                <c:pt idx="245">
                  <c:v>0.88694705237602922</c:v>
                </c:pt>
                <c:pt idx="246">
                  <c:v>0.88660925809188584</c:v>
                </c:pt>
                <c:pt idx="247">
                  <c:v>0.88454275660981452</c:v>
                </c:pt>
                <c:pt idx="248">
                  <c:v>0.88141813319532913</c:v>
                </c:pt>
                <c:pt idx="249">
                  <c:v>0.87723496428372216</c:v>
                </c:pt>
                <c:pt idx="250">
                  <c:v>0.87199276666596248</c:v>
                </c:pt>
                <c:pt idx="251">
                  <c:v>0.86569099563441421</c:v>
                </c:pt>
                <c:pt idx="252">
                  <c:v>0.85832904309089764</c:v>
                </c:pt>
                <c:pt idx="253">
                  <c:v>0.84972268539490414</c:v>
                </c:pt>
                <c:pt idx="254">
                  <c:v>0.84038407476718313</c:v>
                </c:pt>
                <c:pt idx="255">
                  <c:v>0.83031261363972297</c:v>
                </c:pt>
                <c:pt idx="256">
                  <c:v>0.81950765345035015</c:v>
                </c:pt>
                <c:pt idx="257">
                  <c:v>0.80796849333794807</c:v>
                </c:pt>
                <c:pt idx="258">
                  <c:v>0.79569437884592786</c:v>
                </c:pt>
                <c:pt idx="259">
                  <c:v>0.78268450063645378</c:v>
                </c:pt>
                <c:pt idx="260">
                  <c:v>0.76893799317998435</c:v>
                </c:pt>
                <c:pt idx="261">
                  <c:v>0.75460863300149006</c:v>
                </c:pt>
                <c:pt idx="262">
                  <c:v>0.74025008646901425</c:v>
                </c:pt>
                <c:pt idx="263">
                  <c:v>0.72586196681327519</c:v>
                </c:pt>
                <c:pt idx="264">
                  <c:v>0.71144390917323075</c:v>
                </c:pt>
                <c:pt idx="265">
                  <c:v>0.69699926848197402</c:v>
                </c:pt>
                <c:pt idx="266">
                  <c:v>0.68252927891144322</c:v>
                </c:pt>
                <c:pt idx="267">
                  <c:v>0.66849174871333961</c:v>
                </c:pt>
                <c:pt idx="268">
                  <c:v>0.65506997143622614</c:v>
                </c:pt>
                <c:pt idx="269">
                  <c:v>0.64226322628850352</c:v>
                </c:pt>
                <c:pt idx="270">
                  <c:v>0.63007091326502207</c:v>
                </c:pt>
                <c:pt idx="271">
                  <c:v>0.61849254636340867</c:v>
                </c:pt>
                <c:pt idx="272">
                  <c:v>0.60752774681870481</c:v>
                </c:pt>
                <c:pt idx="273">
                  <c:v>0.59717623632998285</c:v>
                </c:pt>
                <c:pt idx="274">
                  <c:v>0.58743783029501606</c:v>
                </c:pt>
                <c:pt idx="275">
                  <c:v>0.57883704014620152</c:v>
                </c:pt>
                <c:pt idx="276">
                  <c:v>0.57121899320595881</c:v>
                </c:pt>
                <c:pt idx="277">
                  <c:v>0.56458431150108457</c:v>
                </c:pt>
                <c:pt idx="278">
                  <c:v>0.55893369651335689</c:v>
                </c:pt>
                <c:pt idx="279">
                  <c:v>0.55426791835601608</c:v>
                </c:pt>
                <c:pt idx="280">
                  <c:v>0.55058780495553195</c:v>
                </c:pt>
                <c:pt idx="281">
                  <c:v>0.54780803620804053</c:v>
                </c:pt>
                <c:pt idx="282">
                  <c:v>0.5454666555762393</c:v>
                </c:pt>
                <c:pt idx="283">
                  <c:v>0.5435637381886036</c:v>
                </c:pt>
                <c:pt idx="284">
                  <c:v>0.54209937325461144</c:v>
                </c:pt>
                <c:pt idx="285">
                  <c:v>0.54107365924695494</c:v>
                </c:pt>
                <c:pt idx="286">
                  <c:v>0.54048669908892588</c:v>
                </c:pt>
                <c:pt idx="287">
                  <c:v>0.54033859533642459</c:v>
                </c:pt>
                <c:pt idx="288">
                  <c:v>0.54062944536204238</c:v>
                </c:pt>
                <c:pt idx="289">
                  <c:v>0.54106563464435797</c:v>
                </c:pt>
                <c:pt idx="290">
                  <c:v>0.5411181385445113</c:v>
                </c:pt>
                <c:pt idx="291">
                  <c:v>0.54078580223340211</c:v>
                </c:pt>
                <c:pt idx="292">
                  <c:v>0.54006748950033556</c:v>
                </c:pt>
                <c:pt idx="293">
                  <c:v>0.53896208689975134</c:v>
                </c:pt>
                <c:pt idx="294">
                  <c:v>0.53746850789584921</c:v>
                </c:pt>
                <c:pt idx="295">
                  <c:v>0.53551998977664916</c:v>
                </c:pt>
                <c:pt idx="296">
                  <c:v>0.53320872066480296</c:v>
                </c:pt>
                <c:pt idx="297">
                  <c:v>0.53053811297477549</c:v>
                </c:pt>
                <c:pt idx="298">
                  <c:v>0.52750712686273138</c:v>
                </c:pt>
                <c:pt idx="299">
                  <c:v>0.52411472127556247</c:v>
                </c:pt>
                <c:pt idx="300">
                  <c:v>0.52035985728154732</c:v>
                </c:pt>
                <c:pt idx="301">
                  <c:v>0.51624150139940372</c:v>
                </c:pt>
                <c:pt idx="302">
                  <c:v>0.51175862892851842</c:v>
                </c:pt>
                <c:pt idx="303">
                  <c:v>0.50678793321243187</c:v>
                </c:pt>
                <c:pt idx="304">
                  <c:v>0.50162402806856732</c:v>
                </c:pt>
                <c:pt idx="305">
                  <c:v>0.49626618290319802</c:v>
                </c:pt>
                <c:pt idx="306">
                  <c:v>0.49071368806884541</c:v>
                </c:pt>
                <c:pt idx="307">
                  <c:v>0.48496585659887853</c:v>
                </c:pt>
                <c:pt idx="308">
                  <c:v>0.4790220259380199</c:v>
                </c:pt>
                <c:pt idx="309">
                  <c:v>0.47283654591976015</c:v>
                </c:pt>
                <c:pt idx="310">
                  <c:v>0.46647497139684396</c:v>
                </c:pt>
                <c:pt idx="311">
                  <c:v>0.4599367529875163</c:v>
                </c:pt>
                <c:pt idx="312">
                  <c:v>0.45322137192690165</c:v>
                </c:pt>
                <c:pt idx="313">
                  <c:v>0.44632834160816726</c:v>
                </c:pt>
                <c:pt idx="314">
                  <c:v>0.43925720911950022</c:v>
                </c:pt>
                <c:pt idx="315">
                  <c:v>0.43200755678672709</c:v>
                </c:pt>
                <c:pt idx="316">
                  <c:v>0.42457900370903445</c:v>
                </c:pt>
                <c:pt idx="317">
                  <c:v>0.41708285414620927</c:v>
                </c:pt>
                <c:pt idx="318">
                  <c:v>0.40964204246921349</c:v>
                </c:pt>
                <c:pt idx="319">
                  <c:v>0.40225656220505374</c:v>
                </c:pt>
                <c:pt idx="320">
                  <c:v>0.39492642920637588</c:v>
                </c:pt>
                <c:pt idx="321">
                  <c:v>0.38765168104437892</c:v>
                </c:pt>
                <c:pt idx="322">
                  <c:v>0.38043237640321365</c:v>
                </c:pt>
                <c:pt idx="323">
                  <c:v>0.37337621697369816</c:v>
                </c:pt>
                <c:pt idx="324">
                  <c:v>0.36652866957966318</c:v>
                </c:pt>
                <c:pt idx="325">
                  <c:v>0.35988994842360156</c:v>
                </c:pt>
                <c:pt idx="326">
                  <c:v>0.35345807097197124</c:v>
                </c:pt>
                <c:pt idx="327">
                  <c:v>0.34723264952905969</c:v>
                </c:pt>
                <c:pt idx="328">
                  <c:v>0.34121508517181098</c:v>
                </c:pt>
                <c:pt idx="329">
                  <c:v>0.33540669175202281</c:v>
                </c:pt>
                <c:pt idx="330">
                  <c:v>0.32980870046673438</c:v>
                </c:pt>
                <c:pt idx="331">
                  <c:v>0.32453297507959089</c:v>
                </c:pt>
                <c:pt idx="332">
                  <c:v>0.31946855857024775</c:v>
                </c:pt>
                <c:pt idx="333">
                  <c:v>0.31461645575999464</c:v>
                </c:pt>
                <c:pt idx="334">
                  <c:v>0.30997760814717951</c:v>
                </c:pt>
                <c:pt idx="335">
                  <c:v>0.30555289845499795</c:v>
                </c:pt>
                <c:pt idx="336">
                  <c:v>0.30134315517508775</c:v>
                </c:pt>
                <c:pt idx="337">
                  <c:v>0.29745083070708672</c:v>
                </c:pt>
                <c:pt idx="338">
                  <c:v>0.29376882785778097</c:v>
                </c:pt>
                <c:pt idx="339">
                  <c:v>0.29029783796393593</c:v>
                </c:pt>
                <c:pt idx="340">
                  <c:v>0.28703851723395302</c:v>
                </c:pt>
                <c:pt idx="341">
                  <c:v>0.28399149116600875</c:v>
                </c:pt>
                <c:pt idx="342">
                  <c:v>0.28115735896589533</c:v>
                </c:pt>
                <c:pt idx="343">
                  <c:v>0.27853669796145281</c:v>
                </c:pt>
                <c:pt idx="344">
                  <c:v>0.27613006802148049</c:v>
                </c:pt>
                <c:pt idx="345">
                  <c:v>0.27393801597165096</c:v>
                </c:pt>
                <c:pt idx="346">
                  <c:v>0.2719565615564622</c:v>
                </c:pt>
                <c:pt idx="347">
                  <c:v>0.27018623786651758</c:v>
                </c:pt>
                <c:pt idx="348">
                  <c:v>0.26862757780767305</c:v>
                </c:pt>
                <c:pt idx="349">
                  <c:v>0.2672811184218063</c:v>
                </c:pt>
                <c:pt idx="350">
                  <c:v>0.26614740521388758</c:v>
                </c:pt>
                <c:pt idx="351">
                  <c:v>0.26533331528565562</c:v>
                </c:pt>
                <c:pt idx="352">
                  <c:v>0.26473770533859076</c:v>
                </c:pt>
                <c:pt idx="353">
                  <c:v>0.26436118267097125</c:v>
                </c:pt>
                <c:pt idx="354">
                  <c:v>0.26420438196280494</c:v>
                </c:pt>
                <c:pt idx="355">
                  <c:v>0.26426796968048849</c:v>
                </c:pt>
                <c:pt idx="356">
                  <c:v>0.26455283131604612</c:v>
                </c:pt>
                <c:pt idx="357">
                  <c:v>0.26505912056507613</c:v>
                </c:pt>
                <c:pt idx="358">
                  <c:v>0.26578639132319809</c:v>
                </c:pt>
                <c:pt idx="359">
                  <c:v>0.26673422918661571</c:v>
                </c:pt>
                <c:pt idx="360">
                  <c:v>0.2680042488716266</c:v>
                </c:pt>
                <c:pt idx="361">
                  <c:v>0.26948958421089497</c:v>
                </c:pt>
                <c:pt idx="362">
                  <c:v>0.27118988313689441</c:v>
                </c:pt>
                <c:pt idx="363">
                  <c:v>0.2731048019722257</c:v>
                </c:pt>
                <c:pt idx="364">
                  <c:v>0.27523400009623933</c:v>
                </c:pt>
                <c:pt idx="365">
                  <c:v>0.27757713460842576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531760"/>
        <c:axId val="408531368"/>
      </c:lineChart>
      <c:dateAx>
        <c:axId val="40853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8531368"/>
        <c:crosses val="autoZero"/>
        <c:auto val="1"/>
        <c:lblOffset val="100"/>
        <c:baseTimeUnit val="days"/>
      </c:dateAx>
      <c:valAx>
        <c:axId val="4085313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85317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8534504"/>
        <c:axId val="406104352"/>
      </c:scatterChart>
      <c:valAx>
        <c:axId val="408534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104352"/>
        <c:crosses val="autoZero"/>
        <c:crossBetween val="midCat"/>
      </c:valAx>
      <c:valAx>
        <c:axId val="4061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85345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18.519772813751779</c:v>
                </c:pt>
                <c:pt idx="1">
                  <c:v>18.66874089708616</c:v>
                </c:pt>
                <c:pt idx="2">
                  <c:v>18.824261027908534</c:v>
                </c:pt>
                <c:pt idx="3">
                  <c:v>18.986085004166796</c:v>
                </c:pt>
                <c:pt idx="4">
                  <c:v>19.153964623783168</c:v>
                </c:pt>
                <c:pt idx="5">
                  <c:v>19.327651681763857</c:v>
                </c:pt>
                <c:pt idx="6">
                  <c:v>19.506897978227713</c:v>
                </c:pt>
                <c:pt idx="7">
                  <c:v>19.691455309748136</c:v>
                </c:pt>
                <c:pt idx="8">
                  <c:v>19.882237499212305</c:v>
                </c:pt>
                <c:pt idx="9">
                  <c:v>20.0801463348424</c:v>
                </c:pt>
                <c:pt idx="10">
                  <c:v>20.284915566470545</c:v>
                </c:pt>
                <c:pt idx="11">
                  <c:v>20.496278941618471</c:v>
                </c:pt>
                <c:pt idx="12">
                  <c:v>20.713970211091372</c:v>
                </c:pt>
                <c:pt idx="13">
                  <c:v>20.937723121147037</c:v>
                </c:pt>
                <c:pt idx="14">
                  <c:v>21.167271421252398</c:v>
                </c:pt>
                <c:pt idx="15">
                  <c:v>21.402348861503853</c:v>
                </c:pt>
                <c:pt idx="16">
                  <c:v>21.642689187596712</c:v>
                </c:pt>
                <c:pt idx="17">
                  <c:v>21.888026150411427</c:v>
                </c:pt>
                <c:pt idx="18">
                  <c:v>22.138093498440028</c:v>
                </c:pt>
                <c:pt idx="19">
                  <c:v>22.392624979589154</c:v>
                </c:pt>
                <c:pt idx="20">
                  <c:v>22.651354342644453</c:v>
                </c:pt>
                <c:pt idx="21">
                  <c:v>22.914015336148438</c:v>
                </c:pt>
                <c:pt idx="22">
                  <c:v>23.181174144947104</c:v>
                </c:pt>
                <c:pt idx="23">
                  <c:v>23.453462831356696</c:v>
                </c:pt>
                <c:pt idx="24">
                  <c:v>23.730713964572978</c:v>
                </c:pt>
                <c:pt idx="25">
                  <c:v>24.012760110252671</c:v>
                </c:pt>
                <c:pt idx="26">
                  <c:v>24.299433835595849</c:v>
                </c:pt>
                <c:pt idx="27">
                  <c:v>24.590567708308143</c:v>
                </c:pt>
                <c:pt idx="28">
                  <c:v>24.885994294658303</c:v>
                </c:pt>
                <c:pt idx="29">
                  <c:v>25.185546162511621</c:v>
                </c:pt>
                <c:pt idx="30">
                  <c:v>25.489055879081466</c:v>
                </c:pt>
                <c:pt idx="31">
                  <c:v>25.796356011927131</c:v>
                </c:pt>
                <c:pt idx="32">
                  <c:v>26.107279125880453</c:v>
                </c:pt>
                <c:pt idx="33">
                  <c:v>26.421657791334603</c:v>
                </c:pt>
                <c:pt idx="34">
                  <c:v>26.739324573281088</c:v>
                </c:pt>
                <c:pt idx="35">
                  <c:v>27.060112039186059</c:v>
                </c:pt>
                <c:pt idx="36">
                  <c:v>27.384802284530764</c:v>
                </c:pt>
                <c:pt idx="37">
                  <c:v>27.714219000948859</c:v>
                </c:pt>
                <c:pt idx="38">
                  <c:v>28.048257147780223</c:v>
                </c:pt>
                <c:pt idx="39">
                  <c:v>28.386811687637653</c:v>
                </c:pt>
                <c:pt idx="40">
                  <c:v>28.729777579688069</c:v>
                </c:pt>
                <c:pt idx="41">
                  <c:v>29.077049784442139</c:v>
                </c:pt>
                <c:pt idx="42">
                  <c:v>29.428523264871913</c:v>
                </c:pt>
                <c:pt idx="43">
                  <c:v>29.784092979212954</c:v>
                </c:pt>
                <c:pt idx="44">
                  <c:v>30.14365388938625</c:v>
                </c:pt>
                <c:pt idx="45">
                  <c:v>30.507100955942377</c:v>
                </c:pt>
                <c:pt idx="46">
                  <c:v>30.874329140037297</c:v>
                </c:pt>
                <c:pt idx="47">
                  <c:v>31.24523340096431</c:v>
                </c:pt>
                <c:pt idx="48">
                  <c:v>31.619708701482573</c:v>
                </c:pt>
                <c:pt idx="49">
                  <c:v>31.997650000359862</c:v>
                </c:pt>
                <c:pt idx="50">
                  <c:v>32.380467757529445</c:v>
                </c:pt>
                <c:pt idx="51">
                  <c:v>32.769397157743306</c:v>
                </c:pt>
                <c:pt idx="52">
                  <c:v>33.164070253460004</c:v>
                </c:pt>
                <c:pt idx="53">
                  <c:v>33.564119096752258</c:v>
                </c:pt>
                <c:pt idx="54">
                  <c:v>33.969175737996451</c:v>
                </c:pt>
                <c:pt idx="55">
                  <c:v>34.378872230961655</c:v>
                </c:pt>
                <c:pt idx="56">
                  <c:v>34.792840625089596</c:v>
                </c:pt>
                <c:pt idx="57">
                  <c:v>35.210712973999662</c:v>
                </c:pt>
                <c:pt idx="58">
                  <c:v>35.632121328553851</c:v>
                </c:pt>
                <c:pt idx="59">
                  <c:v>36.056697740818237</c:v>
                </c:pt>
                <c:pt idx="60">
                  <c:v>36.484074262369958</c:v>
                </c:pt>
                <c:pt idx="61">
                  <c:v>36.913882945145346</c:v>
                </c:pt>
                <c:pt idx="62">
                  <c:v>37.345755840209314</c:v>
                </c:pt>
                <c:pt idx="63">
                  <c:v>37.779325000662354</c:v>
                </c:pt>
                <c:pt idx="64">
                  <c:v>38.216432480264587</c:v>
                </c:pt>
                <c:pt idx="65">
                  <c:v>38.658688921308411</c:v>
                </c:pt>
                <c:pt idx="66">
                  <c:v>39.105379255099358</c:v>
                </c:pt>
                <c:pt idx="67">
                  <c:v>39.555788411519359</c:v>
                </c:pt>
                <c:pt idx="68">
                  <c:v>40.009201321424911</c:v>
                </c:pt>
                <c:pt idx="69">
                  <c:v>40.464902915592702</c:v>
                </c:pt>
                <c:pt idx="70">
                  <c:v>40.922178125358187</c:v>
                </c:pt>
                <c:pt idx="71">
                  <c:v>41.380311880905978</c:v>
                </c:pt>
                <c:pt idx="72">
                  <c:v>41.838589112736685</c:v>
                </c:pt>
                <c:pt idx="73">
                  <c:v>42.296294752441881</c:v>
                </c:pt>
                <c:pt idx="74">
                  <c:v>42.752713730455639</c:v>
                </c:pt>
                <c:pt idx="75">
                  <c:v>43.207130976912694</c:v>
                </c:pt>
                <c:pt idx="76">
                  <c:v>43.658831423028772</c:v>
                </c:pt>
                <c:pt idx="77">
                  <c:v>44.107100000139326</c:v>
                </c:pt>
                <c:pt idx="78">
                  <c:v>44.553851658385256</c:v>
                </c:pt>
                <c:pt idx="79">
                  <c:v>45.001024490069327</c:v>
                </c:pt>
                <c:pt idx="80">
                  <c:v>45.447938138040314</c:v>
                </c:pt>
                <c:pt idx="81">
                  <c:v>45.893912245266677</c:v>
                </c:pt>
                <c:pt idx="82">
                  <c:v>46.338266454477392</c:v>
                </c:pt>
                <c:pt idx="83">
                  <c:v>46.780320408168649</c:v>
                </c:pt>
                <c:pt idx="84">
                  <c:v>47.219393749791195</c:v>
                </c:pt>
                <c:pt idx="85">
                  <c:v>47.65480612258294</c:v>
                </c:pt>
                <c:pt idx="86">
                  <c:v>48.085877168747331</c:v>
                </c:pt>
                <c:pt idx="87">
                  <c:v>48.511926530600924</c:v>
                </c:pt>
                <c:pt idx="88">
                  <c:v>48.932273852016912</c:v>
                </c:pt>
                <c:pt idx="89">
                  <c:v>49.346238775883933</c:v>
                </c:pt>
                <c:pt idx="90">
                  <c:v>49.753140943949774</c:v>
                </c:pt>
                <c:pt idx="91">
                  <c:v>50.152299999864773</c:v>
                </c:pt>
                <c:pt idx="92">
                  <c:v>50.545361297507768</c:v>
                </c:pt>
                <c:pt idx="93">
                  <c:v>50.934201603555778</c:v>
                </c:pt>
                <c:pt idx="94">
                  <c:v>51.31848768253279</c:v>
                </c:pt>
                <c:pt idx="95">
                  <c:v>51.697886297652232</c:v>
                </c:pt>
                <c:pt idx="96">
                  <c:v>52.072064213278438</c:v>
                </c:pt>
                <c:pt idx="97">
                  <c:v>52.440688193190311</c:v>
                </c:pt>
                <c:pt idx="98">
                  <c:v>52.803424999956043</c:v>
                </c:pt>
                <c:pt idx="99">
                  <c:v>53.159941399789282</c:v>
                </c:pt>
                <c:pt idx="100">
                  <c:v>53.509904155111869</c:v>
                </c:pt>
                <c:pt idx="101">
                  <c:v>53.852980029290279</c:v>
                </c:pt>
                <c:pt idx="102">
                  <c:v>54.188835787679999</c:v>
                </c:pt>
                <c:pt idx="103">
                  <c:v>54.517138192995574</c:v>
                </c:pt>
                <c:pt idx="104">
                  <c:v>54.837554009441689</c:v>
                </c:pt>
                <c:pt idx="105">
                  <c:v>55.149750000424682</c:v>
                </c:pt>
                <c:pt idx="106">
                  <c:v>55.454699262777083</c:v>
                </c:pt>
                <c:pt idx="107">
                  <c:v>55.753546137495768</c:v>
                </c:pt>
                <c:pt idx="108">
                  <c:v>56.046214259362642</c:v>
                </c:pt>
                <c:pt idx="109">
                  <c:v>56.332627259939912</c:v>
                </c:pt>
                <c:pt idx="110">
                  <c:v>56.612708773769967</c:v>
                </c:pt>
                <c:pt idx="111">
                  <c:v>56.886382435342028</c:v>
                </c:pt>
                <c:pt idx="112">
                  <c:v>57.153571875393396</c:v>
                </c:pt>
                <c:pt idx="113">
                  <c:v>57.41420072915831</c:v>
                </c:pt>
                <c:pt idx="114">
                  <c:v>57.668192630061611</c:v>
                </c:pt>
                <c:pt idx="115">
                  <c:v>57.915471210330722</c:v>
                </c:pt>
                <c:pt idx="116">
                  <c:v>58.155960104840673</c:v>
                </c:pt>
                <c:pt idx="117">
                  <c:v>58.389582945379821</c:v>
                </c:pt>
                <c:pt idx="118">
                  <c:v>58.616263366144679</c:v>
                </c:pt>
                <c:pt idx="119">
                  <c:v>58.835925000160934</c:v>
                </c:pt>
                <c:pt idx="120">
                  <c:v>59.048545864410698</c:v>
                </c:pt>
                <c:pt idx="121">
                  <c:v>59.254191909331297</c:v>
                </c:pt>
                <c:pt idx="122">
                  <c:v>59.452918677777049</c:v>
                </c:pt>
                <c:pt idx="123">
                  <c:v>59.644781705417799</c:v>
                </c:pt>
                <c:pt idx="124">
                  <c:v>59.829836534442649</c:v>
                </c:pt>
                <c:pt idx="125">
                  <c:v>60.008138702836419</c:v>
                </c:pt>
                <c:pt idx="126">
                  <c:v>60.179743749927724</c:v>
                </c:pt>
                <c:pt idx="127">
                  <c:v>60.34470721621598</c:v>
                </c:pt>
                <c:pt idx="128">
                  <c:v>60.503084639446541</c:v>
                </c:pt>
                <c:pt idx="129">
                  <c:v>60.654931559493505</c:v>
                </c:pt>
                <c:pt idx="130">
                  <c:v>60.800303516337372</c:v>
                </c:pt>
                <c:pt idx="131">
                  <c:v>60.939256049559582</c:v>
                </c:pt>
                <c:pt idx="132">
                  <c:v>61.071844696838951</c:v>
                </c:pt>
                <c:pt idx="133">
                  <c:v>61.198124999180436</c:v>
                </c:pt>
                <c:pt idx="134">
                  <c:v>61.317592473913521</c:v>
                </c:pt>
                <c:pt idx="135">
                  <c:v>61.429835203742343</c:v>
                </c:pt>
                <c:pt idx="136">
                  <c:v>61.535047575778194</c:v>
                </c:pt>
                <c:pt idx="137">
                  <c:v>61.63342397907482</c:v>
                </c:pt>
                <c:pt idx="138">
                  <c:v>61.725158800663692</c:v>
                </c:pt>
                <c:pt idx="139">
                  <c:v>61.810446427762514</c:v>
                </c:pt>
                <c:pt idx="140">
                  <c:v>61.889481249731034</c:v>
                </c:pt>
                <c:pt idx="141">
                  <c:v>61.962457652097299</c:v>
                </c:pt>
                <c:pt idx="142">
                  <c:v>62.029570025112491</c:v>
                </c:pt>
                <c:pt idx="143">
                  <c:v>62.09101275453078</c:v>
                </c:pt>
                <c:pt idx="144">
                  <c:v>62.146980228767333</c:v>
                </c:pt>
                <c:pt idx="145">
                  <c:v>62.197666835997779</c:v>
                </c:pt>
                <c:pt idx="146">
                  <c:v>62.243266964118398</c:v>
                </c:pt>
                <c:pt idx="147">
                  <c:v>62.283974999189375</c:v>
                </c:pt>
                <c:pt idx="148">
                  <c:v>62.319277203881313</c:v>
                </c:pt>
                <c:pt idx="149">
                  <c:v>62.348678352018553</c:v>
                </c:pt>
                <c:pt idx="150">
                  <c:v>62.37240060055629</c:v>
                </c:pt>
                <c:pt idx="151">
                  <c:v>62.3906661073012</c:v>
                </c:pt>
                <c:pt idx="152">
                  <c:v>62.403697029035541</c:v>
                </c:pt>
                <c:pt idx="153">
                  <c:v>62.411715524297733</c:v>
                </c:pt>
                <c:pt idx="154">
                  <c:v>62.414943749643861</c:v>
                </c:pt>
                <c:pt idx="155">
                  <c:v>62.413603862534671</c:v>
                </c:pt>
                <c:pt idx="156">
                  <c:v>62.407918020697039</c:v>
                </c:pt>
                <c:pt idx="157">
                  <c:v>62.398108382017483</c:v>
                </c:pt>
                <c:pt idx="158">
                  <c:v>62.384397102639618</c:v>
                </c:pt>
                <c:pt idx="159">
                  <c:v>62.367006341181693</c:v>
                </c:pt>
                <c:pt idx="160">
                  <c:v>62.346158254292931</c:v>
                </c:pt>
                <c:pt idx="161">
                  <c:v>62.322074999846521</c:v>
                </c:pt>
                <c:pt idx="162">
                  <c:v>62.294153744221802</c:v>
                </c:pt>
                <c:pt idx="163">
                  <c:v>62.261731486554652</c:v>
                </c:pt>
                <c:pt idx="164">
                  <c:v>62.224940132589211</c:v>
                </c:pt>
                <c:pt idx="165">
                  <c:v>62.183911588575171</c:v>
                </c:pt>
                <c:pt idx="166">
                  <c:v>62.138777760496097</c:v>
                </c:pt>
                <c:pt idx="167">
                  <c:v>62.089670554149365</c:v>
                </c:pt>
                <c:pt idx="168">
                  <c:v>62.036721874680367</c:v>
                </c:pt>
                <c:pt idx="169">
                  <c:v>61.980063629629356</c:v>
                </c:pt>
                <c:pt idx="170">
                  <c:v>61.919827724041951</c:v>
                </c:pt>
                <c:pt idx="171">
                  <c:v>61.856146064413977</c:v>
                </c:pt>
                <c:pt idx="172">
                  <c:v>61.789150555564888</c:v>
                </c:pt>
                <c:pt idx="173">
                  <c:v>61.71897310486861</c:v>
                </c:pt>
                <c:pt idx="174">
                  <c:v>61.645745617816495</c:v>
                </c:pt>
                <c:pt idx="175">
                  <c:v>61.569600000325593</c:v>
                </c:pt>
                <c:pt idx="176">
                  <c:v>61.490075737716893</c:v>
                </c:pt>
                <c:pt idx="177">
                  <c:v>61.406675291354105</c:v>
                </c:pt>
                <c:pt idx="178">
                  <c:v>61.319475027060662</c:v>
                </c:pt>
                <c:pt idx="179">
                  <c:v>61.228551311963905</c:v>
                </c:pt>
                <c:pt idx="180">
                  <c:v>61.133980512319667</c:v>
                </c:pt>
                <c:pt idx="181">
                  <c:v>61.035838993971367</c:v>
                </c:pt>
                <c:pt idx="182">
                  <c:v>60.93420312483795</c:v>
                </c:pt>
                <c:pt idx="183">
                  <c:v>60.829149271361537</c:v>
                </c:pt>
                <c:pt idx="184">
                  <c:v>60.720753799498617</c:v>
                </c:pt>
                <c:pt idx="185">
                  <c:v>60.609093075737889</c:v>
                </c:pt>
                <c:pt idx="186">
                  <c:v>60.494243467718903</c:v>
                </c:pt>
                <c:pt idx="187">
                  <c:v>60.376281341258434</c:v>
                </c:pt>
                <c:pt idx="188">
                  <c:v>60.255283063064731</c:v>
                </c:pt>
                <c:pt idx="189">
                  <c:v>60.131325000245127</c:v>
                </c:pt>
                <c:pt idx="190">
                  <c:v>60.00440715218096</c:v>
                </c:pt>
                <c:pt idx="191">
                  <c:v>59.874483236324579</c:v>
                </c:pt>
                <c:pt idx="192">
                  <c:v>59.741560195226761</c:v>
                </c:pt>
                <c:pt idx="193">
                  <c:v>59.605644970906098</c:v>
                </c:pt>
                <c:pt idx="194">
                  <c:v>59.466744506146227</c:v>
                </c:pt>
                <c:pt idx="195">
                  <c:v>59.324865743597698</c:v>
                </c:pt>
                <c:pt idx="196">
                  <c:v>59.180015625385565</c:v>
                </c:pt>
                <c:pt idx="197">
                  <c:v>59.032201093421982</c:v>
                </c:pt>
                <c:pt idx="198">
                  <c:v>58.881429090783264</c:v>
                </c:pt>
                <c:pt idx="199">
                  <c:v>58.727706560106682</c:v>
                </c:pt>
                <c:pt idx="200">
                  <c:v>58.57104044301169</c:v>
                </c:pt>
                <c:pt idx="201">
                  <c:v>58.411437682541347</c:v>
                </c:pt>
                <c:pt idx="202">
                  <c:v>58.248905220534652</c:v>
                </c:pt>
                <c:pt idx="203">
                  <c:v>58.083450000081214</c:v>
                </c:pt>
                <c:pt idx="204">
                  <c:v>57.915317320032045</c:v>
                </c:pt>
                <c:pt idx="205">
                  <c:v>57.744669169520158</c:v>
                </c:pt>
                <c:pt idx="206">
                  <c:v>57.571387527204521</c:v>
                </c:pt>
                <c:pt idx="207">
                  <c:v>57.395354373021313</c:v>
                </c:pt>
                <c:pt idx="208">
                  <c:v>57.216451685842387</c:v>
                </c:pt>
                <c:pt idx="209">
                  <c:v>57.034561443076072</c:v>
                </c:pt>
                <c:pt idx="210">
                  <c:v>56.849565625470134</c:v>
                </c:pt>
                <c:pt idx="211">
                  <c:v>56.661346209967242</c:v>
                </c:pt>
                <c:pt idx="212">
                  <c:v>56.469785177202098</c:v>
                </c:pt>
                <c:pt idx="213">
                  <c:v>56.274764504456627</c:v>
                </c:pt>
                <c:pt idx="214">
                  <c:v>56.076166171387641</c:v>
                </c:pt>
                <c:pt idx="215">
                  <c:v>55.873872157545492</c:v>
                </c:pt>
                <c:pt idx="216">
                  <c:v>55.66776444045162</c:v>
                </c:pt>
                <c:pt idx="217">
                  <c:v>55.457725000102073</c:v>
                </c:pt>
                <c:pt idx="218">
                  <c:v>55.244019961796177</c:v>
                </c:pt>
                <c:pt idx="219">
                  <c:v>55.026896938894474</c:v>
                </c:pt>
                <c:pt idx="220">
                  <c:v>54.806210140231997</c:v>
                </c:pt>
                <c:pt idx="221">
                  <c:v>54.581813775202519</c:v>
                </c:pt>
                <c:pt idx="222">
                  <c:v>54.35356205374535</c:v>
                </c:pt>
                <c:pt idx="223">
                  <c:v>54.12130918305899</c:v>
                </c:pt>
                <c:pt idx="224">
                  <c:v>53.884909374872223</c:v>
                </c:pt>
                <c:pt idx="225">
                  <c:v>53.644216836815971</c:v>
                </c:pt>
                <c:pt idx="226">
                  <c:v>53.399085777492388</c:v>
                </c:pt>
                <c:pt idx="227">
                  <c:v>53.149370408058161</c:v>
                </c:pt>
                <c:pt idx="228">
                  <c:v>52.894924936137564</c:v>
                </c:pt>
                <c:pt idx="229">
                  <c:v>52.635603571909343</c:v>
                </c:pt>
                <c:pt idx="230">
                  <c:v>52.37126052310424</c:v>
                </c:pt>
                <c:pt idx="231">
                  <c:v>52.101750000193718</c:v>
                </c:pt>
                <c:pt idx="232">
                  <c:v>51.826893814446933</c:v>
                </c:pt>
                <c:pt idx="233">
                  <c:v>51.546643367409715</c:v>
                </c:pt>
                <c:pt idx="234">
                  <c:v>51.261047258128272</c:v>
                </c:pt>
                <c:pt idx="235">
                  <c:v>50.970154081657526</c:v>
                </c:pt>
                <c:pt idx="236">
                  <c:v>50.674012436598005</c:v>
                </c:pt>
                <c:pt idx="237">
                  <c:v>50.372670918676469</c:v>
                </c:pt>
                <c:pt idx="238">
                  <c:v>50.066178124910223</c:v>
                </c:pt>
                <c:pt idx="239">
                  <c:v>49.754582653513978</c:v>
                </c:pt>
                <c:pt idx="240">
                  <c:v>49.437933099569221</c:v>
                </c:pt>
                <c:pt idx="241">
                  <c:v>49.116278061403762</c:v>
                </c:pt>
                <c:pt idx="242">
                  <c:v>48.789666135436192</c:v>
                </c:pt>
                <c:pt idx="243">
                  <c:v>48.45814591829798</c:v>
                </c:pt>
                <c:pt idx="244">
                  <c:v>48.121766007558577</c:v>
                </c:pt>
                <c:pt idx="245">
                  <c:v>47.780575000774121</c:v>
                </c:pt>
                <c:pt idx="246">
                  <c:v>47.433515334039527</c:v>
                </c:pt>
                <c:pt idx="247">
                  <c:v>47.07977011698032</c:v>
                </c:pt>
                <c:pt idx="248">
                  <c:v>46.719748952858424</c:v>
                </c:pt>
                <c:pt idx="249">
                  <c:v>46.353861443259355</c:v>
                </c:pt>
                <c:pt idx="250">
                  <c:v>45.982517192758891</c:v>
                </c:pt>
                <c:pt idx="251">
                  <c:v>45.60612580155555</c:v>
                </c:pt>
                <c:pt idx="252">
                  <c:v>45.225096875336021</c:v>
                </c:pt>
                <c:pt idx="253">
                  <c:v>44.839840015077165</c:v>
                </c:pt>
                <c:pt idx="254">
                  <c:v>44.450764823242622</c:v>
                </c:pt>
                <c:pt idx="255">
                  <c:v>44.058280903905896</c:v>
                </c:pt>
                <c:pt idx="256">
                  <c:v>43.662797859357667</c:v>
                </c:pt>
                <c:pt idx="257">
                  <c:v>43.26472529159593</c:v>
                </c:pt>
                <c:pt idx="258">
                  <c:v>42.864472804384839</c:v>
                </c:pt>
                <c:pt idx="259">
                  <c:v>42.462450000224635</c:v>
                </c:pt>
                <c:pt idx="260">
                  <c:v>42.057219798081292</c:v>
                </c:pt>
                <c:pt idx="261">
                  <c:v>41.64747470870082</c:v>
                </c:pt>
                <c:pt idx="262">
                  <c:v>41.233818722626062</c:v>
                </c:pt>
                <c:pt idx="263">
                  <c:v>40.816855831111653</c:v>
                </c:pt>
                <c:pt idx="264">
                  <c:v>40.397190023842271</c:v>
                </c:pt>
                <c:pt idx="265">
                  <c:v>39.975425291314181</c:v>
                </c:pt>
                <c:pt idx="266">
                  <c:v>39.552165625221093</c:v>
                </c:pt>
                <c:pt idx="267">
                  <c:v>39.128015014555842</c:v>
                </c:pt>
                <c:pt idx="268">
                  <c:v>38.703577450759312</c:v>
                </c:pt>
                <c:pt idx="269">
                  <c:v>38.279456924114911</c:v>
                </c:pt>
                <c:pt idx="270">
                  <c:v>37.856257425441541</c:v>
                </c:pt>
                <c:pt idx="271">
                  <c:v>37.434582944586865</c:v>
                </c:pt>
                <c:pt idx="272">
                  <c:v>37.015037472619269</c:v>
                </c:pt>
                <c:pt idx="273">
                  <c:v>36.598224999941884</c:v>
                </c:pt>
                <c:pt idx="274">
                  <c:v>36.182460832762132</c:v>
                </c:pt>
                <c:pt idx="275">
                  <c:v>35.765976967702485</c:v>
                </c:pt>
                <c:pt idx="276">
                  <c:v>35.34925243255816</c:v>
                </c:pt>
                <c:pt idx="277">
                  <c:v>34.932766253581008</c:v>
                </c:pt>
                <c:pt idx="278">
                  <c:v>34.516997458030737</c:v>
                </c:pt>
                <c:pt idx="279">
                  <c:v>34.102425072754599</c:v>
                </c:pt>
                <c:pt idx="280">
                  <c:v>33.689528125175272</c:v>
                </c:pt>
                <c:pt idx="281">
                  <c:v>33.278785641265237</c:v>
                </c:pt>
                <c:pt idx="282">
                  <c:v>32.870676648806381</c:v>
                </c:pt>
                <c:pt idx="283">
                  <c:v>32.465680174635992</c:v>
                </c:pt>
                <c:pt idx="284">
                  <c:v>32.064275245741015</c:v>
                </c:pt>
                <c:pt idx="285">
                  <c:v>31.666940889135006</c:v>
                </c:pt>
                <c:pt idx="286">
                  <c:v>31.274156131046553</c:v>
                </c:pt>
                <c:pt idx="287">
                  <c:v>30.886399999773129</c:v>
                </c:pt>
                <c:pt idx="288">
                  <c:v>30.501833909936252</c:v>
                </c:pt>
                <c:pt idx="289">
                  <c:v>30.118549854015662</c:v>
                </c:pt>
                <c:pt idx="290">
                  <c:v>29.736922721701141</c:v>
                </c:pt>
                <c:pt idx="291">
                  <c:v>29.357327404997449</c:v>
                </c:pt>
                <c:pt idx="292">
                  <c:v>28.980138793364834</c:v>
                </c:pt>
                <c:pt idx="293">
                  <c:v>28.605731778472133</c:v>
                </c:pt>
                <c:pt idx="294">
                  <c:v>28.23448124954011</c:v>
                </c:pt>
                <c:pt idx="295">
                  <c:v>27.866762099215496</c:v>
                </c:pt>
                <c:pt idx="296">
                  <c:v>27.502949216097065</c:v>
                </c:pt>
                <c:pt idx="297">
                  <c:v>27.143417492774979</c:v>
                </c:pt>
                <c:pt idx="298">
                  <c:v>26.788541818004369</c:v>
                </c:pt>
                <c:pt idx="299">
                  <c:v>26.43869708409267</c:v>
                </c:pt>
                <c:pt idx="300">
                  <c:v>26.094258181118803</c:v>
                </c:pt>
                <c:pt idx="301">
                  <c:v>25.755599999334663</c:v>
                </c:pt>
                <c:pt idx="302">
                  <c:v>25.421256532480143</c:v>
                </c:pt>
                <c:pt idx="303">
                  <c:v>25.089784912419105</c:v>
                </c:pt>
                <c:pt idx="304">
                  <c:v>24.761594743201776</c:v>
                </c:pt>
                <c:pt idx="305">
                  <c:v>24.4370956266565</c:v>
                </c:pt>
                <c:pt idx="306">
                  <c:v>24.116697166367835</c:v>
                </c:pt>
                <c:pt idx="307">
                  <c:v>23.800808964722922</c:v>
                </c:pt>
                <c:pt idx="308">
                  <c:v>23.489840625366195</c:v>
                </c:pt>
                <c:pt idx="309">
                  <c:v>23.184201748775585</c:v>
                </c:pt>
                <c:pt idx="310">
                  <c:v>22.884301940072326</c:v>
                </c:pt>
                <c:pt idx="311">
                  <c:v>22.590550802036056</c:v>
                </c:pt>
                <c:pt idx="312">
                  <c:v>22.303357934792132</c:v>
                </c:pt>
                <c:pt idx="313">
                  <c:v>22.023132944599325</c:v>
                </c:pt>
                <c:pt idx="314">
                  <c:v>21.750285430704906</c:v>
                </c:pt>
                <c:pt idx="315">
                  <c:v>21.485225000232461</c:v>
                </c:pt>
                <c:pt idx="316">
                  <c:v>21.226923103697064</c:v>
                </c:pt>
                <c:pt idx="317">
                  <c:v>20.974295475147663</c:v>
                </c:pt>
                <c:pt idx="318">
                  <c:v>20.727668130078484</c:v>
                </c:pt>
                <c:pt idx="319">
                  <c:v>20.487367084223244</c:v>
                </c:pt>
                <c:pt idx="320">
                  <c:v>20.253718356083013</c:v>
                </c:pt>
                <c:pt idx="321">
                  <c:v>20.027047959981218</c:v>
                </c:pt>
                <c:pt idx="322">
                  <c:v>19.807681914512067</c:v>
                </c:pt>
                <c:pt idx="323">
                  <c:v>19.595946233160795</c:v>
                </c:pt>
                <c:pt idx="324">
                  <c:v>19.392166937222441</c:v>
                </c:pt>
                <c:pt idx="325">
                  <c:v>19.196670037508014</c:v>
                </c:pt>
                <c:pt idx="326">
                  <c:v>19.00978155613744</c:v>
                </c:pt>
                <c:pt idx="327">
                  <c:v>18.831827505225583</c:v>
                </c:pt>
                <c:pt idx="328">
                  <c:v>18.663133904750325</c:v>
                </c:pt>
                <c:pt idx="329">
                  <c:v>18.504026768542829</c:v>
                </c:pt>
                <c:pt idx="330">
                  <c:v>18.354004794199554</c:v>
                </c:pt>
                <c:pt idx="331">
                  <c:v>18.212391657754779</c:v>
                </c:pt>
                <c:pt idx="332">
                  <c:v>18.079250856036587</c:v>
                </c:pt>
                <c:pt idx="333">
                  <c:v>17.954645881429315</c:v>
                </c:pt>
                <c:pt idx="334">
                  <c:v>17.838640228805268</c:v>
                </c:pt>
                <c:pt idx="335">
                  <c:v>17.731297392770646</c:v>
                </c:pt>
                <c:pt idx="336">
                  <c:v>17.632680864352736</c:v>
                </c:pt>
                <c:pt idx="337">
                  <c:v>17.5428541403796</c:v>
                </c:pt>
                <c:pt idx="338">
                  <c:v>17.461880713594809</c:v>
                </c:pt>
                <c:pt idx="339">
                  <c:v>17.389824077965958</c:v>
                </c:pt>
                <c:pt idx="340">
                  <c:v>17.326747728312121</c:v>
                </c:pt>
                <c:pt idx="341">
                  <c:v>17.272715158441237</c:v>
                </c:pt>
                <c:pt idx="342">
                  <c:v>17.227789859087871</c:v>
                </c:pt>
                <c:pt idx="343">
                  <c:v>17.192035328969361</c:v>
                </c:pt>
                <c:pt idx="344">
                  <c:v>17.165510441050888</c:v>
                </c:pt>
                <c:pt idx="345">
                  <c:v>17.148124357441375</c:v>
                </c:pt>
                <c:pt idx="346">
                  <c:v>17.139715999504318</c:v>
                </c:pt>
                <c:pt idx="347">
                  <c:v>17.140124294145281</c:v>
                </c:pt>
                <c:pt idx="348">
                  <c:v>17.14918816106972</c:v>
                </c:pt>
                <c:pt idx="349">
                  <c:v>17.166746526758367</c:v>
                </c:pt>
                <c:pt idx="350">
                  <c:v>17.19263831233156</c:v>
                </c:pt>
                <c:pt idx="351">
                  <c:v>17.226702443702983</c:v>
                </c:pt>
                <c:pt idx="352">
                  <c:v>17.268777843565665</c:v>
                </c:pt>
                <c:pt idx="353">
                  <c:v>17.318703431570029</c:v>
                </c:pt>
                <c:pt idx="354">
                  <c:v>17.376318137615627</c:v>
                </c:pt>
                <c:pt idx="355">
                  <c:v>17.441460880673873</c:v>
                </c:pt>
                <c:pt idx="356">
                  <c:v>17.513970584881129</c:v>
                </c:pt>
                <c:pt idx="357">
                  <c:v>17.593686174524244</c:v>
                </c:pt>
                <c:pt idx="358">
                  <c:v>17.681302584412283</c:v>
                </c:pt>
                <c:pt idx="359">
                  <c:v>17.77745666270112</c:v>
                </c:pt>
                <c:pt idx="360">
                  <c:v>17.881900204255665</c:v>
                </c:pt>
                <c:pt idx="361">
                  <c:v>17.994385010877558</c:v>
                </c:pt>
                <c:pt idx="362">
                  <c:v>18.114662876262749</c:v>
                </c:pt>
                <c:pt idx="363">
                  <c:v>18.24248560184035</c:v>
                </c:pt>
                <c:pt idx="364">
                  <c:v>18.377604981627442</c:v>
                </c:pt>
                <c:pt idx="365">
                  <c:v>18.519772814137156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18.517109946856898</c:v>
                </c:pt>
                <c:pt idx="1">
                  <c:v>18.64943574398756</c:v>
                </c:pt>
                <c:pt idx="2">
                  <c:v>18.789048713445663</c:v>
                </c:pt>
                <c:pt idx="3">
                  <c:v>18.936302538712816</c:v>
                </c:pt>
                <c:pt idx="4">
                  <c:v>19.091550897806883</c:v>
                </c:pt>
                <c:pt idx="5">
                  <c:v>19.255147474904852</c:v>
                </c:pt>
                <c:pt idx="6">
                  <c:v>19.427445945839089</c:v>
                </c:pt>
                <c:pt idx="7">
                  <c:v>19.608799999952318</c:v>
                </c:pt>
                <c:pt idx="8">
                  <c:v>19.800242339127831</c:v>
                </c:pt>
                <c:pt idx="9">
                  <c:v>20.002070750934738</c:v>
                </c:pt>
                <c:pt idx="10">
                  <c:v>20.21353654020599</c:v>
                </c:pt>
                <c:pt idx="11">
                  <c:v>20.433891010071552</c:v>
                </c:pt>
                <c:pt idx="12">
                  <c:v>20.662385464300002</c:v>
                </c:pt>
                <c:pt idx="13">
                  <c:v>20.898271204531191</c:v>
                </c:pt>
                <c:pt idx="14">
                  <c:v>21.140799540281296</c:v>
                </c:pt>
                <c:pt idx="15">
                  <c:v>21.389221770635672</c:v>
                </c:pt>
                <c:pt idx="16">
                  <c:v>21.642789202556013</c:v>
                </c:pt>
                <c:pt idx="17">
                  <c:v>21.900753137469291</c:v>
                </c:pt>
                <c:pt idx="18">
                  <c:v>22.162364881379261</c:v>
                </c:pt>
                <c:pt idx="19">
                  <c:v>22.42687573752233</c:v>
                </c:pt>
                <c:pt idx="20">
                  <c:v>22.693537007857646</c:v>
                </c:pt>
                <c:pt idx="21">
                  <c:v>22.961599999666213</c:v>
                </c:pt>
                <c:pt idx="22">
                  <c:v>23.232669095083008</c:v>
                </c:pt>
                <c:pt idx="23">
                  <c:v>23.508699708006212</c:v>
                </c:pt>
                <c:pt idx="24">
                  <c:v>23.789469678141177</c:v>
                </c:pt>
                <c:pt idx="25">
                  <c:v>24.074756850727969</c:v>
                </c:pt>
                <c:pt idx="26">
                  <c:v>24.364339066908826</c:v>
                </c:pt>
                <c:pt idx="27">
                  <c:v>24.657994168517842</c:v>
                </c:pt>
                <c:pt idx="28">
                  <c:v>24.955499999783932</c:v>
                </c:pt>
                <c:pt idx="29">
                  <c:v>25.25663440184934</c:v>
                </c:pt>
                <c:pt idx="30">
                  <c:v>25.561175218224527</c:v>
                </c:pt>
                <c:pt idx="31">
                  <c:v>25.868900291249155</c:v>
                </c:pt>
                <c:pt idx="32">
                  <c:v>26.179587463183065</c:v>
                </c:pt>
                <c:pt idx="33">
                  <c:v>26.493014577350447</c:v>
                </c:pt>
                <c:pt idx="34">
                  <c:v>26.808959475053207</c:v>
                </c:pt>
                <c:pt idx="35">
                  <c:v>27.12720000036061</c:v>
                </c:pt>
                <c:pt idx="36">
                  <c:v>27.447106705552766</c:v>
                </c:pt>
                <c:pt idx="37">
                  <c:v>27.768494461051056</c:v>
                </c:pt>
                <c:pt idx="38">
                  <c:v>28.091807580419946</c:v>
                </c:pt>
                <c:pt idx="39">
                  <c:v>28.417490379778407</c:v>
                </c:pt>
                <c:pt idx="40">
                  <c:v>28.745987172211915</c:v>
                </c:pt>
                <c:pt idx="41">
                  <c:v>29.077742274850607</c:v>
                </c:pt>
                <c:pt idx="42">
                  <c:v>29.413200000301003</c:v>
                </c:pt>
                <c:pt idx="43">
                  <c:v>29.752804665427124</c:v>
                </c:pt>
                <c:pt idx="44">
                  <c:v>30.097000583953093</c:v>
                </c:pt>
                <c:pt idx="45">
                  <c:v>30.446232070986714</c:v>
                </c:pt>
                <c:pt idx="46">
                  <c:v>30.800943441848666</c:v>
                </c:pt>
                <c:pt idx="47">
                  <c:v>31.161579008879407</c:v>
                </c:pt>
                <c:pt idx="48">
                  <c:v>31.528583091550637</c:v>
                </c:pt>
                <c:pt idx="49">
                  <c:v>31.902400000393392</c:v>
                </c:pt>
                <c:pt idx="50">
                  <c:v>32.283325948566201</c:v>
                </c:pt>
                <c:pt idx="51">
                  <c:v>32.671064724187765</c:v>
                </c:pt>
                <c:pt idx="52">
                  <c:v>33.065172011884201</c:v>
                </c:pt>
                <c:pt idx="53">
                  <c:v>33.465203499581136</c:v>
                </c:pt>
                <c:pt idx="54">
                  <c:v>33.870714868818013</c:v>
                </c:pt>
                <c:pt idx="55">
                  <c:v>34.281261807946223</c:v>
                </c:pt>
                <c:pt idx="56">
                  <c:v>34.696400000527504</c:v>
                </c:pt>
                <c:pt idx="57">
                  <c:v>35.115685131294391</c:v>
                </c:pt>
                <c:pt idx="58">
                  <c:v>35.538672886097004</c:v>
                </c:pt>
                <c:pt idx="59">
                  <c:v>35.964918949987208</c:v>
                </c:pt>
                <c:pt idx="60">
                  <c:v>36.393979008043445</c:v>
                </c:pt>
                <c:pt idx="61">
                  <c:v>36.825408746515009</c:v>
                </c:pt>
                <c:pt idx="62">
                  <c:v>37.258763848138706</c:v>
                </c:pt>
                <c:pt idx="63">
                  <c:v>37.693599999696019</c:v>
                </c:pt>
                <c:pt idx="64">
                  <c:v>38.132509037439846</c:v>
                </c:pt>
                <c:pt idx="65">
                  <c:v>38.577786588828481</c:v>
                </c:pt>
                <c:pt idx="66">
                  <c:v>39.028544022794811</c:v>
                </c:pt>
                <c:pt idx="67">
                  <c:v>39.483892711092317</c:v>
                </c:pt>
                <c:pt idx="68">
                  <c:v>39.942944022986502</c:v>
                </c:pt>
                <c:pt idx="69">
                  <c:v>40.404809328993522</c:v>
                </c:pt>
                <c:pt idx="70">
                  <c:v>40.868599999602885</c:v>
                </c:pt>
                <c:pt idx="71">
                  <c:v>41.333427404825173</c:v>
                </c:pt>
                <c:pt idx="72">
                  <c:v>41.798402915562363</c:v>
                </c:pt>
                <c:pt idx="73">
                  <c:v>42.262637900986839</c:v>
                </c:pt>
                <c:pt idx="74">
                  <c:v>42.725243731800994</c:v>
                </c:pt>
                <c:pt idx="75">
                  <c:v>43.18533177838794</c:v>
                </c:pt>
                <c:pt idx="76">
                  <c:v>43.642013411277105</c:v>
                </c:pt>
                <c:pt idx="77">
                  <c:v>44.094400000013408</c:v>
                </c:pt>
                <c:pt idx="78">
                  <c:v>44.546471865821097</c:v>
                </c:pt>
                <c:pt idx="79">
                  <c:v>45.00198717186494</c:v>
                </c:pt>
                <c:pt idx="80">
                  <c:v>45.459724052609609</c:v>
                </c:pt>
                <c:pt idx="81">
                  <c:v>45.918460641242561</c:v>
                </c:pt>
                <c:pt idx="82">
                  <c:v>46.376975072454663</c:v>
                </c:pt>
                <c:pt idx="83">
                  <c:v>46.834045480936759</c:v>
                </c:pt>
                <c:pt idx="84">
                  <c:v>47.288449999131259</c:v>
                </c:pt>
                <c:pt idx="85">
                  <c:v>47.738966763179221</c:v>
                </c:pt>
                <c:pt idx="86">
                  <c:v>48.184373906574081</c:v>
                </c:pt>
                <c:pt idx="87">
                  <c:v>48.623449561638495</c:v>
                </c:pt>
                <c:pt idx="88">
                  <c:v>49.054971865351703</c:v>
                </c:pt>
                <c:pt idx="89">
                  <c:v>49.477718948812353</c:v>
                </c:pt>
                <c:pt idx="90">
                  <c:v>49.890468949159342</c:v>
                </c:pt>
                <c:pt idx="91">
                  <c:v>50.291999999433756</c:v>
                </c:pt>
                <c:pt idx="92">
                  <c:v>50.683904226550034</c:v>
                </c:pt>
                <c:pt idx="93">
                  <c:v>51.068662390219316</c:v>
                </c:pt>
                <c:pt idx="94">
                  <c:v>51.446385567156334</c:v>
                </c:pt>
                <c:pt idx="95">
                  <c:v>51.817184838652608</c:v>
                </c:pt>
                <c:pt idx="96">
                  <c:v>52.181171282646915</c:v>
                </c:pt>
                <c:pt idx="97">
                  <c:v>52.53845597516213</c:v>
                </c:pt>
                <c:pt idx="98">
                  <c:v>52.889149999618532</c:v>
                </c:pt>
                <c:pt idx="99">
                  <c:v>53.233364430389223</c:v>
                </c:pt>
                <c:pt idx="100">
                  <c:v>53.571210348606108</c:v>
                </c:pt>
                <c:pt idx="101">
                  <c:v>53.902798833698036</c:v>
                </c:pt>
                <c:pt idx="102">
                  <c:v>54.228240961315372</c:v>
                </c:pt>
                <c:pt idx="103">
                  <c:v>54.54764781392047</c:v>
                </c:pt>
                <c:pt idx="104">
                  <c:v>54.861130465247811</c:v>
                </c:pt>
                <c:pt idx="105">
                  <c:v>55.168800000101328</c:v>
                </c:pt>
                <c:pt idx="106">
                  <c:v>55.470489795559217</c:v>
                </c:pt>
                <c:pt idx="107">
                  <c:v>55.765959182594507</c:v>
                </c:pt>
                <c:pt idx="108">
                  <c:v>56.055208162697298</c:v>
                </c:pt>
                <c:pt idx="109">
                  <c:v>56.338236734696792</c:v>
                </c:pt>
                <c:pt idx="110">
                  <c:v>56.615044898060809</c:v>
                </c:pt>
                <c:pt idx="111">
                  <c:v>56.885632652682922</c:v>
                </c:pt>
                <c:pt idx="112">
                  <c:v>57.150000000372529</c:v>
                </c:pt>
                <c:pt idx="113">
                  <c:v>57.408146939107347</c:v>
                </c:pt>
                <c:pt idx="114">
                  <c:v>57.660073469313126</c:v>
                </c:pt>
                <c:pt idx="115">
                  <c:v>57.905779591734927</c:v>
                </c:pt>
                <c:pt idx="116">
                  <c:v>58.14526530695813</c:v>
                </c:pt>
                <c:pt idx="117">
                  <c:v>58.378530613120105</c:v>
                </c:pt>
                <c:pt idx="118">
                  <c:v>58.605575510061215</c:v>
                </c:pt>
                <c:pt idx="119">
                  <c:v>58.826399999856946</c:v>
                </c:pt>
                <c:pt idx="120">
                  <c:v>59.041485423594715</c:v>
                </c:pt>
                <c:pt idx="121">
                  <c:v>59.251165015144011</c:v>
                </c:pt>
                <c:pt idx="122">
                  <c:v>59.455216617669372</c:v>
                </c:pt>
                <c:pt idx="123">
                  <c:v>59.653418075080424</c:v>
                </c:pt>
                <c:pt idx="124">
                  <c:v>59.845547231020667</c:v>
                </c:pt>
                <c:pt idx="125">
                  <c:v>60.0313819244504</c:v>
                </c:pt>
                <c:pt idx="126">
                  <c:v>60.210700000450018</c:v>
                </c:pt>
                <c:pt idx="127">
                  <c:v>60.383279299736024</c:v>
                </c:pt>
                <c:pt idx="128">
                  <c:v>60.548897667761352</c:v>
                </c:pt>
                <c:pt idx="129">
                  <c:v>60.707332944018503</c:v>
                </c:pt>
                <c:pt idx="130">
                  <c:v>60.858362974120041</c:v>
                </c:pt>
                <c:pt idx="131">
                  <c:v>61.001765597505234</c:v>
                </c:pt>
                <c:pt idx="132">
                  <c:v>61.137318659520574</c:v>
                </c:pt>
                <c:pt idx="133">
                  <c:v>61.264799998700617</c:v>
                </c:pt>
                <c:pt idx="134">
                  <c:v>61.383580174935716</c:v>
                </c:pt>
                <c:pt idx="135">
                  <c:v>61.493474051143437</c:v>
                </c:pt>
                <c:pt idx="136">
                  <c:v>61.59492594876459</c:v>
                </c:pt>
                <c:pt idx="137">
                  <c:v>61.688380174551682</c:v>
                </c:pt>
                <c:pt idx="138">
                  <c:v>61.774281050530931</c:v>
                </c:pt>
                <c:pt idx="139">
                  <c:v>61.853072885743202</c:v>
                </c:pt>
                <c:pt idx="140">
                  <c:v>61.925200001522896</c:v>
                </c:pt>
                <c:pt idx="141">
                  <c:v>61.991106706219057</c:v>
                </c:pt>
                <c:pt idx="142">
                  <c:v>62.051237317919728</c:v>
                </c:pt>
                <c:pt idx="143">
                  <c:v>62.106036150881224</c:v>
                </c:pt>
                <c:pt idx="144">
                  <c:v>62.1559475221272</c:v>
                </c:pt>
                <c:pt idx="145">
                  <c:v>62.201415743359497</c:v>
                </c:pt>
                <c:pt idx="146">
                  <c:v>62.242885131548555</c:v>
                </c:pt>
                <c:pt idx="147">
                  <c:v>62.280800000578168</c:v>
                </c:pt>
                <c:pt idx="148">
                  <c:v>62.313771866528057</c:v>
                </c:pt>
                <c:pt idx="149">
                  <c:v>62.340338192986586</c:v>
                </c:pt>
                <c:pt idx="150">
                  <c:v>62.360832217335698</c:v>
                </c:pt>
                <c:pt idx="151">
                  <c:v>62.375587173125574</c:v>
                </c:pt>
                <c:pt idx="152">
                  <c:v>62.384936297472038</c:v>
                </c:pt>
                <c:pt idx="153">
                  <c:v>62.389212828768152</c:v>
                </c:pt>
                <c:pt idx="154">
                  <c:v>62.388750000670555</c:v>
                </c:pt>
                <c:pt idx="155">
                  <c:v>62.383881050561151</c:v>
                </c:pt>
                <c:pt idx="156">
                  <c:v>62.37493921316095</c:v>
                </c:pt>
                <c:pt idx="157">
                  <c:v>62.362257726703362</c:v>
                </c:pt>
                <c:pt idx="158">
                  <c:v>62.346169826069044</c:v>
                </c:pt>
                <c:pt idx="159">
                  <c:v>62.327008747841639</c:v>
                </c:pt>
                <c:pt idx="160">
                  <c:v>62.305107725997061</c:v>
                </c:pt>
                <c:pt idx="161">
                  <c:v>62.280800000578168</c:v>
                </c:pt>
                <c:pt idx="162">
                  <c:v>62.253585715485471</c:v>
                </c:pt>
                <c:pt idx="163">
                  <c:v>62.222742858422656</c:v>
                </c:pt>
                <c:pt idx="164">
                  <c:v>62.18827142997511</c:v>
                </c:pt>
                <c:pt idx="165">
                  <c:v>62.15017142870596</c:v>
                </c:pt>
                <c:pt idx="166">
                  <c:v>62.108442857595421</c:v>
                </c:pt>
                <c:pt idx="167">
                  <c:v>62.063085715153385</c:v>
                </c:pt>
                <c:pt idx="168">
                  <c:v>62.014100001379845</c:v>
                </c:pt>
                <c:pt idx="169">
                  <c:v>61.961485714465383</c:v>
                </c:pt>
                <c:pt idx="170">
                  <c:v>61.905242857603092</c:v>
                </c:pt>
                <c:pt idx="171">
                  <c:v>61.845371429089994</c:v>
                </c:pt>
                <c:pt idx="172">
                  <c:v>61.781871429245392</c:v>
                </c:pt>
                <c:pt idx="173">
                  <c:v>61.714742857217786</c:v>
                </c:pt>
                <c:pt idx="174">
                  <c:v>61.643985714763403</c:v>
                </c:pt>
                <c:pt idx="175">
                  <c:v>61.569600000232455</c:v>
                </c:pt>
                <c:pt idx="176">
                  <c:v>61.49158571500864</c:v>
                </c:pt>
                <c:pt idx="177">
                  <c:v>61.409942856537441</c:v>
                </c:pt>
                <c:pt idx="178">
                  <c:v>61.324671428810277</c:v>
                </c:pt>
                <c:pt idx="179">
                  <c:v>61.235771428580804</c:v>
                </c:pt>
                <c:pt idx="180">
                  <c:v>61.143242857339125</c:v>
                </c:pt>
                <c:pt idx="181">
                  <c:v>61.047085715085267</c:v>
                </c:pt>
                <c:pt idx="182">
                  <c:v>60.947300000116229</c:v>
                </c:pt>
                <c:pt idx="183">
                  <c:v>60.843885714134991</c:v>
                </c:pt>
                <c:pt idx="184">
                  <c:v>60.736842857301234</c:v>
                </c:pt>
                <c:pt idx="185">
                  <c:v>60.626171428923087</c:v>
                </c:pt>
                <c:pt idx="186">
                  <c:v>60.511871429213457</c:v>
                </c:pt>
                <c:pt idx="187">
                  <c:v>60.393942856895066</c:v>
                </c:pt>
                <c:pt idx="188">
                  <c:v>60.272385714256338</c:v>
                </c:pt>
                <c:pt idx="189">
                  <c:v>60.147200000286105</c:v>
                </c:pt>
                <c:pt idx="190">
                  <c:v>60.017663701916391</c:v>
                </c:pt>
                <c:pt idx="191">
                  <c:v>59.88327696775751</c:v>
                </c:pt>
                <c:pt idx="192">
                  <c:v>59.744373032450675</c:v>
                </c:pt>
                <c:pt idx="193">
                  <c:v>59.601285131594963</c:v>
                </c:pt>
                <c:pt idx="194">
                  <c:v>59.454346501002348</c:v>
                </c:pt>
                <c:pt idx="195">
                  <c:v>59.303890378932863</c:v>
                </c:pt>
                <c:pt idx="196">
                  <c:v>59.150250000134108</c:v>
                </c:pt>
                <c:pt idx="197">
                  <c:v>58.993758600950244</c:v>
                </c:pt>
                <c:pt idx="198">
                  <c:v>58.834749416980365</c:v>
                </c:pt>
                <c:pt idx="199">
                  <c:v>58.673555685526559</c:v>
                </c:pt>
                <c:pt idx="200">
                  <c:v>58.51051064149609</c:v>
                </c:pt>
                <c:pt idx="201">
                  <c:v>58.345947521818537</c:v>
                </c:pt>
                <c:pt idx="202">
                  <c:v>58.180199562838041</c:v>
                </c:pt>
                <c:pt idx="203">
                  <c:v>58.013600000366566</c:v>
                </c:pt>
                <c:pt idx="204">
                  <c:v>57.846611662368694</c:v>
                </c:pt>
                <c:pt idx="205">
                  <c:v>57.679179008837252</c:v>
                </c:pt>
                <c:pt idx="206">
                  <c:v>57.510857725941705</c:v>
                </c:pt>
                <c:pt idx="207">
                  <c:v>57.341203498733897</c:v>
                </c:pt>
                <c:pt idx="208">
                  <c:v>57.169772012026179</c:v>
                </c:pt>
                <c:pt idx="209">
                  <c:v>56.996118950950247</c:v>
                </c:pt>
                <c:pt idx="210">
                  <c:v>56.819799999892709</c:v>
                </c:pt>
                <c:pt idx="211">
                  <c:v>56.640370845475367</c:v>
                </c:pt>
                <c:pt idx="212">
                  <c:v>56.457387171951794</c:v>
                </c:pt>
                <c:pt idx="213">
                  <c:v>56.270404665278534</c:v>
                </c:pt>
                <c:pt idx="214">
                  <c:v>56.078979008831084</c:v>
                </c:pt>
                <c:pt idx="215">
                  <c:v>55.882665889337659</c:v>
                </c:pt>
                <c:pt idx="216">
                  <c:v>55.681020991344539</c:v>
                </c:pt>
                <c:pt idx="217">
                  <c:v>55.473600000143051</c:v>
                </c:pt>
                <c:pt idx="218">
                  <c:v>55.261310058459649</c:v>
                </c:pt>
                <c:pt idx="219">
                  <c:v>55.045280465909421</c:v>
                </c:pt>
                <c:pt idx="220">
                  <c:v>54.825400145564757</c:v>
                </c:pt>
                <c:pt idx="221">
                  <c:v>54.601558017198521</c:v>
                </c:pt>
                <c:pt idx="222">
                  <c:v>54.37364300265908</c:v>
                </c:pt>
                <c:pt idx="223">
                  <c:v>54.141544023369036</c:v>
                </c:pt>
                <c:pt idx="224">
                  <c:v>53.90514999963343</c:v>
                </c:pt>
                <c:pt idx="225">
                  <c:v>53.664349853673151</c:v>
                </c:pt>
                <c:pt idx="226">
                  <c:v>53.419032506910824</c:v>
                </c:pt>
                <c:pt idx="227">
                  <c:v>53.16908687991755</c:v>
                </c:pt>
                <c:pt idx="228">
                  <c:v>52.91440189565931</c:v>
                </c:pt>
                <c:pt idx="229">
                  <c:v>52.654866472312378</c:v>
                </c:pt>
                <c:pt idx="230">
                  <c:v>52.390369534119962</c:v>
                </c:pt>
                <c:pt idx="231">
                  <c:v>52.120799999684095</c:v>
                </c:pt>
                <c:pt idx="232">
                  <c:v>51.846565159835983</c:v>
                </c:pt>
                <c:pt idx="233">
                  <c:v>51.568072302533054</c:v>
                </c:pt>
                <c:pt idx="234">
                  <c:v>51.285210349304336</c:v>
                </c:pt>
                <c:pt idx="235">
                  <c:v>50.997868221998218</c:v>
                </c:pt>
                <c:pt idx="236">
                  <c:v>50.705934839429595</c:v>
                </c:pt>
                <c:pt idx="237">
                  <c:v>50.409299125415941</c:v>
                </c:pt>
                <c:pt idx="238">
                  <c:v>50.10785000026226</c:v>
                </c:pt>
                <c:pt idx="239">
                  <c:v>49.801476384805781</c:v>
                </c:pt>
                <c:pt idx="240">
                  <c:v>49.490067200362674</c:v>
                </c:pt>
                <c:pt idx="241">
                  <c:v>49.173511369313516</c:v>
                </c:pt>
                <c:pt idx="242">
                  <c:v>48.851697813825943</c:v>
                </c:pt>
                <c:pt idx="243">
                  <c:v>48.524515451171574</c:v>
                </c:pt>
                <c:pt idx="244">
                  <c:v>48.191853205540355</c:v>
                </c:pt>
                <c:pt idx="245">
                  <c:v>47.853600000590085</c:v>
                </c:pt>
                <c:pt idx="246">
                  <c:v>47.50944110751152</c:v>
                </c:pt>
                <c:pt idx="247">
                  <c:v>47.159283964123048</c:v>
                </c:pt>
                <c:pt idx="248">
                  <c:v>46.803350728803444</c:v>
                </c:pt>
                <c:pt idx="249">
                  <c:v>46.441863556738404</c:v>
                </c:pt>
                <c:pt idx="250">
                  <c:v>46.075044605880976</c:v>
                </c:pt>
                <c:pt idx="251">
                  <c:v>45.70311603460992</c:v>
                </c:pt>
                <c:pt idx="252">
                  <c:v>45.326299999654296</c:v>
                </c:pt>
                <c:pt idx="253">
                  <c:v>44.944818658168828</c:v>
                </c:pt>
                <c:pt idx="254">
                  <c:v>44.558894168851637</c:v>
                </c:pt>
                <c:pt idx="255">
                  <c:v>44.168748687952757</c:v>
                </c:pt>
                <c:pt idx="256">
                  <c:v>43.774604372467309</c:v>
                </c:pt>
                <c:pt idx="257">
                  <c:v>43.376683381625583</c:v>
                </c:pt>
                <c:pt idx="258">
                  <c:v>42.975207871996936</c:v>
                </c:pt>
                <c:pt idx="259">
                  <c:v>42.570399998873469</c:v>
                </c:pt>
                <c:pt idx="260">
                  <c:v>42.15879781310047</c:v>
                </c:pt>
                <c:pt idx="261">
                  <c:v>41.737753935637222</c:v>
                </c:pt>
                <c:pt idx="262">
                  <c:v>41.308712389825715</c:v>
                </c:pt>
                <c:pt idx="263">
                  <c:v>40.873117200391633</c:v>
                </c:pt>
                <c:pt idx="264">
                  <c:v>40.432412390464116</c:v>
                </c:pt>
                <c:pt idx="265">
                  <c:v>39.988041982533673</c:v>
                </c:pt>
                <c:pt idx="266">
                  <c:v>39.541449999809267</c:v>
                </c:pt>
                <c:pt idx="267">
                  <c:v>39.094080466351336</c:v>
                </c:pt>
                <c:pt idx="268">
                  <c:v>38.647377405262418</c:v>
                </c:pt>
                <c:pt idx="269">
                  <c:v>38.202784839325723</c:v>
                </c:pt>
                <c:pt idx="270">
                  <c:v>37.761746793107264</c:v>
                </c:pt>
                <c:pt idx="271">
                  <c:v>37.325707288405724</c:v>
                </c:pt>
                <c:pt idx="272">
                  <c:v>36.896110349600875</c:v>
                </c:pt>
                <c:pt idx="273">
                  <c:v>36.474399999901649</c:v>
                </c:pt>
                <c:pt idx="274">
                  <c:v>36.058410204228551</c:v>
                </c:pt>
                <c:pt idx="275">
                  <c:v>35.645012244688616</c:v>
                </c:pt>
                <c:pt idx="276">
                  <c:v>35.234206122319613</c:v>
                </c:pt>
                <c:pt idx="277">
                  <c:v>34.825991836775628</c:v>
                </c:pt>
                <c:pt idx="278">
                  <c:v>34.420369387817168</c:v>
                </c:pt>
                <c:pt idx="279">
                  <c:v>34.017338775417635</c:v>
                </c:pt>
                <c:pt idx="280">
                  <c:v>33.616900000348686</c:v>
                </c:pt>
                <c:pt idx="281">
                  <c:v>33.219053061412907</c:v>
                </c:pt>
                <c:pt idx="282">
                  <c:v>32.823797959674678</c:v>
                </c:pt>
                <c:pt idx="283">
                  <c:v>32.431134694229279</c:v>
                </c:pt>
                <c:pt idx="284">
                  <c:v>32.041063265635501</c:v>
                </c:pt>
                <c:pt idx="285">
                  <c:v>31.653583673973166</c:v>
                </c:pt>
                <c:pt idx="286">
                  <c:v>31.268695919135848</c:v>
                </c:pt>
                <c:pt idx="287">
                  <c:v>30.886400000751017</c:v>
                </c:pt>
                <c:pt idx="288">
                  <c:v>30.506214577997365</c:v>
                </c:pt>
                <c:pt idx="289">
                  <c:v>30.127806414876666</c:v>
                </c:pt>
                <c:pt idx="290">
                  <c:v>29.751397668623497</c:v>
                </c:pt>
                <c:pt idx="291">
                  <c:v>29.377210496632113</c:v>
                </c:pt>
                <c:pt idx="292">
                  <c:v>29.005467056509637</c:v>
                </c:pt>
                <c:pt idx="293">
                  <c:v>28.636389505011699</c:v>
                </c:pt>
                <c:pt idx="294">
                  <c:v>28.270200001075864</c:v>
                </c:pt>
                <c:pt idx="295">
                  <c:v>27.907120700286963</c:v>
                </c:pt>
                <c:pt idx="296">
                  <c:v>27.547373761848679</c:v>
                </c:pt>
                <c:pt idx="297">
                  <c:v>27.191181342410186</c:v>
                </c:pt>
                <c:pt idx="298">
                  <c:v>26.838765598194936</c:v>
                </c:pt>
                <c:pt idx="299">
                  <c:v>26.490348688672697</c:v>
                </c:pt>
                <c:pt idx="300">
                  <c:v>26.146152770545871</c:v>
                </c:pt>
                <c:pt idx="301">
                  <c:v>25.806400001049042</c:v>
                </c:pt>
                <c:pt idx="302">
                  <c:v>25.469072449899148</c:v>
                </c:pt>
                <c:pt idx="303">
                  <c:v>25.132522449110233</c:v>
                </c:pt>
                <c:pt idx="304">
                  <c:v>24.797527551278471</c:v>
                </c:pt>
                <c:pt idx="305">
                  <c:v>24.464865306977714</c:v>
                </c:pt>
                <c:pt idx="306">
                  <c:v>24.135313265291707</c:v>
                </c:pt>
                <c:pt idx="307">
                  <c:v>23.809648980626037</c:v>
                </c:pt>
                <c:pt idx="308">
                  <c:v>23.488650000840426</c:v>
                </c:pt>
                <c:pt idx="309">
                  <c:v>23.173093876774821</c:v>
                </c:pt>
                <c:pt idx="310">
                  <c:v>22.863758163633094</c:v>
                </c:pt>
                <c:pt idx="311">
                  <c:v>22.561420407891273</c:v>
                </c:pt>
                <c:pt idx="312">
                  <c:v>22.266858163954957</c:v>
                </c:pt>
                <c:pt idx="313">
                  <c:v>21.980848979098457</c:v>
                </c:pt>
                <c:pt idx="314">
                  <c:v>21.704170405971155</c:v>
                </c:pt>
                <c:pt idx="315">
                  <c:v>21.437600000202657</c:v>
                </c:pt>
                <c:pt idx="316">
                  <c:v>21.179730757645196</c:v>
                </c:pt>
                <c:pt idx="317">
                  <c:v>20.928711370698043</c:v>
                </c:pt>
                <c:pt idx="318">
                  <c:v>20.684652914958342</c:v>
                </c:pt>
                <c:pt idx="319">
                  <c:v>20.44766647177083</c:v>
                </c:pt>
                <c:pt idx="320">
                  <c:v>20.217863119393588</c:v>
                </c:pt>
                <c:pt idx="321">
                  <c:v>19.995353936723301</c:v>
                </c:pt>
                <c:pt idx="322">
                  <c:v>19.780250000953675</c:v>
                </c:pt>
                <c:pt idx="323">
                  <c:v>19.572662390342778</c:v>
                </c:pt>
                <c:pt idx="324">
                  <c:v>19.372702186022487</c:v>
                </c:pt>
                <c:pt idx="325">
                  <c:v>19.180480465931552</c:v>
                </c:pt>
                <c:pt idx="326">
                  <c:v>18.996108308753797</c:v>
                </c:pt>
                <c:pt idx="327">
                  <c:v>18.819696793385916</c:v>
                </c:pt>
                <c:pt idx="328">
                  <c:v>18.651356998298848</c:v>
                </c:pt>
                <c:pt idx="329">
                  <c:v>18.491200000047684</c:v>
                </c:pt>
                <c:pt idx="330">
                  <c:v>18.337855831640105</c:v>
                </c:pt>
                <c:pt idx="331">
                  <c:v>18.190250729875906</c:v>
                </c:pt>
                <c:pt idx="332">
                  <c:v>18.048940089983596</c:v>
                </c:pt>
                <c:pt idx="333">
                  <c:v>17.914479299741132</c:v>
                </c:pt>
                <c:pt idx="334">
                  <c:v>17.787423760443925</c:v>
                </c:pt>
                <c:pt idx="335">
                  <c:v>17.668328864233832</c:v>
                </c:pt>
                <c:pt idx="336">
                  <c:v>17.557750000059606</c:v>
                </c:pt>
                <c:pt idx="337">
                  <c:v>17.456242565597808</c:v>
                </c:pt>
                <c:pt idx="338">
                  <c:v>17.364361952990294</c:v>
                </c:pt>
                <c:pt idx="339">
                  <c:v>17.282663557572025</c:v>
                </c:pt>
                <c:pt idx="340">
                  <c:v>17.211702770207609</c:v>
                </c:pt>
                <c:pt idx="341">
                  <c:v>17.152034985593385</c:v>
                </c:pt>
                <c:pt idx="342">
                  <c:v>17.104215598638568</c:v>
                </c:pt>
                <c:pt idx="343">
                  <c:v>17.068800000846387</c:v>
                </c:pt>
                <c:pt idx="344">
                  <c:v>17.04704202104892</c:v>
                </c:pt>
                <c:pt idx="345">
                  <c:v>17.039183093394549</c:v>
                </c:pt>
                <c:pt idx="346">
                  <c:v>17.04426003098488</c:v>
                </c:pt>
                <c:pt idx="347">
                  <c:v>17.061309635000569</c:v>
                </c:pt>
                <c:pt idx="348">
                  <c:v>17.089368714019656</c:v>
                </c:pt>
                <c:pt idx="349">
                  <c:v>17.12747407630086</c:v>
                </c:pt>
                <c:pt idx="350">
                  <c:v>17.174662529677153</c:v>
                </c:pt>
                <c:pt idx="351">
                  <c:v>17.229970877085414</c:v>
                </c:pt>
                <c:pt idx="352">
                  <c:v>17.292435930775746</c:v>
                </c:pt>
                <c:pt idx="353">
                  <c:v>17.361094494909047</c:v>
                </c:pt>
                <c:pt idx="354">
                  <c:v>17.434983375987834</c:v>
                </c:pt>
                <c:pt idx="355">
                  <c:v>17.513139382643359</c:v>
                </c:pt>
                <c:pt idx="356">
                  <c:v>17.594599322282843</c:v>
                </c:pt>
                <c:pt idx="357">
                  <c:v>17.678399998694658</c:v>
                </c:pt>
                <c:pt idx="358">
                  <c:v>17.765160949627557</c:v>
                </c:pt>
                <c:pt idx="359">
                  <c:v>17.85637962107857</c:v>
                </c:pt>
                <c:pt idx="360">
                  <c:v>17.952409695088868</c:v>
                </c:pt>
                <c:pt idx="361">
                  <c:v>18.053604851166408</c:v>
                </c:pt>
                <c:pt idx="362">
                  <c:v>18.160318773488207</c:v>
                </c:pt>
                <c:pt idx="363">
                  <c:v>18.27290514290333</c:v>
                </c:pt>
                <c:pt idx="364">
                  <c:v>18.391717639664808</c:v>
                </c:pt>
                <c:pt idx="365">
                  <c:v>18.517109945714473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18.425979166910196</c:v>
                </c:pt>
                <c:pt idx="1">
                  <c:v>16.317377222864518</c:v>
                </c:pt>
                <c:pt idx="2">
                  <c:v>18.889891187353829</c:v>
                </c:pt>
                <c:pt idx="3">
                  <c:v>18.708529066845525</c:v>
                </c:pt>
                <c:pt idx="4">
                  <c:v>18.453425057954192</c:v>
                </c:pt>
                <c:pt idx="5">
                  <c:v>17.976062678070381</c:v>
                </c:pt>
                <c:pt idx="6">
                  <c:v>13.106878010800106</c:v>
                </c:pt>
                <c:pt idx="7">
                  <c:v>14.204515850119641</c:v>
                </c:pt>
                <c:pt idx="8">
                  <c:v>18.029266819342844</c:v>
                </c:pt>
                <c:pt idx="9">
                  <c:v>17.81595985452303</c:v>
                </c:pt>
                <c:pt idx="10">
                  <c:v>20.883768698219409</c:v>
                </c:pt>
                <c:pt idx="11">
                  <c:v>19.450333694535168</c:v>
                </c:pt>
                <c:pt idx="12">
                  <c:v>13.955743056810109</c:v>
                </c:pt>
                <c:pt idx="13">
                  <c:v>21.54879733993512</c:v>
                </c:pt>
                <c:pt idx="14">
                  <c:v>20.889632657989388</c:v>
                </c:pt>
                <c:pt idx="15">
                  <c:v>20.57239192220748</c:v>
                </c:pt>
                <c:pt idx="16">
                  <c:v>13.681968685413491</c:v>
                </c:pt>
                <c:pt idx="17">
                  <c:v>21.36929658640063</c:v>
                </c:pt>
                <c:pt idx="18">
                  <c:v>22.802724307103638</c:v>
                </c:pt>
                <c:pt idx="19">
                  <c:v>17.761021939938079</c:v>
                </c:pt>
                <c:pt idx="20">
                  <c:v>16.083260697407649</c:v>
                </c:pt>
                <c:pt idx="21">
                  <c:v>22.080002975196251</c:v>
                </c:pt>
                <c:pt idx="22">
                  <c:v>22.39947454636982</c:v>
                </c:pt>
                <c:pt idx="23">
                  <c:v>22.533015476555242</c:v>
                </c:pt>
                <c:pt idx="24">
                  <c:v>22.567351646183756</c:v>
                </c:pt>
                <c:pt idx="25">
                  <c:v>22.879228367903401</c:v>
                </c:pt>
                <c:pt idx="26">
                  <c:v>23.945029081134049</c:v>
                </c:pt>
                <c:pt idx="27">
                  <c:v>16.864393920494742</c:v>
                </c:pt>
                <c:pt idx="28">
                  <c:v>15.521194705525005</c:v>
                </c:pt>
                <c:pt idx="29">
                  <c:v>11.334187659797209</c:v>
                </c:pt>
                <c:pt idx="30">
                  <c:v>19.643738017718885</c:v>
                </c:pt>
                <c:pt idx="31">
                  <c:v>19.85137426834298</c:v>
                </c:pt>
                <c:pt idx="32">
                  <c:v>23.358776993635303</c:v>
                </c:pt>
                <c:pt idx="33">
                  <c:v>21.831324615372054</c:v>
                </c:pt>
                <c:pt idx="34">
                  <c:v>19.89663781404116</c:v>
                </c:pt>
                <c:pt idx="35">
                  <c:v>27.074904186376749</c:v>
                </c:pt>
                <c:pt idx="36">
                  <c:v>27.752705659425114</c:v>
                </c:pt>
                <c:pt idx="37">
                  <c:v>19.538155508149512</c:v>
                </c:pt>
                <c:pt idx="38">
                  <c:v>28.35093087832141</c:v>
                </c:pt>
                <c:pt idx="39">
                  <c:v>28.057262374648079</c:v>
                </c:pt>
                <c:pt idx="40">
                  <c:v>26.226274713136441</c:v>
                </c:pt>
                <c:pt idx="41">
                  <c:v>22.96810519767752</c:v>
                </c:pt>
                <c:pt idx="42">
                  <c:v>29.947194156112754</c:v>
                </c:pt>
                <c:pt idx="43">
                  <c:v>30.793710907907265</c:v>
                </c:pt>
                <c:pt idx="44">
                  <c:v>30.902600245057862</c:v>
                </c:pt>
                <c:pt idx="45">
                  <c:v>31.193309368180032</c:v>
                </c:pt>
                <c:pt idx="46">
                  <c:v>31.828917483030121</c:v>
                </c:pt>
                <c:pt idx="47">
                  <c:v>32.141014438582829</c:v>
                </c:pt>
                <c:pt idx="48">
                  <c:v>31.856589753625187</c:v>
                </c:pt>
                <c:pt idx="49">
                  <c:v>31.674857385546339</c:v>
                </c:pt>
                <c:pt idx="50">
                  <c:v>32.961384862018924</c:v>
                </c:pt>
                <c:pt idx="51">
                  <c:v>32.315694426247191</c:v>
                </c:pt>
                <c:pt idx="52">
                  <c:v>32.908275792453587</c:v>
                </c:pt>
                <c:pt idx="53">
                  <c:v>33.900366462796477</c:v>
                </c:pt>
                <c:pt idx="54">
                  <c:v>34.946187395768554</c:v>
                </c:pt>
                <c:pt idx="55">
                  <c:v>34.047177423693249</c:v>
                </c:pt>
                <c:pt idx="56">
                  <c:v>35.782081482153075</c:v>
                </c:pt>
                <c:pt idx="57">
                  <c:v>35.119765108958404</c:v>
                </c:pt>
                <c:pt idx="58">
                  <c:v>30.515146112920245</c:v>
                </c:pt>
                <c:pt idx="59">
                  <c:v>36.108802524436257</c:v>
                </c:pt>
                <c:pt idx="60">
                  <c:v>24.299923659656329</c:v>
                </c:pt>
                <c:pt idx="61">
                  <c:v>35.179291593929499</c:v>
                </c:pt>
                <c:pt idx="62">
                  <c:v>28.821969075833852</c:v>
                </c:pt>
                <c:pt idx="63">
                  <c:v>37.277702445333496</c:v>
                </c:pt>
                <c:pt idx="64">
                  <c:v>22.684826096802258</c:v>
                </c:pt>
                <c:pt idx="65">
                  <c:v>37.005534165316867</c:v>
                </c:pt>
                <c:pt idx="66">
                  <c:v>28.631009499082833</c:v>
                </c:pt>
                <c:pt idx="67">
                  <c:v>38.36219098507231</c:v>
                </c:pt>
                <c:pt idx="68">
                  <c:v>38.414933458593104</c:v>
                </c:pt>
                <c:pt idx="69">
                  <c:v>32.677588662609999</c:v>
                </c:pt>
                <c:pt idx="70">
                  <c:v>39.534128612030948</c:v>
                </c:pt>
                <c:pt idx="71">
                  <c:v>38.291818478565958</c:v>
                </c:pt>
                <c:pt idx="72">
                  <c:v>37.562812339887081</c:v>
                </c:pt>
                <c:pt idx="73">
                  <c:v>29.969159838266769</c:v>
                </c:pt>
                <c:pt idx="74">
                  <c:v>42.898084527524084</c:v>
                </c:pt>
                <c:pt idx="75">
                  <c:v>25.162053403230466</c:v>
                </c:pt>
                <c:pt idx="76">
                  <c:v>31.721839412381989</c:v>
                </c:pt>
                <c:pt idx="77">
                  <c:v>41.177223902410979</c:v>
                </c:pt>
                <c:pt idx="78">
                  <c:v>44.675068559280305</c:v>
                </c:pt>
                <c:pt idx="79">
                  <c:v>46.027750309068139</c:v>
                </c:pt>
                <c:pt idx="80">
                  <c:v>44.110203483465384</c:v>
                </c:pt>
                <c:pt idx="81">
                  <c:v>47.127501005079935</c:v>
                </c:pt>
                <c:pt idx="82">
                  <c:v>46.384617938296579</c:v>
                </c:pt>
                <c:pt idx="83">
                  <c:v>42.344777516113844</c:v>
                </c:pt>
                <c:pt idx="84">
                  <c:v>48.874468185394626</c:v>
                </c:pt>
                <c:pt idx="85">
                  <c:v>48.250977884589958</c:v>
                </c:pt>
                <c:pt idx="86">
                  <c:v>47.544172268799947</c:v>
                </c:pt>
                <c:pt idx="87">
                  <c:v>49.462573168637149</c:v>
                </c:pt>
                <c:pt idx="88">
                  <c:v>48.853038467776038</c:v>
                </c:pt>
                <c:pt idx="89">
                  <c:v>44.47420567428135</c:v>
                </c:pt>
                <c:pt idx="90">
                  <c:v>45.531723733193161</c:v>
                </c:pt>
                <c:pt idx="91">
                  <c:v>41.845132643511377</c:v>
                </c:pt>
                <c:pt idx="92">
                  <c:v>50.711672503234396</c:v>
                </c:pt>
                <c:pt idx="93">
                  <c:v>52.742592428937442</c:v>
                </c:pt>
                <c:pt idx="94">
                  <c:v>53.625563554782609</c:v>
                </c:pt>
                <c:pt idx="95">
                  <c:v>54.126950024967606</c:v>
                </c:pt>
                <c:pt idx="96">
                  <c:v>53.441018311123912</c:v>
                </c:pt>
                <c:pt idx="97">
                  <c:v>51.207037958344102</c:v>
                </c:pt>
                <c:pt idx="98">
                  <c:v>43.332487476984227</c:v>
                </c:pt>
                <c:pt idx="99">
                  <c:v>53.455243179157556</c:v>
                </c:pt>
                <c:pt idx="100">
                  <c:v>54.340445908416534</c:v>
                </c:pt>
                <c:pt idx="101">
                  <c:v>55.077370568801221</c:v>
                </c:pt>
                <c:pt idx="102">
                  <c:v>54.846872874129055</c:v>
                </c:pt>
                <c:pt idx="103">
                  <c:v>54.86097401033841</c:v>
                </c:pt>
                <c:pt idx="104">
                  <c:v>55.982036059106356</c:v>
                </c:pt>
                <c:pt idx="105">
                  <c:v>49.294140738939028</c:v>
                </c:pt>
                <c:pt idx="106">
                  <c:v>53.680903826965675</c:v>
                </c:pt>
                <c:pt idx="107">
                  <c:v>41.982059519389949</c:v>
                </c:pt>
                <c:pt idx="108">
                  <c:v>56.249835170849416</c:v>
                </c:pt>
                <c:pt idx="109">
                  <c:v>47.97247568092412</c:v>
                </c:pt>
                <c:pt idx="110">
                  <c:v>54.505282357520926</c:v>
                </c:pt>
                <c:pt idx="111">
                  <c:v>57.608125541806146</c:v>
                </c:pt>
                <c:pt idx="112">
                  <c:v>57.772460785382194</c:v>
                </c:pt>
                <c:pt idx="113">
                  <c:v>52.820731246679635</c:v>
                </c:pt>
                <c:pt idx="114">
                  <c:v>55.359840587650929</c:v>
                </c:pt>
                <c:pt idx="115">
                  <c:v>55.539931860605101</c:v>
                </c:pt>
                <c:pt idx="116">
                  <c:v>40.422363464574303</c:v>
                </c:pt>
                <c:pt idx="117">
                  <c:v>43.833448045184817</c:v>
                </c:pt>
                <c:pt idx="118">
                  <c:v>53.521315436728898</c:v>
                </c:pt>
                <c:pt idx="119">
                  <c:v>59.130369018521904</c:v>
                </c:pt>
                <c:pt idx="120">
                  <c:v>53.619994148118579</c:v>
                </c:pt>
                <c:pt idx="121">
                  <c:v>49.269090767711724</c:v>
                </c:pt>
                <c:pt idx="122">
                  <c:v>58.038935188367326</c:v>
                </c:pt>
                <c:pt idx="123">
                  <c:v>56.165663952413723</c:v>
                </c:pt>
                <c:pt idx="124">
                  <c:v>56.298681599981336</c:v>
                </c:pt>
                <c:pt idx="125">
                  <c:v>61.556815865324921</c:v>
                </c:pt>
                <c:pt idx="126">
                  <c:v>58.403819725398094</c:v>
                </c:pt>
                <c:pt idx="127">
                  <c:v>55.761522255902449</c:v>
                </c:pt>
                <c:pt idx="128">
                  <c:v>56.299279898719327</c:v>
                </c:pt>
                <c:pt idx="129">
                  <c:v>52.257479209340723</c:v>
                </c:pt>
                <c:pt idx="130">
                  <c:v>56.498682503617381</c:v>
                </c:pt>
                <c:pt idx="131">
                  <c:v>59.943333681324077</c:v>
                </c:pt>
                <c:pt idx="132">
                  <c:v>63.165410025979916</c:v>
                </c:pt>
                <c:pt idx="133">
                  <c:v>61.55883645461271</c:v>
                </c:pt>
                <c:pt idx="134">
                  <c:v>62.517859934391758</c:v>
                </c:pt>
                <c:pt idx="135">
                  <c:v>52.342496301263523</c:v>
                </c:pt>
                <c:pt idx="136">
                  <c:v>59.99498381286103</c:v>
                </c:pt>
                <c:pt idx="137">
                  <c:v>63.269617508467668</c:v>
                </c:pt>
                <c:pt idx="138">
                  <c:v>62.475898424686022</c:v>
                </c:pt>
                <c:pt idx="139">
                  <c:v>61.584962409087645</c:v>
                </c:pt>
                <c:pt idx="140">
                  <c:v>60.33184776738014</c:v>
                </c:pt>
                <c:pt idx="141">
                  <c:v>60.101475651272665</c:v>
                </c:pt>
                <c:pt idx="142">
                  <c:v>57.387775282609631</c:v>
                </c:pt>
                <c:pt idx="143">
                  <c:v>32.282065944533301</c:v>
                </c:pt>
                <c:pt idx="144">
                  <c:v>58.648188470902781</c:v>
                </c:pt>
                <c:pt idx="145">
                  <c:v>61.484504066070642</c:v>
                </c:pt>
                <c:pt idx="146">
                  <c:v>61.220926609696406</c:v>
                </c:pt>
                <c:pt idx="147">
                  <c:v>59.964902917287468</c:v>
                </c:pt>
                <c:pt idx="148">
                  <c:v>61.083995775588619</c:v>
                </c:pt>
                <c:pt idx="149">
                  <c:v>56.346398541738836</c:v>
                </c:pt>
                <c:pt idx="150">
                  <c:v>62.468341792037805</c:v>
                </c:pt>
                <c:pt idx="151">
                  <c:v>62.676293728135057</c:v>
                </c:pt>
                <c:pt idx="152">
                  <c:v>61.321691281882586</c:v>
                </c:pt>
                <c:pt idx="153">
                  <c:v>55.413341824549725</c:v>
                </c:pt>
                <c:pt idx="154">
                  <c:v>56.408226720952712</c:v>
                </c:pt>
                <c:pt idx="155">
                  <c:v>45.470659595237684</c:v>
                </c:pt>
                <c:pt idx="156">
                  <c:v>63.6888163743956</c:v>
                </c:pt>
                <c:pt idx="157">
                  <c:v>51.75274626686349</c:v>
                </c:pt>
                <c:pt idx="158">
                  <c:v>63.160398004063062</c:v>
                </c:pt>
                <c:pt idx="159">
                  <c:v>59.632877338436153</c:v>
                </c:pt>
                <c:pt idx="160">
                  <c:v>59.456159779115154</c:v>
                </c:pt>
                <c:pt idx="161">
                  <c:v>57.956580464308153</c:v>
                </c:pt>
                <c:pt idx="162">
                  <c:v>57.157834054855876</c:v>
                </c:pt>
                <c:pt idx="163">
                  <c:v>63.561322397498678</c:v>
                </c:pt>
                <c:pt idx="164">
                  <c:v>54.436884810261837</c:v>
                </c:pt>
                <c:pt idx="165">
                  <c:v>56.029931246616755</c:v>
                </c:pt>
                <c:pt idx="166">
                  <c:v>64.737412852018437</c:v>
                </c:pt>
                <c:pt idx="167">
                  <c:v>61.823807905736835</c:v>
                </c:pt>
                <c:pt idx="168">
                  <c:v>61.050936871155521</c:v>
                </c:pt>
                <c:pt idx="169">
                  <c:v>57.196487657929183</c:v>
                </c:pt>
                <c:pt idx="170">
                  <c:v>54.149543241445002</c:v>
                </c:pt>
                <c:pt idx="171">
                  <c:v>52.018835844669908</c:v>
                </c:pt>
                <c:pt idx="172">
                  <c:v>63.102397192098245</c:v>
                </c:pt>
                <c:pt idx="173">
                  <c:v>54.439058781268628</c:v>
                </c:pt>
                <c:pt idx="174">
                  <c:v>61.680272578542535</c:v>
                </c:pt>
                <c:pt idx="175">
                  <c:v>58.487024218685626</c:v>
                </c:pt>
                <c:pt idx="176">
                  <c:v>59.355416952943592</c:v>
                </c:pt>
                <c:pt idx="177">
                  <c:v>59.191456400170118</c:v>
                </c:pt>
                <c:pt idx="178">
                  <c:v>61.907521444604455</c:v>
                </c:pt>
                <c:pt idx="179">
                  <c:v>58.29404049517651</c:v>
                </c:pt>
                <c:pt idx="180">
                  <c:v>53.913631634693168</c:v>
                </c:pt>
                <c:pt idx="181">
                  <c:v>59.241632276839347</c:v>
                </c:pt>
                <c:pt idx="182">
                  <c:v>58.511459605426658</c:v>
                </c:pt>
                <c:pt idx="183">
                  <c:v>51.855426044960964</c:v>
                </c:pt>
                <c:pt idx="184">
                  <c:v>57.973124882145292</c:v>
                </c:pt>
                <c:pt idx="185">
                  <c:v>60.257495392536157</c:v>
                </c:pt>
                <c:pt idx="186">
                  <c:v>59.845160048198764</c:v>
                </c:pt>
                <c:pt idx="187">
                  <c:v>56.803975288408445</c:v>
                </c:pt>
                <c:pt idx="188">
                  <c:v>61.470681296854167</c:v>
                </c:pt>
                <c:pt idx="189">
                  <c:v>60.783742606554995</c:v>
                </c:pt>
                <c:pt idx="190">
                  <c:v>60.976537805718309</c:v>
                </c:pt>
                <c:pt idx="191">
                  <c:v>60.655127137032757</c:v>
                </c:pt>
                <c:pt idx="192">
                  <c:v>61.032000698200029</c:v>
                </c:pt>
                <c:pt idx="193">
                  <c:v>56.133262205738227</c:v>
                </c:pt>
                <c:pt idx="194">
                  <c:v>60.641960912358456</c:v>
                </c:pt>
                <c:pt idx="195">
                  <c:v>61.822480130513313</c:v>
                </c:pt>
                <c:pt idx="196">
                  <c:v>59.884372222442117</c:v>
                </c:pt>
                <c:pt idx="197">
                  <c:v>59.284108427339568</c:v>
                </c:pt>
                <c:pt idx="198">
                  <c:v>54.898695193030804</c:v>
                </c:pt>
                <c:pt idx="199">
                  <c:v>58.756624023834831</c:v>
                </c:pt>
                <c:pt idx="200">
                  <c:v>56.850317250869089</c:v>
                </c:pt>
                <c:pt idx="201">
                  <c:v>53.378703386572745</c:v>
                </c:pt>
                <c:pt idx="202">
                  <c:v>52.403107161067176</c:v>
                </c:pt>
                <c:pt idx="203">
                  <c:v>54.77401411835254</c:v>
                </c:pt>
                <c:pt idx="204">
                  <c:v>54.951989772892752</c:v>
                </c:pt>
                <c:pt idx="205">
                  <c:v>56.624993980258836</c:v>
                </c:pt>
                <c:pt idx="206">
                  <c:v>58.352794111069464</c:v>
                </c:pt>
                <c:pt idx="207">
                  <c:v>57.120088666927721</c:v>
                </c:pt>
                <c:pt idx="208">
                  <c:v>54.720346355997435</c:v>
                </c:pt>
                <c:pt idx="209">
                  <c:v>57.337532868317645</c:v>
                </c:pt>
                <c:pt idx="210">
                  <c:v>53.331314939696405</c:v>
                </c:pt>
                <c:pt idx="211">
                  <c:v>55.057825166695693</c:v>
                </c:pt>
                <c:pt idx="212">
                  <c:v>54.44583213474823</c:v>
                </c:pt>
                <c:pt idx="213">
                  <c:v>54.855614137032767</c:v>
                </c:pt>
                <c:pt idx="214">
                  <c:v>54.652362848660495</c:v>
                </c:pt>
                <c:pt idx="215">
                  <c:v>51.450131759098554</c:v>
                </c:pt>
                <c:pt idx="216">
                  <c:v>55.321706068538063</c:v>
                </c:pt>
                <c:pt idx="217">
                  <c:v>54.962682458177952</c:v>
                </c:pt>
                <c:pt idx="218">
                  <c:v>52.959519523212762</c:v>
                </c:pt>
                <c:pt idx="219">
                  <c:v>52.507741008384137</c:v>
                </c:pt>
                <c:pt idx="220">
                  <c:v>52.165063941951729</c:v>
                </c:pt>
                <c:pt idx="221">
                  <c:v>48.556121526495438</c:v>
                </c:pt>
                <c:pt idx="222">
                  <c:v>47.670695144219835</c:v>
                </c:pt>
                <c:pt idx="223">
                  <c:v>46.829298793552006</c:v>
                </c:pt>
                <c:pt idx="224">
                  <c:v>47.124763109850662</c:v>
                </c:pt>
                <c:pt idx="225">
                  <c:v>53.688303667232056</c:v>
                </c:pt>
                <c:pt idx="226">
                  <c:v>46.59214980096219</c:v>
                </c:pt>
                <c:pt idx="227">
                  <c:v>52.312778726424021</c:v>
                </c:pt>
                <c:pt idx="228">
                  <c:v>51.695304108145685</c:v>
                </c:pt>
                <c:pt idx="229">
                  <c:v>51.933307624444232</c:v>
                </c:pt>
                <c:pt idx="230">
                  <c:v>43.525494254603814</c:v>
                </c:pt>
                <c:pt idx="231">
                  <c:v>48.990722574028382</c:v>
                </c:pt>
                <c:pt idx="232">
                  <c:v>48.833127388179392</c:v>
                </c:pt>
                <c:pt idx="233">
                  <c:v>52.442438256662555</c:v>
                </c:pt>
                <c:pt idx="234">
                  <c:v>49.838510164075387</c:v>
                </c:pt>
                <c:pt idx="235">
                  <c:v>49.324626465187585</c:v>
                </c:pt>
                <c:pt idx="236">
                  <c:v>46.238410109379274</c:v>
                </c:pt>
                <c:pt idx="237">
                  <c:v>47.616086487227513</c:v>
                </c:pt>
                <c:pt idx="238">
                  <c:v>46.908830165667723</c:v>
                </c:pt>
                <c:pt idx="239">
                  <c:v>48.563065558192143</c:v>
                </c:pt>
                <c:pt idx="240">
                  <c:v>47.495208459406513</c:v>
                </c:pt>
                <c:pt idx="241">
                  <c:v>46.563941644559634</c:v>
                </c:pt>
                <c:pt idx="242">
                  <c:v>46.070387290584499</c:v>
                </c:pt>
                <c:pt idx="243">
                  <c:v>47.663426724874789</c:v>
                </c:pt>
                <c:pt idx="244">
                  <c:v>47.150040214573764</c:v>
                </c:pt>
                <c:pt idx="245">
                  <c:v>48.613808475226271</c:v>
                </c:pt>
                <c:pt idx="246">
                  <c:v>47.996366652785198</c:v>
                </c:pt>
                <c:pt idx="247">
                  <c:v>45.417444264252914</c:v>
                </c:pt>
                <c:pt idx="248">
                  <c:v>48.931389708757251</c:v>
                </c:pt>
                <c:pt idx="249">
                  <c:v>44.353228487080955</c:v>
                </c:pt>
                <c:pt idx="250">
                  <c:v>42.753480627950061</c:v>
                </c:pt>
                <c:pt idx="251">
                  <c:v>43.385482084784094</c:v>
                </c:pt>
                <c:pt idx="252">
                  <c:v>42.945778972423717</c:v>
                </c:pt>
                <c:pt idx="253">
                  <c:v>43.805127981597593</c:v>
                </c:pt>
                <c:pt idx="254">
                  <c:v>44.561569210056845</c:v>
                </c:pt>
                <c:pt idx="255">
                  <c:v>41.322642207532596</c:v>
                </c:pt>
                <c:pt idx="256">
                  <c:v>40.506292806876168</c:v>
                </c:pt>
                <c:pt idx="257">
                  <c:v>40.691044739305312</c:v>
                </c:pt>
                <c:pt idx="258">
                  <c:v>39.509966115704373</c:v>
                </c:pt>
                <c:pt idx="259">
                  <c:v>42.174056181974457</c:v>
                </c:pt>
                <c:pt idx="260">
                  <c:v>42.28779075370737</c:v>
                </c:pt>
                <c:pt idx="261">
                  <c:v>40.423517538055499</c:v>
                </c:pt>
                <c:pt idx="262">
                  <c:v>41.321180250587048</c:v>
                </c:pt>
                <c:pt idx="263">
                  <c:v>40.230485089809569</c:v>
                </c:pt>
                <c:pt idx="264">
                  <c:v>38.846406402200635</c:v>
                </c:pt>
                <c:pt idx="265">
                  <c:v>37.625376650076369</c:v>
                </c:pt>
                <c:pt idx="266">
                  <c:v>36.227444973424483</c:v>
                </c:pt>
                <c:pt idx="267">
                  <c:v>37.737616608562853</c:v>
                </c:pt>
                <c:pt idx="268">
                  <c:v>38.347746104915672</c:v>
                </c:pt>
                <c:pt idx="269">
                  <c:v>36.969576410748687</c:v>
                </c:pt>
                <c:pt idx="270">
                  <c:v>35.211477825551697</c:v>
                </c:pt>
                <c:pt idx="271">
                  <c:v>37.209601495836544</c:v>
                </c:pt>
                <c:pt idx="272">
                  <c:v>35.36597547612849</c:v>
                </c:pt>
                <c:pt idx="273">
                  <c:v>35.633737494395717</c:v>
                </c:pt>
                <c:pt idx="274">
                  <c:v>36.768753531604595</c:v>
                </c:pt>
                <c:pt idx="275">
                  <c:v>34.895336094635255</c:v>
                </c:pt>
                <c:pt idx="276">
                  <c:v>35.243063599626083</c:v>
                </c:pt>
                <c:pt idx="277">
                  <c:v>35.540310062015898</c:v>
                </c:pt>
                <c:pt idx="278">
                  <c:v>31.212763298231373</c:v>
                </c:pt>
                <c:pt idx="279">
                  <c:v>34.247356004135384</c:v>
                </c:pt>
                <c:pt idx="280">
                  <c:v>32.97035211319082</c:v>
                </c:pt>
                <c:pt idx="281">
                  <c:v>32.555897741774473</c:v>
                </c:pt>
                <c:pt idx="282">
                  <c:v>27.381561766744639</c:v>
                </c:pt>
                <c:pt idx="283">
                  <c:v>33.346419914552634</c:v>
                </c:pt>
                <c:pt idx="284">
                  <c:v>31.597576410466939</c:v>
                </c:pt>
                <c:pt idx="285">
                  <c:v>31.501015093356781</c:v>
                </c:pt>
                <c:pt idx="286">
                  <c:v>32.224976238135895</c:v>
                </c:pt>
                <c:pt idx="287">
                  <c:v>30.440535467920558</c:v>
                </c:pt>
                <c:pt idx="288">
                  <c:v>30.080595648759999</c:v>
                </c:pt>
                <c:pt idx="289">
                  <c:v>27.817595190845999</c:v>
                </c:pt>
                <c:pt idx="290">
                  <c:v>30.068535736268366</c:v>
                </c:pt>
                <c:pt idx="291">
                  <c:v>28.870083274747984</c:v>
                </c:pt>
                <c:pt idx="292">
                  <c:v>24.548923439144371</c:v>
                </c:pt>
                <c:pt idx="293">
                  <c:v>22.767117495614556</c:v>
                </c:pt>
                <c:pt idx="294">
                  <c:v>27.02636286510641</c:v>
                </c:pt>
                <c:pt idx="295">
                  <c:v>29.192406870940115</c:v>
                </c:pt>
                <c:pt idx="296">
                  <c:v>28.410947539123171</c:v>
                </c:pt>
                <c:pt idx="297">
                  <c:v>27.544324929727701</c:v>
                </c:pt>
                <c:pt idx="298">
                  <c:v>27.696361546697236</c:v>
                </c:pt>
                <c:pt idx="299">
                  <c:v>24.453755622088135</c:v>
                </c:pt>
                <c:pt idx="300">
                  <c:v>25.702565660135079</c:v>
                </c:pt>
                <c:pt idx="301">
                  <c:v>24.397649963595786</c:v>
                </c:pt>
                <c:pt idx="302">
                  <c:v>23.315037308519852</c:v>
                </c:pt>
                <c:pt idx="303">
                  <c:v>25.066473522391494</c:v>
                </c:pt>
                <c:pt idx="304">
                  <c:v>24.353652394890183</c:v>
                </c:pt>
                <c:pt idx="305">
                  <c:v>23.216009548028094</c:v>
                </c:pt>
                <c:pt idx="306">
                  <c:v>24.561857270116509</c:v>
                </c:pt>
                <c:pt idx="307">
                  <c:v>20.723995905929119</c:v>
                </c:pt>
                <c:pt idx="308">
                  <c:v>15.637654954165301</c:v>
                </c:pt>
                <c:pt idx="309">
                  <c:v>19.931335355516538</c:v>
                </c:pt>
                <c:pt idx="310">
                  <c:v>13.60303974842923</c:v>
                </c:pt>
                <c:pt idx="311">
                  <c:v>20.0155602932596</c:v>
                </c:pt>
                <c:pt idx="312">
                  <c:v>17.157196529957051</c:v>
                </c:pt>
                <c:pt idx="313">
                  <c:v>19.985849148012122</c:v>
                </c:pt>
                <c:pt idx="314">
                  <c:v>21.657878919803085</c:v>
                </c:pt>
                <c:pt idx="315">
                  <c:v>21.912158265711366</c:v>
                </c:pt>
                <c:pt idx="316">
                  <c:v>21.123000933531273</c:v>
                </c:pt>
                <c:pt idx="317">
                  <c:v>16.142697199455277</c:v>
                </c:pt>
                <c:pt idx="318">
                  <c:v>20.45344773267831</c:v>
                </c:pt>
                <c:pt idx="319">
                  <c:v>21.38237855654209</c:v>
                </c:pt>
                <c:pt idx="320">
                  <c:v>19.633088626435899</c:v>
                </c:pt>
                <c:pt idx="321">
                  <c:v>18.436950655926712</c:v>
                </c:pt>
                <c:pt idx="322">
                  <c:v>19.188007096665945</c:v>
                </c:pt>
                <c:pt idx="323">
                  <c:v>20.296414509075642</c:v>
                </c:pt>
                <c:pt idx="324">
                  <c:v>20.252187824566644</c:v>
                </c:pt>
                <c:pt idx="325">
                  <c:v>19.238098983375799</c:v>
                </c:pt>
                <c:pt idx="326">
                  <c:v>18.879598059880493</c:v>
                </c:pt>
                <c:pt idx="327">
                  <c:v>17.858943426555001</c:v>
                </c:pt>
                <c:pt idx="328">
                  <c:v>17.941310299000229</c:v>
                </c:pt>
                <c:pt idx="329">
                  <c:v>17.978894299225775</c:v>
                </c:pt>
                <c:pt idx="330">
                  <c:v>16.263070033899286</c:v>
                </c:pt>
                <c:pt idx="331">
                  <c:v>12.704962668086491</c:v>
                </c:pt>
                <c:pt idx="332">
                  <c:v>18.062192612165116</c:v>
                </c:pt>
                <c:pt idx="333">
                  <c:v>16.943177507664462</c:v>
                </c:pt>
                <c:pt idx="334">
                  <c:v>17.003353982063814</c:v>
                </c:pt>
                <c:pt idx="335">
                  <c:v>9.0516021673760747</c:v>
                </c:pt>
                <c:pt idx="336">
                  <c:v>12.664538267846305</c:v>
                </c:pt>
                <c:pt idx="337">
                  <c:v>14.483247185091793</c:v>
                </c:pt>
                <c:pt idx="338">
                  <c:v>18.162323905204577</c:v>
                </c:pt>
                <c:pt idx="339">
                  <c:v>13.343805020579753</c:v>
                </c:pt>
                <c:pt idx="340">
                  <c:v>16.145056868445899</c:v>
                </c:pt>
                <c:pt idx="341">
                  <c:v>13.163873636421526</c:v>
                </c:pt>
                <c:pt idx="342">
                  <c:v>9.5730272396475531</c:v>
                </c:pt>
                <c:pt idx="343">
                  <c:v>15.549770066457318</c:v>
                </c:pt>
                <c:pt idx="344">
                  <c:v>14.841331638958879</c:v>
                </c:pt>
                <c:pt idx="345">
                  <c:v>16.842886191960798</c:v>
                </c:pt>
                <c:pt idx="346">
                  <c:v>17.504311781575961</c:v>
                </c:pt>
                <c:pt idx="347">
                  <c:v>17.825188760800483</c:v>
                </c:pt>
                <c:pt idx="348">
                  <c:v>16.523910631894243</c:v>
                </c:pt>
                <c:pt idx="349">
                  <c:v>16.953885897183909</c:v>
                </c:pt>
                <c:pt idx="350">
                  <c:v>16.997202859341002</c:v>
                </c:pt>
                <c:pt idx="351">
                  <c:v>17.776988276378741</c:v>
                </c:pt>
                <c:pt idx="352">
                  <c:v>17.087258276429306</c:v>
                </c:pt>
                <c:pt idx="353">
                  <c:v>17.638070585315422</c:v>
                </c:pt>
                <c:pt idx="354">
                  <c:v>16.885283849711772</c:v>
                </c:pt>
                <c:pt idx="355">
                  <c:v>16.570747847760565</c:v>
                </c:pt>
                <c:pt idx="356">
                  <c:v>14.372652723691925</c:v>
                </c:pt>
                <c:pt idx="357">
                  <c:v>17.822245305266634</c:v>
                </c:pt>
                <c:pt idx="358">
                  <c:v>13.575447760552157</c:v>
                </c:pt>
                <c:pt idx="359">
                  <c:v>17.584999794203402</c:v>
                </c:pt>
                <c:pt idx="360">
                  <c:v>16.697654329104385</c:v>
                </c:pt>
                <c:pt idx="361">
                  <c:v>16.508460643102687</c:v>
                </c:pt>
                <c:pt idx="362">
                  <c:v>18.884024419131489</c:v>
                </c:pt>
                <c:pt idx="363">
                  <c:v>17.411891706814348</c:v>
                </c:pt>
                <c:pt idx="364">
                  <c:v>17.60535838608622</c:v>
                </c:pt>
                <c:pt idx="365">
                  <c:v>11.335499542840072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18.425979166910196</c:v>
                </c:pt>
                <c:pt idx="1">
                  <c:v>14.955085592247945</c:v>
                </c:pt>
                <c:pt idx="2">
                  <c:v>14.099623168787522</c:v>
                </c:pt>
                <c:pt idx="3">
                  <c:v>14.755775427727324</c:v>
                </c:pt>
                <c:pt idx="4">
                  <c:v>13.301147097115477</c:v>
                </c:pt>
                <c:pt idx="5">
                  <c:v>15.494332719237931</c:v>
                </c:pt>
                <c:pt idx="6">
                  <c:v>11.015682329806111</c:v>
                </c:pt>
                <c:pt idx="7">
                  <c:v>8.1363380151938198</c:v>
                </c:pt>
                <c:pt idx="8">
                  <c:v>2.4590479816134363</c:v>
                </c:pt>
                <c:pt idx="9">
                  <c:v>1.9009089687050849</c:v>
                </c:pt>
                <c:pt idx="10">
                  <c:v>20.883768698219409</c:v>
                </c:pt>
                <c:pt idx="11">
                  <c:v>18.790450446954548</c:v>
                </c:pt>
                <c:pt idx="12">
                  <c:v>5.5794673910330959</c:v>
                </c:pt>
                <c:pt idx="13">
                  <c:v>21.54879733993512</c:v>
                </c:pt>
                <c:pt idx="14">
                  <c:v>20.889632657989388</c:v>
                </c:pt>
                <c:pt idx="15">
                  <c:v>20.57239192220748</c:v>
                </c:pt>
                <c:pt idx="16">
                  <c:v>13.681968685413491</c:v>
                </c:pt>
                <c:pt idx="17">
                  <c:v>3.8289220387681366</c:v>
                </c:pt>
                <c:pt idx="18">
                  <c:v>9.1959748253176681</c:v>
                </c:pt>
                <c:pt idx="19">
                  <c:v>7.1937008383766567</c:v>
                </c:pt>
                <c:pt idx="20">
                  <c:v>16.083260697407649</c:v>
                </c:pt>
                <c:pt idx="21">
                  <c:v>22.080002975196251</c:v>
                </c:pt>
                <c:pt idx="22">
                  <c:v>22.39947454636982</c:v>
                </c:pt>
                <c:pt idx="23">
                  <c:v>22.533015476555242</c:v>
                </c:pt>
                <c:pt idx="24">
                  <c:v>22.567351646183756</c:v>
                </c:pt>
                <c:pt idx="25">
                  <c:v>22.879228367903401</c:v>
                </c:pt>
                <c:pt idx="26">
                  <c:v>23.945029081134049</c:v>
                </c:pt>
                <c:pt idx="27">
                  <c:v>4.7629389996050371</c:v>
                </c:pt>
                <c:pt idx="28">
                  <c:v>9.4512272790863463</c:v>
                </c:pt>
                <c:pt idx="29">
                  <c:v>4.9773246854501112</c:v>
                </c:pt>
                <c:pt idx="30">
                  <c:v>10.276482933683862</c:v>
                </c:pt>
                <c:pt idx="31">
                  <c:v>10.064111165001188</c:v>
                </c:pt>
                <c:pt idx="32">
                  <c:v>6.041594673240871</c:v>
                </c:pt>
                <c:pt idx="33">
                  <c:v>11.013355945078194</c:v>
                </c:pt>
                <c:pt idx="34">
                  <c:v>10.01762231056335</c:v>
                </c:pt>
                <c:pt idx="35">
                  <c:v>10.395199332124752</c:v>
                </c:pt>
                <c:pt idx="36">
                  <c:v>18.022110260176166</c:v>
                </c:pt>
                <c:pt idx="37">
                  <c:v>10.397492197364162</c:v>
                </c:pt>
                <c:pt idx="38">
                  <c:v>28.35093087832141</c:v>
                </c:pt>
                <c:pt idx="39">
                  <c:v>28.057262374648079</c:v>
                </c:pt>
                <c:pt idx="40">
                  <c:v>26.226274713136441</c:v>
                </c:pt>
                <c:pt idx="41">
                  <c:v>17.339899227429434</c:v>
                </c:pt>
                <c:pt idx="42">
                  <c:v>24.594589606506364</c:v>
                </c:pt>
                <c:pt idx="43">
                  <c:v>28.184919207542954</c:v>
                </c:pt>
                <c:pt idx="44">
                  <c:v>14.880363847752967</c:v>
                </c:pt>
                <c:pt idx="45">
                  <c:v>18.876834794686705</c:v>
                </c:pt>
                <c:pt idx="46">
                  <c:v>11.560316903619256</c:v>
                </c:pt>
                <c:pt idx="47">
                  <c:v>12.423241602143198</c:v>
                </c:pt>
                <c:pt idx="48">
                  <c:v>24.522409184069076</c:v>
                </c:pt>
                <c:pt idx="49">
                  <c:v>21.85221365217221</c:v>
                </c:pt>
                <c:pt idx="50">
                  <c:v>19.879661431383703</c:v>
                </c:pt>
                <c:pt idx="51">
                  <c:v>21.470193453727344</c:v>
                </c:pt>
                <c:pt idx="52">
                  <c:v>31.262451697337781</c:v>
                </c:pt>
                <c:pt idx="53">
                  <c:v>31.271481165452403</c:v>
                </c:pt>
                <c:pt idx="54">
                  <c:v>17.833770209952799</c:v>
                </c:pt>
                <c:pt idx="55">
                  <c:v>31.866457841095471</c:v>
                </c:pt>
                <c:pt idx="56">
                  <c:v>35.782081482153075</c:v>
                </c:pt>
                <c:pt idx="57">
                  <c:v>29.210118178244766</c:v>
                </c:pt>
                <c:pt idx="58">
                  <c:v>29.440260131791852</c:v>
                </c:pt>
                <c:pt idx="59">
                  <c:v>36.108802524436257</c:v>
                </c:pt>
                <c:pt idx="60">
                  <c:v>10.391091290642033</c:v>
                </c:pt>
                <c:pt idx="61">
                  <c:v>35.179291593929499</c:v>
                </c:pt>
                <c:pt idx="62">
                  <c:v>4.6956486233513539</c:v>
                </c:pt>
                <c:pt idx="63">
                  <c:v>15.076315415996932</c:v>
                </c:pt>
                <c:pt idx="64">
                  <c:v>17.386962703635632</c:v>
                </c:pt>
                <c:pt idx="65">
                  <c:v>37.005534165316867</c:v>
                </c:pt>
                <c:pt idx="66">
                  <c:v>28.631009499082833</c:v>
                </c:pt>
                <c:pt idx="67">
                  <c:v>29.886189605688685</c:v>
                </c:pt>
                <c:pt idx="68">
                  <c:v>23.708368654125682</c:v>
                </c:pt>
                <c:pt idx="69">
                  <c:v>15.463195260878425</c:v>
                </c:pt>
                <c:pt idx="70">
                  <c:v>16.234284033582295</c:v>
                </c:pt>
                <c:pt idx="71">
                  <c:v>11.700333810218497</c:v>
                </c:pt>
                <c:pt idx="72">
                  <c:v>15.606232240702749</c:v>
                </c:pt>
                <c:pt idx="73">
                  <c:v>15.697265012278178</c:v>
                </c:pt>
                <c:pt idx="74">
                  <c:v>14.299225685182353</c:v>
                </c:pt>
                <c:pt idx="75">
                  <c:v>11.819584428028516</c:v>
                </c:pt>
                <c:pt idx="76">
                  <c:v>15.872485354425526</c:v>
                </c:pt>
                <c:pt idx="77">
                  <c:v>29.190399317697281</c:v>
                </c:pt>
                <c:pt idx="78">
                  <c:v>30.388105297266105</c:v>
                </c:pt>
                <c:pt idx="79">
                  <c:v>42.096817787826595</c:v>
                </c:pt>
                <c:pt idx="80">
                  <c:v>40.07177282702078</c:v>
                </c:pt>
                <c:pt idx="81">
                  <c:v>45.558504162612145</c:v>
                </c:pt>
                <c:pt idx="82">
                  <c:v>44.402694548154749</c:v>
                </c:pt>
                <c:pt idx="83">
                  <c:v>42.344777516113844</c:v>
                </c:pt>
                <c:pt idx="84">
                  <c:v>44.942565478740086</c:v>
                </c:pt>
                <c:pt idx="85">
                  <c:v>43.368607803742705</c:v>
                </c:pt>
                <c:pt idx="86">
                  <c:v>32.880155855748377</c:v>
                </c:pt>
                <c:pt idx="87">
                  <c:v>28.237469611720769</c:v>
                </c:pt>
                <c:pt idx="88">
                  <c:v>8.7108669924229236</c:v>
                </c:pt>
                <c:pt idx="89">
                  <c:v>31.573935720220199</c:v>
                </c:pt>
                <c:pt idx="90">
                  <c:v>33.898987954232226</c:v>
                </c:pt>
                <c:pt idx="91">
                  <c:v>22.697227619318269</c:v>
                </c:pt>
                <c:pt idx="92">
                  <c:v>22.694078463210676</c:v>
                </c:pt>
                <c:pt idx="93">
                  <c:v>49.895531640302963</c:v>
                </c:pt>
                <c:pt idx="94">
                  <c:v>51.339263601418196</c:v>
                </c:pt>
                <c:pt idx="95">
                  <c:v>12.498525823345865</c:v>
                </c:pt>
                <c:pt idx="96">
                  <c:v>37.302208111785987</c:v>
                </c:pt>
                <c:pt idx="97">
                  <c:v>29.272177676527743</c:v>
                </c:pt>
                <c:pt idx="98">
                  <c:v>39.311925982332177</c:v>
                </c:pt>
                <c:pt idx="99">
                  <c:v>51.75499087265306</c:v>
                </c:pt>
                <c:pt idx="100">
                  <c:v>43.689563705396033</c:v>
                </c:pt>
                <c:pt idx="101">
                  <c:v>36.448405532249581</c:v>
                </c:pt>
                <c:pt idx="102">
                  <c:v>7.873860954970092</c:v>
                </c:pt>
                <c:pt idx="103">
                  <c:v>40.362938395764004</c:v>
                </c:pt>
                <c:pt idx="104">
                  <c:v>47.252420763400693</c:v>
                </c:pt>
                <c:pt idx="105">
                  <c:v>49.294140738939028</c:v>
                </c:pt>
                <c:pt idx="106">
                  <c:v>53.680903826965675</c:v>
                </c:pt>
                <c:pt idx="107">
                  <c:v>41.982059519389949</c:v>
                </c:pt>
                <c:pt idx="108">
                  <c:v>9.6453351875857081</c:v>
                </c:pt>
                <c:pt idx="109">
                  <c:v>11.226018387004036</c:v>
                </c:pt>
                <c:pt idx="110">
                  <c:v>10.579418719074605</c:v>
                </c:pt>
                <c:pt idx="111">
                  <c:v>30.353317156337713</c:v>
                </c:pt>
                <c:pt idx="112">
                  <c:v>10.403910776559846</c:v>
                </c:pt>
                <c:pt idx="113">
                  <c:v>33.171557574306568</c:v>
                </c:pt>
                <c:pt idx="114">
                  <c:v>53.086242280958935</c:v>
                </c:pt>
                <c:pt idx="115">
                  <c:v>55.539931860605101</c:v>
                </c:pt>
                <c:pt idx="116">
                  <c:v>40.422363464574303</c:v>
                </c:pt>
                <c:pt idx="117">
                  <c:v>22.619598273022511</c:v>
                </c:pt>
                <c:pt idx="118">
                  <c:v>42.105007296383903</c:v>
                </c:pt>
                <c:pt idx="119">
                  <c:v>47.59854505237719</c:v>
                </c:pt>
                <c:pt idx="120">
                  <c:v>48.534578425375749</c:v>
                </c:pt>
                <c:pt idx="121">
                  <c:v>31.658737711174428</c:v>
                </c:pt>
                <c:pt idx="122">
                  <c:v>38.642868786509517</c:v>
                </c:pt>
                <c:pt idx="123">
                  <c:v>22.743121000630524</c:v>
                </c:pt>
                <c:pt idx="124">
                  <c:v>45.245086281947145</c:v>
                </c:pt>
                <c:pt idx="125">
                  <c:v>38.120016223734552</c:v>
                </c:pt>
                <c:pt idx="126">
                  <c:v>55.807301795671179</c:v>
                </c:pt>
                <c:pt idx="127">
                  <c:v>50.871665515572722</c:v>
                </c:pt>
                <c:pt idx="128">
                  <c:v>56.299279898719327</c:v>
                </c:pt>
                <c:pt idx="129">
                  <c:v>52.257479209340723</c:v>
                </c:pt>
                <c:pt idx="130">
                  <c:v>56.498682503617381</c:v>
                </c:pt>
                <c:pt idx="131">
                  <c:v>43.199294517420611</c:v>
                </c:pt>
                <c:pt idx="132">
                  <c:v>46.149665879312131</c:v>
                </c:pt>
                <c:pt idx="133">
                  <c:v>50.384536373423046</c:v>
                </c:pt>
                <c:pt idx="134">
                  <c:v>53.01073920330375</c:v>
                </c:pt>
                <c:pt idx="135">
                  <c:v>51.408882772587056</c:v>
                </c:pt>
                <c:pt idx="136">
                  <c:v>54.816299858250623</c:v>
                </c:pt>
                <c:pt idx="137">
                  <c:v>53.538323075086311</c:v>
                </c:pt>
                <c:pt idx="138">
                  <c:v>56.324422377915887</c:v>
                </c:pt>
                <c:pt idx="139">
                  <c:v>50.098526216971578</c:v>
                </c:pt>
                <c:pt idx="140">
                  <c:v>48.828604754025037</c:v>
                </c:pt>
                <c:pt idx="141">
                  <c:v>36.092093612667618</c:v>
                </c:pt>
                <c:pt idx="142">
                  <c:v>21.136730359566673</c:v>
                </c:pt>
                <c:pt idx="143">
                  <c:v>18.150981700437693</c:v>
                </c:pt>
                <c:pt idx="144">
                  <c:v>42.343599543051702</c:v>
                </c:pt>
                <c:pt idx="145">
                  <c:v>22.989610748242253</c:v>
                </c:pt>
                <c:pt idx="146">
                  <c:v>49.737895319212313</c:v>
                </c:pt>
                <c:pt idx="147">
                  <c:v>57.018820073046456</c:v>
                </c:pt>
                <c:pt idx="148">
                  <c:v>61.083995775588619</c:v>
                </c:pt>
                <c:pt idx="149">
                  <c:v>54.928099974815311</c:v>
                </c:pt>
                <c:pt idx="150">
                  <c:v>56.368733782004284</c:v>
                </c:pt>
                <c:pt idx="151">
                  <c:v>57.799922342921327</c:v>
                </c:pt>
                <c:pt idx="152">
                  <c:v>47.538650521947623</c:v>
                </c:pt>
                <c:pt idx="153">
                  <c:v>55.413341824549725</c:v>
                </c:pt>
                <c:pt idx="154">
                  <c:v>26.228770905783421</c:v>
                </c:pt>
                <c:pt idx="155">
                  <c:v>37.099058991232859</c:v>
                </c:pt>
                <c:pt idx="156">
                  <c:v>47.192902637470766</c:v>
                </c:pt>
                <c:pt idx="157">
                  <c:v>31.840871820949332</c:v>
                </c:pt>
                <c:pt idx="158">
                  <c:v>21.688352004678848</c:v>
                </c:pt>
                <c:pt idx="159">
                  <c:v>46.472259185487765</c:v>
                </c:pt>
                <c:pt idx="160">
                  <c:v>59.05347320995299</c:v>
                </c:pt>
                <c:pt idx="161">
                  <c:v>57.956580464308153</c:v>
                </c:pt>
                <c:pt idx="162">
                  <c:v>43.644691089069163</c:v>
                </c:pt>
                <c:pt idx="163">
                  <c:v>56.75687108295319</c:v>
                </c:pt>
                <c:pt idx="164">
                  <c:v>48.221957588797729</c:v>
                </c:pt>
                <c:pt idx="165">
                  <c:v>55.759820062838301</c:v>
                </c:pt>
                <c:pt idx="166">
                  <c:v>53.558610035935828</c:v>
                </c:pt>
                <c:pt idx="167">
                  <c:v>54.036127537490387</c:v>
                </c:pt>
                <c:pt idx="168">
                  <c:v>55.857949111411173</c:v>
                </c:pt>
                <c:pt idx="169">
                  <c:v>57.196487657929183</c:v>
                </c:pt>
                <c:pt idx="170">
                  <c:v>34.681151521646981</c:v>
                </c:pt>
                <c:pt idx="171">
                  <c:v>25.121374153620767</c:v>
                </c:pt>
                <c:pt idx="172">
                  <c:v>44.064068796152462</c:v>
                </c:pt>
                <c:pt idx="173">
                  <c:v>43.486273996828743</c:v>
                </c:pt>
                <c:pt idx="174">
                  <c:v>42.499468541054881</c:v>
                </c:pt>
                <c:pt idx="175">
                  <c:v>34.486786034237518</c:v>
                </c:pt>
                <c:pt idx="176">
                  <c:v>12.69573985040225</c:v>
                </c:pt>
                <c:pt idx="177">
                  <c:v>13.49431489520779</c:v>
                </c:pt>
                <c:pt idx="178">
                  <c:v>61.907521444604441</c:v>
                </c:pt>
                <c:pt idx="179">
                  <c:v>58.29404049517651</c:v>
                </c:pt>
                <c:pt idx="180">
                  <c:v>14.698095699243343</c:v>
                </c:pt>
                <c:pt idx="181">
                  <c:v>55.633553362373959</c:v>
                </c:pt>
                <c:pt idx="182">
                  <c:v>58.511459605426658</c:v>
                </c:pt>
                <c:pt idx="183">
                  <c:v>45.27623424296916</c:v>
                </c:pt>
                <c:pt idx="184">
                  <c:v>46.412526960469009</c:v>
                </c:pt>
                <c:pt idx="185">
                  <c:v>57.360567167012228</c:v>
                </c:pt>
                <c:pt idx="186">
                  <c:v>51.644194870962501</c:v>
                </c:pt>
                <c:pt idx="187">
                  <c:v>56.803975288408445</c:v>
                </c:pt>
                <c:pt idx="188">
                  <c:v>60.199916048696345</c:v>
                </c:pt>
                <c:pt idx="189">
                  <c:v>59.128239359433145</c:v>
                </c:pt>
                <c:pt idx="190">
                  <c:v>58.45457108017979</c:v>
                </c:pt>
                <c:pt idx="191">
                  <c:v>56.865360088656033</c:v>
                </c:pt>
                <c:pt idx="192">
                  <c:v>56.500065040400266</c:v>
                </c:pt>
                <c:pt idx="193">
                  <c:v>56.133262205738227</c:v>
                </c:pt>
                <c:pt idx="194">
                  <c:v>55.332782752288203</c:v>
                </c:pt>
                <c:pt idx="195">
                  <c:v>53.493626768861262</c:v>
                </c:pt>
                <c:pt idx="196">
                  <c:v>55.465729429752706</c:v>
                </c:pt>
                <c:pt idx="197">
                  <c:v>54.786848447567323</c:v>
                </c:pt>
                <c:pt idx="198">
                  <c:v>54.898695193030804</c:v>
                </c:pt>
                <c:pt idx="199">
                  <c:v>46.669563545541116</c:v>
                </c:pt>
                <c:pt idx="200">
                  <c:v>45.023037130303578</c:v>
                </c:pt>
                <c:pt idx="201">
                  <c:v>53.378703386572745</c:v>
                </c:pt>
                <c:pt idx="202">
                  <c:v>40.455843574535287</c:v>
                </c:pt>
                <c:pt idx="203">
                  <c:v>51.147011973870903</c:v>
                </c:pt>
                <c:pt idx="204">
                  <c:v>53.08065243959522</c:v>
                </c:pt>
                <c:pt idx="205">
                  <c:v>28.712882584692206</c:v>
                </c:pt>
                <c:pt idx="206">
                  <c:v>58.352794111069471</c:v>
                </c:pt>
                <c:pt idx="207">
                  <c:v>57.120088666927721</c:v>
                </c:pt>
                <c:pt idx="208">
                  <c:v>48.258906358914722</c:v>
                </c:pt>
                <c:pt idx="209">
                  <c:v>33.425034379979216</c:v>
                </c:pt>
                <c:pt idx="210">
                  <c:v>53.331314939696405</c:v>
                </c:pt>
                <c:pt idx="211">
                  <c:v>54.506389871073182</c:v>
                </c:pt>
                <c:pt idx="212">
                  <c:v>54.44583213474823</c:v>
                </c:pt>
                <c:pt idx="213">
                  <c:v>54.469975403068354</c:v>
                </c:pt>
                <c:pt idx="214">
                  <c:v>50.82530265131939</c:v>
                </c:pt>
                <c:pt idx="215">
                  <c:v>50.262483862323442</c:v>
                </c:pt>
                <c:pt idx="216">
                  <c:v>47.874852929827959</c:v>
                </c:pt>
                <c:pt idx="217">
                  <c:v>49.169749624344462</c:v>
                </c:pt>
                <c:pt idx="218">
                  <c:v>52.134084294598985</c:v>
                </c:pt>
                <c:pt idx="219">
                  <c:v>51.739505700444859</c:v>
                </c:pt>
                <c:pt idx="220">
                  <c:v>50.812016053872632</c:v>
                </c:pt>
                <c:pt idx="221">
                  <c:v>47.455185149627916</c:v>
                </c:pt>
                <c:pt idx="222">
                  <c:v>45.257316819954525</c:v>
                </c:pt>
                <c:pt idx="223">
                  <c:v>46.829298793552006</c:v>
                </c:pt>
                <c:pt idx="224">
                  <c:v>36.304144965225312</c:v>
                </c:pt>
                <c:pt idx="225">
                  <c:v>32.84840640561152</c:v>
                </c:pt>
                <c:pt idx="226">
                  <c:v>40.07174293836816</c:v>
                </c:pt>
                <c:pt idx="227">
                  <c:v>36.305156638634472</c:v>
                </c:pt>
                <c:pt idx="228">
                  <c:v>28.965120239424692</c:v>
                </c:pt>
                <c:pt idx="229">
                  <c:v>39.102571622553164</c:v>
                </c:pt>
                <c:pt idx="230">
                  <c:v>40.597262277519789</c:v>
                </c:pt>
                <c:pt idx="231">
                  <c:v>48.990722574028382</c:v>
                </c:pt>
                <c:pt idx="232">
                  <c:v>31.489170361400166</c:v>
                </c:pt>
                <c:pt idx="233">
                  <c:v>27.662304089148144</c:v>
                </c:pt>
                <c:pt idx="234">
                  <c:v>48.467316807286991</c:v>
                </c:pt>
                <c:pt idx="235">
                  <c:v>44.886184337326846</c:v>
                </c:pt>
                <c:pt idx="236">
                  <c:v>32.67623705250292</c:v>
                </c:pt>
                <c:pt idx="237">
                  <c:v>43.478668560049925</c:v>
                </c:pt>
                <c:pt idx="238">
                  <c:v>46.908830165667723</c:v>
                </c:pt>
                <c:pt idx="239">
                  <c:v>45.542798070873211</c:v>
                </c:pt>
                <c:pt idx="240">
                  <c:v>32.308499221167317</c:v>
                </c:pt>
                <c:pt idx="241">
                  <c:v>45.523410046612568</c:v>
                </c:pt>
                <c:pt idx="242">
                  <c:v>25.036207873075117</c:v>
                </c:pt>
                <c:pt idx="243">
                  <c:v>40.379298789932328</c:v>
                </c:pt>
                <c:pt idx="244">
                  <c:v>38.911457082826523</c:v>
                </c:pt>
                <c:pt idx="245">
                  <c:v>36.230404509643193</c:v>
                </c:pt>
                <c:pt idx="246">
                  <c:v>42.13512056337099</c:v>
                </c:pt>
                <c:pt idx="247">
                  <c:v>37.604045655690136</c:v>
                </c:pt>
                <c:pt idx="248">
                  <c:v>43.102584432717336</c:v>
                </c:pt>
                <c:pt idx="249">
                  <c:v>36.809114927148286</c:v>
                </c:pt>
                <c:pt idx="250">
                  <c:v>33.640428605592746</c:v>
                </c:pt>
                <c:pt idx="251">
                  <c:v>25.013118009343422</c:v>
                </c:pt>
                <c:pt idx="252">
                  <c:v>42.945778972423717</c:v>
                </c:pt>
                <c:pt idx="253">
                  <c:v>41.791420739716244</c:v>
                </c:pt>
                <c:pt idx="254">
                  <c:v>30.03817336263263</c:v>
                </c:pt>
                <c:pt idx="255">
                  <c:v>14.556747251681868</c:v>
                </c:pt>
                <c:pt idx="256">
                  <c:v>33.115065117091987</c:v>
                </c:pt>
                <c:pt idx="257">
                  <c:v>36.118064572645821</c:v>
                </c:pt>
                <c:pt idx="258">
                  <c:v>33.394464771021198</c:v>
                </c:pt>
                <c:pt idx="259">
                  <c:v>42.174056181974457</c:v>
                </c:pt>
                <c:pt idx="260">
                  <c:v>42.28779075370737</c:v>
                </c:pt>
                <c:pt idx="261">
                  <c:v>40.423517538055499</c:v>
                </c:pt>
                <c:pt idx="262">
                  <c:v>41.321180250587041</c:v>
                </c:pt>
                <c:pt idx="263">
                  <c:v>40.230485089809569</c:v>
                </c:pt>
                <c:pt idx="264">
                  <c:v>38.846406402200635</c:v>
                </c:pt>
                <c:pt idx="265">
                  <c:v>25.025268135256969</c:v>
                </c:pt>
                <c:pt idx="266">
                  <c:v>18.199273235215291</c:v>
                </c:pt>
                <c:pt idx="267">
                  <c:v>33.687273536530633</c:v>
                </c:pt>
                <c:pt idx="268">
                  <c:v>29.19623154769987</c:v>
                </c:pt>
                <c:pt idx="269">
                  <c:v>18.846967008545764</c:v>
                </c:pt>
                <c:pt idx="270">
                  <c:v>20.761769146130831</c:v>
                </c:pt>
                <c:pt idx="271">
                  <c:v>23.995182956088907</c:v>
                </c:pt>
                <c:pt idx="272">
                  <c:v>25.762706140181908</c:v>
                </c:pt>
                <c:pt idx="273">
                  <c:v>32.804375547600038</c:v>
                </c:pt>
                <c:pt idx="274">
                  <c:v>35.030637529726519</c:v>
                </c:pt>
                <c:pt idx="275">
                  <c:v>33.528785626812798</c:v>
                </c:pt>
                <c:pt idx="276">
                  <c:v>35.243063599626076</c:v>
                </c:pt>
                <c:pt idx="277">
                  <c:v>35.540310062015891</c:v>
                </c:pt>
                <c:pt idx="278">
                  <c:v>12.843716618359306</c:v>
                </c:pt>
                <c:pt idx="279">
                  <c:v>26.060193258297677</c:v>
                </c:pt>
                <c:pt idx="280">
                  <c:v>16.901685320595639</c:v>
                </c:pt>
                <c:pt idx="281">
                  <c:v>32.555897741774473</c:v>
                </c:pt>
                <c:pt idx="282">
                  <c:v>27.140956975875959</c:v>
                </c:pt>
                <c:pt idx="283">
                  <c:v>21.89504745030742</c:v>
                </c:pt>
                <c:pt idx="284">
                  <c:v>25.429647607033299</c:v>
                </c:pt>
                <c:pt idx="285">
                  <c:v>22.228301613012825</c:v>
                </c:pt>
                <c:pt idx="286">
                  <c:v>20.98385293272036</c:v>
                </c:pt>
                <c:pt idx="287">
                  <c:v>30.440535467920558</c:v>
                </c:pt>
                <c:pt idx="288">
                  <c:v>28.640024144561917</c:v>
                </c:pt>
                <c:pt idx="289">
                  <c:v>18.98267111901178</c:v>
                </c:pt>
                <c:pt idx="290">
                  <c:v>28.324235683236658</c:v>
                </c:pt>
                <c:pt idx="291">
                  <c:v>14.828429884180441</c:v>
                </c:pt>
                <c:pt idx="292">
                  <c:v>6.5797712417556751</c:v>
                </c:pt>
                <c:pt idx="293">
                  <c:v>15.427917496206215</c:v>
                </c:pt>
                <c:pt idx="294">
                  <c:v>27.02636286510641</c:v>
                </c:pt>
                <c:pt idx="295">
                  <c:v>16.697767509889299</c:v>
                </c:pt>
                <c:pt idx="296">
                  <c:v>20.061493660962434</c:v>
                </c:pt>
                <c:pt idx="297">
                  <c:v>20.161603424505021</c:v>
                </c:pt>
                <c:pt idx="298">
                  <c:v>13.098947182318566</c:v>
                </c:pt>
                <c:pt idx="299">
                  <c:v>12.641198430114075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1.1174324139280691</c:v>
                </c:pt>
                <c:pt idx="312">
                  <c:v>8.886952609284382</c:v>
                </c:pt>
                <c:pt idx="313">
                  <c:v>19.985849148012122</c:v>
                </c:pt>
                <c:pt idx="314">
                  <c:v>21.657878919803085</c:v>
                </c:pt>
                <c:pt idx="315">
                  <c:v>21.912158265711366</c:v>
                </c:pt>
                <c:pt idx="316">
                  <c:v>21.123000933531273</c:v>
                </c:pt>
                <c:pt idx="317">
                  <c:v>8.6878126655188233</c:v>
                </c:pt>
                <c:pt idx="318">
                  <c:v>11.880997311142718</c:v>
                </c:pt>
                <c:pt idx="319">
                  <c:v>21.38237855654209</c:v>
                </c:pt>
                <c:pt idx="320">
                  <c:v>12.464022782474192</c:v>
                </c:pt>
                <c:pt idx="321">
                  <c:v>12.926521639370128</c:v>
                </c:pt>
                <c:pt idx="322">
                  <c:v>8.4602869095898914</c:v>
                </c:pt>
                <c:pt idx="323">
                  <c:v>13.508959097627148</c:v>
                </c:pt>
                <c:pt idx="324">
                  <c:v>3.6558088254462748</c:v>
                </c:pt>
                <c:pt idx="325">
                  <c:v>8.1624231225207389</c:v>
                </c:pt>
                <c:pt idx="326">
                  <c:v>11.232755947689736</c:v>
                </c:pt>
                <c:pt idx="327">
                  <c:v>12.478938795409583</c:v>
                </c:pt>
                <c:pt idx="328">
                  <c:v>5.9813368079670877</c:v>
                </c:pt>
                <c:pt idx="329">
                  <c:v>11.497664839825743</c:v>
                </c:pt>
                <c:pt idx="330">
                  <c:v>12.9764449417946</c:v>
                </c:pt>
                <c:pt idx="331">
                  <c:v>11.027756853466162</c:v>
                </c:pt>
                <c:pt idx="332">
                  <c:v>14.755076777402753</c:v>
                </c:pt>
                <c:pt idx="333">
                  <c:v>4.3907781813479971</c:v>
                </c:pt>
                <c:pt idx="334">
                  <c:v>3.9321730698172681</c:v>
                </c:pt>
                <c:pt idx="335">
                  <c:v>6.5726790864302416</c:v>
                </c:pt>
                <c:pt idx="336">
                  <c:v>7.3872802161937825</c:v>
                </c:pt>
                <c:pt idx="337">
                  <c:v>14.483247185091793</c:v>
                </c:pt>
                <c:pt idx="338">
                  <c:v>18.162323905204573</c:v>
                </c:pt>
                <c:pt idx="339">
                  <c:v>10.067431625195068</c:v>
                </c:pt>
                <c:pt idx="340">
                  <c:v>16.145056868445899</c:v>
                </c:pt>
                <c:pt idx="341">
                  <c:v>4.7051717762541534</c:v>
                </c:pt>
                <c:pt idx="342">
                  <c:v>5.5685110101047144</c:v>
                </c:pt>
                <c:pt idx="343">
                  <c:v>11.401120263671883</c:v>
                </c:pt>
                <c:pt idx="344">
                  <c:v>13.893205844550531</c:v>
                </c:pt>
                <c:pt idx="345">
                  <c:v>4.610703614263107</c:v>
                </c:pt>
                <c:pt idx="346">
                  <c:v>5.9927164234030919</c:v>
                </c:pt>
                <c:pt idx="347">
                  <c:v>16.109150446649508</c:v>
                </c:pt>
                <c:pt idx="348">
                  <c:v>6.2752966455649073</c:v>
                </c:pt>
                <c:pt idx="349">
                  <c:v>5.3001153130734471</c:v>
                </c:pt>
                <c:pt idx="350">
                  <c:v>3.9387652247141496</c:v>
                </c:pt>
                <c:pt idx="351">
                  <c:v>15.95139754745205</c:v>
                </c:pt>
                <c:pt idx="352">
                  <c:v>13.247127756879603</c:v>
                </c:pt>
                <c:pt idx="353">
                  <c:v>5.3277825368163283</c:v>
                </c:pt>
                <c:pt idx="354">
                  <c:v>16.885283849711772</c:v>
                </c:pt>
                <c:pt idx="355">
                  <c:v>12.428995373058894</c:v>
                </c:pt>
                <c:pt idx="356">
                  <c:v>13.368688789312936</c:v>
                </c:pt>
                <c:pt idx="357">
                  <c:v>17.822245305266634</c:v>
                </c:pt>
                <c:pt idx="358">
                  <c:v>10.650902143998623</c:v>
                </c:pt>
                <c:pt idx="359">
                  <c:v>17.584999794203402</c:v>
                </c:pt>
                <c:pt idx="360">
                  <c:v>7.7808241314752982</c:v>
                </c:pt>
                <c:pt idx="361">
                  <c:v>16.508460643102687</c:v>
                </c:pt>
                <c:pt idx="362">
                  <c:v>9.6343610024624873</c:v>
                </c:pt>
                <c:pt idx="363">
                  <c:v>12.535857547108893</c:v>
                </c:pt>
                <c:pt idx="364">
                  <c:v>10.276263726273191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19.608799999999999</c:v>
                </c:pt>
                <c:pt idx="21">
                  <c:v>22.961600000000001</c:v>
                </c:pt>
                <c:pt idx="35">
                  <c:v>27.127199999999998</c:v>
                </c:pt>
                <c:pt idx="49">
                  <c:v>31.9024</c:v>
                </c:pt>
                <c:pt idx="63">
                  <c:v>37.693599999999996</c:v>
                </c:pt>
                <c:pt idx="77">
                  <c:v>44.0944</c:v>
                </c:pt>
                <c:pt idx="91">
                  <c:v>50.292000000000002</c:v>
                </c:pt>
                <c:pt idx="105">
                  <c:v>55.168799999999997</c:v>
                </c:pt>
                <c:pt idx="119">
                  <c:v>58.8264</c:v>
                </c:pt>
                <c:pt idx="133">
                  <c:v>61.264800000000001</c:v>
                </c:pt>
                <c:pt idx="147">
                  <c:v>62.280799999999999</c:v>
                </c:pt>
                <c:pt idx="161">
                  <c:v>62.280799999999999</c:v>
                </c:pt>
                <c:pt idx="175">
                  <c:v>61.569600000000001</c:v>
                </c:pt>
                <c:pt idx="189">
                  <c:v>60.147199999999998</c:v>
                </c:pt>
                <c:pt idx="203">
                  <c:v>58.013599999999997</c:v>
                </c:pt>
                <c:pt idx="217">
                  <c:v>55.473599999999998</c:v>
                </c:pt>
                <c:pt idx="231">
                  <c:v>52.120799999999996</c:v>
                </c:pt>
                <c:pt idx="245">
                  <c:v>47.8536</c:v>
                </c:pt>
                <c:pt idx="259">
                  <c:v>42.570399999999999</c:v>
                </c:pt>
                <c:pt idx="273">
                  <c:v>36.474400000000003</c:v>
                </c:pt>
                <c:pt idx="287">
                  <c:v>30.886400000000002</c:v>
                </c:pt>
                <c:pt idx="301">
                  <c:v>25.806400000000004</c:v>
                </c:pt>
                <c:pt idx="315">
                  <c:v>21.4376</c:v>
                </c:pt>
                <c:pt idx="329">
                  <c:v>18.491199999999999</c:v>
                </c:pt>
                <c:pt idx="343">
                  <c:v>17.0688</c:v>
                </c:pt>
                <c:pt idx="357">
                  <c:v>17.6784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103568"/>
        <c:axId val="406103176"/>
      </c:lineChart>
      <c:dateAx>
        <c:axId val="406103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103176"/>
        <c:crosses val="autoZero"/>
        <c:auto val="1"/>
        <c:lblOffset val="100"/>
        <c:baseTimeUnit val="days"/>
        <c:majorUnit val="1"/>
        <c:majorTimeUnit val="months"/>
      </c:dateAx>
      <c:valAx>
        <c:axId val="4061031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1035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15.195224576909469</c:v>
                </c:pt>
                <c:pt idx="1">
                  <c:v>15.302154774150516</c:v>
                </c:pt>
                <c:pt idx="2">
                  <c:v>15.415090805573156</c:v>
                </c:pt>
                <c:pt idx="3">
                  <c:v>15.53432391311082</c:v>
                </c:pt>
                <c:pt idx="4">
                  <c:v>15.660145100729821</c:v>
                </c:pt>
                <c:pt idx="5">
                  <c:v>15.792845144839482</c:v>
                </c:pt>
                <c:pt idx="6">
                  <c:v>15.932714583912924</c:v>
                </c:pt>
                <c:pt idx="7">
                  <c:v>16.080043738931728</c:v>
                </c:pt>
                <c:pt idx="8">
                  <c:v>16.235683797022297</c:v>
                </c:pt>
                <c:pt idx="9">
                  <c:v>16.400035851063731</c:v>
                </c:pt>
                <c:pt idx="10">
                  <c:v>16.572506927008487</c:v>
                </c:pt>
                <c:pt idx="11">
                  <c:v>16.752476049181833</c:v>
                </c:pt>
                <c:pt idx="12">
                  <c:v>16.939322489350825</c:v>
                </c:pt>
                <c:pt idx="13">
                  <c:v>17.132425765517375</c:v>
                </c:pt>
                <c:pt idx="14">
                  <c:v>17.331165652164753</c:v>
                </c:pt>
                <c:pt idx="15">
                  <c:v>17.53495320156679</c:v>
                </c:pt>
                <c:pt idx="16">
                  <c:v>17.743127462202956</c:v>
                </c:pt>
                <c:pt idx="17">
                  <c:v>17.955068969368764</c:v>
                </c:pt>
                <c:pt idx="18">
                  <c:v>18.170158526936543</c:v>
                </c:pt>
                <c:pt idx="19">
                  <c:v>18.387776543330279</c:v>
                </c:pt>
                <c:pt idx="20">
                  <c:v>18.607303445845361</c:v>
                </c:pt>
                <c:pt idx="21">
                  <c:v>18.828120512188718</c:v>
                </c:pt>
                <c:pt idx="22">
                  <c:v>19.051550366612901</c:v>
                </c:pt>
                <c:pt idx="23">
                  <c:v>19.279018026895979</c:v>
                </c:pt>
                <c:pt idx="24">
                  <c:v>19.510180793269729</c:v>
                </c:pt>
                <c:pt idx="25">
                  <c:v>19.744853756871088</c:v>
                </c:pt>
                <c:pt idx="26">
                  <c:v>19.982852135250866</c:v>
                </c:pt>
                <c:pt idx="27">
                  <c:v>20.223991277682163</c:v>
                </c:pt>
                <c:pt idx="28">
                  <c:v>20.468086667528475</c:v>
                </c:pt>
                <c:pt idx="29">
                  <c:v>20.71480575449419</c:v>
                </c:pt>
                <c:pt idx="30">
                  <c:v>20.963933221394555</c:v>
                </c:pt>
                <c:pt idx="31">
                  <c:v>21.215284899441965</c:v>
                </c:pt>
                <c:pt idx="32">
                  <c:v>21.468676733136366</c:v>
                </c:pt>
                <c:pt idx="33">
                  <c:v>21.723924778627534</c:v>
                </c:pt>
                <c:pt idx="34">
                  <c:v>21.980845198415736</c:v>
                </c:pt>
                <c:pt idx="35">
                  <c:v>22.239254262298111</c:v>
                </c:pt>
                <c:pt idx="36">
                  <c:v>22.498632962944889</c:v>
                </c:pt>
                <c:pt idx="37">
                  <c:v>22.758774444590824</c:v>
                </c:pt>
                <c:pt idx="38">
                  <c:v>23.020230750668041</c:v>
                </c:pt>
                <c:pt idx="39">
                  <c:v>23.283367119818891</c:v>
                </c:pt>
                <c:pt idx="40">
                  <c:v>23.548548612876647</c:v>
                </c:pt>
                <c:pt idx="41">
                  <c:v>23.816140113237971</c:v>
                </c:pt>
                <c:pt idx="42">
                  <c:v>24.086506313599482</c:v>
                </c:pt>
                <c:pt idx="43">
                  <c:v>24.359956751264246</c:v>
                </c:pt>
                <c:pt idx="44">
                  <c:v>24.637004260121426</c:v>
                </c:pt>
                <c:pt idx="45">
                  <c:v>24.918013025243123</c:v>
                </c:pt>
                <c:pt idx="46">
                  <c:v>25.203347024277228</c:v>
                </c:pt>
                <c:pt idx="47">
                  <c:v>25.493370014700563</c:v>
                </c:pt>
                <c:pt idx="48">
                  <c:v>25.78844553119805</c:v>
                </c:pt>
                <c:pt idx="49">
                  <c:v>26.088936860707655</c:v>
                </c:pt>
                <c:pt idx="50">
                  <c:v>26.395085301651307</c:v>
                </c:pt>
                <c:pt idx="51">
                  <c:v>26.706626436547474</c:v>
                </c:pt>
                <c:pt idx="52">
                  <c:v>27.023247778717597</c:v>
                </c:pt>
                <c:pt idx="53">
                  <c:v>27.344583020250607</c:v>
                </c:pt>
                <c:pt idx="54">
                  <c:v>27.670265230748228</c:v>
                </c:pt>
                <c:pt idx="55">
                  <c:v>27.99992755484012</c:v>
                </c:pt>
                <c:pt idx="56">
                  <c:v>28.333203186606838</c:v>
                </c:pt>
                <c:pt idx="57">
                  <c:v>28.669767896835779</c:v>
                </c:pt>
                <c:pt idx="58">
                  <c:v>29.009310394701796</c:v>
                </c:pt>
                <c:pt idx="59">
                  <c:v>29.35146413566078</c:v>
                </c:pt>
                <c:pt idx="60">
                  <c:v>29.695862578499248</c:v>
                </c:pt>
                <c:pt idx="61">
                  <c:v>30.042139172616146</c:v>
                </c:pt>
                <c:pt idx="62">
                  <c:v>30.389927341390788</c:v>
                </c:pt>
                <c:pt idx="63">
                  <c:v>30.738860476591025</c:v>
                </c:pt>
                <c:pt idx="64">
                  <c:v>31.091063359558589</c:v>
                </c:pt>
                <c:pt idx="65">
                  <c:v>31.448618357831858</c:v>
                </c:pt>
                <c:pt idx="66">
                  <c:v>31.810811789668264</c:v>
                </c:pt>
                <c:pt idx="67">
                  <c:v>32.176911401247985</c:v>
                </c:pt>
                <c:pt idx="68">
                  <c:v>32.546185105779756</c:v>
                </c:pt>
                <c:pt idx="69">
                  <c:v>32.917900991114756</c:v>
                </c:pt>
                <c:pt idx="70">
                  <c:v>33.291327325764819</c:v>
                </c:pt>
                <c:pt idx="71">
                  <c:v>33.666080161217209</c:v>
                </c:pt>
                <c:pt idx="72">
                  <c:v>34.041386331683832</c:v>
                </c:pt>
                <c:pt idx="73">
                  <c:v>34.416515977462915</c:v>
                </c:pt>
                <c:pt idx="74">
                  <c:v>34.79073962815832</c:v>
                </c:pt>
                <c:pt idx="75">
                  <c:v>35.163328238758226</c:v>
                </c:pt>
                <c:pt idx="76">
                  <c:v>35.533553230788648</c:v>
                </c:pt>
                <c:pt idx="77">
                  <c:v>35.900686535161952</c:v>
                </c:pt>
                <c:pt idx="78">
                  <c:v>36.267989229105297</c:v>
                </c:pt>
                <c:pt idx="79">
                  <c:v>36.638649665320344</c:v>
                </c:pt>
                <c:pt idx="80">
                  <c:v>37.01145983265971</c:v>
                </c:pt>
                <c:pt idx="81">
                  <c:v>37.385417953271215</c:v>
                </c:pt>
                <c:pt idx="82">
                  <c:v>37.759523068661167</c:v>
                </c:pt>
                <c:pt idx="83">
                  <c:v>38.132775087886714</c:v>
                </c:pt>
                <c:pt idx="84">
                  <c:v>38.504174837016123</c:v>
                </c:pt>
                <c:pt idx="85">
                  <c:v>38.872636072129886</c:v>
                </c:pt>
                <c:pt idx="86">
                  <c:v>39.236803133105909</c:v>
                </c:pt>
                <c:pt idx="87">
                  <c:v>39.595675891660697</c:v>
                </c:pt>
                <c:pt idx="88">
                  <c:v>39.948254885435865</c:v>
                </c:pt>
                <c:pt idx="89">
                  <c:v>40.29354133494919</c:v>
                </c:pt>
                <c:pt idx="90">
                  <c:v>40.63053717975005</c:v>
                </c:pt>
                <c:pt idx="91">
                  <c:v>40.958245097322141</c:v>
                </c:pt>
                <c:pt idx="92">
                  <c:v>41.277969527952528</c:v>
                </c:pt>
                <c:pt idx="93">
                  <c:v>41.591783611197314</c:v>
                </c:pt>
                <c:pt idx="94">
                  <c:v>41.899663674977454</c:v>
                </c:pt>
                <c:pt idx="95">
                  <c:v>42.201701407731662</c:v>
                </c:pt>
                <c:pt idx="96">
                  <c:v>42.49798859666739</c:v>
                </c:pt>
                <c:pt idx="97">
                  <c:v>42.788617134550329</c:v>
                </c:pt>
                <c:pt idx="98">
                  <c:v>43.073679032627595</c:v>
                </c:pt>
                <c:pt idx="99">
                  <c:v>43.353211972432263</c:v>
                </c:pt>
                <c:pt idx="100">
                  <c:v>43.62740094207291</c:v>
                </c:pt>
                <c:pt idx="101">
                  <c:v>43.896338951257128</c:v>
                </c:pt>
                <c:pt idx="102">
                  <c:v>44.160119198986557</c:v>
                </c:pt>
                <c:pt idx="103">
                  <c:v>44.418835089310377</c:v>
                </c:pt>
                <c:pt idx="104">
                  <c:v>44.672580225594864</c:v>
                </c:pt>
                <c:pt idx="105">
                  <c:v>44.921448433508345</c:v>
                </c:pt>
                <c:pt idx="106">
                  <c:v>45.165307152886946</c:v>
                </c:pt>
                <c:pt idx="107">
                  <c:v>45.403670890045085</c:v>
                </c:pt>
                <c:pt idx="108">
                  <c:v>45.636490680205561</c:v>
                </c:pt>
                <c:pt idx="109">
                  <c:v>45.863762790011151</c:v>
                </c:pt>
                <c:pt idx="110">
                  <c:v>46.085482934732767</c:v>
                </c:pt>
                <c:pt idx="111">
                  <c:v>46.301646529693542</c:v>
                </c:pt>
                <c:pt idx="112">
                  <c:v>46.51224888549676</c:v>
                </c:pt>
                <c:pt idx="113">
                  <c:v>46.717112586144459</c:v>
                </c:pt>
                <c:pt idx="114">
                  <c:v>46.916288226163843</c:v>
                </c:pt>
                <c:pt idx="115">
                  <c:v>47.109766676019191</c:v>
                </c:pt>
                <c:pt idx="116">
                  <c:v>47.297538177082487</c:v>
                </c:pt>
                <c:pt idx="117">
                  <c:v>47.479592325278688</c:v>
                </c:pt>
                <c:pt idx="118">
                  <c:v>47.655918061502909</c:v>
                </c:pt>
                <c:pt idx="119">
                  <c:v>54.179174770509015</c:v>
                </c:pt>
                <c:pt idx="120">
                  <c:v>54.362222459325558</c:v>
                </c:pt>
                <c:pt idx="121">
                  <c:v>54.539560670721237</c:v>
                </c:pt>
                <c:pt idx="122">
                  <c:v>54.711349611545458</c:v>
                </c:pt>
                <c:pt idx="123">
                  <c:v>54.8773806178543</c:v>
                </c:pt>
                <c:pt idx="124">
                  <c:v>55.037444905427293</c:v>
                </c:pt>
                <c:pt idx="125">
                  <c:v>55.191333571373626</c:v>
                </c:pt>
                <c:pt idx="126">
                  <c:v>55.338837611574164</c:v>
                </c:pt>
                <c:pt idx="127">
                  <c:v>55.479758496644685</c:v>
                </c:pt>
                <c:pt idx="128">
                  <c:v>55.614115869808941</c:v>
                </c:pt>
                <c:pt idx="129">
                  <c:v>55.741709162018438</c:v>
                </c:pt>
                <c:pt idx="130">
                  <c:v>55.8623381938256</c:v>
                </c:pt>
                <c:pt idx="131">
                  <c:v>55.975803176547693</c:v>
                </c:pt>
                <c:pt idx="132">
                  <c:v>56.0819047357149</c:v>
                </c:pt>
                <c:pt idx="133">
                  <c:v>56.180443911481973</c:v>
                </c:pt>
                <c:pt idx="134">
                  <c:v>56.270848060937851</c:v>
                </c:pt>
                <c:pt idx="135">
                  <c:v>56.352981173448143</c:v>
                </c:pt>
                <c:pt idx="136">
                  <c:v>56.42725695281068</c:v>
                </c:pt>
                <c:pt idx="137">
                  <c:v>56.494090771573894</c:v>
                </c:pt>
                <c:pt idx="138">
                  <c:v>56.553897867418016</c:v>
                </c:pt>
                <c:pt idx="139">
                  <c:v>56.607093322919283</c:v>
                </c:pt>
                <c:pt idx="140">
                  <c:v>56.65409209330636</c:v>
                </c:pt>
                <c:pt idx="141">
                  <c:v>56.695361440731951</c:v>
                </c:pt>
                <c:pt idx="142">
                  <c:v>56.731306138477009</c:v>
                </c:pt>
                <c:pt idx="143">
                  <c:v>56.762343098521789</c:v>
                </c:pt>
                <c:pt idx="144">
                  <c:v>56.788888291503071</c:v>
                </c:pt>
                <c:pt idx="145">
                  <c:v>56.811357555439443</c:v>
                </c:pt>
                <c:pt idx="146">
                  <c:v>56.830166595665297</c:v>
                </c:pt>
                <c:pt idx="147">
                  <c:v>56.845730965413182</c:v>
                </c:pt>
                <c:pt idx="148">
                  <c:v>56.856788849391521</c:v>
                </c:pt>
                <c:pt idx="149">
                  <c:v>56.862051018796684</c:v>
                </c:pt>
                <c:pt idx="150">
                  <c:v>56.861801385389882</c:v>
                </c:pt>
                <c:pt idx="151">
                  <c:v>56.856356251065051</c:v>
                </c:pt>
                <c:pt idx="152">
                  <c:v>56.84603178904203</c:v>
                </c:pt>
                <c:pt idx="153">
                  <c:v>56.831144016988418</c:v>
                </c:pt>
                <c:pt idx="154">
                  <c:v>56.812008765156875</c:v>
                </c:pt>
                <c:pt idx="155">
                  <c:v>56.788959701506833</c:v>
                </c:pt>
                <c:pt idx="156">
                  <c:v>56.762249289574029</c:v>
                </c:pt>
                <c:pt idx="157">
                  <c:v>56.73219100983215</c:v>
                </c:pt>
                <c:pt idx="158">
                  <c:v>56.699098045256044</c:v>
                </c:pt>
                <c:pt idx="159">
                  <c:v>56.663283260481123</c:v>
                </c:pt>
                <c:pt idx="160">
                  <c:v>56.625059172087198</c:v>
                </c:pt>
                <c:pt idx="161">
                  <c:v>56.584737930621493</c:v>
                </c:pt>
                <c:pt idx="162">
                  <c:v>56.541871788273582</c:v>
                </c:pt>
                <c:pt idx="163">
                  <c:v>56.495834587623193</c:v>
                </c:pt>
                <c:pt idx="164">
                  <c:v>56.446589475947043</c:v>
                </c:pt>
                <c:pt idx="165">
                  <c:v>56.394144210508792</c:v>
                </c:pt>
                <c:pt idx="166">
                  <c:v>56.33850638771613</c:v>
                </c:pt>
                <c:pt idx="167">
                  <c:v>56.279683413146685</c:v>
                </c:pt>
                <c:pt idx="168">
                  <c:v>56.217682486249259</c:v>
                </c:pt>
                <c:pt idx="169">
                  <c:v>56.152535730279752</c:v>
                </c:pt>
                <c:pt idx="170">
                  <c:v>56.084229369704715</c:v>
                </c:pt>
                <c:pt idx="171">
                  <c:v>56.012769972286733</c:v>
                </c:pt>
                <c:pt idx="172">
                  <c:v>55.938163827668461</c:v>
                </c:pt>
                <c:pt idx="173">
                  <c:v>55.860419374515928</c:v>
                </c:pt>
                <c:pt idx="174">
                  <c:v>55.779544959536125</c:v>
                </c:pt>
                <c:pt idx="175">
                  <c:v>55.695546271956665</c:v>
                </c:pt>
                <c:pt idx="176">
                  <c:v>55.60842867883278</c:v>
                </c:pt>
                <c:pt idx="177">
                  <c:v>55.518219691581287</c:v>
                </c:pt>
                <c:pt idx="178">
                  <c:v>55.424354267624551</c:v>
                </c:pt>
                <c:pt idx="179">
                  <c:v>55.327388429010064</c:v>
                </c:pt>
                <c:pt idx="180">
                  <c:v>55.227335039774118</c:v>
                </c:pt>
                <c:pt idx="181">
                  <c:v>55.124199923053368</c:v>
                </c:pt>
                <c:pt idx="182">
                  <c:v>55.017988477711462</c:v>
                </c:pt>
                <c:pt idx="183">
                  <c:v>54.908759545123765</c:v>
                </c:pt>
                <c:pt idx="184">
                  <c:v>54.796488116219379</c:v>
                </c:pt>
                <c:pt idx="185">
                  <c:v>54.681177748749995</c:v>
                </c:pt>
                <c:pt idx="186">
                  <c:v>54.562831615459679</c:v>
                </c:pt>
                <c:pt idx="187">
                  <c:v>54.441452518157632</c:v>
                </c:pt>
                <c:pt idx="188">
                  <c:v>54.317042910443668</c:v>
                </c:pt>
                <c:pt idx="189">
                  <c:v>54.18960491130759</c:v>
                </c:pt>
                <c:pt idx="190">
                  <c:v>54.058486864665909</c:v>
                </c:pt>
                <c:pt idx="191">
                  <c:v>53.923320704534845</c:v>
                </c:pt>
                <c:pt idx="192">
                  <c:v>53.784381775428841</c:v>
                </c:pt>
                <c:pt idx="193">
                  <c:v>53.641972561386709</c:v>
                </c:pt>
                <c:pt idx="194">
                  <c:v>53.496395030083313</c:v>
                </c:pt>
                <c:pt idx="195">
                  <c:v>53.347950664307575</c:v>
                </c:pt>
                <c:pt idx="196">
                  <c:v>53.19694048564142</c:v>
                </c:pt>
                <c:pt idx="197">
                  <c:v>53.04371401108525</c:v>
                </c:pt>
                <c:pt idx="198">
                  <c:v>52.88851475449659</c:v>
                </c:pt>
                <c:pt idx="199">
                  <c:v>52.731642438900238</c:v>
                </c:pt>
                <c:pt idx="200">
                  <c:v>52.573396442239151</c:v>
                </c:pt>
                <c:pt idx="201">
                  <c:v>52.414075824832032</c:v>
                </c:pt>
                <c:pt idx="202">
                  <c:v>52.25397934895296</c:v>
                </c:pt>
                <c:pt idx="203">
                  <c:v>52.093405499177678</c:v>
                </c:pt>
                <c:pt idx="204">
                  <c:v>51.932769775615817</c:v>
                </c:pt>
                <c:pt idx="205">
                  <c:v>51.77199642776386</c:v>
                </c:pt>
                <c:pt idx="206">
                  <c:v>51.61059530310159</c:v>
                </c:pt>
                <c:pt idx="207">
                  <c:v>51.44816086509541</c:v>
                </c:pt>
                <c:pt idx="208">
                  <c:v>51.284288250427473</c:v>
                </c:pt>
                <c:pt idx="209">
                  <c:v>51.118573266071579</c:v>
                </c:pt>
                <c:pt idx="210">
                  <c:v>50.950612383330558</c:v>
                </c:pt>
                <c:pt idx="211">
                  <c:v>50.779900391924421</c:v>
                </c:pt>
                <c:pt idx="212">
                  <c:v>50.60597928429241</c:v>
                </c:pt>
                <c:pt idx="213">
                  <c:v>50.42844222053359</c:v>
                </c:pt>
                <c:pt idx="214">
                  <c:v>50.246883370801498</c:v>
                </c:pt>
                <c:pt idx="215">
                  <c:v>50.060897894198519</c:v>
                </c:pt>
                <c:pt idx="216">
                  <c:v>49.870081906918784</c:v>
                </c:pt>
                <c:pt idx="217">
                  <c:v>49.674032457794873</c:v>
                </c:pt>
                <c:pt idx="218">
                  <c:v>49.473562337760079</c:v>
                </c:pt>
                <c:pt idx="219">
                  <c:v>49.269248969404259</c:v>
                </c:pt>
                <c:pt idx="220">
                  <c:v>49.061025111138761</c:v>
                </c:pt>
                <c:pt idx="221">
                  <c:v>48.848790099694789</c:v>
                </c:pt>
                <c:pt idx="222">
                  <c:v>48.632443759363355</c:v>
                </c:pt>
                <c:pt idx="223">
                  <c:v>48.41188638150151</c:v>
                </c:pt>
                <c:pt idx="224">
                  <c:v>48.187018707086104</c:v>
                </c:pt>
                <c:pt idx="225">
                  <c:v>47.956957128903582</c:v>
                </c:pt>
                <c:pt idx="226">
                  <c:v>47.72172662689907</c:v>
                </c:pt>
                <c:pt idx="227">
                  <c:v>47.481232153492087</c:v>
                </c:pt>
                <c:pt idx="228">
                  <c:v>47.235379000061116</c:v>
                </c:pt>
                <c:pt idx="229">
                  <c:v>46.984072793981511</c:v>
                </c:pt>
                <c:pt idx="230">
                  <c:v>46.727219513509752</c:v>
                </c:pt>
                <c:pt idx="231">
                  <c:v>46.464725483985596</c:v>
                </c:pt>
                <c:pt idx="232">
                  <c:v>46.196961828730728</c:v>
                </c:pt>
                <c:pt idx="233">
                  <c:v>45.924048303997367</c:v>
                </c:pt>
                <c:pt idx="234">
                  <c:v>45.646324942793896</c:v>
                </c:pt>
                <c:pt idx="235">
                  <c:v>45.36369692963877</c:v>
                </c:pt>
                <c:pt idx="236">
                  <c:v>45.076069784503332</c:v>
                </c:pt>
                <c:pt idx="237">
                  <c:v>44.783349659731314</c:v>
                </c:pt>
                <c:pt idx="238">
                  <c:v>44.485443162859681</c:v>
                </c:pt>
                <c:pt idx="239">
                  <c:v>44.182445656028229</c:v>
                </c:pt>
                <c:pt idx="240">
                  <c:v>43.875048239408549</c:v>
                </c:pt>
                <c:pt idx="241">
                  <c:v>43.563158223366152</c:v>
                </c:pt>
                <c:pt idx="242">
                  <c:v>43.246683068498278</c:v>
                </c:pt>
                <c:pt idx="243">
                  <c:v>42.925530389747237</c:v>
                </c:pt>
                <c:pt idx="244">
                  <c:v>42.599607975909031</c:v>
                </c:pt>
                <c:pt idx="245">
                  <c:v>42.268823792525588</c:v>
                </c:pt>
                <c:pt idx="246">
                  <c:v>41.932904113737614</c:v>
                </c:pt>
                <c:pt idx="247">
                  <c:v>41.591712471248862</c:v>
                </c:pt>
                <c:pt idx="248">
                  <c:v>41.245712993853111</c:v>
                </c:pt>
                <c:pt idx="249">
                  <c:v>40.895113939861886</c:v>
                </c:pt>
                <c:pt idx="250">
                  <c:v>40.540123249144081</c:v>
                </c:pt>
                <c:pt idx="251">
                  <c:v>40.18094856405628</c:v>
                </c:pt>
                <c:pt idx="252">
                  <c:v>39.817797249445363</c:v>
                </c:pt>
                <c:pt idx="253">
                  <c:v>39.451418767893081</c:v>
                </c:pt>
                <c:pt idx="254">
                  <c:v>39.081830257494573</c:v>
                </c:pt>
                <c:pt idx="255">
                  <c:v>38.709237858703545</c:v>
                </c:pt>
                <c:pt idx="256">
                  <c:v>38.333847283612265</c:v>
                </c:pt>
                <c:pt idx="257">
                  <c:v>37.955863827543332</c:v>
                </c:pt>
                <c:pt idx="258">
                  <c:v>37.575492371878468</c:v>
                </c:pt>
                <c:pt idx="259">
                  <c:v>37.192937389293981</c:v>
                </c:pt>
                <c:pt idx="260">
                  <c:v>36.805122903478676</c:v>
                </c:pt>
                <c:pt idx="261">
                  <c:v>36.410787993242046</c:v>
                </c:pt>
                <c:pt idx="262">
                  <c:v>36.011274556246264</c:v>
                </c:pt>
                <c:pt idx="263">
                  <c:v>35.607868085013088</c:v>
                </c:pt>
                <c:pt idx="264">
                  <c:v>35.201852115436942</c:v>
                </c:pt>
                <c:pt idx="265">
                  <c:v>34.794504099376518</c:v>
                </c:pt>
                <c:pt idx="266">
                  <c:v>34.387101461427633</c:v>
                </c:pt>
                <c:pt idx="267">
                  <c:v>33.981460933316981</c:v>
                </c:pt>
                <c:pt idx="268">
                  <c:v>33.578320909524876</c:v>
                </c:pt>
                <c:pt idx="269">
                  <c:v>33.178954649330599</c:v>
                </c:pt>
                <c:pt idx="270">
                  <c:v>32.784633355819878</c:v>
                </c:pt>
                <c:pt idx="271">
                  <c:v>32.396626101765065</c:v>
                </c:pt>
                <c:pt idx="272">
                  <c:v>32.016199767412552</c:v>
                </c:pt>
                <c:pt idx="273">
                  <c:v>31.644618974305413</c:v>
                </c:pt>
                <c:pt idx="274">
                  <c:v>31.279941331235708</c:v>
                </c:pt>
                <c:pt idx="275">
                  <c:v>30.919457017823611</c:v>
                </c:pt>
                <c:pt idx="276">
                  <c:v>30.562096804736832</c:v>
                </c:pt>
                <c:pt idx="277">
                  <c:v>30.207849285140952</c:v>
                </c:pt>
                <c:pt idx="278">
                  <c:v>29.856702276878853</c:v>
                </c:pt>
                <c:pt idx="279">
                  <c:v>29.508642805356892</c:v>
                </c:pt>
                <c:pt idx="280">
                  <c:v>29.163657092747915</c:v>
                </c:pt>
                <c:pt idx="281">
                  <c:v>28.821626451897615</c:v>
                </c:pt>
                <c:pt idx="282">
                  <c:v>28.482024446085024</c:v>
                </c:pt>
                <c:pt idx="283">
                  <c:v>28.144842835889872</c:v>
                </c:pt>
                <c:pt idx="284">
                  <c:v>27.810073094369255</c:v>
                </c:pt>
                <c:pt idx="285">
                  <c:v>27.477706425245543</c:v>
                </c:pt>
                <c:pt idx="286">
                  <c:v>27.147733786208072</c:v>
                </c:pt>
                <c:pt idx="287">
                  <c:v>26.820145914904508</c:v>
                </c:pt>
                <c:pt idx="288">
                  <c:v>26.49450722511504</c:v>
                </c:pt>
                <c:pt idx="289">
                  <c:v>26.170257508804347</c:v>
                </c:pt>
                <c:pt idx="290">
                  <c:v>25.847507014411086</c:v>
                </c:pt>
                <c:pt idx="291">
                  <c:v>25.52644831229955</c:v>
                </c:pt>
                <c:pt idx="292">
                  <c:v>25.207274025778219</c:v>
                </c:pt>
                <c:pt idx="293">
                  <c:v>24.890176855479428</c:v>
                </c:pt>
                <c:pt idx="294">
                  <c:v>24.575349606073466</c:v>
                </c:pt>
                <c:pt idx="295">
                  <c:v>24.262719458943334</c:v>
                </c:pt>
                <c:pt idx="296">
                  <c:v>23.952576159154184</c:v>
                </c:pt>
                <c:pt idx="297">
                  <c:v>23.645113303749003</c:v>
                </c:pt>
                <c:pt idx="298">
                  <c:v>23.340528211142445</c:v>
                </c:pt>
                <c:pt idx="299">
                  <c:v>23.039018406914259</c:v>
                </c:pt>
                <c:pt idx="300">
                  <c:v>22.740781615117722</c:v>
                </c:pt>
                <c:pt idx="301">
                  <c:v>22.44601575444419</c:v>
                </c:pt>
                <c:pt idx="302">
                  <c:v>22.15294070838171</c:v>
                </c:pt>
                <c:pt idx="303">
                  <c:v>21.859763749966657</c:v>
                </c:pt>
                <c:pt idx="304">
                  <c:v>21.567416045478215</c:v>
                </c:pt>
                <c:pt idx="305">
                  <c:v>21.276590316909445</c:v>
                </c:pt>
                <c:pt idx="306">
                  <c:v>20.987979031082393</c:v>
                </c:pt>
                <c:pt idx="307">
                  <c:v>20.702274375350218</c:v>
                </c:pt>
                <c:pt idx="308">
                  <c:v>20.420168213930459</c:v>
                </c:pt>
                <c:pt idx="309">
                  <c:v>20.142028944055813</c:v>
                </c:pt>
                <c:pt idx="310">
                  <c:v>19.868795018929521</c:v>
                </c:pt>
                <c:pt idx="311">
                  <c:v>19.601158977348181</c:v>
                </c:pt>
                <c:pt idx="312">
                  <c:v>19.339812834151218</c:v>
                </c:pt>
                <c:pt idx="313">
                  <c:v>19.085448019491768</c:v>
                </c:pt>
                <c:pt idx="314">
                  <c:v>18.838755342634705</c:v>
                </c:pt>
                <c:pt idx="315">
                  <c:v>18.600424943431264</c:v>
                </c:pt>
                <c:pt idx="316">
                  <c:v>18.369221633650454</c:v>
                </c:pt>
                <c:pt idx="317">
                  <c:v>18.143643136028022</c:v>
                </c:pt>
                <c:pt idx="318">
                  <c:v>17.924096323015146</c:v>
                </c:pt>
                <c:pt idx="319">
                  <c:v>17.710675084260071</c:v>
                </c:pt>
                <c:pt idx="320">
                  <c:v>17.503473210936985</c:v>
                </c:pt>
                <c:pt idx="321">
                  <c:v>17.302584405177907</c:v>
                </c:pt>
                <c:pt idx="322">
                  <c:v>17.10810228499691</c:v>
                </c:pt>
                <c:pt idx="323">
                  <c:v>16.920441442361586</c:v>
                </c:pt>
                <c:pt idx="324">
                  <c:v>16.739980302116773</c:v>
                </c:pt>
                <c:pt idx="325">
                  <c:v>16.566801213781275</c:v>
                </c:pt>
                <c:pt idx="326">
                  <c:v>16.400989059139377</c:v>
                </c:pt>
                <c:pt idx="327">
                  <c:v>16.242628114061144</c:v>
                </c:pt>
                <c:pt idx="328">
                  <c:v>16.091801747982043</c:v>
                </c:pt>
                <c:pt idx="329">
                  <c:v>15.948594012422626</c:v>
                </c:pt>
                <c:pt idx="330">
                  <c:v>15.811787998468461</c:v>
                </c:pt>
                <c:pt idx="331">
                  <c:v>15.680484654720027</c:v>
                </c:pt>
                <c:pt idx="332">
                  <c:v>15.555047915710619</c:v>
                </c:pt>
                <c:pt idx="333">
                  <c:v>15.435956903469091</c:v>
                </c:pt>
                <c:pt idx="334">
                  <c:v>15.323691133443569</c:v>
                </c:pt>
                <c:pt idx="335">
                  <c:v>15.218730479037982</c:v>
                </c:pt>
                <c:pt idx="336">
                  <c:v>15.121555156133887</c:v>
                </c:pt>
                <c:pt idx="337">
                  <c:v>15.032573218105012</c:v>
                </c:pt>
                <c:pt idx="338">
                  <c:v>14.951969238218476</c:v>
                </c:pt>
                <c:pt idx="339">
                  <c:v>14.880228360326633</c:v>
                </c:pt>
                <c:pt idx="340">
                  <c:v>14.81783549567192</c:v>
                </c:pt>
                <c:pt idx="341">
                  <c:v>14.765275305465277</c:v>
                </c:pt>
                <c:pt idx="342">
                  <c:v>14.723032173612429</c:v>
                </c:pt>
                <c:pt idx="343">
                  <c:v>14.691590180215654</c:v>
                </c:pt>
                <c:pt idx="344">
                  <c:v>14.672045364472414</c:v>
                </c:pt>
                <c:pt idx="345">
                  <c:v>14.664605616554368</c:v>
                </c:pt>
                <c:pt idx="346">
                  <c:v>14.668295690547247</c:v>
                </c:pt>
                <c:pt idx="347">
                  <c:v>14.682269159956357</c:v>
                </c:pt>
                <c:pt idx="348">
                  <c:v>14.705680084776183</c:v>
                </c:pt>
                <c:pt idx="349">
                  <c:v>14.737683001801116</c:v>
                </c:pt>
                <c:pt idx="350">
                  <c:v>14.777432922126646</c:v>
                </c:pt>
                <c:pt idx="351">
                  <c:v>14.824011565789268</c:v>
                </c:pt>
                <c:pt idx="352">
                  <c:v>14.876644910966952</c:v>
                </c:pt>
                <c:pt idx="353">
                  <c:v>14.934489364609732</c:v>
                </c:pt>
                <c:pt idx="354">
                  <c:v>14.99670180240226</c:v>
                </c:pt>
                <c:pt idx="355">
                  <c:v>15.062439567372211</c:v>
                </c:pt>
                <c:pt idx="356">
                  <c:v>15.130862261391933</c:v>
                </c:pt>
                <c:pt idx="357">
                  <c:v>15.201126675209785</c:v>
                </c:pt>
                <c:pt idx="358">
                  <c:v>15.273776550710823</c:v>
                </c:pt>
                <c:pt idx="359">
                  <c:v>15.350122452860662</c:v>
                </c:pt>
                <c:pt idx="360">
                  <c:v>15.430404981686863</c:v>
                </c:pt>
                <c:pt idx="361">
                  <c:v>15.515006641408512</c:v>
                </c:pt>
                <c:pt idx="362">
                  <c:v>15.604236360519026</c:v>
                </c:pt>
                <c:pt idx="363">
                  <c:v>15.698402672333579</c:v>
                </c:pt>
                <c:pt idx="364">
                  <c:v>15.797813723590405</c:v>
                </c:pt>
                <c:pt idx="365">
                  <c:v>15.496519150249938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5.8</c:v>
                </c:pt>
                <c:pt idx="1">
                  <c:v>1.7810000000000001</c:v>
                </c:pt>
                <c:pt idx="2">
                  <c:v>12.753</c:v>
                </c:pt>
                <c:pt idx="3">
                  <c:v>10.752000000000001</c:v>
                </c:pt>
                <c:pt idx="4">
                  <c:v>10.739000000000001</c:v>
                </c:pt>
                <c:pt idx="5">
                  <c:v>4.6900000000000004</c:v>
                </c:pt>
                <c:pt idx="6">
                  <c:v>10.788</c:v>
                </c:pt>
                <c:pt idx="7">
                  <c:v>5.4489999999999998</c:v>
                </c:pt>
                <c:pt idx="8">
                  <c:v>6.782</c:v>
                </c:pt>
                <c:pt idx="9">
                  <c:v>14.625</c:v>
                </c:pt>
                <c:pt idx="10">
                  <c:v>4.0739999999999998</c:v>
                </c:pt>
                <c:pt idx="11">
                  <c:v>14.122</c:v>
                </c:pt>
                <c:pt idx="12">
                  <c:v>9.6920000000000002</c:v>
                </c:pt>
                <c:pt idx="13">
                  <c:v>12.27</c:v>
                </c:pt>
                <c:pt idx="14">
                  <c:v>6.3410000000000002</c:v>
                </c:pt>
                <c:pt idx="15">
                  <c:v>3.3980000000000001</c:v>
                </c:pt>
                <c:pt idx="16">
                  <c:v>5.5270000000000001</c:v>
                </c:pt>
                <c:pt idx="17">
                  <c:v>13.574</c:v>
                </c:pt>
                <c:pt idx="18">
                  <c:v>7.2830000000000004</c:v>
                </c:pt>
                <c:pt idx="19">
                  <c:v>14.59</c:v>
                </c:pt>
                <c:pt idx="20">
                  <c:v>5.593</c:v>
                </c:pt>
                <c:pt idx="21">
                  <c:v>18.105230936758993</c:v>
                </c:pt>
                <c:pt idx="22">
                  <c:v>18.368308832934812</c:v>
                </c:pt>
                <c:pt idx="23">
                  <c:v>18.478885644398673</c:v>
                </c:pt>
                <c:pt idx="24">
                  <c:v>18.507908767735099</c:v>
                </c:pt>
                <c:pt idx="25">
                  <c:v>18.764354019369065</c:v>
                </c:pt>
                <c:pt idx="26">
                  <c:v>19.638951444141764</c:v>
                </c:pt>
                <c:pt idx="27">
                  <c:v>3.9065013532906385</c:v>
                </c:pt>
                <c:pt idx="28">
                  <c:v>7.7518048620367335</c:v>
                </c:pt>
                <c:pt idx="29">
                  <c:v>4.0823079830311553</c:v>
                </c:pt>
                <c:pt idx="30">
                  <c:v>8.428309627462033</c:v>
                </c:pt>
                <c:pt idx="31">
                  <c:v>8.2537388618526837</c:v>
                </c:pt>
                <c:pt idx="32">
                  <c:v>4.954495634059934</c:v>
                </c:pt>
                <c:pt idx="33">
                  <c:v>9.0309075544326589</c:v>
                </c:pt>
                <c:pt idx="34">
                  <c:v>8.2136198991977292</c:v>
                </c:pt>
                <c:pt idx="35">
                  <c:v>8.5222426306523662</c:v>
                </c:pt>
                <c:pt idx="36">
                  <c:v>14.77299937018644</c:v>
                </c:pt>
                <c:pt idx="37">
                  <c:v>8.5218119585611092</c:v>
                </c:pt>
                <c:pt idx="38">
                  <c:v>23.232573017839325</c:v>
                </c:pt>
                <c:pt idx="39">
                  <c:v>22.988229116889315</c:v>
                </c:pt>
                <c:pt idx="40">
                  <c:v>21.484473085442456</c:v>
                </c:pt>
                <c:pt idx="41">
                  <c:v>14.20244510173559</c:v>
                </c:pt>
                <c:pt idx="42">
                  <c:v>20.140658686438851</c:v>
                </c:pt>
                <c:pt idx="43">
                  <c:v>23.076305491166121</c:v>
                </c:pt>
                <c:pt idx="44">
                  <c:v>12.181123322138122</c:v>
                </c:pt>
                <c:pt idx="45">
                  <c:v>15.449569392505463</c:v>
                </c:pt>
                <c:pt idx="46">
                  <c:v>9.4596899287001097</c:v>
                </c:pt>
                <c:pt idx="47">
                  <c:v>10.16379978521846</c:v>
                </c:pt>
                <c:pt idx="48">
                  <c:v>20.058069949476629</c:v>
                </c:pt>
                <c:pt idx="49">
                  <c:v>17.870491674694801</c:v>
                </c:pt>
                <c:pt idx="50">
                  <c:v>16.254150276543683</c:v>
                </c:pt>
                <c:pt idx="51">
                  <c:v>17.550993640832377</c:v>
                </c:pt>
                <c:pt idx="52">
                  <c:v>25.550034511103494</c:v>
                </c:pt>
                <c:pt idx="53">
                  <c:v>25.552210081713969</c:v>
                </c:pt>
                <c:pt idx="54">
                  <c:v>14.56964407311011</c:v>
                </c:pt>
                <c:pt idx="55">
                  <c:v>26.027746447138185</c:v>
                </c:pt>
                <c:pt idx="56">
                  <c:v>29.219774531598421</c:v>
                </c:pt>
                <c:pt idx="57">
                  <c:v>23.848637029739688</c:v>
                </c:pt>
                <c:pt idx="58">
                  <c:v>24.031765228964467</c:v>
                </c:pt>
                <c:pt idx="59">
                  <c:v>29.46888949621907</c:v>
                </c:pt>
                <c:pt idx="60">
                  <c:v>8.4793693685010911</c:v>
                </c:pt>
                <c:pt idx="61">
                  <c:v>28.699399059364147</c:v>
                </c:pt>
                <c:pt idx="62">
                  <c:v>3.8303389164819301</c:v>
                </c:pt>
                <c:pt idx="63">
                  <c:v>12.295664183286959</c:v>
                </c:pt>
                <c:pt idx="64">
                  <c:v>14.177479532505686</c:v>
                </c:pt>
                <c:pt idx="65">
                  <c:v>30.167110698024903</c:v>
                </c:pt>
                <c:pt idx="66">
                  <c:v>23.337169076654064</c:v>
                </c:pt>
                <c:pt idx="67">
                  <c:v>24.356409793691476</c:v>
                </c:pt>
                <c:pt idx="68">
                  <c:v>19.319410527533453</c:v>
                </c:pt>
                <c:pt idx="69">
                  <c:v>12.599390716436432</c:v>
                </c:pt>
                <c:pt idx="70">
                  <c:v>13.225949204807584</c:v>
                </c:pt>
                <c:pt idx="71">
                  <c:v>9.5313155978292059</c:v>
                </c:pt>
                <c:pt idx="72">
                  <c:v>12.711732529608369</c:v>
                </c:pt>
                <c:pt idx="73">
                  <c:v>12.784857049371396</c:v>
                </c:pt>
                <c:pt idx="74">
                  <c:v>11.645526868163389</c:v>
                </c:pt>
                <c:pt idx="75">
                  <c:v>9.6256332072635473</c:v>
                </c:pt>
                <c:pt idx="76">
                  <c:v>12.925505672267452</c:v>
                </c:pt>
                <c:pt idx="77">
                  <c:v>23.768233115911791</c:v>
                </c:pt>
                <c:pt idx="78">
                  <c:v>24.742865538969337</c:v>
                </c:pt>
                <c:pt idx="79">
                  <c:v>34.273981116373953</c:v>
                </c:pt>
                <c:pt idx="80">
                  <c:v>32.625866452776336</c:v>
                </c:pt>
                <c:pt idx="81">
                  <c:v>37.092433220789417</c:v>
                </c:pt>
                <c:pt idx="82">
                  <c:v>36.152524554044334</c:v>
                </c:pt>
                <c:pt idx="83">
                  <c:v>34.47851079649827</c:v>
                </c:pt>
                <c:pt idx="84">
                  <c:v>36.594584710934967</c:v>
                </c:pt>
                <c:pt idx="85">
                  <c:v>35.314903523007857</c:v>
                </c:pt>
                <c:pt idx="86">
                  <c:v>26.77698394297563</c:v>
                </c:pt>
                <c:pt idx="87">
                  <c:v>22.997541427904647</c:v>
                </c:pt>
                <c:pt idx="88">
                  <c:v>7.0952253302339985</c:v>
                </c:pt>
                <c:pt idx="89">
                  <c:v>25.715870196293992</c:v>
                </c:pt>
                <c:pt idx="90">
                  <c:v>27.609799588773072</c:v>
                </c:pt>
                <c:pt idx="91">
                  <c:v>18.487856057752708</c:v>
                </c:pt>
                <c:pt idx="92">
                  <c:v>18.485563767523114</c:v>
                </c:pt>
                <c:pt idx="93">
                  <c:v>40.636632103909307</c:v>
                </c:pt>
                <c:pt idx="94">
                  <c:v>41.812446033562068</c:v>
                </c:pt>
                <c:pt idx="95">
                  <c:v>10.181362725249169</c:v>
                </c:pt>
                <c:pt idx="96">
                  <c:v>30.382678606190261</c:v>
                </c:pt>
                <c:pt idx="97">
                  <c:v>23.843126508316804</c:v>
                </c:pt>
                <c:pt idx="98">
                  <c:v>32.018628823896037</c:v>
                </c:pt>
                <c:pt idx="99">
                  <c:v>42.149570661361771</c:v>
                </c:pt>
                <c:pt idx="100">
                  <c:v>35.58189274233073</c:v>
                </c:pt>
                <c:pt idx="101">
                  <c:v>29.684952396754603</c:v>
                </c:pt>
                <c:pt idx="102">
                  <c:v>6.4132750288330342</c:v>
                </c:pt>
                <c:pt idx="103">
                  <c:v>32.87047533094124</c:v>
                </c:pt>
                <c:pt idx="104">
                  <c:v>38.478417977609475</c:v>
                </c:pt>
                <c:pt idx="105">
                  <c:v>40.13915654059312</c:v>
                </c:pt>
                <c:pt idx="106">
                  <c:v>43.708566953333815</c:v>
                </c:pt>
                <c:pt idx="107">
                  <c:v>34.183295826626058</c:v>
                </c:pt>
                <c:pt idx="108">
                  <c:v>7.8540295452981423</c:v>
                </c:pt>
                <c:pt idx="109">
                  <c:v>9.1404948536645758</c:v>
                </c:pt>
                <c:pt idx="110">
                  <c:v>8.6133151866867586</c:v>
                </c:pt>
                <c:pt idx="111">
                  <c:v>24.708708624133514</c:v>
                </c:pt>
                <c:pt idx="112">
                  <c:v>8.4688001514105782</c:v>
                </c:pt>
                <c:pt idx="113">
                  <c:v>26.99682585402687</c:v>
                </c:pt>
                <c:pt idx="114">
                  <c:v>43.195524620007021</c:v>
                </c:pt>
                <c:pt idx="115">
                  <c:v>45.185456783063756</c:v>
                </c:pt>
                <c:pt idx="116">
                  <c:v>32.883513047638012</c:v>
                </c:pt>
                <c:pt idx="117">
                  <c:v>18.399444420521377</c:v>
                </c:pt>
                <c:pt idx="118">
                  <c:v>34.240704867574678</c:v>
                </c:pt>
                <c:pt idx="119">
                  <c:v>43.840499255243436</c:v>
                </c:pt>
                <c:pt idx="120">
                  <c:v>44.690191162092205</c:v>
                </c:pt>
                <c:pt idx="121">
                  <c:v>29.145126101442628</c:v>
                </c:pt>
                <c:pt idx="122">
                  <c:v>35.563318161130674</c:v>
                </c:pt>
                <c:pt idx="123">
                  <c:v>20.926309970888415</c:v>
                </c:pt>
                <c:pt idx="124">
                  <c:v>41.613381420562497</c:v>
                </c:pt>
                <c:pt idx="125">
                  <c:v>35.051067215921599</c:v>
                </c:pt>
                <c:pt idx="126">
                  <c:v>51.293128473506926</c:v>
                </c:pt>
                <c:pt idx="127">
                  <c:v>46.743455564530613</c:v>
                </c:pt>
                <c:pt idx="128">
                  <c:v>51.712363965160641</c:v>
                </c:pt>
                <c:pt idx="129">
                  <c:v>47.985982777032227</c:v>
                </c:pt>
                <c:pt idx="130">
                  <c:v>51.862300545301416</c:v>
                </c:pt>
                <c:pt idx="131">
                  <c:v>39.645837321654874</c:v>
                </c:pt>
                <c:pt idx="132">
                  <c:v>42.33903074761043</c:v>
                </c:pt>
                <c:pt idx="133">
                  <c:v>46.20769224843081</c:v>
                </c:pt>
                <c:pt idx="134">
                  <c:v>48.599285282703264</c:v>
                </c:pt>
                <c:pt idx="135">
                  <c:v>47.116189538937853</c:v>
                </c:pt>
                <c:pt idx="136">
                  <c:v>50.220952357163526</c:v>
                </c:pt>
                <c:pt idx="137">
                  <c:v>49.034744565384337</c:v>
                </c:pt>
                <c:pt idx="138">
                  <c:v>51.567889156877428</c:v>
                </c:pt>
                <c:pt idx="139">
                  <c:v>45.856133887811367</c:v>
                </c:pt>
                <c:pt idx="140">
                  <c:v>44.679856020510456</c:v>
                </c:pt>
                <c:pt idx="141">
                  <c:v>33.020436988607081</c:v>
                </c:pt>
                <c:pt idx="142">
                  <c:v>19.335825333610316</c:v>
                </c:pt>
                <c:pt idx="143">
                  <c:v>16.599979735231393</c:v>
                </c:pt>
                <c:pt idx="144">
                  <c:v>38.699222193616791</c:v>
                </c:pt>
                <c:pt idx="145">
                  <c:v>21.010824526167156</c:v>
                </c:pt>
                <c:pt idx="146">
                  <c:v>45.422247779893603</c:v>
                </c:pt>
                <c:pt idx="147">
                  <c:v>52.047784303828365</c:v>
                </c:pt>
                <c:pt idx="148">
                  <c:v>55.735967521157995</c:v>
                </c:pt>
                <c:pt idx="149">
                  <c:v>50.108279606680547</c:v>
                </c:pt>
                <c:pt idx="150">
                  <c:v>51.404210102754895</c:v>
                </c:pt>
                <c:pt idx="151">
                  <c:v>52.690535434899495</c:v>
                </c:pt>
                <c:pt idx="152">
                  <c:v>43.331644883805083</c:v>
                </c:pt>
                <c:pt idx="153">
                  <c:v>50.484535546226006</c:v>
                </c:pt>
                <c:pt idx="154">
                  <c:v>23.904083488405412</c:v>
                </c:pt>
                <c:pt idx="155">
                  <c:v>33.792076090343464</c:v>
                </c:pt>
                <c:pt idx="156">
                  <c:v>42.962318194141638</c:v>
                </c:pt>
                <c:pt idx="157">
                  <c:v>28.988653469041669</c:v>
                </c:pt>
                <c:pt idx="158">
                  <c:v>19.744849886421104</c:v>
                </c:pt>
                <c:pt idx="159">
                  <c:v>42.267293510395199</c:v>
                </c:pt>
                <c:pt idx="160">
                  <c:v>53.674693907246628</c:v>
                </c:pt>
                <c:pt idx="161">
                  <c:v>52.662492378897468</c:v>
                </c:pt>
                <c:pt idx="162">
                  <c:v>39.661958768909685</c:v>
                </c:pt>
                <c:pt idx="163">
                  <c:v>51.541517960471431</c:v>
                </c:pt>
                <c:pt idx="164">
                  <c:v>43.788655516111909</c:v>
                </c:pt>
                <c:pt idx="165">
                  <c:v>50.605891772039946</c:v>
                </c:pt>
                <c:pt idx="166">
                  <c:v>48.596474805867516</c:v>
                </c:pt>
                <c:pt idx="167">
                  <c:v>49.013835905029914</c:v>
                </c:pt>
                <c:pt idx="168">
                  <c:v>50.647583557377104</c:v>
                </c:pt>
                <c:pt idx="169">
                  <c:v>51.842887316061073</c:v>
                </c:pt>
                <c:pt idx="170">
                  <c:v>31.45062163593429</c:v>
                </c:pt>
                <c:pt idx="171">
                  <c:v>22.782723039451323</c:v>
                </c:pt>
                <c:pt idx="172">
                  <c:v>39.922579815407154</c:v>
                </c:pt>
                <c:pt idx="173">
                  <c:v>39.388429994801498</c:v>
                </c:pt>
                <c:pt idx="174">
                  <c:v>38.48490407847212</c:v>
                </c:pt>
                <c:pt idx="175">
                  <c:v>31.230013585790211</c:v>
                </c:pt>
                <c:pt idx="176">
                  <c:v>11.501039031183208</c:v>
                </c:pt>
                <c:pt idx="177">
                  <c:v>12.221212670979551</c:v>
                </c:pt>
                <c:pt idx="178">
                  <c:v>55.951125712258673</c:v>
                </c:pt>
                <c:pt idx="179">
                  <c:v>52.67606306897931</c:v>
                </c:pt>
                <c:pt idx="180">
                  <c:v>13.300527414163577</c:v>
                </c:pt>
                <c:pt idx="181">
                  <c:v>50.247797644559384</c:v>
                </c:pt>
                <c:pt idx="182">
                  <c:v>52.824834205660338</c:v>
                </c:pt>
                <c:pt idx="183">
                  <c:v>40.88834503164292</c:v>
                </c:pt>
                <c:pt idx="184">
                  <c:v>41.900549207703286</c:v>
                </c:pt>
                <c:pt idx="185">
                  <c:v>51.743608193145015</c:v>
                </c:pt>
                <c:pt idx="186">
                  <c:v>46.586280199675294</c:v>
                </c:pt>
                <c:pt idx="187">
                  <c:v>51.214016561370023</c:v>
                </c:pt>
                <c:pt idx="188">
                  <c:v>54.251921853673629</c:v>
                </c:pt>
                <c:pt idx="189">
                  <c:v>53.274196281787944</c:v>
                </c:pt>
                <c:pt idx="190">
                  <c:v>52.654610964026439</c:v>
                </c:pt>
                <c:pt idx="191">
                  <c:v>51.213375137688303</c:v>
                </c:pt>
                <c:pt idx="192">
                  <c:v>50.871911104031419</c:v>
                </c:pt>
                <c:pt idx="193">
                  <c:v>50.529464105798233</c:v>
                </c:pt>
                <c:pt idx="194">
                  <c:v>49.798180751122139</c:v>
                </c:pt>
                <c:pt idx="195">
                  <c:v>48.135364987995985</c:v>
                </c:pt>
                <c:pt idx="196">
                  <c:v>49.892600211256358</c:v>
                </c:pt>
                <c:pt idx="197">
                  <c:v>49.271682189634497</c:v>
                </c:pt>
                <c:pt idx="198">
                  <c:v>49.360203647516649</c:v>
                </c:pt>
                <c:pt idx="199">
                  <c:v>41.969126744422425</c:v>
                </c:pt>
                <c:pt idx="200">
                  <c:v>40.482526469374449</c:v>
                </c:pt>
                <c:pt idx="201">
                  <c:v>47.964065321159808</c:v>
                </c:pt>
                <c:pt idx="202">
                  <c:v>36.368079877085421</c:v>
                </c:pt>
                <c:pt idx="203">
                  <c:v>45.943693459006781</c:v>
                </c:pt>
                <c:pt idx="204">
                  <c:v>47.665649233191033</c:v>
                </c:pt>
                <c:pt idx="205">
                  <c:v>25.810298285872996</c:v>
                </c:pt>
                <c:pt idx="206">
                  <c:v>52.366154162106135</c:v>
                </c:pt>
                <c:pt idx="207">
                  <c:v>51.250341198579186</c:v>
                </c:pt>
                <c:pt idx="208">
                  <c:v>43.310099413847126</c:v>
                </c:pt>
                <c:pt idx="209">
                  <c:v>30.013372528791216</c:v>
                </c:pt>
                <c:pt idx="210">
                  <c:v>47.830707991356093</c:v>
                </c:pt>
                <c:pt idx="211">
                  <c:v>48.8718257525721</c:v>
                </c:pt>
                <c:pt idx="212">
                  <c:v>48.807674160377452</c:v>
                </c:pt>
                <c:pt idx="213">
                  <c:v>48.819160668235156</c:v>
                </c:pt>
                <c:pt idx="214">
                  <c:v>45.550978769722036</c:v>
                </c:pt>
                <c:pt idx="215">
                  <c:v>45.03815330631744</c:v>
                </c:pt>
                <c:pt idx="216">
                  <c:v>42.89419520364217</c:v>
                </c:pt>
                <c:pt idx="217">
                  <c:v>44.042033575082975</c:v>
                </c:pt>
                <c:pt idx="218">
                  <c:v>46.68051823149451</c:v>
                </c:pt>
                <c:pt idx="219">
                  <c:v>46.317267576011879</c:v>
                </c:pt>
                <c:pt idx="220">
                  <c:v>45.477785192470108</c:v>
                </c:pt>
                <c:pt idx="221">
                  <c:v>42.468872677502503</c:v>
                </c:pt>
                <c:pt idx="222">
                  <c:v>40.495090242086</c:v>
                </c:pt>
                <c:pt idx="223">
                  <c:v>41.887079054985399</c:v>
                </c:pt>
                <c:pt idx="224">
                  <c:v>32.47853573333348</c:v>
                </c:pt>
                <c:pt idx="225">
                  <c:v>29.382369418687759</c:v>
                </c:pt>
                <c:pt idx="226">
                  <c:v>35.819858874538617</c:v>
                </c:pt>
                <c:pt idx="227">
                  <c:v>32.447056004676348</c:v>
                </c:pt>
                <c:pt idx="228">
                  <c:v>25.886549195108003</c:v>
                </c:pt>
                <c:pt idx="229">
                  <c:v>34.915235528541061</c:v>
                </c:pt>
                <c:pt idx="230">
                  <c:v>36.231503839147322</c:v>
                </c:pt>
                <c:pt idx="231">
                  <c:v>43.681941319229701</c:v>
                </c:pt>
                <c:pt idx="232">
                  <c:v>28.091613055296254</c:v>
                </c:pt>
                <c:pt idx="233">
                  <c:v>24.671750396478227</c:v>
                </c:pt>
                <c:pt idx="234">
                  <c:v>43.146402903207125</c:v>
                </c:pt>
                <c:pt idx="235">
                  <c:v>39.944682541048934</c:v>
                </c:pt>
                <c:pt idx="236">
                  <c:v>29.088326551167498</c:v>
                </c:pt>
                <c:pt idx="237">
                  <c:v>38.648158972063662</c:v>
                </c:pt>
                <c:pt idx="238">
                  <c:v>41.657073249931322</c:v>
                </c:pt>
                <c:pt idx="239">
                  <c:v>40.420466905292173</c:v>
                </c:pt>
                <c:pt idx="240">
                  <c:v>28.692446091788543</c:v>
                </c:pt>
                <c:pt idx="241">
                  <c:v>40.345303620901937</c:v>
                </c:pt>
                <c:pt idx="242">
                  <c:v>22.224077460509768</c:v>
                </c:pt>
                <c:pt idx="243">
                  <c:v>35.755446451949837</c:v>
                </c:pt>
                <c:pt idx="244">
                  <c:v>34.437187917765009</c:v>
                </c:pt>
                <c:pt idx="245">
                  <c:v>32.052792592932335</c:v>
                </c:pt>
                <c:pt idx="246">
                  <c:v>37.218165905725115</c:v>
                </c:pt>
                <c:pt idx="247">
                  <c:v>33.212756138477381</c:v>
                </c:pt>
                <c:pt idx="248">
                  <c:v>38.006939215423202</c:v>
                </c:pt>
                <c:pt idx="249">
                  <c:v>32.465709593029757</c:v>
                </c:pt>
                <c:pt idx="250">
                  <c:v>29.664958035261407</c:v>
                </c:pt>
                <c:pt idx="251">
                  <c:v>22.076517991121158</c:v>
                </c:pt>
                <c:pt idx="252">
                  <c:v>37.744310306456249</c:v>
                </c:pt>
                <c:pt idx="253">
                  <c:v>36.707447624291866</c:v>
                </c:pt>
                <c:pt idx="254">
                  <c:v>26.429499326495364</c:v>
                </c:pt>
                <c:pt idx="255">
                  <c:v>12.844292728931187</c:v>
                </c:pt>
                <c:pt idx="256">
                  <c:v>29.073346120963151</c:v>
                </c:pt>
                <c:pt idx="257">
                  <c:v>31.661957127018308</c:v>
                </c:pt>
                <c:pt idx="258">
                  <c:v>29.272099266849008</c:v>
                </c:pt>
                <c:pt idx="259">
                  <c:v>36.850665950986894</c:v>
                </c:pt>
                <c:pt idx="260">
                  <c:v>36.917735247259564</c:v>
                </c:pt>
                <c:pt idx="261">
                  <c:v>35.278160357081802</c:v>
                </c:pt>
                <c:pt idx="262">
                  <c:v>36.022143535960964</c:v>
                </c:pt>
                <c:pt idx="263">
                  <c:v>35.055310185928512</c:v>
                </c:pt>
                <c:pt idx="264">
                  <c:v>33.839027702139717</c:v>
                </c:pt>
                <c:pt idx="265">
                  <c:v>21.888750644895783</c:v>
                </c:pt>
                <c:pt idx="266">
                  <c:v>15.948958206600722</c:v>
                </c:pt>
                <c:pt idx="267">
                  <c:v>29.340292477133168</c:v>
                </c:pt>
                <c:pt idx="268">
                  <c:v>25.458021685305674</c:v>
                </c:pt>
                <c:pt idx="269">
                  <c:v>16.492522280880713</c:v>
                </c:pt>
                <c:pt idx="270">
                  <c:v>18.147811156540087</c:v>
                </c:pt>
                <c:pt idx="271">
                  <c:v>20.939485718404722</c:v>
                </c:pt>
                <c:pt idx="272">
                  <c:v>22.458245243875094</c:v>
                </c:pt>
                <c:pt idx="273">
                  <c:v>28.504235552933416</c:v>
                </c:pt>
                <c:pt idx="274">
                  <c:v>30.401561316876727</c:v>
                </c:pt>
                <c:pt idx="275">
                  <c:v>29.110013887352316</c:v>
                </c:pt>
                <c:pt idx="276">
                  <c:v>30.569779767081616</c:v>
                </c:pt>
                <c:pt idx="277">
                  <c:v>30.827444482625076</c:v>
                </c:pt>
                <c:pt idx="278">
                  <c:v>11.245939260999879</c:v>
                </c:pt>
                <c:pt idx="279">
                  <c:v>22.684573736486961</c:v>
                </c:pt>
                <c:pt idx="280">
                  <c:v>14.770128546961114</c:v>
                </c:pt>
                <c:pt idx="281">
                  <c:v>28.254408100416619</c:v>
                </c:pt>
                <c:pt idx="282">
                  <c:v>23.60920121603127</c:v>
                </c:pt>
                <c:pt idx="283">
                  <c:v>19.088569181618126</c:v>
                </c:pt>
                <c:pt idx="284">
                  <c:v>22.135086120067122</c:v>
                </c:pt>
                <c:pt idx="285">
                  <c:v>19.374746940570478</c:v>
                </c:pt>
                <c:pt idx="286">
                  <c:v>18.299392344502198</c:v>
                </c:pt>
                <c:pt idx="287">
                  <c:v>26.438035373968653</c:v>
                </c:pt>
                <c:pt idx="288">
                  <c:v>24.893555402023051</c:v>
                </c:pt>
                <c:pt idx="289">
                  <c:v>16.567520897389297</c:v>
                </c:pt>
                <c:pt idx="290">
                  <c:v>24.622450288825057</c:v>
                </c:pt>
                <c:pt idx="291">
                  <c:v>12.963911002139126</c:v>
                </c:pt>
                <c:pt idx="292">
                  <c:v>5.7672249398372859</c:v>
                </c:pt>
                <c:pt idx="293">
                  <c:v>13.483535117167047</c:v>
                </c:pt>
                <c:pt idx="294">
                  <c:v>23.506135561673378</c:v>
                </c:pt>
                <c:pt idx="295">
                  <c:v>14.58420544988553</c:v>
                </c:pt>
                <c:pt idx="296">
                  <c:v>17.496931977644614</c:v>
                </c:pt>
                <c:pt idx="297">
                  <c:v>17.582341475364526</c:v>
                </c:pt>
                <c:pt idx="298">
                  <c:v>11.454977698210209</c:v>
                </c:pt>
                <c:pt idx="299">
                  <c:v>11.055535936378215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0.97714835832452429</c:v>
                </c:pt>
                <c:pt idx="312">
                  <c:v>7.7619721903571595</c:v>
                </c:pt>
                <c:pt idx="313">
                  <c:v>17.367954381215363</c:v>
                </c:pt>
                <c:pt idx="314">
                  <c:v>18.798953522784846</c:v>
                </c:pt>
                <c:pt idx="315">
                  <c:v>19.012177443654991</c:v>
                </c:pt>
                <c:pt idx="316">
                  <c:v>18.320496506188679</c:v>
                </c:pt>
                <c:pt idx="317">
                  <c:v>7.5755639751694357</c:v>
                </c:pt>
                <c:pt idx="318">
                  <c:v>10.339832540978035</c:v>
                </c:pt>
                <c:pt idx="319">
                  <c:v>18.520272700377753</c:v>
                </c:pt>
                <c:pt idx="320">
                  <c:v>10.834491565444091</c:v>
                </c:pt>
                <c:pt idx="321">
                  <c:v>11.228588568311164</c:v>
                </c:pt>
                <c:pt idx="322">
                  <c:v>7.3640077145678848</c:v>
                </c:pt>
                <c:pt idx="323">
                  <c:v>11.719546657946877</c:v>
                </c:pt>
                <c:pt idx="324">
                  <c:v>3.1848885246709857</c:v>
                </c:pt>
                <c:pt idx="325">
                  <c:v>7.0982794889566936</c:v>
                </c:pt>
                <c:pt idx="326">
                  <c:v>9.7460572916181132</c:v>
                </c:pt>
                <c:pt idx="327">
                  <c:v>10.814594061619708</c:v>
                </c:pt>
                <c:pt idx="328">
                  <c:v>5.2042358743145565</c:v>
                </c:pt>
                <c:pt idx="329">
                  <c:v>9.9638634476182268</c:v>
                </c:pt>
                <c:pt idx="330">
                  <c:v>11.230438308314341</c:v>
                </c:pt>
                <c:pt idx="331">
                  <c:v>9.5541863447168982</c:v>
                </c:pt>
                <c:pt idx="332">
                  <c:v>12.746162059771848</c:v>
                </c:pt>
                <c:pt idx="333">
                  <c:v>3.8178973378625058</c:v>
                </c:pt>
                <c:pt idx="334">
                  <c:v>3.4186027423440746</c:v>
                </c:pt>
                <c:pt idx="335">
                  <c:v>5.7078458644329411</c:v>
                </c:pt>
                <c:pt idx="336">
                  <c:v>6.4103392427051649</c:v>
                </c:pt>
                <c:pt idx="337">
                  <c:v>12.499854754930201</c:v>
                </c:pt>
                <c:pt idx="338">
                  <c:v>15.639072086861987</c:v>
                </c:pt>
                <c:pt idx="339">
                  <c:v>8.7147014648469412</c:v>
                </c:pt>
                <c:pt idx="340">
                  <c:v>13.910574288473173</c:v>
                </c:pt>
                <c:pt idx="341">
                  <c:v>4.087028656936071</c:v>
                </c:pt>
                <c:pt idx="342">
                  <c:v>4.8346341285966918</c:v>
                </c:pt>
                <c:pt idx="343">
                  <c:v>9.8545296601132364</c:v>
                </c:pt>
                <c:pt idx="344">
                  <c:v>11.985393966185473</c:v>
                </c:pt>
                <c:pt idx="345">
                  <c:v>4.0031640065555605</c:v>
                </c:pt>
                <c:pt idx="346">
                  <c:v>5.1989914665397263</c:v>
                </c:pt>
                <c:pt idx="347">
                  <c:v>13.87237807883486</c:v>
                </c:pt>
                <c:pt idx="348">
                  <c:v>5.4419402667956946</c:v>
                </c:pt>
                <c:pt idx="349">
                  <c:v>4.5989987745628564</c:v>
                </c:pt>
                <c:pt idx="350">
                  <c:v>3.4178281672403648</c:v>
                </c:pt>
                <c:pt idx="351">
                  <c:v>13.736134764562843</c:v>
                </c:pt>
                <c:pt idx="352">
                  <c:v>11.428162101119579</c:v>
                </c:pt>
                <c:pt idx="353">
                  <c:v>4.6208339764370576</c:v>
                </c:pt>
                <c:pt idx="354">
                  <c:v>14.529243004582131</c:v>
                </c:pt>
                <c:pt idx="355">
                  <c:v>10.726019784830079</c:v>
                </c:pt>
                <c:pt idx="356">
                  <c:v>11.528797285391668</c:v>
                </c:pt>
                <c:pt idx="357">
                  <c:v>15.324814946037261</c:v>
                </c:pt>
                <c:pt idx="358">
                  <c:v>9.1995718112524933</c:v>
                </c:pt>
                <c:pt idx="359">
                  <c:v>15.119464598526038</c:v>
                </c:pt>
                <c:pt idx="360">
                  <c:v>6.7313069426861976</c:v>
                </c:pt>
                <c:pt idx="361">
                  <c:v>14.200974597963596</c:v>
                </c:pt>
                <c:pt idx="362">
                  <c:v>8.3227085061225701</c:v>
                </c:pt>
                <c:pt idx="363">
                  <c:v>10.808126756942283</c:v>
                </c:pt>
                <c:pt idx="364">
                  <c:v>8.871223615022382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18.105230936758993</c:v>
                </c:pt>
                <c:pt idx="22">
                  <c:v>18.368308832934812</c:v>
                </c:pt>
                <c:pt idx="23">
                  <c:v>18.478885644398673</c:v>
                </c:pt>
                <c:pt idx="24">
                  <c:v>18.507908767735099</c:v>
                </c:pt>
                <c:pt idx="25">
                  <c:v>18.764354019369065</c:v>
                </c:pt>
                <c:pt idx="26">
                  <c:v>19.638951444141764</c:v>
                </c:pt>
                <c:pt idx="27">
                  <c:v>3.9065013532906385</c:v>
                </c:pt>
                <c:pt idx="28">
                  <c:v>7.7518048620367335</c:v>
                </c:pt>
                <c:pt idx="29">
                  <c:v>4.0823079830311553</c:v>
                </c:pt>
                <c:pt idx="30">
                  <c:v>8.428309627462033</c:v>
                </c:pt>
                <c:pt idx="31">
                  <c:v>8.2537388618526837</c:v>
                </c:pt>
                <c:pt idx="32">
                  <c:v>4.954495634059934</c:v>
                </c:pt>
                <c:pt idx="33">
                  <c:v>9.0309075544326589</c:v>
                </c:pt>
                <c:pt idx="34">
                  <c:v>8.2136198991977292</c:v>
                </c:pt>
                <c:pt idx="35">
                  <c:v>8.5222426306523662</c:v>
                </c:pt>
                <c:pt idx="36">
                  <c:v>14.77299937018644</c:v>
                </c:pt>
                <c:pt idx="37">
                  <c:v>8.5218119585611092</c:v>
                </c:pt>
                <c:pt idx="38">
                  <c:v>23.232573017839325</c:v>
                </c:pt>
                <c:pt idx="39">
                  <c:v>22.988229116889315</c:v>
                </c:pt>
                <c:pt idx="40">
                  <c:v>21.484473085442456</c:v>
                </c:pt>
                <c:pt idx="41">
                  <c:v>14.20244510173559</c:v>
                </c:pt>
                <c:pt idx="42">
                  <c:v>20.140658686438851</c:v>
                </c:pt>
                <c:pt idx="43">
                  <c:v>23.076305491166121</c:v>
                </c:pt>
                <c:pt idx="44">
                  <c:v>12.181123322138122</c:v>
                </c:pt>
                <c:pt idx="45">
                  <c:v>15.449569392505463</c:v>
                </c:pt>
                <c:pt idx="46">
                  <c:v>9.4596899287001097</c:v>
                </c:pt>
                <c:pt idx="47">
                  <c:v>10.16379978521846</c:v>
                </c:pt>
                <c:pt idx="48">
                  <c:v>20.058069949476629</c:v>
                </c:pt>
                <c:pt idx="49">
                  <c:v>17.870491674694801</c:v>
                </c:pt>
                <c:pt idx="50">
                  <c:v>16.254150276543683</c:v>
                </c:pt>
                <c:pt idx="51">
                  <c:v>17.550993640832377</c:v>
                </c:pt>
                <c:pt idx="52">
                  <c:v>25.550034511103494</c:v>
                </c:pt>
                <c:pt idx="53">
                  <c:v>25.552210081713969</c:v>
                </c:pt>
                <c:pt idx="54">
                  <c:v>14.56964407311011</c:v>
                </c:pt>
                <c:pt idx="55">
                  <c:v>26.027746447138185</c:v>
                </c:pt>
                <c:pt idx="56">
                  <c:v>29.219774531598421</c:v>
                </c:pt>
                <c:pt idx="57">
                  <c:v>23.848637029739688</c:v>
                </c:pt>
                <c:pt idx="58">
                  <c:v>24.031765228964467</c:v>
                </c:pt>
                <c:pt idx="59">
                  <c:v>29.46888949621907</c:v>
                </c:pt>
                <c:pt idx="60">
                  <c:v>8.4793693685010911</c:v>
                </c:pt>
                <c:pt idx="61">
                  <c:v>28.699399059364147</c:v>
                </c:pt>
                <c:pt idx="62">
                  <c:v>3.8303389164819301</c:v>
                </c:pt>
                <c:pt idx="63">
                  <c:v>12.295664183286959</c:v>
                </c:pt>
                <c:pt idx="64">
                  <c:v>14.177479532505686</c:v>
                </c:pt>
                <c:pt idx="65">
                  <c:v>30.167110698024903</c:v>
                </c:pt>
                <c:pt idx="66">
                  <c:v>23.337169076654064</c:v>
                </c:pt>
                <c:pt idx="67">
                  <c:v>24.356409793691476</c:v>
                </c:pt>
                <c:pt idx="68">
                  <c:v>19.319410527533453</c:v>
                </c:pt>
                <c:pt idx="69">
                  <c:v>12.599390716436432</c:v>
                </c:pt>
                <c:pt idx="70">
                  <c:v>13.225949204807584</c:v>
                </c:pt>
                <c:pt idx="71">
                  <c:v>9.5313155978292059</c:v>
                </c:pt>
                <c:pt idx="72">
                  <c:v>12.711732529608369</c:v>
                </c:pt>
                <c:pt idx="73">
                  <c:v>12.784857049371396</c:v>
                </c:pt>
                <c:pt idx="74">
                  <c:v>11.645526868163389</c:v>
                </c:pt>
                <c:pt idx="75">
                  <c:v>9.6256332072635473</c:v>
                </c:pt>
                <c:pt idx="76">
                  <c:v>12.925505672267452</c:v>
                </c:pt>
                <c:pt idx="77">
                  <c:v>23.768233115911791</c:v>
                </c:pt>
                <c:pt idx="78">
                  <c:v>24.742865538969337</c:v>
                </c:pt>
                <c:pt idx="79">
                  <c:v>34.273981116373953</c:v>
                </c:pt>
                <c:pt idx="80">
                  <c:v>32.625866452776336</c:v>
                </c:pt>
                <c:pt idx="81">
                  <c:v>37.092433220789417</c:v>
                </c:pt>
                <c:pt idx="82">
                  <c:v>36.152524554044334</c:v>
                </c:pt>
                <c:pt idx="83">
                  <c:v>34.47851079649827</c:v>
                </c:pt>
                <c:pt idx="84">
                  <c:v>36.594584710934967</c:v>
                </c:pt>
                <c:pt idx="85">
                  <c:v>35.314903523007857</c:v>
                </c:pt>
                <c:pt idx="86">
                  <c:v>26.77698394297563</c:v>
                </c:pt>
                <c:pt idx="87">
                  <c:v>22.997541427904647</c:v>
                </c:pt>
                <c:pt idx="88">
                  <c:v>7.0952253302339985</c:v>
                </c:pt>
                <c:pt idx="89">
                  <c:v>25.715870196293992</c:v>
                </c:pt>
                <c:pt idx="90">
                  <c:v>27.609799588773072</c:v>
                </c:pt>
                <c:pt idx="91">
                  <c:v>18.487856057752708</c:v>
                </c:pt>
                <c:pt idx="92">
                  <c:v>18.485563767523114</c:v>
                </c:pt>
                <c:pt idx="93">
                  <c:v>40.636632103909307</c:v>
                </c:pt>
                <c:pt idx="94">
                  <c:v>41.812446033562068</c:v>
                </c:pt>
                <c:pt idx="95">
                  <c:v>10.181362725249169</c:v>
                </c:pt>
                <c:pt idx="96">
                  <c:v>30.382678606190261</c:v>
                </c:pt>
                <c:pt idx="97">
                  <c:v>23.843126508316804</c:v>
                </c:pt>
                <c:pt idx="98">
                  <c:v>32.018628823896037</c:v>
                </c:pt>
                <c:pt idx="99">
                  <c:v>42.149570661361771</c:v>
                </c:pt>
                <c:pt idx="100">
                  <c:v>35.58189274233073</c:v>
                </c:pt>
                <c:pt idx="101">
                  <c:v>29.684952396754603</c:v>
                </c:pt>
                <c:pt idx="102">
                  <c:v>6.4132750288330342</c:v>
                </c:pt>
                <c:pt idx="103">
                  <c:v>32.87047533094124</c:v>
                </c:pt>
                <c:pt idx="104">
                  <c:v>38.478417977609475</c:v>
                </c:pt>
                <c:pt idx="105">
                  <c:v>40.13915654059312</c:v>
                </c:pt>
                <c:pt idx="106">
                  <c:v>43.708566953333815</c:v>
                </c:pt>
                <c:pt idx="107">
                  <c:v>34.183295826626058</c:v>
                </c:pt>
                <c:pt idx="108">
                  <c:v>7.8540295452981423</c:v>
                </c:pt>
                <c:pt idx="109">
                  <c:v>9.1404948536645758</c:v>
                </c:pt>
                <c:pt idx="110">
                  <c:v>8.6133151866867586</c:v>
                </c:pt>
                <c:pt idx="111">
                  <c:v>24.708708624133514</c:v>
                </c:pt>
                <c:pt idx="112">
                  <c:v>8.4688001514105782</c:v>
                </c:pt>
                <c:pt idx="113">
                  <c:v>26.99682585402687</c:v>
                </c:pt>
                <c:pt idx="114">
                  <c:v>43.195524620007021</c:v>
                </c:pt>
                <c:pt idx="115">
                  <c:v>45.185456783063756</c:v>
                </c:pt>
                <c:pt idx="116">
                  <c:v>32.883513047638012</c:v>
                </c:pt>
                <c:pt idx="117">
                  <c:v>18.399444420521377</c:v>
                </c:pt>
                <c:pt idx="118">
                  <c:v>34.240704867574678</c:v>
                </c:pt>
                <c:pt idx="119">
                  <c:v>43.840499255243436</c:v>
                </c:pt>
                <c:pt idx="120">
                  <c:v>44.690191162092205</c:v>
                </c:pt>
                <c:pt idx="121">
                  <c:v>29.145126101442628</c:v>
                </c:pt>
                <c:pt idx="122">
                  <c:v>35.563318161130674</c:v>
                </c:pt>
                <c:pt idx="123">
                  <c:v>20.926309970888415</c:v>
                </c:pt>
                <c:pt idx="124">
                  <c:v>41.613381420562497</c:v>
                </c:pt>
                <c:pt idx="125">
                  <c:v>35.051067215921599</c:v>
                </c:pt>
                <c:pt idx="126">
                  <c:v>51.293128473506926</c:v>
                </c:pt>
                <c:pt idx="127">
                  <c:v>46.743455564530613</c:v>
                </c:pt>
                <c:pt idx="128">
                  <c:v>51.712363965160641</c:v>
                </c:pt>
                <c:pt idx="129">
                  <c:v>47.985982777032227</c:v>
                </c:pt>
                <c:pt idx="130">
                  <c:v>51.862300545301416</c:v>
                </c:pt>
                <c:pt idx="131">
                  <c:v>39.645837321654874</c:v>
                </c:pt>
                <c:pt idx="132">
                  <c:v>42.33903074761043</c:v>
                </c:pt>
                <c:pt idx="133">
                  <c:v>46.20769224843081</c:v>
                </c:pt>
                <c:pt idx="134">
                  <c:v>48.599285282703264</c:v>
                </c:pt>
                <c:pt idx="135">
                  <c:v>47.116189538937853</c:v>
                </c:pt>
                <c:pt idx="136">
                  <c:v>50.220952357163526</c:v>
                </c:pt>
                <c:pt idx="137">
                  <c:v>49.034744565384337</c:v>
                </c:pt>
                <c:pt idx="138">
                  <c:v>51.567889156877428</c:v>
                </c:pt>
                <c:pt idx="139">
                  <c:v>45.856133887811367</c:v>
                </c:pt>
                <c:pt idx="140">
                  <c:v>44.679856020510456</c:v>
                </c:pt>
                <c:pt idx="141">
                  <c:v>33.020436988607081</c:v>
                </c:pt>
                <c:pt idx="142">
                  <c:v>19.335825333610316</c:v>
                </c:pt>
                <c:pt idx="143">
                  <c:v>16.599979735231393</c:v>
                </c:pt>
                <c:pt idx="144">
                  <c:v>38.699222193616791</c:v>
                </c:pt>
                <c:pt idx="145">
                  <c:v>21.010824526167156</c:v>
                </c:pt>
                <c:pt idx="146">
                  <c:v>45.422247779893603</c:v>
                </c:pt>
                <c:pt idx="147">
                  <c:v>52.047784303828365</c:v>
                </c:pt>
                <c:pt idx="148">
                  <c:v>55.735967521157995</c:v>
                </c:pt>
                <c:pt idx="149">
                  <c:v>50.108279606680547</c:v>
                </c:pt>
                <c:pt idx="150">
                  <c:v>51.404210102754895</c:v>
                </c:pt>
                <c:pt idx="151">
                  <c:v>52.690535434899495</c:v>
                </c:pt>
                <c:pt idx="152">
                  <c:v>43.331644883805083</c:v>
                </c:pt>
                <c:pt idx="153">
                  <c:v>50.484535546226006</c:v>
                </c:pt>
                <c:pt idx="154">
                  <c:v>23.904083488405412</c:v>
                </c:pt>
                <c:pt idx="155">
                  <c:v>33.792076090343464</c:v>
                </c:pt>
                <c:pt idx="156">
                  <c:v>42.962318194141638</c:v>
                </c:pt>
                <c:pt idx="157">
                  <c:v>28.988653469041669</c:v>
                </c:pt>
                <c:pt idx="158">
                  <c:v>19.744849886421104</c:v>
                </c:pt>
                <c:pt idx="159">
                  <c:v>42.267293510395199</c:v>
                </c:pt>
                <c:pt idx="160">
                  <c:v>53.674693907246628</c:v>
                </c:pt>
                <c:pt idx="161">
                  <c:v>52.662492378897468</c:v>
                </c:pt>
                <c:pt idx="162">
                  <c:v>39.661958768909685</c:v>
                </c:pt>
                <c:pt idx="163">
                  <c:v>51.541517960471431</c:v>
                </c:pt>
                <c:pt idx="164">
                  <c:v>43.788655516111909</c:v>
                </c:pt>
                <c:pt idx="165">
                  <c:v>50.605891772039946</c:v>
                </c:pt>
                <c:pt idx="166">
                  <c:v>48.596474805867516</c:v>
                </c:pt>
                <c:pt idx="167">
                  <c:v>49.013835905029914</c:v>
                </c:pt>
                <c:pt idx="168">
                  <c:v>50.647583557377104</c:v>
                </c:pt>
                <c:pt idx="169">
                  <c:v>51.842887316061073</c:v>
                </c:pt>
                <c:pt idx="170">
                  <c:v>31.45062163593429</c:v>
                </c:pt>
                <c:pt idx="171">
                  <c:v>22.782723039451323</c:v>
                </c:pt>
                <c:pt idx="172">
                  <c:v>39.922579815407154</c:v>
                </c:pt>
                <c:pt idx="173">
                  <c:v>39.388429994801498</c:v>
                </c:pt>
                <c:pt idx="174">
                  <c:v>38.48490407847212</c:v>
                </c:pt>
                <c:pt idx="175">
                  <c:v>31.230013585790211</c:v>
                </c:pt>
                <c:pt idx="176">
                  <c:v>11.501039031183208</c:v>
                </c:pt>
                <c:pt idx="177">
                  <c:v>12.221212670979551</c:v>
                </c:pt>
                <c:pt idx="178">
                  <c:v>55.951125712258673</c:v>
                </c:pt>
                <c:pt idx="179">
                  <c:v>52.67606306897931</c:v>
                </c:pt>
                <c:pt idx="180">
                  <c:v>13.300527414163577</c:v>
                </c:pt>
                <c:pt idx="181">
                  <c:v>50.247797644559384</c:v>
                </c:pt>
                <c:pt idx="182">
                  <c:v>52.824834205660338</c:v>
                </c:pt>
                <c:pt idx="183">
                  <c:v>40.88834503164292</c:v>
                </c:pt>
                <c:pt idx="184">
                  <c:v>41.900549207703286</c:v>
                </c:pt>
                <c:pt idx="185">
                  <c:v>51.743608193145015</c:v>
                </c:pt>
                <c:pt idx="186">
                  <c:v>46.586280199675294</c:v>
                </c:pt>
                <c:pt idx="187">
                  <c:v>51.214016561370023</c:v>
                </c:pt>
                <c:pt idx="188">
                  <c:v>54.251921853673629</c:v>
                </c:pt>
                <c:pt idx="189">
                  <c:v>53.274196281787944</c:v>
                </c:pt>
                <c:pt idx="190">
                  <c:v>52.654610964026439</c:v>
                </c:pt>
                <c:pt idx="191">
                  <c:v>51.213375137688303</c:v>
                </c:pt>
                <c:pt idx="192">
                  <c:v>50.871911104031419</c:v>
                </c:pt>
                <c:pt idx="193">
                  <c:v>50.529464105798233</c:v>
                </c:pt>
                <c:pt idx="194">
                  <c:v>49.798180751122139</c:v>
                </c:pt>
                <c:pt idx="195">
                  <c:v>48.135364987995985</c:v>
                </c:pt>
                <c:pt idx="196">
                  <c:v>49.892600211256358</c:v>
                </c:pt>
                <c:pt idx="197">
                  <c:v>49.271682189634497</c:v>
                </c:pt>
                <c:pt idx="198">
                  <c:v>49.360203647516649</c:v>
                </c:pt>
                <c:pt idx="199">
                  <c:v>41.969126744422425</c:v>
                </c:pt>
                <c:pt idx="200">
                  <c:v>40.482526469374449</c:v>
                </c:pt>
                <c:pt idx="201">
                  <c:v>47.964065321159808</c:v>
                </c:pt>
                <c:pt idx="202">
                  <c:v>36.368079877085421</c:v>
                </c:pt>
                <c:pt idx="203">
                  <c:v>45.943693459006781</c:v>
                </c:pt>
                <c:pt idx="204">
                  <c:v>47.665649233191033</c:v>
                </c:pt>
                <c:pt idx="205">
                  <c:v>25.810298285872996</c:v>
                </c:pt>
                <c:pt idx="206">
                  <c:v>52.366154162106135</c:v>
                </c:pt>
                <c:pt idx="207">
                  <c:v>51.250341198579186</c:v>
                </c:pt>
                <c:pt idx="208">
                  <c:v>43.310099413847126</c:v>
                </c:pt>
                <c:pt idx="209">
                  <c:v>30.013372528791216</c:v>
                </c:pt>
                <c:pt idx="210">
                  <c:v>47.830707991356093</c:v>
                </c:pt>
                <c:pt idx="211">
                  <c:v>48.8718257525721</c:v>
                </c:pt>
                <c:pt idx="212">
                  <c:v>48.807674160377452</c:v>
                </c:pt>
                <c:pt idx="213">
                  <c:v>48.819160668235156</c:v>
                </c:pt>
                <c:pt idx="214">
                  <c:v>45.550978769722036</c:v>
                </c:pt>
                <c:pt idx="215">
                  <c:v>45.03815330631744</c:v>
                </c:pt>
                <c:pt idx="216">
                  <c:v>42.89419520364217</c:v>
                </c:pt>
                <c:pt idx="217">
                  <c:v>44.042033575082975</c:v>
                </c:pt>
                <c:pt idx="218">
                  <c:v>46.68051823149451</c:v>
                </c:pt>
                <c:pt idx="219">
                  <c:v>46.317267576011879</c:v>
                </c:pt>
                <c:pt idx="220">
                  <c:v>45.477785192470108</c:v>
                </c:pt>
                <c:pt idx="221">
                  <c:v>42.468872677502503</c:v>
                </c:pt>
                <c:pt idx="222">
                  <c:v>40.495090242086</c:v>
                </c:pt>
                <c:pt idx="223">
                  <c:v>41.887079054985399</c:v>
                </c:pt>
                <c:pt idx="224">
                  <c:v>32.47853573333348</c:v>
                </c:pt>
                <c:pt idx="225">
                  <c:v>29.382369418687759</c:v>
                </c:pt>
                <c:pt idx="226">
                  <c:v>35.819858874538617</c:v>
                </c:pt>
                <c:pt idx="227">
                  <c:v>32.447056004676348</c:v>
                </c:pt>
                <c:pt idx="228">
                  <c:v>25.886549195108003</c:v>
                </c:pt>
                <c:pt idx="229">
                  <c:v>34.915235528541061</c:v>
                </c:pt>
                <c:pt idx="230">
                  <c:v>36.231503839147322</c:v>
                </c:pt>
                <c:pt idx="231">
                  <c:v>43.681941319229701</c:v>
                </c:pt>
                <c:pt idx="232">
                  <c:v>28.091613055296254</c:v>
                </c:pt>
                <c:pt idx="233">
                  <c:v>24.671750396478227</c:v>
                </c:pt>
                <c:pt idx="234">
                  <c:v>43.146402903207125</c:v>
                </c:pt>
                <c:pt idx="235">
                  <c:v>39.944682541048934</c:v>
                </c:pt>
                <c:pt idx="236">
                  <c:v>29.088326551167498</c:v>
                </c:pt>
                <c:pt idx="237">
                  <c:v>38.648158972063662</c:v>
                </c:pt>
                <c:pt idx="238">
                  <c:v>41.657073249931322</c:v>
                </c:pt>
                <c:pt idx="239">
                  <c:v>40.420466905292173</c:v>
                </c:pt>
                <c:pt idx="240">
                  <c:v>28.692446091788543</c:v>
                </c:pt>
                <c:pt idx="241">
                  <c:v>40.345303620901937</c:v>
                </c:pt>
                <c:pt idx="242">
                  <c:v>22.224077460509768</c:v>
                </c:pt>
                <c:pt idx="243">
                  <c:v>35.755446451949837</c:v>
                </c:pt>
                <c:pt idx="244">
                  <c:v>34.437187917765009</c:v>
                </c:pt>
                <c:pt idx="245">
                  <c:v>32.052792592932335</c:v>
                </c:pt>
                <c:pt idx="246">
                  <c:v>37.218165905725115</c:v>
                </c:pt>
                <c:pt idx="247">
                  <c:v>33.212756138477381</c:v>
                </c:pt>
                <c:pt idx="248">
                  <c:v>38.006939215423202</c:v>
                </c:pt>
                <c:pt idx="249">
                  <c:v>32.465709593029757</c:v>
                </c:pt>
                <c:pt idx="250">
                  <c:v>29.664958035261407</c:v>
                </c:pt>
                <c:pt idx="251">
                  <c:v>22.076517991121158</c:v>
                </c:pt>
                <c:pt idx="252">
                  <c:v>37.744310306456249</c:v>
                </c:pt>
                <c:pt idx="253">
                  <c:v>36.707447624291866</c:v>
                </c:pt>
                <c:pt idx="254">
                  <c:v>26.429499326495364</c:v>
                </c:pt>
                <c:pt idx="255">
                  <c:v>12.844292728931187</c:v>
                </c:pt>
                <c:pt idx="256">
                  <c:v>29.073346120963151</c:v>
                </c:pt>
                <c:pt idx="257">
                  <c:v>31.661957127018308</c:v>
                </c:pt>
                <c:pt idx="258">
                  <c:v>29.272099266849008</c:v>
                </c:pt>
                <c:pt idx="259">
                  <c:v>36.850665950986894</c:v>
                </c:pt>
                <c:pt idx="260">
                  <c:v>36.917735247259564</c:v>
                </c:pt>
                <c:pt idx="261">
                  <c:v>35.278160357081802</c:v>
                </c:pt>
                <c:pt idx="262">
                  <c:v>36.022143535960964</c:v>
                </c:pt>
                <c:pt idx="263">
                  <c:v>35.055310185928512</c:v>
                </c:pt>
                <c:pt idx="264">
                  <c:v>33.839027702139717</c:v>
                </c:pt>
                <c:pt idx="265">
                  <c:v>21.888750644895783</c:v>
                </c:pt>
                <c:pt idx="266">
                  <c:v>15.948958206600722</c:v>
                </c:pt>
                <c:pt idx="267">
                  <c:v>29.340292477133168</c:v>
                </c:pt>
                <c:pt idx="268">
                  <c:v>25.458021685305674</c:v>
                </c:pt>
                <c:pt idx="269">
                  <c:v>16.492522280880713</c:v>
                </c:pt>
                <c:pt idx="270">
                  <c:v>18.147811156540087</c:v>
                </c:pt>
                <c:pt idx="271">
                  <c:v>20.939485718404722</c:v>
                </c:pt>
                <c:pt idx="272">
                  <c:v>22.458245243875094</c:v>
                </c:pt>
                <c:pt idx="273">
                  <c:v>28.504235552933416</c:v>
                </c:pt>
                <c:pt idx="274">
                  <c:v>30.401561316876727</c:v>
                </c:pt>
                <c:pt idx="275">
                  <c:v>29.110013887352316</c:v>
                </c:pt>
                <c:pt idx="276">
                  <c:v>30.569779767081616</c:v>
                </c:pt>
                <c:pt idx="277">
                  <c:v>30.827444482625076</c:v>
                </c:pt>
                <c:pt idx="278">
                  <c:v>11.245939260999879</c:v>
                </c:pt>
                <c:pt idx="279">
                  <c:v>22.684573736486961</c:v>
                </c:pt>
                <c:pt idx="280">
                  <c:v>14.770128546961114</c:v>
                </c:pt>
                <c:pt idx="281">
                  <c:v>28.254408100416619</c:v>
                </c:pt>
                <c:pt idx="282">
                  <c:v>23.60920121603127</c:v>
                </c:pt>
                <c:pt idx="283">
                  <c:v>19.088569181618126</c:v>
                </c:pt>
                <c:pt idx="284">
                  <c:v>22.135086120067122</c:v>
                </c:pt>
                <c:pt idx="285">
                  <c:v>19.374746940570478</c:v>
                </c:pt>
                <c:pt idx="286">
                  <c:v>18.299392344502198</c:v>
                </c:pt>
                <c:pt idx="287">
                  <c:v>26.438035373968653</c:v>
                </c:pt>
                <c:pt idx="288">
                  <c:v>24.893555402023051</c:v>
                </c:pt>
                <c:pt idx="289">
                  <c:v>16.567520897389297</c:v>
                </c:pt>
                <c:pt idx="290">
                  <c:v>24.622450288825057</c:v>
                </c:pt>
                <c:pt idx="291">
                  <c:v>12.963911002139126</c:v>
                </c:pt>
                <c:pt idx="292">
                  <c:v>5.7672249398372859</c:v>
                </c:pt>
                <c:pt idx="293">
                  <c:v>13.483535117167047</c:v>
                </c:pt>
                <c:pt idx="294">
                  <c:v>23.506135561673378</c:v>
                </c:pt>
                <c:pt idx="295">
                  <c:v>14.58420544988553</c:v>
                </c:pt>
                <c:pt idx="296">
                  <c:v>17.496931977644614</c:v>
                </c:pt>
                <c:pt idx="297">
                  <c:v>17.582341475364526</c:v>
                </c:pt>
                <c:pt idx="298">
                  <c:v>11.454977698210209</c:v>
                </c:pt>
                <c:pt idx="299">
                  <c:v>11.055535936378215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0.97714835832452429</c:v>
                </c:pt>
                <c:pt idx="312">
                  <c:v>7.7619721903571595</c:v>
                </c:pt>
                <c:pt idx="313">
                  <c:v>17.367954381215363</c:v>
                </c:pt>
                <c:pt idx="314">
                  <c:v>18.798953522784846</c:v>
                </c:pt>
                <c:pt idx="315">
                  <c:v>19.012177443654991</c:v>
                </c:pt>
                <c:pt idx="316">
                  <c:v>18.320496506188679</c:v>
                </c:pt>
                <c:pt idx="317">
                  <c:v>7.5755639751694357</c:v>
                </c:pt>
                <c:pt idx="318">
                  <c:v>10.339832540978035</c:v>
                </c:pt>
                <c:pt idx="319">
                  <c:v>18.520272700377753</c:v>
                </c:pt>
                <c:pt idx="320">
                  <c:v>10.834491565444091</c:v>
                </c:pt>
                <c:pt idx="321">
                  <c:v>11.228588568311164</c:v>
                </c:pt>
                <c:pt idx="322">
                  <c:v>7.3640077145678848</c:v>
                </c:pt>
                <c:pt idx="323">
                  <c:v>11.719546657946877</c:v>
                </c:pt>
                <c:pt idx="324">
                  <c:v>3.1848885246709857</c:v>
                </c:pt>
                <c:pt idx="325">
                  <c:v>7.0982794889566936</c:v>
                </c:pt>
                <c:pt idx="326">
                  <c:v>9.7460572916181132</c:v>
                </c:pt>
                <c:pt idx="327">
                  <c:v>10.814594061619708</c:v>
                </c:pt>
                <c:pt idx="328">
                  <c:v>5.2042358743145565</c:v>
                </c:pt>
                <c:pt idx="329">
                  <c:v>9.9638634476182268</c:v>
                </c:pt>
                <c:pt idx="330">
                  <c:v>11.230438308314341</c:v>
                </c:pt>
                <c:pt idx="331">
                  <c:v>9.5541863447168982</c:v>
                </c:pt>
                <c:pt idx="332">
                  <c:v>12.746162059771848</c:v>
                </c:pt>
                <c:pt idx="333">
                  <c:v>3.8178973378625058</c:v>
                </c:pt>
                <c:pt idx="334">
                  <c:v>3.4186027423440746</c:v>
                </c:pt>
                <c:pt idx="335">
                  <c:v>5.7078458644329411</c:v>
                </c:pt>
                <c:pt idx="336">
                  <c:v>6.4103392427051649</c:v>
                </c:pt>
                <c:pt idx="337">
                  <c:v>12.499854754930201</c:v>
                </c:pt>
                <c:pt idx="338">
                  <c:v>15.639072086861987</c:v>
                </c:pt>
                <c:pt idx="339">
                  <c:v>8.7147014648469412</c:v>
                </c:pt>
                <c:pt idx="340">
                  <c:v>13.910574288473173</c:v>
                </c:pt>
                <c:pt idx="341">
                  <c:v>4.087028656936071</c:v>
                </c:pt>
                <c:pt idx="342">
                  <c:v>4.8346341285966918</c:v>
                </c:pt>
                <c:pt idx="343">
                  <c:v>9.8545296601132364</c:v>
                </c:pt>
                <c:pt idx="344">
                  <c:v>11.985393966185473</c:v>
                </c:pt>
                <c:pt idx="345">
                  <c:v>4.0031640065555605</c:v>
                </c:pt>
                <c:pt idx="346">
                  <c:v>5.1989914665397263</c:v>
                </c:pt>
                <c:pt idx="347">
                  <c:v>13.87237807883486</c:v>
                </c:pt>
                <c:pt idx="348">
                  <c:v>5.4419402667956946</c:v>
                </c:pt>
                <c:pt idx="349">
                  <c:v>4.5989987745628564</c:v>
                </c:pt>
                <c:pt idx="350">
                  <c:v>3.4178281672403648</c:v>
                </c:pt>
                <c:pt idx="351">
                  <c:v>13.736134764562843</c:v>
                </c:pt>
                <c:pt idx="352">
                  <c:v>11.428162101119579</c:v>
                </c:pt>
                <c:pt idx="353">
                  <c:v>4.6208339764370576</c:v>
                </c:pt>
                <c:pt idx="354">
                  <c:v>14.529243004582131</c:v>
                </c:pt>
                <c:pt idx="355">
                  <c:v>10.726019784830079</c:v>
                </c:pt>
                <c:pt idx="356">
                  <c:v>11.528797285391668</c:v>
                </c:pt>
                <c:pt idx="357">
                  <c:v>15.324814946037261</c:v>
                </c:pt>
                <c:pt idx="358">
                  <c:v>9.1995718112524933</c:v>
                </c:pt>
                <c:pt idx="359">
                  <c:v>15.119464598526038</c:v>
                </c:pt>
                <c:pt idx="360">
                  <c:v>6.7313069426861976</c:v>
                </c:pt>
                <c:pt idx="361">
                  <c:v>14.200974597963596</c:v>
                </c:pt>
                <c:pt idx="362">
                  <c:v>8.3227085061225701</c:v>
                </c:pt>
                <c:pt idx="363">
                  <c:v>10.808126756942283</c:v>
                </c:pt>
                <c:pt idx="364">
                  <c:v>8.871223615022382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018152"/>
        <c:axId val="477016584"/>
      </c:lineChart>
      <c:dateAx>
        <c:axId val="477018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016584"/>
        <c:crosses val="autoZero"/>
        <c:auto val="1"/>
        <c:lblOffset val="100"/>
        <c:baseTimeUnit val="days"/>
        <c:majorUnit val="1"/>
        <c:majorTimeUnit val="months"/>
      </c:dateAx>
      <c:valAx>
        <c:axId val="4770165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0181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16.235048116329196</c:v>
                </c:pt>
                <c:pt idx="1">
                  <c:v>16.34772690717373</c:v>
                </c:pt>
                <c:pt idx="2">
                  <c:v>16.466821877322683</c:v>
                </c:pt>
                <c:pt idx="3">
                  <c:v>16.592645360458892</c:v>
                </c:pt>
                <c:pt idx="4">
                  <c:v>16.725509299154087</c:v>
                </c:pt>
                <c:pt idx="5">
                  <c:v>16.865725257608471</c:v>
                </c:pt>
                <c:pt idx="6">
                  <c:v>17.01360441212347</c:v>
                </c:pt>
                <c:pt idx="7">
                  <c:v>17.169457574925609</c:v>
                </c:pt>
                <c:pt idx="8">
                  <c:v>17.334199355959669</c:v>
                </c:pt>
                <c:pt idx="9">
                  <c:v>17.508379065120561</c:v>
                </c:pt>
                <c:pt idx="10">
                  <c:v>17.691395945856563</c:v>
                </c:pt>
                <c:pt idx="11">
                  <c:v>17.882579313798264</c:v>
                </c:pt>
                <c:pt idx="12">
                  <c:v>18.081259012935497</c:v>
                </c:pt>
                <c:pt idx="13">
                  <c:v>18.286765410446176</c:v>
                </c:pt>
                <c:pt idx="14">
                  <c:v>18.785180548238092</c:v>
                </c:pt>
                <c:pt idx="15">
                  <c:v>19.00165051380101</c:v>
                </c:pt>
                <c:pt idx="16">
                  <c:v>19.222597197877771</c:v>
                </c:pt>
                <c:pt idx="17">
                  <c:v>19.447352882424571</c:v>
                </c:pt>
                <c:pt idx="18">
                  <c:v>19.675250449261696</c:v>
                </c:pt>
                <c:pt idx="19">
                  <c:v>19.905623374049533</c:v>
                </c:pt>
                <c:pt idx="20">
                  <c:v>20.137805728566143</c:v>
                </c:pt>
                <c:pt idx="21">
                  <c:v>20.371132188346873</c:v>
                </c:pt>
                <c:pt idx="22">
                  <c:v>20.607025182698184</c:v>
                </c:pt>
                <c:pt idx="23">
                  <c:v>20.847216960304504</c:v>
                </c:pt>
                <c:pt idx="24">
                  <c:v>21.091507539320496</c:v>
                </c:pt>
                <c:pt idx="25">
                  <c:v>21.339697267276865</c:v>
                </c:pt>
                <c:pt idx="26">
                  <c:v>21.591586674883906</c:v>
                </c:pt>
                <c:pt idx="27">
                  <c:v>21.846976481891712</c:v>
                </c:pt>
                <c:pt idx="28">
                  <c:v>22.105667600038764</c:v>
                </c:pt>
                <c:pt idx="29">
                  <c:v>22.367460795550056</c:v>
                </c:pt>
                <c:pt idx="30">
                  <c:v>22.63215719554773</c:v>
                </c:pt>
                <c:pt idx="31">
                  <c:v>22.899558167836538</c:v>
                </c:pt>
                <c:pt idx="32">
                  <c:v>23.16946526361426</c:v>
                </c:pt>
                <c:pt idx="33">
                  <c:v>23.441680217822228</c:v>
                </c:pt>
                <c:pt idx="34">
                  <c:v>23.716004945320993</c:v>
                </c:pt>
                <c:pt idx="35">
                  <c:v>23.992241543575616</c:v>
                </c:pt>
                <c:pt idx="36">
                  <c:v>24.26983213856083</c:v>
                </c:pt>
                <c:pt idx="37">
                  <c:v>24.548611928067189</c:v>
                </c:pt>
                <c:pt idx="38">
                  <c:v>24.828973601301399</c:v>
                </c:pt>
                <c:pt idx="39">
                  <c:v>25.111308838380985</c:v>
                </c:pt>
                <c:pt idx="40">
                  <c:v>25.39600897776057</c:v>
                </c:pt>
                <c:pt idx="41">
                  <c:v>25.683465020384187</c:v>
                </c:pt>
                <c:pt idx="42">
                  <c:v>25.974067619610938</c:v>
                </c:pt>
                <c:pt idx="43">
                  <c:v>26.268206755648546</c:v>
                </c:pt>
                <c:pt idx="44">
                  <c:v>26.566273273710934</c:v>
                </c:pt>
                <c:pt idx="45">
                  <c:v>26.868656882365492</c:v>
                </c:pt>
                <c:pt idx="46">
                  <c:v>27.175746941522981</c:v>
                </c:pt>
                <c:pt idx="47">
                  <c:v>27.487932455873192</c:v>
                </c:pt>
                <c:pt idx="48">
                  <c:v>27.805602079764054</c:v>
                </c:pt>
                <c:pt idx="49">
                  <c:v>28.129144098700355</c:v>
                </c:pt>
                <c:pt idx="50">
                  <c:v>28.458815874181884</c:v>
                </c:pt>
                <c:pt idx="51">
                  <c:v>28.794352183174745</c:v>
                </c:pt>
                <c:pt idx="52">
                  <c:v>29.13535816309091</c:v>
                </c:pt>
                <c:pt idx="53">
                  <c:v>29.481438795933446</c:v>
                </c:pt>
                <c:pt idx="54">
                  <c:v>29.832199336068733</c:v>
                </c:pt>
                <c:pt idx="55">
                  <c:v>30.187245319610025</c:v>
                </c:pt>
                <c:pt idx="56">
                  <c:v>30.54618254563454</c:v>
                </c:pt>
                <c:pt idx="57">
                  <c:v>30.908617606797915</c:v>
                </c:pt>
                <c:pt idx="58">
                  <c:v>31.274157622016663</c:v>
                </c:pt>
                <c:pt idx="59">
                  <c:v>31.64240933630855</c:v>
                </c:pt>
                <c:pt idx="60">
                  <c:v>32.01297974333275</c:v>
                </c:pt>
                <c:pt idx="61">
                  <c:v>32.385476079128424</c:v>
                </c:pt>
                <c:pt idx="62">
                  <c:v>32.759505811003478</c:v>
                </c:pt>
                <c:pt idx="63">
                  <c:v>33.134676637518993</c:v>
                </c:pt>
                <c:pt idx="64">
                  <c:v>33.513265116793342</c:v>
                </c:pt>
                <c:pt idx="65">
                  <c:v>33.897289162339668</c:v>
                </c:pt>
                <c:pt idx="66">
                  <c:v>34.285964433705196</c:v>
                </c:pt>
                <c:pt idx="67">
                  <c:v>34.678506866867124</c:v>
                </c:pt>
                <c:pt idx="68">
                  <c:v>35.074132978158033</c:v>
                </c:pt>
                <c:pt idx="69">
                  <c:v>35.472059865032278</c:v>
                </c:pt>
                <c:pt idx="70">
                  <c:v>35.871505203348214</c:v>
                </c:pt>
                <c:pt idx="71">
                  <c:v>36.271695510143211</c:v>
                </c:pt>
                <c:pt idx="72">
                  <c:v>36.671849674329188</c:v>
                </c:pt>
                <c:pt idx="73">
                  <c:v>37.071188179530324</c:v>
                </c:pt>
                <c:pt idx="74">
                  <c:v>37.468932179380005</c:v>
                </c:pt>
                <c:pt idx="75">
                  <c:v>37.864303505737148</c:v>
                </c:pt>
                <c:pt idx="76">
                  <c:v>38.256524680547372</c:v>
                </c:pt>
                <c:pt idx="77">
                  <c:v>38.644818927966938</c:v>
                </c:pt>
                <c:pt idx="78">
                  <c:v>39.03267726451358</c:v>
                </c:pt>
                <c:pt idx="79">
                  <c:v>39.423396903309609</c:v>
                </c:pt>
                <c:pt idx="80">
                  <c:v>39.815899420999074</c:v>
                </c:pt>
                <c:pt idx="81">
                  <c:v>40.20911367421099</c:v>
                </c:pt>
                <c:pt idx="82">
                  <c:v>40.601969513272245</c:v>
                </c:pt>
                <c:pt idx="83">
                  <c:v>40.993397800002107</c:v>
                </c:pt>
                <c:pt idx="84">
                  <c:v>41.382330426811201</c:v>
                </c:pt>
                <c:pt idx="85">
                  <c:v>41.767696598575824</c:v>
                </c:pt>
                <c:pt idx="86">
                  <c:v>42.148414015713833</c:v>
                </c:pt>
                <c:pt idx="87">
                  <c:v>42.523415219751925</c:v>
                </c:pt>
                <c:pt idx="88">
                  <c:v>42.891633676588796</c:v>
                </c:pt>
                <c:pt idx="89">
                  <c:v>43.252003782871391</c:v>
                </c:pt>
                <c:pt idx="90">
                  <c:v>43.603460893121692</c:v>
                </c:pt>
                <c:pt idx="91">
                  <c:v>43.944941328650692</c:v>
                </c:pt>
                <c:pt idx="92">
                  <c:v>44.277841242136041</c:v>
                </c:pt>
                <c:pt idx="93">
                  <c:v>44.604334462097484</c:v>
                </c:pt>
                <c:pt idx="94">
                  <c:v>44.924514119675152</c:v>
                </c:pt>
                <c:pt idx="95">
                  <c:v>45.238479523153543</c:v>
                </c:pt>
                <c:pt idx="96">
                  <c:v>45.546329954026497</c:v>
                </c:pt>
                <c:pt idx="97">
                  <c:v>45.848164676397687</c:v>
                </c:pt>
                <c:pt idx="98">
                  <c:v>46.144082953218117</c:v>
                </c:pt>
                <c:pt idx="99">
                  <c:v>46.434180082635791</c:v>
                </c:pt>
                <c:pt idx="100">
                  <c:v>46.718561885781121</c:v>
                </c:pt>
                <c:pt idx="101">
                  <c:v>46.997328003173052</c:v>
                </c:pt>
                <c:pt idx="102">
                  <c:v>47.270578127101757</c:v>
                </c:pt>
                <c:pt idx="103">
                  <c:v>47.538412020952812</c:v>
                </c:pt>
                <c:pt idx="104">
                  <c:v>47.800929515831584</c:v>
                </c:pt>
                <c:pt idx="105">
                  <c:v>48.058230538075257</c:v>
                </c:pt>
                <c:pt idx="106">
                  <c:v>48.310173203944707</c:v>
                </c:pt>
                <c:pt idx="107">
                  <c:v>48.556523196177871</c:v>
                </c:pt>
                <c:pt idx="108">
                  <c:v>48.797276165303472</c:v>
                </c:pt>
                <c:pt idx="109">
                  <c:v>49.032431740203421</c:v>
                </c:pt>
                <c:pt idx="110">
                  <c:v>49.261989394736339</c:v>
                </c:pt>
                <c:pt idx="111">
                  <c:v>49.485948462797332</c:v>
                </c:pt>
                <c:pt idx="112">
                  <c:v>49.704308153219777</c:v>
                </c:pt>
                <c:pt idx="113">
                  <c:v>49.917047172377622</c:v>
                </c:pt>
                <c:pt idx="114">
                  <c:v>50.124169214196783</c:v>
                </c:pt>
                <c:pt idx="115">
                  <c:v>50.325671119557526</c:v>
                </c:pt>
                <c:pt idx="116">
                  <c:v>50.521549387478046</c:v>
                </c:pt>
                <c:pt idx="117">
                  <c:v>50.711800152818789</c:v>
                </c:pt>
                <c:pt idx="118">
                  <c:v>50.896419169262856</c:v>
                </c:pt>
                <c:pt idx="119">
                  <c:v>51.075401788964726</c:v>
                </c:pt>
                <c:pt idx="120">
                  <c:v>51.249160830992096</c:v>
                </c:pt>
                <c:pt idx="121">
                  <c:v>51.417979916553882</c:v>
                </c:pt>
                <c:pt idx="122">
                  <c:v>51.581712167973521</c:v>
                </c:pt>
                <c:pt idx="123">
                  <c:v>51.74016446743375</c:v>
                </c:pt>
                <c:pt idx="124">
                  <c:v>51.893143854017417</c:v>
                </c:pt>
                <c:pt idx="125">
                  <c:v>52.040457521513943</c:v>
                </c:pt>
                <c:pt idx="126">
                  <c:v>52.181912829541425</c:v>
                </c:pt>
                <c:pt idx="127">
                  <c:v>52.317318975220658</c:v>
                </c:pt>
                <c:pt idx="128">
                  <c:v>52.446521115340538</c:v>
                </c:pt>
                <c:pt idx="129">
                  <c:v>52.569331753575028</c:v>
                </c:pt>
                <c:pt idx="130">
                  <c:v>52.685563874820041</c:v>
                </c:pt>
                <c:pt idx="131">
                  <c:v>52.795030943573437</c:v>
                </c:pt>
                <c:pt idx="132">
                  <c:v>52.897546922402732</c:v>
                </c:pt>
                <c:pt idx="133">
                  <c:v>52.992926267790601</c:v>
                </c:pt>
                <c:pt idx="134">
                  <c:v>53.080631608048698</c:v>
                </c:pt>
                <c:pt idx="135">
                  <c:v>53.160516135250994</c:v>
                </c:pt>
                <c:pt idx="136">
                  <c:v>53.232972582785528</c:v>
                </c:pt>
                <c:pt idx="137">
                  <c:v>53.298393952045572</c:v>
                </c:pt>
                <c:pt idx="138">
                  <c:v>53.357173193049505</c:v>
                </c:pt>
                <c:pt idx="139">
                  <c:v>53.409703175182344</c:v>
                </c:pt>
                <c:pt idx="140">
                  <c:v>53.456376703031339</c:v>
                </c:pt>
                <c:pt idx="141">
                  <c:v>53.497598241350346</c:v>
                </c:pt>
                <c:pt idx="142">
                  <c:v>53.533758913479893</c:v>
                </c:pt>
                <c:pt idx="143">
                  <c:v>53.565252417216236</c:v>
                </c:pt>
                <c:pt idx="144">
                  <c:v>53.592472192789337</c:v>
                </c:pt>
                <c:pt idx="145">
                  <c:v>53.61581158149388</c:v>
                </c:pt>
                <c:pt idx="146">
                  <c:v>53.635663818204861</c:v>
                </c:pt>
                <c:pt idx="147">
                  <c:v>53.65242200597492</c:v>
                </c:pt>
                <c:pt idx="148">
                  <c:v>53.664899418216756</c:v>
                </c:pt>
                <c:pt idx="149">
                  <c:v>53.671857188995766</c:v>
                </c:pt>
                <c:pt idx="150">
                  <c:v>53.673586683010285</c:v>
                </c:pt>
                <c:pt idx="151">
                  <c:v>53.670387364148972</c:v>
                </c:pt>
                <c:pt idx="152">
                  <c:v>53.662558542748165</c:v>
                </c:pt>
                <c:pt idx="153">
                  <c:v>53.65039934309403</c:v>
                </c:pt>
                <c:pt idx="154">
                  <c:v>53.634208666697539</c:v>
                </c:pt>
                <c:pt idx="155">
                  <c:v>53.614290418661227</c:v>
                </c:pt>
                <c:pt idx="156">
                  <c:v>53.590924616299141</c:v>
                </c:pt>
                <c:pt idx="157">
                  <c:v>53.564408212246576</c:v>
                </c:pt>
                <c:pt idx="158">
                  <c:v>53.535037791533441</c:v>
                </c:pt>
                <c:pt idx="159">
                  <c:v>53.50310954661969</c:v>
                </c:pt>
                <c:pt idx="160">
                  <c:v>53.468919244855279</c:v>
                </c:pt>
                <c:pt idx="161">
                  <c:v>53.432762207803194</c:v>
                </c:pt>
                <c:pt idx="162">
                  <c:v>53.394217827134689</c:v>
                </c:pt>
                <c:pt idx="163">
                  <c:v>53.352682682472143</c:v>
                </c:pt>
                <c:pt idx="164">
                  <c:v>53.308151019375742</c:v>
                </c:pt>
                <c:pt idx="165">
                  <c:v>53.26063100593808</c:v>
                </c:pt>
                <c:pt idx="166">
                  <c:v>53.210130498420099</c:v>
                </c:pt>
                <c:pt idx="167">
                  <c:v>53.156657009594291</c:v>
                </c:pt>
                <c:pt idx="168">
                  <c:v>53.100217691786646</c:v>
                </c:pt>
                <c:pt idx="169">
                  <c:v>53.040828107193533</c:v>
                </c:pt>
                <c:pt idx="170">
                  <c:v>52.978487663366657</c:v>
                </c:pt>
                <c:pt idx="171">
                  <c:v>52.913202397099738</c:v>
                </c:pt>
                <c:pt idx="172">
                  <c:v>52.844977917642623</c:v>
                </c:pt>
                <c:pt idx="173">
                  <c:v>52.773820282728494</c:v>
                </c:pt>
                <c:pt idx="174">
                  <c:v>52.699735215482761</c:v>
                </c:pt>
                <c:pt idx="175">
                  <c:v>52.622727150986044</c:v>
                </c:pt>
                <c:pt idx="176">
                  <c:v>52.542800073490994</c:v>
                </c:pt>
                <c:pt idx="177">
                  <c:v>52.459965983636998</c:v>
                </c:pt>
                <c:pt idx="178">
                  <c:v>52.374218061457292</c:v>
                </c:pt>
                <c:pt idx="179">
                  <c:v>52.285558857910459</c:v>
                </c:pt>
                <c:pt idx="180">
                  <c:v>52.193990496249576</c:v>
                </c:pt>
                <c:pt idx="181">
                  <c:v>51.554630702594764</c:v>
                </c:pt>
                <c:pt idx="182">
                  <c:v>51.458254391019352</c:v>
                </c:pt>
                <c:pt idx="183">
                  <c:v>51.359024366921886</c:v>
                </c:pt>
                <c:pt idx="184">
                  <c:v>51.256930895604008</c:v>
                </c:pt>
                <c:pt idx="185">
                  <c:v>51.151974517717164</c:v>
                </c:pt>
                <c:pt idx="186">
                  <c:v>51.044155431013316</c:v>
                </c:pt>
                <c:pt idx="187">
                  <c:v>50.933473511674613</c:v>
                </c:pt>
                <c:pt idx="188">
                  <c:v>50.819928343322211</c:v>
                </c:pt>
                <c:pt idx="189">
                  <c:v>50.703519237086354</c:v>
                </c:pt>
                <c:pt idx="190">
                  <c:v>50.583635489050771</c:v>
                </c:pt>
                <c:pt idx="191">
                  <c:v>50.459888935193028</c:v>
                </c:pt>
                <c:pt idx="192">
                  <c:v>50.33255106038132</c:v>
                </c:pt>
                <c:pt idx="193">
                  <c:v>50.201902698673862</c:v>
                </c:pt>
                <c:pt idx="194">
                  <c:v>50.068224291725947</c:v>
                </c:pt>
                <c:pt idx="195">
                  <c:v>49.931795923401253</c:v>
                </c:pt>
                <c:pt idx="196">
                  <c:v>49.792897346708493</c:v>
                </c:pt>
                <c:pt idx="197">
                  <c:v>49.651828904269259</c:v>
                </c:pt>
                <c:pt idx="198">
                  <c:v>49.50884583453734</c:v>
                </c:pt>
                <c:pt idx="199">
                  <c:v>49.364227004253415</c:v>
                </c:pt>
                <c:pt idx="200">
                  <c:v>49.218251071156779</c:v>
                </c:pt>
                <c:pt idx="201">
                  <c:v>49.071196512522164</c:v>
                </c:pt>
                <c:pt idx="202">
                  <c:v>48.923341645894979</c:v>
                </c:pt>
                <c:pt idx="203">
                  <c:v>48.77496465010087</c:v>
                </c:pt>
                <c:pt idx="204">
                  <c:v>48.626452909856674</c:v>
                </c:pt>
                <c:pt idx="205">
                  <c:v>48.47776634766916</c:v>
                </c:pt>
                <c:pt idx="206">
                  <c:v>48.32848987627667</c:v>
                </c:pt>
                <c:pt idx="207">
                  <c:v>48.178246752179213</c:v>
                </c:pt>
                <c:pt idx="208">
                  <c:v>48.026660647286732</c:v>
                </c:pt>
                <c:pt idx="209">
                  <c:v>47.873355651198743</c:v>
                </c:pt>
                <c:pt idx="210">
                  <c:v>47.717956270606429</c:v>
                </c:pt>
                <c:pt idx="211">
                  <c:v>47.560088964288944</c:v>
                </c:pt>
                <c:pt idx="212">
                  <c:v>47.399356408167279</c:v>
                </c:pt>
                <c:pt idx="213">
                  <c:v>47.23538410526146</c:v>
                </c:pt>
                <c:pt idx="214">
                  <c:v>47.067797980530912</c:v>
                </c:pt>
                <c:pt idx="215">
                  <c:v>46.896224378672862</c:v>
                </c:pt>
                <c:pt idx="216">
                  <c:v>46.720290051260086</c:v>
                </c:pt>
                <c:pt idx="217">
                  <c:v>46.539622150091148</c:v>
                </c:pt>
                <c:pt idx="218">
                  <c:v>46.354983867103314</c:v>
                </c:pt>
                <c:pt idx="219">
                  <c:v>46.167116205891574</c:v>
                </c:pt>
                <c:pt idx="220">
                  <c:v>45.975914599568171</c:v>
                </c:pt>
                <c:pt idx="221">
                  <c:v>45.781284526019832</c:v>
                </c:pt>
                <c:pt idx="222">
                  <c:v>45.583131789443058</c:v>
                </c:pt>
                <c:pt idx="223">
                  <c:v>45.381362502607175</c:v>
                </c:pt>
                <c:pt idx="224">
                  <c:v>45.175883071175384</c:v>
                </c:pt>
                <c:pt idx="225">
                  <c:v>44.966222773748662</c:v>
                </c:pt>
                <c:pt idx="226">
                  <c:v>44.752284612255181</c:v>
                </c:pt>
                <c:pt idx="227">
                  <c:v>44.533973680662072</c:v>
                </c:pt>
                <c:pt idx="228">
                  <c:v>44.311195555344796</c:v>
                </c:pt>
                <c:pt idx="229">
                  <c:v>44.083856271644912</c:v>
                </c:pt>
                <c:pt idx="230">
                  <c:v>43.851862317171495</c:v>
                </c:pt>
                <c:pt idx="231">
                  <c:v>43.615120607772887</c:v>
                </c:pt>
                <c:pt idx="232">
                  <c:v>43.37397307282977</c:v>
                </c:pt>
                <c:pt idx="233">
                  <c:v>43.128686943732554</c:v>
                </c:pt>
                <c:pt idx="234">
                  <c:v>42.87938441604966</c:v>
                </c:pt>
                <c:pt idx="235">
                  <c:v>42.625974028140305</c:v>
                </c:pt>
                <c:pt idx="236">
                  <c:v>42.368364567491447</c:v>
                </c:pt>
                <c:pt idx="237">
                  <c:v>42.106465177594018</c:v>
                </c:pt>
                <c:pt idx="238">
                  <c:v>41.84018528290909</c:v>
                </c:pt>
                <c:pt idx="239">
                  <c:v>41.56949528157876</c:v>
                </c:pt>
                <c:pt idx="240">
                  <c:v>41.2946903834845</c:v>
                </c:pt>
                <c:pt idx="241">
                  <c:v>41.015681622370536</c:v>
                </c:pt>
                <c:pt idx="242">
                  <c:v>40.732380077343464</c:v>
                </c:pt>
                <c:pt idx="243">
                  <c:v>40.444696872784654</c:v>
                </c:pt>
                <c:pt idx="244">
                  <c:v>40.152543192318007</c:v>
                </c:pt>
                <c:pt idx="245">
                  <c:v>39.855830276803658</c:v>
                </c:pt>
                <c:pt idx="246">
                  <c:v>39.554299060570671</c:v>
                </c:pt>
                <c:pt idx="247">
                  <c:v>39.247747315112463</c:v>
                </c:pt>
                <c:pt idx="248">
                  <c:v>38.936440740956357</c:v>
                </c:pt>
                <c:pt idx="249">
                  <c:v>38.620569490505147</c:v>
                </c:pt>
                <c:pt idx="250">
                  <c:v>38.30032366234898</c:v>
                </c:pt>
                <c:pt idx="251">
                  <c:v>37.975893305557349</c:v>
                </c:pt>
                <c:pt idx="252">
                  <c:v>37.647468423814203</c:v>
                </c:pt>
                <c:pt idx="253">
                  <c:v>37.315404591486413</c:v>
                </c:pt>
                <c:pt idx="254">
                  <c:v>36.979830718913021</c:v>
                </c:pt>
                <c:pt idx="255">
                  <c:v>36.640936470254367</c:v>
                </c:pt>
                <c:pt idx="256">
                  <c:v>36.298911426535319</c:v>
                </c:pt>
                <c:pt idx="257">
                  <c:v>35.953945087755329</c:v>
                </c:pt>
                <c:pt idx="258">
                  <c:v>35.606226868448303</c:v>
                </c:pt>
                <c:pt idx="259">
                  <c:v>35.255946097205573</c:v>
                </c:pt>
                <c:pt idx="260">
                  <c:v>34.900216084563844</c:v>
                </c:pt>
                <c:pt idx="261">
                  <c:v>34.537350765606803</c:v>
                </c:pt>
                <c:pt idx="262">
                  <c:v>34.168687152923098</c:v>
                </c:pt>
                <c:pt idx="263">
                  <c:v>33.795432782449673</c:v>
                </c:pt>
                <c:pt idx="264">
                  <c:v>33.418794096643182</c:v>
                </c:pt>
                <c:pt idx="265">
                  <c:v>33.039974708386751</c:v>
                </c:pt>
                <c:pt idx="266">
                  <c:v>32.660177937021935</c:v>
                </c:pt>
                <c:pt idx="267">
                  <c:v>32.280907897273792</c:v>
                </c:pt>
                <c:pt idx="268">
                  <c:v>31.903202699696958</c:v>
                </c:pt>
                <c:pt idx="269">
                  <c:v>31.528262833824218</c:v>
                </c:pt>
                <c:pt idx="270">
                  <c:v>31.157287598513172</c:v>
                </c:pt>
                <c:pt idx="271">
                  <c:v>30.791475079572745</c:v>
                </c:pt>
                <c:pt idx="272">
                  <c:v>30.432022137675652</c:v>
                </c:pt>
                <c:pt idx="273">
                  <c:v>30.080124391217627</c:v>
                </c:pt>
                <c:pt idx="274">
                  <c:v>29.733967117983795</c:v>
                </c:pt>
                <c:pt idx="275">
                  <c:v>29.390995773860659</c:v>
                </c:pt>
                <c:pt idx="276">
                  <c:v>29.050696986320617</c:v>
                </c:pt>
                <c:pt idx="277">
                  <c:v>28.713064433611663</c:v>
                </c:pt>
                <c:pt idx="278">
                  <c:v>28.378091258620529</c:v>
                </c:pt>
                <c:pt idx="279">
                  <c:v>28.045770058274872</c:v>
                </c:pt>
                <c:pt idx="280">
                  <c:v>27.716092876871308</c:v>
                </c:pt>
                <c:pt idx="281">
                  <c:v>27.389024306690047</c:v>
                </c:pt>
                <c:pt idx="282">
                  <c:v>27.064267468295238</c:v>
                </c:pt>
                <c:pt idx="283">
                  <c:v>26.741816511113846</c:v>
                </c:pt>
                <c:pt idx="284">
                  <c:v>26.421665314614643</c:v>
                </c:pt>
                <c:pt idx="285">
                  <c:v>26.103807498204038</c:v>
                </c:pt>
                <c:pt idx="286">
                  <c:v>25.788236435481068</c:v>
                </c:pt>
                <c:pt idx="287">
                  <c:v>25.474945270639481</c:v>
                </c:pt>
                <c:pt idx="288">
                  <c:v>25.163526230266321</c:v>
                </c:pt>
                <c:pt idx="289">
                  <c:v>24.853617761750524</c:v>
                </c:pt>
                <c:pt idx="290">
                  <c:v>24.545339798503029</c:v>
                </c:pt>
                <c:pt idx="291">
                  <c:v>24.238871947868006</c:v>
                </c:pt>
                <c:pt idx="292">
                  <c:v>23.934393751781769</c:v>
                </c:pt>
                <c:pt idx="293">
                  <c:v>23.632084711831581</c:v>
                </c:pt>
                <c:pt idx="294">
                  <c:v>23.33212431791566</c:v>
                </c:pt>
                <c:pt idx="295">
                  <c:v>23.034618840422748</c:v>
                </c:pt>
                <c:pt idx="296">
                  <c:v>22.739771926190635</c:v>
                </c:pt>
                <c:pt idx="297">
                  <c:v>22.447762820395091</c:v>
                </c:pt>
                <c:pt idx="298">
                  <c:v>22.158772455387115</c:v>
                </c:pt>
                <c:pt idx="299">
                  <c:v>21.872981878994398</c:v>
                </c:pt>
                <c:pt idx="300">
                  <c:v>21.590572267493826</c:v>
                </c:pt>
                <c:pt idx="301">
                  <c:v>21.311724944730667</c:v>
                </c:pt>
                <c:pt idx="302">
                  <c:v>21.034758187181559</c:v>
                </c:pt>
                <c:pt idx="303">
                  <c:v>20.758107537735732</c:v>
                </c:pt>
                <c:pt idx="304">
                  <c:v>20.48249146199278</c:v>
                </c:pt>
                <c:pt idx="305">
                  <c:v>20.20855679898143</c:v>
                </c:pt>
                <c:pt idx="306">
                  <c:v>19.936950486221651</c:v>
                </c:pt>
                <c:pt idx="307">
                  <c:v>19.668319562596373</c:v>
                </c:pt>
                <c:pt idx="308">
                  <c:v>19.403311152112764</c:v>
                </c:pt>
                <c:pt idx="309">
                  <c:v>19.142341510759348</c:v>
                </c:pt>
                <c:pt idx="310">
                  <c:v>18.886129032897543</c:v>
                </c:pt>
                <c:pt idx="311">
                  <c:v>18.635324446719117</c:v>
                </c:pt>
                <c:pt idx="312">
                  <c:v>18.390578454559211</c:v>
                </c:pt>
                <c:pt idx="313">
                  <c:v>18.152541681878979</c:v>
                </c:pt>
                <c:pt idx="314">
                  <c:v>17.921864647376896</c:v>
                </c:pt>
                <c:pt idx="315">
                  <c:v>17.699197719402548</c:v>
                </c:pt>
                <c:pt idx="316">
                  <c:v>17.483375383290731</c:v>
                </c:pt>
                <c:pt idx="317">
                  <c:v>17.272899380947731</c:v>
                </c:pt>
                <c:pt idx="318">
                  <c:v>17.068037774982571</c:v>
                </c:pt>
                <c:pt idx="319">
                  <c:v>16.868882739506066</c:v>
                </c:pt>
                <c:pt idx="320">
                  <c:v>16.675526432595095</c:v>
                </c:pt>
                <c:pt idx="321">
                  <c:v>16.488060989062426</c:v>
                </c:pt>
                <c:pt idx="322">
                  <c:v>16.306578508987837</c:v>
                </c:pt>
                <c:pt idx="323">
                  <c:v>16.131348571176357</c:v>
                </c:pt>
                <c:pt idx="324">
                  <c:v>15.96266864090026</c:v>
                </c:pt>
                <c:pt idx="325">
                  <c:v>15.800623854243886</c:v>
                </c:pt>
                <c:pt idx="326">
                  <c:v>15.645300527214829</c:v>
                </c:pt>
                <c:pt idx="327">
                  <c:v>15.496784800795622</c:v>
                </c:pt>
                <c:pt idx="328">
                  <c:v>15.355162488864693</c:v>
                </c:pt>
                <c:pt idx="329">
                  <c:v>15.220519757361648</c:v>
                </c:pt>
                <c:pt idx="330">
                  <c:v>15.091713333228123</c:v>
                </c:pt>
                <c:pt idx="331">
                  <c:v>14.967891026128413</c:v>
                </c:pt>
                <c:pt idx="332">
                  <c:v>14.849475642219691</c:v>
                </c:pt>
                <c:pt idx="333">
                  <c:v>14.736924001378446</c:v>
                </c:pt>
                <c:pt idx="334">
                  <c:v>14.630693189365541</c:v>
                </c:pt>
                <c:pt idx="335">
                  <c:v>14.531240520629769</c:v>
                </c:pt>
                <c:pt idx="336">
                  <c:v>14.439023522199053</c:v>
                </c:pt>
                <c:pt idx="337">
                  <c:v>14.354470307787455</c:v>
                </c:pt>
                <c:pt idx="338">
                  <c:v>14.277874503253786</c:v>
                </c:pt>
                <c:pt idx="339">
                  <c:v>14.209696214397308</c:v>
                </c:pt>
                <c:pt idx="340">
                  <c:v>14.1503954216768</c:v>
                </c:pt>
                <c:pt idx="341">
                  <c:v>14.100431965268799</c:v>
                </c:pt>
                <c:pt idx="342">
                  <c:v>14.060265521126304</c:v>
                </c:pt>
                <c:pt idx="343">
                  <c:v>14.030355578068328</c:v>
                </c:pt>
                <c:pt idx="344">
                  <c:v>14.011740599896141</c:v>
                </c:pt>
                <c:pt idx="345">
                  <c:v>14.004619141329016</c:v>
                </c:pt>
                <c:pt idx="346">
                  <c:v>14.008118415327772</c:v>
                </c:pt>
                <c:pt idx="347">
                  <c:v>14.021438914490629</c:v>
                </c:pt>
                <c:pt idx="348">
                  <c:v>14.04378138196331</c:v>
                </c:pt>
                <c:pt idx="349">
                  <c:v>14.074346812597927</c:v>
                </c:pt>
                <c:pt idx="350">
                  <c:v>14.112336459783545</c:v>
                </c:pt>
                <c:pt idx="351">
                  <c:v>14.15692165613464</c:v>
                </c:pt>
                <c:pt idx="352">
                  <c:v>14.207332825843192</c:v>
                </c:pt>
                <c:pt idx="353">
                  <c:v>14.262772023858815</c:v>
                </c:pt>
                <c:pt idx="354">
                  <c:v>14.322441585188329</c:v>
                </c:pt>
                <c:pt idx="355">
                  <c:v>14.385544127597871</c:v>
                </c:pt>
                <c:pt idx="356">
                  <c:v>14.451284052959776</c:v>
                </c:pt>
                <c:pt idx="357">
                  <c:v>14.518863159426282</c:v>
                </c:pt>
                <c:pt idx="358">
                  <c:v>14.588795794488572</c:v>
                </c:pt>
                <c:pt idx="359">
                  <c:v>14.662322664906096</c:v>
                </c:pt>
                <c:pt idx="360">
                  <c:v>14.739708778255883</c:v>
                </c:pt>
                <c:pt idx="361">
                  <c:v>14.82127713456582</c:v>
                </c:pt>
                <c:pt idx="362">
                  <c:v>14.907320520863571</c:v>
                </c:pt>
                <c:pt idx="363">
                  <c:v>14.998131465324949</c:v>
                </c:pt>
                <c:pt idx="364">
                  <c:v>15.09400224050315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16.157</c:v>
                </c:pt>
                <c:pt idx="1">
                  <c:v>13.17</c:v>
                </c:pt>
                <c:pt idx="2">
                  <c:v>12.429</c:v>
                </c:pt>
                <c:pt idx="3">
                  <c:v>12.996</c:v>
                </c:pt>
                <c:pt idx="4">
                  <c:v>11.734999999999999</c:v>
                </c:pt>
                <c:pt idx="5">
                  <c:v>13.633000000000001</c:v>
                </c:pt>
                <c:pt idx="6">
                  <c:v>9.7439999999999998</c:v>
                </c:pt>
                <c:pt idx="7">
                  <c:v>7.2210000000000001</c:v>
                </c:pt>
                <c:pt idx="8">
                  <c:v>2.1880000000000002</c:v>
                </c:pt>
                <c:pt idx="9">
                  <c:v>1.6910000000000001</c:v>
                </c:pt>
                <c:pt idx="10">
                  <c:v>18.277999999999999</c:v>
                </c:pt>
                <c:pt idx="11">
                  <c:v>16.474</c:v>
                </c:pt>
                <c:pt idx="12">
                  <c:v>4.96</c:v>
                </c:pt>
                <c:pt idx="13">
                  <c:v>18.856000000000002</c:v>
                </c:pt>
                <c:pt idx="14">
                  <c:v>18.562000000000001</c:v>
                </c:pt>
                <c:pt idx="15">
                  <c:v>18.276</c:v>
                </c:pt>
                <c:pt idx="16">
                  <c:v>12.152000000000001</c:v>
                </c:pt>
                <c:pt idx="17">
                  <c:v>3.4</c:v>
                </c:pt>
                <c:pt idx="18">
                  <c:v>8.1639999999999997</c:v>
                </c:pt>
                <c:pt idx="19">
                  <c:v>6.3849999999999998</c:v>
                </c:pt>
                <c:pt idx="20">
                  <c:v>14.272</c:v>
                </c:pt>
                <c:pt idx="21">
                  <c:v>19.588999999999999</c:v>
                </c:pt>
                <c:pt idx="22">
                  <c:v>19.868000000000002</c:v>
                </c:pt>
                <c:pt idx="23">
                  <c:v>19.981999999999999</c:v>
                </c:pt>
                <c:pt idx="24">
                  <c:v>20.007999999999999</c:v>
                </c:pt>
                <c:pt idx="25">
                  <c:v>20.28</c:v>
                </c:pt>
                <c:pt idx="26">
                  <c:v>21.22</c:v>
                </c:pt>
                <c:pt idx="27">
                  <c:v>4.22</c:v>
                </c:pt>
                <c:pt idx="28">
                  <c:v>8.3719999999999999</c:v>
                </c:pt>
                <c:pt idx="29">
                  <c:v>4.4080000000000004</c:v>
                </c:pt>
                <c:pt idx="30">
                  <c:v>9.0990000000000002</c:v>
                </c:pt>
                <c:pt idx="31">
                  <c:v>8.9090000000000007</c:v>
                </c:pt>
                <c:pt idx="32">
                  <c:v>5.3470000000000004</c:v>
                </c:pt>
                <c:pt idx="33">
                  <c:v>9.745000000000001</c:v>
                </c:pt>
                <c:pt idx="34">
                  <c:v>8.8620000000000001</c:v>
                </c:pt>
                <c:pt idx="35">
                  <c:v>9.1940000000000008</c:v>
                </c:pt>
                <c:pt idx="36">
                  <c:v>15.936</c:v>
                </c:pt>
                <c:pt idx="37">
                  <c:v>9.1920000000000002</c:v>
                </c:pt>
                <c:pt idx="38">
                  <c:v>25.058</c:v>
                </c:pt>
                <c:pt idx="39">
                  <c:v>24.792999999999999</c:v>
                </c:pt>
                <c:pt idx="40">
                  <c:v>23.17</c:v>
                </c:pt>
                <c:pt idx="41">
                  <c:v>15.316000000000001</c:v>
                </c:pt>
                <c:pt idx="42">
                  <c:v>21.719000000000001</c:v>
                </c:pt>
                <c:pt idx="43">
                  <c:v>24.884</c:v>
                </c:pt>
                <c:pt idx="44">
                  <c:v>13.135</c:v>
                </c:pt>
                <c:pt idx="45">
                  <c:v>16.658999999999999</c:v>
                </c:pt>
                <c:pt idx="46">
                  <c:v>10.200000000000001</c:v>
                </c:pt>
                <c:pt idx="47">
                  <c:v>10.959</c:v>
                </c:pt>
                <c:pt idx="48">
                  <c:v>21.626999999999999</c:v>
                </c:pt>
                <c:pt idx="49">
                  <c:v>19.268000000000001</c:v>
                </c:pt>
                <c:pt idx="50">
                  <c:v>17.525000000000002</c:v>
                </c:pt>
                <c:pt idx="51">
                  <c:v>18.923000000000002</c:v>
                </c:pt>
                <c:pt idx="52">
                  <c:v>27.547000000000001</c:v>
                </c:pt>
                <c:pt idx="53">
                  <c:v>27.548999999999999</c:v>
                </c:pt>
                <c:pt idx="54">
                  <c:v>15.708</c:v>
                </c:pt>
                <c:pt idx="55">
                  <c:v>28.061</c:v>
                </c:pt>
                <c:pt idx="56">
                  <c:v>31.501999999999995</c:v>
                </c:pt>
                <c:pt idx="57">
                  <c:v>25.711000000000002</c:v>
                </c:pt>
                <c:pt idx="58">
                  <c:v>25.908000000000001</c:v>
                </c:pt>
                <c:pt idx="59">
                  <c:v>31.769000000000002</c:v>
                </c:pt>
                <c:pt idx="60">
                  <c:v>9.141</c:v>
                </c:pt>
                <c:pt idx="61">
                  <c:v>30.938000000000002</c:v>
                </c:pt>
                <c:pt idx="62">
                  <c:v>4.1290000000000004</c:v>
                </c:pt>
                <c:pt idx="63">
                  <c:v>13.254</c:v>
                </c:pt>
                <c:pt idx="64">
                  <c:v>15.282</c:v>
                </c:pt>
                <c:pt idx="65">
                  <c:v>32.515999999999998</c:v>
                </c:pt>
                <c:pt idx="66">
                  <c:v>25.153000000000002</c:v>
                </c:pt>
                <c:pt idx="67">
                  <c:v>26.25</c:v>
                </c:pt>
                <c:pt idx="68">
                  <c:v>20.82</c:v>
                </c:pt>
                <c:pt idx="69">
                  <c:v>13.577</c:v>
                </c:pt>
                <c:pt idx="70">
                  <c:v>14.250999999999999</c:v>
                </c:pt>
                <c:pt idx="71">
                  <c:v>10.269</c:v>
                </c:pt>
                <c:pt idx="72">
                  <c:v>13.694000000000001</c:v>
                </c:pt>
                <c:pt idx="73">
                  <c:v>13.771000000000001</c:v>
                </c:pt>
                <c:pt idx="74">
                  <c:v>12.542</c:v>
                </c:pt>
                <c:pt idx="75">
                  <c:v>10.365</c:v>
                </c:pt>
                <c:pt idx="76">
                  <c:v>13.916</c:v>
                </c:pt>
                <c:pt idx="77">
                  <c:v>25.585000000000001</c:v>
                </c:pt>
                <c:pt idx="78">
                  <c:v>26.629000000000001</c:v>
                </c:pt>
                <c:pt idx="79">
                  <c:v>36.878999999999998</c:v>
                </c:pt>
                <c:pt idx="80">
                  <c:v>35.097999999999999</c:v>
                </c:pt>
                <c:pt idx="81">
                  <c:v>39.893999999999998</c:v>
                </c:pt>
                <c:pt idx="82">
                  <c:v>38.874000000000002</c:v>
                </c:pt>
                <c:pt idx="83">
                  <c:v>37.064999999999998</c:v>
                </c:pt>
                <c:pt idx="84">
                  <c:v>39.33</c:v>
                </c:pt>
                <c:pt idx="85">
                  <c:v>37.945</c:v>
                </c:pt>
                <c:pt idx="86">
                  <c:v>28.763999999999999</c:v>
                </c:pt>
                <c:pt idx="87">
                  <c:v>24.698</c:v>
                </c:pt>
                <c:pt idx="88">
                  <c:v>7.6180000000000003</c:v>
                </c:pt>
                <c:pt idx="89">
                  <c:v>27.603999999999999</c:v>
                </c:pt>
                <c:pt idx="90">
                  <c:v>29.63</c:v>
                </c:pt>
                <c:pt idx="91">
                  <c:v>19.836000000000002</c:v>
                </c:pt>
                <c:pt idx="92">
                  <c:v>19.829000000000001</c:v>
                </c:pt>
                <c:pt idx="93">
                  <c:v>43.58</c:v>
                </c:pt>
                <c:pt idx="94">
                  <c:v>44.831000000000003</c:v>
                </c:pt>
                <c:pt idx="95">
                  <c:v>10.914</c:v>
                </c:pt>
                <c:pt idx="96">
                  <c:v>32.561999999999998</c:v>
                </c:pt>
                <c:pt idx="97">
                  <c:v>25.548000000000002</c:v>
                </c:pt>
                <c:pt idx="98">
                  <c:v>34.301000000000002</c:v>
                </c:pt>
                <c:pt idx="99">
                  <c:v>45.145000000000003</c:v>
                </c:pt>
                <c:pt idx="100">
                  <c:v>38.103000000000002</c:v>
                </c:pt>
                <c:pt idx="101">
                  <c:v>31.782</c:v>
                </c:pt>
                <c:pt idx="102">
                  <c:v>6.8650000000000002</c:v>
                </c:pt>
                <c:pt idx="103">
                  <c:v>35.179000000000002</c:v>
                </c:pt>
                <c:pt idx="104">
                  <c:v>41.173000000000002</c:v>
                </c:pt>
                <c:pt idx="105">
                  <c:v>42.942</c:v>
                </c:pt>
                <c:pt idx="106">
                  <c:v>46.752000000000002</c:v>
                </c:pt>
                <c:pt idx="107">
                  <c:v>36.557000000000002</c:v>
                </c:pt>
                <c:pt idx="108">
                  <c:v>8.3979999999999997</c:v>
                </c:pt>
                <c:pt idx="109">
                  <c:v>9.7720000000000002</c:v>
                </c:pt>
                <c:pt idx="110">
                  <c:v>9.2070000000000007</c:v>
                </c:pt>
                <c:pt idx="111">
                  <c:v>26.408000000000001</c:v>
                </c:pt>
                <c:pt idx="112">
                  <c:v>9.0500000000000007</c:v>
                </c:pt>
                <c:pt idx="113">
                  <c:v>28.846</c:v>
                </c:pt>
                <c:pt idx="114">
                  <c:v>46.149000000000001</c:v>
                </c:pt>
                <c:pt idx="115">
                  <c:v>48.27</c:v>
                </c:pt>
                <c:pt idx="116">
                  <c:v>35.125</c:v>
                </c:pt>
                <c:pt idx="117">
                  <c:v>19.652000000000001</c:v>
                </c:pt>
                <c:pt idx="118">
                  <c:v>36.569000000000003</c:v>
                </c:pt>
                <c:pt idx="119">
                  <c:v>41.329000000000001</c:v>
                </c:pt>
                <c:pt idx="120">
                  <c:v>42.131</c:v>
                </c:pt>
                <c:pt idx="121">
                  <c:v>27.477</c:v>
                </c:pt>
                <c:pt idx="122">
                  <c:v>33.529000000000003</c:v>
                </c:pt>
                <c:pt idx="123">
                  <c:v>19.73</c:v>
                </c:pt>
                <c:pt idx="124">
                  <c:v>39.236000000000004</c:v>
                </c:pt>
                <c:pt idx="125">
                  <c:v>33.049999999999997</c:v>
                </c:pt>
                <c:pt idx="126">
                  <c:v>48.367000000000004</c:v>
                </c:pt>
                <c:pt idx="127">
                  <c:v>44.079000000000001</c:v>
                </c:pt>
                <c:pt idx="128">
                  <c:v>48.767000000000003</c:v>
                </c:pt>
                <c:pt idx="129">
                  <c:v>45.255000000000003</c:v>
                </c:pt>
                <c:pt idx="130">
                  <c:v>48.913000000000004</c:v>
                </c:pt>
                <c:pt idx="131">
                  <c:v>37.393000000000001</c:v>
                </c:pt>
                <c:pt idx="132">
                  <c:v>39.935000000000002</c:v>
                </c:pt>
                <c:pt idx="133">
                  <c:v>43.585999999999999</c:v>
                </c:pt>
                <c:pt idx="134">
                  <c:v>45.844000000000001</c:v>
                </c:pt>
                <c:pt idx="135">
                  <c:v>44.447000000000003</c:v>
                </c:pt>
                <c:pt idx="136">
                  <c:v>47.378</c:v>
                </c:pt>
                <c:pt idx="137">
                  <c:v>46.261000000000003</c:v>
                </c:pt>
                <c:pt idx="138">
                  <c:v>48.652999999999999</c:v>
                </c:pt>
                <c:pt idx="139">
                  <c:v>43.265999999999998</c:v>
                </c:pt>
                <c:pt idx="140">
                  <c:v>42.158000000000001</c:v>
                </c:pt>
                <c:pt idx="141">
                  <c:v>31.158000000000001</c:v>
                </c:pt>
                <c:pt idx="142">
                  <c:v>18.245999999999999</c:v>
                </c:pt>
                <c:pt idx="143">
                  <c:v>15.665000000000001</c:v>
                </c:pt>
                <c:pt idx="144">
                  <c:v>36.521000000000001</c:v>
                </c:pt>
                <c:pt idx="145">
                  <c:v>19.829000000000001</c:v>
                </c:pt>
                <c:pt idx="146">
                  <c:v>42.869</c:v>
                </c:pt>
                <c:pt idx="147">
                  <c:v>49.124000000000002</c:v>
                </c:pt>
                <c:pt idx="148">
                  <c:v>52.606999999999999</c:v>
                </c:pt>
                <c:pt idx="149">
                  <c:v>47.297000000000004</c:v>
                </c:pt>
                <c:pt idx="150">
                  <c:v>48.521999999999998</c:v>
                </c:pt>
                <c:pt idx="151">
                  <c:v>49.738</c:v>
                </c:pt>
                <c:pt idx="152">
                  <c:v>40.905000000000001</c:v>
                </c:pt>
                <c:pt idx="153">
                  <c:v>47.658999999999999</c:v>
                </c:pt>
                <c:pt idx="154">
                  <c:v>22.567</c:v>
                </c:pt>
                <c:pt idx="155">
                  <c:v>31.903000000000002</c:v>
                </c:pt>
                <c:pt idx="156">
                  <c:v>40.561999999999998</c:v>
                </c:pt>
                <c:pt idx="157">
                  <c:v>27.37</c:v>
                </c:pt>
                <c:pt idx="158">
                  <c:v>18.643000000000001</c:v>
                </c:pt>
                <c:pt idx="159">
                  <c:v>39.910000000000004</c:v>
                </c:pt>
                <c:pt idx="160">
                  <c:v>50.683</c:v>
                </c:pt>
                <c:pt idx="161">
                  <c:v>49.728999999999999</c:v>
                </c:pt>
                <c:pt idx="162">
                  <c:v>37.454000000000001</c:v>
                </c:pt>
                <c:pt idx="163">
                  <c:v>48.673999999999999</c:v>
                </c:pt>
                <c:pt idx="164">
                  <c:v>41.353999999999999</c:v>
                </c:pt>
                <c:pt idx="165">
                  <c:v>47.794000000000004</c:v>
                </c:pt>
                <c:pt idx="166">
                  <c:v>45.898000000000003</c:v>
                </c:pt>
                <c:pt idx="167">
                  <c:v>46.294000000000004</c:v>
                </c:pt>
                <c:pt idx="168">
                  <c:v>47.838999999999999</c:v>
                </c:pt>
                <c:pt idx="169">
                  <c:v>48.97</c:v>
                </c:pt>
                <c:pt idx="170">
                  <c:v>29.709</c:v>
                </c:pt>
                <c:pt idx="171">
                  <c:v>21.522000000000002</c:v>
                </c:pt>
                <c:pt idx="172">
                  <c:v>37.715000000000003</c:v>
                </c:pt>
                <c:pt idx="173">
                  <c:v>37.212000000000003</c:v>
                </c:pt>
                <c:pt idx="174">
                  <c:v>36.36</c:v>
                </c:pt>
                <c:pt idx="175">
                  <c:v>29.507000000000001</c:v>
                </c:pt>
                <c:pt idx="176">
                  <c:v>10.867000000000001</c:v>
                </c:pt>
                <c:pt idx="177">
                  <c:v>11.548</c:v>
                </c:pt>
                <c:pt idx="178">
                  <c:v>52.872</c:v>
                </c:pt>
                <c:pt idx="179">
                  <c:v>49.78</c:v>
                </c:pt>
                <c:pt idx="180">
                  <c:v>12.57</c:v>
                </c:pt>
                <c:pt idx="181">
                  <c:v>46.994</c:v>
                </c:pt>
                <c:pt idx="182">
                  <c:v>49.407000000000004</c:v>
                </c:pt>
                <c:pt idx="183">
                  <c:v>38.244999999999997</c:v>
                </c:pt>
                <c:pt idx="184">
                  <c:v>39.194000000000003</c:v>
                </c:pt>
                <c:pt idx="185">
                  <c:v>48.404000000000003</c:v>
                </c:pt>
                <c:pt idx="186">
                  <c:v>43.582000000000001</c:v>
                </c:pt>
                <c:pt idx="187">
                  <c:v>47.914000000000001</c:v>
                </c:pt>
                <c:pt idx="188">
                  <c:v>50.759</c:v>
                </c:pt>
                <c:pt idx="189">
                  <c:v>49.847000000000001</c:v>
                </c:pt>
                <c:pt idx="190">
                  <c:v>49.27</c:v>
                </c:pt>
                <c:pt idx="191">
                  <c:v>47.923999999999999</c:v>
                </c:pt>
                <c:pt idx="192">
                  <c:v>47.606999999999999</c:v>
                </c:pt>
                <c:pt idx="193">
                  <c:v>47.289000000000001</c:v>
                </c:pt>
                <c:pt idx="194">
                  <c:v>46.606999999999999</c:v>
                </c:pt>
                <c:pt idx="195">
                  <c:v>45.053000000000004</c:v>
                </c:pt>
                <c:pt idx="196">
                  <c:v>46.7</c:v>
                </c:pt>
                <c:pt idx="197">
                  <c:v>46.121000000000002</c:v>
                </c:pt>
                <c:pt idx="198">
                  <c:v>46.206000000000003</c:v>
                </c:pt>
                <c:pt idx="199">
                  <c:v>39.289000000000001</c:v>
                </c:pt>
                <c:pt idx="200">
                  <c:v>37.899000000000001</c:v>
                </c:pt>
                <c:pt idx="201">
                  <c:v>44.905000000000001</c:v>
                </c:pt>
                <c:pt idx="202">
                  <c:v>34.049999999999997</c:v>
                </c:pt>
                <c:pt idx="203">
                  <c:v>43.017000000000003</c:v>
                </c:pt>
                <c:pt idx="204">
                  <c:v>44.631</c:v>
                </c:pt>
                <c:pt idx="205">
                  <c:v>24.167999999999999</c:v>
                </c:pt>
                <c:pt idx="206">
                  <c:v>49.036000000000001</c:v>
                </c:pt>
                <c:pt idx="207">
                  <c:v>47.993000000000002</c:v>
                </c:pt>
                <c:pt idx="208">
                  <c:v>40.558999999999997</c:v>
                </c:pt>
                <c:pt idx="209">
                  <c:v>28.108000000000001</c:v>
                </c:pt>
                <c:pt idx="210">
                  <c:v>44.795999999999999</c:v>
                </c:pt>
                <c:pt idx="211">
                  <c:v>45.773000000000003</c:v>
                </c:pt>
                <c:pt idx="212">
                  <c:v>45.715000000000003</c:v>
                </c:pt>
                <c:pt idx="213">
                  <c:v>45.728000000000002</c:v>
                </c:pt>
                <c:pt idx="214">
                  <c:v>42.669000000000004</c:v>
                </c:pt>
                <c:pt idx="215">
                  <c:v>42.191000000000003</c:v>
                </c:pt>
                <c:pt idx="216">
                  <c:v>40.185000000000002</c:v>
                </c:pt>
                <c:pt idx="217">
                  <c:v>41.262999999999998</c:v>
                </c:pt>
                <c:pt idx="218">
                  <c:v>43.738</c:v>
                </c:pt>
                <c:pt idx="219">
                  <c:v>43.401000000000003</c:v>
                </c:pt>
                <c:pt idx="220">
                  <c:v>42.618000000000002</c:v>
                </c:pt>
                <c:pt idx="221">
                  <c:v>39.802</c:v>
                </c:pt>
                <c:pt idx="222">
                  <c:v>37.956000000000003</c:v>
                </c:pt>
                <c:pt idx="223">
                  <c:v>39.265000000000001</c:v>
                </c:pt>
                <c:pt idx="224">
                  <c:v>30.449000000000002</c:v>
                </c:pt>
                <c:pt idx="225">
                  <c:v>27.55</c:v>
                </c:pt>
                <c:pt idx="226">
                  <c:v>33.591000000000001</c:v>
                </c:pt>
                <c:pt idx="227">
                  <c:v>30.433</c:v>
                </c:pt>
                <c:pt idx="228">
                  <c:v>24.283999999999999</c:v>
                </c:pt>
                <c:pt idx="229">
                  <c:v>32.76</c:v>
                </c:pt>
                <c:pt idx="230">
                  <c:v>34.002000000000002</c:v>
                </c:pt>
                <c:pt idx="231">
                  <c:v>41.003</c:v>
                </c:pt>
                <c:pt idx="232">
                  <c:v>26.375</c:v>
                </c:pt>
                <c:pt idx="233">
                  <c:v>23.17</c:v>
                </c:pt>
                <c:pt idx="234">
                  <c:v>40.530999999999999</c:v>
                </c:pt>
                <c:pt idx="235">
                  <c:v>37.533999999999999</c:v>
                </c:pt>
                <c:pt idx="236">
                  <c:v>27.341000000000001</c:v>
                </c:pt>
                <c:pt idx="237">
                  <c:v>36.338000000000001</c:v>
                </c:pt>
                <c:pt idx="238">
                  <c:v>39.18</c:v>
                </c:pt>
                <c:pt idx="239">
                  <c:v>38.03</c:v>
                </c:pt>
                <c:pt idx="240">
                  <c:v>27.004999999999999</c:v>
                </c:pt>
                <c:pt idx="241">
                  <c:v>37.986000000000004</c:v>
                </c:pt>
                <c:pt idx="242">
                  <c:v>20.932000000000002</c:v>
                </c:pt>
                <c:pt idx="243">
                  <c:v>33.689</c:v>
                </c:pt>
                <c:pt idx="244">
                  <c:v>32.459000000000003</c:v>
                </c:pt>
                <c:pt idx="245">
                  <c:v>30.222999999999999</c:v>
                </c:pt>
                <c:pt idx="246">
                  <c:v>35.106999999999999</c:v>
                </c:pt>
                <c:pt idx="247">
                  <c:v>31.341000000000001</c:v>
                </c:pt>
                <c:pt idx="248">
                  <c:v>35.878999999999998</c:v>
                </c:pt>
                <c:pt idx="249">
                  <c:v>30.66</c:v>
                </c:pt>
                <c:pt idx="250">
                  <c:v>28.026</c:v>
                </c:pt>
                <c:pt idx="251">
                  <c:v>20.865000000000002</c:v>
                </c:pt>
                <c:pt idx="252">
                  <c:v>35.686999999999998</c:v>
                </c:pt>
                <c:pt idx="253">
                  <c:v>34.72</c:v>
                </c:pt>
                <c:pt idx="254">
                  <c:v>25.007999999999999</c:v>
                </c:pt>
                <c:pt idx="255">
                  <c:v>12.157999999999999</c:v>
                </c:pt>
                <c:pt idx="256">
                  <c:v>27.53</c:v>
                </c:pt>
                <c:pt idx="257">
                  <c:v>29.992000000000001</c:v>
                </c:pt>
                <c:pt idx="258">
                  <c:v>27.738</c:v>
                </c:pt>
                <c:pt idx="259">
                  <c:v>34.9315</c:v>
                </c:pt>
                <c:pt idx="260">
                  <c:v>35.006999999999998</c:v>
                </c:pt>
                <c:pt idx="261">
                  <c:v>33.463000000000001</c:v>
                </c:pt>
                <c:pt idx="262">
                  <c:v>34.179000000000002</c:v>
                </c:pt>
                <c:pt idx="263">
                  <c:v>33.271000000000001</c:v>
                </c:pt>
                <c:pt idx="264">
                  <c:v>32.125</c:v>
                </c:pt>
                <c:pt idx="265">
                  <c:v>20.785</c:v>
                </c:pt>
                <c:pt idx="266">
                  <c:v>15.148</c:v>
                </c:pt>
                <c:pt idx="267">
                  <c:v>27.872</c:v>
                </c:pt>
                <c:pt idx="268">
                  <c:v>24.187999999999999</c:v>
                </c:pt>
                <c:pt idx="269">
                  <c:v>15.672000000000001</c:v>
                </c:pt>
                <c:pt idx="270">
                  <c:v>17.247</c:v>
                </c:pt>
                <c:pt idx="271">
                  <c:v>19.902000000000001</c:v>
                </c:pt>
                <c:pt idx="272">
                  <c:v>21.347000000000001</c:v>
                </c:pt>
                <c:pt idx="273">
                  <c:v>27.094999999999999</c:v>
                </c:pt>
                <c:pt idx="274">
                  <c:v>28.899000000000001</c:v>
                </c:pt>
                <c:pt idx="275">
                  <c:v>27.670999999999999</c:v>
                </c:pt>
                <c:pt idx="276">
                  <c:v>29.058</c:v>
                </c:pt>
                <c:pt idx="277">
                  <c:v>29.302</c:v>
                </c:pt>
                <c:pt idx="278">
                  <c:v>10.689</c:v>
                </c:pt>
                <c:pt idx="279">
                  <c:v>21.56</c:v>
                </c:pt>
                <c:pt idx="280">
                  <c:v>14.037000000000001</c:v>
                </c:pt>
                <c:pt idx="281">
                  <c:v>26.85</c:v>
                </c:pt>
                <c:pt idx="282">
                  <c:v>22.434000000000001</c:v>
                </c:pt>
                <c:pt idx="283">
                  <c:v>18.137</c:v>
                </c:pt>
                <c:pt idx="284">
                  <c:v>21.03</c:v>
                </c:pt>
                <c:pt idx="285">
                  <c:v>18.405999999999999</c:v>
                </c:pt>
                <c:pt idx="286">
                  <c:v>17.382999999999999</c:v>
                </c:pt>
                <c:pt idx="287">
                  <c:v>25.112000000000002</c:v>
                </c:pt>
                <c:pt idx="288">
                  <c:v>23.643000000000001</c:v>
                </c:pt>
                <c:pt idx="289">
                  <c:v>15.734</c:v>
                </c:pt>
                <c:pt idx="290">
                  <c:v>23.382000000000001</c:v>
                </c:pt>
                <c:pt idx="291">
                  <c:v>12.31</c:v>
                </c:pt>
                <c:pt idx="292">
                  <c:v>5.476</c:v>
                </c:pt>
                <c:pt idx="293">
                  <c:v>12.802</c:v>
                </c:pt>
                <c:pt idx="294">
                  <c:v>22.317</c:v>
                </c:pt>
                <c:pt idx="295">
                  <c:v>13.846</c:v>
                </c:pt>
                <c:pt idx="296">
                  <c:v>16.611000000000001</c:v>
                </c:pt>
                <c:pt idx="297">
                  <c:v>16.692</c:v>
                </c:pt>
                <c:pt idx="298">
                  <c:v>10.875</c:v>
                </c:pt>
                <c:pt idx="299">
                  <c:v>10.496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0.92900000000000005</c:v>
                </c:pt>
                <c:pt idx="312">
                  <c:v>7.3810000000000002</c:v>
                </c:pt>
                <c:pt idx="313">
                  <c:v>16.519000000000002</c:v>
                </c:pt>
                <c:pt idx="314">
                  <c:v>17.884</c:v>
                </c:pt>
                <c:pt idx="315">
                  <c:v>18.091000000000001</c:v>
                </c:pt>
                <c:pt idx="316">
                  <c:v>17.437000000000001</c:v>
                </c:pt>
                <c:pt idx="317">
                  <c:v>7.2119999999999997</c:v>
                </c:pt>
                <c:pt idx="318">
                  <c:v>9.8460000000000001</c:v>
                </c:pt>
                <c:pt idx="319">
                  <c:v>17.64</c:v>
                </c:pt>
                <c:pt idx="320">
                  <c:v>10.322000000000001</c:v>
                </c:pt>
                <c:pt idx="321">
                  <c:v>10.700000000000001</c:v>
                </c:pt>
                <c:pt idx="322">
                  <c:v>7.0190000000000001</c:v>
                </c:pt>
                <c:pt idx="323">
                  <c:v>11.173</c:v>
                </c:pt>
                <c:pt idx="324">
                  <c:v>3.0369999999999999</c:v>
                </c:pt>
                <c:pt idx="325">
                  <c:v>6.7700000000000005</c:v>
                </c:pt>
                <c:pt idx="326">
                  <c:v>9.2970000000000006</c:v>
                </c:pt>
                <c:pt idx="327">
                  <c:v>10.318</c:v>
                </c:pt>
                <c:pt idx="328">
                  <c:v>4.9660000000000002</c:v>
                </c:pt>
                <c:pt idx="329">
                  <c:v>9.5090000000000003</c:v>
                </c:pt>
                <c:pt idx="330">
                  <c:v>10.718999999999999</c:v>
                </c:pt>
                <c:pt idx="331">
                  <c:v>9.120000000000001</c:v>
                </c:pt>
                <c:pt idx="332">
                  <c:v>12.168000000000001</c:v>
                </c:pt>
                <c:pt idx="333">
                  <c:v>3.645</c:v>
                </c:pt>
                <c:pt idx="334">
                  <c:v>3.2640000000000002</c:v>
                </c:pt>
                <c:pt idx="335">
                  <c:v>5.45</c:v>
                </c:pt>
                <c:pt idx="336">
                  <c:v>6.1210000000000004</c:v>
                </c:pt>
                <c:pt idx="337">
                  <c:v>11.936</c:v>
                </c:pt>
                <c:pt idx="338">
                  <c:v>14.934000000000001</c:v>
                </c:pt>
                <c:pt idx="339">
                  <c:v>8.322000000000001</c:v>
                </c:pt>
                <c:pt idx="340">
                  <c:v>13.284000000000001</c:v>
                </c:pt>
                <c:pt idx="341">
                  <c:v>3.903</c:v>
                </c:pt>
                <c:pt idx="342">
                  <c:v>4.617</c:v>
                </c:pt>
                <c:pt idx="343">
                  <c:v>9.4109999999999996</c:v>
                </c:pt>
                <c:pt idx="344">
                  <c:v>11.446</c:v>
                </c:pt>
                <c:pt idx="345">
                  <c:v>3.823</c:v>
                </c:pt>
                <c:pt idx="346">
                  <c:v>4.9649999999999999</c:v>
                </c:pt>
                <c:pt idx="347">
                  <c:v>13.248000000000001</c:v>
                </c:pt>
                <c:pt idx="348">
                  <c:v>5.1970000000000001</c:v>
                </c:pt>
                <c:pt idx="349">
                  <c:v>4.3920000000000003</c:v>
                </c:pt>
                <c:pt idx="350">
                  <c:v>3.2640000000000002</c:v>
                </c:pt>
                <c:pt idx="351">
                  <c:v>13.118</c:v>
                </c:pt>
                <c:pt idx="352">
                  <c:v>10.914</c:v>
                </c:pt>
                <c:pt idx="353">
                  <c:v>4.4130000000000003</c:v>
                </c:pt>
                <c:pt idx="354">
                  <c:v>13.875999999999999</c:v>
                </c:pt>
                <c:pt idx="355">
                  <c:v>10.244</c:v>
                </c:pt>
                <c:pt idx="356">
                  <c:v>11.011000000000001</c:v>
                </c:pt>
                <c:pt idx="357">
                  <c:v>14.637</c:v>
                </c:pt>
                <c:pt idx="358">
                  <c:v>8.7870000000000008</c:v>
                </c:pt>
                <c:pt idx="359">
                  <c:v>14.442</c:v>
                </c:pt>
                <c:pt idx="360">
                  <c:v>6.43</c:v>
                </c:pt>
                <c:pt idx="361">
                  <c:v>13.566000000000001</c:v>
                </c:pt>
                <c:pt idx="362">
                  <c:v>7.9510000000000005</c:v>
                </c:pt>
                <c:pt idx="363">
                  <c:v>10.326000000000001</c:v>
                </c:pt>
                <c:pt idx="364">
                  <c:v>8.4760000000000009</c:v>
                </c:pt>
                <c:pt idx="365">
                  <c:v>3.4965000000000006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7016192"/>
        <c:axId val="477020896"/>
      </c:lineChart>
      <c:dateAx>
        <c:axId val="477016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020896"/>
        <c:crosses val="autoZero"/>
        <c:auto val="1"/>
        <c:lblOffset val="100"/>
        <c:baseTimeUnit val="days"/>
        <c:majorUnit val="1"/>
        <c:majorTimeUnit val="months"/>
      </c:dateAx>
      <c:valAx>
        <c:axId val="4770208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70161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515216" y="1095374"/>
            <a:ext cx="5364510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19050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630775" cy="5040000"/>
          <a:chOff x="0" y="4467225"/>
          <a:chExt cx="17630775" cy="5040000"/>
        </a:xfrm>
      </xdr:grpSpPr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862965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aphique 1"/>
          <xdr:cNvGraphicFramePr>
            <a:graphicFrameLocks/>
          </xdr:cNvGraphicFramePr>
        </xdr:nvGraphicFramePr>
        <xdr:xfrm>
          <a:off x="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4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1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2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140">
          <cell r="B140">
            <v>30000</v>
          </cell>
        </row>
        <row r="141">
          <cell r="B141">
            <v>29000</v>
          </cell>
        </row>
        <row r="142">
          <cell r="B142">
            <v>28000</v>
          </cell>
        </row>
        <row r="143">
          <cell r="B143">
            <v>27000</v>
          </cell>
        </row>
        <row r="144">
          <cell r="B144">
            <v>26000</v>
          </cell>
        </row>
        <row r="145">
          <cell r="B145">
            <v>25000</v>
          </cell>
        </row>
        <row r="146">
          <cell r="B146">
            <v>24000</v>
          </cell>
        </row>
        <row r="147">
          <cell r="B147">
            <v>23000</v>
          </cell>
        </row>
        <row r="148">
          <cell r="B148">
            <v>22000</v>
          </cell>
        </row>
        <row r="149">
          <cell r="B149">
            <v>21000</v>
          </cell>
        </row>
        <row r="150">
          <cell r="B150">
            <v>20000</v>
          </cell>
        </row>
        <row r="151">
          <cell r="B151">
            <v>19000</v>
          </cell>
        </row>
        <row r="152">
          <cell r="B152">
            <v>18000</v>
          </cell>
        </row>
        <row r="153">
          <cell r="B153">
            <v>17000</v>
          </cell>
        </row>
        <row r="154">
          <cell r="B154">
            <v>16000</v>
          </cell>
        </row>
        <row r="155">
          <cell r="B155">
            <v>15000</v>
          </cell>
        </row>
        <row r="156">
          <cell r="B156">
            <v>14000</v>
          </cell>
        </row>
        <row r="157">
          <cell r="B157">
            <v>13000</v>
          </cell>
        </row>
        <row r="158">
          <cell r="B158">
            <v>12000</v>
          </cell>
        </row>
        <row r="159">
          <cell r="B159">
            <v>11000</v>
          </cell>
        </row>
        <row r="160">
          <cell r="B160">
            <v>10000</v>
          </cell>
        </row>
        <row r="161">
          <cell r="B161">
            <v>9000</v>
          </cell>
        </row>
        <row r="162">
          <cell r="B162">
            <v>8000</v>
          </cell>
        </row>
        <row r="163">
          <cell r="B163">
            <v>7000</v>
          </cell>
        </row>
        <row r="164">
          <cell r="B164">
            <v>6000</v>
          </cell>
        </row>
        <row r="165">
          <cell r="B165">
            <v>5000</v>
          </cell>
        </row>
        <row r="166">
          <cell r="B166">
            <v>4000</v>
          </cell>
        </row>
        <row r="167">
          <cell r="B167">
            <v>3000</v>
          </cell>
        </row>
        <row r="168">
          <cell r="B168">
            <v>2000</v>
          </cell>
        </row>
        <row r="169">
          <cell r="B169">
            <v>1000</v>
          </cell>
        </row>
        <row r="170">
          <cell r="B170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136">
          <cell r="B136">
            <v>0</v>
          </cell>
        </row>
        <row r="137">
          <cell r="B137">
            <v>1000</v>
          </cell>
        </row>
        <row r="138">
          <cell r="B138">
            <v>2000</v>
          </cell>
        </row>
        <row r="139">
          <cell r="B139">
            <v>3000</v>
          </cell>
        </row>
        <row r="140">
          <cell r="B140">
            <v>4000</v>
          </cell>
        </row>
        <row r="141">
          <cell r="B141">
            <v>5000</v>
          </cell>
        </row>
        <row r="142">
          <cell r="B142">
            <v>6000</v>
          </cell>
        </row>
        <row r="143">
          <cell r="B143">
            <v>7000</v>
          </cell>
        </row>
        <row r="144">
          <cell r="B144">
            <v>8000</v>
          </cell>
        </row>
        <row r="145">
          <cell r="B145">
            <v>9000</v>
          </cell>
        </row>
        <row r="146">
          <cell r="B146">
            <v>10000</v>
          </cell>
        </row>
        <row r="147">
          <cell r="B147">
            <v>11000</v>
          </cell>
        </row>
        <row r="148">
          <cell r="B148">
            <v>12000</v>
          </cell>
        </row>
        <row r="149">
          <cell r="B149">
            <v>13000</v>
          </cell>
        </row>
        <row r="150">
          <cell r="B150">
            <v>14000</v>
          </cell>
        </row>
        <row r="151">
          <cell r="B151">
            <v>15000</v>
          </cell>
        </row>
        <row r="152">
          <cell r="B152">
            <v>16000</v>
          </cell>
        </row>
        <row r="153">
          <cell r="B153">
            <v>17000</v>
          </cell>
        </row>
        <row r="154">
          <cell r="B154">
            <v>18000</v>
          </cell>
        </row>
        <row r="155">
          <cell r="B155">
            <v>19000</v>
          </cell>
        </row>
        <row r="156">
          <cell r="B156">
            <v>20000</v>
          </cell>
        </row>
        <row r="157">
          <cell r="B157">
            <v>21000</v>
          </cell>
        </row>
        <row r="158">
          <cell r="B158">
            <v>22000</v>
          </cell>
        </row>
        <row r="159">
          <cell r="B159">
            <v>23000</v>
          </cell>
        </row>
        <row r="160">
          <cell r="B160">
            <v>24000</v>
          </cell>
        </row>
        <row r="161">
          <cell r="B161">
            <v>25000</v>
          </cell>
        </row>
        <row r="162">
          <cell r="B162">
            <v>26000</v>
          </cell>
        </row>
        <row r="163">
          <cell r="B163">
            <v>27000</v>
          </cell>
        </row>
        <row r="164">
          <cell r="B164">
            <v>28000</v>
          </cell>
        </row>
        <row r="165">
          <cell r="B165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140">
          <cell r="B140">
            <v>30000</v>
          </cell>
        </row>
        <row r="141">
          <cell r="B141">
            <v>29000</v>
          </cell>
        </row>
        <row r="142">
          <cell r="B142">
            <v>28000</v>
          </cell>
        </row>
        <row r="143">
          <cell r="B143">
            <v>27000</v>
          </cell>
        </row>
        <row r="144">
          <cell r="B144">
            <v>26000</v>
          </cell>
        </row>
        <row r="145">
          <cell r="B145">
            <v>25000</v>
          </cell>
        </row>
        <row r="146">
          <cell r="B146">
            <v>24000</v>
          </cell>
        </row>
        <row r="147">
          <cell r="B147">
            <v>23000</v>
          </cell>
        </row>
        <row r="148">
          <cell r="B148">
            <v>22000</v>
          </cell>
        </row>
        <row r="149">
          <cell r="B149">
            <v>21000</v>
          </cell>
        </row>
        <row r="150">
          <cell r="B150">
            <v>20000</v>
          </cell>
        </row>
        <row r="151">
          <cell r="B151">
            <v>19000</v>
          </cell>
        </row>
        <row r="152">
          <cell r="B152">
            <v>18000</v>
          </cell>
        </row>
        <row r="153">
          <cell r="B153">
            <v>17000</v>
          </cell>
        </row>
        <row r="154">
          <cell r="B154">
            <v>16000</v>
          </cell>
        </row>
        <row r="155">
          <cell r="B155">
            <v>15000</v>
          </cell>
        </row>
        <row r="156">
          <cell r="B156">
            <v>14000</v>
          </cell>
        </row>
        <row r="157">
          <cell r="B157">
            <v>13000</v>
          </cell>
        </row>
        <row r="158">
          <cell r="B158">
            <v>12000</v>
          </cell>
        </row>
        <row r="159">
          <cell r="B159">
            <v>11000</v>
          </cell>
        </row>
        <row r="160">
          <cell r="B160">
            <v>10000</v>
          </cell>
        </row>
        <row r="161">
          <cell r="B161">
            <v>9000</v>
          </cell>
        </row>
        <row r="162">
          <cell r="B162">
            <v>8000</v>
          </cell>
        </row>
        <row r="163">
          <cell r="B163">
            <v>7000</v>
          </cell>
        </row>
        <row r="164">
          <cell r="B164">
            <v>6000</v>
          </cell>
        </row>
        <row r="165">
          <cell r="B165">
            <v>5000</v>
          </cell>
        </row>
        <row r="166">
          <cell r="B166">
            <v>4000</v>
          </cell>
        </row>
        <row r="167">
          <cell r="B167">
            <v>3000</v>
          </cell>
        </row>
        <row r="168">
          <cell r="B168">
            <v>2000</v>
          </cell>
        </row>
        <row r="169">
          <cell r="B169">
            <v>1000</v>
          </cell>
        </row>
        <row r="170">
          <cell r="B170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136">
          <cell r="B136">
            <v>0</v>
          </cell>
        </row>
        <row r="137">
          <cell r="B137">
            <v>1000</v>
          </cell>
        </row>
        <row r="138">
          <cell r="B138">
            <v>2000</v>
          </cell>
        </row>
        <row r="139">
          <cell r="B139">
            <v>3000</v>
          </cell>
        </row>
        <row r="140">
          <cell r="B140">
            <v>4000</v>
          </cell>
        </row>
        <row r="141">
          <cell r="B141">
            <v>5000</v>
          </cell>
        </row>
        <row r="142">
          <cell r="B142">
            <v>6000</v>
          </cell>
        </row>
        <row r="143">
          <cell r="B143">
            <v>7000</v>
          </cell>
        </row>
        <row r="144">
          <cell r="B144">
            <v>8000</v>
          </cell>
        </row>
        <row r="145">
          <cell r="B145">
            <v>9000</v>
          </cell>
        </row>
        <row r="146">
          <cell r="B146">
            <v>10000</v>
          </cell>
        </row>
        <row r="147">
          <cell r="B147">
            <v>11000</v>
          </cell>
        </row>
        <row r="148">
          <cell r="B148">
            <v>12000</v>
          </cell>
        </row>
        <row r="149">
          <cell r="B149">
            <v>13000</v>
          </cell>
        </row>
        <row r="150">
          <cell r="B150">
            <v>14000</v>
          </cell>
        </row>
        <row r="151">
          <cell r="B151">
            <v>15000</v>
          </cell>
        </row>
        <row r="152">
          <cell r="B152">
            <v>16000</v>
          </cell>
        </row>
        <row r="153">
          <cell r="B153">
            <v>17000</v>
          </cell>
        </row>
        <row r="154">
          <cell r="B154">
            <v>18000</v>
          </cell>
        </row>
        <row r="155">
          <cell r="B155">
            <v>19000</v>
          </cell>
        </row>
        <row r="156">
          <cell r="B156">
            <v>20000</v>
          </cell>
        </row>
        <row r="157">
          <cell r="B157">
            <v>21000</v>
          </cell>
        </row>
        <row r="158">
          <cell r="B158">
            <v>22000</v>
          </cell>
        </row>
        <row r="159">
          <cell r="B159">
            <v>23000</v>
          </cell>
        </row>
        <row r="160">
          <cell r="B160">
            <v>24000</v>
          </cell>
        </row>
        <row r="161">
          <cell r="B161">
            <v>25000</v>
          </cell>
        </row>
        <row r="162">
          <cell r="B162">
            <v>26000</v>
          </cell>
        </row>
        <row r="163">
          <cell r="B163">
            <v>27000</v>
          </cell>
        </row>
        <row r="164">
          <cell r="B164">
            <v>28000</v>
          </cell>
        </row>
        <row r="165">
          <cell r="B165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140">
          <cell r="B140">
            <v>30000</v>
          </cell>
        </row>
        <row r="141">
          <cell r="B141">
            <v>29000</v>
          </cell>
        </row>
        <row r="142">
          <cell r="B142">
            <v>28000</v>
          </cell>
        </row>
        <row r="143">
          <cell r="B143">
            <v>27000</v>
          </cell>
        </row>
        <row r="144">
          <cell r="B144">
            <v>26000</v>
          </cell>
        </row>
        <row r="145">
          <cell r="B145">
            <v>25000</v>
          </cell>
        </row>
        <row r="146">
          <cell r="B146">
            <v>24000</v>
          </cell>
        </row>
        <row r="147">
          <cell r="B147">
            <v>23000</v>
          </cell>
        </row>
        <row r="148">
          <cell r="B148">
            <v>22000</v>
          </cell>
        </row>
        <row r="149">
          <cell r="B149">
            <v>21000</v>
          </cell>
        </row>
        <row r="150">
          <cell r="B150">
            <v>20000</v>
          </cell>
        </row>
        <row r="151">
          <cell r="B151">
            <v>19000</v>
          </cell>
        </row>
        <row r="152">
          <cell r="B152">
            <v>18000</v>
          </cell>
        </row>
        <row r="153">
          <cell r="B153">
            <v>17000</v>
          </cell>
        </row>
        <row r="154">
          <cell r="B154">
            <v>16000</v>
          </cell>
        </row>
        <row r="155">
          <cell r="B155">
            <v>15000</v>
          </cell>
        </row>
        <row r="156">
          <cell r="B156">
            <v>14000</v>
          </cell>
        </row>
        <row r="157">
          <cell r="B157">
            <v>13000</v>
          </cell>
        </row>
        <row r="158">
          <cell r="B158">
            <v>12000</v>
          </cell>
        </row>
        <row r="159">
          <cell r="B159">
            <v>11000</v>
          </cell>
        </row>
        <row r="160">
          <cell r="B160">
            <v>10000</v>
          </cell>
        </row>
        <row r="161">
          <cell r="B161">
            <v>9000</v>
          </cell>
        </row>
        <row r="162">
          <cell r="B162">
            <v>8000</v>
          </cell>
        </row>
        <row r="163">
          <cell r="B163">
            <v>7000</v>
          </cell>
        </row>
        <row r="164">
          <cell r="B164">
            <v>6000</v>
          </cell>
        </row>
        <row r="165">
          <cell r="B165">
            <v>5000</v>
          </cell>
        </row>
        <row r="166">
          <cell r="B166">
            <v>4000</v>
          </cell>
        </row>
        <row r="167">
          <cell r="B167">
            <v>3000</v>
          </cell>
        </row>
        <row r="168">
          <cell r="B168">
            <v>2000</v>
          </cell>
        </row>
        <row r="169">
          <cell r="B169">
            <v>1000</v>
          </cell>
        </row>
        <row r="170">
          <cell r="B17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140">
          <cell r="B140">
            <v>5800</v>
          </cell>
        </row>
        <row r="141">
          <cell r="B141">
            <v>1781</v>
          </cell>
        </row>
        <row r="142">
          <cell r="B142">
            <v>12753</v>
          </cell>
        </row>
        <row r="143">
          <cell r="B143">
            <v>10752</v>
          </cell>
        </row>
        <row r="144">
          <cell r="B144">
            <v>10739</v>
          </cell>
        </row>
        <row r="145">
          <cell r="B145">
            <v>4690</v>
          </cell>
        </row>
        <row r="146">
          <cell r="B146">
            <v>10788</v>
          </cell>
        </row>
        <row r="147">
          <cell r="B147">
            <v>5449</v>
          </cell>
        </row>
        <row r="148">
          <cell r="B148">
            <v>6782</v>
          </cell>
        </row>
        <row r="149">
          <cell r="B149">
            <v>14625</v>
          </cell>
        </row>
        <row r="150">
          <cell r="B150">
            <v>4074</v>
          </cell>
        </row>
        <row r="151">
          <cell r="B151">
            <v>14122</v>
          </cell>
        </row>
        <row r="152">
          <cell r="B152">
            <v>9692</v>
          </cell>
        </row>
        <row r="153">
          <cell r="B153">
            <v>12270</v>
          </cell>
        </row>
        <row r="154">
          <cell r="B154">
            <v>6341</v>
          </cell>
        </row>
        <row r="155">
          <cell r="B155">
            <v>3398</v>
          </cell>
        </row>
        <row r="156">
          <cell r="B156">
            <v>5527</v>
          </cell>
        </row>
        <row r="157">
          <cell r="B157">
            <v>13574</v>
          </cell>
        </row>
        <row r="158">
          <cell r="B158">
            <v>7283</v>
          </cell>
        </row>
        <row r="159">
          <cell r="B159">
            <v>14590</v>
          </cell>
        </row>
        <row r="160">
          <cell r="B160">
            <v>5593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128">
          <cell r="B128">
            <v>27000</v>
          </cell>
        </row>
        <row r="129">
          <cell r="B129">
            <v>26000</v>
          </cell>
        </row>
        <row r="130">
          <cell r="B130">
            <v>25000</v>
          </cell>
        </row>
        <row r="131">
          <cell r="B131">
            <v>24000</v>
          </cell>
        </row>
        <row r="132">
          <cell r="B132">
            <v>23000</v>
          </cell>
        </row>
        <row r="133">
          <cell r="B133">
            <v>22000</v>
          </cell>
        </row>
        <row r="134">
          <cell r="B134">
            <v>21000</v>
          </cell>
        </row>
        <row r="135">
          <cell r="B135">
            <v>20000</v>
          </cell>
        </row>
        <row r="136">
          <cell r="B136">
            <v>19000</v>
          </cell>
        </row>
        <row r="137">
          <cell r="B137">
            <v>18000</v>
          </cell>
        </row>
        <row r="138">
          <cell r="B138">
            <v>17000</v>
          </cell>
        </row>
        <row r="139">
          <cell r="B139">
            <v>16000</v>
          </cell>
        </row>
        <row r="140">
          <cell r="B140">
            <v>15000</v>
          </cell>
        </row>
        <row r="141">
          <cell r="B141">
            <v>14000</v>
          </cell>
        </row>
        <row r="142">
          <cell r="B142">
            <v>13000</v>
          </cell>
        </row>
        <row r="143">
          <cell r="B143">
            <v>12000</v>
          </cell>
        </row>
        <row r="144">
          <cell r="B144">
            <v>11000</v>
          </cell>
        </row>
        <row r="145">
          <cell r="B145">
            <v>10000</v>
          </cell>
        </row>
        <row r="146">
          <cell r="B146">
            <v>9000</v>
          </cell>
        </row>
        <row r="147">
          <cell r="B147">
            <v>8000</v>
          </cell>
        </row>
        <row r="148">
          <cell r="B148">
            <v>7000</v>
          </cell>
        </row>
        <row r="149">
          <cell r="B149">
            <v>6000</v>
          </cell>
        </row>
        <row r="150">
          <cell r="B150">
            <v>5000</v>
          </cell>
        </row>
        <row r="151">
          <cell r="B151">
            <v>4000</v>
          </cell>
        </row>
        <row r="152">
          <cell r="B152">
            <v>3000</v>
          </cell>
        </row>
        <row r="153">
          <cell r="B153">
            <v>2000</v>
          </cell>
        </row>
        <row r="154">
          <cell r="B154">
            <v>1000</v>
          </cell>
        </row>
        <row r="155">
          <cell r="B155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140">
          <cell r="B140">
            <v>0</v>
          </cell>
        </row>
        <row r="141">
          <cell r="B141">
            <v>1000</v>
          </cell>
        </row>
        <row r="142">
          <cell r="B142">
            <v>2000</v>
          </cell>
        </row>
        <row r="143">
          <cell r="B143">
            <v>3000</v>
          </cell>
        </row>
        <row r="144">
          <cell r="B144">
            <v>4000</v>
          </cell>
        </row>
        <row r="145">
          <cell r="B145">
            <v>5000</v>
          </cell>
        </row>
        <row r="146">
          <cell r="B146">
            <v>6000</v>
          </cell>
        </row>
        <row r="147">
          <cell r="B147">
            <v>7000</v>
          </cell>
        </row>
        <row r="148">
          <cell r="B148">
            <v>8000</v>
          </cell>
        </row>
        <row r="149">
          <cell r="B149">
            <v>9000</v>
          </cell>
        </row>
        <row r="150">
          <cell r="B150">
            <v>10000</v>
          </cell>
        </row>
        <row r="151">
          <cell r="B151">
            <v>11000</v>
          </cell>
        </row>
        <row r="152">
          <cell r="B152">
            <v>12000</v>
          </cell>
        </row>
        <row r="153">
          <cell r="B153">
            <v>13000</v>
          </cell>
        </row>
        <row r="154">
          <cell r="B154">
            <v>14000</v>
          </cell>
        </row>
        <row r="155">
          <cell r="B155">
            <v>15000</v>
          </cell>
        </row>
        <row r="156">
          <cell r="B156">
            <v>16000</v>
          </cell>
        </row>
        <row r="157">
          <cell r="B157">
            <v>17000</v>
          </cell>
        </row>
        <row r="158">
          <cell r="B158">
            <v>18000</v>
          </cell>
        </row>
        <row r="159">
          <cell r="B159">
            <v>19000</v>
          </cell>
        </row>
        <row r="160">
          <cell r="B160">
            <v>20000</v>
          </cell>
        </row>
        <row r="161">
          <cell r="B161">
            <v>21000</v>
          </cell>
        </row>
        <row r="162">
          <cell r="B162">
            <v>22000</v>
          </cell>
        </row>
        <row r="163">
          <cell r="B163">
            <v>23000</v>
          </cell>
        </row>
        <row r="164">
          <cell r="B164">
            <v>24000</v>
          </cell>
        </row>
        <row r="165">
          <cell r="B165">
            <v>25000</v>
          </cell>
        </row>
        <row r="166">
          <cell r="B166">
            <v>26000</v>
          </cell>
        </row>
        <row r="167">
          <cell r="B167">
            <v>27000</v>
          </cell>
        </row>
        <row r="168">
          <cell r="B168">
            <v>28000</v>
          </cell>
        </row>
        <row r="169">
          <cell r="B169">
            <v>29000</v>
          </cell>
        </row>
        <row r="170">
          <cell r="B170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136">
          <cell r="B136">
            <v>29000</v>
          </cell>
        </row>
        <row r="137">
          <cell r="B137">
            <v>28000</v>
          </cell>
        </row>
        <row r="138">
          <cell r="B138">
            <v>27000</v>
          </cell>
        </row>
        <row r="139">
          <cell r="B139">
            <v>26000</v>
          </cell>
        </row>
        <row r="140">
          <cell r="B140">
            <v>25000</v>
          </cell>
        </row>
        <row r="141">
          <cell r="B141">
            <v>24000</v>
          </cell>
        </row>
        <row r="142">
          <cell r="B142">
            <v>23000</v>
          </cell>
        </row>
        <row r="143">
          <cell r="B143">
            <v>22000</v>
          </cell>
        </row>
        <row r="144">
          <cell r="B144">
            <v>21000</v>
          </cell>
        </row>
        <row r="145">
          <cell r="B145">
            <v>20000</v>
          </cell>
        </row>
        <row r="146">
          <cell r="B146">
            <v>19000</v>
          </cell>
        </row>
        <row r="147">
          <cell r="B147">
            <v>18000</v>
          </cell>
        </row>
        <row r="148">
          <cell r="B148">
            <v>17000</v>
          </cell>
        </row>
        <row r="149">
          <cell r="B149">
            <v>16000</v>
          </cell>
        </row>
        <row r="150">
          <cell r="B150">
            <v>15000</v>
          </cell>
        </row>
        <row r="151">
          <cell r="B151">
            <v>14000</v>
          </cell>
        </row>
        <row r="152">
          <cell r="B152">
            <v>13000</v>
          </cell>
        </row>
        <row r="153">
          <cell r="B153">
            <v>12000</v>
          </cell>
        </row>
        <row r="154">
          <cell r="B154">
            <v>11000</v>
          </cell>
        </row>
        <row r="155">
          <cell r="B155">
            <v>10000</v>
          </cell>
        </row>
        <row r="156">
          <cell r="B156">
            <v>9000</v>
          </cell>
        </row>
        <row r="157">
          <cell r="B157">
            <v>8000</v>
          </cell>
        </row>
        <row r="158">
          <cell r="B158">
            <v>7000</v>
          </cell>
        </row>
        <row r="159">
          <cell r="B159">
            <v>6000</v>
          </cell>
        </row>
        <row r="160">
          <cell r="B160">
            <v>5000</v>
          </cell>
        </row>
        <row r="161">
          <cell r="B161">
            <v>4000</v>
          </cell>
        </row>
        <row r="162">
          <cell r="B162">
            <v>3000</v>
          </cell>
        </row>
        <row r="163">
          <cell r="B163">
            <v>2000</v>
          </cell>
        </row>
        <row r="164">
          <cell r="B164">
            <v>1000</v>
          </cell>
        </row>
        <row r="165">
          <cell r="B165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140">
          <cell r="B140">
            <v>0</v>
          </cell>
        </row>
        <row r="141">
          <cell r="B141">
            <v>1000</v>
          </cell>
        </row>
        <row r="142">
          <cell r="B142">
            <v>2000</v>
          </cell>
        </row>
        <row r="143">
          <cell r="B143">
            <v>3000</v>
          </cell>
        </row>
        <row r="144">
          <cell r="B144">
            <v>4000</v>
          </cell>
        </row>
        <row r="145">
          <cell r="B145">
            <v>5000</v>
          </cell>
        </row>
        <row r="146">
          <cell r="B146">
            <v>6000</v>
          </cell>
        </row>
        <row r="147">
          <cell r="B147">
            <v>7000</v>
          </cell>
        </row>
        <row r="148">
          <cell r="B148">
            <v>8000</v>
          </cell>
        </row>
        <row r="149">
          <cell r="B149">
            <v>9000</v>
          </cell>
        </row>
        <row r="150">
          <cell r="B150">
            <v>10000</v>
          </cell>
        </row>
        <row r="151">
          <cell r="B151">
            <v>11000</v>
          </cell>
        </row>
        <row r="152">
          <cell r="B152">
            <v>12000</v>
          </cell>
        </row>
        <row r="153">
          <cell r="B153">
            <v>13000</v>
          </cell>
        </row>
        <row r="154">
          <cell r="B154">
            <v>14000</v>
          </cell>
        </row>
        <row r="155">
          <cell r="B155">
            <v>15000</v>
          </cell>
        </row>
        <row r="156">
          <cell r="B156">
            <v>16000</v>
          </cell>
        </row>
        <row r="157">
          <cell r="B157">
            <v>17000</v>
          </cell>
        </row>
        <row r="158">
          <cell r="B158">
            <v>18000</v>
          </cell>
        </row>
        <row r="159">
          <cell r="B159">
            <v>19000</v>
          </cell>
        </row>
        <row r="160">
          <cell r="B160">
            <v>20000</v>
          </cell>
        </row>
        <row r="161">
          <cell r="B161">
            <v>21000</v>
          </cell>
        </row>
        <row r="162">
          <cell r="B162">
            <v>22000</v>
          </cell>
        </row>
        <row r="163">
          <cell r="B163">
            <v>23000</v>
          </cell>
        </row>
        <row r="164">
          <cell r="B164">
            <v>24000</v>
          </cell>
        </row>
        <row r="165">
          <cell r="B165">
            <v>25000</v>
          </cell>
        </row>
        <row r="166">
          <cell r="B166">
            <v>26000</v>
          </cell>
        </row>
        <row r="167">
          <cell r="B167">
            <v>27000</v>
          </cell>
        </row>
        <row r="168">
          <cell r="B168">
            <v>28000</v>
          </cell>
        </row>
        <row r="169">
          <cell r="B169">
            <v>29000</v>
          </cell>
        </row>
        <row r="170">
          <cell r="B170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136">
          <cell r="B136">
            <v>29000</v>
          </cell>
        </row>
        <row r="137">
          <cell r="B137">
            <v>28000</v>
          </cell>
        </row>
        <row r="138">
          <cell r="B138">
            <v>27000</v>
          </cell>
        </row>
        <row r="139">
          <cell r="B139">
            <v>26000</v>
          </cell>
        </row>
        <row r="140">
          <cell r="B140">
            <v>25000</v>
          </cell>
        </row>
        <row r="141">
          <cell r="B141">
            <v>24000</v>
          </cell>
        </row>
        <row r="142">
          <cell r="B142">
            <v>23000</v>
          </cell>
        </row>
        <row r="143">
          <cell r="B143">
            <v>22000</v>
          </cell>
        </row>
        <row r="144">
          <cell r="B144">
            <v>21000</v>
          </cell>
        </row>
        <row r="145">
          <cell r="B145">
            <v>20000</v>
          </cell>
        </row>
        <row r="146">
          <cell r="B146">
            <v>19000</v>
          </cell>
        </row>
        <row r="147">
          <cell r="B147">
            <v>18000</v>
          </cell>
        </row>
        <row r="148">
          <cell r="B148">
            <v>17000</v>
          </cell>
        </row>
        <row r="149">
          <cell r="B149">
            <v>16000</v>
          </cell>
        </row>
        <row r="150">
          <cell r="B150">
            <v>15000</v>
          </cell>
        </row>
        <row r="151">
          <cell r="B151">
            <v>14000</v>
          </cell>
        </row>
        <row r="152">
          <cell r="B152">
            <v>13000</v>
          </cell>
        </row>
        <row r="153">
          <cell r="B153">
            <v>12000</v>
          </cell>
        </row>
        <row r="154">
          <cell r="B154">
            <v>11000</v>
          </cell>
        </row>
        <row r="155">
          <cell r="B155">
            <v>10000</v>
          </cell>
        </row>
        <row r="156">
          <cell r="B156">
            <v>9000</v>
          </cell>
        </row>
        <row r="157">
          <cell r="B157">
            <v>8000</v>
          </cell>
        </row>
        <row r="158">
          <cell r="B158">
            <v>7000</v>
          </cell>
        </row>
        <row r="159">
          <cell r="B159">
            <v>6000</v>
          </cell>
        </row>
        <row r="160">
          <cell r="B160">
            <v>5000</v>
          </cell>
        </row>
        <row r="161">
          <cell r="B161">
            <v>4000</v>
          </cell>
        </row>
        <row r="162">
          <cell r="B162">
            <v>3000</v>
          </cell>
        </row>
        <row r="163">
          <cell r="B163">
            <v>2000</v>
          </cell>
        </row>
        <row r="164">
          <cell r="B164">
            <v>1000</v>
          </cell>
        </row>
        <row r="165">
          <cell r="B165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140">
          <cell r="B140">
            <v>0</v>
          </cell>
        </row>
        <row r="141">
          <cell r="B141">
            <v>1000</v>
          </cell>
        </row>
        <row r="142">
          <cell r="B142">
            <v>2000</v>
          </cell>
        </row>
        <row r="143">
          <cell r="B143">
            <v>3000</v>
          </cell>
        </row>
        <row r="144">
          <cell r="B144">
            <v>4000</v>
          </cell>
        </row>
        <row r="145">
          <cell r="B145">
            <v>5000</v>
          </cell>
        </row>
        <row r="146">
          <cell r="B146">
            <v>6000</v>
          </cell>
        </row>
        <row r="147">
          <cell r="B147">
            <v>7000</v>
          </cell>
        </row>
        <row r="148">
          <cell r="B148">
            <v>8000</v>
          </cell>
        </row>
        <row r="149">
          <cell r="B149">
            <v>9000</v>
          </cell>
        </row>
        <row r="150">
          <cell r="B150">
            <v>10000</v>
          </cell>
        </row>
        <row r="151">
          <cell r="B151">
            <v>11000</v>
          </cell>
        </row>
        <row r="152">
          <cell r="B152">
            <v>12000</v>
          </cell>
        </row>
        <row r="153">
          <cell r="B153">
            <v>13000</v>
          </cell>
        </row>
        <row r="154">
          <cell r="B154">
            <v>14000</v>
          </cell>
        </row>
        <row r="155">
          <cell r="B155">
            <v>15000</v>
          </cell>
        </row>
        <row r="156">
          <cell r="B156">
            <v>16000</v>
          </cell>
        </row>
        <row r="157">
          <cell r="B157">
            <v>17000</v>
          </cell>
        </row>
        <row r="158">
          <cell r="B158">
            <v>18000</v>
          </cell>
        </row>
        <row r="159">
          <cell r="B159">
            <v>19000</v>
          </cell>
        </row>
        <row r="160">
          <cell r="B160">
            <v>20000</v>
          </cell>
        </row>
        <row r="161">
          <cell r="B161">
            <v>21000</v>
          </cell>
        </row>
        <row r="162">
          <cell r="B162">
            <v>22000</v>
          </cell>
        </row>
        <row r="163">
          <cell r="B163">
            <v>23000</v>
          </cell>
        </row>
        <row r="164">
          <cell r="B164">
            <v>24000</v>
          </cell>
        </row>
        <row r="165">
          <cell r="B165">
            <v>25000</v>
          </cell>
        </row>
        <row r="166">
          <cell r="B166">
            <v>26000</v>
          </cell>
        </row>
        <row r="167">
          <cell r="B167">
            <v>27000</v>
          </cell>
        </row>
        <row r="168">
          <cell r="B168">
            <v>28000</v>
          </cell>
        </row>
        <row r="169">
          <cell r="B169">
            <v>29000</v>
          </cell>
        </row>
        <row r="170">
          <cell r="B170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A65" sqref="A65:XFD65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6">
        <f>Tmaj</f>
        <v>44947</v>
      </c>
      <c r="D2" s="1216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7" t="str">
        <f>Station</f>
        <v>Maternelle Labège</v>
      </c>
      <c r="D3" s="1218"/>
      <c r="E3" s="1218"/>
      <c r="F3" s="1218"/>
      <c r="G3" s="1218"/>
      <c r="H3" s="1219"/>
      <c r="K3" s="21"/>
      <c r="L3" s="30"/>
      <c r="M3" s="30"/>
      <c r="N3" s="209" t="s">
        <v>166</v>
      </c>
      <c r="O3" s="714">
        <f>Salim_i</f>
        <v>0.17</v>
      </c>
      <c r="P3" s="449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0">
        <f>T0</f>
        <v>43313</v>
      </c>
      <c r="D4" s="1221"/>
      <c r="H4" s="33" t="s">
        <v>299</v>
      </c>
      <c r="I4" s="656">
        <f>Azi_pvG</f>
        <v>84</v>
      </c>
      <c r="J4" s="656"/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4">
        <f>Tservice</f>
        <v>43340</v>
      </c>
      <c r="D5" s="1215"/>
      <c r="E5" s="95"/>
      <c r="H5" s="33" t="s">
        <v>15</v>
      </c>
      <c r="I5" s="657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1">
        <f>Pc</f>
        <v>9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4"/>
      <c r="B7" s="534"/>
      <c r="C7" s="52"/>
      <c r="D7" s="825"/>
      <c r="E7" s="29"/>
      <c r="F7" s="534"/>
      <c r="G7" s="534"/>
      <c r="H7" s="692"/>
      <c r="I7" s="534"/>
      <c r="J7" s="22" t="s">
        <v>394</v>
      </c>
      <c r="K7" s="1212" t="s">
        <v>393</v>
      </c>
      <c r="L7" s="1213"/>
      <c r="M7" s="1208" t="b">
        <f>IF(K7="début",TRUE,FALSE)</f>
        <v>0</v>
      </c>
      <c r="N7" s="799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Maternelle Labège (kWh)</v>
      </c>
      <c r="B8" s="132"/>
      <c r="C8" s="133"/>
      <c r="D8" s="563"/>
      <c r="E8" s="560"/>
      <c r="F8" s="132"/>
      <c r="G8" s="132"/>
      <c r="H8" s="62"/>
      <c r="I8" s="132"/>
      <c r="J8" s="22" t="s">
        <v>115</v>
      </c>
      <c r="K8" s="557">
        <f>[1]!Inter_net</f>
        <v>2</v>
      </c>
      <c r="L8" s="558">
        <f>[1]!Inter_tai</f>
        <v>7</v>
      </c>
      <c r="N8" s="15"/>
    </row>
    <row r="9" spans="1:29" ht="15.75" x14ac:dyDescent="0.25">
      <c r="A9" s="29" t="s">
        <v>279</v>
      </c>
      <c r="B9" s="149">
        <f>AVERAGE(B11:B30)</f>
        <v>8660.9029299438116</v>
      </c>
      <c r="C9" s="878">
        <f t="shared" ref="C9:J9" si="0">AVERAGE(C11:C30)</f>
        <v>678.27265017747914</v>
      </c>
      <c r="D9" s="879">
        <f t="shared" si="0"/>
        <v>83.886735822628665</v>
      </c>
      <c r="E9" s="149">
        <f t="shared" si="0"/>
        <v>762.15938600010782</v>
      </c>
      <c r="F9" s="149">
        <f t="shared" si="0"/>
        <v>9423.0623159439201</v>
      </c>
      <c r="G9" s="149">
        <f t="shared" si="0"/>
        <v>9965.9929020256714</v>
      </c>
      <c r="H9" s="885">
        <f t="shared" si="0"/>
        <v>466.32020562824289</v>
      </c>
      <c r="I9" s="886">
        <f t="shared" si="0"/>
        <v>67.528351605847789</v>
      </c>
      <c r="J9" s="149">
        <f t="shared" si="0"/>
        <v>8109.0634014224324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273</v>
      </c>
      <c r="N10" s="333" t="s">
        <v>274</v>
      </c>
      <c r="O10" s="100" t="s">
        <v>275</v>
      </c>
      <c r="P10" s="100" t="s">
        <v>276</v>
      </c>
      <c r="Q10" s="100" t="s">
        <v>277</v>
      </c>
      <c r="R10" s="100" t="s">
        <v>278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2520.0139999999992</v>
      </c>
      <c r="C11" s="143">
        <f>'2018'!Wh_Psa</f>
        <v>33.012472000524284</v>
      </c>
      <c r="D11" s="329">
        <f>'2018'!Wh_Pvg</f>
        <v>14.510032535976114</v>
      </c>
      <c r="E11" s="139">
        <f t="shared" ref="E11:E16" si="1">C11+D11</f>
        <v>47.522504536500399</v>
      </c>
      <c r="F11" s="139">
        <f t="shared" ref="F11:F16" si="2">B11+E11</f>
        <v>2567.5365045364997</v>
      </c>
      <c r="G11" s="139">
        <f>'2018'!F$9</f>
        <v>2571.9526095709198</v>
      </c>
      <c r="H11" s="145">
        <f>'2018'!Wh_gain_sa</f>
        <v>0</v>
      </c>
      <c r="I11" s="329">
        <f>'2018'!Wh_gain_vg</f>
        <v>0</v>
      </c>
      <c r="J11" s="139">
        <f>'2018'!Prod_an_s</f>
        <v>2520.0139999999992</v>
      </c>
      <c r="K11" s="856" t="str">
        <f>IF('2018'!Acti_net,'2018'!Tnet,"")</f>
        <v/>
      </c>
      <c r="L11" s="857" t="str">
        <f>IF('2018'!Acti_tai,'2018'!Ttai,"")</f>
        <v/>
      </c>
      <c r="M11" s="868">
        <v>0</v>
      </c>
      <c r="N11" s="869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2"/>
      <c r="T11" s="862"/>
    </row>
    <row r="12" spans="1:29" s="19" customFormat="1" ht="12.75" x14ac:dyDescent="0.2">
      <c r="A12" s="144">
        <f>'2019'!An</f>
        <v>2019</v>
      </c>
      <c r="B12" s="137">
        <f>'2019'!Prod_an</f>
        <v>10435.095000000001</v>
      </c>
      <c r="C12" s="145">
        <f>'2019'!Wh_Psa</f>
        <v>575.07137572209467</v>
      </c>
      <c r="D12" s="330">
        <f>'2019'!Wh_Pvg</f>
        <v>53.007798701651765</v>
      </c>
      <c r="E12" s="137">
        <f t="shared" si="1"/>
        <v>628.07917442374639</v>
      </c>
      <c r="F12" s="137">
        <f t="shared" si="2"/>
        <v>11063.174174423748</v>
      </c>
      <c r="G12" s="137">
        <f>'2019'!F$9</f>
        <v>11150.279508002366</v>
      </c>
      <c r="H12" s="145">
        <f>'2019'!Wh_gain_sa</f>
        <v>-0.14308307026988132</v>
      </c>
      <c r="I12" s="330">
        <f>'2019'!Wh_gain_vg</f>
        <v>1.8686414751187357</v>
      </c>
      <c r="J12" s="137">
        <f>'2019'!Prod_an_s</f>
        <v>10433.274955877185</v>
      </c>
      <c r="K12" s="858" t="str">
        <f>IF('2019'!Acti_net,'2019'!Tnet,"")</f>
        <v/>
      </c>
      <c r="L12" s="859">
        <f>IF('2019'!Acti_tai,'2019'!Ttai,"")</f>
        <v>43814</v>
      </c>
      <c r="M12" s="870">
        <f>O12+P11+(K11="")*M11</f>
        <v>0</v>
      </c>
      <c r="N12" s="871">
        <f>Q12+R11+(L11="")*N11</f>
        <v>0</v>
      </c>
      <c r="O12" s="370">
        <f>+'2019'!$AJ$3</f>
        <v>0</v>
      </c>
      <c r="P12" s="370">
        <f>+'2019'!$AJ$4</f>
        <v>-0.14308307026988132</v>
      </c>
      <c r="Q12" s="370">
        <f>+'2019'!$AK$3</f>
        <v>0</v>
      </c>
      <c r="R12" s="370">
        <f>+'2019'!$AK$4</f>
        <v>1.8200854248330554</v>
      </c>
      <c r="S12" s="862"/>
      <c r="T12" s="862"/>
    </row>
    <row r="13" spans="1:29" s="19" customFormat="1" ht="12.75" x14ac:dyDescent="0.2">
      <c r="A13" s="144">
        <f>'2020'!An</f>
        <v>2020</v>
      </c>
      <c r="B13" s="137">
        <f>'2020'!Prod_an</f>
        <v>9732.4080000000104</v>
      </c>
      <c r="C13" s="145">
        <f>'2020'!Wh_Psa</f>
        <v>992.19515441245949</v>
      </c>
      <c r="D13" s="330">
        <f>'2020'!Wh_Pvg</f>
        <v>16.873442787422082</v>
      </c>
      <c r="E13" s="137">
        <f t="shared" si="1"/>
        <v>1009.0685971998815</v>
      </c>
      <c r="F13" s="137">
        <f t="shared" si="2"/>
        <v>10741.476597199891</v>
      </c>
      <c r="G13" s="137">
        <f>'2020'!F$9</f>
        <v>10956.955201205819</v>
      </c>
      <c r="H13" s="145">
        <f>'2020'!Wh_gain_sa</f>
        <v>-7.5739763569482648</v>
      </c>
      <c r="I13" s="330">
        <f>'2020'!Wh_gain_vg</f>
        <v>72.872014961241121</v>
      </c>
      <c r="J13" s="137">
        <f>'2020'!Prod_an_s</f>
        <v>9659.9089488718801</v>
      </c>
      <c r="K13" s="858" t="str">
        <f>IF('2020'!Acti_net,'2020'!Tnet,"")</f>
        <v/>
      </c>
      <c r="L13" s="859" t="str">
        <f>IF('2020'!Acti_tai,'2020'!Ttai,"")</f>
        <v/>
      </c>
      <c r="M13" s="870">
        <f t="shared" ref="M13:M20" si="3">O13+P12+(K12="")*M12</f>
        <v>-0.14308307026988132</v>
      </c>
      <c r="N13" s="871">
        <f>Q13+R12+(L12="")*N12</f>
        <v>1.8200854248330554</v>
      </c>
      <c r="O13" s="370">
        <f>+'2020'!$AJ$3</f>
        <v>0</v>
      </c>
      <c r="P13" s="370">
        <f>+'2020'!$AJ$4</f>
        <v>-7.5739763569482648</v>
      </c>
      <c r="Q13" s="370">
        <f>+'2020'!$AK$3</f>
        <v>0</v>
      </c>
      <c r="R13" s="370">
        <f>+'2020'!$AK$4</f>
        <v>72.872014961241121</v>
      </c>
      <c r="S13" s="862"/>
      <c r="T13" s="862"/>
    </row>
    <row r="14" spans="1:29" s="19" customFormat="1" ht="12.75" x14ac:dyDescent="0.2">
      <c r="A14" s="144">
        <f>'2021'!An</f>
        <v>2021</v>
      </c>
      <c r="B14" s="137">
        <f>'2021'!Prod_an</f>
        <v>9702.1699999999983</v>
      </c>
      <c r="C14" s="145">
        <f>'2021'!Wh_Psa</f>
        <v>617.85034858846996</v>
      </c>
      <c r="D14" s="330">
        <f>'2021'!Wh_Pvg</f>
        <v>49.682596384895881</v>
      </c>
      <c r="E14" s="137">
        <f t="shared" si="1"/>
        <v>667.53294497336583</v>
      </c>
      <c r="F14" s="137">
        <f t="shared" si="2"/>
        <v>10369.702944973364</v>
      </c>
      <c r="G14" s="137">
        <f>'2021'!F$9</f>
        <v>10754.081053226964</v>
      </c>
      <c r="H14" s="145">
        <f>'2021'!Wh_gain_sa</f>
        <v>644.28772157133847</v>
      </c>
      <c r="I14" s="330">
        <f>'2021'!Wh_gain_vg</f>
        <v>83.540651782642328</v>
      </c>
      <c r="J14" s="137">
        <f>'2021'!Prod_an_s</f>
        <v>8959.3239139295947</v>
      </c>
      <c r="K14" s="858">
        <f>IF('2021'!Acti_net,'2021'!Tnet,"")</f>
        <v>44307</v>
      </c>
      <c r="L14" s="859" t="str">
        <f>IF('2021'!Acti_tai,'2021'!Ttai,"")</f>
        <v/>
      </c>
      <c r="M14" s="870">
        <f t="shared" si="3"/>
        <v>-10.647701582220179</v>
      </c>
      <c r="N14" s="871">
        <f>Q14+R13+(L13="")*N13</f>
        <v>74.692100386074173</v>
      </c>
      <c r="O14" s="370">
        <f>+'2021'!$AJ$3</f>
        <v>-2.9306421550020332</v>
      </c>
      <c r="P14" s="370">
        <f>+'2021'!$AJ$4</f>
        <v>646.6184236347865</v>
      </c>
      <c r="Q14" s="370">
        <f>+'2021'!$AK$3</f>
        <v>0</v>
      </c>
      <c r="R14" s="370">
        <f>+'2021'!$AK$4</f>
        <v>83.540651782642328</v>
      </c>
      <c r="S14" s="862"/>
      <c r="T14" s="862"/>
    </row>
    <row r="15" spans="1:29" s="19" customFormat="1" ht="12.75" x14ac:dyDescent="0.2">
      <c r="A15" s="144">
        <f>'2022'!An</f>
        <v>2022</v>
      </c>
      <c r="B15" s="137">
        <f>'2022'!Prod_an</f>
        <v>9210.4259999999995</v>
      </c>
      <c r="C15" s="145">
        <f>'2022'!Wh_Psa</f>
        <v>1046.2670328009367</v>
      </c>
      <c r="D15" s="330">
        <f>'2022'!Wh_Pvg</f>
        <v>18.863807461834444</v>
      </c>
      <c r="E15" s="137">
        <f t="shared" si="1"/>
        <v>1065.1308402627712</v>
      </c>
      <c r="F15" s="137">
        <f t="shared" si="2"/>
        <v>10275.55684026277</v>
      </c>
      <c r="G15" s="137">
        <f>'2022'!F$9</f>
        <v>10796.211095101049</v>
      </c>
      <c r="H15" s="145">
        <f>'2022'!Wh_gain_sa</f>
        <v>495.28300504935737</v>
      </c>
      <c r="I15" s="330">
        <f>'2022'!Wh_gain_vg</f>
        <v>64.954744971390653</v>
      </c>
      <c r="J15" s="137">
        <f>'2022'!Prod_an_s</f>
        <v>8633.1699194597877</v>
      </c>
      <c r="K15" s="858" t="str">
        <f>IF('2022'!Acti_net,'2022'!Tnet,"")</f>
        <v/>
      </c>
      <c r="L15" s="859">
        <f>IF('2022'!Acti_tai,'2022'!Ttai,"")</f>
        <v>44576</v>
      </c>
      <c r="M15" s="870">
        <f t="shared" si="3"/>
        <v>646.6184236347865</v>
      </c>
      <c r="N15" s="871">
        <f t="shared" ref="N15:N20" si="4">Q15+R14+(L14="")*N14</f>
        <v>160.12604851621023</v>
      </c>
      <c r="O15" s="370">
        <f>+'2022'!$AJ$3</f>
        <v>0</v>
      </c>
      <c r="P15" s="370">
        <f>+'2022'!$AJ$4</f>
        <v>495.68019326629633</v>
      </c>
      <c r="Q15" s="370">
        <f>+'2022'!$AK$3</f>
        <v>1.8932963474937472</v>
      </c>
      <c r="R15" s="370">
        <f>+'2022'!$AK$4</f>
        <v>63.020770543059399</v>
      </c>
      <c r="S15" s="862"/>
      <c r="T15" s="862"/>
    </row>
    <row r="16" spans="1:29" s="19" customFormat="1" ht="12.75" x14ac:dyDescent="0.2">
      <c r="A16" s="364">
        <f>'2023'!An</f>
        <v>2023</v>
      </c>
      <c r="B16" s="365">
        <f>'2023'!Prod_an</f>
        <v>9398.4276015944106</v>
      </c>
      <c r="C16" s="366">
        <f>'2023'!Wh_Psa</f>
        <v>615.79049431461908</v>
      </c>
      <c r="D16" s="367">
        <f>'2023'!Wh_Pvg</f>
        <v>47.63057141623127</v>
      </c>
      <c r="E16" s="365">
        <f t="shared" si="1"/>
        <v>663.42106573085039</v>
      </c>
      <c r="F16" s="365">
        <f t="shared" si="2"/>
        <v>10061.848667325261</v>
      </c>
      <c r="G16" s="365">
        <f>'2023'!F$9</f>
        <v>10729.194005614714</v>
      </c>
      <c r="H16" s="366">
        <f>'2023'!Wh_gain_sa</f>
        <v>835.73535619422728</v>
      </c>
      <c r="I16" s="367">
        <f>'2023'!Wh_gain_vg</f>
        <v>76.039921496784757</v>
      </c>
      <c r="J16" s="365">
        <f>'2023'!Prod_an_s</f>
        <v>8469.0508136321005</v>
      </c>
      <c r="K16" s="860">
        <f>IF('2023'!Acti_net,'2023'!Tnet,"")</f>
        <v>45046</v>
      </c>
      <c r="L16" s="861" t="str">
        <f>IF('2023'!Acti_tai,'2023'!Ttai,"")</f>
        <v/>
      </c>
      <c r="M16" s="872">
        <f t="shared" si="3"/>
        <v>1213.1381673829906</v>
      </c>
      <c r="N16" s="873">
        <f t="shared" si="4"/>
        <v>63.020770543059399</v>
      </c>
      <c r="O16" s="370">
        <f>+'2023'!$AJ$3</f>
        <v>70.839550481907793</v>
      </c>
      <c r="P16" s="370">
        <f>+'2023'!$AJ$4</f>
        <v>764.39556853597196</v>
      </c>
      <c r="Q16" s="370">
        <f>+'2023'!$AK$3</f>
        <v>0</v>
      </c>
      <c r="R16" s="370">
        <f>+'2023'!$AK$4</f>
        <v>76.039921496784757</v>
      </c>
      <c r="S16" s="862"/>
      <c r="T16" s="862"/>
    </row>
    <row r="17" spans="1:30" s="19" customFormat="1" ht="12.75" x14ac:dyDescent="0.2">
      <c r="A17" s="362">
        <f>'2024'!An</f>
        <v>2024</v>
      </c>
      <c r="B17" s="363">
        <f>'2024'!Prod_an</f>
        <v>8972.382489387699</v>
      </c>
      <c r="C17" s="145">
        <f>'2024'!Wh_Psa</f>
        <v>907.51277474620213</v>
      </c>
      <c r="D17" s="330">
        <f>'2024'!Wh_Pvg</f>
        <v>84.269543998491315</v>
      </c>
      <c r="E17" s="363">
        <f>C17+D17</f>
        <v>991.78231874469338</v>
      </c>
      <c r="F17" s="363">
        <f>B17+E17</f>
        <v>9964.1648081323929</v>
      </c>
      <c r="G17" s="363">
        <f>'2024'!F$9</f>
        <v>10722.818769885815</v>
      </c>
      <c r="H17" s="145">
        <f>'2024'!Wh_gain_sa</f>
        <v>630.56535204016348</v>
      </c>
      <c r="I17" s="330">
        <f>'2024'!Wh_gain_vg</f>
        <v>85.250292153599759</v>
      </c>
      <c r="J17" s="363">
        <f>'2024'!Prod_an_s</f>
        <v>8233.3520218315789</v>
      </c>
      <c r="K17" s="858" t="str">
        <f>IF('2024'!Acti_net,'2024'!Tnet,"")</f>
        <v/>
      </c>
      <c r="L17" s="859" t="str">
        <f>IF('2024'!Acti_tai,'2024'!Ttai,"")</f>
        <v/>
      </c>
      <c r="M17" s="870">
        <f t="shared" si="3"/>
        <v>764.39556853597196</v>
      </c>
      <c r="N17" s="871">
        <f t="shared" si="4"/>
        <v>139.06069203984416</v>
      </c>
      <c r="O17" s="370">
        <f>+'2024'!$AJ$3</f>
        <v>0</v>
      </c>
      <c r="P17" s="370">
        <f>+'2024'!$AJ$4</f>
        <v>630.56535204016348</v>
      </c>
      <c r="Q17" s="370">
        <f>+'2024'!$AK$3</f>
        <v>0</v>
      </c>
      <c r="R17" s="370">
        <f>+'2024'!$AK$4</f>
        <v>85.250292153599759</v>
      </c>
      <c r="S17" s="862"/>
      <c r="T17" s="862"/>
    </row>
    <row r="18" spans="1:30" s="19" customFormat="1" ht="12.75" x14ac:dyDescent="0.2">
      <c r="A18" s="362">
        <f>'2025'!An</f>
        <v>2025</v>
      </c>
      <c r="B18" s="363">
        <f>'2025'!Prod_an</f>
        <v>9141.0834525378305</v>
      </c>
      <c r="C18" s="145">
        <f>'2025'!Wh_Psa</f>
        <v>569.70989200693418</v>
      </c>
      <c r="D18" s="330">
        <f>'2025'!Wh_Pvg</f>
        <v>133.45916819990259</v>
      </c>
      <c r="E18" s="363">
        <f>C18+D18</f>
        <v>703.16906020683678</v>
      </c>
      <c r="F18" s="363">
        <f>B18+E18</f>
        <v>9844.2525127446679</v>
      </c>
      <c r="G18" s="363">
        <f>'2025'!F$9</f>
        <v>10686.938132441892</v>
      </c>
      <c r="H18" s="145">
        <f>'2025'!Wh_gain_sa</f>
        <v>777.52182843251569</v>
      </c>
      <c r="I18" s="330">
        <f>'2025'!Wh_gain_vg</f>
        <v>92.555289894039362</v>
      </c>
      <c r="J18" s="363">
        <f>'2025'!Prod_an_s</f>
        <v>8242.6767235785028</v>
      </c>
      <c r="K18" s="858">
        <f>IF('2025'!Acti_net,'2025'!Tnet,"")</f>
        <v>45777</v>
      </c>
      <c r="L18" s="859" t="str">
        <f>IF('2025'!Acti_tai,'2025'!Ttai,"")</f>
        <v/>
      </c>
      <c r="M18" s="870">
        <f t="shared" si="3"/>
        <v>1501.1471570046031</v>
      </c>
      <c r="N18" s="871">
        <f t="shared" si="4"/>
        <v>224.31098419344391</v>
      </c>
      <c r="O18" s="370">
        <f>+'2025'!$AJ$3</f>
        <v>106.18623642846768</v>
      </c>
      <c r="P18" s="370">
        <f>+'2025'!$AJ$4</f>
        <v>671.02187551121438</v>
      </c>
      <c r="Q18" s="370">
        <f>+'2025'!$AK$3</f>
        <v>0</v>
      </c>
      <c r="R18" s="370">
        <f>+'2025'!$AK$4</f>
        <v>92.555289894039362</v>
      </c>
      <c r="S18" s="862"/>
      <c r="T18" s="862"/>
    </row>
    <row r="19" spans="1:30" s="19" customFormat="1" ht="12.75" x14ac:dyDescent="0.2">
      <c r="A19" s="362">
        <f>'2026'!An</f>
        <v>2026</v>
      </c>
      <c r="B19" s="363">
        <f>'2026'!Prod_an</f>
        <v>8670.8310021355592</v>
      </c>
      <c r="C19" s="145">
        <f>'2026'!Wh_Psa</f>
        <v>876.37461362113959</v>
      </c>
      <c r="D19" s="330">
        <f>'2026'!Wh_Pvg</f>
        <v>178.49677634753149</v>
      </c>
      <c r="E19" s="363">
        <f>C19+D19</f>
        <v>1054.8713899686711</v>
      </c>
      <c r="F19" s="363">
        <f>B19+E19</f>
        <v>9725.702392104231</v>
      </c>
      <c r="G19" s="363">
        <f>'2026'!F$9</f>
        <v>10660.419818611927</v>
      </c>
      <c r="H19" s="145">
        <f>'2026'!Wh_gain_sa</f>
        <v>549.27378888059502</v>
      </c>
      <c r="I19" s="330">
        <f>'2026'!Wh_gain_vg</f>
        <v>99.66277656399231</v>
      </c>
      <c r="J19" s="363">
        <f>'2026'!Prod_an_s</f>
        <v>7990.2474013673855</v>
      </c>
      <c r="K19" s="858" t="str">
        <f>IF('2026'!Acti_net,'2026'!Tnet,"")</f>
        <v/>
      </c>
      <c r="L19" s="859" t="str">
        <f>IF('2026'!Acti_tai,'2026'!Ttai,"")</f>
        <v/>
      </c>
      <c r="M19" s="870">
        <f t="shared" si="3"/>
        <v>671.02187551121438</v>
      </c>
      <c r="N19" s="871">
        <f t="shared" si="4"/>
        <v>316.86627408748325</v>
      </c>
      <c r="O19" s="370">
        <f>+'2026'!$AJ$3</f>
        <v>0</v>
      </c>
      <c r="P19" s="370">
        <f>+'2026'!$AJ$4</f>
        <v>549.27378888059502</v>
      </c>
      <c r="Q19" s="370">
        <f>+'2026'!$AK$3</f>
        <v>0</v>
      </c>
      <c r="R19" s="370">
        <f>+'2026'!$AK$4</f>
        <v>99.66277656399231</v>
      </c>
      <c r="S19" s="862"/>
      <c r="T19" s="862"/>
    </row>
    <row r="20" spans="1:30" s="19" customFormat="1" ht="12.75" x14ac:dyDescent="0.2">
      <c r="A20" s="362">
        <f>'2027'!An</f>
        <v>2027</v>
      </c>
      <c r="B20" s="363">
        <f>'2027'!Prod_an</f>
        <v>8826.191753782603</v>
      </c>
      <c r="C20" s="145">
        <f>'2027'!Wh_Psa</f>
        <v>548.94234356141203</v>
      </c>
      <c r="D20" s="330">
        <f>'2027'!Wh_Pvg</f>
        <v>242.07362039234965</v>
      </c>
      <c r="E20" s="363">
        <f>C20+D20</f>
        <v>791.01596395376168</v>
      </c>
      <c r="F20" s="363">
        <f>B20+E20</f>
        <v>9617.2077177363644</v>
      </c>
      <c r="G20" s="363">
        <f>'2027'!F$9</f>
        <v>10631.078826595236</v>
      </c>
      <c r="H20" s="145">
        <f>'2027'!Wh_gain_sa</f>
        <v>738.25206354144996</v>
      </c>
      <c r="I20" s="330">
        <f>'2027'!Wh_gain_vg</f>
        <v>98.539182759668847</v>
      </c>
      <c r="J20" s="363">
        <f>'2027'!Prod_an_s</f>
        <v>7949.6153156763148</v>
      </c>
      <c r="K20" s="858">
        <f>IF('2027'!Acti_net,'2027'!Tnet,"")</f>
        <v>46507</v>
      </c>
      <c r="L20" s="859" t="str">
        <f>IF('2027'!Acti_tai,'2027'!Ttai,"")</f>
        <v/>
      </c>
      <c r="M20" s="870">
        <f t="shared" si="3"/>
        <v>1312.719975162538</v>
      </c>
      <c r="N20" s="871">
        <f t="shared" si="4"/>
        <v>416.52905065147559</v>
      </c>
      <c r="O20" s="370">
        <f>+'2027'!$AJ$3</f>
        <v>92.424310770728709</v>
      </c>
      <c r="P20" s="370">
        <f>+'2027'!$AJ$4</f>
        <v>645.49920161041973</v>
      </c>
      <c r="Q20" s="370">
        <f>+'2027'!$AK$3</f>
        <v>0</v>
      </c>
      <c r="R20" s="370">
        <f>+'2027'!$AK$4</f>
        <v>98.539182759668847</v>
      </c>
      <c r="S20" s="862"/>
      <c r="T20" s="862"/>
    </row>
    <row r="21" spans="1:30" s="19" customFormat="1" ht="12.75" x14ac:dyDescent="0.2">
      <c r="A21" s="707"/>
      <c r="B21" s="708"/>
      <c r="C21" s="709"/>
      <c r="D21" s="706"/>
      <c r="E21" s="708"/>
      <c r="F21" s="708"/>
      <c r="G21" s="708"/>
      <c r="H21" s="709"/>
      <c r="I21" s="706"/>
      <c r="J21" s="708"/>
      <c r="K21" s="874"/>
      <c r="L21" s="875"/>
      <c r="M21" s="864"/>
      <c r="N21" s="865"/>
      <c r="O21" s="10"/>
      <c r="P21" s="10"/>
      <c r="Q21" s="10"/>
      <c r="R21" s="10"/>
      <c r="S21" s="862"/>
      <c r="T21" s="862"/>
    </row>
    <row r="22" spans="1:30" s="19" customFormat="1" ht="12.75" x14ac:dyDescent="0.2">
      <c r="A22" s="707"/>
      <c r="B22" s="708"/>
      <c r="C22" s="709"/>
      <c r="D22" s="706"/>
      <c r="E22" s="708"/>
      <c r="F22" s="708"/>
      <c r="G22" s="708"/>
      <c r="H22" s="709"/>
      <c r="I22" s="706"/>
      <c r="J22" s="708"/>
      <c r="K22" s="874"/>
      <c r="L22" s="875"/>
      <c r="M22" s="864"/>
      <c r="N22" s="865"/>
      <c r="O22" s="10"/>
      <c r="P22" s="863"/>
      <c r="Q22" s="10"/>
      <c r="R22" s="863"/>
      <c r="S22" s="862"/>
      <c r="T22" s="862"/>
    </row>
    <row r="23" spans="1:30" s="19" customFormat="1" ht="12.75" x14ac:dyDescent="0.2">
      <c r="A23" s="707"/>
      <c r="B23" s="708"/>
      <c r="C23" s="709"/>
      <c r="D23" s="706"/>
      <c r="E23" s="708"/>
      <c r="F23" s="708"/>
      <c r="G23" s="708"/>
      <c r="H23" s="709"/>
      <c r="I23" s="706"/>
      <c r="J23" s="708"/>
      <c r="K23" s="874"/>
      <c r="L23" s="875"/>
      <c r="M23" s="864"/>
      <c r="N23" s="865"/>
      <c r="O23" s="10"/>
      <c r="P23" s="863"/>
      <c r="Q23" s="10"/>
      <c r="S23" s="862"/>
      <c r="T23" s="862"/>
    </row>
    <row r="24" spans="1:30" s="19" customFormat="1" ht="12.75" x14ac:dyDescent="0.2">
      <c r="A24" s="707"/>
      <c r="B24" s="708"/>
      <c r="C24" s="709"/>
      <c r="D24" s="706"/>
      <c r="E24" s="708"/>
      <c r="F24" s="708"/>
      <c r="G24" s="708"/>
      <c r="H24" s="709"/>
      <c r="I24" s="706"/>
      <c r="J24" s="708"/>
      <c r="K24" s="874"/>
      <c r="L24" s="875"/>
      <c r="M24" s="864"/>
      <c r="N24" s="865"/>
      <c r="O24" s="10"/>
      <c r="P24" s="863"/>
      <c r="Q24" s="10"/>
      <c r="R24" s="863"/>
      <c r="S24" s="862"/>
      <c r="T24" s="862"/>
    </row>
    <row r="25" spans="1:30" s="19" customFormat="1" ht="12.75" x14ac:dyDescent="0.2">
      <c r="A25" s="707"/>
      <c r="B25" s="708"/>
      <c r="C25" s="709"/>
      <c r="D25" s="706"/>
      <c r="E25" s="708"/>
      <c r="F25" s="708"/>
      <c r="G25" s="708"/>
      <c r="H25" s="709"/>
      <c r="I25" s="706"/>
      <c r="J25" s="708"/>
      <c r="K25" s="874"/>
      <c r="L25" s="875"/>
      <c r="M25" s="864"/>
      <c r="N25" s="865"/>
      <c r="O25" s="10"/>
      <c r="P25" s="863"/>
      <c r="Q25" s="10"/>
      <c r="R25" s="863"/>
      <c r="S25" s="862"/>
      <c r="T25" s="862"/>
    </row>
    <row r="26" spans="1:30" s="19" customFormat="1" ht="12.75" x14ac:dyDescent="0.2">
      <c r="A26" s="707"/>
      <c r="B26" s="708"/>
      <c r="C26" s="709"/>
      <c r="D26" s="706"/>
      <c r="E26" s="708"/>
      <c r="F26" s="708"/>
      <c r="G26" s="708"/>
      <c r="H26" s="709"/>
      <c r="I26" s="706"/>
      <c r="J26" s="708"/>
      <c r="K26" s="874"/>
      <c r="L26" s="875"/>
      <c r="M26" s="864"/>
      <c r="N26" s="865"/>
      <c r="O26" s="10"/>
      <c r="P26" s="863"/>
      <c r="Q26" s="10"/>
      <c r="R26" s="863"/>
      <c r="S26" s="862"/>
      <c r="T26" s="862"/>
    </row>
    <row r="27" spans="1:30" s="19" customFormat="1" ht="12.75" x14ac:dyDescent="0.2">
      <c r="A27" s="707"/>
      <c r="B27" s="708"/>
      <c r="C27" s="709"/>
      <c r="D27" s="706"/>
      <c r="E27" s="708"/>
      <c r="F27" s="708"/>
      <c r="G27" s="708"/>
      <c r="H27" s="709"/>
      <c r="I27" s="706"/>
      <c r="J27" s="708"/>
      <c r="K27" s="874"/>
      <c r="L27" s="875"/>
      <c r="M27" s="864"/>
      <c r="N27" s="865"/>
      <c r="O27" s="10"/>
      <c r="P27" s="863"/>
      <c r="Q27" s="10"/>
      <c r="R27" s="863"/>
      <c r="S27" s="862"/>
      <c r="T27" s="862"/>
    </row>
    <row r="28" spans="1:30" s="19" customFormat="1" ht="12.75" x14ac:dyDescent="0.2">
      <c r="A28" s="707"/>
      <c r="B28" s="708"/>
      <c r="C28" s="709"/>
      <c r="D28" s="706"/>
      <c r="E28" s="708"/>
      <c r="F28" s="708"/>
      <c r="G28" s="708"/>
      <c r="H28" s="709"/>
      <c r="I28" s="706"/>
      <c r="J28" s="708"/>
      <c r="K28" s="874"/>
      <c r="L28" s="875"/>
      <c r="M28" s="864"/>
      <c r="N28" s="865"/>
      <c r="O28" s="10"/>
      <c r="P28" s="10"/>
      <c r="Q28" s="10"/>
      <c r="R28" s="10"/>
      <c r="S28" s="862"/>
      <c r="T28" s="862"/>
    </row>
    <row r="29" spans="1:30" s="19" customFormat="1" ht="12.75" x14ac:dyDescent="0.2">
      <c r="A29" s="707"/>
      <c r="B29" s="708"/>
      <c r="C29" s="709"/>
      <c r="D29" s="706"/>
      <c r="E29" s="708"/>
      <c r="F29" s="708"/>
      <c r="G29" s="708"/>
      <c r="H29" s="709"/>
      <c r="I29" s="706"/>
      <c r="J29" s="708"/>
      <c r="K29" s="874"/>
      <c r="L29" s="875"/>
      <c r="M29" s="864"/>
      <c r="N29" s="865"/>
      <c r="O29" s="10"/>
      <c r="P29" s="10"/>
      <c r="Q29" s="10"/>
      <c r="R29" s="10"/>
      <c r="S29" s="862"/>
      <c r="T29" s="862"/>
    </row>
    <row r="30" spans="1:30" s="19" customFormat="1" ht="12.75" x14ac:dyDescent="0.2">
      <c r="A30" s="710"/>
      <c r="B30" s="711"/>
      <c r="C30" s="712"/>
      <c r="D30" s="713"/>
      <c r="E30" s="711"/>
      <c r="F30" s="711"/>
      <c r="G30" s="711"/>
      <c r="H30" s="712"/>
      <c r="I30" s="713"/>
      <c r="J30" s="711"/>
      <c r="K30" s="876"/>
      <c r="L30" s="877"/>
      <c r="M30" s="866"/>
      <c r="N30" s="867"/>
      <c r="O30" s="10"/>
      <c r="P30" s="10"/>
      <c r="Q30" s="10"/>
      <c r="R30" s="10"/>
      <c r="S30" s="862"/>
      <c r="T30" s="862"/>
      <c r="AD30" s="30"/>
    </row>
    <row r="31" spans="1:30" s="4" customFormat="1" x14ac:dyDescent="0.25">
      <c r="A31" s="880" t="s">
        <v>395</v>
      </c>
      <c r="B31" s="881">
        <f>SUM(B11:B16)/1000</f>
        <v>50.998540601594428</v>
      </c>
      <c r="C31" s="882">
        <f t="shared" ref="C31:J31" si="5">SUM(C11:C16)/1000</f>
        <v>3.8801868778391042</v>
      </c>
      <c r="D31" s="883">
        <f t="shared" si="5"/>
        <v>0.20056824928801156</v>
      </c>
      <c r="E31" s="881">
        <f t="shared" si="5"/>
        <v>4.0807551271271159</v>
      </c>
      <c r="F31" s="881">
        <f t="shared" si="5"/>
        <v>55.07929572872154</v>
      </c>
      <c r="G31" s="881">
        <f t="shared" si="5"/>
        <v>56.958673472721834</v>
      </c>
      <c r="H31" s="882">
        <f t="shared" si="5"/>
        <v>1.9675890233877049</v>
      </c>
      <c r="I31" s="883">
        <f t="shared" si="5"/>
        <v>0.29927597468717759</v>
      </c>
      <c r="J31" s="881">
        <f t="shared" si="5"/>
        <v>48.674742551770549</v>
      </c>
      <c r="K31" s="1198" t="s">
        <v>10</v>
      </c>
      <c r="L31" s="3"/>
      <c r="M31" s="1199" t="s">
        <v>390</v>
      </c>
      <c r="N31" s="1199" t="s">
        <v>391</v>
      </c>
      <c r="O31" s="1199" t="s">
        <v>391</v>
      </c>
      <c r="P31" s="3"/>
      <c r="Q31" s="3"/>
      <c r="R31" s="77"/>
      <c r="S31" s="134"/>
      <c r="T31" s="77"/>
      <c r="U31" s="77"/>
      <c r="V31" s="77"/>
      <c r="W31" s="77"/>
      <c r="X31" s="884"/>
      <c r="Y31" s="3"/>
      <c r="Z31" s="3"/>
      <c r="AA31" s="3"/>
      <c r="AB31" s="3"/>
    </row>
    <row r="32" spans="1:30" ht="15.75" x14ac:dyDescent="0.25">
      <c r="A32" s="1206" t="s">
        <v>396</v>
      </c>
      <c r="B32" s="1207">
        <f>IF(K17&lt;&gt;"",B16-H17-C17+C16-D17+D16,B17)</f>
        <v>8972.382489387699</v>
      </c>
      <c r="J32" s="356" t="s">
        <v>253</v>
      </c>
      <c r="K32" s="68">
        <f>[1]!Inter_net</f>
        <v>2</v>
      </c>
      <c r="L32" s="68">
        <f>[1]!Inter_tai</f>
        <v>7</v>
      </c>
      <c r="M32" s="1200">
        <f>Inter_net</f>
        <v>2</v>
      </c>
      <c r="N32" s="1200">
        <f>CHOOSE(Inter_net,N33,N34,N35,N36)</f>
        <v>660.23657704840889</v>
      </c>
      <c r="O32" s="1201">
        <f>CHOOSE(Inter_net,O33,O34,O35,O36)</f>
        <v>7.3585424811004163E-2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279</v>
      </c>
      <c r="B33" s="1143">
        <f t="shared" ref="B33:J33" si="6">AVERAGE(B35:B54)</f>
        <v>5.5526481066055657E-2</v>
      </c>
      <c r="C33" s="1144">
        <f t="shared" si="6"/>
        <v>8.1471553187339604E-2</v>
      </c>
      <c r="D33" s="1145">
        <f t="shared" si="6"/>
        <v>2.081591616003042E-2</v>
      </c>
      <c r="E33" s="1143">
        <f t="shared" si="6"/>
        <v>5.4002228083223039E-2</v>
      </c>
      <c r="F33" s="1144">
        <f t="shared" si="6"/>
        <v>6.9901890774953818E-2</v>
      </c>
      <c r="G33" s="1145">
        <f t="shared" si="6"/>
        <v>8.3937638944090471E-3</v>
      </c>
      <c r="H33" s="1146">
        <f t="shared" si="6"/>
        <v>5.2092425533449595E-2</v>
      </c>
      <c r="I33" s="1147">
        <f t="shared" si="6"/>
        <v>6.438290078169517E-3</v>
      </c>
      <c r="J33" s="1148">
        <f t="shared" si="6"/>
        <v>0.12291262264603467</v>
      </c>
      <c r="K33" s="342"/>
      <c r="L33" s="21"/>
      <c r="M33" s="370">
        <v>1</v>
      </c>
      <c r="N33" s="1202">
        <f>O33*$B$32</f>
        <v>660.23657704840889</v>
      </c>
      <c r="O33" s="1203">
        <f>AVERAGE(H19:H20)/AVERAGE(B19:B20)</f>
        <v>7.3585424811004163E-2</v>
      </c>
      <c r="P33" s="15"/>
    </row>
    <row r="34" spans="1:28" s="240" customFormat="1" ht="41.25" customHeight="1" x14ac:dyDescent="0.2">
      <c r="A34" s="174" t="s">
        <v>52</v>
      </c>
      <c r="B34" s="1149" t="s">
        <v>375</v>
      </c>
      <c r="C34" s="1150" t="s">
        <v>376</v>
      </c>
      <c r="D34" s="1151" t="s">
        <v>377</v>
      </c>
      <c r="E34" s="1149" t="s">
        <v>378</v>
      </c>
      <c r="F34" s="332" t="s">
        <v>379</v>
      </c>
      <c r="G34" s="333" t="s">
        <v>380</v>
      </c>
      <c r="H34" s="332" t="s">
        <v>381</v>
      </c>
      <c r="I34" s="333" t="s">
        <v>382</v>
      </c>
      <c r="J34" s="174" t="s">
        <v>383</v>
      </c>
      <c r="K34" s="332" t="s">
        <v>384</v>
      </c>
      <c r="L34" s="332" t="s">
        <v>385</v>
      </c>
      <c r="M34" s="370">
        <v>2</v>
      </c>
      <c r="N34" s="1204">
        <f>O34*$B$32</f>
        <v>660.23657704840889</v>
      </c>
      <c r="O34" s="1205">
        <f>AVERAGE(H19:H20)/AVERAGE(B19:B20)</f>
        <v>7.3585424811004163E-2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52">
        <f>'2018'!L$379</f>
        <v>3.5310543301907416E-3</v>
      </c>
      <c r="C35" s="1153">
        <f>'2018'!O$379</f>
        <v>2.6101001725359299E-2</v>
      </c>
      <c r="D35" s="1154">
        <f>'2018'!P$379</f>
        <v>7.9553959288349452E-3</v>
      </c>
      <c r="E35" s="1152">
        <f>'2018'!Wh_Ppv/Recap!B11</f>
        <v>1.6458224044681514E-3</v>
      </c>
      <c r="F35" s="1153">
        <f>'2018'!Wh_Psa/'2018'!D$9</f>
        <v>1.3078589487783501E-2</v>
      </c>
      <c r="G35" s="1154">
        <f>'2018'!Wh_Pvg/'2018'!E$9</f>
        <v>5.6741248073261946E-3</v>
      </c>
      <c r="H35" s="1155">
        <f>H11/'2018'!Z$9</f>
        <v>0</v>
      </c>
      <c r="I35" s="1156">
        <f>I11/'2018'!AA$9</f>
        <v>0</v>
      </c>
      <c r="J35" s="1157">
        <f>1-B11/G11</f>
        <v>2.0194232731055473E-2</v>
      </c>
      <c r="K35" s="856" t="str">
        <f>K11</f>
        <v/>
      </c>
      <c r="L35" s="1158">
        <f>(K35&lt;&gt;"")*('2018'!O$383-'2018'!O$381)</f>
        <v>0</v>
      </c>
      <c r="M35" s="370">
        <v>3</v>
      </c>
      <c r="N35" s="1204">
        <f>O35*$B$32</f>
        <v>695.55986850027978</v>
      </c>
      <c r="O35" s="1205">
        <f>AVERAGE(H18:H20)/AVERAGE(B18:B20)</f>
        <v>7.7522315764287794E-2</v>
      </c>
      <c r="P35" s="370"/>
      <c r="Q35" s="370"/>
      <c r="R35" s="370"/>
      <c r="S35" s="862"/>
      <c r="T35" s="862"/>
    </row>
    <row r="36" spans="1:28" s="19" customFormat="1" ht="12.75" x14ac:dyDescent="0.2">
      <c r="A36" s="144">
        <f t="shared" ref="A36:A44" si="7">A12</f>
        <v>2019</v>
      </c>
      <c r="B36" s="1143">
        <f>'2019'!L$379</f>
        <v>1.1959396366868713E-2</v>
      </c>
      <c r="C36" s="1144">
        <f>'2019'!O$379</f>
        <v>7.3576074210959477E-2</v>
      </c>
      <c r="D36" s="1145">
        <f>'2019'!P$379</f>
        <v>8.7827261710115152E-7</v>
      </c>
      <c r="E36" s="1143">
        <f>'2019'!Wh_Ppv/Recap!B12</f>
        <v>7.6073903967093714E-3</v>
      </c>
      <c r="F36" s="1144">
        <f>'2019'!Wh_Psa/'2019'!D$9</f>
        <v>5.469328384139921E-2</v>
      </c>
      <c r="G36" s="1145">
        <f>'2019'!Wh_Pvg/'2019'!E$9</f>
        <v>4.7780923933976498E-3</v>
      </c>
      <c r="H36" s="1159">
        <f>H12/'2019'!Z$9</f>
        <v>-1.3610578293520086E-5</v>
      </c>
      <c r="I36" s="1160">
        <f>I12/'2019'!AA$9</f>
        <v>1.6846842850445112E-4</v>
      </c>
      <c r="J36" s="1161">
        <f t="shared" ref="J36:J44" si="8">1-B12/G12</f>
        <v>6.4140500468090389E-2</v>
      </c>
      <c r="K36" s="858" t="str">
        <f t="shared" ref="K36:K44" si="9">K12</f>
        <v/>
      </c>
      <c r="L36" s="1162">
        <f>(K36&lt;&gt;"")*('2019'!O$383-'2019'!O$381)</f>
        <v>0</v>
      </c>
      <c r="M36" s="370">
        <v>4</v>
      </c>
      <c r="N36" s="1204">
        <f>O36*$B$32</f>
        <v>679.18391628178972</v>
      </c>
      <c r="O36" s="1205">
        <f>AVERAGE(H17:H20)/AVERAGE(B17:B20)</f>
        <v>7.5697164837222539E-2</v>
      </c>
      <c r="P36" s="370"/>
      <c r="Q36" s="370"/>
      <c r="R36" s="370"/>
      <c r="S36" s="862"/>
      <c r="T36" s="862"/>
    </row>
    <row r="37" spans="1:28" s="19" customFormat="1" ht="12.75" x14ac:dyDescent="0.2">
      <c r="A37" s="144">
        <f t="shared" si="7"/>
        <v>2020</v>
      </c>
      <c r="B37" s="1143">
        <f>'2020'!L$379</f>
        <v>3.1427560840990562E-2</v>
      </c>
      <c r="C37" s="1144">
        <f>'2020'!O$379</f>
        <v>0.10539956698505228</v>
      </c>
      <c r="D37" s="1145">
        <f>'2020'!P$379</f>
        <v>7.9562742014520453E-3</v>
      </c>
      <c r="E37" s="1143">
        <f>'2020'!Wh_Ppv/Recap!B13</f>
        <v>1.9897094110880215E-2</v>
      </c>
      <c r="F37" s="1144">
        <f>'2020'!Wh_Psa/'2020'!D$9</f>
        <v>9.9958663397224992E-2</v>
      </c>
      <c r="G37" s="1145">
        <f>'2020'!Wh_Pvg/'2020'!E$9</f>
        <v>1.5426454339860583E-3</v>
      </c>
      <c r="H37" s="1159">
        <f>H13/'2020'!Z$9</f>
        <v>-7.6878289223920426E-4</v>
      </c>
      <c r="I37" s="1160">
        <f>I13/'2020'!AA$9</f>
        <v>6.7125430031703846E-3</v>
      </c>
      <c r="J37" s="1161">
        <f t="shared" si="8"/>
        <v>0.11175980723833268</v>
      </c>
      <c r="K37" s="858" t="str">
        <f t="shared" si="9"/>
        <v/>
      </c>
      <c r="L37" s="1162">
        <f>(K37&lt;&gt;"")*('2020'!O$383-'2020'!O$381)</f>
        <v>0</v>
      </c>
      <c r="M37" s="370"/>
      <c r="N37" s="1210" t="s">
        <v>392</v>
      </c>
      <c r="O37" s="1211"/>
      <c r="P37" s="370"/>
      <c r="Q37" s="370"/>
      <c r="R37" s="370"/>
      <c r="S37" s="862"/>
      <c r="T37" s="862"/>
    </row>
    <row r="38" spans="1:28" s="19" customFormat="1" ht="12.75" x14ac:dyDescent="0.2">
      <c r="A38" s="144">
        <f t="shared" si="7"/>
        <v>2021</v>
      </c>
      <c r="B38" s="1143">
        <f>'2021'!L$379</f>
        <v>3.9736534336354087E-2</v>
      </c>
      <c r="C38" s="1144">
        <f>'2021'!O$379</f>
        <v>7.1526911092425802E-2</v>
      </c>
      <c r="D38" s="1145">
        <f>'2021'!P$379</f>
        <v>1.6434734241733091E-2</v>
      </c>
      <c r="E38" s="1143">
        <f>'2021'!Wh_Ppv/Recap!B14</f>
        <v>3.6751097312847009E-2</v>
      </c>
      <c r="F38" s="1144">
        <f>'2021'!Wh_Psa/'2021'!D$9</f>
        <v>6.1424257065985741E-2</v>
      </c>
      <c r="G38" s="1145">
        <f>'2021'!Wh_Pvg/'2021'!E$9</f>
        <v>4.6435403792517167E-3</v>
      </c>
      <c r="H38" s="1159">
        <f>H14/'2021'!Z$9</f>
        <v>6.9367278014430142E-2</v>
      </c>
      <c r="I38" s="1160">
        <f>I14/'2021'!AA$9</f>
        <v>7.8837869226766073E-3</v>
      </c>
      <c r="J38" s="1161">
        <f t="shared" si="8"/>
        <v>9.7815057188110011E-2</v>
      </c>
      <c r="K38" s="858">
        <f t="shared" si="9"/>
        <v>44307</v>
      </c>
      <c r="L38" s="1162">
        <f>(K38&lt;&gt;"")*('2021'!O$383-'2021'!O$381)</f>
        <v>9.5363472841258151E-2</v>
      </c>
      <c r="M38" s="370"/>
      <c r="N38" s="370"/>
      <c r="O38" s="370"/>
      <c r="P38" s="370"/>
      <c r="Q38" s="370"/>
      <c r="R38" s="370"/>
      <c r="S38" s="862"/>
      <c r="T38" s="862"/>
    </row>
    <row r="39" spans="1:28" s="19" customFormat="1" ht="12.75" x14ac:dyDescent="0.2">
      <c r="A39" s="144">
        <f t="shared" si="7"/>
        <v>2022</v>
      </c>
      <c r="B39" s="1143">
        <f>'2022'!L$379</f>
        <v>5.7952622970493778E-2</v>
      </c>
      <c r="C39" s="1144">
        <f>'2022'!O$379</f>
        <v>0.12183848892664172</v>
      </c>
      <c r="D39" s="1145">
        <f>'2022'!P$379</f>
        <v>7.9467683868016965E-3</v>
      </c>
      <c r="E39" s="1143">
        <f>'2022'!Wh_Ppv/Recap!B15</f>
        <v>5.0450141408478283E-2</v>
      </c>
      <c r="F39" s="1144">
        <f>'2022'!Wh_Psa/'2022'!D$9</f>
        <v>0.10814025260464089</v>
      </c>
      <c r="G39" s="1145">
        <f>'2022'!Wh_Pvg/'2022'!E$9</f>
        <v>1.7508403757723176E-3</v>
      </c>
      <c r="H39" s="1159">
        <f>H15/'2022'!Z$9</f>
        <v>5.4592177495149864E-2</v>
      </c>
      <c r="I39" s="1160">
        <f>I15/'2022'!AA$9</f>
        <v>6.0748519349886187E-3</v>
      </c>
      <c r="J39" s="1161">
        <f t="shared" si="8"/>
        <v>0.14688348357884784</v>
      </c>
      <c r="K39" s="858" t="str">
        <f t="shared" si="9"/>
        <v/>
      </c>
      <c r="L39" s="1162">
        <f>(K39&lt;&gt;"")*('2022'!O$383-'2022'!O$381)</f>
        <v>0</v>
      </c>
      <c r="M39" s="370"/>
      <c r="N39" s="370"/>
      <c r="O39" s="370"/>
      <c r="P39" s="370"/>
      <c r="Q39" s="370"/>
      <c r="R39" s="370"/>
      <c r="S39" s="862"/>
      <c r="T39" s="862"/>
    </row>
    <row r="40" spans="1:28" s="19" customFormat="1" ht="12.75" x14ac:dyDescent="0.2">
      <c r="A40" s="364">
        <f t="shared" si="7"/>
        <v>2023</v>
      </c>
      <c r="B40" s="1163">
        <f>'2023'!L$379</f>
        <v>6.6099218214485084E-2</v>
      </c>
      <c r="C40" s="1164">
        <f>'2023'!O$379</f>
        <v>6.4883434393319839E-2</v>
      </c>
      <c r="D40" s="1165">
        <f>'2023'!P$379</f>
        <v>1.6423354035852305E-2</v>
      </c>
      <c r="E40" s="1163">
        <f>'2023'!Wh_Ppv/Recap!B16</f>
        <v>6.5993698099546666E-2</v>
      </c>
      <c r="F40" s="1164">
        <f>'2023'!Wh_Psa/'2023'!D$9</f>
        <v>6.1464328749039822E-2</v>
      </c>
      <c r="G40" s="1165">
        <f>'2023'!Wh_Pvg/'2023'!E$9</f>
        <v>4.4618411955233877E-3</v>
      </c>
      <c r="H40" s="1166">
        <f>H16/'2023'!Z$9</f>
        <v>9.2576305247479479E-2</v>
      </c>
      <c r="I40" s="1167">
        <f>I16/'2023'!AA$9</f>
        <v>7.1906897191411651E-3</v>
      </c>
      <c r="J40" s="1168">
        <f t="shared" si="8"/>
        <v>0.12403228083338769</v>
      </c>
      <c r="K40" s="860">
        <f t="shared" si="9"/>
        <v>45046</v>
      </c>
      <c r="L40" s="1169">
        <f>(K40&lt;&gt;"")*('2023'!O$383-'2023'!O$381)</f>
        <v>0.11497692078755357</v>
      </c>
      <c r="M40" s="370"/>
      <c r="N40" s="370"/>
      <c r="O40" s="370"/>
      <c r="P40" s="370"/>
      <c r="Q40" s="370"/>
      <c r="R40" s="370"/>
      <c r="S40" s="862"/>
      <c r="T40" s="862"/>
    </row>
    <row r="41" spans="1:28" s="19" customFormat="1" ht="12.75" x14ac:dyDescent="0.2">
      <c r="A41" s="1170">
        <f t="shared" si="7"/>
        <v>2024</v>
      </c>
      <c r="B41" s="1171">
        <f>'2024'!L$379</f>
        <v>7.4176907857906343E-2</v>
      </c>
      <c r="C41" s="1172">
        <f>'2024'!O$379</f>
        <v>0.11081159287649894</v>
      </c>
      <c r="D41" s="1173">
        <f>'2024'!P$379</f>
        <v>2.5947423972341864E-2</v>
      </c>
      <c r="E41" s="1171">
        <f>'2024'!Wh_Ppv/Recap!B17</f>
        <v>7.5218485551949849E-2</v>
      </c>
      <c r="F41" s="1172">
        <f>'2024'!Wh_Psa/'2024'!D$9</f>
        <v>9.4069372217246455E-2</v>
      </c>
      <c r="G41" s="1173">
        <f>'2024'!Wh_Pvg/'2024'!E$9</f>
        <v>7.9327100544936569E-3</v>
      </c>
      <c r="H41" s="1171">
        <f>H17/'2024'!Z$9</f>
        <v>7.1228474252629612E-2</v>
      </c>
      <c r="I41" s="1174">
        <f>I17/'2024'!AA$9</f>
        <v>8.1140553605281839E-3</v>
      </c>
      <c r="J41" s="1173">
        <f t="shared" si="8"/>
        <v>0.16324404226751243</v>
      </c>
      <c r="K41" s="858" t="str">
        <f t="shared" si="9"/>
        <v/>
      </c>
      <c r="L41" s="1162">
        <f>(K41&lt;&gt;"")*('2024'!O$383-'2024'!O$381)</f>
        <v>0</v>
      </c>
      <c r="M41" s="370"/>
      <c r="N41" s="370"/>
      <c r="O41" s="370"/>
      <c r="P41" s="370"/>
      <c r="Q41" s="370"/>
      <c r="R41" s="370"/>
      <c r="S41" s="862"/>
      <c r="T41" s="862"/>
    </row>
    <row r="42" spans="1:28" s="19" customFormat="1" ht="12.75" x14ac:dyDescent="0.2">
      <c r="A42" s="1170">
        <f t="shared" si="7"/>
        <v>2025</v>
      </c>
      <c r="B42" s="1171">
        <f>'2025'!L$379</f>
        <v>8.2208124871312932E-2</v>
      </c>
      <c r="C42" s="1172">
        <f>'2025'!O$379</f>
        <v>6.4883434393319839E-2</v>
      </c>
      <c r="D42" s="1173">
        <f>'2025'!P$379</f>
        <v>3.4633522630195063E-2</v>
      </c>
      <c r="E42" s="1171">
        <f>'2025'!Wh_Ppv/Recap!B18</f>
        <v>8.4685302997817208E-2</v>
      </c>
      <c r="F42" s="1172">
        <f>'2025'!Wh_Psa/'2025'!D$9</f>
        <v>5.7458241556336109E-2</v>
      </c>
      <c r="G42" s="1173">
        <f>'2025'!Wh_Pvg/'2025'!E$9</f>
        <v>1.2670388925672887E-2</v>
      </c>
      <c r="H42" s="1171">
        <f>H18/'2025'!Z$9</f>
        <v>8.696680554148381E-2</v>
      </c>
      <c r="I42" s="1174">
        <f>I18/'2025'!AA$9</f>
        <v>8.8980733031428887E-3</v>
      </c>
      <c r="J42" s="1173">
        <f t="shared" si="8"/>
        <v>0.14464897810265931</v>
      </c>
      <c r="K42" s="858">
        <f t="shared" si="9"/>
        <v>45777</v>
      </c>
      <c r="L42" s="1162">
        <f>(K42&lt;&gt;"")*('2025'!O$383-'2025'!O$381)</f>
        <v>0.10448778670470982</v>
      </c>
      <c r="M42" s="370"/>
      <c r="N42" s="370"/>
      <c r="O42" s="370"/>
      <c r="P42" s="370"/>
      <c r="Q42" s="370"/>
      <c r="R42" s="370"/>
      <c r="S42" s="862"/>
      <c r="T42" s="862"/>
    </row>
    <row r="43" spans="1:28" s="19" customFormat="1" ht="12.75" x14ac:dyDescent="0.2">
      <c r="A43" s="1170">
        <f t="shared" si="7"/>
        <v>2026</v>
      </c>
      <c r="B43" s="1171">
        <f>'2026'!L$379</f>
        <v>9.0149562024648439E-2</v>
      </c>
      <c r="C43" s="1172">
        <f>'2026'!O$379</f>
        <v>0.11081159287649894</v>
      </c>
      <c r="D43" s="1173">
        <f>'2026'!P$379</f>
        <v>4.2898586604716668E-2</v>
      </c>
      <c r="E43" s="1171">
        <f>'2026'!Wh_Ppv/Recap!B19</f>
        <v>9.4078470917288395E-2</v>
      </c>
      <c r="F43" s="1172">
        <f>'2026'!Wh_Psa/'2026'!D$9</f>
        <v>9.2380560893711341E-2</v>
      </c>
      <c r="G43" s="1173">
        <f>'2026'!Wh_Pvg/'2026'!E$9</f>
        <v>1.7088566352437457E-2</v>
      </c>
      <c r="H43" s="1171">
        <f>H19/'2026'!Z$9</f>
        <v>6.2831525129432783E-2</v>
      </c>
      <c r="I43" s="1174">
        <f>I19/'2026'!AA$9</f>
        <v>9.674316496795031E-3</v>
      </c>
      <c r="J43" s="1173">
        <f t="shared" si="8"/>
        <v>0.1866332518164775</v>
      </c>
      <c r="K43" s="858" t="str">
        <f t="shared" si="9"/>
        <v/>
      </c>
      <c r="L43" s="1162">
        <f>(K43&lt;&gt;"")*('2026'!O$383-'2026'!O$381)</f>
        <v>0</v>
      </c>
      <c r="M43" s="370"/>
      <c r="N43" s="370"/>
      <c r="O43" s="370"/>
      <c r="P43" s="370"/>
      <c r="Q43" s="370"/>
      <c r="R43" s="370"/>
      <c r="S43" s="862"/>
      <c r="T43" s="862"/>
    </row>
    <row r="44" spans="1:28" s="19" customFormat="1" ht="12.75" x14ac:dyDescent="0.2">
      <c r="A44" s="1170">
        <f t="shared" si="7"/>
        <v>2027</v>
      </c>
      <c r="B44" s="1171">
        <f>'2027'!L$379</f>
        <v>9.8023828847305899E-2</v>
      </c>
      <c r="C44" s="1172">
        <f>'2027'!O$379</f>
        <v>6.4883434393319839E-2</v>
      </c>
      <c r="D44" s="1173">
        <f>'2027'!P$379</f>
        <v>4.7962223325759425E-2</v>
      </c>
      <c r="E44" s="1171">
        <f>'2027'!Wh_Ppv/Recap!B20</f>
        <v>0.10369477763224516</v>
      </c>
      <c r="F44" s="1172">
        <f>'2027'!Wh_Psa/'2027'!D$9</f>
        <v>5.6351357936170035E-2</v>
      </c>
      <c r="G44" s="1173">
        <f>'2027'!Wh_Pvg/'2027'!E$9</f>
        <v>2.3394889026229146E-2</v>
      </c>
      <c r="H44" s="1171">
        <f>H20/'2027'!Z$9</f>
        <v>8.4144083124423022E-2</v>
      </c>
      <c r="I44" s="1174">
        <f>I20/'2027'!AA$9</f>
        <v>9.6661156127478502E-3</v>
      </c>
      <c r="J44" s="1173">
        <f t="shared" si="8"/>
        <v>0.16977459223587332</v>
      </c>
      <c r="K44" s="858">
        <f t="shared" si="9"/>
        <v>46507</v>
      </c>
      <c r="L44" s="1162">
        <f>(K44&lt;&gt;"")*('2027'!O$383-'2027'!O$381)</f>
        <v>0.10440523998663065</v>
      </c>
      <c r="M44" s="370"/>
      <c r="N44" s="370"/>
      <c r="O44" s="370"/>
      <c r="P44" s="370"/>
      <c r="Q44" s="370"/>
      <c r="R44" s="370"/>
      <c r="S44" s="862"/>
      <c r="T44" s="862"/>
    </row>
    <row r="45" spans="1:28" s="19" customFormat="1" ht="12.75" x14ac:dyDescent="0.2">
      <c r="A45" s="707"/>
      <c r="B45" s="864"/>
      <c r="C45" s="1175"/>
      <c r="D45" s="1176"/>
      <c r="E45" s="864"/>
      <c r="F45" s="1175"/>
      <c r="G45" s="1176"/>
      <c r="H45" s="1177"/>
      <c r="I45" s="708"/>
      <c r="J45" s="1176"/>
      <c r="K45" s="874"/>
      <c r="L45" s="1176"/>
      <c r="M45" s="10"/>
      <c r="N45" s="10"/>
      <c r="O45" s="10"/>
      <c r="P45" s="10"/>
      <c r="Q45" s="10"/>
      <c r="R45" s="10"/>
      <c r="S45" s="862"/>
      <c r="T45" s="862"/>
    </row>
    <row r="46" spans="1:28" s="19" customFormat="1" ht="12.75" x14ac:dyDescent="0.2">
      <c r="A46" s="707"/>
      <c r="B46" s="864"/>
      <c r="C46" s="1175"/>
      <c r="D46" s="1176"/>
      <c r="E46" s="864"/>
      <c r="F46" s="1175"/>
      <c r="G46" s="1176"/>
      <c r="H46" s="1177"/>
      <c r="I46" s="708"/>
      <c r="J46" s="1176"/>
      <c r="K46" s="874"/>
      <c r="L46" s="1176"/>
      <c r="M46" s="10"/>
      <c r="N46" s="10"/>
      <c r="O46" s="10"/>
      <c r="P46" s="863"/>
      <c r="Q46" s="10"/>
      <c r="R46" s="863"/>
      <c r="S46" s="862"/>
      <c r="T46" s="862"/>
    </row>
    <row r="47" spans="1:28" s="19" customFormat="1" ht="12.75" x14ac:dyDescent="0.2">
      <c r="A47" s="707"/>
      <c r="B47" s="864"/>
      <c r="C47" s="1175"/>
      <c r="D47" s="1176"/>
      <c r="E47" s="864"/>
      <c r="F47" s="1175"/>
      <c r="G47" s="1176"/>
      <c r="H47" s="1177"/>
      <c r="I47" s="708"/>
      <c r="J47" s="1176"/>
      <c r="K47" s="874"/>
      <c r="L47" s="1176"/>
      <c r="M47" s="10"/>
      <c r="N47" s="10"/>
      <c r="O47" s="10"/>
      <c r="P47" s="863"/>
      <c r="Q47" s="10"/>
      <c r="S47" s="862"/>
      <c r="T47" s="862"/>
    </row>
    <row r="48" spans="1:28" s="19" customFormat="1" ht="12.75" x14ac:dyDescent="0.2">
      <c r="A48" s="707"/>
      <c r="B48" s="864"/>
      <c r="C48" s="1175"/>
      <c r="D48" s="1176"/>
      <c r="E48" s="864"/>
      <c r="F48" s="1175"/>
      <c r="G48" s="1176"/>
      <c r="H48" s="1177"/>
      <c r="I48" s="708"/>
      <c r="J48" s="1176"/>
      <c r="K48" s="874"/>
      <c r="L48" s="1176"/>
      <c r="M48" s="10"/>
      <c r="N48" s="10"/>
      <c r="O48" s="10"/>
      <c r="P48" s="863"/>
      <c r="Q48" s="10"/>
      <c r="R48" s="863"/>
      <c r="S48" s="862"/>
      <c r="T48" s="862"/>
    </row>
    <row r="49" spans="1:30" s="19" customFormat="1" ht="12.75" x14ac:dyDescent="0.2">
      <c r="A49" s="707"/>
      <c r="B49" s="864"/>
      <c r="C49" s="1175"/>
      <c r="D49" s="1176"/>
      <c r="E49" s="864"/>
      <c r="F49" s="1175"/>
      <c r="G49" s="1176"/>
      <c r="H49" s="1177"/>
      <c r="I49" s="708"/>
      <c r="J49" s="1176"/>
      <c r="K49" s="874"/>
      <c r="L49" s="1176"/>
      <c r="M49" s="10"/>
      <c r="N49" s="10"/>
      <c r="O49" s="10"/>
      <c r="P49" s="863"/>
      <c r="Q49" s="10"/>
      <c r="R49" s="863"/>
      <c r="S49" s="862"/>
      <c r="T49" s="862"/>
    </row>
    <row r="50" spans="1:30" s="19" customFormat="1" ht="12.75" x14ac:dyDescent="0.2">
      <c r="A50" s="707"/>
      <c r="B50" s="864"/>
      <c r="C50" s="1175"/>
      <c r="D50" s="1176"/>
      <c r="E50" s="864"/>
      <c r="F50" s="1175"/>
      <c r="G50" s="1176"/>
      <c r="H50" s="1177"/>
      <c r="I50" s="708"/>
      <c r="J50" s="1176"/>
      <c r="K50" s="874"/>
      <c r="L50" s="1176"/>
      <c r="M50" s="10"/>
      <c r="N50" s="10"/>
      <c r="O50" s="10"/>
      <c r="P50" s="863"/>
      <c r="Q50" s="10"/>
      <c r="R50" s="863"/>
      <c r="S50" s="862"/>
      <c r="T50" s="862"/>
    </row>
    <row r="51" spans="1:30" s="19" customFormat="1" ht="12.75" x14ac:dyDescent="0.2">
      <c r="A51" s="707"/>
      <c r="B51" s="864"/>
      <c r="C51" s="1175"/>
      <c r="D51" s="1176"/>
      <c r="E51" s="864"/>
      <c r="F51" s="1175"/>
      <c r="G51" s="1176"/>
      <c r="H51" s="1177"/>
      <c r="I51" s="708"/>
      <c r="J51" s="1176"/>
      <c r="K51" s="874"/>
      <c r="L51" s="1176"/>
      <c r="M51" s="10"/>
      <c r="N51" s="10"/>
      <c r="O51" s="10"/>
      <c r="P51" s="863"/>
      <c r="Q51" s="10"/>
      <c r="R51" s="863"/>
      <c r="S51" s="862"/>
      <c r="T51" s="862"/>
    </row>
    <row r="52" spans="1:30" s="19" customFormat="1" ht="12.75" x14ac:dyDescent="0.2">
      <c r="A52" s="707"/>
      <c r="B52" s="864"/>
      <c r="C52" s="1175"/>
      <c r="D52" s="1176"/>
      <c r="E52" s="864"/>
      <c r="F52" s="1175"/>
      <c r="G52" s="1176"/>
      <c r="H52" s="1177"/>
      <c r="I52" s="708"/>
      <c r="J52" s="1176"/>
      <c r="K52" s="874"/>
      <c r="L52" s="1176"/>
      <c r="M52" s="10"/>
      <c r="N52" s="10"/>
      <c r="O52" s="10"/>
      <c r="P52" s="10"/>
      <c r="Q52" s="10"/>
      <c r="R52" s="10"/>
      <c r="S52" s="862"/>
      <c r="T52" s="862"/>
    </row>
    <row r="53" spans="1:30" s="19" customFormat="1" ht="12.75" x14ac:dyDescent="0.2">
      <c r="A53" s="707"/>
      <c r="B53" s="864"/>
      <c r="C53" s="1175"/>
      <c r="D53" s="1176"/>
      <c r="E53" s="864"/>
      <c r="F53" s="1175"/>
      <c r="G53" s="1176"/>
      <c r="H53" s="1177"/>
      <c r="I53" s="708"/>
      <c r="J53" s="1176"/>
      <c r="K53" s="874"/>
      <c r="L53" s="1176"/>
      <c r="M53" s="10"/>
      <c r="N53" s="10"/>
      <c r="O53" s="10"/>
      <c r="P53" s="10"/>
      <c r="Q53" s="10"/>
      <c r="R53" s="10"/>
      <c r="S53" s="862"/>
      <c r="T53" s="862"/>
    </row>
    <row r="54" spans="1:30" s="19" customFormat="1" ht="12.75" x14ac:dyDescent="0.2">
      <c r="A54" s="710"/>
      <c r="B54" s="866"/>
      <c r="C54" s="711"/>
      <c r="D54" s="1178"/>
      <c r="E54" s="866"/>
      <c r="F54" s="711"/>
      <c r="G54" s="1178"/>
      <c r="H54" s="1179"/>
      <c r="I54" s="711"/>
      <c r="J54" s="1178"/>
      <c r="K54" s="876"/>
      <c r="L54" s="1178"/>
      <c r="M54" s="10"/>
      <c r="N54" s="10"/>
      <c r="O54" s="10"/>
      <c r="P54" s="10"/>
      <c r="Q54" s="10"/>
      <c r="R54" s="10"/>
      <c r="S54" s="862"/>
      <c r="T54" s="862"/>
      <c r="AD54" s="30"/>
    </row>
    <row r="55" spans="1:30" s="19" customFormat="1" ht="12.75" x14ac:dyDescent="0.2">
      <c r="A55" s="1180"/>
      <c r="B55" s="708"/>
      <c r="C55" s="709"/>
      <c r="D55" s="706"/>
      <c r="E55" s="708"/>
      <c r="F55" s="708"/>
      <c r="G55" s="708"/>
      <c r="H55" s="709"/>
      <c r="I55" s="706"/>
      <c r="J55" s="708"/>
      <c r="K55" s="1181"/>
      <c r="L55" s="1181"/>
      <c r="M55" s="708"/>
      <c r="N55" s="1182"/>
      <c r="O55" s="10"/>
      <c r="P55" s="10"/>
      <c r="Q55" s="10"/>
      <c r="R55" s="10"/>
      <c r="S55" s="862"/>
      <c r="T55" s="862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1.8543271583100953</v>
      </c>
      <c r="C57" s="369">
        <f t="shared" ref="C57:N57" si="10">MIN(C$61:C$80)</f>
        <v>2.6248621785216599</v>
      </c>
      <c r="D57" s="369">
        <f t="shared" si="10"/>
        <v>3.650223819471945</v>
      </c>
      <c r="E57" s="369">
        <f t="shared" si="10"/>
        <v>4.7324077433825238</v>
      </c>
      <c r="F57" s="369">
        <f t="shared" si="10"/>
        <v>5.6233352061806539</v>
      </c>
      <c r="G57" s="369">
        <f t="shared" si="10"/>
        <v>5.6341375038541308</v>
      </c>
      <c r="H57" s="369">
        <f t="shared" si="10"/>
        <v>5.3259762095457184</v>
      </c>
      <c r="I57" s="369">
        <f t="shared" si="10"/>
        <v>4.6889216406063765</v>
      </c>
      <c r="J57" s="369">
        <f t="shared" si="10"/>
        <v>3.6454399617463071</v>
      </c>
      <c r="K57" s="369">
        <f t="shared" si="10"/>
        <v>2.6153197304456457</v>
      </c>
      <c r="L57" s="369">
        <f t="shared" si="10"/>
        <v>1.7777879770357738</v>
      </c>
      <c r="M57" s="369">
        <f t="shared" si="10"/>
        <v>1.5009679427182991</v>
      </c>
      <c r="N57" s="369">
        <f t="shared" si="10"/>
        <v>3.709101443594859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2.0531443671024587</v>
      </c>
      <c r="C58" s="369">
        <f t="shared" ref="C58:N58" si="11">AVERAGE(C$61:C$80)</f>
        <v>2.8916337259080427</v>
      </c>
      <c r="D58" s="369">
        <f t="shared" si="11"/>
        <v>4.0338945178757442</v>
      </c>
      <c r="E58" s="369">
        <f t="shared" si="11"/>
        <v>5.2019491349464086</v>
      </c>
      <c r="F58" s="369">
        <f t="shared" si="11"/>
        <v>6.0497352103545614</v>
      </c>
      <c r="G58" s="369">
        <f t="shared" si="11"/>
        <v>6.1484886729593091</v>
      </c>
      <c r="H58" s="369">
        <f t="shared" si="11"/>
        <v>5.8072913994153712</v>
      </c>
      <c r="I58" s="369">
        <f t="shared" si="11"/>
        <v>5.149584081579949</v>
      </c>
      <c r="J58" s="369">
        <f t="shared" si="11"/>
        <v>4.0806013880789882</v>
      </c>
      <c r="K58" s="369">
        <f t="shared" si="11"/>
        <v>2.8956744066100537</v>
      </c>
      <c r="L58" s="369">
        <f t="shared" si="11"/>
        <v>1.9689164163305191</v>
      </c>
      <c r="M58" s="369">
        <f t="shared" si="11"/>
        <v>1.650904428850307</v>
      </c>
      <c r="N58" s="369">
        <f t="shared" si="11"/>
        <v>4.0127510473808128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2.307939903522457</v>
      </c>
      <c r="C59" s="369">
        <f t="shared" ref="C59:N59" si="12">MAX(C$61:C$80)</f>
        <v>3.2374997066951425</v>
      </c>
      <c r="D59" s="369">
        <f t="shared" si="12"/>
        <v>4.5163565897221876</v>
      </c>
      <c r="E59" s="369">
        <f t="shared" si="12"/>
        <v>5.7817594646708432</v>
      </c>
      <c r="F59" s="369">
        <f t="shared" si="12"/>
        <v>6.4230810942291043</v>
      </c>
      <c r="G59" s="369">
        <f t="shared" si="12"/>
        <v>6.879113116437753</v>
      </c>
      <c r="H59" s="369">
        <f t="shared" si="12"/>
        <v>6.5466445581837167</v>
      </c>
      <c r="I59" s="369">
        <f t="shared" si="12"/>
        <v>5.8558957314625495</v>
      </c>
      <c r="J59" s="369">
        <f t="shared" si="12"/>
        <v>4.696317383888573</v>
      </c>
      <c r="K59" s="369">
        <f t="shared" si="12"/>
        <v>3.3170270375751496</v>
      </c>
      <c r="L59" s="369">
        <f t="shared" si="12"/>
        <v>2.2506126001993163</v>
      </c>
      <c r="M59" s="369">
        <f t="shared" si="12"/>
        <v>1.8736167707276747</v>
      </c>
      <c r="N59" s="369">
        <f t="shared" si="12"/>
        <v>4.4884610283535329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6.879113116437753</v>
      </c>
      <c r="H61" s="345">
        <f>AVERAGE('2018'!$V$196:$V$226)/Pc</f>
        <v>6.5466445581837167</v>
      </c>
      <c r="I61" s="345">
        <f>AVERAGE('2018'!$V$227:$V$257)/Pc</f>
        <v>5.8558957314625495</v>
      </c>
      <c r="J61" s="347">
        <f>AVERAGE('2018'!$V$258:$V$287)/Pc</f>
        <v>4.696317383888573</v>
      </c>
      <c r="K61" s="348">
        <f>AVERAGE('2018'!$V$288:$V$318)/Pc</f>
        <v>3.3170270375751496</v>
      </c>
      <c r="L61" s="345">
        <f>AVERAGE('2018'!$V$319:$V$348)/Pc</f>
        <v>2.2506126001993163</v>
      </c>
      <c r="M61" s="349">
        <f>AVERAGE('2018'!$V$349:$V$379)/Pc</f>
        <v>1.8736167707276747</v>
      </c>
      <c r="N61" s="353">
        <f t="shared" ref="N61:N66" si="13">AVERAGE(B61:M61)</f>
        <v>4.4884610283535329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2.307939903522457</v>
      </c>
      <c r="C62" s="350">
        <f>AVERAGE('2019'!$V$46:$V$73)/Pc</f>
        <v>3.2374997066951425</v>
      </c>
      <c r="D62" s="350">
        <f>AVERAGE('2019'!$V$74:$V$104)/Pc</f>
        <v>4.5163565897221876</v>
      </c>
      <c r="E62" s="351">
        <f>AVERAGE('2019'!$V$105:$V$134)/Pc</f>
        <v>5.7817594646708432</v>
      </c>
      <c r="F62" s="350">
        <f>AVERAGE('2019'!$V$135:$V$165)/Pc</f>
        <v>6.4230810942291043</v>
      </c>
      <c r="G62" s="350">
        <f>AVERAGE('2019'!$V$166:$V$195)/Pc</f>
        <v>6.4563307551519786</v>
      </c>
      <c r="H62" s="350">
        <f>AVERAGE('2019'!$V$196:$V$226)/Pc</f>
        <v>6.109533747116128</v>
      </c>
      <c r="I62" s="350">
        <f>AVERAGE('2019'!$V$227:$V$257)/Pc</f>
        <v>5.4520334750329571</v>
      </c>
      <c r="J62" s="348">
        <f>AVERAGE('2019'!$V$258:$V$287)/Pc</f>
        <v>4.3513384959972496</v>
      </c>
      <c r="K62" s="348">
        <f>AVERAGE('2019'!$V$288:$V$318)/Pc</f>
        <v>3.0792527781598764</v>
      </c>
      <c r="L62" s="350">
        <f>AVERAGE('2019'!$V$319:$V$348)/Pc</f>
        <v>2.0973163207532091</v>
      </c>
      <c r="M62" s="352">
        <f>AVERAGE('2019'!$V$349:$V$379)/Pc</f>
        <v>1.7661867857501796</v>
      </c>
      <c r="N62" s="354">
        <f t="shared" si="13"/>
        <v>4.2982190930667752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2.1931625573451439</v>
      </c>
      <c r="C63" s="350">
        <f>AVERAGE('2020'!$V$46:$V$74)/Pc</f>
        <v>3.0949469731260772</v>
      </c>
      <c r="D63" s="350">
        <f>AVERAGE('2020'!$V$75:$V$105)/Pc</f>
        <v>4.3443294994267827</v>
      </c>
      <c r="E63" s="351">
        <f>AVERAGE('2020'!$V$106:$V$135)/Pc</f>
        <v>5.5207387686967682</v>
      </c>
      <c r="F63" s="350">
        <f>AVERAGE('2020'!$V$136:$V$166)/Pc</f>
        <v>6.109468141820547</v>
      </c>
      <c r="G63" s="350">
        <f>AVERAGE('2020'!$V$167:$V$196)/Pc</f>
        <v>6.1335580540203374</v>
      </c>
      <c r="H63" s="350">
        <f>AVERAGE('2020'!$V$197:$V$227)/Pc</f>
        <v>5.800265812765379</v>
      </c>
      <c r="I63" s="350">
        <f>AVERAGE('2020'!$V$228:$V$258)/Pc</f>
        <v>5.114538533105133</v>
      </c>
      <c r="J63" s="348">
        <f>AVERAGE('2020'!$V$259:$V$288)/Pc</f>
        <v>4.0958721477861122</v>
      </c>
      <c r="K63" s="348">
        <f>AVERAGE('2020'!$V$289:$V$319)/Pc</f>
        <v>2.8968082042960561</v>
      </c>
      <c r="L63" s="350">
        <f>AVERAGE('2020'!$V$320:$V$349)/Pc</f>
        <v>1.9764578222107734</v>
      </c>
      <c r="M63" s="352">
        <f>AVERAGE('2020'!$V$350:$V$380)/Pc</f>
        <v>1.6727190923513096</v>
      </c>
      <c r="N63" s="355">
        <f t="shared" si="13"/>
        <v>4.0794054672458682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2.0633847029074275</v>
      </c>
      <c r="C64" s="350">
        <f>AVERAGE('2021'!$V$46:$V$73)/Pc</f>
        <v>2.9012857481671617</v>
      </c>
      <c r="D64" s="350">
        <f>AVERAGE('2021'!$V$74:$V$104)/Pc</f>
        <v>4.0564945677270039</v>
      </c>
      <c r="E64" s="351">
        <f>AVERAGE('2021'!$V$105:$V$134)/Pc</f>
        <v>5.398479056361543</v>
      </c>
      <c r="F64" s="350">
        <f>AVERAGE('2021'!$V$135:$V$165)/Pc</f>
        <v>6.3892036032476121</v>
      </c>
      <c r="G64" s="350">
        <f>AVERAGE('2021'!$V$166:$V$195)/Pc</f>
        <v>6.404471985312437</v>
      </c>
      <c r="H64" s="350">
        <f>AVERAGE('2021'!$V$196:$V$226)/Pc</f>
        <v>6.0425832989452966</v>
      </c>
      <c r="I64" s="350">
        <f>AVERAGE('2021'!$V$227:$V$257)/Pc</f>
        <v>5.3758714664160854</v>
      </c>
      <c r="J64" s="348">
        <f>AVERAGE('2021'!$V$258:$V$287)/Pc</f>
        <v>4.2780972868252976</v>
      </c>
      <c r="K64" s="348">
        <f>AVERAGE('2021'!$V$288:$V$318)/Pc</f>
        <v>3.0188116425765377</v>
      </c>
      <c r="L64" s="350">
        <f>AVERAGE('2021'!$V$319:$V$348)/Pc</f>
        <v>2.0504961816878402</v>
      </c>
      <c r="M64" s="352">
        <f>AVERAGE('2021'!$V$349:$V$379)/Pc</f>
        <v>1.7060910965780307</v>
      </c>
      <c r="N64" s="354">
        <f t="shared" si="13"/>
        <v>4.1404392197293562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'2022'!An</f>
        <v>2022</v>
      </c>
      <c r="B65" s="350">
        <f>AVERAGE('2022'!$V$15:$V$45)/Pc</f>
        <v>2.1189139981695004</v>
      </c>
      <c r="C65" s="350">
        <f>AVERAGE('2022'!$V$46:$V$73)/Pc</f>
        <v>2.9839331277632142</v>
      </c>
      <c r="D65" s="350">
        <f>AVERAGE('2022'!$V$74:$V$104)/Pc</f>
        <v>4.1613585383074945</v>
      </c>
      <c r="E65" s="351">
        <f>AVERAGE('2022'!$V$105:$V$134)/Pc</f>
        <v>5.3024854727669162</v>
      </c>
      <c r="F65" s="350">
        <f>AVERAGE('2022'!$V$135:$V$165)/Pc</f>
        <v>5.877805954304212</v>
      </c>
      <c r="G65" s="350">
        <f>AVERAGE('2022'!$V$166:$V$195)/Pc</f>
        <v>5.9031111329506452</v>
      </c>
      <c r="H65" s="350">
        <f>AVERAGE('2022'!$V$196:$V$226)/Pc</f>
        <v>5.5231342658931384</v>
      </c>
      <c r="I65" s="350">
        <f>AVERAGE('2022'!$V$227:$V$257)/Pc</f>
        <v>4.929491570996114</v>
      </c>
      <c r="J65" s="348">
        <f>AVERAGE('2022'!$V$258:$V$287)/Pc</f>
        <v>3.9607437236130423</v>
      </c>
      <c r="K65" s="348">
        <f>AVERAGE('2022'!$V$288:$V$318)/Pc</f>
        <v>2.8055254303951545</v>
      </c>
      <c r="L65" s="350">
        <f>AVERAGE('2022'!$V$319:$V$348)/Pc</f>
        <v>1.9109236326236418</v>
      </c>
      <c r="M65" s="352">
        <f>AVERAGE('2022'!$V$349:$V$379)/Pc</f>
        <v>1.5956184462332559</v>
      </c>
      <c r="N65" s="354">
        <f t="shared" si="13"/>
        <v>3.922753774501361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v>2023</v>
      </c>
      <c r="B66" s="546">
        <f>AVERAGE('2023'!$V$15:$V$45)/Pc</f>
        <v>1.9693259492147186</v>
      </c>
      <c r="C66" s="546">
        <f>AVERAGE('2023'!$V$46:$V$73)/Pc</f>
        <v>2.7669891922939223</v>
      </c>
      <c r="D66" s="546">
        <f>AVERAGE('2023'!$V$74:$V$104)/Pc</f>
        <v>3.8661658176708156</v>
      </c>
      <c r="E66" s="548">
        <f>AVERAGE('2023'!$V$105:$V$134)/Pc</f>
        <v>4.9788671139322647</v>
      </c>
      <c r="F66" s="546">
        <f>AVERAGE('2023'!$V$135:$V$165)/Pc</f>
        <v>6.2308252995541515</v>
      </c>
      <c r="G66" s="546">
        <f>AVERAGE('2023'!$V$166:$V$195)/Pc</f>
        <v>6.250164322940174</v>
      </c>
      <c r="H66" s="546">
        <f>AVERAGE('2023'!$V$196:$V$226)/Pc</f>
        <v>5.9010201391945856</v>
      </c>
      <c r="I66" s="546">
        <f>AVERAGE('2023'!$V$227:$V$257)/Pc</f>
        <v>5.2533506630855822</v>
      </c>
      <c r="J66" s="546">
        <f>AVERAGE('2023'!$V$258:$V$287)/Pc</f>
        <v>4.1831615163975533</v>
      </c>
      <c r="K66" s="546">
        <f>AVERAGE('2023'!$V$288:$V$318)/Pc</f>
        <v>2.9533981951921171</v>
      </c>
      <c r="L66" s="546">
        <f>AVERAGE('2023'!$V$319:$V$348)/Pc</f>
        <v>2.0069894870558951</v>
      </c>
      <c r="M66" s="547">
        <f>AVERAGE('2023'!$V$349:$V$379)/Pc</f>
        <v>1.6707187530871583</v>
      </c>
      <c r="N66" s="553">
        <f t="shared" si="13"/>
        <v>4.0025813708015781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v>2024</v>
      </c>
      <c r="B67" s="546">
        <f>AVERAGE('2024'!$V$15:$V$45)/Pc</f>
        <v>2.0606699803821726</v>
      </c>
      <c r="C67" s="546">
        <f>AVERAGE('2024'!$V$46:$V$73)/Pc</f>
        <v>2.8955588370459449</v>
      </c>
      <c r="D67" s="546">
        <f>AVERAGE('2024'!$V$74:$V$104)/Pc</f>
        <v>4.0335119792437109</v>
      </c>
      <c r="E67" s="548">
        <f>AVERAGE('2024'!$V$105:$V$134)/Pc</f>
        <v>5.1790587944946758</v>
      </c>
      <c r="F67" s="546">
        <f>AVERAGE('2024'!$V$135:$V$165)/Pc</f>
        <v>5.7573678613586905</v>
      </c>
      <c r="G67" s="546">
        <f>AVERAGE('2024'!$V$166:$V$195)/Pc</f>
        <v>5.7744730077394486</v>
      </c>
      <c r="H67" s="546">
        <f>AVERAGE('2024'!$V$196:$V$226)/Pc</f>
        <v>5.4616752370992501</v>
      </c>
      <c r="I67" s="546">
        <f>AVERAGE('2024'!$V$227:$V$257)/Pc</f>
        <v>4.864585054001977</v>
      </c>
      <c r="J67" s="546">
        <f>AVERAGE('2024'!$V$258:$V$287)/Pc</f>
        <v>3.8472314038493138</v>
      </c>
      <c r="K67" s="546">
        <f>AVERAGE('2024'!$V$288:$V$318)/Pc</f>
        <v>2.7311098231120137</v>
      </c>
      <c r="L67" s="546">
        <f>AVERAGE('2024'!$V$319:$V$348)/Pc</f>
        <v>1.8616544233741459</v>
      </c>
      <c r="M67" s="547">
        <f>AVERAGE('2024'!$V$349:$V$379)/Pc</f>
        <v>1.5568037114456854</v>
      </c>
      <c r="N67" s="553">
        <f>AVERAGE(B67:M67)</f>
        <v>3.8353083427622532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v>2025</v>
      </c>
      <c r="B68" s="546">
        <f>AVERAGE('2025'!$V$15:$V$45)/Pc</f>
        <v>1.9253391381837548</v>
      </c>
      <c r="C68" s="546">
        <f>AVERAGE('2025'!$V$46:$V$73)/Pc</f>
        <v>2.7177030293990909</v>
      </c>
      <c r="D68" s="546">
        <f>AVERAGE('2025'!$V$74:$V$104)/Pc</f>
        <v>3.7849486849856535</v>
      </c>
      <c r="E68" s="548">
        <f>AVERAGE('2025'!$V$105:$V$134)/Pc</f>
        <v>4.9052364695798705</v>
      </c>
      <c r="F68" s="546">
        <f>AVERAGE('2025'!$V$135:$V$165)/Pc</f>
        <v>6.0951109824175793</v>
      </c>
      <c r="G68" s="546">
        <f>AVERAGE('2025'!$V$166:$V$195)/Pc</f>
        <v>6.0999368408761514</v>
      </c>
      <c r="H68" s="546">
        <f>AVERAGE('2025'!$V$196:$V$226)/Pc</f>
        <v>5.7577741266292159</v>
      </c>
      <c r="I68" s="546">
        <f>AVERAGE('2025'!$V$227:$V$257)/Pc</f>
        <v>5.0912808069000164</v>
      </c>
      <c r="J68" s="546">
        <f>AVERAGE('2025'!$V$258:$V$287)/Pc</f>
        <v>3.9813812748458508</v>
      </c>
      <c r="K68" s="546">
        <f>AVERAGE('2025'!$V$288:$V$318)/Pc</f>
        <v>2.8311787535847284</v>
      </c>
      <c r="L68" s="546">
        <f>AVERAGE('2025'!$V$319:$V$348)/Pc</f>
        <v>1.921337364935739</v>
      </c>
      <c r="M68" s="547">
        <f>AVERAGE('2025'!$V$349:$V$379)/Pc</f>
        <v>1.6089531719328631</v>
      </c>
      <c r="N68" s="553">
        <f>AVERAGE(B68:M68)</f>
        <v>3.893348387022542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v>2026</v>
      </c>
      <c r="B69" s="546">
        <f>AVERAGE('2026'!$V$15:$V$45)/Pc</f>
        <v>1.9852359158868558</v>
      </c>
      <c r="C69" s="546">
        <f>AVERAGE('2026'!$V$46:$V$73)/Pc</f>
        <v>2.8019247401601732</v>
      </c>
      <c r="D69" s="546">
        <f>AVERAGE('2026'!$V$74:$V$104)/Pc</f>
        <v>3.8916611643261061</v>
      </c>
      <c r="E69" s="548">
        <f>AVERAGE('2026'!$V$105:$V$134)/Pc</f>
        <v>5.0185093306322761</v>
      </c>
      <c r="F69" s="546">
        <f>AVERAGE('2026'!$V$135:$V$165)/Pc</f>
        <v>5.6233352061806539</v>
      </c>
      <c r="G69" s="546">
        <f>AVERAGE('2026'!$V$166:$V$195)/Pc</f>
        <v>5.6341375038541308</v>
      </c>
      <c r="H69" s="546">
        <f>AVERAGE('2026'!$V$196:$V$226)/Pc</f>
        <v>5.3259762095457184</v>
      </c>
      <c r="I69" s="546">
        <f>AVERAGE('2026'!$V$227:$V$257)/Pc</f>
        <v>4.6889216406063765</v>
      </c>
      <c r="J69" s="546">
        <f>AVERAGE('2026'!$V$258:$V$287)/Pc</f>
        <v>3.6454399617463071</v>
      </c>
      <c r="K69" s="546">
        <f>AVERAGE('2026'!$V$288:$V$318)/Pc</f>
        <v>2.6153197304456457</v>
      </c>
      <c r="L69" s="546">
        <f>AVERAGE('2026'!$V$319:$V$348)/Pc</f>
        <v>1.7777879770357738</v>
      </c>
      <c r="M69" s="547">
        <f>AVERAGE('2026'!$V$349:$V$379)/Pc</f>
        <v>1.5009679427182991</v>
      </c>
      <c r="N69" s="553">
        <f>AVERAGE(B69:M69)</f>
        <v>3.709101443594859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v>2027</v>
      </c>
      <c r="B70" s="546">
        <f>AVERAGE('2027'!$V$15:$V$45)/Pc</f>
        <v>1.8543271583100953</v>
      </c>
      <c r="C70" s="546">
        <f>AVERAGE('2027'!$V$46:$V$73)/Pc</f>
        <v>2.6248621785216599</v>
      </c>
      <c r="D70" s="546">
        <f>AVERAGE('2027'!$V$74:$V$104)/Pc</f>
        <v>3.650223819471945</v>
      </c>
      <c r="E70" s="548">
        <f>AVERAGE('2027'!$V$105:$V$134)/Pc</f>
        <v>4.7324077433825238</v>
      </c>
      <c r="F70" s="546">
        <f>AVERAGE('2027'!$V$135:$V$165)/Pc</f>
        <v>5.9414187500785047</v>
      </c>
      <c r="G70" s="546">
        <f>AVERAGE('2027'!$V$166:$V$195)/Pc</f>
        <v>5.9495900103100245</v>
      </c>
      <c r="H70" s="546">
        <f>AVERAGE('2027'!$V$196:$V$226)/Pc</f>
        <v>5.6043065987812799</v>
      </c>
      <c r="I70" s="546">
        <f>AVERAGE('2027'!$V$227:$V$257)/Pc</f>
        <v>4.8698718741926958</v>
      </c>
      <c r="J70" s="546">
        <f>AVERAGE('2027'!$V$258:$V$287)/Pc</f>
        <v>3.7664306858405805</v>
      </c>
      <c r="K70" s="546">
        <f>AVERAGE('2027'!$V$288:$V$318)/Pc</f>
        <v>2.7083124707632598</v>
      </c>
      <c r="L70" s="546">
        <f>AVERAGE('2027'!$V$319:$V$348)/Pc</f>
        <v>1.8355883534288542</v>
      </c>
      <c r="M70" s="547">
        <f>AVERAGE('2027'!$V$349:$V$379)/Pc</f>
        <v>1.5573685176786145</v>
      </c>
      <c r="N70" s="553">
        <f>AVERAGE(B70:M70)</f>
        <v>3.7578923467300029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2:M30">
    <cfRule type="expression" dxfId="48" priority="5" stopIfTrue="1">
      <formula>K12&lt;&gt;""</formula>
    </cfRule>
  </conditionalFormatting>
  <conditionalFormatting sqref="N12:N30">
    <cfRule type="expression" dxfId="47" priority="4" stopIfTrue="1">
      <formula>$L12&lt;&gt;""</formula>
    </cfRule>
  </conditionalFormatting>
  <conditionalFormatting sqref="M55">
    <cfRule type="expression" dxfId="46" priority="3" stopIfTrue="1">
      <formula>K55&lt;&gt;""</formula>
    </cfRule>
  </conditionalFormatting>
  <conditionalFormatting sqref="N55">
    <cfRule type="expression" dxfId="45" priority="2" stopIfTrue="1">
      <formula>$L55&lt;&gt;""</formula>
    </cfRule>
  </conditionalFormatting>
  <conditionalFormatting sqref="L36:L54">
    <cfRule type="expression" dxfId="44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'2022'!An+1</f>
        <v>2023</v>
      </c>
      <c r="K1" s="1275"/>
      <c r="L1" s="113" t="str">
        <f>"Calcul pertes et enveloppes en "&amp;TEXT(An,0)</f>
        <v>Calcul pertes et enveloppes en 2023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70.839550481907793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764.39556853597196</v>
      </c>
      <c r="AK4" s="832">
        <f>AM12-AK12</f>
        <v>76.039921496784757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835.73535619422728</v>
      </c>
      <c r="AA5" s="237">
        <f>Wh_Pvg_s-Wh_Pvg</f>
        <v>76.039921496784757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2265.0029548053976</v>
      </c>
      <c r="AK5" s="515">
        <f>SUMIF(AK15:AK380,"VRAI",Wh)</f>
        <v>0</v>
      </c>
      <c r="AL5" s="515">
        <f>SUMIF(AJ15:AJ380,"VRAI",Wh_s)</f>
        <v>2172.4726766096278</v>
      </c>
      <c r="AM5" s="515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7133.4246467890162</v>
      </c>
      <c r="AK6" s="515">
        <f>SUMIF(AK15:AK380,"FAUX",Wh)</f>
        <v>9398.4276015944106</v>
      </c>
      <c r="AL6" s="515">
        <f>SUMIF(AJ15:AJ380,"FAUX",Wh_s)</f>
        <v>6296.5781370224768</v>
      </c>
      <c r="AM6" s="515">
        <f>SUMIF(AK15:AK380,"FAUX",Wh_s)</f>
        <v>8469.0508136321005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2408.4857055320763</v>
      </c>
      <c r="AK7" s="515">
        <f>SUMIF(AK15:AK380,"VRAI",Wh_sa)</f>
        <v>0</v>
      </c>
      <c r="AL7" s="515">
        <f>SUMIF(AJ15:AJ380,"VRAI",Wh_pvt_s)</f>
        <v>2310.0993972722708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7610.1788898124123</v>
      </c>
      <c r="AK8" s="515">
        <f>SUMIF(AK15:AK380,"FAUX",Wh_sa)</f>
        <v>10675.093381633467</v>
      </c>
      <c r="AL8" s="515">
        <f>SUMIF(AJ15:AJ380,"FAUX",Wh_pvt_s)</f>
        <v>6717.4304221572265</v>
      </c>
      <c r="AM8" s="515">
        <f>SUMIF(AK15:AK380,"FAUX",Wh_sa_s)</f>
        <v>10574.774391164627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10018.664595344479</v>
      </c>
      <c r="E9" s="184">
        <f>SUM(E$15:E$380)</f>
        <v>10675.093381633467</v>
      </c>
      <c r="F9" s="184">
        <f>SUM(F$15:F$380)</f>
        <v>10729.194005614714</v>
      </c>
      <c r="H9" s="1276">
        <f>+SUM(Wh)</f>
        <v>9398.4276015944106</v>
      </c>
      <c r="I9" s="1277"/>
      <c r="J9" s="1278"/>
      <c r="K9" s="191"/>
      <c r="L9" s="232"/>
      <c r="M9" s="232"/>
      <c r="N9" s="232"/>
      <c r="O9" s="223">
        <f>Tnet_2023</f>
        <v>45046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8469.0508136321005</v>
      </c>
      <c r="Y9" s="1271"/>
      <c r="Z9" s="515">
        <f>SUM(Z$15:Z$380)</f>
        <v>9027.5298194294846</v>
      </c>
      <c r="AA9" s="515">
        <f>SUM(AA$15:AA$380)</f>
        <v>10574.774391164627</v>
      </c>
      <c r="AB9" s="515">
        <f>F9</f>
        <v>10729.194005614714</v>
      </c>
      <c r="AC9" s="325">
        <f>IF(An_Tnet,Tnet,'2022'!Tnet_s)</f>
        <v>45046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2763.1599959283203</v>
      </c>
      <c r="AK9" s="515">
        <f>SUMIF(AK15:AK380,"VRAI",Wh_hp)</f>
        <v>0</v>
      </c>
      <c r="AL9" s="515">
        <f>SUMIF(AJ15:AJ380,"VRAI",Wh_sa_s)</f>
        <v>2740.1017947614032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1.7999999999999999E-2</v>
      </c>
      <c r="P10" s="420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0.13185938620781923</v>
      </c>
      <c r="AD10" s="427"/>
      <c r="AE10" s="427"/>
      <c r="AF10" s="260"/>
      <c r="AG10" s="261"/>
      <c r="AH10" s="262"/>
      <c r="AI10" s="472"/>
      <c r="AJ10" s="515">
        <f>SUMIF(AJ15:AJ380,"FAUX",Wh_sa)</f>
        <v>7911.9333857051497</v>
      </c>
      <c r="AK10" s="515">
        <f>SUMIF(AK15:AK380,"FAUX",Wh_hp)</f>
        <v>10729.194005614714</v>
      </c>
      <c r="AL10" s="515">
        <f>SUMIF(AJ15:AJ380,"FAUX",Wh_sa_s)</f>
        <v>7834.6725964032157</v>
      </c>
      <c r="AM10" s="515">
        <f>SUMIF(AK15:AK380,"FAUX",Wh_hp)</f>
        <v>10729.194005614714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620.236993750068</v>
      </c>
      <c r="E11" s="51">
        <f>(E$9-D$9)*Prod_an/D$9</f>
        <v>615.79049431461908</v>
      </c>
      <c r="F11" s="186">
        <f>(F$9-E$9)*Prod_an/E$9</f>
        <v>47.63057141623127</v>
      </c>
      <c r="G11" s="185" t="s">
        <v>6</v>
      </c>
      <c r="K11" s="194"/>
      <c r="L11" s="211">
        <f>Tvie_2023</f>
        <v>44743</v>
      </c>
      <c r="M11" s="842"/>
      <c r="N11" s="842"/>
      <c r="O11" s="202">
        <f>IF(An_Tnet,Salim_2023,'2022'!Salim)</f>
        <v>0.18000000000000002</v>
      </c>
      <c r="P11" s="256">
        <f>Ttai_2023</f>
        <v>44576</v>
      </c>
      <c r="Q11" s="272">
        <f>Dens_2023</f>
        <v>0.8</v>
      </c>
      <c r="R11" s="277"/>
      <c r="S11" s="230"/>
      <c r="T11" s="230"/>
      <c r="U11" s="266">
        <f>Htf_2023</f>
        <v>1.1993492134549255</v>
      </c>
      <c r="V11" s="427"/>
      <c r="W11" s="518"/>
      <c r="X11" s="525" t="s">
        <v>43</v>
      </c>
      <c r="Y11" s="50">
        <f>Z$9-Prod_an_s</f>
        <v>558.47900579738416</v>
      </c>
      <c r="Z11" s="51">
        <f>(AA$9-Z$9)*Prod_an_s/Z$9</f>
        <v>1451.5258505088464</v>
      </c>
      <c r="AA11" s="186">
        <f>(AB$9-AA$9)*Prod_an_s/AA$9</f>
        <v>123.67049291301603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333.54497969234529</v>
      </c>
      <c r="AK11" s="832">
        <f>IF($AK7=0,0,($AK9-$AK7)*$AK5/$AK7)</f>
        <v>0</v>
      </c>
      <c r="AL11" s="831">
        <f>IF($AL7=0,0,($AL9-$AL7)*$AL5/$AL7)</f>
        <v>404.38453017425309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4.595400362965063E-2</v>
      </c>
      <c r="K12" s="191"/>
      <c r="L12" s="212">
        <f>Pspv_2023</f>
        <v>2.1111111111111112E-2</v>
      </c>
      <c r="M12" s="212"/>
      <c r="N12" s="212"/>
      <c r="O12" s="205">
        <f>IF(An_Tnet,Tau_2023*365,'2022'!Tau_j)</f>
        <v>717.83333333333337</v>
      </c>
      <c r="P12" s="281">
        <f>INDEX(Croivg,MIN(MAX(Ttai-$A$15,0)+1,366))</f>
        <v>2.3909964587625958E-6</v>
      </c>
      <c r="Q12" s="280">
        <f>'2022'!Df</f>
        <v>0.8</v>
      </c>
      <c r="R12" s="278"/>
      <c r="S12" s="279"/>
      <c r="T12" s="279"/>
      <c r="U12" s="267">
        <f>'2022'!Hdf</f>
        <v>0.59934921345492553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0.8</v>
      </c>
      <c r="AF12" s="203"/>
      <c r="AG12" s="203"/>
      <c r="AH12" s="203"/>
      <c r="AI12" s="297">
        <f>'2022'!Hdf_s</f>
        <v>1.800065960619829</v>
      </c>
      <c r="AJ12" s="831">
        <f>IF($AJ8=0,0,($AJ10-$AJ8)*$AJ6/$AJ8)</f>
        <v>282.8505071230602</v>
      </c>
      <c r="AK12" s="832">
        <f>IF($AK8=0,0,($AK10-$AK8)*$AK6/$AK8)</f>
        <v>47.63057141623127</v>
      </c>
      <c r="AL12" s="831">
        <f>IF($AL8=0,0,($AL10-$AL8)*$AL6/$AL8)</f>
        <v>1047.2460756590322</v>
      </c>
      <c r="AM12" s="832">
        <f>IF($AM8=0,0,($AM10-$AM8)*$AM6/$AM8)</f>
        <v>123.67049291301603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616.39548681540555</v>
      </c>
      <c r="AK13" s="73">
        <f>+AK11+AK12</f>
        <v>47.63057141623127</v>
      </c>
      <c r="AL13" s="73">
        <f>+AL11+AL12</f>
        <v>1451.6306058332852</v>
      </c>
      <c r="AM13" s="73">
        <f>+AM11+AM12</f>
        <v>123.67049291301603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93" t="s">
        <v>399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2023</v>
      </c>
      <c r="W14" s="836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1140">
        <f>IF(t&gt;Tmaj,'2022'!Wh/'2022'!Env_an*'2023'!Env_an,0.001*'[3]mon-tableau (2)'!$B$140)</f>
        <v>5.8</v>
      </c>
      <c r="C15" s="839"/>
      <c r="D15" s="393">
        <f t="shared" ref="D15:D78" si="0">Wh/(1-Ppv)</f>
        <v>6.1569493678751321</v>
      </c>
      <c r="E15" s="400">
        <f t="shared" ref="E15:E79" si="1">Wh_pvt/(1-Psa)</f>
        <v>7.0118931555376864</v>
      </c>
      <c r="F15" s="400">
        <f t="shared" ref="F15:F78" si="2">Wh_sa/(1-Pvg*MEDIAN((-Sdif+Wh/Env_an)/Csdif,0,1))</f>
        <v>7.018390960406804</v>
      </c>
      <c r="G15" s="123">
        <f>+Wh_hp/MaxiM</f>
        <v>0.37902194135851686</v>
      </c>
      <c r="H15" s="414" t="b">
        <f>Wh_hp&gt;='2022'!Maxi_hp</f>
        <v>0</v>
      </c>
      <c r="I15" s="396">
        <f>IF(H15,Wh_hp,'2022'!Maxi_hp)</f>
        <v>18.425979166910196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5.797503707559673E-2</v>
      </c>
      <c r="M15" s="843"/>
      <c r="N15" s="843"/>
      <c r="O15" s="48">
        <f>IF(t&lt;Tnet,'2022'!Resal+('2022'!Salim-'2022'!Resal)*(1-EXP(('2022'!Tnet-t)/('2022'!Tau_j))),Resal+(Salim-Resal)*(1-EXP((Tnet-t)/(Tau_j))))*Salcycl</f>
        <v>0.12192766899012962</v>
      </c>
      <c r="P15" s="302">
        <f>(INDEX(Models!$BJ15:$BT15,,T15)*(1-R15)+INDEX(Models!$BJ15:$BT15,,T15+1)*R15-ERP_i)*Q15*Ramure*Pc/MaxiM</f>
        <v>7.9325189115912603E-3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0.59935064805280081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0.59935064805280081</v>
      </c>
      <c r="V15" s="382">
        <f t="shared" ref="V15:V78" si="9">MaxiM*(1-Ppv)*(1-Pvg)*(1-Psa)</f>
        <v>15.195224576909469</v>
      </c>
      <c r="W15" s="402">
        <f t="shared" ref="W15:W78" si="10">Wh*(A15&gt;Tmaj)</f>
        <v>0</v>
      </c>
      <c r="X15" s="156">
        <f t="shared" ref="X15:X78" si="11">t</f>
        <v>44927</v>
      </c>
      <c r="Y15" s="385">
        <f t="shared" ref="Y15:Y78" si="12">Wh_pvt_s*(1-Ppv)</f>
        <v>5.5719456897916215</v>
      </c>
      <c r="Z15" s="385">
        <f>Wh_sa_s*(1-Psa_s)</f>
        <v>5.9148599125167403</v>
      </c>
      <c r="AA15" s="386">
        <f t="shared" ref="AA15:AA78" si="13">Wh_hp*(1-Pvg_s*MEDIAN((-Sdif+Wh/Env_an)/Csdif,0,1))</f>
        <v>6.9971326637765685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0.1546737504153155</v>
      </c>
      <c r="AD15" s="231">
        <f>(INDEX(Models!$BJ15:$BT15,,AH15)*(1-AF15)+INDEX(Models!$BJ15:$BT15,,AH15+1)*AF15-ERP_i)*AE15*Ramure*Pc/MaxiM</f>
        <v>2.5952124362650413E-2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0.8000673952177042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1.8000673952177042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1141">
        <f>IF(t&gt;Tmaj,'2022'!Wh/'2022'!Env_an*'2023'!Env_an,0.001*'[3]mon-tableau (2)'!$B$141)</f>
        <v>1.7810000000000001</v>
      </c>
      <c r="C16" s="839"/>
      <c r="D16" s="393">
        <f t="shared" si="0"/>
        <v>1.8906530574106324</v>
      </c>
      <c r="E16" s="385">
        <f t="shared" si="1"/>
        <v>2.1534049960407362</v>
      </c>
      <c r="F16" s="385">
        <f t="shared" si="2"/>
        <v>2.1534049960407362</v>
      </c>
      <c r="G16" s="110">
        <f t="shared" ref="G16:G79" si="21">+Wh_hp/MaxiM</f>
        <v>0.11546756832763576</v>
      </c>
      <c r="H16" s="414" t="b">
        <f>Wh_hp&gt;='2022'!Maxi_hp</f>
        <v>0</v>
      </c>
      <c r="I16" s="390">
        <f>IF(H16,Wh_hp,'2022'!Maxi_hp)</f>
        <v>16.317377222864518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5.7997450659090816E-2</v>
      </c>
      <c r="M16" s="843"/>
      <c r="N16" s="843"/>
      <c r="O16" s="48">
        <f>IF(t&lt;Tnet,'2022'!Resal+('2022'!Salim-'2022'!Resal)*(1-EXP(('2022'!Tnet-t)/('2022'!Tau_j))),Resal+(Salim-Resal)*(1-EXP((Tnet-t)/(Tau_j))))*Salcycl</f>
        <v>0.12201696341988677</v>
      </c>
      <c r="P16" s="169">
        <f>(INDEX(Models!$BJ16:$BT16,,T16)*(1-R16)+INDEX(Models!$BJ16:$BT16,,T16+1)*R16-ERP_i)*Q16*Ramure*Pc/MaxiM</f>
        <v>7.9154396719355938E-3</v>
      </c>
      <c r="Q16" s="305">
        <f t="shared" si="4"/>
        <v>0.8</v>
      </c>
      <c r="R16" s="177">
        <f t="shared" si="5"/>
        <v>0.59938570558959392</v>
      </c>
      <c r="S16" s="809">
        <f t="shared" si="6"/>
        <v>0</v>
      </c>
      <c r="T16" s="176">
        <f t="shared" si="7"/>
        <v>6</v>
      </c>
      <c r="U16" s="251">
        <f t="shared" si="8"/>
        <v>0.59938570558959392</v>
      </c>
      <c r="V16" s="383">
        <f t="shared" si="9"/>
        <v>15.302154774150516</v>
      </c>
      <c r="W16" s="402">
        <f t="shared" si="10"/>
        <v>0</v>
      </c>
      <c r="X16" s="157">
        <f t="shared" si="11"/>
        <v>44928</v>
      </c>
      <c r="Y16" s="385">
        <f t="shared" si="12"/>
        <v>1.714706663741367</v>
      </c>
      <c r="Z16" s="385">
        <f t="shared" ref="Z16:Z78" si="22">Wh_sa_s*(1-Psa_s)</f>
        <v>1.8202781562970245</v>
      </c>
      <c r="AA16" s="386">
        <f t="shared" si="13"/>
        <v>2.1534049960407362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0.15469771843020741</v>
      </c>
      <c r="AD16" s="231">
        <f>(INDEX(Models!$BJ16:$BT16,,AH16)*(1-AF16)+INDEX(Models!$BJ16:$BT16,,AH16+1)*AF16-ERP_i)*AE16*Ramure*Pc/MaxiM</f>
        <v>2.5945944793236617E-2</v>
      </c>
      <c r="AE16" s="305">
        <f t="shared" si="15"/>
        <v>0.8</v>
      </c>
      <c r="AF16" s="177">
        <f t="shared" ref="AF16:AF78" si="23">(Hp_vg_s-AG16)/(INDEX(Echel_vg,AH16+1)-AG16)</f>
        <v>0.80010245275449732</v>
      </c>
      <c r="AG16" s="809">
        <f t="shared" ref="AG16:AG79" si="24">INDEX(Echel_vg,AH16)</f>
        <v>1</v>
      </c>
      <c r="AH16" s="176">
        <f t="shared" si="16"/>
        <v>7</v>
      </c>
      <c r="AI16" s="225">
        <f t="shared" si="17"/>
        <v>1.8001024527544973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1141">
        <f>IF(t&gt;Tmaj,'2022'!Wh/'2022'!Env_an*'2023'!Env_an,0.001*'[3]mon-tableau (2)'!$B$142)</f>
        <v>12.753</v>
      </c>
      <c r="C17" s="839"/>
      <c r="D17" s="393">
        <f t="shared" si="0"/>
        <v>13.538502043553279</v>
      </c>
      <c r="E17" s="385">
        <f t="shared" si="1"/>
        <v>15.421574018806698</v>
      </c>
      <c r="F17" s="385">
        <f t="shared" si="2"/>
        <v>15.513838871072785</v>
      </c>
      <c r="G17" s="110">
        <f t="shared" si="21"/>
        <v>0.82568516946634452</v>
      </c>
      <c r="H17" s="414" t="b">
        <f>Wh_hp&gt;='2022'!Maxi_hp</f>
        <v>0</v>
      </c>
      <c r="I17" s="390">
        <f>IF(H17,Wh_hp,'2022'!Maxi_hp)</f>
        <v>18.889891187353829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5.8019863720988024E-2</v>
      </c>
      <c r="M17" s="843"/>
      <c r="N17" s="843"/>
      <c r="O17" s="48">
        <f>IF(t&lt;Tnet,'2022'!Resal+('2022'!Salim-'2022'!Resal)*(1-EXP(('2022'!Tnet-t)/('2022'!Tau_j))),Resal+(Salim-Resal)*(1-EXP((Tnet-t)/(Tau_j))))*Salcycl</f>
        <v>0.12210634095825763</v>
      </c>
      <c r="P17" s="169">
        <f>(INDEX(Models!$BJ17:$BT17,,T17)*(1-R17)+INDEX(Models!$BJ17:$BT17,,T17+1)*R17-ERP_i)*Q17*Ramure*Pc/MaxiM</f>
        <v>7.8950009572556282E-3</v>
      </c>
      <c r="Q17" s="305">
        <f t="shared" si="4"/>
        <v>0.8</v>
      </c>
      <c r="R17" s="177">
        <f t="shared" si="5"/>
        <v>0.59942222950418134</v>
      </c>
      <c r="S17" s="809">
        <f t="shared" si="6"/>
        <v>0</v>
      </c>
      <c r="T17" s="176">
        <f t="shared" si="7"/>
        <v>6</v>
      </c>
      <c r="U17" s="251">
        <f t="shared" si="8"/>
        <v>0.59942222950418134</v>
      </c>
      <c r="V17" s="383">
        <f t="shared" si="9"/>
        <v>15.415090805573156</v>
      </c>
      <c r="W17" s="402">
        <f t="shared" si="10"/>
        <v>0</v>
      </c>
      <c r="X17" s="157">
        <f t="shared" si="11"/>
        <v>44929</v>
      </c>
      <c r="Y17" s="385">
        <f t="shared" si="12"/>
        <v>12.111294486145953</v>
      </c>
      <c r="Z17" s="385">
        <f t="shared" si="22"/>
        <v>12.857271634185096</v>
      </c>
      <c r="AA17" s="386">
        <f t="shared" si="13"/>
        <v>15.210701362938661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0.15472197320813671</v>
      </c>
      <c r="AD17" s="231">
        <f>(INDEX(Models!$BJ17:$BT17,,AH17)*(1-AF17)+INDEX(Models!$BJ17:$BT17,,AH17+1)*AF17-ERP_i)*AE17*Ramure*Pc/MaxiM</f>
        <v>2.593913996628866E-2</v>
      </c>
      <c r="AE17" s="305">
        <f t="shared" si="15"/>
        <v>0.8</v>
      </c>
      <c r="AF17" s="177">
        <f>(Hp_vg_s-AG17)/(INDEX(Echel_vg,AH17+1)-AG17)</f>
        <v>0.80013897666908496</v>
      </c>
      <c r="AG17" s="809">
        <f>INDEX(Echel_vg,AH17)</f>
        <v>1</v>
      </c>
      <c r="AH17" s="176">
        <f t="shared" si="16"/>
        <v>7</v>
      </c>
      <c r="AI17" s="225">
        <f t="shared" si="17"/>
        <v>1.800138976669085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1141">
        <f>IF(t&gt;Tmaj,'2022'!Wh/'2022'!Env_an*'2023'!Env_an,0.001*'[3]mon-tableau (2)'!$B$143)</f>
        <v>10.752000000000001</v>
      </c>
      <c r="C18" s="839"/>
      <c r="D18" s="393">
        <f t="shared" si="0"/>
        <v>11.414525014269772</v>
      </c>
      <c r="E18" s="385">
        <f t="shared" si="1"/>
        <v>13.003497450218079</v>
      </c>
      <c r="F18" s="385">
        <f t="shared" si="2"/>
        <v>13.061089687778423</v>
      </c>
      <c r="G18" s="110">
        <f t="shared" si="21"/>
        <v>0.68973811867848644</v>
      </c>
      <c r="H18" s="414" t="b">
        <f>Wh_hp&gt;='2022'!Maxi_hp</f>
        <v>0</v>
      </c>
      <c r="I18" s="390">
        <f>IF(H18,Wh_hp,'2022'!Maxi_hp)</f>
        <v>18.708529066845525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5.8042276261300568E-2</v>
      </c>
      <c r="M18" s="843"/>
      <c r="N18" s="843"/>
      <c r="O18" s="48">
        <f>IF(t&lt;Tnet,'2022'!Resal+('2022'!Salim-'2022'!Resal)*(1-EXP(('2022'!Tnet-t)/('2022'!Tau_j))),Resal+(Salim-Resal)*(1-EXP((Tnet-t)/(Tau_j))))*Salcycl</f>
        <v>0.12219577402398452</v>
      </c>
      <c r="P18" s="169">
        <f>(INDEX(Models!$BJ18:$BT18,,T18)*(1-R18)+INDEX(Models!$BJ18:$BT18,,T18+1)*R18-ERP_i)*Q18*Ramure*Pc/MaxiM</f>
        <v>7.8711144637815846E-3</v>
      </c>
      <c r="Q18" s="305">
        <f t="shared" si="4"/>
        <v>0.8</v>
      </c>
      <c r="R18" s="177">
        <f t="shared" si="5"/>
        <v>0.59946028094173553</v>
      </c>
      <c r="S18" s="809">
        <f t="shared" si="6"/>
        <v>0</v>
      </c>
      <c r="T18" s="176">
        <f t="shared" si="7"/>
        <v>6</v>
      </c>
      <c r="U18" s="251">
        <f t="shared" si="8"/>
        <v>0.59946028094173553</v>
      </c>
      <c r="V18" s="383">
        <f t="shared" si="9"/>
        <v>15.53432391311082</v>
      </c>
      <c r="W18" s="402">
        <f t="shared" si="10"/>
        <v>0</v>
      </c>
      <c r="X18" s="157">
        <f t="shared" si="11"/>
        <v>44930</v>
      </c>
      <c r="Y18" s="385">
        <f t="shared" si="12"/>
        <v>10.248083009203897</v>
      </c>
      <c r="Z18" s="385">
        <f>Wh_sa_s*(1-Psa_s)</f>
        <v>10.879557278354811</v>
      </c>
      <c r="AA18" s="386">
        <f t="shared" si="13"/>
        <v>12.87135398582455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0.15474647886021459</v>
      </c>
      <c r="AD18" s="231">
        <f>(INDEX(Models!$BJ18:$BT18,,AH18)*(1-AF18)+INDEX(Models!$BJ18:$BT18,,AH18+1)*AF18-ERP_i)*AE18*Ramure*Pc/MaxiM</f>
        <v>2.5931123554282131E-2</v>
      </c>
      <c r="AE18" s="305">
        <f t="shared" si="15"/>
        <v>0.8</v>
      </c>
      <c r="AF18" s="177">
        <f t="shared" si="23"/>
        <v>0.80017702810663893</v>
      </c>
      <c r="AG18" s="809">
        <f t="shared" si="24"/>
        <v>1</v>
      </c>
      <c r="AH18" s="176">
        <f t="shared" si="16"/>
        <v>7</v>
      </c>
      <c r="AI18" s="225">
        <f t="shared" si="17"/>
        <v>1.8001770281066389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1141">
        <f>IF(t&gt;Tmaj,'2022'!Wh/'2022'!Env_an*'2023'!Env_an,0.001*'[3]mon-tableau (2)'!$B$144)</f>
        <v>10.739000000000001</v>
      </c>
      <c r="C19" s="839"/>
      <c r="D19" s="393">
        <f t="shared" si="0"/>
        <v>11.400995234365672</v>
      </c>
      <c r="E19" s="385">
        <f t="shared" si="1"/>
        <v>12.989408104126637</v>
      </c>
      <c r="F19" s="385">
        <f t="shared" si="2"/>
        <v>13.045798337075578</v>
      </c>
      <c r="G19" s="110">
        <f t="shared" si="21"/>
        <v>0.68332836902077965</v>
      </c>
      <c r="H19" s="414" t="b">
        <f>Wh_hp&gt;='2022'!Maxi_hp</f>
        <v>0</v>
      </c>
      <c r="I19" s="390">
        <f>IF(H19,Wh_hp,'2022'!Maxi_hp)</f>
        <v>18.453425057954192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5.8064688280040549E-2</v>
      </c>
      <c r="M19" s="843"/>
      <c r="N19" s="843"/>
      <c r="O19" s="48">
        <f>IF(t&lt;Tnet,'2022'!Resal+('2022'!Salim-'2022'!Resal)*(1-EXP(('2022'!Tnet-t)/('2022'!Tau_j))),Resal+(Salim-Resal)*(1-EXP((Tnet-t)/(Tau_j))))*Salcycl</f>
        <v>0.12228523863657342</v>
      </c>
      <c r="P19" s="169">
        <f>(INDEX(Models!$BJ19:$BT19,,T19)*(1-R19)+INDEX(Models!$BJ19:$BT19,,T19+1)*R19-ERP_i)*Q19*Ramure*Pc/MaxiM</f>
        <v>7.8437066558034244E-3</v>
      </c>
      <c r="Q19" s="305">
        <f t="shared" si="4"/>
        <v>0.8</v>
      </c>
      <c r="R19" s="177">
        <f t="shared" si="5"/>
        <v>0.5994999235808095</v>
      </c>
      <c r="S19" s="809">
        <f t="shared" si="6"/>
        <v>0</v>
      </c>
      <c r="T19" s="176">
        <f t="shared" si="7"/>
        <v>6</v>
      </c>
      <c r="U19" s="251">
        <f t="shared" si="8"/>
        <v>0.5994999235808095</v>
      </c>
      <c r="V19" s="383">
        <f t="shared" si="9"/>
        <v>15.660145100729821</v>
      </c>
      <c r="W19" s="402">
        <f t="shared" si="10"/>
        <v>0</v>
      </c>
      <c r="X19" s="157">
        <f t="shared" si="11"/>
        <v>44931</v>
      </c>
      <c r="Y19" s="385">
        <f t="shared" si="12"/>
        <v>10.238057105532812</v>
      </c>
      <c r="Z19" s="385">
        <f t="shared" si="22"/>
        <v>10.86917220126112</v>
      </c>
      <c r="AA19" s="386">
        <f t="shared" si="13"/>
        <v>12.859443803274846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0.15477120414079445</v>
      </c>
      <c r="AD19" s="231">
        <f>(INDEX(Models!$BJ19:$BT19,,AH19)*(1-AF19)+INDEX(Models!$BJ19:$BT19,,AH19+1)*AF19-ERP_i)*AE19*Ramure*Pc/MaxiM</f>
        <v>2.5921338158603723E-2</v>
      </c>
      <c r="AE19" s="305">
        <f t="shared" si="15"/>
        <v>0.8</v>
      </c>
      <c r="AF19" s="177">
        <f t="shared" si="23"/>
        <v>0.80021667074571301</v>
      </c>
      <c r="AG19" s="809">
        <f t="shared" si="24"/>
        <v>1</v>
      </c>
      <c r="AH19" s="176">
        <f t="shared" si="16"/>
        <v>7</v>
      </c>
      <c r="AI19" s="225">
        <f t="shared" si="17"/>
        <v>1.800216670745713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1141">
        <f>IF(t&gt;Tmaj,'2022'!Wh/'2022'!Env_an*'2023'!Env_an,0.001*'[3]mon-tableau (2)'!$B$145)</f>
        <v>4.6900000000000004</v>
      </c>
      <c r="C20" s="839"/>
      <c r="D20" s="393">
        <f t="shared" si="0"/>
        <v>4.9792289699936463</v>
      </c>
      <c r="E20" s="385">
        <f t="shared" si="1"/>
        <v>5.6735249669625745</v>
      </c>
      <c r="F20" s="385">
        <f t="shared" si="2"/>
        <v>5.6735249669625745</v>
      </c>
      <c r="G20" s="110">
        <f t="shared" si="21"/>
        <v>0.29464977997996922</v>
      </c>
      <c r="H20" s="414" t="b">
        <f>Wh_hp&gt;='2022'!Maxi_hp</f>
        <v>0</v>
      </c>
      <c r="I20" s="390">
        <f>IF(H20,Wh_hp,'2022'!Maxi_hp)</f>
        <v>17.976062678070381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5.8087099777220069E-2</v>
      </c>
      <c r="M20" s="843"/>
      <c r="N20" s="843"/>
      <c r="O20" s="48">
        <f>IF(t&lt;Tnet,'2022'!Resal+('2022'!Salim-'2022'!Resal)*(1-EXP(('2022'!Tnet-t)/('2022'!Tau_j))),Resal+(Salim-Resal)*(1-EXP((Tnet-t)/(Tau_j))))*Salcycl</f>
        <v>0.12237471431109825</v>
      </c>
      <c r="P20" s="169">
        <f>(INDEX(Models!$BJ20:$BT20,,T20)*(1-R20)+INDEX(Models!$BJ20:$BT20,,T20+1)*R20-ERP_i)*Q20*Ramure*Pc/MaxiM</f>
        <v>7.8127191503884873E-3</v>
      </c>
      <c r="Q20" s="305">
        <f t="shared" si="4"/>
        <v>0.8</v>
      </c>
      <c r="R20" s="177">
        <f t="shared" si="5"/>
        <v>0.59954122373691032</v>
      </c>
      <c r="S20" s="809">
        <f t="shared" si="6"/>
        <v>0</v>
      </c>
      <c r="T20" s="176">
        <f t="shared" si="7"/>
        <v>6</v>
      </c>
      <c r="U20" s="251">
        <f t="shared" si="8"/>
        <v>0.59954122373691032</v>
      </c>
      <c r="V20" s="383">
        <f t="shared" si="9"/>
        <v>15.792845144839482</v>
      </c>
      <c r="W20" s="402">
        <f t="shared" si="10"/>
        <v>0</v>
      </c>
      <c r="X20" s="157">
        <f t="shared" si="11"/>
        <v>44932</v>
      </c>
      <c r="Y20" s="385">
        <f t="shared" si="12"/>
        <v>4.5167410864857525</v>
      </c>
      <c r="Z20" s="385">
        <f t="shared" si="22"/>
        <v>4.7952853023007318</v>
      </c>
      <c r="AA20" s="386">
        <f t="shared" si="13"/>
        <v>5.6735249669625745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0.15479612230066989</v>
      </c>
      <c r="AD20" s="231">
        <f>(INDEX(Models!$BJ20:$BT20,,AH20)*(1-AF20)+INDEX(Models!$BJ20:$BT20,,AH20+1)*AF20-ERP_i)*AE20*Ramure*Pc/MaxiM</f>
        <v>2.5909256354042225E-2</v>
      </c>
      <c r="AE20" s="305">
        <f t="shared" si="15"/>
        <v>0.8</v>
      </c>
      <c r="AF20" s="177">
        <f t="shared" si="23"/>
        <v>0.80025797090181383</v>
      </c>
      <c r="AG20" s="809">
        <f t="shared" si="24"/>
        <v>1</v>
      </c>
      <c r="AH20" s="176">
        <f t="shared" si="16"/>
        <v>7</v>
      </c>
      <c r="AI20" s="225">
        <f t="shared" si="17"/>
        <v>1.8002579709018138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1141">
        <f>IF(t&gt;Tmaj,'2022'!Wh/'2022'!Env_an*'2023'!Env_an,0.001*'[3]mon-tableau (2)'!$B$146)</f>
        <v>10.788</v>
      </c>
      <c r="C21" s="839"/>
      <c r="D21" s="393">
        <f t="shared" si="0"/>
        <v>11.453560815358513</v>
      </c>
      <c r="E21" s="385">
        <f t="shared" si="1"/>
        <v>13.051958228432312</v>
      </c>
      <c r="F21" s="385">
        <f t="shared" si="2"/>
        <v>13.106878010800106</v>
      </c>
      <c r="G21" s="110">
        <f t="shared" si="21"/>
        <v>0.67465780357027816</v>
      </c>
      <c r="H21" s="414" t="b">
        <f>Wh_hp&gt;='2022'!Maxi_hp</f>
        <v>1</v>
      </c>
      <c r="I21" s="390">
        <f>IF(H21,Wh_hp,'2022'!Maxi_hp)</f>
        <v>13.106878010800106</v>
      </c>
      <c r="J21" s="85">
        <f>IF(H21,An,'2022'!An_max)</f>
        <v>2023</v>
      </c>
      <c r="K21" s="197">
        <f t="shared" si="3"/>
        <v>44933</v>
      </c>
      <c r="L21" s="147">
        <f>IF(t&lt;Tvie,1-EXP((T0-t)*PertePVj)+'2022'!Pspv,1-EXP((T0-t)*PertePVj)+Pspv)</f>
        <v>5.810951075285134E-2</v>
      </c>
      <c r="M21" s="843"/>
      <c r="N21" s="843"/>
      <c r="O21" s="48">
        <f>IF(t&lt;Tnet,'2022'!Resal+('2022'!Salim-'2022'!Resal)*(1-EXP(('2022'!Tnet-t)/('2022'!Tau_j))),Resal+(Salim-Resal)*(1-EXP((Tnet-t)/(Tau_j))))*Salcycl</f>
        <v>0.12246418392543272</v>
      </c>
      <c r="P21" s="169">
        <f>(INDEX(Models!$BJ21:$BT21,,T21)*(1-R21)+INDEX(Models!$BJ21:$BT21,,T21+1)*R21-ERP_i)*Q21*Ramure*Pc/MaxiM</f>
        <v>7.7781089959065453E-3</v>
      </c>
      <c r="Q21" s="305">
        <f t="shared" si="4"/>
        <v>0.8</v>
      </c>
      <c r="R21" s="177">
        <f t="shared" si="5"/>
        <v>0.59958425047018615</v>
      </c>
      <c r="S21" s="809">
        <f t="shared" si="6"/>
        <v>0</v>
      </c>
      <c r="T21" s="176">
        <f t="shared" si="7"/>
        <v>6</v>
      </c>
      <c r="U21" s="251">
        <f t="shared" si="8"/>
        <v>0.59958425047018615</v>
      </c>
      <c r="V21" s="383">
        <f t="shared" si="9"/>
        <v>15.932714583912924</v>
      </c>
      <c r="W21" s="402">
        <f t="shared" si="10"/>
        <v>0</v>
      </c>
      <c r="X21" s="157">
        <f t="shared" si="11"/>
        <v>44933</v>
      </c>
      <c r="Y21" s="385">
        <f t="shared" si="12"/>
        <v>10.288389122417165</v>
      </c>
      <c r="Z21" s="385">
        <f t="shared" si="22"/>
        <v>10.923126669046903</v>
      </c>
      <c r="AA21" s="386">
        <f t="shared" si="13"/>
        <v>12.92404259311362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0.15482121090601128</v>
      </c>
      <c r="AD21" s="231">
        <f>(INDEX(Models!$BJ21:$BT21,,AH21)*(1-AF21)+INDEX(Models!$BJ21:$BT21,,AH21+1)*AF21-ERP_i)*AE21*Ramure*Pc/MaxiM</f>
        <v>2.5894381692079062E-2</v>
      </c>
      <c r="AE21" s="305">
        <f t="shared" si="15"/>
        <v>0.8</v>
      </c>
      <c r="AF21" s="177">
        <f t="shared" si="23"/>
        <v>0.80030099763508966</v>
      </c>
      <c r="AG21" s="809">
        <f t="shared" si="24"/>
        <v>1</v>
      </c>
      <c r="AH21" s="176">
        <f t="shared" si="16"/>
        <v>7</v>
      </c>
      <c r="AI21" s="225">
        <f t="shared" si="17"/>
        <v>1.8003009976350897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1141">
        <f>IF(t&gt;Tmaj,'2022'!Wh/'2022'!Env_an*'2023'!Env_an,0.001*'[3]mon-tableau (2)'!$B$147)</f>
        <v>5.4489999999999998</v>
      </c>
      <c r="C22" s="839"/>
      <c r="D22" s="393">
        <f t="shared" si="0"/>
        <v>5.7853112582205366</v>
      </c>
      <c r="E22" s="385">
        <f t="shared" si="1"/>
        <v>6.593350294111759</v>
      </c>
      <c r="F22" s="385">
        <f t="shared" si="2"/>
        <v>6.5961850191517444</v>
      </c>
      <c r="G22" s="110">
        <f t="shared" si="21"/>
        <v>0.33638902019337158</v>
      </c>
      <c r="H22" s="414" t="b">
        <f>Wh_hp&gt;='2022'!Maxi_hp</f>
        <v>0</v>
      </c>
      <c r="I22" s="390">
        <f>IF(H22,Wh_hp,'2022'!Maxi_hp)</f>
        <v>14.204515850119641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5.8131921206946463E-2</v>
      </c>
      <c r="M22" s="843"/>
      <c r="N22" s="843"/>
      <c r="O22" s="48">
        <f>IF(t&lt;Tnet,'2022'!Resal+('2022'!Salim-'2022'!Resal)*(1-EXP(('2022'!Tnet-t)/('2022'!Tau_j))),Resal+(Salim-Resal)*(1-EXP((Tnet-t)/(Tau_j))))*Salcycl</f>
        <v>0.12255363356211298</v>
      </c>
      <c r="P22" s="169">
        <f>(INDEX(Models!$BJ22:$BT22,,T22)*(1-R22)+INDEX(Models!$BJ22:$BT22,,T22+1)*R22-ERP_i)*Q22*Ramure*Pc/MaxiM</f>
        <v>7.739848814126934E-3</v>
      </c>
      <c r="Q22" s="305">
        <f t="shared" si="4"/>
        <v>0.8</v>
      </c>
      <c r="R22" s="177">
        <f t="shared" si="5"/>
        <v>0.59962907569738277</v>
      </c>
      <c r="S22" s="809">
        <f t="shared" si="6"/>
        <v>0</v>
      </c>
      <c r="T22" s="176">
        <f t="shared" si="7"/>
        <v>6</v>
      </c>
      <c r="U22" s="251">
        <f t="shared" si="8"/>
        <v>0.59962907569738277</v>
      </c>
      <c r="V22" s="383">
        <f t="shared" si="9"/>
        <v>16.080043738931728</v>
      </c>
      <c r="W22" s="402">
        <f t="shared" si="10"/>
        <v>0</v>
      </c>
      <c r="X22" s="157">
        <f t="shared" si="11"/>
        <v>44934</v>
      </c>
      <c r="Y22" s="385">
        <f t="shared" si="12"/>
        <v>5.243171903418701</v>
      </c>
      <c r="Z22" s="385">
        <f t="shared" si="22"/>
        <v>5.5667794901144818</v>
      </c>
      <c r="AA22" s="386">
        <f t="shared" si="13"/>
        <v>6.5867078246600084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0.15484645162595662</v>
      </c>
      <c r="AD22" s="231">
        <f>(INDEX(Models!$BJ22:$BT22,,AH22)*(1-AF22)+INDEX(Models!$BJ22:$BT22,,AH22+1)*AF22-ERP_i)*AE22*Ramure*Pc/MaxiM</f>
        <v>2.587624955275681E-2</v>
      </c>
      <c r="AE22" s="305">
        <f t="shared" si="15"/>
        <v>0.8</v>
      </c>
      <c r="AF22" s="177">
        <f t="shared" si="23"/>
        <v>0.80034582286228639</v>
      </c>
      <c r="AG22" s="809">
        <f t="shared" si="24"/>
        <v>1</v>
      </c>
      <c r="AH22" s="176">
        <f t="shared" si="16"/>
        <v>7</v>
      </c>
      <c r="AI22" s="225">
        <f t="shared" si="17"/>
        <v>1.8003458228622864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1141">
        <f>IF(t&gt;Tmaj,'2022'!Wh/'2022'!Env_an*'2023'!Env_an,0.001*'[3]mon-tableau (2)'!$B$148)</f>
        <v>6.782</v>
      </c>
      <c r="C23" s="839"/>
      <c r="D23" s="393">
        <f t="shared" si="0"/>
        <v>7.2007550963263309</v>
      </c>
      <c r="E23" s="385">
        <f t="shared" si="1"/>
        <v>8.207326693458814</v>
      </c>
      <c r="F23" s="385">
        <f t="shared" si="2"/>
        <v>8.2179652388962303</v>
      </c>
      <c r="G23" s="110">
        <f t="shared" si="21"/>
        <v>0.41504366957451183</v>
      </c>
      <c r="H23" s="414" t="b">
        <f>Wh_hp&gt;='2022'!Maxi_hp</f>
        <v>0</v>
      </c>
      <c r="I23" s="390">
        <f>IF(H23,Wh_hp,'2022'!Maxi_hp)</f>
        <v>18.029266819342844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5.8154331139517651E-2</v>
      </c>
      <c r="M23" s="843"/>
      <c r="N23" s="843"/>
      <c r="O23" s="48">
        <f>IF(t&lt;Tnet,'2022'!Resal+('2022'!Salim-'2022'!Resal)*(1-EXP(('2022'!Tnet-t)/('2022'!Tau_j))),Resal+(Salim-Resal)*(1-EXP((Tnet-t)/(Tau_j))))*Salcycl</f>
        <v>0.12264305232722299</v>
      </c>
      <c r="P23" s="169">
        <f>(INDEX(Models!$BJ23:$BT23,,T23)*(1-R23)+INDEX(Models!$BJ23:$BT23,,T23+1)*R23-ERP_i)*Q23*Ramure*Pc/MaxiM</f>
        <v>7.6976628468388101E-3</v>
      </c>
      <c r="Q23" s="305">
        <f t="shared" si="4"/>
        <v>0.8</v>
      </c>
      <c r="R23" s="177">
        <f t="shared" si="5"/>
        <v>0.59967577430822494</v>
      </c>
      <c r="S23" s="809">
        <f t="shared" si="6"/>
        <v>0</v>
      </c>
      <c r="T23" s="176">
        <f t="shared" si="7"/>
        <v>6</v>
      </c>
      <c r="U23" s="251">
        <f t="shared" si="8"/>
        <v>0.59967577430822494</v>
      </c>
      <c r="V23" s="383">
        <f t="shared" si="9"/>
        <v>16.235683797022297</v>
      </c>
      <c r="W23" s="402">
        <f t="shared" si="10"/>
        <v>0</v>
      </c>
      <c r="X23" s="157">
        <f t="shared" si="11"/>
        <v>44935</v>
      </c>
      <c r="Y23" s="385">
        <f t="shared" si="12"/>
        <v>6.5128974333225189</v>
      </c>
      <c r="Z23" s="385">
        <f t="shared" si="22"/>
        <v>6.9150367715788565</v>
      </c>
      <c r="AA23" s="386">
        <f t="shared" si="13"/>
        <v>8.1822343840619567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0.15487182999199517</v>
      </c>
      <c r="AD23" s="231">
        <f>(INDEX(Models!$BJ23:$BT23,,AH23)*(1-AF23)+INDEX(Models!$BJ23:$BT23,,AH23+1)*AF23-ERP_i)*AE23*Ramure*Pc/MaxiM</f>
        <v>2.5853541291110879E-2</v>
      </c>
      <c r="AE23" s="305">
        <f t="shared" si="15"/>
        <v>0.8</v>
      </c>
      <c r="AF23" s="177">
        <f t="shared" si="23"/>
        <v>0.80039252147312845</v>
      </c>
      <c r="AG23" s="809">
        <f t="shared" si="24"/>
        <v>1</v>
      </c>
      <c r="AH23" s="176">
        <f t="shared" si="16"/>
        <v>7</v>
      </c>
      <c r="AI23" s="225">
        <f t="shared" si="17"/>
        <v>1.8003925214731284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1141">
        <f>IF(t&gt;Tmaj,'2022'!Wh/'2022'!Env_an*'2023'!Env_an,0.001*'[3]mon-tableau (2)'!$B$149)</f>
        <v>14.625</v>
      </c>
      <c r="C24" s="839"/>
      <c r="D24" s="393">
        <f t="shared" si="0"/>
        <v>15.528391185146111</v>
      </c>
      <c r="E24" s="385">
        <f t="shared" si="1"/>
        <v>17.700860893766706</v>
      </c>
      <c r="F24" s="385">
        <f t="shared" si="2"/>
        <v>17.81595985452303</v>
      </c>
      <c r="G24" s="110">
        <f t="shared" si="21"/>
        <v>0.89070577123573336</v>
      </c>
      <c r="H24" s="414" t="b">
        <f>Wh_hp&gt;='2022'!Maxi_hp</f>
        <v>1</v>
      </c>
      <c r="I24" s="390">
        <f>IF(H24,Wh_hp,'2022'!Maxi_hp)</f>
        <v>17.81595985452303</v>
      </c>
      <c r="J24" s="85">
        <f>IF(H24,An,'2022'!An_max)</f>
        <v>2023</v>
      </c>
      <c r="K24" s="197">
        <f t="shared" si="3"/>
        <v>44936</v>
      </c>
      <c r="L24" s="147">
        <f>IF(t&lt;Tvie,1-EXP((T0-t)*PertePVj)+'2022'!Pspv,1-EXP((T0-t)*PertePVj)+Pspv)</f>
        <v>5.8176740550576894E-2</v>
      </c>
      <c r="M24" s="843"/>
      <c r="N24" s="843"/>
      <c r="O24" s="48">
        <f>IF(t&lt;Tnet,'2022'!Resal+('2022'!Salim-'2022'!Resal)*(1-EXP(('2022'!Tnet-t)/('2022'!Tau_j))),Resal+(Salim-Resal)*(1-EXP((Tnet-t)/(Tau_j))))*Salcycl</f>
        <v>0.12273243214885798</v>
      </c>
      <c r="P24" s="169">
        <f>(INDEX(Models!$BJ24:$BT24,,T24)*(1-R24)+INDEX(Models!$BJ24:$BT24,,T24+1)*R24-ERP_i)*Q24*Ramure*Pc/MaxiM</f>
        <v>7.6420514272545637E-3</v>
      </c>
      <c r="Q24" s="305">
        <f t="shared" si="4"/>
        <v>0.8</v>
      </c>
      <c r="R24" s="177">
        <f t="shared" si="5"/>
        <v>0.59972442428638839</v>
      </c>
      <c r="S24" s="809">
        <f t="shared" si="6"/>
        <v>0</v>
      </c>
      <c r="T24" s="176">
        <f t="shared" si="7"/>
        <v>6</v>
      </c>
      <c r="U24" s="251">
        <f t="shared" si="8"/>
        <v>0.59972442428638839</v>
      </c>
      <c r="V24" s="383">
        <f t="shared" si="9"/>
        <v>16.400035851063731</v>
      </c>
      <c r="W24" s="402">
        <f t="shared" si="10"/>
        <v>0</v>
      </c>
      <c r="X24" s="157">
        <f t="shared" si="11"/>
        <v>44936</v>
      </c>
      <c r="Y24" s="385">
        <f t="shared" si="12"/>
        <v>13.870998641167496</v>
      </c>
      <c r="Z24" s="385">
        <f t="shared" si="22"/>
        <v>14.727814907943864</v>
      </c>
      <c r="AA24" s="386">
        <f t="shared" si="13"/>
        <v>17.427249398453281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0.15489733513247361</v>
      </c>
      <c r="AD24" s="231">
        <f>(INDEX(Models!$BJ24:$BT24,,AH24)*(1-AF24)+INDEX(Models!$BJ24:$BT24,,AH24+1)*AF24-ERP_i)*AE24*Ramure*Pc/MaxiM</f>
        <v>2.5808619609394467E-2</v>
      </c>
      <c r="AE24" s="305">
        <f t="shared" si="15"/>
        <v>0.8</v>
      </c>
      <c r="AF24" s="177">
        <f t="shared" si="23"/>
        <v>0.80044117145129179</v>
      </c>
      <c r="AG24" s="809">
        <f t="shared" si="24"/>
        <v>1</v>
      </c>
      <c r="AH24" s="176">
        <f t="shared" si="16"/>
        <v>7</v>
      </c>
      <c r="AI24" s="225">
        <f t="shared" si="17"/>
        <v>1.8004411714512918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1141">
        <f>IF(t&gt;Tmaj,'2022'!Wh/'2022'!Env_an*'2023'!Env_an,0.001*'[3]mon-tableau (2)'!$B$150)</f>
        <v>4.0739999999999998</v>
      </c>
      <c r="C25" s="839"/>
      <c r="D25" s="393">
        <f t="shared" si="0"/>
        <v>4.3257552778574864</v>
      </c>
      <c r="E25" s="385">
        <f t="shared" si="1"/>
        <v>4.9314439390660612</v>
      </c>
      <c r="F25" s="385">
        <f t="shared" si="2"/>
        <v>4.9314439390660612</v>
      </c>
      <c r="G25" s="110">
        <f t="shared" si="21"/>
        <v>0.24396739923551281</v>
      </c>
      <c r="H25" s="414" t="b">
        <f>Wh_hp&gt;='2022'!Maxi_hp</f>
        <v>0</v>
      </c>
      <c r="I25" s="390">
        <f>IF(H25,Wh_hp,'2022'!Maxi_hp)</f>
        <v>20.883768698219409</v>
      </c>
      <c r="J25" s="85">
        <f>IF(H25,An,'2022'!An_max)</f>
        <v>2022</v>
      </c>
      <c r="K25" s="197">
        <f t="shared" si="3"/>
        <v>44937</v>
      </c>
      <c r="L25" s="147">
        <f>IF(t&lt;Tvie,1-EXP((T0-t)*PertePVj)+'2022'!Pspv,1-EXP((T0-t)*PertePVj)+Pspv)</f>
        <v>5.8199149440136405E-2</v>
      </c>
      <c r="M25" s="843"/>
      <c r="N25" s="843"/>
      <c r="O25" s="48">
        <f>IF(t&lt;Tnet,'2022'!Resal+('2022'!Salim-'2022'!Resal)*(1-EXP(('2022'!Tnet-t)/('2022'!Tau_j))),Resal+(Salim-Resal)*(1-EXP((Tnet-t)/(Tau_j))))*Salcycl</f>
        <v>0.12282176755785718</v>
      </c>
      <c r="P25" s="169">
        <f>(INDEX(Models!$BJ25:$BT25,,T25)*(1-R25)+INDEX(Models!$BJ25:$BT25,,T25+1)*R25-ERP_i)*Q25*Ramure*Pc/MaxiM</f>
        <v>7.5720633787968424E-3</v>
      </c>
      <c r="Q25" s="305">
        <f t="shared" si="4"/>
        <v>0.8</v>
      </c>
      <c r="R25" s="177">
        <f t="shared" si="5"/>
        <v>0.59977510683522761</v>
      </c>
      <c r="S25" s="809">
        <f t="shared" si="6"/>
        <v>0</v>
      </c>
      <c r="T25" s="176">
        <f t="shared" si="7"/>
        <v>6</v>
      </c>
      <c r="U25" s="251">
        <f t="shared" si="8"/>
        <v>0.59977510683522761</v>
      </c>
      <c r="V25" s="383">
        <f t="shared" si="9"/>
        <v>16.572506927008487</v>
      </c>
      <c r="W25" s="402">
        <f t="shared" si="10"/>
        <v>0</v>
      </c>
      <c r="X25" s="157">
        <f t="shared" si="11"/>
        <v>44937</v>
      </c>
      <c r="Y25" s="385">
        <f t="shared" si="12"/>
        <v>3.9249080012736171</v>
      </c>
      <c r="Z25" s="385">
        <f t="shared" si="22"/>
        <v>4.1674500494880773</v>
      </c>
      <c r="AA25" s="386">
        <f t="shared" si="13"/>
        <v>4.9314439390660612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0.15492295948571058</v>
      </c>
      <c r="AD25" s="231">
        <f>(INDEX(Models!$BJ25:$BT25,,AH25)*(1-AF25)+INDEX(Models!$BJ25:$BT25,,AH25+1)*AF25-ERP_i)*AE25*Ramure*Pc/MaxiM</f>
        <v>2.5735891059336772E-2</v>
      </c>
      <c r="AE25" s="305">
        <f t="shared" si="15"/>
        <v>0.8</v>
      </c>
      <c r="AF25" s="177">
        <f t="shared" si="23"/>
        <v>0.80049185400013112</v>
      </c>
      <c r="AG25" s="809">
        <f t="shared" si="24"/>
        <v>1</v>
      </c>
      <c r="AH25" s="176">
        <f t="shared" si="16"/>
        <v>7</v>
      </c>
      <c r="AI25" s="225">
        <f t="shared" si="17"/>
        <v>1.8004918540001311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1141">
        <f>IF(t&gt;Tmaj,'2022'!Wh/'2022'!Env_an*'2023'!Env_an,0.001*'[3]mon-tableau (2)'!$B$151)</f>
        <v>14.122</v>
      </c>
      <c r="C26" s="839"/>
      <c r="D26" s="393">
        <f t="shared" si="0"/>
        <v>14.995034253634016</v>
      </c>
      <c r="E26" s="385">
        <f t="shared" si="1"/>
        <v>17.096366733238209</v>
      </c>
      <c r="F26" s="385">
        <f t="shared" si="2"/>
        <v>17.196254868475013</v>
      </c>
      <c r="G26" s="110">
        <f t="shared" si="21"/>
        <v>0.84155557353218935</v>
      </c>
      <c r="H26" s="414" t="b">
        <f>Wh_hp&gt;='2022'!Maxi_hp</f>
        <v>0</v>
      </c>
      <c r="I26" s="390">
        <f>IF(H26,Wh_hp,'2022'!Maxi_hp)</f>
        <v>19.450333694535168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5.8221557808208285E-2</v>
      </c>
      <c r="M26" s="843"/>
      <c r="N26" s="843"/>
      <c r="O26" s="48">
        <f>IF(t&lt;Tnet,'2022'!Resal+('2022'!Salim-'2022'!Resal)*(1-EXP(('2022'!Tnet-t)/('2022'!Tau_j))),Resal+(Salim-Resal)*(1-EXP((Tnet-t)/(Tau_j))))*Salcycl</f>
        <v>0.1229110554536042</v>
      </c>
      <c r="P26" s="169">
        <f>(INDEX(Models!$BJ26:$BT26,,T26)*(1-R26)+INDEX(Models!$BJ26:$BT26,,T26+1)*R26-ERP_i)*Q26*Ramure*Pc/MaxiM</f>
        <v>7.4884916016097289E-3</v>
      </c>
      <c r="Q26" s="305">
        <f t="shared" si="4"/>
        <v>0.8</v>
      </c>
      <c r="R26" s="177">
        <f t="shared" si="5"/>
        <v>0.59982790650843298</v>
      </c>
      <c r="S26" s="809">
        <f t="shared" si="6"/>
        <v>0</v>
      </c>
      <c r="T26" s="176">
        <f t="shared" si="7"/>
        <v>6</v>
      </c>
      <c r="U26" s="251">
        <f t="shared" si="8"/>
        <v>0.59982790650843298</v>
      </c>
      <c r="V26" s="383">
        <f t="shared" si="9"/>
        <v>16.752476049181833</v>
      </c>
      <c r="W26" s="402">
        <f t="shared" si="10"/>
        <v>0</v>
      </c>
      <c r="X26" s="157">
        <f t="shared" si="11"/>
        <v>44938</v>
      </c>
      <c r="Y26" s="385">
        <f t="shared" si="12"/>
        <v>13.41349993293521</v>
      </c>
      <c r="Z26" s="385">
        <f t="shared" si="22"/>
        <v>14.242734099665844</v>
      </c>
      <c r="AA26" s="386">
        <f t="shared" si="13"/>
        <v>16.854283372270526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0.15494869849532306</v>
      </c>
      <c r="AD26" s="231">
        <f>(INDEX(Models!$BJ26:$BT26,,AH26)*(1-AF26)+INDEX(Models!$BJ26:$BT26,,AH26+1)*AF26-ERP_i)*AE26*Ramure*Pc/MaxiM</f>
        <v>2.5637185750302254E-2</v>
      </c>
      <c r="AE26" s="305">
        <f t="shared" si="15"/>
        <v>0.8</v>
      </c>
      <c r="AF26" s="177">
        <f t="shared" si="23"/>
        <v>0.80054465367333649</v>
      </c>
      <c r="AG26" s="809">
        <f t="shared" si="24"/>
        <v>1</v>
      </c>
      <c r="AH26" s="176">
        <f t="shared" si="16"/>
        <v>7</v>
      </c>
      <c r="AI26" s="225">
        <f t="shared" si="17"/>
        <v>1.8005446536733365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1141">
        <f>IF(t&gt;Tmaj,'2022'!Wh/'2022'!Env_an*'2023'!Env_an,0.001*'[3]mon-tableau (2)'!$B$152)</f>
        <v>9.6920000000000002</v>
      </c>
      <c r="C27" s="839"/>
      <c r="D27" s="393">
        <f t="shared" si="0"/>
        <v>10.291412687086062</v>
      </c>
      <c r="E27" s="385">
        <f t="shared" si="1"/>
        <v>11.734796062921216</v>
      </c>
      <c r="F27" s="385">
        <f t="shared" si="2"/>
        <v>11.768619724601507</v>
      </c>
      <c r="G27" s="110">
        <f t="shared" si="21"/>
        <v>0.56956733020662398</v>
      </c>
      <c r="H27" s="414" t="b">
        <f>Wh_hp&gt;='2022'!Maxi_hp</f>
        <v>0</v>
      </c>
      <c r="I27" s="390">
        <f>IF(H27,Wh_hp,'2022'!Maxi_hp)</f>
        <v>13.955743056810109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5.8243965654804747E-2</v>
      </c>
      <c r="M27" s="843"/>
      <c r="N27" s="843"/>
      <c r="O27" s="48">
        <f>IF(t&lt;Tnet,'2022'!Resal+('2022'!Salim-'2022'!Resal)*(1-EXP(('2022'!Tnet-t)/('2022'!Tau_j))),Resal+(Salim-Resal)*(1-EXP((Tnet-t)/(Tau_j))))*Salcycl</f>
        <v>0.12300029485777383</v>
      </c>
      <c r="P27" s="169">
        <f>(INDEX(Models!$BJ27:$BT27,,T27)*(1-R27)+INDEX(Models!$BJ27:$BT27,,T27+1)*R27-ERP_i)*Q27*Ramure*Pc/MaxiM</f>
        <v>7.3921214757791433E-3</v>
      </c>
      <c r="Q27" s="305">
        <f t="shared" si="4"/>
        <v>0.8</v>
      </c>
      <c r="R27" s="177">
        <f t="shared" si="5"/>
        <v>0.59988291134579586</v>
      </c>
      <c r="S27" s="809">
        <f t="shared" si="6"/>
        <v>0</v>
      </c>
      <c r="T27" s="176">
        <f t="shared" si="7"/>
        <v>6</v>
      </c>
      <c r="U27" s="251">
        <f t="shared" si="8"/>
        <v>0.59988291134579586</v>
      </c>
      <c r="V27" s="383">
        <f t="shared" si="9"/>
        <v>16.939322489350825</v>
      </c>
      <c r="W27" s="402">
        <f t="shared" si="10"/>
        <v>0</v>
      </c>
      <c r="X27" s="157">
        <f t="shared" si="11"/>
        <v>44939</v>
      </c>
      <c r="Y27" s="385">
        <f t="shared" si="12"/>
        <v>9.272653587122905</v>
      </c>
      <c r="Z27" s="385">
        <f t="shared" si="22"/>
        <v>9.8461313216540187</v>
      </c>
      <c r="AA27" s="386">
        <f t="shared" si="13"/>
        <v>11.651875484992784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0.15497455029145324</v>
      </c>
      <c r="AD27" s="231">
        <f>(INDEX(Models!$BJ27:$BT27,,AH27)*(1-AF27)+INDEX(Models!$BJ27:$BT27,,AH27+1)*AF27-ERP_i)*AE27*Ramure*Pc/MaxiM</f>
        <v>2.551431624826166E-2</v>
      </c>
      <c r="AE27" s="305">
        <f t="shared" si="15"/>
        <v>0.8</v>
      </c>
      <c r="AF27" s="177">
        <f t="shared" si="23"/>
        <v>0.80059965851069936</v>
      </c>
      <c r="AG27" s="809">
        <f t="shared" si="24"/>
        <v>1</v>
      </c>
      <c r="AH27" s="176">
        <f t="shared" si="16"/>
        <v>7</v>
      </c>
      <c r="AI27" s="225">
        <f t="shared" si="17"/>
        <v>1.8005996585106994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1141">
        <f>IF(t&gt;Tmaj,'2022'!Wh/'2022'!Env_an*'2023'!Env_an,0.001*'[3]mon-tableau (2)'!$B$153)</f>
        <v>12.27</v>
      </c>
      <c r="C28" s="839"/>
      <c r="D28" s="393">
        <f t="shared" si="0"/>
        <v>13.029162013494297</v>
      </c>
      <c r="E28" s="385">
        <f t="shared" si="1"/>
        <v>14.858029200554242</v>
      </c>
      <c r="F28" s="385">
        <f t="shared" si="2"/>
        <v>14.922652434092855</v>
      </c>
      <c r="G28" s="110">
        <f t="shared" si="21"/>
        <v>0.71406157418692628</v>
      </c>
      <c r="H28" s="414" t="b">
        <f>Wh_hp&gt;='2022'!Maxi_hp</f>
        <v>0</v>
      </c>
      <c r="I28" s="390">
        <f>IF(H28,Wh_hp,'2022'!Maxi_hp)</f>
        <v>21.54879733993512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5.8266372979937892E-2</v>
      </c>
      <c r="M28" s="843"/>
      <c r="N28" s="843"/>
      <c r="O28" s="48">
        <f>IF(t&lt;Tnet,'2022'!Resal+('2022'!Salim-'2022'!Resal)*(1-EXP(('2022'!Tnet-t)/('2022'!Tau_j))),Resal+(Salim-Resal)*(1-EXP((Tnet-t)/(Tau_j))))*Salcycl</f>
        <v>0.12308948665895229</v>
      </c>
      <c r="P28" s="169">
        <f>(INDEX(Models!$BJ28:$BT28,,T28)*(1-R28)+INDEX(Models!$BJ28:$BT28,,T28+1)*R28-ERP_i)*Q28*Ramure*Pc/MaxiM</f>
        <v>7.283723415681208E-3</v>
      </c>
      <c r="Q28" s="305">
        <f t="shared" si="4"/>
        <v>0.8</v>
      </c>
      <c r="R28" s="177">
        <f t="shared" si="5"/>
        <v>0.59994021301426326</v>
      </c>
      <c r="S28" s="809">
        <f t="shared" si="6"/>
        <v>0</v>
      </c>
      <c r="T28" s="176">
        <f t="shared" si="7"/>
        <v>6</v>
      </c>
      <c r="U28" s="251">
        <f t="shared" si="8"/>
        <v>0.59994021301426326</v>
      </c>
      <c r="V28" s="383">
        <f t="shared" si="9"/>
        <v>17.132425765517375</v>
      </c>
      <c r="W28" s="402">
        <f t="shared" si="10"/>
        <v>0</v>
      </c>
      <c r="X28" s="157">
        <f t="shared" si="11"/>
        <v>44940</v>
      </c>
      <c r="Y28" s="385">
        <f t="shared" si="12"/>
        <v>11.695804211685763</v>
      </c>
      <c r="Z28" s="385">
        <f t="shared" si="22"/>
        <v>12.419439930901611</v>
      </c>
      <c r="AA28" s="386">
        <f t="shared" si="13"/>
        <v>14.697571012385472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0.15500051536162732</v>
      </c>
      <c r="AD28" s="231">
        <f>(INDEX(Models!$BJ28:$BT28,,AH28)*(1-AF28)+INDEX(Models!$BJ28:$BT28,,AH28+1)*AF28-ERP_i)*AE28*Ramure*Pc/MaxiM</f>
        <v>2.5369062053283337E-2</v>
      </c>
      <c r="AE28" s="305">
        <f t="shared" si="15"/>
        <v>0.8</v>
      </c>
      <c r="AF28" s="177">
        <f t="shared" si="23"/>
        <v>0.80065696017916688</v>
      </c>
      <c r="AG28" s="809">
        <f t="shared" si="24"/>
        <v>1</v>
      </c>
      <c r="AH28" s="176">
        <f t="shared" si="16"/>
        <v>7</v>
      </c>
      <c r="AI28" s="225">
        <f t="shared" si="17"/>
        <v>1.8006569601791669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1141">
        <f>IF(t&gt;Tmaj,'2022'!Wh/'2022'!Env_an*'2023'!Env_an,0.001*'[3]mon-tableau (2)'!$B$154)</f>
        <v>6.3410000000000002</v>
      </c>
      <c r="C29" s="839"/>
      <c r="D29" s="393">
        <f t="shared" si="0"/>
        <v>6.73348672488261</v>
      </c>
      <c r="E29" s="385">
        <f t="shared" si="1"/>
        <v>7.679428194840848</v>
      </c>
      <c r="F29" s="385">
        <f t="shared" si="2"/>
        <v>7.6846088829503385</v>
      </c>
      <c r="G29" s="110">
        <f t="shared" si="21"/>
        <v>0.36349660609137435</v>
      </c>
      <c r="H29" s="414" t="b">
        <f>Wh_hp&gt;='2022'!Maxi_hp</f>
        <v>0</v>
      </c>
      <c r="I29" s="390">
        <f>IF(H29,Wh_hp,'2022'!Maxi_hp)</f>
        <v>20.889632657989388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5.8288779783619821E-2</v>
      </c>
      <c r="M29" s="843"/>
      <c r="N29" s="843"/>
      <c r="O29" s="48">
        <f>IF(t&lt;Tnet,'2022'!Resal+('2022'!Salim-'2022'!Resal)*(1-EXP(('2022'!Tnet-t)/('2022'!Tau_j))),Resal+(Salim-Resal)*(1-EXP((Tnet-t)/(Tau_j))))*Salcycl</f>
        <v>0.12317863335107883</v>
      </c>
      <c r="P29" s="169">
        <f>(INDEX(Models!$BJ29:$BT29,,T29)*(1-R29)+INDEX(Models!$BJ29:$BT29,,T29+1)*R29-ERP_i)*Q29*Ramure*Pc/MaxiM</f>
        <v>7.1640464904118729E-3</v>
      </c>
      <c r="Q29" s="305">
        <f t="shared" si="4"/>
        <v>0.8</v>
      </c>
      <c r="R29" s="177">
        <f t="shared" si="5"/>
        <v>0.59999990695447003</v>
      </c>
      <c r="S29" s="809">
        <f t="shared" si="6"/>
        <v>0</v>
      </c>
      <c r="T29" s="176">
        <f t="shared" si="7"/>
        <v>6</v>
      </c>
      <c r="U29" s="251">
        <f t="shared" si="8"/>
        <v>0.59999990695447003</v>
      </c>
      <c r="V29" s="383">
        <f t="shared" si="9"/>
        <v>17.331165652164753</v>
      </c>
      <c r="W29" s="402">
        <f t="shared" si="10"/>
        <v>0</v>
      </c>
      <c r="X29" s="157">
        <f t="shared" si="11"/>
        <v>44941</v>
      </c>
      <c r="Y29" s="385">
        <f t="shared" si="12"/>
        <v>6.1003016030957156</v>
      </c>
      <c r="Z29" s="385">
        <f t="shared" si="22"/>
        <v>6.4778899009974928</v>
      </c>
      <c r="AA29" s="386">
        <f t="shared" si="13"/>
        <v>7.666383192630855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0.15502659621498899</v>
      </c>
      <c r="AD29" s="231">
        <f>(INDEX(Models!$BJ29:$BT29,,AH29)*(1-AF29)+INDEX(Models!$BJ29:$BT29,,AH29+1)*AF29-ERP_i)*AE29*Ramure*Pc/MaxiM</f>
        <v>2.5203156416509748E-2</v>
      </c>
      <c r="AE29" s="305">
        <f t="shared" si="15"/>
        <v>0.8</v>
      </c>
      <c r="AF29" s="177">
        <f t="shared" si="23"/>
        <v>0.80071665411937354</v>
      </c>
      <c r="AG29" s="809">
        <f t="shared" si="24"/>
        <v>1</v>
      </c>
      <c r="AH29" s="176">
        <f t="shared" si="16"/>
        <v>7</v>
      </c>
      <c r="AI29" s="225">
        <f t="shared" si="17"/>
        <v>1.8007166541193735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1141">
        <f>IF(t&gt;Tmaj,'2022'!Wh/'2022'!Env_an*'2023'!Env_an,0.001*'[3]mon-tableau (2)'!$B$155)</f>
        <v>3.3980000000000001</v>
      </c>
      <c r="C30" s="839"/>
      <c r="D30" s="393">
        <f t="shared" si="0"/>
        <v>3.6084107082083912</v>
      </c>
      <c r="E30" s="385">
        <f t="shared" si="1"/>
        <v>4.1157498905543424</v>
      </c>
      <c r="F30" s="385">
        <f t="shared" si="2"/>
        <v>4.1157498905543424</v>
      </c>
      <c r="G30" s="110">
        <f t="shared" si="21"/>
        <v>0.19242167549100248</v>
      </c>
      <c r="H30" s="414" t="b">
        <f>Wh_hp&gt;='2022'!Maxi_hp</f>
        <v>0</v>
      </c>
      <c r="I30" s="390">
        <f>IF(H30,Wh_hp,'2022'!Maxi_hp)</f>
        <v>20.57239192220748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5.8311186065862747E-2</v>
      </c>
      <c r="M30" s="843"/>
      <c r="N30" s="843"/>
      <c r="O30" s="48">
        <f>IF(t&lt;Tnet,'2022'!Resal+('2022'!Salim-'2022'!Resal)*(1-EXP(('2022'!Tnet-t)/('2022'!Tau_j))),Resal+(Salim-Resal)*(1-EXP((Tnet-t)/(Tau_j))))*Salcycl</f>
        <v>0.12326773876864958</v>
      </c>
      <c r="P30" s="169">
        <f>(INDEX(Models!$BJ30:$BT30,,T30)*(1-R30)+INDEX(Models!$BJ30:$BT30,,T30+1)*R30-ERP_i)*Q30*Ramure*Pc/MaxiM</f>
        <v>7.0320557087112899E-3</v>
      </c>
      <c r="Q30" s="305">
        <f t="shared" si="4"/>
        <v>0.8</v>
      </c>
      <c r="R30" s="177">
        <f t="shared" si="5"/>
        <v>0.60006209253294196</v>
      </c>
      <c r="S30" s="809">
        <f t="shared" si="6"/>
        <v>0</v>
      </c>
      <c r="T30" s="176">
        <f t="shared" si="7"/>
        <v>6</v>
      </c>
      <c r="U30" s="251">
        <f t="shared" si="8"/>
        <v>0.60006209253294196</v>
      </c>
      <c r="V30" s="383">
        <f t="shared" si="9"/>
        <v>17.53495320156679</v>
      </c>
      <c r="W30" s="402">
        <f t="shared" si="10"/>
        <v>0</v>
      </c>
      <c r="X30" s="157">
        <f t="shared" si="11"/>
        <v>44942</v>
      </c>
      <c r="Y30" s="385">
        <f t="shared" si="12"/>
        <v>3.2748088813491796</v>
      </c>
      <c r="Z30" s="385">
        <f t="shared" si="22"/>
        <v>3.4775913580919133</v>
      </c>
      <c r="AA30" s="386">
        <f t="shared" si="13"/>
        <v>4.1157498905543424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0.15505279704362132</v>
      </c>
      <c r="AD30" s="231">
        <f>(INDEX(Models!$BJ30:$BT30,,AH30)*(1-AF30)+INDEX(Models!$BJ30:$BT30,,AH30+1)*AF30-ERP_i)*AE30*Ramure*Pc/MaxiM</f>
        <v>2.5004446894164537E-2</v>
      </c>
      <c r="AE30" s="305">
        <f t="shared" si="15"/>
        <v>0.8</v>
      </c>
      <c r="AF30" s="177">
        <f t="shared" si="23"/>
        <v>0.80077883969784547</v>
      </c>
      <c r="AG30" s="809">
        <f t="shared" si="24"/>
        <v>1</v>
      </c>
      <c r="AH30" s="176">
        <f t="shared" si="16"/>
        <v>7</v>
      </c>
      <c r="AI30" s="225">
        <f t="shared" si="17"/>
        <v>1.8007788396978455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1141">
        <f>IF(t&gt;Tmaj,'2022'!Wh/'2022'!Env_an*'2023'!Env_an,0.001*'[3]mon-tableau (2)'!$B$156)</f>
        <v>5.5270000000000001</v>
      </c>
      <c r="C31" s="839"/>
      <c r="D31" s="393">
        <f t="shared" si="0"/>
        <v>5.869382142155283</v>
      </c>
      <c r="E31" s="385">
        <f t="shared" si="1"/>
        <v>6.6952919894012535</v>
      </c>
      <c r="F31" s="385">
        <f t="shared" si="2"/>
        <v>6.6960500823756997</v>
      </c>
      <c r="G31" s="110">
        <f t="shared" si="21"/>
        <v>0.30938942387263541</v>
      </c>
      <c r="H31" s="414" t="b">
        <f>Wh_hp&gt;='2022'!Maxi_hp</f>
        <v>0</v>
      </c>
      <c r="I31" s="390">
        <f>IF(H31,Wh_hp,'2022'!Maxi_hp)</f>
        <v>13.681968685413491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5.833359182667866E-2</v>
      </c>
      <c r="M31" s="843"/>
      <c r="N31" s="843"/>
      <c r="O31" s="48">
        <f>IF(t&lt;Tnet,'2022'!Resal+('2022'!Salim-'2022'!Resal)*(1-EXP(('2022'!Tnet-t)/('2022'!Tau_j))),Resal+(Salim-Resal)*(1-EXP((Tnet-t)/(Tau_j))))*Salcycl</f>
        <v>0.12335680782158547</v>
      </c>
      <c r="P31" s="169">
        <f>(INDEX(Models!$BJ31:$BT31,,T31)*(1-R31)+INDEX(Models!$BJ31:$BT31,,T31+1)*R31-ERP_i)*Q31*Ramure*Pc/MaxiM</f>
        <v>6.8908113463863885E-3</v>
      </c>
      <c r="Q31" s="305">
        <f t="shared" si="4"/>
        <v>0.8</v>
      </c>
      <c r="R31" s="177">
        <f t="shared" si="5"/>
        <v>0.60012687320016689</v>
      </c>
      <c r="S31" s="809">
        <f t="shared" si="6"/>
        <v>0</v>
      </c>
      <c r="T31" s="176">
        <f t="shared" si="7"/>
        <v>6</v>
      </c>
      <c r="U31" s="251">
        <f t="shared" si="8"/>
        <v>0.60012687320016689</v>
      </c>
      <c r="V31" s="383">
        <f t="shared" si="9"/>
        <v>17.743127462202956</v>
      </c>
      <c r="W31" s="402">
        <f t="shared" si="10"/>
        <v>0</v>
      </c>
      <c r="X31" s="157">
        <f t="shared" si="11"/>
        <v>44943</v>
      </c>
      <c r="Y31" s="385">
        <f t="shared" si="12"/>
        <v>5.3254339324780551</v>
      </c>
      <c r="Z31" s="385">
        <f t="shared" si="22"/>
        <v>5.6553296223112861</v>
      </c>
      <c r="AA31" s="386">
        <f t="shared" si="13"/>
        <v>6.6933245216588437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0.15507912338460855</v>
      </c>
      <c r="AD31" s="231">
        <f>(INDEX(Models!$BJ31:$BT31,,AH31)*(1-AF31)+INDEX(Models!$BJ31:$BT31,,AH31+1)*AF31-ERP_i)*AE31*Ramure*Pc/MaxiM</f>
        <v>2.4774434463919359E-2</v>
      </c>
      <c r="AE31" s="305">
        <f t="shared" si="15"/>
        <v>0.8</v>
      </c>
      <c r="AF31" s="177">
        <f t="shared" si="23"/>
        <v>0.8008436203650704</v>
      </c>
      <c r="AG31" s="809">
        <f t="shared" si="24"/>
        <v>1</v>
      </c>
      <c r="AH31" s="176">
        <f t="shared" si="16"/>
        <v>7</v>
      </c>
      <c r="AI31" s="225">
        <f t="shared" si="17"/>
        <v>1.8008436203650704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1141">
        <f>IF(t&gt;Tmaj,'2022'!Wh/'2022'!Env_an*'2023'!Env_an,0.001*'[3]mon-tableau (2)'!$B$157)</f>
        <v>13.574</v>
      </c>
      <c r="C32" s="839"/>
      <c r="D32" s="393">
        <f t="shared" si="0"/>
        <v>14.41521419741103</v>
      </c>
      <c r="E32" s="385">
        <f t="shared" si="1"/>
        <v>16.445320731702623</v>
      </c>
      <c r="F32" s="385">
        <f t="shared" si="2"/>
        <v>16.517854431403858</v>
      </c>
      <c r="G32" s="110">
        <f t="shared" si="21"/>
        <v>0.75421399107704634</v>
      </c>
      <c r="H32" s="414" t="b">
        <f>Wh_hp&gt;='2022'!Maxi_hp</f>
        <v>0</v>
      </c>
      <c r="I32" s="390">
        <f>IF(H32,Wh_hp,'2022'!Maxi_hp)</f>
        <v>21.36929658640063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5.8355997066079884E-2</v>
      </c>
      <c r="M32" s="843"/>
      <c r="N32" s="843"/>
      <c r="O32" s="48">
        <f>IF(t&lt;Tnet,'2022'!Resal+('2022'!Salim-'2022'!Resal)*(1-EXP(('2022'!Tnet-t)/('2022'!Tau_j))),Resal+(Salim-Resal)*(1-EXP((Tnet-t)/(Tau_j))))*Salcycl</f>
        <v>0.12344584623260249</v>
      </c>
      <c r="P32" s="169">
        <f>(INDEX(Models!$BJ32:$BT32,,T32)*(1-R32)+INDEX(Models!$BJ32:$BT32,,T32+1)*R32-ERP_i)*Q32*Ramure*Pc/MaxiM</f>
        <v>6.7409498738650398E-3</v>
      </c>
      <c r="Q32" s="305">
        <f t="shared" si="4"/>
        <v>0.8</v>
      </c>
      <c r="R32" s="177">
        <f t="shared" si="5"/>
        <v>0.60019435665473697</v>
      </c>
      <c r="S32" s="809">
        <f t="shared" si="6"/>
        <v>0</v>
      </c>
      <c r="T32" s="176">
        <f t="shared" si="7"/>
        <v>6</v>
      </c>
      <c r="U32" s="251">
        <f t="shared" si="8"/>
        <v>0.60019435665473697</v>
      </c>
      <c r="V32" s="383">
        <f t="shared" si="9"/>
        <v>17.955068969368764</v>
      </c>
      <c r="W32" s="402">
        <f t="shared" si="10"/>
        <v>0</v>
      </c>
      <c r="X32" s="157">
        <f t="shared" si="11"/>
        <v>44944</v>
      </c>
      <c r="Y32" s="385">
        <f t="shared" si="12"/>
        <v>12.931569663288041</v>
      </c>
      <c r="Z32" s="385">
        <f t="shared" si="22"/>
        <v>13.732970871153643</v>
      </c>
      <c r="AA32" s="386">
        <f t="shared" si="13"/>
        <v>16.254067461103325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0.15510558178639122</v>
      </c>
      <c r="AD32" s="231">
        <f>(INDEX(Models!$BJ32:$BT32,,AH32)*(1-AF32)+INDEX(Models!$BJ32:$BT32,,AH32+1)*AF32-ERP_i)*AE32*Ramure*Pc/MaxiM</f>
        <v>2.4515152977152802E-2</v>
      </c>
      <c r="AE32" s="305">
        <f t="shared" si="15"/>
        <v>0.8</v>
      </c>
      <c r="AF32" s="177">
        <f t="shared" si="23"/>
        <v>0.80091110381964037</v>
      </c>
      <c r="AG32" s="809">
        <f t="shared" si="24"/>
        <v>1</v>
      </c>
      <c r="AH32" s="176">
        <f t="shared" si="16"/>
        <v>7</v>
      </c>
      <c r="AI32" s="225">
        <f t="shared" si="17"/>
        <v>1.8009111038196404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1141">
        <f>IF(t&gt;Tmaj,'2022'!Wh/'2022'!Env_an*'2023'!Env_an,0.001*'[3]mon-tableau (2)'!$B$158)</f>
        <v>7.2830000000000004</v>
      </c>
      <c r="C33" s="839"/>
      <c r="D33" s="393">
        <f t="shared" si="0"/>
        <v>7.7345294689491055</v>
      </c>
      <c r="E33" s="385">
        <f t="shared" si="1"/>
        <v>8.8246857957391622</v>
      </c>
      <c r="F33" s="385">
        <f t="shared" si="2"/>
        <v>8.8330610342180123</v>
      </c>
      <c r="G33" s="110">
        <f t="shared" si="21"/>
        <v>0.39856130343019114</v>
      </c>
      <c r="H33" s="414" t="b">
        <f>Wh_hp&gt;='2022'!Maxi_hp</f>
        <v>0</v>
      </c>
      <c r="I33" s="390">
        <f>IF(H33,Wh_hp,'2022'!Maxi_hp)</f>
        <v>22.802724307103638</v>
      </c>
      <c r="J33" s="85">
        <f>IF(H33,An,'2022'!An_max)</f>
        <v>2020</v>
      </c>
      <c r="K33" s="197">
        <f t="shared" si="3"/>
        <v>44945</v>
      </c>
      <c r="L33" s="147">
        <f>IF(t&lt;Tvie,1-EXP((T0-t)*PertePVj)+'2022'!Pspv,1-EXP((T0-t)*PertePVj)+Pspv)</f>
        <v>5.837840178407841E-2</v>
      </c>
      <c r="M33" s="843"/>
      <c r="N33" s="843"/>
      <c r="O33" s="48">
        <f>IF(t&lt;Tnet,'2022'!Resal+('2022'!Salim-'2022'!Resal)*(1-EXP(('2022'!Tnet-t)/('2022'!Tau_j))),Resal+(Salim-Resal)*(1-EXP((Tnet-t)/(Tau_j))))*Salcycl</f>
        <v>0.12353486027983202</v>
      </c>
      <c r="P33" s="169">
        <f>(INDEX(Models!$BJ33:$BT33,,T33)*(1-R33)+INDEX(Models!$BJ33:$BT33,,T33+1)*R33-ERP_i)*Q33*Ramure*Pc/MaxiM</f>
        <v>6.5830705911544317E-3</v>
      </c>
      <c r="Q33" s="305">
        <f t="shared" si="4"/>
        <v>0.8</v>
      </c>
      <c r="R33" s="177">
        <f t="shared" si="5"/>
        <v>0.60026465501377002</v>
      </c>
      <c r="S33" s="809">
        <f t="shared" si="6"/>
        <v>0</v>
      </c>
      <c r="T33" s="176">
        <f t="shared" si="7"/>
        <v>6</v>
      </c>
      <c r="U33" s="251">
        <f t="shared" si="8"/>
        <v>0.60026465501377002</v>
      </c>
      <c r="V33" s="383">
        <f t="shared" si="9"/>
        <v>18.170158526936543</v>
      </c>
      <c r="W33" s="402">
        <f t="shared" si="10"/>
        <v>0</v>
      </c>
      <c r="X33" s="157">
        <f t="shared" si="11"/>
        <v>44945</v>
      </c>
      <c r="Y33" s="385">
        <f t="shared" si="12"/>
        <v>7.0025821938086574</v>
      </c>
      <c r="Z33" s="385">
        <f t="shared" si="22"/>
        <v>7.4367263952699902</v>
      </c>
      <c r="AA33" s="386">
        <f t="shared" si="13"/>
        <v>8.8022365329499888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0.15513217948283883</v>
      </c>
      <c r="AD33" s="231">
        <f>(INDEX(Models!$BJ33:$BT33,,AH33)*(1-AF33)+INDEX(Models!$BJ33:$BT33,,AH33+1)*AF33-ERP_i)*AE33*Ramure*Pc/MaxiM</f>
        <v>2.4228548034422103E-2</v>
      </c>
      <c r="AE33" s="305">
        <f t="shared" si="15"/>
        <v>0.8</v>
      </c>
      <c r="AF33" s="177">
        <f t="shared" si="23"/>
        <v>0.80098140217867342</v>
      </c>
      <c r="AG33" s="809">
        <f t="shared" si="24"/>
        <v>1</v>
      </c>
      <c r="AH33" s="176">
        <f t="shared" si="16"/>
        <v>7</v>
      </c>
      <c r="AI33" s="225">
        <f t="shared" si="17"/>
        <v>1.8009814021786734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1141">
        <f>IF(t&gt;Tmaj,'2022'!Wh/'2022'!Env_an*'2023'!Env_an,0.001*'[3]mon-tableau (2)'!$B$159)</f>
        <v>14.59</v>
      </c>
      <c r="C34" s="839"/>
      <c r="D34" s="393">
        <f t="shared" si="0"/>
        <v>15.494915557139631</v>
      </c>
      <c r="E34" s="385">
        <f t="shared" si="1"/>
        <v>17.680667910577704</v>
      </c>
      <c r="F34" s="385">
        <f t="shared" si="2"/>
        <v>17.761021939938079</v>
      </c>
      <c r="G34" s="110">
        <f t="shared" si="21"/>
        <v>0.79195257278846798</v>
      </c>
      <c r="H34" s="414" t="b">
        <f>Wh_hp&gt;='2022'!Maxi_hp</f>
        <v>1</v>
      </c>
      <c r="I34" s="390">
        <f>IF(H34,Wh_hp,'2022'!Maxi_hp)</f>
        <v>17.761021939938079</v>
      </c>
      <c r="J34" s="85">
        <f>IF(H34,An,'2022'!An_max)</f>
        <v>2023</v>
      </c>
      <c r="K34" s="197">
        <f t="shared" si="3"/>
        <v>44946</v>
      </c>
      <c r="L34" s="147">
        <f>IF(t&lt;Tvie,1-EXP((T0-t)*PertePVj)+'2022'!Pspv,1-EXP((T0-t)*PertePVj)+Pspv)</f>
        <v>5.8400805980686449E-2</v>
      </c>
      <c r="M34" s="843"/>
      <c r="N34" s="843"/>
      <c r="O34" s="48">
        <f>IF(t&lt;Tnet,'2022'!Resal+('2022'!Salim-'2022'!Resal)*(1-EXP(('2022'!Tnet-t)/('2022'!Tau_j))),Resal+(Salim-Resal)*(1-EXP((Tnet-t)/(Tau_j))))*Salcycl</f>
        <v>0.12362385654732071</v>
      </c>
      <c r="P34" s="169">
        <f>(INDEX(Models!$BJ34:$BT34,,T34)*(1-R34)+INDEX(Models!$BJ34:$BT34,,T34+1)*R34-ERP_i)*Q34*Ramure*Pc/MaxiM</f>
        <v>6.4177696846396872E-3</v>
      </c>
      <c r="Q34" s="305">
        <f t="shared" si="4"/>
        <v>0.8</v>
      </c>
      <c r="R34" s="177">
        <f t="shared" si="5"/>
        <v>0.60033788498982121</v>
      </c>
      <c r="S34" s="809">
        <f t="shared" si="6"/>
        <v>0</v>
      </c>
      <c r="T34" s="176">
        <f t="shared" si="7"/>
        <v>6</v>
      </c>
      <c r="U34" s="251">
        <f t="shared" si="8"/>
        <v>0.60033788498982121</v>
      </c>
      <c r="V34" s="383">
        <f t="shared" si="9"/>
        <v>18.387776543330279</v>
      </c>
      <c r="W34" s="402">
        <f t="shared" si="10"/>
        <v>0</v>
      </c>
      <c r="X34" s="157">
        <f t="shared" si="11"/>
        <v>44946</v>
      </c>
      <c r="Y34" s="385">
        <f t="shared" si="12"/>
        <v>13.890710460657813</v>
      </c>
      <c r="Z34" s="385">
        <f t="shared" si="22"/>
        <v>14.752253983315214</v>
      </c>
      <c r="AA34" s="386">
        <f t="shared" si="13"/>
        <v>17.461572837496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0.15515892407830226</v>
      </c>
      <c r="AD34" s="231">
        <f>(INDEX(Models!$BJ34:$BT34,,AH34)*(1-AF34)+INDEX(Models!$BJ34:$BT34,,AH34+1)*AF34-ERP_i)*AE34*Ramure*Pc/MaxiM</f>
        <v>2.3916602403675179E-2</v>
      </c>
      <c r="AE34" s="305">
        <f t="shared" si="15"/>
        <v>0.8</v>
      </c>
      <c r="AF34" s="177">
        <f t="shared" si="23"/>
        <v>0.80105463215472472</v>
      </c>
      <c r="AG34" s="809">
        <f t="shared" si="24"/>
        <v>1</v>
      </c>
      <c r="AH34" s="176">
        <f t="shared" si="16"/>
        <v>7</v>
      </c>
      <c r="AI34" s="225">
        <f t="shared" si="17"/>
        <v>1.8010546321547247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1141">
        <f>IF(t&gt;Tmaj,'2022'!Wh/'2022'!Env_an*'2023'!Env_an,0.001*'[3]mon-tableau (2)'!$B$160)</f>
        <v>5.593</v>
      </c>
      <c r="C35" s="839"/>
      <c r="D35" s="393">
        <f t="shared" si="0"/>
        <v>5.9400359666428573</v>
      </c>
      <c r="E35" s="385">
        <f t="shared" si="1"/>
        <v>6.7786408944654273</v>
      </c>
      <c r="F35" s="385">
        <f t="shared" si="2"/>
        <v>6.7786760280758536</v>
      </c>
      <c r="G35" s="110">
        <f t="shared" si="21"/>
        <v>0.29870513467022503</v>
      </c>
      <c r="H35" s="414" t="b">
        <f>Wh_hp&gt;='2022'!Maxi_hp</f>
        <v>0</v>
      </c>
      <c r="I35" s="390">
        <f>IF(H35,Wh_hp,'2022'!Maxi_hp)</f>
        <v>16.083260697407649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5.8423209655915992E-2</v>
      </c>
      <c r="M35" s="843"/>
      <c r="N35" s="843"/>
      <c r="O35" s="48">
        <f>IF(t&lt;Tnet,'2022'!Resal+('2022'!Salim-'2022'!Resal)*(1-EXP(('2022'!Tnet-t)/('2022'!Tau_j))),Resal+(Salim-Resal)*(1-EXP((Tnet-t)/(Tau_j))))*Salcycl</f>
        <v>0.12371284168590016</v>
      </c>
      <c r="P35" s="169">
        <f>(INDEX(Models!$BJ35:$BT35,,T35)*(1-R35)+INDEX(Models!$BJ35:$BT35,,T35+1)*R35-ERP_i)*Q35*Ramure*Pc/MaxiM</f>
        <v>6.2456151898658517E-3</v>
      </c>
      <c r="Q35" s="305">
        <f t="shared" si="4"/>
        <v>0.8</v>
      </c>
      <c r="R35" s="177">
        <f t="shared" si="5"/>
        <v>0.60041416807450465</v>
      </c>
      <c r="S35" s="809">
        <f t="shared" si="6"/>
        <v>0</v>
      </c>
      <c r="T35" s="176">
        <f t="shared" si="7"/>
        <v>6</v>
      </c>
      <c r="U35" s="251">
        <f t="shared" si="8"/>
        <v>0.60041416807450465</v>
      </c>
      <c r="V35" s="383">
        <f t="shared" si="9"/>
        <v>18.607303445845361</v>
      </c>
      <c r="W35" s="402">
        <f t="shared" si="10"/>
        <v>0</v>
      </c>
      <c r="X35" s="157">
        <f t="shared" si="11"/>
        <v>44947</v>
      </c>
      <c r="Y35" s="385">
        <f t="shared" si="12"/>
        <v>5.3920426318306935</v>
      </c>
      <c r="Z35" s="385">
        <f t="shared" si="22"/>
        <v>5.7266095417031879</v>
      </c>
      <c r="AA35" s="386">
        <f t="shared" si="13"/>
        <v>6.7785433759068914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0.15518582324671881</v>
      </c>
      <c r="AD35" s="231">
        <f>(INDEX(Models!$BJ35:$BT35,,AH35)*(1-AF35)+INDEX(Models!$BJ35:$BT35,,AH35+1)*AF35-ERP_i)*AE35*Ramure*Pc/MaxiM</f>
        <v>2.3581248593070137E-2</v>
      </c>
      <c r="AE35" s="305">
        <f t="shared" si="15"/>
        <v>0.8</v>
      </c>
      <c r="AF35" s="177">
        <f t="shared" si="23"/>
        <v>0.80113091523940816</v>
      </c>
      <c r="AG35" s="809">
        <f t="shared" si="24"/>
        <v>1</v>
      </c>
      <c r="AH35" s="176">
        <f t="shared" si="16"/>
        <v>7</v>
      </c>
      <c r="AI35" s="225">
        <f t="shared" si="17"/>
        <v>1.8011309152394082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1141">
        <f>IF(t&gt;Tmaj,'2022'!Wh/'2022'!Env_an*'2023'!Env_an,0.001*'[3]mon-tableau (2)'!$B$161)</f>
        <v>18.105230936758993</v>
      </c>
      <c r="C36" s="839"/>
      <c r="D36" s="393">
        <f t="shared" si="0"/>
        <v>19.229086692260534</v>
      </c>
      <c r="E36" s="385">
        <f t="shared" si="1"/>
        <v>21.946047343137767</v>
      </c>
      <c r="F36" s="385">
        <f t="shared" si="2"/>
        <v>22.072619005652736</v>
      </c>
      <c r="G36" s="110">
        <f t="shared" si="21"/>
        <v>0.96128401356933324</v>
      </c>
      <c r="H36" s="414" t="b">
        <f>Wh_hp&gt;='2022'!Maxi_hp</f>
        <v>0</v>
      </c>
      <c r="I36" s="390">
        <f>IF(H36,Wh_hp,'2022'!Maxi_hp)</f>
        <v>22.080002975196251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5.8445612809779363E-2</v>
      </c>
      <c r="M36" s="843"/>
      <c r="N36" s="843"/>
      <c r="O36" s="48">
        <f>IF(t&lt;Tnet,'2022'!Resal+('2022'!Salim-'2022'!Resal)*(1-EXP(('2022'!Tnet-t)/('2022'!Tau_j))),Resal+(Salim-Resal)*(1-EXP((Tnet-t)/(Tau_j))))*Salcycl</f>
        <v>0.12380182218675423</v>
      </c>
      <c r="P36" s="169">
        <f>(INDEX(Models!$BJ36:$BT36,,T36)*(1-R36)+INDEX(Models!$BJ36:$BT36,,T36+1)*R36-ERP_i)*Q36*Ramure*Pc/MaxiM</f>
        <v>6.0671022908755558E-3</v>
      </c>
      <c r="Q36" s="305">
        <f t="shared" si="4"/>
        <v>0.8</v>
      </c>
      <c r="R36" s="177">
        <f t="shared" si="5"/>
        <v>0.60049363072904316</v>
      </c>
      <c r="S36" s="809">
        <f t="shared" si="6"/>
        <v>0</v>
      </c>
      <c r="T36" s="176">
        <f t="shared" si="7"/>
        <v>6</v>
      </c>
      <c r="U36" s="251">
        <f t="shared" si="8"/>
        <v>0.60049363072904316</v>
      </c>
      <c r="V36" s="383">
        <f t="shared" si="9"/>
        <v>18.828120512188718</v>
      </c>
      <c r="W36" s="402">
        <f t="shared" si="10"/>
        <v>18.105230936758993</v>
      </c>
      <c r="X36" s="157">
        <f t="shared" si="11"/>
        <v>44948</v>
      </c>
      <c r="Y36" s="385">
        <f t="shared" si="12"/>
        <v>17.171468914226605</v>
      </c>
      <c r="Z36" s="385">
        <f t="shared" si="22"/>
        <v>18.237362756568498</v>
      </c>
      <c r="AA36" s="386">
        <f t="shared" si="13"/>
        <v>21.588116604552834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0.15521288444762604</v>
      </c>
      <c r="AD36" s="231">
        <f>(INDEX(Models!$BJ36:$BT36,,AH36)*(1-AF36)+INDEX(Models!$BJ36:$BT36,,AH36+1)*AF36-ERP_i)*AE36*Ramure*Pc/MaxiM</f>
        <v>2.3224200182250732E-2</v>
      </c>
      <c r="AE36" s="305">
        <f t="shared" si="15"/>
        <v>0.8</v>
      </c>
      <c r="AF36" s="177">
        <f t="shared" si="23"/>
        <v>0.80121037789394656</v>
      </c>
      <c r="AG36" s="809">
        <f t="shared" si="24"/>
        <v>1</v>
      </c>
      <c r="AH36" s="176">
        <f t="shared" si="16"/>
        <v>7</v>
      </c>
      <c r="AI36" s="225">
        <f t="shared" si="17"/>
        <v>1.8012103778939466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1141">
        <f>IF(t&gt;Tmaj,'2022'!Wh/'2022'!Env_an*'2023'!Env_an,0.001*'[3]mon-tableau (2)'!$B$162)</f>
        <v>18.368308832934812</v>
      </c>
      <c r="C37" s="839"/>
      <c r="D37" s="393">
        <f t="shared" si="0"/>
        <v>19.508958945843357</v>
      </c>
      <c r="E37" s="385">
        <f t="shared" si="1"/>
        <v>22.267725345991064</v>
      </c>
      <c r="F37" s="385">
        <f t="shared" si="2"/>
        <v>22.392692965336508</v>
      </c>
      <c r="G37" s="110">
        <f t="shared" si="21"/>
        <v>0.96384504396336135</v>
      </c>
      <c r="H37" s="414" t="b">
        <f>Wh_hp&gt;='2022'!Maxi_hp</f>
        <v>0</v>
      </c>
      <c r="I37" s="390">
        <f>IF(H37,Wh_hp,'2022'!Maxi_hp)</f>
        <v>22.39947454636982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5.8468015442288662E-2</v>
      </c>
      <c r="M37" s="843"/>
      <c r="N37" s="843"/>
      <c r="O37" s="48">
        <f>IF(t&lt;Tnet,'2022'!Resal+('2022'!Salim-'2022'!Resal)*(1-EXP(('2022'!Tnet-t)/('2022'!Tau_j))),Resal+(Salim-Resal)*(1-EXP((Tnet-t)/(Tau_j))))*Salcycl</f>
        <v>0.12389080416982853</v>
      </c>
      <c r="P37" s="169">
        <f>(INDEX(Models!$BJ37:$BT37,,T37)*(1-R37)+INDEX(Models!$BJ37:$BT37,,T37+1)*R37-ERP_i)*Q37*Ramure*Pc/MaxiM</f>
        <v>5.8820862771636557E-3</v>
      </c>
      <c r="Q37" s="305">
        <f t="shared" si="4"/>
        <v>0.8</v>
      </c>
      <c r="R37" s="177">
        <f t="shared" si="5"/>
        <v>0.60057640458197592</v>
      </c>
      <c r="S37" s="809">
        <f t="shared" si="6"/>
        <v>0</v>
      </c>
      <c r="T37" s="176">
        <f t="shared" si="7"/>
        <v>6</v>
      </c>
      <c r="U37" s="251">
        <f t="shared" si="8"/>
        <v>0.60057640458197592</v>
      </c>
      <c r="V37" s="383">
        <f t="shared" si="9"/>
        <v>19.051550366612901</v>
      </c>
      <c r="W37" s="402">
        <f t="shared" si="10"/>
        <v>18.368308832934812</v>
      </c>
      <c r="X37" s="157">
        <f t="shared" si="11"/>
        <v>44949</v>
      </c>
      <c r="Y37" s="385">
        <f t="shared" si="12"/>
        <v>17.424411845383844</v>
      </c>
      <c r="Z37" s="385">
        <f t="shared" si="22"/>
        <v>18.506447078979516</v>
      </c>
      <c r="AA37" s="386">
        <f t="shared" si="13"/>
        <v>21.907345981004102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0.15524011466169893</v>
      </c>
      <c r="AD37" s="231">
        <f>(INDEX(Models!$BJ37:$BT37,,AH37)*(1-AF37)+INDEX(Models!$BJ37:$BT37,,AH37+1)*AF37-ERP_i)*AE37*Ramure*Pc/MaxiM</f>
        <v>2.2844740510842461E-2</v>
      </c>
      <c r="AE37" s="305">
        <f t="shared" si="15"/>
        <v>0.8</v>
      </c>
      <c r="AF37" s="177">
        <f t="shared" si="23"/>
        <v>0.80129315174687932</v>
      </c>
      <c r="AG37" s="809">
        <f t="shared" si="24"/>
        <v>1</v>
      </c>
      <c r="AH37" s="176">
        <f t="shared" si="16"/>
        <v>7</v>
      </c>
      <c r="AI37" s="225">
        <f t="shared" si="17"/>
        <v>1.8012931517468793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1141">
        <f>IF(t&gt;Tmaj,'2022'!Wh/'2022'!Env_an*'2023'!Env_an,0.001*'[3]mon-tableau (2)'!$B$163)</f>
        <v>18.478885644398673</v>
      </c>
      <c r="C38" s="839"/>
      <c r="D38" s="393">
        <f t="shared" si="0"/>
        <v>19.626869432789704</v>
      </c>
      <c r="E38" s="385">
        <f t="shared" si="1"/>
        <v>22.404585282614139</v>
      </c>
      <c r="F38" s="385">
        <f t="shared" si="2"/>
        <v>22.525367746170765</v>
      </c>
      <c r="G38" s="110">
        <f t="shared" si="21"/>
        <v>0.95817157162884004</v>
      </c>
      <c r="H38" s="414" t="b">
        <f>Wh_hp&gt;='2022'!Maxi_hp</f>
        <v>0</v>
      </c>
      <c r="I38" s="390">
        <f>IF(H38,Wh_hp,'2022'!Maxi_hp)</f>
        <v>22.533015476555242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5.8490417553455881E-2</v>
      </c>
      <c r="M38" s="843"/>
      <c r="N38" s="843"/>
      <c r="O38" s="48">
        <f>IF(t&lt;Tnet,'2022'!Resal+('2022'!Salim-'2022'!Resal)*(1-EXP(('2022'!Tnet-t)/('2022'!Tau_j))),Resal+(Salim-Resal)*(1-EXP((Tnet-t)/(Tau_j))))*Salcycl</f>
        <v>0.12397979318902776</v>
      </c>
      <c r="P38" s="169">
        <f>(INDEX(Models!$BJ38:$BT38,,T38)*(1-R38)+INDEX(Models!$BJ38:$BT38,,T38+1)*R38-ERP_i)*Q38*Ramure*Pc/MaxiM</f>
        <v>5.7000159636869038E-3</v>
      </c>
      <c r="Q38" s="305">
        <f t="shared" si="4"/>
        <v>0.8</v>
      </c>
      <c r="R38" s="177">
        <f t="shared" si="5"/>
        <v>0.6006626266342513</v>
      </c>
      <c r="S38" s="809">
        <f t="shared" si="6"/>
        <v>0</v>
      </c>
      <c r="T38" s="176">
        <f t="shared" si="7"/>
        <v>6</v>
      </c>
      <c r="U38" s="251">
        <f t="shared" si="8"/>
        <v>0.6006626266342513</v>
      </c>
      <c r="V38" s="383">
        <f t="shared" si="9"/>
        <v>19.279018026895979</v>
      </c>
      <c r="W38" s="402">
        <f t="shared" si="10"/>
        <v>18.478885644398673</v>
      </c>
      <c r="X38" s="157">
        <f t="shared" si="11"/>
        <v>44950</v>
      </c>
      <c r="Y38" s="385">
        <f t="shared" si="12"/>
        <v>17.536710031399938</v>
      </c>
      <c r="Z38" s="385">
        <f t="shared" si="22"/>
        <v>18.626162025701543</v>
      </c>
      <c r="AA38" s="386">
        <f t="shared" si="13"/>
        <v>22.049776076999652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0.15526752014816683</v>
      </c>
      <c r="AD38" s="231">
        <f>(INDEX(Models!$BJ38:$BT38,,AH38)*(1-AF38)+INDEX(Models!$BJ38:$BT38,,AH38+1)*AF38-ERP_i)*AE38*Ramure*Pc/MaxiM</f>
        <v>2.2444318708575973E-2</v>
      </c>
      <c r="AE38" s="305">
        <f t="shared" si="15"/>
        <v>0.8</v>
      </c>
      <c r="AF38" s="177">
        <f t="shared" si="23"/>
        <v>0.8013793737991548</v>
      </c>
      <c r="AG38" s="809">
        <f t="shared" si="24"/>
        <v>1</v>
      </c>
      <c r="AH38" s="176">
        <f t="shared" si="16"/>
        <v>7</v>
      </c>
      <c r="AI38" s="225">
        <f t="shared" si="17"/>
        <v>1.8013793737991548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1141">
        <f>IF(t&gt;Tmaj,'2022'!Wh/'2022'!Env_an*'2023'!Env_an,0.001*'[3]mon-tableau (2)'!$B$164)</f>
        <v>18.507908767735099</v>
      </c>
      <c r="C39" s="839"/>
      <c r="D39" s="393">
        <f t="shared" si="0"/>
        <v>19.658163322939586</v>
      </c>
      <c r="E39" s="385">
        <f t="shared" si="1"/>
        <v>22.442588173065698</v>
      </c>
      <c r="F39" s="385">
        <f t="shared" si="2"/>
        <v>22.558158952323883</v>
      </c>
      <c r="G39" s="110">
        <f t="shared" si="21"/>
        <v>0.94824135457930459</v>
      </c>
      <c r="H39" s="414" t="b">
        <f>Wh_hp&gt;='2022'!Maxi_hp</f>
        <v>0</v>
      </c>
      <c r="I39" s="390">
        <f>IF(H39,Wh_hp,'2022'!Maxi_hp)</f>
        <v>22.567351646183756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5.8512819143293343E-2</v>
      </c>
      <c r="M39" s="843"/>
      <c r="N39" s="843"/>
      <c r="O39" s="48">
        <f>IF(t&lt;Tnet,'2022'!Resal+('2022'!Salim-'2022'!Resal)*(1-EXP(('2022'!Tnet-t)/('2022'!Tau_j))),Resal+(Salim-Resal)*(1-EXP((Tnet-t)/(Tau_j))))*Salcycl</f>
        <v>0.12406879405592891</v>
      </c>
      <c r="P39" s="169">
        <f>(INDEX(Models!$BJ39:$BT39,,T39)*(1-R39)+INDEX(Models!$BJ39:$BT39,,T39+1)*R39-ERP_i)*Q39*Ramure*Pc/MaxiM</f>
        <v>5.5289996918709908E-3</v>
      </c>
      <c r="Q39" s="305">
        <f t="shared" si="4"/>
        <v>0.8</v>
      </c>
      <c r="R39" s="177">
        <f t="shared" si="5"/>
        <v>0.60075243947194112</v>
      </c>
      <c r="S39" s="809">
        <f t="shared" si="6"/>
        <v>0</v>
      </c>
      <c r="T39" s="176">
        <f t="shared" si="7"/>
        <v>6</v>
      </c>
      <c r="U39" s="251">
        <f t="shared" si="8"/>
        <v>0.60075243947194112</v>
      </c>
      <c r="V39" s="383">
        <f t="shared" si="9"/>
        <v>19.510180793269729</v>
      </c>
      <c r="W39" s="402">
        <f t="shared" si="10"/>
        <v>18.507908767735099</v>
      </c>
      <c r="X39" s="157">
        <f t="shared" si="11"/>
        <v>44951</v>
      </c>
      <c r="Y39" s="385">
        <f t="shared" si="12"/>
        <v>17.573666519298428</v>
      </c>
      <c r="Z39" s="385">
        <f t="shared" si="22"/>
        <v>18.665858523222017</v>
      </c>
      <c r="AA39" s="386">
        <f t="shared" si="13"/>
        <v>22.09749068675346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0.15529510622618192</v>
      </c>
      <c r="AD39" s="231">
        <f>(INDEX(Models!$BJ39:$BT39,,AH39)*(1-AF39)+INDEX(Models!$BJ39:$BT39,,AH39+1)*AF39-ERP_i)*AE39*Ramure*Pc/MaxiM</f>
        <v>2.2038742965499323E-2</v>
      </c>
      <c r="AE39" s="305">
        <f t="shared" si="15"/>
        <v>0.8</v>
      </c>
      <c r="AF39" s="177">
        <f t="shared" si="23"/>
        <v>0.80146918663684463</v>
      </c>
      <c r="AG39" s="809">
        <f t="shared" si="24"/>
        <v>1</v>
      </c>
      <c r="AH39" s="176">
        <f t="shared" si="16"/>
        <v>7</v>
      </c>
      <c r="AI39" s="225">
        <f t="shared" si="17"/>
        <v>1.8014691866368446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1141">
        <f>IF(t&gt;Tmaj,'2022'!Wh/'2022'!Env_an*'2023'!Env_an,0.001*'[3]mon-tableau (2)'!$B$165)</f>
        <v>18.764354019369065</v>
      </c>
      <c r="C40" s="839"/>
      <c r="D40" s="393">
        <f t="shared" si="0"/>
        <v>19.931020705406223</v>
      </c>
      <c r="E40" s="385">
        <f t="shared" si="1"/>
        <v>22.756406289311638</v>
      </c>
      <c r="F40" s="385">
        <f t="shared" si="2"/>
        <v>22.870483000234021</v>
      </c>
      <c r="G40" s="110">
        <f t="shared" si="21"/>
        <v>0.94997773568552024</v>
      </c>
      <c r="H40" s="414" t="b">
        <f>Wh_hp&gt;='2022'!Maxi_hp</f>
        <v>0</v>
      </c>
      <c r="I40" s="390">
        <f>IF(H40,Wh_hp,'2022'!Maxi_hp)</f>
        <v>22.879228367903401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5.8535220211813038E-2</v>
      </c>
      <c r="M40" s="843"/>
      <c r="N40" s="843"/>
      <c r="O40" s="48">
        <f>IF(t&lt;Tnet,'2022'!Resal+('2022'!Salim-'2022'!Resal)*(1-EXP(('2022'!Tnet-t)/('2022'!Tau_j))),Resal+(Salim-Resal)*(1-EXP((Tnet-t)/(Tau_j))))*Salcycl</f>
        <v>0.12415781068351102</v>
      </c>
      <c r="P40" s="169">
        <f>(INDEX(Models!$BJ40:$BT40,,T40)*(1-R40)+INDEX(Models!$BJ40:$BT40,,T40+1)*R40-ERP_i)*Q40*Ramure*Pc/MaxiM</f>
        <v>5.3688123317629285E-3</v>
      </c>
      <c r="Q40" s="305">
        <f t="shared" si="4"/>
        <v>0.8</v>
      </c>
      <c r="R40" s="177">
        <f t="shared" si="5"/>
        <v>0.60084599148681228</v>
      </c>
      <c r="S40" s="809">
        <f t="shared" si="6"/>
        <v>0</v>
      </c>
      <c r="T40" s="176">
        <f t="shared" si="7"/>
        <v>6</v>
      </c>
      <c r="U40" s="251">
        <f t="shared" si="8"/>
        <v>0.60084599148681228</v>
      </c>
      <c r="V40" s="383">
        <f t="shared" si="9"/>
        <v>19.744853756871088</v>
      </c>
      <c r="W40" s="402">
        <f t="shared" si="10"/>
        <v>18.764354019369065</v>
      </c>
      <c r="X40" s="157">
        <f t="shared" si="11"/>
        <v>44952</v>
      </c>
      <c r="Y40" s="385">
        <f t="shared" si="12"/>
        <v>17.82191735416087</v>
      </c>
      <c r="Z40" s="385">
        <f t="shared" si="22"/>
        <v>18.929988393374085</v>
      </c>
      <c r="AA40" s="386">
        <f t="shared" si="13"/>
        <v>22.410916407889992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0.15532287708192119</v>
      </c>
      <c r="AD40" s="231">
        <f>(INDEX(Models!$BJ40:$BT40,,AH40)*(1-AF40)+INDEX(Models!$BJ40:$BT40,,AH40+1)*AF40-ERP_i)*AE40*Ramure*Pc/MaxiM</f>
        <v>2.1628663451925836E-2</v>
      </c>
      <c r="AE40" s="305">
        <f t="shared" si="15"/>
        <v>0.8</v>
      </c>
      <c r="AF40" s="177">
        <f t="shared" si="23"/>
        <v>0.8015627386517159</v>
      </c>
      <c r="AG40" s="809">
        <f t="shared" si="24"/>
        <v>1</v>
      </c>
      <c r="AH40" s="176">
        <f t="shared" si="16"/>
        <v>7</v>
      </c>
      <c r="AI40" s="225">
        <f t="shared" si="17"/>
        <v>1.8015627386517159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1141">
        <f>IF(t&gt;Tmaj,'2022'!Wh/'2022'!Env_an*'2023'!Env_an,0.001*'[3]mon-tableau (2)'!$B$166)</f>
        <v>19.638951444141764</v>
      </c>
      <c r="C41" s="839"/>
      <c r="D41" s="393">
        <f t="shared" si="0"/>
        <v>20.860492237427685</v>
      </c>
      <c r="E41" s="385">
        <f t="shared" si="1"/>
        <v>23.820059500766977</v>
      </c>
      <c r="F41" s="385">
        <f t="shared" si="2"/>
        <v>23.941945635708628</v>
      </c>
      <c r="G41" s="110">
        <f t="shared" si="21"/>
        <v>0.98266345620785234</v>
      </c>
      <c r="H41" s="414" t="b">
        <f>Wh_hp&gt;='2022'!Maxi_hp</f>
        <v>0</v>
      </c>
      <c r="I41" s="390">
        <f>IF(H41,Wh_hp,'2022'!Maxi_hp)</f>
        <v>23.945029081134049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5.8557620759027179E-2</v>
      </c>
      <c r="M41" s="843"/>
      <c r="N41" s="843"/>
      <c r="O41" s="48">
        <f>IF(t&lt;Tnet,'2022'!Resal+('2022'!Salim-'2022'!Resal)*(1-EXP(('2022'!Tnet-t)/('2022'!Tau_j))),Resal+(Salim-Resal)*(1-EXP((Tnet-t)/(Tau_j))))*Salcycl</f>
        <v>0.12424684595116134</v>
      </c>
      <c r="P41" s="169">
        <f>(INDEX(Models!$BJ41:$BT41,,T41)*(1-R41)+INDEX(Models!$BJ41:$BT41,,T41+1)*R41-ERP_i)*Q41*Ramure*Pc/MaxiM</f>
        <v>5.2192201961249168E-3</v>
      </c>
      <c r="Q41" s="305">
        <f t="shared" si="4"/>
        <v>0.8</v>
      </c>
      <c r="R41" s="177">
        <f t="shared" si="5"/>
        <v>0.60094343710499842</v>
      </c>
      <c r="S41" s="809">
        <f t="shared" si="6"/>
        <v>0</v>
      </c>
      <c r="T41" s="176">
        <f t="shared" si="7"/>
        <v>6</v>
      </c>
      <c r="U41" s="251">
        <f t="shared" si="8"/>
        <v>0.60094343710499842</v>
      </c>
      <c r="V41" s="383">
        <f t="shared" si="9"/>
        <v>19.982852135250866</v>
      </c>
      <c r="W41" s="402">
        <f t="shared" si="10"/>
        <v>19.638951444141764</v>
      </c>
      <c r="X41" s="157">
        <f t="shared" si="11"/>
        <v>44953</v>
      </c>
      <c r="Y41" s="385">
        <f t="shared" si="12"/>
        <v>18.64439732153274</v>
      </c>
      <c r="Z41" s="385">
        <f t="shared" si="22"/>
        <v>19.804076948994553</v>
      </c>
      <c r="AA41" s="386">
        <f t="shared" si="13"/>
        <v>23.446512213304935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0.15535083560289398</v>
      </c>
      <c r="AD41" s="231">
        <f>(INDEX(Models!$BJ41:$BT41,,AH41)*(1-AF41)+INDEX(Models!$BJ41:$BT41,,AH41+1)*AF41-ERP_i)*AE41*Ramure*Pc/MaxiM</f>
        <v>2.1214686356922342E-2</v>
      </c>
      <c r="AE41" s="305">
        <f t="shared" si="15"/>
        <v>0.8</v>
      </c>
      <c r="AF41" s="177">
        <f t="shared" si="23"/>
        <v>0.80166018426990182</v>
      </c>
      <c r="AG41" s="809">
        <f t="shared" si="24"/>
        <v>1</v>
      </c>
      <c r="AH41" s="176">
        <f t="shared" si="16"/>
        <v>7</v>
      </c>
      <c r="AI41" s="225">
        <f t="shared" si="17"/>
        <v>1.8016601842699018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1141">
        <f>IF(t&gt;Tmaj,'2022'!Wh/'2022'!Env_an*'2023'!Env_an,0.001*'[3]mon-tableau (2)'!$B$167)</f>
        <v>3.9065013532906385</v>
      </c>
      <c r="C42" s="839"/>
      <c r="D42" s="393">
        <f t="shared" si="0"/>
        <v>4.1495840746314361</v>
      </c>
      <c r="E42" s="385">
        <f t="shared" si="1"/>
        <v>4.7387852056232989</v>
      </c>
      <c r="F42" s="385">
        <f t="shared" si="2"/>
        <v>4.7387852056232989</v>
      </c>
      <c r="G42" s="110">
        <f t="shared" si="21"/>
        <v>0.19218048204722002</v>
      </c>
      <c r="H42" s="414" t="b">
        <f>Wh_hp&gt;='2022'!Maxi_hp</f>
        <v>0</v>
      </c>
      <c r="I42" s="390">
        <f>IF(H42,Wh_hp,'2022'!Maxi_hp)</f>
        <v>16.864393920494742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5.8580020784947756E-2</v>
      </c>
      <c r="M42" s="843"/>
      <c r="N42" s="843"/>
      <c r="O42" s="48">
        <f>IF(t&lt;Tnet,'2022'!Resal+('2022'!Salim-'2022'!Resal)*(1-EXP(('2022'!Tnet-t)/('2022'!Tau_j))),Resal+(Salim-Resal)*(1-EXP((Tnet-t)/(Tau_j))))*Salcycl</f>
        <v>0.12433590159197025</v>
      </c>
      <c r="P42" s="169">
        <f>(INDEX(Models!$BJ42:$BT42,,T42)*(1-R42)+INDEX(Models!$BJ42:$BT42,,T42+1)*R42-ERP_i)*Q42*Ramure*Pc/MaxiM</f>
        <v>5.0799830416520574E-3</v>
      </c>
      <c r="Q42" s="305">
        <f t="shared" si="4"/>
        <v>0.8</v>
      </c>
      <c r="R42" s="177">
        <f t="shared" si="5"/>
        <v>0.60104493702401351</v>
      </c>
      <c r="S42" s="809">
        <f t="shared" si="6"/>
        <v>0</v>
      </c>
      <c r="T42" s="176">
        <f t="shared" si="7"/>
        <v>6</v>
      </c>
      <c r="U42" s="251">
        <f t="shared" si="8"/>
        <v>0.60104493702401351</v>
      </c>
      <c r="V42" s="383">
        <f t="shared" si="9"/>
        <v>20.223991277682163</v>
      </c>
      <c r="W42" s="402">
        <f t="shared" si="10"/>
        <v>3.9065013532906385</v>
      </c>
      <c r="X42" s="157">
        <f t="shared" si="11"/>
        <v>44954</v>
      </c>
      <c r="Y42" s="385">
        <f t="shared" si="12"/>
        <v>3.768012358833507</v>
      </c>
      <c r="Z42" s="385">
        <f t="shared" si="22"/>
        <v>4.0024775785778868</v>
      </c>
      <c r="AA42" s="386">
        <f t="shared" si="13"/>
        <v>4.7387852056232989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0.15537898324061411</v>
      </c>
      <c r="AD42" s="231">
        <f>(INDEX(Models!$BJ42:$BT42,,AH42)*(1-AF42)+INDEX(Models!$BJ42:$BT42,,AH42+1)*AF42-ERP_i)*AE42*Ramure*Pc/MaxiM</f>
        <v>2.0797374624667079E-2</v>
      </c>
      <c r="AE42" s="305">
        <f t="shared" si="15"/>
        <v>0.8</v>
      </c>
      <c r="AF42" s="177">
        <f t="shared" si="23"/>
        <v>0.80176168418891702</v>
      </c>
      <c r="AG42" s="809">
        <f t="shared" si="24"/>
        <v>1</v>
      </c>
      <c r="AH42" s="176">
        <f t="shared" si="16"/>
        <v>7</v>
      </c>
      <c r="AI42" s="225">
        <f t="shared" si="17"/>
        <v>1.801761684188917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1141">
        <f>IF(t&gt;Tmaj,'2022'!Wh/'2022'!Env_an*'2023'!Env_an,0.001*'[3]mon-tableau (2)'!$B$168)</f>
        <v>7.7518048620367335</v>
      </c>
      <c r="C43" s="839"/>
      <c r="D43" s="393">
        <f t="shared" si="0"/>
        <v>8.2343581809731194</v>
      </c>
      <c r="E43" s="385">
        <f t="shared" si="1"/>
        <v>9.4045147189483078</v>
      </c>
      <c r="F43" s="385">
        <f t="shared" si="2"/>
        <v>9.409754111483176</v>
      </c>
      <c r="G43" s="110">
        <f t="shared" si="21"/>
        <v>0.37706133363645877</v>
      </c>
      <c r="H43" s="414" t="b">
        <f>Wh_hp&gt;='2022'!Maxi_hp</f>
        <v>0</v>
      </c>
      <c r="I43" s="390">
        <f>IF(H43,Wh_hp,'2022'!Maxi_hp)</f>
        <v>15.521194705525005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5.8602420289587093E-2</v>
      </c>
      <c r="M43" s="843"/>
      <c r="N43" s="843"/>
      <c r="O43" s="48">
        <f>IF(t&lt;Tnet,'2022'!Resal+('2022'!Salim-'2022'!Resal)*(1-EXP(('2022'!Tnet-t)/('2022'!Tau_j))),Resal+(Salim-Resal)*(1-EXP((Tnet-t)/(Tau_j))))*Salcycl</f>
        <v>0.12442497810307485</v>
      </c>
      <c r="P43" s="169">
        <f>(INDEX(Models!$BJ43:$BT43,,T43)*(1-R43)+INDEX(Models!$BJ43:$BT43,,T43+1)*R43-ERP_i)*Q43*Ramure*Pc/MaxiM</f>
        <v>4.9508559131897847E-3</v>
      </c>
      <c r="Q43" s="305">
        <f t="shared" si="4"/>
        <v>0.8</v>
      </c>
      <c r="R43" s="177">
        <f t="shared" si="5"/>
        <v>0.60115065845835591</v>
      </c>
      <c r="S43" s="809">
        <f t="shared" si="6"/>
        <v>0</v>
      </c>
      <c r="T43" s="176">
        <f t="shared" si="7"/>
        <v>6</v>
      </c>
      <c r="U43" s="251">
        <f t="shared" si="8"/>
        <v>0.60115065845835591</v>
      </c>
      <c r="V43" s="383">
        <f t="shared" si="9"/>
        <v>20.468086667528475</v>
      </c>
      <c r="W43" s="402">
        <f t="shared" si="10"/>
        <v>7.7518048620367335</v>
      </c>
      <c r="X43" s="157">
        <f t="shared" si="11"/>
        <v>44955</v>
      </c>
      <c r="Y43" s="385">
        <f t="shared" si="12"/>
        <v>7.4645258666968761</v>
      </c>
      <c r="Z43" s="385">
        <f t="shared" si="22"/>
        <v>7.9291959397145133</v>
      </c>
      <c r="AA43" s="386">
        <f t="shared" si="13"/>
        <v>9.3881892734364314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0.15540731990247481</v>
      </c>
      <c r="AD43" s="231">
        <f>(INDEX(Models!$BJ43:$BT43,,AH43)*(1-AF43)+INDEX(Models!$BJ43:$BT43,,AH43+1)*AF43-ERP_i)*AE43*Ramure*Pc/MaxiM</f>
        <v>2.0377248936815102E-2</v>
      </c>
      <c r="AE43" s="305">
        <f t="shared" si="15"/>
        <v>0.8</v>
      </c>
      <c r="AF43" s="177">
        <f t="shared" si="23"/>
        <v>0.80186740562325931</v>
      </c>
      <c r="AG43" s="809">
        <f t="shared" si="24"/>
        <v>1</v>
      </c>
      <c r="AH43" s="176">
        <f t="shared" si="16"/>
        <v>7</v>
      </c>
      <c r="AI43" s="225">
        <f t="shared" si="17"/>
        <v>1.8018674056232593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1141">
        <f>IF(t&gt;Tmaj,'2022'!Wh/'2022'!Env_an*'2023'!Env_an,0.001*'[3]mon-tableau (2)'!$B$169)</f>
        <v>4.0823079830311553</v>
      </c>
      <c r="C44" s="839"/>
      <c r="D44" s="393">
        <f t="shared" si="0"/>
        <v>4.3365366610561233</v>
      </c>
      <c r="E44" s="385">
        <f t="shared" si="1"/>
        <v>4.953291121692061</v>
      </c>
      <c r="F44" s="385">
        <f t="shared" si="2"/>
        <v>4.953291121692061</v>
      </c>
      <c r="G44" s="110">
        <f t="shared" si="21"/>
        <v>0.19611841557675522</v>
      </c>
      <c r="H44" s="414" t="b">
        <f>Wh_hp&gt;='2022'!Maxi_hp</f>
        <v>0</v>
      </c>
      <c r="I44" s="390">
        <f>IF(H44,Wh_hp,'2022'!Maxi_hp)</f>
        <v>11.334187659797209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5.8624819272957179E-2</v>
      </c>
      <c r="M44" s="843"/>
      <c r="N44" s="843"/>
      <c r="O44" s="48">
        <f>IF(t&lt;Tnet,'2022'!Resal+('2022'!Salim-'2022'!Resal)*(1-EXP(('2022'!Tnet-t)/('2022'!Tau_j))),Resal+(Salim-Resal)*(1-EXP((Tnet-t)/(Tau_j))))*Salcycl</f>
        <v>0.12451407467955405</v>
      </c>
      <c r="P44" s="169">
        <f>(INDEX(Models!$BJ44:$BT44,,T44)*(1-R44)+INDEX(Models!$BJ44:$BT44,,T44+1)*R44-ERP_i)*Q44*Ramure*Pc/MaxiM</f>
        <v>4.8387087798400759E-3</v>
      </c>
      <c r="Q44" s="305">
        <f t="shared" si="4"/>
        <v>0.8</v>
      </c>
      <c r="R44" s="177">
        <f t="shared" si="5"/>
        <v>0.60126077539394807</v>
      </c>
      <c r="S44" s="809">
        <f t="shared" si="6"/>
        <v>0</v>
      </c>
      <c r="T44" s="176">
        <f t="shared" si="7"/>
        <v>6</v>
      </c>
      <c r="U44" s="251">
        <f t="shared" si="8"/>
        <v>0.60126077539394807</v>
      </c>
      <c r="V44" s="383">
        <f t="shared" si="9"/>
        <v>20.71480575449419</v>
      </c>
      <c r="W44" s="402">
        <f t="shared" si="10"/>
        <v>4.0823079830311553</v>
      </c>
      <c r="X44" s="157">
        <f t="shared" si="11"/>
        <v>44956</v>
      </c>
      <c r="Y44" s="385">
        <f t="shared" si="12"/>
        <v>3.9381227008028352</v>
      </c>
      <c r="Z44" s="385">
        <f t="shared" si="22"/>
        <v>4.1833721362415188</v>
      </c>
      <c r="AA44" s="386">
        <f t="shared" si="13"/>
        <v>4.953291121692061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0.15543584387334269</v>
      </c>
      <c r="AD44" s="231">
        <f>(INDEX(Models!$BJ44:$BT44,,AH44)*(1-AF44)+INDEX(Models!$BJ44:$BT44,,AH44+1)*AF44-ERP_i)*AE44*Ramure*Pc/MaxiM</f>
        <v>1.9966833894012923E-2</v>
      </c>
      <c r="AE44" s="305">
        <f t="shared" si="15"/>
        <v>0.8</v>
      </c>
      <c r="AF44" s="177">
        <f t="shared" si="23"/>
        <v>0.80197752255885146</v>
      </c>
      <c r="AG44" s="809">
        <f t="shared" si="24"/>
        <v>1</v>
      </c>
      <c r="AH44" s="176">
        <f t="shared" si="16"/>
        <v>7</v>
      </c>
      <c r="AI44" s="225">
        <f t="shared" si="17"/>
        <v>1.8019775225588515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1141">
        <f>IF(t&gt;Tmaj,'2022'!Wh/'2022'!Env_an*'2023'!Env_an,0.001*'[3]mon-tableau (2)'!$B$170)</f>
        <v>8.428309627462033</v>
      </c>
      <c r="C45" s="839"/>
      <c r="D45" s="393">
        <f t="shared" si="0"/>
        <v>8.9534017280781892</v>
      </c>
      <c r="E45" s="385">
        <f t="shared" si="1"/>
        <v>10.227820820606851</v>
      </c>
      <c r="F45" s="385">
        <f t="shared" si="2"/>
        <v>10.234899328537166</v>
      </c>
      <c r="G45" s="110">
        <f t="shared" si="21"/>
        <v>0.40040801102290163</v>
      </c>
      <c r="H45" s="414" t="b">
        <f>Wh_hp&gt;='2022'!Maxi_hp</f>
        <v>0</v>
      </c>
      <c r="I45" s="390">
        <f>IF(H45,Wh_hp,'2022'!Maxi_hp)</f>
        <v>19.643738017718885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5.8647217735070228E-2</v>
      </c>
      <c r="M45" s="843"/>
      <c r="N45" s="843"/>
      <c r="O45" s="48">
        <f>IF(t&lt;Tnet,'2022'!Resal+('2022'!Salim-'2022'!Resal)*(1-EXP(('2022'!Tnet-t)/('2022'!Tau_j))),Resal+(Salim-Resal)*(1-EXP((Tnet-t)/(Tau_j))))*Salcycl</f>
        <v>0.12460318917212392</v>
      </c>
      <c r="P45" s="169">
        <f>(INDEX(Models!$BJ45:$BT45,,T45)*(1-R45)+INDEX(Models!$BJ45:$BT45,,T45+1)*R45-ERP_i)*Q45*Ramure*Pc/MaxiM</f>
        <v>4.7445152366721432E-3</v>
      </c>
      <c r="Q45" s="305">
        <f t="shared" si="4"/>
        <v>0.8</v>
      </c>
      <c r="R45" s="177">
        <f t="shared" si="5"/>
        <v>0.60137546885166415</v>
      </c>
      <c r="S45" s="809">
        <f t="shared" si="6"/>
        <v>0</v>
      </c>
      <c r="T45" s="176">
        <f t="shared" si="7"/>
        <v>6</v>
      </c>
      <c r="U45" s="251">
        <f t="shared" si="8"/>
        <v>0.60137546885166415</v>
      </c>
      <c r="V45" s="383">
        <f t="shared" si="9"/>
        <v>20.963933221394555</v>
      </c>
      <c r="W45" s="402">
        <f t="shared" si="10"/>
        <v>8.428309627462033</v>
      </c>
      <c r="X45" s="157">
        <f t="shared" si="11"/>
        <v>44957</v>
      </c>
      <c r="Y45" s="385">
        <f t="shared" si="12"/>
        <v>8.1135831892658956</v>
      </c>
      <c r="Z45" s="385">
        <f t="shared" si="22"/>
        <v>8.6190675187088868</v>
      </c>
      <c r="AA45" s="386">
        <f t="shared" si="13"/>
        <v>10.205690639443294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0.15546455176706744</v>
      </c>
      <c r="AD45" s="231">
        <f>(INDEX(Models!$BJ45:$BT45,,AH45)*(1-AF45)+INDEX(Models!$BJ45:$BT45,,AH45+1)*AF45-ERP_i)*AE45*Ramure*Pc/MaxiM</f>
        <v>1.9577723414789902E-2</v>
      </c>
      <c r="AE45" s="305">
        <f t="shared" si="15"/>
        <v>0.8</v>
      </c>
      <c r="AF45" s="177">
        <f t="shared" si="23"/>
        <v>0.80209221601656755</v>
      </c>
      <c r="AG45" s="809">
        <f t="shared" si="24"/>
        <v>1</v>
      </c>
      <c r="AH45" s="176">
        <f t="shared" si="16"/>
        <v>7</v>
      </c>
      <c r="AI45" s="225">
        <f t="shared" si="17"/>
        <v>1.8020922160165675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1141">
        <f>IF(t&gt;Tmaj,'2022'!Wh/'2022'!Env_an*'2023'!Env_an,0.001*'[4]mon-tableau'!$B$128)</f>
        <v>8.2537388618526837</v>
      </c>
      <c r="C46" s="839"/>
      <c r="D46" s="393">
        <f t="shared" si="0"/>
        <v>8.7681636535926977</v>
      </c>
      <c r="E46" s="385">
        <f t="shared" si="1"/>
        <v>10.017236035499737</v>
      </c>
      <c r="F46" s="385">
        <f t="shared" si="2"/>
        <v>10.023187611485319</v>
      </c>
      <c r="G46" s="110">
        <f t="shared" si="21"/>
        <v>0.3874609086059963</v>
      </c>
      <c r="H46" s="414" t="b">
        <f>Wh_hp&gt;='2022'!Maxi_hp</f>
        <v>0</v>
      </c>
      <c r="I46" s="390">
        <f>IF(H46,Wh_hp,'2022'!Maxi_hp)</f>
        <v>19.85137426834298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5.8669615675938341E-2</v>
      </c>
      <c r="M46" s="843"/>
      <c r="N46" s="843"/>
      <c r="O46" s="48">
        <f>IF(t&lt;Tnet,'2022'!Resal+('2022'!Salim-'2022'!Resal)*(1-EXP(('2022'!Tnet-t)/('2022'!Tau_j))),Resal+(Salim-Resal)*(1-EXP((Tnet-t)/(Tau_j))))*Salcycl</f>
        <v>0.12469231806862646</v>
      </c>
      <c r="P46" s="169">
        <f>(INDEX(Models!$BJ46:$BT46,,T46)*(1-R46)+INDEX(Models!$BJ46:$BT46,,T46+1)*R46-ERP_i)*Q46*Ramure*Pc/MaxiM</f>
        <v>4.6677308854839528E-3</v>
      </c>
      <c r="Q46" s="305">
        <f t="shared" si="4"/>
        <v>0.8</v>
      </c>
      <c r="R46" s="177">
        <f t="shared" si="5"/>
        <v>0.6014949271601927</v>
      </c>
      <c r="S46" s="809">
        <f t="shared" si="6"/>
        <v>0</v>
      </c>
      <c r="T46" s="176">
        <f t="shared" si="7"/>
        <v>6</v>
      </c>
      <c r="U46" s="251">
        <f t="shared" si="8"/>
        <v>0.6014949271601927</v>
      </c>
      <c r="V46" s="383">
        <f t="shared" si="9"/>
        <v>21.215284899441965</v>
      </c>
      <c r="W46" s="402">
        <f t="shared" si="10"/>
        <v>8.2537388618526837</v>
      </c>
      <c r="X46" s="157">
        <f t="shared" si="11"/>
        <v>44958</v>
      </c>
      <c r="Y46" s="385">
        <f t="shared" si="12"/>
        <v>7.9485591269391334</v>
      </c>
      <c r="Z46" s="385">
        <f t="shared" si="22"/>
        <v>8.443963202830993</v>
      </c>
      <c r="AA46" s="386">
        <f t="shared" si="13"/>
        <v>9.9986946080215251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0.15549343850778666</v>
      </c>
      <c r="AD46" s="231">
        <f>(INDEX(Models!$BJ46:$BT46,,AH46)*(1-AF46)+INDEX(Models!$BJ46:$BT46,,AH46+1)*AF46-ERP_i)*AE46*Ramure*Pc/MaxiM</f>
        <v>1.9209491573856985E-2</v>
      </c>
      <c r="AE46" s="305">
        <f t="shared" si="15"/>
        <v>0.8</v>
      </c>
      <c r="AF46" s="177">
        <f t="shared" si="23"/>
        <v>0.80221167432509621</v>
      </c>
      <c r="AG46" s="809">
        <f t="shared" si="24"/>
        <v>1</v>
      </c>
      <c r="AH46" s="176">
        <f t="shared" si="16"/>
        <v>7</v>
      </c>
      <c r="AI46" s="225">
        <f t="shared" si="17"/>
        <v>1.8022116743250962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1141">
        <f>IF(t&gt;Tmaj,'2022'!Wh/'2022'!Env_an*'2023'!Env_an,0.001*'[4]mon-tableau'!$B$129)</f>
        <v>4.954495634059934</v>
      </c>
      <c r="C47" s="839"/>
      <c r="D47" s="393">
        <f t="shared" si="0"/>
        <v>5.263416122021046</v>
      </c>
      <c r="E47" s="385">
        <f t="shared" si="1"/>
        <v>6.0138306724706512</v>
      </c>
      <c r="F47" s="385">
        <f t="shared" si="2"/>
        <v>6.0138306724706512</v>
      </c>
      <c r="G47" s="110">
        <f t="shared" si="21"/>
        <v>0.22971449343608011</v>
      </c>
      <c r="H47" s="414" t="b">
        <f>Wh_hp&gt;='2022'!Maxi_hp</f>
        <v>0</v>
      </c>
      <c r="I47" s="390">
        <f>IF(H47,Wh_hp,'2022'!Maxi_hp)</f>
        <v>23.358776993635303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5.869201309557362E-2</v>
      </c>
      <c r="M47" s="843"/>
      <c r="N47" s="843"/>
      <c r="O47" s="48">
        <f>IF(t&lt;Tnet,'2022'!Resal+('2022'!Salim-'2022'!Resal)*(1-EXP(('2022'!Tnet-t)/('2022'!Tau_j))),Resal+(Salim-Resal)*(1-EXP((Tnet-t)/(Tau_j))))*Salcycl</f>
        <v>0.12478145649905929</v>
      </c>
      <c r="P47" s="169">
        <f>(INDEX(Models!$BJ47:$BT47,,T47)*(1-R47)+INDEX(Models!$BJ47:$BT47,,T47+1)*R47-ERP_i)*Q47*Ramure*Pc/MaxiM</f>
        <v>4.607821915839902E-3</v>
      </c>
      <c r="Q47" s="305">
        <f t="shared" si="4"/>
        <v>0.8</v>
      </c>
      <c r="R47" s="177">
        <f t="shared" si="5"/>
        <v>0.60161934623848656</v>
      </c>
      <c r="S47" s="809">
        <f t="shared" si="6"/>
        <v>0</v>
      </c>
      <c r="T47" s="176">
        <f t="shared" si="7"/>
        <v>6</v>
      </c>
      <c r="U47" s="251">
        <f t="shared" si="8"/>
        <v>0.60161934623848656</v>
      </c>
      <c r="V47" s="383">
        <f t="shared" si="9"/>
        <v>21.468676733136366</v>
      </c>
      <c r="W47" s="402">
        <f t="shared" si="10"/>
        <v>4.954495634059934</v>
      </c>
      <c r="X47" s="157">
        <f t="shared" si="11"/>
        <v>44959</v>
      </c>
      <c r="Y47" s="385">
        <f t="shared" si="12"/>
        <v>4.7804746952134698</v>
      </c>
      <c r="Z47" s="385">
        <f t="shared" si="22"/>
        <v>5.0785447077045189</v>
      </c>
      <c r="AA47" s="386">
        <f t="shared" si="13"/>
        <v>6.0138306724706512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0.15552249734059942</v>
      </c>
      <c r="AD47" s="231">
        <f>(INDEX(Models!$BJ47:$BT47,,AH47)*(1-AF47)+INDEX(Models!$BJ47:$BT47,,AH47+1)*AF47-ERP_i)*AE47*Ramure*Pc/MaxiM</f>
        <v>1.886170133197514E-2</v>
      </c>
      <c r="AE47" s="305">
        <f t="shared" si="15"/>
        <v>0.8</v>
      </c>
      <c r="AF47" s="177">
        <f t="shared" si="23"/>
        <v>0.80233609340339007</v>
      </c>
      <c r="AG47" s="809">
        <f t="shared" si="24"/>
        <v>1</v>
      </c>
      <c r="AH47" s="176">
        <f t="shared" si="16"/>
        <v>7</v>
      </c>
      <c r="AI47" s="225">
        <f t="shared" si="17"/>
        <v>1.8023360934033901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1141">
        <f>IF(t&gt;Tmaj,'2022'!Wh/'2022'!Env_an*'2023'!Env_an,0.001*'[4]mon-tableau'!$B$130)</f>
        <v>9.0309075544326589</v>
      </c>
      <c r="C48" s="839"/>
      <c r="D48" s="393">
        <f t="shared" si="0"/>
        <v>9.5942269278497943</v>
      </c>
      <c r="E48" s="385">
        <f t="shared" si="1"/>
        <v>10.963209450869591</v>
      </c>
      <c r="F48" s="385">
        <f t="shared" si="2"/>
        <v>10.97148732542318</v>
      </c>
      <c r="G48" s="110">
        <f t="shared" si="21"/>
        <v>0.41412755401580398</v>
      </c>
      <c r="H48" s="414" t="b">
        <f>Wh_hp&gt;='2022'!Maxi_hp</f>
        <v>0</v>
      </c>
      <c r="I48" s="390">
        <f>IF(H48,Wh_hp,'2022'!Maxi_hp)</f>
        <v>21.831324615372054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5.8714409993988276E-2</v>
      </c>
      <c r="M48" s="843"/>
      <c r="N48" s="843"/>
      <c r="O48" s="48">
        <f>IF(t&lt;Tnet,'2022'!Resal+('2022'!Salim-'2022'!Resal)*(1-EXP(('2022'!Tnet-t)/('2022'!Tau_j))),Resal+(Salim-Resal)*(1-EXP((Tnet-t)/(Tau_j))))*Salcycl</f>
        <v>0.12487059826365089</v>
      </c>
      <c r="P48" s="169">
        <f>(INDEX(Models!$BJ48:$BT48,,T48)*(1-R48)+INDEX(Models!$BJ48:$BT48,,T48+1)*R48-ERP_i)*Q48*Ramure*Pc/MaxiM</f>
        <v>4.5642667301509414E-3</v>
      </c>
      <c r="Q48" s="305">
        <f t="shared" si="4"/>
        <v>0.8</v>
      </c>
      <c r="R48" s="177">
        <f t="shared" si="5"/>
        <v>0.60174892988804618</v>
      </c>
      <c r="S48" s="809">
        <f t="shared" si="6"/>
        <v>0</v>
      </c>
      <c r="T48" s="176">
        <f t="shared" si="7"/>
        <v>6</v>
      </c>
      <c r="U48" s="251">
        <f t="shared" si="8"/>
        <v>0.60174892988804618</v>
      </c>
      <c r="V48" s="383">
        <f t="shared" si="9"/>
        <v>21.723924778627534</v>
      </c>
      <c r="W48" s="402">
        <f t="shared" si="10"/>
        <v>9.0309075544326589</v>
      </c>
      <c r="X48" s="157">
        <f t="shared" si="11"/>
        <v>44960</v>
      </c>
      <c r="Y48" s="385">
        <f t="shared" si="12"/>
        <v>8.694154860989288</v>
      </c>
      <c r="Z48" s="385">
        <f t="shared" si="22"/>
        <v>9.2364686693373912</v>
      </c>
      <c r="AA48" s="386">
        <f t="shared" si="13"/>
        <v>10.937873741569032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0.15555171987088368</v>
      </c>
      <c r="AD48" s="231">
        <f>(INDEX(Models!$BJ48:$BT48,,AH48)*(1-AF48)+INDEX(Models!$BJ48:$BT48,,AH48+1)*AF48-ERP_i)*AE48*Ramure*Pc/MaxiM</f>
        <v>1.8533907644220037E-2</v>
      </c>
      <c r="AE48" s="305">
        <f t="shared" si="15"/>
        <v>0.8</v>
      </c>
      <c r="AF48" s="177">
        <f t="shared" si="23"/>
        <v>0.80246567705294969</v>
      </c>
      <c r="AG48" s="809">
        <f t="shared" si="24"/>
        <v>1</v>
      </c>
      <c r="AH48" s="176">
        <f t="shared" si="16"/>
        <v>7</v>
      </c>
      <c r="AI48" s="225">
        <f t="shared" si="17"/>
        <v>1.8024656770529497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1141">
        <f>IF(t&gt;Tmaj,'2022'!Wh/'2022'!Env_an*'2023'!Env_an,0.001*'[4]mon-tableau'!$B$131)</f>
        <v>8.2136198991977292</v>
      </c>
      <c r="C49" s="839"/>
      <c r="D49" s="393">
        <f t="shared" si="0"/>
        <v>8.7261670856715057</v>
      </c>
      <c r="E49" s="385">
        <f t="shared" si="1"/>
        <v>9.9723034967763571</v>
      </c>
      <c r="F49" s="385">
        <f t="shared" si="2"/>
        <v>9.9770670604530327</v>
      </c>
      <c r="G49" s="110">
        <f t="shared" si="21"/>
        <v>0.37215420724318249</v>
      </c>
      <c r="H49" s="414" t="b">
        <f>Wh_hp&gt;='2022'!Maxi_hp</f>
        <v>0</v>
      </c>
      <c r="I49" s="390">
        <f>IF(H49,Wh_hp,'2022'!Maxi_hp)</f>
        <v>19.89663781404116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5.8736806371194411E-2</v>
      </c>
      <c r="M49" s="843"/>
      <c r="N49" s="843"/>
      <c r="O49" s="48">
        <f>IF(t&lt;Tnet,'2022'!Resal+('2022'!Salim-'2022'!Resal)*(1-EXP(('2022'!Tnet-t)/('2022'!Tau_j))),Resal+(Salim-Resal)*(1-EXP((Tnet-t)/(Tau_j))))*Salcycl</f>
        <v>0.12495973588325678</v>
      </c>
      <c r="P49" s="169">
        <f>(INDEX(Models!$BJ49:$BT49,,T49)*(1-R49)+INDEX(Models!$BJ49:$BT49,,T49+1)*R49-ERP_i)*Q49*Ramure*Pc/MaxiM</f>
        <v>4.5365573310463883E-3</v>
      </c>
      <c r="Q49" s="305">
        <f t="shared" si="4"/>
        <v>0.8</v>
      </c>
      <c r="R49" s="177">
        <f t="shared" si="5"/>
        <v>0.60188389009528531</v>
      </c>
      <c r="S49" s="809">
        <f t="shared" si="6"/>
        <v>0</v>
      </c>
      <c r="T49" s="176">
        <f t="shared" si="7"/>
        <v>6</v>
      </c>
      <c r="U49" s="251">
        <f t="shared" si="8"/>
        <v>0.60188389009528531</v>
      </c>
      <c r="V49" s="383">
        <f t="shared" si="9"/>
        <v>21.980845198415736</v>
      </c>
      <c r="W49" s="402">
        <f t="shared" si="10"/>
        <v>8.2136198991977292</v>
      </c>
      <c r="X49" s="157">
        <f t="shared" si="11"/>
        <v>44961</v>
      </c>
      <c r="Y49" s="385">
        <f t="shared" si="12"/>
        <v>7.9147657696720444</v>
      </c>
      <c r="Z49" s="385">
        <f t="shared" si="22"/>
        <v>8.4086638288262794</v>
      </c>
      <c r="AA49" s="386">
        <f t="shared" si="13"/>
        <v>9.9579294000898599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0.15558109613124996</v>
      </c>
      <c r="AD49" s="231">
        <f>(INDEX(Models!$BJ49:$BT49,,AH49)*(1-AF49)+INDEX(Models!$BJ49:$BT49,,AH49+1)*AF49-ERP_i)*AE49*Ramure*Pc/MaxiM</f>
        <v>1.8225660306534025E-2</v>
      </c>
      <c r="AE49" s="305">
        <f t="shared" si="15"/>
        <v>0.8</v>
      </c>
      <c r="AF49" s="177">
        <f t="shared" si="23"/>
        <v>0.80260063726018882</v>
      </c>
      <c r="AG49" s="809">
        <f t="shared" si="24"/>
        <v>1</v>
      </c>
      <c r="AH49" s="176">
        <f t="shared" si="16"/>
        <v>7</v>
      </c>
      <c r="AI49" s="225">
        <f t="shared" si="17"/>
        <v>1.8026006372601888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1141">
        <f>IF(t&gt;Tmaj,'2022'!Wh/'2022'!Env_an*'2023'!Env_an,0.001*'[4]mon-tableau'!$B$132)</f>
        <v>8.5222426306523662</v>
      </c>
      <c r="C50" s="839"/>
      <c r="D50" s="393">
        <f t="shared" si="0"/>
        <v>9.0542639575526884</v>
      </c>
      <c r="E50" s="385">
        <f t="shared" si="1"/>
        <v>10.348308094664324</v>
      </c>
      <c r="F50" s="385">
        <f t="shared" si="2"/>
        <v>10.35387620384966</v>
      </c>
      <c r="G50" s="110">
        <f t="shared" si="21"/>
        <v>0.38167876536140932</v>
      </c>
      <c r="H50" s="414" t="b">
        <f>Wh_hp&gt;='2022'!Maxi_hp</f>
        <v>0</v>
      </c>
      <c r="I50" s="390">
        <f>IF(H50,Wh_hp,'2022'!Maxi_hp)</f>
        <v>27.074904186376749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5.8759202227204016E-2</v>
      </c>
      <c r="M50" s="843"/>
      <c r="N50" s="843"/>
      <c r="O50" s="48">
        <f>IF(t&lt;Tnet,'2022'!Resal+('2022'!Salim-'2022'!Resal)*(1-EXP(('2022'!Tnet-t)/('2022'!Tau_j))),Resal+(Salim-Resal)*(1-EXP((Tnet-t)/(Tau_j))))*Salcycl</f>
        <v>0.12504886067113288</v>
      </c>
      <c r="P50" s="169">
        <f>(INDEX(Models!$BJ50:$BT50,,T50)*(1-R50)+INDEX(Models!$BJ50:$BT50,,T50+1)*R50-ERP_i)*Q50*Ramure*Pc/MaxiM</f>
        <v>4.5242004901082369E-3</v>
      </c>
      <c r="Q50" s="305">
        <f t="shared" si="4"/>
        <v>0.8</v>
      </c>
      <c r="R50" s="177">
        <f t="shared" si="5"/>
        <v>0.60202444734422234</v>
      </c>
      <c r="S50" s="809">
        <f t="shared" si="6"/>
        <v>0</v>
      </c>
      <c r="T50" s="176">
        <f t="shared" si="7"/>
        <v>6</v>
      </c>
      <c r="U50" s="251">
        <f t="shared" si="8"/>
        <v>0.60202444734422234</v>
      </c>
      <c r="V50" s="383">
        <f t="shared" si="9"/>
        <v>22.239254262298111</v>
      </c>
      <c r="W50" s="402">
        <f t="shared" si="10"/>
        <v>8.5222426306523662</v>
      </c>
      <c r="X50" s="157">
        <f t="shared" si="11"/>
        <v>44962</v>
      </c>
      <c r="Y50" s="385">
        <f t="shared" si="12"/>
        <v>8.2114441468753316</v>
      </c>
      <c r="Z50" s="385">
        <f t="shared" si="22"/>
        <v>8.7240631369842863</v>
      </c>
      <c r="AA50" s="386">
        <f t="shared" si="13"/>
        <v>10.331801048902312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0.15561061467485751</v>
      </c>
      <c r="AD50" s="231">
        <f>(INDEX(Models!$BJ50:$BT50,,AH50)*(1-AF50)+INDEX(Models!$BJ50:$BT50,,AH50+1)*AF50-ERP_i)*AE50*Ramure*Pc/MaxiM</f>
        <v>1.7936506542476062E-2</v>
      </c>
      <c r="AE50" s="305">
        <f t="shared" si="15"/>
        <v>0.8</v>
      </c>
      <c r="AF50" s="177">
        <f t="shared" si="23"/>
        <v>0.80274119450912584</v>
      </c>
      <c r="AG50" s="809">
        <f t="shared" si="24"/>
        <v>1</v>
      </c>
      <c r="AH50" s="176">
        <f t="shared" si="16"/>
        <v>7</v>
      </c>
      <c r="AI50" s="225">
        <f t="shared" si="17"/>
        <v>1.8027411945091258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1141">
        <f>IF(t&gt;Tmaj,'2022'!Wh/'2022'!Env_an*'2023'!Env_an,0.001*'[4]mon-tableau'!$B$133)</f>
        <v>14.77299937018644</v>
      </c>
      <c r="C51" s="839"/>
      <c r="D51" s="393">
        <f t="shared" si="0"/>
        <v>15.69561255062693</v>
      </c>
      <c r="E51" s="385">
        <f t="shared" si="1"/>
        <v>17.940671652993668</v>
      </c>
      <c r="F51" s="385">
        <f t="shared" si="2"/>
        <v>17.98214185585919</v>
      </c>
      <c r="G51" s="110">
        <f t="shared" si="21"/>
        <v>0.65515619000458292</v>
      </c>
      <c r="H51" s="414" t="b">
        <f>Wh_hp&gt;='2022'!Maxi_hp</f>
        <v>0</v>
      </c>
      <c r="I51" s="390">
        <f>IF(H51,Wh_hp,'2022'!Maxi_hp)</f>
        <v>27.752705659425114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5.8781597562029414E-2</v>
      </c>
      <c r="M51" s="843"/>
      <c r="N51" s="843"/>
      <c r="O51" s="48">
        <f>IF(t&lt;Tnet,'2022'!Resal+('2022'!Salim-'2022'!Resal)*(1-EXP(('2022'!Tnet-t)/('2022'!Tau_j))),Resal+(Salim-Resal)*(1-EXP((Tnet-t)/(Tau_j))))*Salcycl</f>
        <v>0.12513796282493786</v>
      </c>
      <c r="P51" s="169">
        <f>(INDEX(Models!$BJ51:$BT51,,T51)*(1-R51)+INDEX(Models!$BJ51:$BT51,,T51+1)*R51-ERP_i)*Q51*Ramure*Pc/MaxiM</f>
        <v>4.5267858946236444E-3</v>
      </c>
      <c r="Q51" s="305">
        <f t="shared" si="4"/>
        <v>0.8</v>
      </c>
      <c r="R51" s="177">
        <f t="shared" si="5"/>
        <v>0.60217083093973534</v>
      </c>
      <c r="S51" s="809">
        <f t="shared" si="6"/>
        <v>0</v>
      </c>
      <c r="T51" s="176">
        <f t="shared" si="7"/>
        <v>6</v>
      </c>
      <c r="U51" s="251">
        <f t="shared" si="8"/>
        <v>0.60217083093973534</v>
      </c>
      <c r="V51" s="383">
        <f t="shared" si="9"/>
        <v>22.498632962944889</v>
      </c>
      <c r="W51" s="402">
        <f t="shared" si="10"/>
        <v>14.77299937018644</v>
      </c>
      <c r="X51" s="157">
        <f t="shared" si="11"/>
        <v>44963</v>
      </c>
      <c r="Y51" s="385">
        <f t="shared" si="12"/>
        <v>14.162272226988854</v>
      </c>
      <c r="Z51" s="385">
        <f t="shared" si="22"/>
        <v>15.04674386976002</v>
      </c>
      <c r="AA51" s="386">
        <f t="shared" si="13"/>
        <v>17.820300050971458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0.15564026269357009</v>
      </c>
      <c r="AD51" s="231">
        <f>(INDEX(Models!$BJ51:$BT51,,AH51)*(1-AF51)+INDEX(Models!$BJ51:$BT51,,AH51+1)*AF51-ERP_i)*AE51*Ramure*Pc/MaxiM</f>
        <v>1.7666255501617358E-2</v>
      </c>
      <c r="AE51" s="305">
        <f t="shared" si="15"/>
        <v>0.8</v>
      </c>
      <c r="AF51" s="177">
        <f t="shared" si="23"/>
        <v>0.80288757810463873</v>
      </c>
      <c r="AG51" s="809">
        <f t="shared" si="24"/>
        <v>1</v>
      </c>
      <c r="AH51" s="176">
        <f t="shared" si="16"/>
        <v>7</v>
      </c>
      <c r="AI51" s="225">
        <f t="shared" si="17"/>
        <v>1.8028875781046387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1141">
        <f>IF(t&gt;Tmaj,'2022'!Wh/'2022'!Env_an*'2023'!Env_an,0.001*'[4]mon-tableau'!$B$134)</f>
        <v>8.5218119585611092</v>
      </c>
      <c r="C52" s="839"/>
      <c r="D52" s="393">
        <f t="shared" si="0"/>
        <v>9.0542372572011907</v>
      </c>
      <c r="E52" s="385">
        <f t="shared" si="1"/>
        <v>10.350385281241872</v>
      </c>
      <c r="F52" s="385">
        <f t="shared" si="2"/>
        <v>10.355391709580944</v>
      </c>
      <c r="G52" s="110">
        <f t="shared" si="21"/>
        <v>0.37291873076178961</v>
      </c>
      <c r="H52" s="414" t="b">
        <f>Wh_hp&gt;='2022'!Maxi_hp</f>
        <v>0</v>
      </c>
      <c r="I52" s="390">
        <f>IF(H52,Wh_hp,'2022'!Maxi_hp)</f>
        <v>19.538155508149512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5.8803992375682707E-2</v>
      </c>
      <c r="M52" s="843"/>
      <c r="N52" s="843"/>
      <c r="O52" s="48">
        <f>IF(t&lt;Tnet,'2022'!Resal+('2022'!Salim-'2022'!Resal)*(1-EXP(('2022'!Tnet-t)/('2022'!Tau_j))),Resal+(Salim-Resal)*(1-EXP((Tnet-t)/(Tau_j))))*Salcycl</f>
        <v>0.12522703153762846</v>
      </c>
      <c r="P52" s="169">
        <f>(INDEX(Models!$BJ52:$BT52,,T52)*(1-R52)+INDEX(Models!$BJ52:$BT52,,T52+1)*R52-ERP_i)*Q52*Ramure*Pc/MaxiM</f>
        <v>4.5462041068252568E-3</v>
      </c>
      <c r="Q52" s="305">
        <f t="shared" si="4"/>
        <v>0.8</v>
      </c>
      <c r="R52" s="177">
        <f t="shared" si="5"/>
        <v>0.602323279341617</v>
      </c>
      <c r="S52" s="809">
        <f t="shared" si="6"/>
        <v>0</v>
      </c>
      <c r="T52" s="176">
        <f t="shared" si="7"/>
        <v>6</v>
      </c>
      <c r="U52" s="251">
        <f t="shared" si="8"/>
        <v>0.602323279341617</v>
      </c>
      <c r="V52" s="383">
        <f t="shared" si="9"/>
        <v>22.758774444590824</v>
      </c>
      <c r="W52" s="402">
        <f t="shared" si="10"/>
        <v>8.5218119585611092</v>
      </c>
      <c r="X52" s="157">
        <f t="shared" si="11"/>
        <v>44964</v>
      </c>
      <c r="Y52" s="385">
        <f t="shared" si="12"/>
        <v>8.2139649165998705</v>
      </c>
      <c r="Z52" s="385">
        <f t="shared" si="22"/>
        <v>8.7271565646913718</v>
      </c>
      <c r="AA52" s="386">
        <f t="shared" si="13"/>
        <v>10.336191814904016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0.15567002615920256</v>
      </c>
      <c r="AD52" s="231">
        <f>(INDEX(Models!$BJ52:$BT52,,AH52)*(1-AF52)+INDEX(Models!$BJ52:$BT52,,AH52+1)*AF52-ERP_i)*AE52*Ramure*Pc/MaxiM</f>
        <v>1.7434912500321493E-2</v>
      </c>
      <c r="AE52" s="305">
        <f t="shared" si="15"/>
        <v>0.8</v>
      </c>
      <c r="AF52" s="177">
        <f t="shared" si="23"/>
        <v>0.80304002650652051</v>
      </c>
      <c r="AG52" s="809">
        <f t="shared" si="24"/>
        <v>1</v>
      </c>
      <c r="AH52" s="176">
        <f t="shared" si="16"/>
        <v>7</v>
      </c>
      <c r="AI52" s="225">
        <f t="shared" si="17"/>
        <v>1.8030400265065205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1141">
        <f>IF(t&gt;Tmaj,'2022'!Wh/'2022'!Env_an*'2023'!Env_an,0.001*'[4]mon-tableau'!$B$135)</f>
        <v>23.232573017839325</v>
      </c>
      <c r="C53" s="839"/>
      <c r="D53" s="393">
        <f t="shared" si="0"/>
        <v>24.684683770079676</v>
      </c>
      <c r="E53" s="385">
        <f t="shared" si="1"/>
        <v>28.221260850544379</v>
      </c>
      <c r="F53" s="385">
        <f t="shared" si="2"/>
        <v>28.35093087832141</v>
      </c>
      <c r="G53" s="110">
        <f t="shared" si="21"/>
        <v>1.009224158935293</v>
      </c>
      <c r="H53" s="414" t="b">
        <f>Wh_hp&gt;='2022'!Maxi_hp</f>
        <v>1</v>
      </c>
      <c r="I53" s="390">
        <f>IF(H53,Wh_hp,'2022'!Maxi_hp)</f>
        <v>28.35093087832141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5.8826386668175884E-2</v>
      </c>
      <c r="M53" s="843"/>
      <c r="N53" s="843"/>
      <c r="O53" s="48">
        <f>IF(t&lt;Tnet,'2022'!Resal+('2022'!Salim-'2022'!Resal)*(1-EXP(('2022'!Tnet-t)/('2022'!Tau_j))),Resal+(Salim-Resal)*(1-EXP((Tnet-t)/(Tau_j))))*Salcycl</f>
        <v>0.12531605512573982</v>
      </c>
      <c r="P53" s="169">
        <f>(INDEX(Models!$BJ53:$BT53,,T53)*(1-R53)+INDEX(Models!$BJ53:$BT53,,T53+1)*R53-ERP_i)*Q53*Ramure*Pc/MaxiM</f>
        <v>4.5737485070087621E-3</v>
      </c>
      <c r="Q53" s="305">
        <f t="shared" si="4"/>
        <v>0.8</v>
      </c>
      <c r="R53" s="177">
        <f t="shared" si="5"/>
        <v>0.60248204050965659</v>
      </c>
      <c r="S53" s="809">
        <f t="shared" si="6"/>
        <v>0</v>
      </c>
      <c r="T53" s="176">
        <f t="shared" si="7"/>
        <v>6</v>
      </c>
      <c r="U53" s="251">
        <f t="shared" si="8"/>
        <v>0.60248204050965659</v>
      </c>
      <c r="V53" s="383">
        <f t="shared" si="9"/>
        <v>23.020230750668041</v>
      </c>
      <c r="W53" s="402">
        <f t="shared" si="10"/>
        <v>23.232573017839325</v>
      </c>
      <c r="X53" s="157">
        <f t="shared" si="11"/>
        <v>44965</v>
      </c>
      <c r="Y53" s="385">
        <f t="shared" si="12"/>
        <v>22.140215234811553</v>
      </c>
      <c r="Z53" s="385">
        <f t="shared" si="22"/>
        <v>23.52405010212043</v>
      </c>
      <c r="AA53" s="386">
        <f t="shared" si="13"/>
        <v>27.862190023554191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0.15569988998590484</v>
      </c>
      <c r="AD53" s="231">
        <f>(INDEX(Models!$BJ53:$BT53,,AH53)*(1-AF53)+INDEX(Models!$BJ53:$BT53,,AH53+1)*AF53-ERP_i)*AE53*Ramure*Pc/MaxiM</f>
        <v>1.7238970278077727E-2</v>
      </c>
      <c r="AE53" s="305">
        <f t="shared" si="15"/>
        <v>0.8</v>
      </c>
      <c r="AF53" s="177">
        <f t="shared" si="23"/>
        <v>0.8031987876745601</v>
      </c>
      <c r="AG53" s="809">
        <f t="shared" si="24"/>
        <v>1</v>
      </c>
      <c r="AH53" s="176">
        <f t="shared" si="16"/>
        <v>7</v>
      </c>
      <c r="AI53" s="225">
        <f t="shared" si="17"/>
        <v>1.8031987876745601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1141">
        <f>IF(t&gt;Tmaj,'2022'!Wh/'2022'!Env_an*'2023'!Env_an,0.001*'[4]mon-tableau'!$B$136)</f>
        <v>22.988229116889315</v>
      </c>
      <c r="C54" s="839"/>
      <c r="D54" s="393">
        <f t="shared" si="0"/>
        <v>24.425648757725568</v>
      </c>
      <c r="E54" s="385">
        <f t="shared" si="1"/>
        <v>27.927954480708372</v>
      </c>
      <c r="F54" s="385">
        <f t="shared" si="2"/>
        <v>28.054920264270034</v>
      </c>
      <c r="G54" s="110">
        <f t="shared" si="21"/>
        <v>0.98724130418756562</v>
      </c>
      <c r="H54" s="414" t="b">
        <f>Wh_hp&gt;='2022'!Maxi_hp</f>
        <v>0</v>
      </c>
      <c r="I54" s="390">
        <f>IF(H54,Wh_hp,'2022'!Maxi_hp)</f>
        <v>28.057262374648079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5.8848780439521159E-2</v>
      </c>
      <c r="M54" s="843"/>
      <c r="N54" s="843"/>
      <c r="O54" s="48">
        <f>IF(t&lt;Tnet,'2022'!Resal+('2022'!Salim-'2022'!Resal)*(1-EXP(('2022'!Tnet-t)/('2022'!Tau_j))),Resal+(Salim-Resal)*(1-EXP((Tnet-t)/(Tau_j))))*Salcycl</f>
        <v>0.12540502117339342</v>
      </c>
      <c r="P54" s="169">
        <f>(INDEX(Models!$BJ54:$BT54,,T54)*(1-R54)+INDEX(Models!$BJ54:$BT54,,T54+1)*R54-ERP_i)*Q54*Ramure*Pc/MaxiM</f>
        <v>4.6090788350931396E-3</v>
      </c>
      <c r="Q54" s="305">
        <f t="shared" si="4"/>
        <v>0.8</v>
      </c>
      <c r="R54" s="177">
        <f t="shared" si="5"/>
        <v>0.6026473722599659</v>
      </c>
      <c r="S54" s="809">
        <f t="shared" si="6"/>
        <v>0</v>
      </c>
      <c r="T54" s="176">
        <f t="shared" si="7"/>
        <v>6</v>
      </c>
      <c r="U54" s="251">
        <f t="shared" si="8"/>
        <v>0.6026473722599659</v>
      </c>
      <c r="V54" s="383">
        <f t="shared" si="9"/>
        <v>23.283367119818891</v>
      </c>
      <c r="W54" s="402">
        <f t="shared" si="10"/>
        <v>22.988229116889315</v>
      </c>
      <c r="X54" s="157">
        <f t="shared" si="11"/>
        <v>44966</v>
      </c>
      <c r="Y54" s="385">
        <f t="shared" si="12"/>
        <v>21.918256007184755</v>
      </c>
      <c r="Z54" s="385">
        <f t="shared" si="22"/>
        <v>23.288771827146611</v>
      </c>
      <c r="AA54" s="386">
        <f t="shared" si="13"/>
        <v>27.584501835067975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0.15572983821155087</v>
      </c>
      <c r="AD54" s="231">
        <f>(INDEX(Models!$BJ54:$BT54,,AH54)*(1-AF54)+INDEX(Models!$BJ54:$BT54,,AH54+1)*AF54-ERP_i)*AE54*Ramure*Pc/MaxiM</f>
        <v>1.7077007401919198E-2</v>
      </c>
      <c r="AE54" s="305">
        <f t="shared" si="15"/>
        <v>0.8</v>
      </c>
      <c r="AF54" s="177">
        <f t="shared" si="23"/>
        <v>0.80336411942486952</v>
      </c>
      <c r="AG54" s="809">
        <f t="shared" si="24"/>
        <v>1</v>
      </c>
      <c r="AH54" s="176">
        <f t="shared" si="16"/>
        <v>7</v>
      </c>
      <c r="AI54" s="225">
        <f t="shared" si="17"/>
        <v>1.8033641194248695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1141">
        <f>IF(t&gt;Tmaj,'2022'!Wh/'2022'!Env_an*'2023'!Env_an,0.001*'[4]mon-tableau'!$B$137)</f>
        <v>21.484473085442456</v>
      </c>
      <c r="C55" s="839"/>
      <c r="D55" s="393">
        <f t="shared" si="0"/>
        <v>22.828408274001269</v>
      </c>
      <c r="E55" s="385">
        <f t="shared" si="1"/>
        <v>26.104344737777243</v>
      </c>
      <c r="F55" s="385">
        <f t="shared" si="2"/>
        <v>26.211007092302484</v>
      </c>
      <c r="G55" s="110">
        <f t="shared" si="21"/>
        <v>0.91181447119130643</v>
      </c>
      <c r="H55" s="414" t="b">
        <f>Wh_hp&gt;='2022'!Maxi_hp</f>
        <v>0</v>
      </c>
      <c r="I55" s="390">
        <f>IF(H55,Wh_hp,'2022'!Maxi_hp)</f>
        <v>26.226274713136441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5.8871173689730633E-2</v>
      </c>
      <c r="M55" s="843"/>
      <c r="N55" s="843"/>
      <c r="O55" s="48">
        <f>IF(t&lt;Tnet,'2022'!Resal+('2022'!Salim-'2022'!Resal)*(1-EXP(('2022'!Tnet-t)/('2022'!Tau_j))),Resal+(Salim-Resal)*(1-EXP((Tnet-t)/(Tau_j))))*Salcycl</f>
        <v>0.12549391669024207</v>
      </c>
      <c r="P55" s="169">
        <f>(INDEX(Models!$BJ55:$BT55,,T55)*(1-R55)+INDEX(Models!$BJ55:$BT55,,T55+1)*R55-ERP_i)*Q55*Ramure*Pc/MaxiM</f>
        <v>4.6518653859198202E-3</v>
      </c>
      <c r="Q55" s="305">
        <f t="shared" si="4"/>
        <v>0.8</v>
      </c>
      <c r="R55" s="177">
        <f t="shared" si="5"/>
        <v>0.60281954263276094</v>
      </c>
      <c r="S55" s="809">
        <f t="shared" si="6"/>
        <v>0</v>
      </c>
      <c r="T55" s="176">
        <f t="shared" si="7"/>
        <v>6</v>
      </c>
      <c r="U55" s="251">
        <f t="shared" si="8"/>
        <v>0.60281954263276094</v>
      </c>
      <c r="V55" s="383">
        <f t="shared" si="9"/>
        <v>23.548548612876647</v>
      </c>
      <c r="W55" s="402">
        <f t="shared" si="10"/>
        <v>21.484473085442456</v>
      </c>
      <c r="X55" s="157">
        <f t="shared" si="11"/>
        <v>44967</v>
      </c>
      <c r="Y55" s="385">
        <f t="shared" si="12"/>
        <v>20.516909103025739</v>
      </c>
      <c r="Z55" s="385">
        <f t="shared" si="22"/>
        <v>21.80031949872691</v>
      </c>
      <c r="AA55" s="386">
        <f t="shared" si="13"/>
        <v>25.822415111474879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0.15575985419584715</v>
      </c>
      <c r="AD55" s="231">
        <f>(INDEX(Models!$BJ55:$BT55,,AH55)*(1-AF55)+INDEX(Models!$BJ55:$BT55,,AH55+1)*AF55-ERP_i)*AE55*Ramure*Pc/MaxiM</f>
        <v>1.694766248976964E-2</v>
      </c>
      <c r="AE55" s="305">
        <f t="shared" si="15"/>
        <v>0.8</v>
      </c>
      <c r="AF55" s="177">
        <f t="shared" si="23"/>
        <v>0.80353628979766434</v>
      </c>
      <c r="AG55" s="809">
        <f t="shared" si="24"/>
        <v>1</v>
      </c>
      <c r="AH55" s="176">
        <f t="shared" si="16"/>
        <v>7</v>
      </c>
      <c r="AI55" s="225">
        <f t="shared" si="17"/>
        <v>1.8035362897976643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1141">
        <f>IF(t&gt;Tmaj,'2022'!Wh/'2022'!Env_an*'2023'!Env_an,0.001*'[4]mon-tableau'!$B$138)</f>
        <v>14.20244510173559</v>
      </c>
      <c r="C56" s="839"/>
      <c r="D56" s="393">
        <f t="shared" si="0"/>
        <v>15.091220923536946</v>
      </c>
      <c r="E56" s="385">
        <f t="shared" si="1"/>
        <v>17.258603428403493</v>
      </c>
      <c r="F56" s="385">
        <f t="shared" si="2"/>
        <v>17.293024292942395</v>
      </c>
      <c r="G56" s="110">
        <f t="shared" si="21"/>
        <v>0.59471688446386584</v>
      </c>
      <c r="H56" s="414" t="b">
        <f>Wh_hp&gt;='2022'!Maxi_hp</f>
        <v>0</v>
      </c>
      <c r="I56" s="390">
        <f>IF(H56,Wh_hp,'2022'!Maxi_hp)</f>
        <v>22.96810519767752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5.8893566418816518E-2</v>
      </c>
      <c r="M56" s="843"/>
      <c r="N56" s="843"/>
      <c r="O56" s="48">
        <f>IF(t&lt;Tnet,'2022'!Resal+('2022'!Salim-'2022'!Resal)*(1-EXP(('2022'!Tnet-t)/('2022'!Tau_j))),Resal+(Salim-Resal)*(1-EXP((Tnet-t)/(Tau_j))))*Salcycl</f>
        <v>0.12558272828145284</v>
      </c>
      <c r="P56" s="169">
        <f>(INDEX(Models!$BJ56:$BT56,,T56)*(1-R56)+INDEX(Models!$BJ56:$BT56,,T56+1)*R56-ERP_i)*Q56*Ramure*Pc/MaxiM</f>
        <v>4.7017876410049815E-3</v>
      </c>
      <c r="Q56" s="305">
        <f t="shared" si="4"/>
        <v>0.8</v>
      </c>
      <c r="R56" s="177">
        <f t="shared" si="5"/>
        <v>0.60299883027179435</v>
      </c>
      <c r="S56" s="809">
        <f t="shared" si="6"/>
        <v>0</v>
      </c>
      <c r="T56" s="176">
        <f t="shared" si="7"/>
        <v>6</v>
      </c>
      <c r="U56" s="251">
        <f t="shared" si="8"/>
        <v>0.60299883027179435</v>
      </c>
      <c r="V56" s="383">
        <f t="shared" si="9"/>
        <v>23.816140113237971</v>
      </c>
      <c r="W56" s="402">
        <f t="shared" si="10"/>
        <v>14.20244510173559</v>
      </c>
      <c r="X56" s="157">
        <f t="shared" si="11"/>
        <v>44968</v>
      </c>
      <c r="Y56" s="385">
        <f t="shared" si="12"/>
        <v>13.641158679447113</v>
      </c>
      <c r="Z56" s="385">
        <f t="shared" si="22"/>
        <v>14.494809718321166</v>
      </c>
      <c r="AA56" s="386">
        <f t="shared" si="13"/>
        <v>17.169671478714378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0.15578992083274842</v>
      </c>
      <c r="AD56" s="231">
        <f>(INDEX(Models!$BJ56:$BT56,,AH56)*(1-AF56)+INDEX(Models!$BJ56:$BT56,,AH56+1)*AF56-ERP_i)*AE56*Ramure*Pc/MaxiM</f>
        <v>1.6849627259216637E-2</v>
      </c>
      <c r="AE56" s="305">
        <f t="shared" si="15"/>
        <v>0.8</v>
      </c>
      <c r="AF56" s="177">
        <f t="shared" si="23"/>
        <v>0.80371557743669797</v>
      </c>
      <c r="AG56" s="809">
        <f t="shared" si="24"/>
        <v>1</v>
      </c>
      <c r="AH56" s="176">
        <f t="shared" si="16"/>
        <v>7</v>
      </c>
      <c r="AI56" s="225">
        <f t="shared" si="17"/>
        <v>1.803715577436698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1141">
        <f>IF(t&gt;Tmaj,'2022'!Wh/'2022'!Env_an*'2023'!Env_an,0.001*'[4]mon-tableau'!$B$139)</f>
        <v>20.140658686438851</v>
      </c>
      <c r="C57" s="839"/>
      <c r="D57" s="393">
        <f t="shared" si="0"/>
        <v>21.401551615996002</v>
      </c>
      <c r="E57" s="385">
        <f t="shared" si="1"/>
        <v>24.477699405099777</v>
      </c>
      <c r="F57" s="385">
        <f t="shared" si="2"/>
        <v>24.567244591095459</v>
      </c>
      <c r="G57" s="110">
        <f t="shared" si="21"/>
        <v>0.83524555610555962</v>
      </c>
      <c r="H57" s="414" t="b">
        <f>Wh_hp&gt;='2022'!Maxi_hp</f>
        <v>0</v>
      </c>
      <c r="I57" s="390">
        <f>IF(H57,Wh_hp,'2022'!Maxi_hp)</f>
        <v>29.947194156112754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5.8915958626790915E-2</v>
      </c>
      <c r="M57" s="843"/>
      <c r="N57" s="843"/>
      <c r="O57" s="48">
        <f>IF(t&lt;Tnet,'2022'!Resal+('2022'!Salim-'2022'!Resal)*(1-EXP(('2022'!Tnet-t)/('2022'!Tau_j))),Resal+(Salim-Resal)*(1-EXP((Tnet-t)/(Tau_j))))*Salcycl</f>
        <v>0.125671442327741</v>
      </c>
      <c r="P57" s="169">
        <f>(INDEX(Models!$BJ57:$BT57,,T57)*(1-R57)+INDEX(Models!$BJ57:$BT57,,T57+1)*R57-ERP_i)*Q57*Ramure*Pc/MaxiM</f>
        <v>4.7585330914615342E-3</v>
      </c>
      <c r="Q57" s="305">
        <f t="shared" si="4"/>
        <v>0.8</v>
      </c>
      <c r="R57" s="177">
        <f t="shared" si="5"/>
        <v>0.60318552481562182</v>
      </c>
      <c r="S57" s="809">
        <f t="shared" si="6"/>
        <v>0</v>
      </c>
      <c r="T57" s="176">
        <f t="shared" si="7"/>
        <v>6</v>
      </c>
      <c r="U57" s="251">
        <f t="shared" si="8"/>
        <v>0.60318552481562182</v>
      </c>
      <c r="V57" s="383">
        <f t="shared" si="9"/>
        <v>24.086506313599482</v>
      </c>
      <c r="W57" s="402">
        <f t="shared" si="10"/>
        <v>20.140658686438851</v>
      </c>
      <c r="X57" s="157">
        <f t="shared" si="11"/>
        <v>44969</v>
      </c>
      <c r="Y57" s="385">
        <f t="shared" si="12"/>
        <v>19.266427028259429</v>
      </c>
      <c r="Z57" s="385">
        <f t="shared" si="22"/>
        <v>20.472589249464143</v>
      </c>
      <c r="AA57" s="386">
        <f t="shared" si="13"/>
        <v>24.251450820062136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0.15582002077467091</v>
      </c>
      <c r="AD57" s="231">
        <f>(INDEX(Models!$BJ57:$BT57,,AH57)*(1-AF57)+INDEX(Models!$BJ57:$BT57,,AH57+1)*AF57-ERP_i)*AE57*Ramure*Pc/MaxiM</f>
        <v>1.6781640384464336E-2</v>
      </c>
      <c r="AE57" s="305">
        <f t="shared" si="15"/>
        <v>0.8</v>
      </c>
      <c r="AF57" s="177">
        <f t="shared" si="23"/>
        <v>0.80390227198052533</v>
      </c>
      <c r="AG57" s="809">
        <f t="shared" si="24"/>
        <v>1</v>
      </c>
      <c r="AH57" s="176">
        <f t="shared" si="16"/>
        <v>7</v>
      </c>
      <c r="AI57" s="225">
        <f t="shared" si="17"/>
        <v>1.8039022719805253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1141">
        <f>IF(t&gt;Tmaj,'2022'!Wh/'2022'!Env_an*'2023'!Env_an,0.001*'[4]mon-tableau'!$B$140)</f>
        <v>23.076305491166121</v>
      </c>
      <c r="C58" s="839"/>
      <c r="D58" s="393">
        <f t="shared" si="0"/>
        <v>24.52156614697634</v>
      </c>
      <c r="E58" s="385">
        <f t="shared" si="1"/>
        <v>28.049011042786439</v>
      </c>
      <c r="F58" s="385">
        <f t="shared" si="2"/>
        <v>28.17469536661693</v>
      </c>
      <c r="G58" s="110">
        <f t="shared" si="21"/>
        <v>0.94695930966656183</v>
      </c>
      <c r="H58" s="414" t="b">
        <f>Wh_hp&gt;='2022'!Maxi_hp</f>
        <v>0</v>
      </c>
      <c r="I58" s="390">
        <f>IF(H58,Wh_hp,'2022'!Maxi_hp)</f>
        <v>30.793710907907265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5.8938350313665816E-2</v>
      </c>
      <c r="M58" s="843"/>
      <c r="N58" s="843"/>
      <c r="O58" s="48">
        <f>IF(t&lt;Tnet,'2022'!Resal+('2022'!Salim-'2022'!Resal)*(1-EXP(('2022'!Tnet-t)/('2022'!Tau_j))),Resal+(Salim-Resal)*(1-EXP((Tnet-t)/(Tau_j))))*Salcycl</f>
        <v>0.12576004517340286</v>
      </c>
      <c r="P58" s="169">
        <f>(INDEX(Models!$BJ58:$BT58,,T58)*(1-R58)+INDEX(Models!$BJ58:$BT58,,T58+1)*R58-ERP_i)*Q58*Ramure*Pc/MaxiM</f>
        <v>4.8240417115105964E-3</v>
      </c>
      <c r="Q58" s="305">
        <f t="shared" si="4"/>
        <v>0.8</v>
      </c>
      <c r="R58" s="177">
        <f t="shared" si="5"/>
        <v>0.60337992730086876</v>
      </c>
      <c r="S58" s="809">
        <f t="shared" si="6"/>
        <v>0</v>
      </c>
      <c r="T58" s="176">
        <f t="shared" si="7"/>
        <v>6</v>
      </c>
      <c r="U58" s="251">
        <f t="shared" si="8"/>
        <v>0.60337992730086876</v>
      </c>
      <c r="V58" s="383">
        <f t="shared" si="9"/>
        <v>24.359956751264246</v>
      </c>
      <c r="W58" s="402">
        <f t="shared" si="10"/>
        <v>23.076305491166121</v>
      </c>
      <c r="X58" s="157">
        <f t="shared" si="11"/>
        <v>44970</v>
      </c>
      <c r="Y58" s="385">
        <f t="shared" si="12"/>
        <v>22.035026458462415</v>
      </c>
      <c r="Z58" s="385">
        <f t="shared" si="22"/>
        <v>23.41507218555439</v>
      </c>
      <c r="AA58" s="386">
        <f t="shared" si="13"/>
        <v>27.738051266245087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0.15585013666592373</v>
      </c>
      <c r="AD58" s="231">
        <f>(INDEX(Models!$BJ58:$BT58,,AH58)*(1-AF58)+INDEX(Models!$BJ58:$BT58,,AH58+1)*AF58-ERP_i)*AE58*Ramure*Pc/MaxiM</f>
        <v>1.6759364167957883E-2</v>
      </c>
      <c r="AE58" s="305">
        <f t="shared" si="15"/>
        <v>0.8</v>
      </c>
      <c r="AF58" s="177">
        <f t="shared" si="23"/>
        <v>0.80409667446577227</v>
      </c>
      <c r="AG58" s="809">
        <f t="shared" si="24"/>
        <v>1</v>
      </c>
      <c r="AH58" s="176">
        <f t="shared" si="16"/>
        <v>7</v>
      </c>
      <c r="AI58" s="225">
        <f t="shared" si="17"/>
        <v>1.8040966744657723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1141">
        <f>IF(t&gt;Tmaj,'2022'!Wh/'2022'!Env_an*'2023'!Env_an,0.001*'[4]mon-tableau'!$B$141)</f>
        <v>12.181123322138122</v>
      </c>
      <c r="C59" s="839"/>
      <c r="D59" s="393">
        <f t="shared" si="0"/>
        <v>12.944330655544229</v>
      </c>
      <c r="E59" s="385">
        <f t="shared" si="1"/>
        <v>14.8078805571663</v>
      </c>
      <c r="F59" s="385">
        <f t="shared" si="2"/>
        <v>14.828027815308275</v>
      </c>
      <c r="G59" s="110">
        <f t="shared" si="21"/>
        <v>0.49267460303716037</v>
      </c>
      <c r="H59" s="414" t="b">
        <f>Wh_hp&gt;='2022'!Maxi_hp</f>
        <v>0</v>
      </c>
      <c r="I59" s="390">
        <f>IF(H59,Wh_hp,'2022'!Maxi_hp)</f>
        <v>30.902600245057862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5.8960741479453543E-2</v>
      </c>
      <c r="M59" s="843"/>
      <c r="N59" s="843"/>
      <c r="O59" s="48">
        <f>IF(t&lt;Tnet,'2022'!Resal+('2022'!Salim-'2022'!Resal)*(1-EXP(('2022'!Tnet-t)/('2022'!Tau_j))),Resal+(Salim-Resal)*(1-EXP((Tnet-t)/(Tau_j))))*Salcycl</f>
        <v>0.12584852332025345</v>
      </c>
      <c r="P59" s="169">
        <f>(INDEX(Models!$BJ59:$BT59,,T59)*(1-R59)+INDEX(Models!$BJ59:$BT59,,T59+1)*R59-ERP_i)*Q59*Ramure*Pc/MaxiM</f>
        <v>4.8919384651997435E-3</v>
      </c>
      <c r="Q59" s="305">
        <f t="shared" si="4"/>
        <v>0.8</v>
      </c>
      <c r="R59" s="177">
        <f t="shared" si="5"/>
        <v>0.60358235057764686</v>
      </c>
      <c r="S59" s="809">
        <f t="shared" si="6"/>
        <v>0</v>
      </c>
      <c r="T59" s="176">
        <f t="shared" si="7"/>
        <v>6</v>
      </c>
      <c r="U59" s="251">
        <f t="shared" si="8"/>
        <v>0.60358235057764686</v>
      </c>
      <c r="V59" s="383">
        <f t="shared" si="9"/>
        <v>24.637004260121426</v>
      </c>
      <c r="W59" s="402">
        <f t="shared" si="10"/>
        <v>12.181123322138122</v>
      </c>
      <c r="X59" s="157">
        <f t="shared" si="11"/>
        <v>44971</v>
      </c>
      <c r="Y59" s="385">
        <f t="shared" si="12"/>
        <v>11.7237751668437</v>
      </c>
      <c r="Z59" s="385">
        <f t="shared" si="22"/>
        <v>12.458327387185967</v>
      </c>
      <c r="AA59" s="386">
        <f t="shared" si="13"/>
        <v>14.758957372569123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0.15588025138273578</v>
      </c>
      <c r="AD59" s="231">
        <f>(INDEX(Models!$BJ59:$BT59,,AH59)*(1-AF59)+INDEX(Models!$BJ59:$BT59,,AH59+1)*AF59-ERP_i)*AE59*Ramure*Pc/MaxiM</f>
        <v>1.6770934946232413E-2</v>
      </c>
      <c r="AE59" s="305">
        <f t="shared" si="15"/>
        <v>0.8</v>
      </c>
      <c r="AF59" s="177">
        <f t="shared" si="23"/>
        <v>0.80429909774255037</v>
      </c>
      <c r="AG59" s="809">
        <f t="shared" si="24"/>
        <v>1</v>
      </c>
      <c r="AH59" s="176">
        <f t="shared" si="16"/>
        <v>7</v>
      </c>
      <c r="AI59" s="225">
        <f t="shared" si="17"/>
        <v>1.8042990977425504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1141">
        <f>IF(t&gt;Tmaj,'2022'!Wh/'2022'!Env_an*'2023'!Env_an,0.001*'[4]mon-tableau'!$B$142)</f>
        <v>15.449569392505463</v>
      </c>
      <c r="C60" s="839"/>
      <c r="D60" s="393">
        <f t="shared" si="0"/>
        <v>16.417951600995121</v>
      </c>
      <c r="E60" s="385">
        <f t="shared" si="1"/>
        <v>18.783484759570044</v>
      </c>
      <c r="F60" s="385">
        <f t="shared" si="2"/>
        <v>18.826191638840982</v>
      </c>
      <c r="G60" s="110">
        <f t="shared" si="21"/>
        <v>0.61834224987009545</v>
      </c>
      <c r="H60" s="414" t="b">
        <f>Wh_hp&gt;='2022'!Maxi_hp</f>
        <v>0</v>
      </c>
      <c r="I60" s="390">
        <f>IF(H60,Wh_hp,'2022'!Maxi_hp)</f>
        <v>31.193309368180032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5.8983132124166088E-2</v>
      </c>
      <c r="M60" s="843"/>
      <c r="N60" s="843"/>
      <c r="O60" s="48">
        <f>IF(t&lt;Tnet,'2022'!Resal+('2022'!Salim-'2022'!Resal)*(1-EXP(('2022'!Tnet-t)/('2022'!Tau_j))),Resal+(Salim-Resal)*(1-EXP((Tnet-t)/(Tau_j))))*Salcycl</f>
        <v>0.12593686362535583</v>
      </c>
      <c r="P60" s="169">
        <f>(INDEX(Models!$BJ60:$BT60,,T60)*(1-R60)+INDEX(Models!$BJ60:$BT60,,T60+1)*R60-ERP_i)*Q60*Ramure*Pc/MaxiM</f>
        <v>4.9620549164450193E-3</v>
      </c>
      <c r="Q60" s="305">
        <f t="shared" si="4"/>
        <v>0.8</v>
      </c>
      <c r="R60" s="177">
        <f t="shared" si="5"/>
        <v>0.60379311973724337</v>
      </c>
      <c r="S60" s="809">
        <f t="shared" si="6"/>
        <v>0</v>
      </c>
      <c r="T60" s="176">
        <f t="shared" si="7"/>
        <v>6</v>
      </c>
      <c r="U60" s="251">
        <f t="shared" si="8"/>
        <v>0.60379311973724337</v>
      </c>
      <c r="V60" s="383">
        <f t="shared" si="9"/>
        <v>24.918013025243123</v>
      </c>
      <c r="W60" s="402">
        <f t="shared" si="10"/>
        <v>15.449569392505463</v>
      </c>
      <c r="X60" s="157">
        <f t="shared" si="11"/>
        <v>44972</v>
      </c>
      <c r="Y60" s="385">
        <f t="shared" si="12"/>
        <v>14.838740325850214</v>
      </c>
      <c r="Z60" s="385">
        <f t="shared" si="22"/>
        <v>15.768835641964463</v>
      </c>
      <c r="AA60" s="386">
        <f t="shared" si="13"/>
        <v>18.681470161114866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0.15591034827724626</v>
      </c>
      <c r="AD60" s="231">
        <f>(INDEX(Models!$BJ60:$BT60,,AH60)*(1-AF60)+INDEX(Models!$BJ60:$BT60,,AH60+1)*AF60-ERP_i)*AE60*Ramure*Pc/MaxiM</f>
        <v>1.6814994031996988E-2</v>
      </c>
      <c r="AE60" s="305">
        <f t="shared" si="15"/>
        <v>0.8</v>
      </c>
      <c r="AF60" s="177">
        <f t="shared" si="23"/>
        <v>0.80450986690214688</v>
      </c>
      <c r="AG60" s="809">
        <f t="shared" si="24"/>
        <v>1</v>
      </c>
      <c r="AH60" s="176">
        <f t="shared" si="16"/>
        <v>7</v>
      </c>
      <c r="AI60" s="225">
        <f t="shared" si="17"/>
        <v>1.8045098669021469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1141">
        <f>IF(t&gt;Tmaj,'2022'!Wh/'2022'!Env_an*'2023'!Env_an,0.001*'[4]mon-tableau'!$B$143)</f>
        <v>9.4596899287001097</v>
      </c>
      <c r="C61" s="839"/>
      <c r="D61" s="393">
        <f t="shared" si="0"/>
        <v>10.052864445386646</v>
      </c>
      <c r="E61" s="385">
        <f t="shared" si="1"/>
        <v>11.502462954630715</v>
      </c>
      <c r="F61" s="385">
        <f t="shared" si="2"/>
        <v>11.508698230798897</v>
      </c>
      <c r="G61" s="110">
        <f t="shared" si="21"/>
        <v>0.37364758818271276</v>
      </c>
      <c r="H61" s="414" t="b">
        <f>Wh_hp&gt;='2022'!Maxi_hp</f>
        <v>0</v>
      </c>
      <c r="I61" s="390">
        <f>IF(H61,Wh_hp,'2022'!Maxi_hp)</f>
        <v>31.828917483030121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5.9005522247815662E-2</v>
      </c>
      <c r="M61" s="843"/>
      <c r="N61" s="843"/>
      <c r="O61" s="48">
        <f>IF(t&lt;Tnet,'2022'!Resal+('2022'!Salim-'2022'!Resal)*(1-EXP(('2022'!Tnet-t)/('2022'!Tau_j))),Resal+(Salim-Resal)*(1-EXP((Tnet-t)/(Tau_j))))*Salcycl</f>
        <v>0.12602505350043175</v>
      </c>
      <c r="P61" s="169">
        <f>(INDEX(Models!$BJ61:$BT61,,T61)*(1-R61)+INDEX(Models!$BJ61:$BT61,,T61+1)*R61-ERP_i)*Q61*Ramure*Pc/MaxiM</f>
        <v>5.0342252440854244E-3</v>
      </c>
      <c r="Q61" s="305">
        <f t="shared" si="4"/>
        <v>0.8</v>
      </c>
      <c r="R61" s="177">
        <f t="shared" si="5"/>
        <v>0.6040125725521891</v>
      </c>
      <c r="S61" s="809">
        <f t="shared" si="6"/>
        <v>0</v>
      </c>
      <c r="T61" s="176">
        <f t="shared" si="7"/>
        <v>6</v>
      </c>
      <c r="U61" s="251">
        <f t="shared" si="8"/>
        <v>0.6040125725521891</v>
      </c>
      <c r="V61" s="383">
        <f t="shared" si="9"/>
        <v>25.203347024277228</v>
      </c>
      <c r="W61" s="402">
        <f t="shared" si="10"/>
        <v>9.4596899287001097</v>
      </c>
      <c r="X61" s="157">
        <f t="shared" si="11"/>
        <v>44973</v>
      </c>
      <c r="Y61" s="385">
        <f t="shared" si="12"/>
        <v>9.1242301607566159</v>
      </c>
      <c r="Z61" s="385">
        <f t="shared" si="22"/>
        <v>9.6963695074515925</v>
      </c>
      <c r="AA61" s="386">
        <f t="shared" si="13"/>
        <v>11.487778397016777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0.1559404114228379</v>
      </c>
      <c r="AD61" s="231">
        <f>(INDEX(Models!$BJ61:$BT61,,AH61)*(1-AF61)+INDEX(Models!$BJ61:$BT61,,AH61+1)*AF61-ERP_i)*AE61*Ramure*Pc/MaxiM</f>
        <v>1.6890215042185432E-2</v>
      </c>
      <c r="AE61" s="305">
        <f t="shared" si="15"/>
        <v>0.8</v>
      </c>
      <c r="AF61" s="177">
        <f t="shared" si="23"/>
        <v>0.80472931971709261</v>
      </c>
      <c r="AG61" s="809">
        <f t="shared" si="24"/>
        <v>1</v>
      </c>
      <c r="AH61" s="176">
        <f t="shared" si="16"/>
        <v>7</v>
      </c>
      <c r="AI61" s="225">
        <f t="shared" si="17"/>
        <v>1.8047293197170926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1141">
        <f>IF(t&gt;Tmaj,'2022'!Wh/'2022'!Env_an*'2023'!Env_an,0.001*'[4]mon-tableau'!$B$144)</f>
        <v>10.16379978521846</v>
      </c>
      <c r="C62" s="839"/>
      <c r="D62" s="393">
        <f t="shared" si="0"/>
        <v>10.80138286057506</v>
      </c>
      <c r="E62" s="385">
        <f t="shared" si="1"/>
        <v>12.360160825276548</v>
      </c>
      <c r="F62" s="385">
        <f t="shared" si="2"/>
        <v>12.36906843344204</v>
      </c>
      <c r="G62" s="110">
        <f t="shared" si="21"/>
        <v>0.39693330141959454</v>
      </c>
      <c r="H62" s="414" t="b">
        <f>Wh_hp&gt;='2022'!Maxi_hp</f>
        <v>0</v>
      </c>
      <c r="I62" s="390">
        <f>IF(H62,Wh_hp,'2022'!Maxi_hp)</f>
        <v>32.141014438582829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5.9027911850414255E-2</v>
      </c>
      <c r="M62" s="843"/>
      <c r="N62" s="843"/>
      <c r="O62" s="48">
        <f>IF(t&lt;Tnet,'2022'!Resal+('2022'!Salim-'2022'!Resal)*(1-EXP(('2022'!Tnet-t)/('2022'!Tau_j))),Resal+(Salim-Resal)*(1-EXP((Tnet-t)/(Tau_j))))*Salcycl</f>
        <v>0.12611308111086905</v>
      </c>
      <c r="P62" s="169">
        <f>(INDEX(Models!$BJ62:$BT62,,T62)*(1-R62)+INDEX(Models!$BJ62:$BT62,,T62+1)*R62-ERP_i)*Q62*Ramure*Pc/MaxiM</f>
        <v>5.1082862526172822E-3</v>
      </c>
      <c r="Q62" s="305">
        <f t="shared" si="4"/>
        <v>0.8</v>
      </c>
      <c r="R62" s="177">
        <f t="shared" si="5"/>
        <v>0.60424105992877664</v>
      </c>
      <c r="S62" s="809">
        <f t="shared" si="6"/>
        <v>0</v>
      </c>
      <c r="T62" s="176">
        <f t="shared" si="7"/>
        <v>6</v>
      </c>
      <c r="U62" s="251">
        <f t="shared" si="8"/>
        <v>0.60424105992877664</v>
      </c>
      <c r="V62" s="383">
        <f t="shared" si="9"/>
        <v>25.493370014700563</v>
      </c>
      <c r="W62" s="402">
        <f t="shared" si="10"/>
        <v>10.16379978521846</v>
      </c>
      <c r="X62" s="157">
        <f t="shared" si="11"/>
        <v>44974</v>
      </c>
      <c r="Y62" s="385">
        <f t="shared" si="12"/>
        <v>9.8000795597471999</v>
      </c>
      <c r="Z62" s="385">
        <f t="shared" si="22"/>
        <v>10.414846182121066</v>
      </c>
      <c r="AA62" s="386">
        <f t="shared" si="13"/>
        <v>12.339432765387663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0.15597042585823706</v>
      </c>
      <c r="AD62" s="231">
        <f>(INDEX(Models!$BJ62:$BT62,,AH62)*(1-AF62)+INDEX(Models!$BJ62:$BT62,,AH62+1)*AF62-ERP_i)*AE62*Ramure*Pc/MaxiM</f>
        <v>1.6995300297985093E-2</v>
      </c>
      <c r="AE62" s="305">
        <f t="shared" si="15"/>
        <v>0.8</v>
      </c>
      <c r="AF62" s="177">
        <f t="shared" si="23"/>
        <v>0.80495780709368026</v>
      </c>
      <c r="AG62" s="809">
        <f t="shared" si="24"/>
        <v>1</v>
      </c>
      <c r="AH62" s="176">
        <f t="shared" si="16"/>
        <v>7</v>
      </c>
      <c r="AI62" s="225">
        <f t="shared" si="17"/>
        <v>1.8049578070936803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1141">
        <f>IF(t&gt;Tmaj,'2022'!Wh/'2022'!Env_an*'2023'!Env_an,0.001*'[4]mon-tableau'!$B$145)</f>
        <v>20.058069949476629</v>
      </c>
      <c r="C63" s="839"/>
      <c r="D63" s="393">
        <f t="shared" si="0"/>
        <v>21.316835500711004</v>
      </c>
      <c r="E63" s="385">
        <f t="shared" si="1"/>
        <v>24.395580595720052</v>
      </c>
      <c r="F63" s="385">
        <f t="shared" si="2"/>
        <v>24.48220968516274</v>
      </c>
      <c r="G63" s="110">
        <f t="shared" si="21"/>
        <v>0.77650840236216456</v>
      </c>
      <c r="H63" s="414" t="b">
        <f>Wh_hp&gt;='2022'!Maxi_hp</f>
        <v>0</v>
      </c>
      <c r="I63" s="390">
        <f>IF(H63,Wh_hp,'2022'!Maxi_hp)</f>
        <v>31.856589753625187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5.9050300931974192E-2</v>
      </c>
      <c r="M63" s="843"/>
      <c r="N63" s="843"/>
      <c r="O63" s="48">
        <f>IF(t&lt;Tnet,'2022'!Resal+('2022'!Salim-'2022'!Resal)*(1-EXP(('2022'!Tnet-t)/('2022'!Tau_j))),Resal+(Salim-Resal)*(1-EXP((Tnet-t)/(Tau_j))))*Salcycl</f>
        <v>0.1262009355722889</v>
      </c>
      <c r="P63" s="169">
        <f>(INDEX(Models!$BJ63:$BT63,,T63)*(1-R63)+INDEX(Models!$BJ63:$BT63,,T63+1)*R63-ERP_i)*Q63*Ramure*Pc/MaxiM</f>
        <v>5.1840774405960367E-3</v>
      </c>
      <c r="Q63" s="305">
        <f t="shared" si="4"/>
        <v>0.8</v>
      </c>
      <c r="R63" s="177">
        <f t="shared" si="5"/>
        <v>0.60447894637207455</v>
      </c>
      <c r="S63" s="809">
        <f t="shared" si="6"/>
        <v>0</v>
      </c>
      <c r="T63" s="176">
        <f t="shared" si="7"/>
        <v>6</v>
      </c>
      <c r="U63" s="251">
        <f t="shared" si="8"/>
        <v>0.60447894637207455</v>
      </c>
      <c r="V63" s="383">
        <f t="shared" si="9"/>
        <v>25.78844553119805</v>
      </c>
      <c r="W63" s="402">
        <f t="shared" si="10"/>
        <v>20.058069949476629</v>
      </c>
      <c r="X63" s="157">
        <f t="shared" si="11"/>
        <v>44975</v>
      </c>
      <c r="Y63" s="385">
        <f t="shared" si="12"/>
        <v>19.215503548584163</v>
      </c>
      <c r="Z63" s="385">
        <f t="shared" si="22"/>
        <v>20.421392947589414</v>
      </c>
      <c r="AA63" s="386">
        <f t="shared" si="13"/>
        <v>24.195974039695251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0.15600037782787174</v>
      </c>
      <c r="AD63" s="231">
        <f>(INDEX(Models!$BJ63:$BT63,,AH63)*(1-AF63)+INDEX(Models!$BJ63:$BT63,,AH63+1)*AF63-ERP_i)*AE63*Ramure*Pc/MaxiM</f>
        <v>1.7128977828448588E-2</v>
      </c>
      <c r="AE63" s="305">
        <f t="shared" si="15"/>
        <v>0.8</v>
      </c>
      <c r="AF63" s="177">
        <f t="shared" si="23"/>
        <v>0.80519569353697817</v>
      </c>
      <c r="AG63" s="809">
        <f t="shared" si="24"/>
        <v>1</v>
      </c>
      <c r="AH63" s="176">
        <f t="shared" si="16"/>
        <v>7</v>
      </c>
      <c r="AI63" s="225">
        <f t="shared" si="17"/>
        <v>1.8051956935369782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1141">
        <f>IF(t&gt;Tmaj,'2022'!Wh/'2022'!Env_an*'2023'!Env_an,0.001*'[4]mon-tableau'!$B$146)</f>
        <v>17.870491674694801</v>
      </c>
      <c r="C64" s="839"/>
      <c r="D64" s="393">
        <f t="shared" si="0"/>
        <v>18.992425318228129</v>
      </c>
      <c r="E64" s="385">
        <f t="shared" si="1"/>
        <v>21.737641827145215</v>
      </c>
      <c r="F64" s="385">
        <f t="shared" si="2"/>
        <v>21.800725905632738</v>
      </c>
      <c r="G64" s="110">
        <f t="shared" si="21"/>
        <v>0.68335692315825491</v>
      </c>
      <c r="H64" s="414" t="b">
        <f>Wh_hp&gt;='2022'!Maxi_hp</f>
        <v>0</v>
      </c>
      <c r="I64" s="390">
        <f>IF(H64,Wh_hp,'2022'!Maxi_hp)</f>
        <v>31.674857385546339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5.9072689492507463E-2</v>
      </c>
      <c r="M64" s="843"/>
      <c r="N64" s="843"/>
      <c r="O64" s="48">
        <f>IF(t&lt;Tnet,'2022'!Resal+('2022'!Salim-'2022'!Resal)*(1-EXP(('2022'!Tnet-t)/('2022'!Tau_j))),Resal+(Salim-Resal)*(1-EXP((Tnet-t)/(Tau_j))))*Salcycl</f>
        <v>0.12628860714270101</v>
      </c>
      <c r="P64" s="169">
        <f>(INDEX(Models!$BJ64:$BT64,,T64)*(1-R64)+INDEX(Models!$BJ64:$BT64,,T64+1)*R64-ERP_i)*Q64*Ramure*Pc/MaxiM</f>
        <v>5.2614411276575759E-3</v>
      </c>
      <c r="Q64" s="305">
        <f t="shared" si="4"/>
        <v>0.8</v>
      </c>
      <c r="R64" s="177">
        <f t="shared" si="5"/>
        <v>0.60472661046344534</v>
      </c>
      <c r="S64" s="809">
        <f t="shared" si="6"/>
        <v>0</v>
      </c>
      <c r="T64" s="176">
        <f t="shared" si="7"/>
        <v>6</v>
      </c>
      <c r="U64" s="251">
        <f t="shared" si="8"/>
        <v>0.60472661046344534</v>
      </c>
      <c r="V64" s="383">
        <f t="shared" si="9"/>
        <v>26.088936860707655</v>
      </c>
      <c r="W64" s="402">
        <f t="shared" si="10"/>
        <v>17.870491674694801</v>
      </c>
      <c r="X64" s="157">
        <f t="shared" si="11"/>
        <v>44976</v>
      </c>
      <c r="Y64" s="385">
        <f t="shared" si="12"/>
        <v>17.147641695146092</v>
      </c>
      <c r="Z64" s="385">
        <f t="shared" si="22"/>
        <v>18.224193839051658</v>
      </c>
      <c r="AA64" s="386">
        <f t="shared" si="13"/>
        <v>21.593420791877694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0.1560302550160724</v>
      </c>
      <c r="AD64" s="231">
        <f>(INDEX(Models!$BJ64:$BT64,,AH64)*(1-AF64)+INDEX(Models!$BJ64:$BT64,,AH64+1)*AF64-ERP_i)*AE64*Ramure*Pc/MaxiM</f>
        <v>1.7289998960676498E-2</v>
      </c>
      <c r="AE64" s="305">
        <f t="shared" si="15"/>
        <v>0.8</v>
      </c>
      <c r="AF64" s="177">
        <f t="shared" si="23"/>
        <v>0.80544335762834884</v>
      </c>
      <c r="AG64" s="809">
        <f t="shared" si="24"/>
        <v>1</v>
      </c>
      <c r="AH64" s="176">
        <f t="shared" si="16"/>
        <v>7</v>
      </c>
      <c r="AI64" s="225">
        <f t="shared" si="17"/>
        <v>1.8054433576283488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1141">
        <f>IF(t&gt;Tmaj,'2022'!Wh/'2022'!Env_an*'2023'!Env_an,0.001*'[4]mon-tableau'!$B$147)</f>
        <v>16.254150276543683</v>
      </c>
      <c r="C65" s="839"/>
      <c r="D65" s="393">
        <f t="shared" si="0"/>
        <v>17.275018855156361</v>
      </c>
      <c r="E65" s="385">
        <f t="shared" si="1"/>
        <v>19.773976657655144</v>
      </c>
      <c r="F65" s="385">
        <f t="shared" si="2"/>
        <v>19.821731783327252</v>
      </c>
      <c r="G65" s="110">
        <f t="shared" si="21"/>
        <v>0.61399286476576909</v>
      </c>
      <c r="H65" s="414" t="b">
        <f>Wh_hp&gt;='2022'!Maxi_hp</f>
        <v>0</v>
      </c>
      <c r="I65" s="390">
        <f>IF(H65,Wh_hp,'2022'!Maxi_hp)</f>
        <v>32.961384862018924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5.9095077532026169E-2</v>
      </c>
      <c r="M65" s="843"/>
      <c r="N65" s="843"/>
      <c r="O65" s="48">
        <f>IF(t&lt;Tnet,'2022'!Resal+('2022'!Salim-'2022'!Resal)*(1-EXP(('2022'!Tnet-t)/('2022'!Tau_j))),Resal+(Salim-Resal)*(1-EXP((Tnet-t)/(Tau_j))))*Salcycl</f>
        <v>0.12637608740836442</v>
      </c>
      <c r="P65" s="169">
        <f>(INDEX(Models!$BJ65:$BT65,,T65)*(1-R65)+INDEX(Models!$BJ65:$BT65,,T65+1)*R65-ERP_i)*Q65*Ramure*Pc/MaxiM</f>
        <v>5.3402471239223613E-3</v>
      </c>
      <c r="Q65" s="305">
        <f t="shared" si="4"/>
        <v>0.8</v>
      </c>
      <c r="R65" s="177">
        <f t="shared" si="5"/>
        <v>0.60498444535053775</v>
      </c>
      <c r="S65" s="809">
        <f t="shared" si="6"/>
        <v>0</v>
      </c>
      <c r="T65" s="176">
        <f t="shared" si="7"/>
        <v>6</v>
      </c>
      <c r="U65" s="251">
        <f t="shared" si="8"/>
        <v>0.60498444535053775</v>
      </c>
      <c r="V65" s="383">
        <f t="shared" si="9"/>
        <v>26.395085301651307</v>
      </c>
      <c r="W65" s="402">
        <f t="shared" si="10"/>
        <v>16.254150276543683</v>
      </c>
      <c r="X65" s="157">
        <f t="shared" si="11"/>
        <v>44977</v>
      </c>
      <c r="Y65" s="385">
        <f t="shared" si="12"/>
        <v>15.615683481424611</v>
      </c>
      <c r="Z65" s="385">
        <f t="shared" si="22"/>
        <v>16.596452105346629</v>
      </c>
      <c r="AA65" s="386">
        <f t="shared" si="13"/>
        <v>19.665441885862414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0.1560600467728161</v>
      </c>
      <c r="AD65" s="231">
        <f>(INDEX(Models!$BJ65:$BT65,,AH65)*(1-AF65)+INDEX(Models!$BJ65:$BT65,,AH65+1)*AF65-ERP_i)*AE65*Ramure*Pc/MaxiM</f>
        <v>1.7477216606345533E-2</v>
      </c>
      <c r="AE65" s="305">
        <f t="shared" si="15"/>
        <v>0.8</v>
      </c>
      <c r="AF65" s="177">
        <f t="shared" si="23"/>
        <v>0.80570119251544114</v>
      </c>
      <c r="AG65" s="809">
        <f t="shared" si="24"/>
        <v>1</v>
      </c>
      <c r="AH65" s="176">
        <f t="shared" si="16"/>
        <v>7</v>
      </c>
      <c r="AI65" s="225">
        <f t="shared" si="17"/>
        <v>1.8057011925154411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1141">
        <f>IF(t&gt;Tmaj,'2022'!Wh/'2022'!Env_an*'2023'!Env_an,0.001*'[4]mon-tableau'!$B$148)</f>
        <v>17.550993640832377</v>
      </c>
      <c r="C66" s="839"/>
      <c r="D66" s="393">
        <f t="shared" si="0"/>
        <v>18.653756434936042</v>
      </c>
      <c r="E66" s="385">
        <f t="shared" si="1"/>
        <v>21.354292175977008</v>
      </c>
      <c r="F66" s="385">
        <f t="shared" si="2"/>
        <v>21.413525541618263</v>
      </c>
      <c r="G66" s="110">
        <f t="shared" si="21"/>
        <v>0.65542784486496786</v>
      </c>
      <c r="H66" s="414" t="b">
        <f>Wh_hp&gt;='2022'!Maxi_hp</f>
        <v>0</v>
      </c>
      <c r="I66" s="390">
        <f>IF(H66,Wh_hp,'2022'!Maxi_hp)</f>
        <v>32.315694426247191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5.9117465050542523E-2</v>
      </c>
      <c r="M66" s="843"/>
      <c r="N66" s="843"/>
      <c r="O66" s="48">
        <f>IF(t&lt;Tnet,'2022'!Resal+('2022'!Salim-'2022'!Resal)*(1-EXP(('2022'!Tnet-t)/('2022'!Tau_j))),Resal+(Salim-Resal)*(1-EXP((Tnet-t)/(Tau_j))))*Salcycl</f>
        <v>0.12646336946157338</v>
      </c>
      <c r="P66" s="169">
        <f>(INDEX(Models!$BJ66:$BT66,,T66)*(1-R66)+INDEX(Models!$BJ66:$BT66,,T66+1)*R66-ERP_i)*Q66*Ramure*Pc/MaxiM</f>
        <v>5.4211596491272936E-3</v>
      </c>
      <c r="Q66" s="305">
        <f t="shared" si="4"/>
        <v>0.8</v>
      </c>
      <c r="R66" s="177">
        <f t="shared" si="5"/>
        <v>0.60525285924968164</v>
      </c>
      <c r="S66" s="809">
        <f t="shared" si="6"/>
        <v>0</v>
      </c>
      <c r="T66" s="176">
        <f t="shared" si="7"/>
        <v>6</v>
      </c>
      <c r="U66" s="251">
        <f t="shared" si="8"/>
        <v>0.60525285924968164</v>
      </c>
      <c r="V66" s="383">
        <f t="shared" si="9"/>
        <v>26.706626436547474</v>
      </c>
      <c r="W66" s="402">
        <f t="shared" si="10"/>
        <v>17.550993640832377</v>
      </c>
      <c r="X66" s="157">
        <f t="shared" si="11"/>
        <v>44978</v>
      </c>
      <c r="Y66" s="385">
        <f t="shared" si="12"/>
        <v>16.849246812412073</v>
      </c>
      <c r="Z66" s="385">
        <f t="shared" si="22"/>
        <v>17.907917499305249</v>
      </c>
      <c r="AA66" s="386">
        <f t="shared" si="13"/>
        <v>21.220168114989193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0.15608974432885309</v>
      </c>
      <c r="AD66" s="231">
        <f>(INDEX(Models!$BJ66:$BT66,,AH66)*(1-AF66)+INDEX(Models!$BJ66:$BT66,,AH66+1)*AF66-ERP_i)*AE66*Ramure*Pc/MaxiM</f>
        <v>1.7696470017407481E-2</v>
      </c>
      <c r="AE66" s="305">
        <f t="shared" si="15"/>
        <v>0.8</v>
      </c>
      <c r="AF66" s="177">
        <f t="shared" si="23"/>
        <v>0.80596960641458515</v>
      </c>
      <c r="AG66" s="809">
        <f t="shared" si="24"/>
        <v>1</v>
      </c>
      <c r="AH66" s="176">
        <f t="shared" si="16"/>
        <v>7</v>
      </c>
      <c r="AI66" s="225">
        <f t="shared" si="17"/>
        <v>1.8059696064145851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1141">
        <f>IF(t&gt;Tmaj,'2022'!Wh/'2022'!Env_an*'2023'!Env_an,0.001*'[4]mon-tableau'!$B$149)</f>
        <v>25.550034511103494</v>
      </c>
      <c r="C67" s="839"/>
      <c r="D67" s="393">
        <f t="shared" si="0"/>
        <v>27.156038617132339</v>
      </c>
      <c r="E67" s="385">
        <f t="shared" si="1"/>
        <v>31.09056333830322</v>
      </c>
      <c r="F67" s="385">
        <f t="shared" si="2"/>
        <v>31.24910945817124</v>
      </c>
      <c r="G67" s="110">
        <f t="shared" si="21"/>
        <v>0.9450762707945316</v>
      </c>
      <c r="H67" s="414" t="b">
        <f>Wh_hp&gt;='2022'!Maxi_hp</f>
        <v>0</v>
      </c>
      <c r="I67" s="390">
        <f>IF(H67,Wh_hp,'2022'!Maxi_hp)</f>
        <v>32.908275792453587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5.9139852048068625E-2</v>
      </c>
      <c r="M67" s="843"/>
      <c r="N67" s="843"/>
      <c r="O67" s="48">
        <f>IF(t&lt;Tnet,'2022'!Resal+('2022'!Salim-'2022'!Resal)*(1-EXP(('2022'!Tnet-t)/('2022'!Tau_j))),Resal+(Salim-Resal)*(1-EXP((Tnet-t)/(Tau_j))))*Salcycl</f>
        <v>0.12655044806870999</v>
      </c>
      <c r="P67" s="169">
        <f>(INDEX(Models!$BJ67:$BT67,,T67)*(1-R67)+INDEX(Models!$BJ67:$BT67,,T67+1)*R67-ERP_i)*Q67*Ramure*Pc/MaxiM</f>
        <v>5.5021303746833859E-3</v>
      </c>
      <c r="Q67" s="305">
        <f t="shared" si="4"/>
        <v>0.8</v>
      </c>
      <c r="R67" s="177">
        <f t="shared" si="5"/>
        <v>0.6055322759605648</v>
      </c>
      <c r="S67" s="809">
        <f t="shared" si="6"/>
        <v>0</v>
      </c>
      <c r="T67" s="176">
        <f t="shared" si="7"/>
        <v>6</v>
      </c>
      <c r="U67" s="251">
        <f t="shared" si="8"/>
        <v>0.6055322759605648</v>
      </c>
      <c r="V67" s="383">
        <f t="shared" si="9"/>
        <v>27.023247778717597</v>
      </c>
      <c r="W67" s="402">
        <f t="shared" si="10"/>
        <v>25.550034511103494</v>
      </c>
      <c r="X67" s="157">
        <f t="shared" si="11"/>
        <v>44979</v>
      </c>
      <c r="Y67" s="385">
        <f t="shared" si="12"/>
        <v>24.40076908434548</v>
      </c>
      <c r="Z67" s="385">
        <f t="shared" si="22"/>
        <v>25.934533562146495</v>
      </c>
      <c r="AA67" s="386">
        <f t="shared" si="13"/>
        <v>30.732465883059824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0.15611934099821193</v>
      </c>
      <c r="AD67" s="231">
        <f>(INDEX(Models!$BJ67:$BT67,,AH67)*(1-AF67)+INDEX(Models!$BJ67:$BT67,,AH67+1)*AF67-ERP_i)*AE67*Ramure*Pc/MaxiM</f>
        <v>1.7929422113085101E-2</v>
      </c>
      <c r="AE67" s="305">
        <f t="shared" si="15"/>
        <v>0.8</v>
      </c>
      <c r="AF67" s="177">
        <f t="shared" si="23"/>
        <v>0.8062490231254682</v>
      </c>
      <c r="AG67" s="809">
        <f t="shared" si="24"/>
        <v>1</v>
      </c>
      <c r="AH67" s="176">
        <f t="shared" si="16"/>
        <v>7</v>
      </c>
      <c r="AI67" s="225">
        <f t="shared" si="17"/>
        <v>1.8062490231254682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1141">
        <f>IF(t&gt;Tmaj,'2022'!Wh/'2022'!Env_an*'2023'!Env_an,0.001*'[4]mon-tableau'!$B$150)</f>
        <v>25.552210081713969</v>
      </c>
      <c r="C68" s="839"/>
      <c r="D68" s="393">
        <f t="shared" si="0"/>
        <v>27.15899714914082</v>
      </c>
      <c r="E68" s="385">
        <f t="shared" si="1"/>
        <v>31.09704337694199</v>
      </c>
      <c r="F68" s="385">
        <f t="shared" si="2"/>
        <v>31.255206187129925</v>
      </c>
      <c r="G68" s="110">
        <f t="shared" si="21"/>
        <v>0.93396133651245028</v>
      </c>
      <c r="H68" s="414" t="b">
        <f>Wh_hp&gt;='2022'!Maxi_hp</f>
        <v>0</v>
      </c>
      <c r="I68" s="390">
        <f>IF(H68,Wh_hp,'2022'!Maxi_hp)</f>
        <v>33.900366462796477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5.9162238524616578E-2</v>
      </c>
      <c r="M68" s="843"/>
      <c r="N68" s="843"/>
      <c r="O68" s="48">
        <f>IF(t&lt;Tnet,'2022'!Resal+('2022'!Salim-'2022'!Resal)*(1-EXP(('2022'!Tnet-t)/('2022'!Tau_j))),Resal+(Salim-Resal)*(1-EXP((Tnet-t)/(Tau_j))))*Salcycl</f>
        <v>0.12663731982704093</v>
      </c>
      <c r="P68" s="169">
        <f>(INDEX(Models!$BJ68:$BT68,,T68)*(1-R68)+INDEX(Models!$BJ68:$BT68,,T68+1)*R68-ERP_i)*Q68*Ramure*Pc/MaxiM</f>
        <v>5.5831722755900395E-3</v>
      </c>
      <c r="Q68" s="305">
        <f t="shared" si="4"/>
        <v>0.8</v>
      </c>
      <c r="R68" s="177">
        <f t="shared" si="5"/>
        <v>0.60582313539301824</v>
      </c>
      <c r="S68" s="809">
        <f t="shared" si="6"/>
        <v>0</v>
      </c>
      <c r="T68" s="176">
        <f t="shared" si="7"/>
        <v>6</v>
      </c>
      <c r="U68" s="251">
        <f t="shared" si="8"/>
        <v>0.60582313539301824</v>
      </c>
      <c r="V68" s="383">
        <f t="shared" si="9"/>
        <v>27.344583020250607</v>
      </c>
      <c r="W68" s="402">
        <f t="shared" si="10"/>
        <v>25.552210081713969</v>
      </c>
      <c r="X68" s="157">
        <f t="shared" si="11"/>
        <v>44980</v>
      </c>
      <c r="Y68" s="385">
        <f t="shared" si="12"/>
        <v>24.405569608653114</v>
      </c>
      <c r="Z68" s="385">
        <f t="shared" si="22"/>
        <v>25.940253046796606</v>
      </c>
      <c r="AA68" s="386">
        <f t="shared" si="13"/>
        <v>30.740317773732567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0.15614883236625451</v>
      </c>
      <c r="AD68" s="231">
        <f>(INDEX(Models!$BJ68:$BT68,,AH68)*(1-AF68)+INDEX(Models!$BJ68:$BT68,,AH68+1)*AF68-ERP_i)*AE68*Ramure*Pc/MaxiM</f>
        <v>1.8175642626018222E-2</v>
      </c>
      <c r="AE68" s="305">
        <f t="shared" si="15"/>
        <v>0.8</v>
      </c>
      <c r="AF68" s="177">
        <f t="shared" si="23"/>
        <v>0.80653988255792175</v>
      </c>
      <c r="AG68" s="809">
        <f t="shared" si="24"/>
        <v>1</v>
      </c>
      <c r="AH68" s="176">
        <f t="shared" si="16"/>
        <v>7</v>
      </c>
      <c r="AI68" s="225">
        <f t="shared" si="17"/>
        <v>1.8065398825579218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1141">
        <f>IF(t&gt;Tmaj,'2022'!Wh/'2022'!Env_an*'2023'!Env_an,0.001*'[4]mon-tableau'!$B$151)</f>
        <v>14.56964407311011</v>
      </c>
      <c r="C69" s="839"/>
      <c r="D69" s="393">
        <f t="shared" si="0"/>
        <v>15.486188313047462</v>
      </c>
      <c r="E69" s="385">
        <f t="shared" si="1"/>
        <v>17.733440535473935</v>
      </c>
      <c r="F69" s="385">
        <f t="shared" si="2"/>
        <v>17.766008833247401</v>
      </c>
      <c r="G69" s="110">
        <f t="shared" si="21"/>
        <v>0.5245241767720441</v>
      </c>
      <c r="H69" s="414" t="b">
        <f>Wh_hp&gt;='2022'!Maxi_hp</f>
        <v>0</v>
      </c>
      <c r="I69" s="390">
        <f>IF(H69,Wh_hp,'2022'!Maxi_hp)</f>
        <v>34.946187395768554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5.9184624480198483E-2</v>
      </c>
      <c r="M69" s="843"/>
      <c r="N69" s="843"/>
      <c r="O69" s="48">
        <f>IF(t&lt;Tnet,'2022'!Resal+('2022'!Salim-'2022'!Resal)*(1-EXP(('2022'!Tnet-t)/('2022'!Tau_j))),Resal+(Salim-Resal)*(1-EXP((Tnet-t)/(Tau_j))))*Salcycl</f>
        <v>0.12672398330888329</v>
      </c>
      <c r="P69" s="169">
        <f>(INDEX(Models!$BJ69:$BT69,,T69)*(1-R69)+INDEX(Models!$BJ69:$BT69,,T69+1)*R69-ERP_i)*Q69*Ramure*Pc/MaxiM</f>
        <v>5.664328725328337E-3</v>
      </c>
      <c r="Q69" s="305">
        <f t="shared" si="4"/>
        <v>0.8</v>
      </c>
      <c r="R69" s="177">
        <f t="shared" si="5"/>
        <v>0.60612589410568019</v>
      </c>
      <c r="S69" s="809">
        <f t="shared" si="6"/>
        <v>0</v>
      </c>
      <c r="T69" s="176">
        <f t="shared" si="7"/>
        <v>6</v>
      </c>
      <c r="U69" s="251">
        <f t="shared" si="8"/>
        <v>0.60612589410568019</v>
      </c>
      <c r="V69" s="383">
        <f t="shared" si="9"/>
        <v>27.670265230748228</v>
      </c>
      <c r="W69" s="402">
        <f t="shared" si="10"/>
        <v>14.56964407311011</v>
      </c>
      <c r="X69" s="157">
        <f t="shared" si="11"/>
        <v>44981</v>
      </c>
      <c r="Y69" s="385">
        <f t="shared" si="12"/>
        <v>14.019940788937047</v>
      </c>
      <c r="Z69" s="385">
        <f t="shared" si="22"/>
        <v>14.901904405198538</v>
      </c>
      <c r="AA69" s="386">
        <f t="shared" si="13"/>
        <v>17.660013874862372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0.15617821646164082</v>
      </c>
      <c r="AD69" s="231">
        <f>(INDEX(Models!$BJ69:$BT69,,AH69)*(1-AF69)+INDEX(Models!$BJ69:$BT69,,AH69+1)*AF69-ERP_i)*AE69*Ramure*Pc/MaxiM</f>
        <v>1.8434807115078743E-2</v>
      </c>
      <c r="AE69" s="305">
        <f t="shared" si="15"/>
        <v>0.8</v>
      </c>
      <c r="AF69" s="177">
        <f t="shared" si="23"/>
        <v>0.80684264127058358</v>
      </c>
      <c r="AG69" s="809">
        <f t="shared" si="24"/>
        <v>1</v>
      </c>
      <c r="AH69" s="176">
        <f t="shared" si="16"/>
        <v>7</v>
      </c>
      <c r="AI69" s="225">
        <f t="shared" si="17"/>
        <v>1.8068426412705836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1141">
        <f>IF(t&gt;Tmaj,'2022'!Wh/'2022'!Env_an*'2023'!Env_an,0.001*'[4]mon-tableau'!$B$152)</f>
        <v>26.027746447138185</v>
      </c>
      <c r="C70" s="839"/>
      <c r="D70" s="393">
        <f t="shared" si="0"/>
        <v>27.6657529567496</v>
      </c>
      <c r="E70" s="385">
        <f t="shared" si="1"/>
        <v>31.683558987062192</v>
      </c>
      <c r="F70" s="385">
        <f t="shared" si="2"/>
        <v>31.848134539485084</v>
      </c>
      <c r="G70" s="110">
        <f t="shared" si="21"/>
        <v>0.92902457085470669</v>
      </c>
      <c r="H70" s="414" t="b">
        <f>Wh_hp&gt;='2022'!Maxi_hp</f>
        <v>0</v>
      </c>
      <c r="I70" s="390">
        <f>IF(H70,Wh_hp,'2022'!Maxi_hp)</f>
        <v>34.047177423693249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5.9207009914826553E-2</v>
      </c>
      <c r="M70" s="843"/>
      <c r="N70" s="843"/>
      <c r="O70" s="48">
        <f>IF(t&lt;Tnet,'2022'!Resal+('2022'!Salim-'2022'!Resal)*(1-EXP(('2022'!Tnet-t)/('2022'!Tau_j))),Resal+(Salim-Resal)*(1-EXP((Tnet-t)/(Tau_j))))*Salcycl</f>
        <v>0.12681043919192414</v>
      </c>
      <c r="P70" s="169">
        <f>(INDEX(Models!$BJ70:$BT70,,T70)*(1-R70)+INDEX(Models!$BJ70:$BT70,,T70+1)*R70-ERP_i)*Q70*Ramure*Pc/MaxiM</f>
        <v>5.7456469880035081E-3</v>
      </c>
      <c r="Q70" s="305">
        <f t="shared" si="4"/>
        <v>0.8</v>
      </c>
      <c r="R70" s="177">
        <f t="shared" si="5"/>
        <v>0.60644102585624349</v>
      </c>
      <c r="S70" s="809">
        <f t="shared" si="6"/>
        <v>0</v>
      </c>
      <c r="T70" s="176">
        <f t="shared" si="7"/>
        <v>6</v>
      </c>
      <c r="U70" s="251">
        <f t="shared" si="8"/>
        <v>0.60644102585624349</v>
      </c>
      <c r="V70" s="383">
        <f t="shared" si="9"/>
        <v>27.99992755484012</v>
      </c>
      <c r="W70" s="402">
        <f t="shared" si="10"/>
        <v>26.027746447138185</v>
      </c>
      <c r="X70" s="157">
        <f t="shared" si="11"/>
        <v>44982</v>
      </c>
      <c r="Y70" s="385">
        <f t="shared" si="12"/>
        <v>24.856779691928939</v>
      </c>
      <c r="Z70" s="385">
        <f t="shared" si="22"/>
        <v>26.421093645349721</v>
      </c>
      <c r="AA70" s="386">
        <f t="shared" si="13"/>
        <v>31.312311326163453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0.15620749391076741</v>
      </c>
      <c r="AD70" s="231">
        <f>(INDEX(Models!$BJ70:$BT70,,AH70)*(1-AF70)+INDEX(Models!$BJ70:$BT70,,AH70+1)*AF70-ERP_i)*AE70*Ramure*Pc/MaxiM</f>
        <v>1.8706612169302739E-2</v>
      </c>
      <c r="AE70" s="305">
        <f t="shared" si="15"/>
        <v>0.8</v>
      </c>
      <c r="AF70" s="177">
        <f t="shared" si="23"/>
        <v>0.807157773021147</v>
      </c>
      <c r="AG70" s="809">
        <f t="shared" si="24"/>
        <v>1</v>
      </c>
      <c r="AH70" s="176">
        <f t="shared" si="16"/>
        <v>7</v>
      </c>
      <c r="AI70" s="225">
        <f t="shared" si="17"/>
        <v>1.807157773021147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1141">
        <f>IF(t&gt;Tmaj,'2022'!Wh/'2022'!Env_an*'2023'!Env_an,0.001*'[4]mon-tableau'!$B$153)</f>
        <v>29.219774531598421</v>
      </c>
      <c r="C71" s="839"/>
      <c r="D71" s="393">
        <f t="shared" si="0"/>
        <v>31.059404249000885</v>
      </c>
      <c r="E71" s="385">
        <f t="shared" si="1"/>
        <v>35.57357291696492</v>
      </c>
      <c r="F71" s="385">
        <f t="shared" si="2"/>
        <v>35.782081482153075</v>
      </c>
      <c r="G71" s="110">
        <f t="shared" si="21"/>
        <v>1.031290897084685</v>
      </c>
      <c r="H71" s="414" t="b">
        <f>Wh_hp&gt;='2022'!Maxi_hp</f>
        <v>1</v>
      </c>
      <c r="I71" s="390">
        <f>IF(H71,Wh_hp,'2022'!Maxi_hp)</f>
        <v>35.782081482153075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5.9229394828512888E-2</v>
      </c>
      <c r="M71" s="843"/>
      <c r="N71" s="843"/>
      <c r="O71" s="48">
        <f>IF(t&lt;Tnet,'2022'!Resal+('2022'!Salim-'2022'!Resal)*(1-EXP(('2022'!Tnet-t)/('2022'!Tau_j))),Resal+(Salim-Resal)*(1-EXP((Tnet-t)/(Tau_j))))*Salcycl</f>
        <v>0.1268966903746474</v>
      </c>
      <c r="P71" s="169">
        <f>(INDEX(Models!$BJ71:$BT71,,T71)*(1-R71)+INDEX(Models!$BJ71:$BT71,,T71+1)*R71-ERP_i)*Q71*Ramure*Pc/MaxiM</f>
        <v>5.8271782006910156E-3</v>
      </c>
      <c r="Q71" s="305">
        <f t="shared" si="4"/>
        <v>0.8</v>
      </c>
      <c r="R71" s="177">
        <f t="shared" si="5"/>
        <v>0.60676902216292183</v>
      </c>
      <c r="S71" s="809">
        <f t="shared" si="6"/>
        <v>0</v>
      </c>
      <c r="T71" s="176">
        <f t="shared" si="7"/>
        <v>6</v>
      </c>
      <c r="U71" s="251">
        <f t="shared" si="8"/>
        <v>0.60676902216292183</v>
      </c>
      <c r="V71" s="383">
        <f t="shared" si="9"/>
        <v>28.333203186606838</v>
      </c>
      <c r="W71" s="402">
        <f t="shared" si="10"/>
        <v>29.219774531598421</v>
      </c>
      <c r="X71" s="157">
        <f t="shared" si="11"/>
        <v>44983</v>
      </c>
      <c r="Y71" s="385">
        <f t="shared" si="12"/>
        <v>27.86397539426153</v>
      </c>
      <c r="Z71" s="385">
        <f t="shared" si="22"/>
        <v>29.618246192101616</v>
      </c>
      <c r="AA71" s="386">
        <f t="shared" si="13"/>
        <v>35.102551949579215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0.15623666807345446</v>
      </c>
      <c r="AD71" s="231">
        <f>(INDEX(Models!$BJ71:$BT71,,AH71)*(1-AF71)+INDEX(Models!$BJ71:$BT71,,AH71+1)*AF71-ERP_i)*AE71*Ramure*Pc/MaxiM</f>
        <v>1.8990777071277543E-2</v>
      </c>
      <c r="AE71" s="305">
        <f t="shared" si="15"/>
        <v>0.8</v>
      </c>
      <c r="AF71" s="177">
        <f t="shared" si="23"/>
        <v>0.80748576932782523</v>
      </c>
      <c r="AG71" s="809">
        <f t="shared" si="24"/>
        <v>1</v>
      </c>
      <c r="AH71" s="176">
        <f t="shared" si="16"/>
        <v>7</v>
      </c>
      <c r="AI71" s="225">
        <f t="shared" si="17"/>
        <v>1.8074857693278252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1141">
        <f>IF(t&gt;Tmaj,'2022'!Wh/'2022'!Env_an*'2023'!Env_an,0.001*'[4]mon-tableau'!$B$154)</f>
        <v>23.848637029739688</v>
      </c>
      <c r="C72" s="839"/>
      <c r="D72" s="393">
        <f t="shared" si="0"/>
        <v>25.350711808945345</v>
      </c>
      <c r="E72" s="385">
        <f t="shared" si="1"/>
        <v>29.038042007586657</v>
      </c>
      <c r="F72" s="385">
        <f t="shared" si="2"/>
        <v>29.168962369595764</v>
      </c>
      <c r="G72" s="110">
        <f t="shared" si="21"/>
        <v>0.83065337499569314</v>
      </c>
      <c r="H72" s="414" t="b">
        <f>Wh_hp&gt;='2022'!Maxi_hp</f>
        <v>0</v>
      </c>
      <c r="I72" s="390">
        <f>IF(H72,Wh_hp,'2022'!Maxi_hp)</f>
        <v>35.119765108958404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5.9251779221269479E-2</v>
      </c>
      <c r="M72" s="843"/>
      <c r="N72" s="843"/>
      <c r="O72" s="48">
        <f>IF(t&lt;Tnet,'2022'!Resal+('2022'!Salim-'2022'!Resal)*(1-EXP(('2022'!Tnet-t)/('2022'!Tau_j))),Resal+(Salim-Resal)*(1-EXP((Tnet-t)/(Tau_j))))*Salcycl</f>
        <v>0.12698274207599597</v>
      </c>
      <c r="P72" s="169">
        <f>(INDEX(Models!$BJ72:$BT72,,T72)*(1-R72)+INDEX(Models!$BJ72:$BT72,,T72+1)*R72-ERP_i)*Q72*Ramure*Pc/MaxiM</f>
        <v>5.9075023905201113E-3</v>
      </c>
      <c r="Q72" s="305">
        <f t="shared" si="4"/>
        <v>0.8</v>
      </c>
      <c r="R72" s="177">
        <f t="shared" si="5"/>
        <v>0.60711039287669399</v>
      </c>
      <c r="S72" s="809">
        <f t="shared" si="6"/>
        <v>0</v>
      </c>
      <c r="T72" s="176">
        <f t="shared" si="7"/>
        <v>6</v>
      </c>
      <c r="U72" s="251">
        <f t="shared" si="8"/>
        <v>0.60711039287669399</v>
      </c>
      <c r="V72" s="383">
        <f t="shared" si="9"/>
        <v>28.669767896835779</v>
      </c>
      <c r="W72" s="402">
        <f t="shared" si="10"/>
        <v>23.848637029739688</v>
      </c>
      <c r="X72" s="157">
        <f t="shared" si="11"/>
        <v>44984</v>
      </c>
      <c r="Y72" s="385">
        <f t="shared" si="12"/>
        <v>22.813346516761872</v>
      </c>
      <c r="Z72" s="385">
        <f t="shared" si="22"/>
        <v>24.250214895838429</v>
      </c>
      <c r="AA72" s="386">
        <f t="shared" si="13"/>
        <v>28.741531775789742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0.15626574515887662</v>
      </c>
      <c r="AD72" s="231">
        <f>(INDEX(Models!$BJ72:$BT72,,AH72)*(1-AF72)+INDEX(Models!$BJ72:$BT72,,AH72+1)*AF72-ERP_i)*AE72*Ramure*Pc/MaxiM</f>
        <v>1.9286894841574607E-2</v>
      </c>
      <c r="AE72" s="305">
        <f t="shared" si="15"/>
        <v>0.8</v>
      </c>
      <c r="AF72" s="177">
        <f t="shared" si="23"/>
        <v>0.8078271400415975</v>
      </c>
      <c r="AG72" s="809">
        <f t="shared" si="24"/>
        <v>1</v>
      </c>
      <c r="AH72" s="176">
        <f t="shared" si="16"/>
        <v>7</v>
      </c>
      <c r="AI72" s="225">
        <f t="shared" si="17"/>
        <v>1.8078271400415975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1141">
        <f>IF(t&gt;Tmaj,'2022'!Wh/'2022'!Env_an*'2023'!Env_an,0.001*'[4]mon-tableau'!$B$155)</f>
        <v>24.031765228964467</v>
      </c>
      <c r="C73" s="839"/>
      <c r="D73" s="393">
        <f t="shared" si="0"/>
        <v>25.545981928147061</v>
      </c>
      <c r="E73" s="385">
        <f t="shared" si="1"/>
        <v>29.264592824010499</v>
      </c>
      <c r="F73" s="385">
        <f t="shared" si="2"/>
        <v>29.397405165564674</v>
      </c>
      <c r="G73" s="110">
        <f t="shared" si="21"/>
        <v>0.8271947931140996</v>
      </c>
      <c r="H73" s="414" t="b">
        <f>Wh_hp&gt;='2022'!Maxi_hp</f>
        <v>0</v>
      </c>
      <c r="I73" s="390">
        <f>IF(H73,Wh_hp,'2022'!Maxi_hp)</f>
        <v>30.515146112920245</v>
      </c>
      <c r="J73" s="85">
        <f>IF(H73,An,'2022'!An_max)</f>
        <v>2021</v>
      </c>
      <c r="K73" s="197">
        <f t="shared" si="3"/>
        <v>44985</v>
      </c>
      <c r="L73" s="147">
        <f>IF(t&lt;Tvie,1-EXP((T0-t)*PertePVj)+'2022'!Pspv,1-EXP((T0-t)*PertePVj)+Pspv)</f>
        <v>5.9274163093108651E-2</v>
      </c>
      <c r="M73" s="843"/>
      <c r="N73" s="843"/>
      <c r="O73" s="48">
        <f>IF(t&lt;Tnet,'2022'!Resal+('2022'!Salim-'2022'!Resal)*(1-EXP(('2022'!Tnet-t)/('2022'!Tau_j))),Resal+(Salim-Resal)*(1-EXP((Tnet-t)/(Tau_j))))*Salcycl</f>
        <v>0.12706860191857713</v>
      </c>
      <c r="P73" s="169">
        <f>(INDEX(Models!$BJ73:$BT73,,T73)*(1-R73)+INDEX(Models!$BJ73:$BT73,,T73+1)*R73-ERP_i)*Q73*Ramure*Pc/MaxiM</f>
        <v>5.9848303824411404E-3</v>
      </c>
      <c r="Q73" s="305">
        <f t="shared" si="4"/>
        <v>0.8</v>
      </c>
      <c r="R73" s="177">
        <f t="shared" si="5"/>
        <v>0.60746566676379921</v>
      </c>
      <c r="S73" s="809">
        <f t="shared" si="6"/>
        <v>0</v>
      </c>
      <c r="T73" s="176">
        <f t="shared" si="7"/>
        <v>6</v>
      </c>
      <c r="U73" s="251">
        <f t="shared" si="8"/>
        <v>0.60746566676379921</v>
      </c>
      <c r="V73" s="383">
        <f t="shared" si="9"/>
        <v>29.009310394701796</v>
      </c>
      <c r="W73" s="402">
        <f t="shared" si="10"/>
        <v>24.031765228964467</v>
      </c>
      <c r="X73" s="157">
        <f t="shared" si="11"/>
        <v>44985</v>
      </c>
      <c r="Y73" s="385">
        <f t="shared" si="12"/>
        <v>22.987706272381562</v>
      </c>
      <c r="Z73" s="385">
        <f t="shared" si="22"/>
        <v>24.436137895356623</v>
      </c>
      <c r="AA73" s="386">
        <f t="shared" si="13"/>
        <v>28.962884184075346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0.15629473432095764</v>
      </c>
      <c r="AD73" s="231">
        <f>(INDEX(Models!$BJ73:$BT73,,AH73)*(1-AF73)+INDEX(Models!$BJ73:$BT73,,AH73+1)*AF73-ERP_i)*AE73*Ramure*Pc/MaxiM</f>
        <v>1.9580517453377803E-2</v>
      </c>
      <c r="AE73" s="305">
        <f t="shared" si="15"/>
        <v>0.8</v>
      </c>
      <c r="AF73" s="177">
        <f t="shared" si="23"/>
        <v>0.8081824139287026</v>
      </c>
      <c r="AG73" s="809">
        <f t="shared" si="24"/>
        <v>1</v>
      </c>
      <c r="AH73" s="176">
        <f t="shared" si="16"/>
        <v>7</v>
      </c>
      <c r="AI73" s="225">
        <f t="shared" si="17"/>
        <v>1.8081824139287026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1141">
        <f>IF(t&gt;Tmaj,'2022'!Wh/'2022'!Env_an*'2023'!Env_an,0.001*'[5]mon-tableau'!$B$140)</f>
        <v>29.46888949621907</v>
      </c>
      <c r="C74" s="839"/>
      <c r="D74" s="393">
        <f t="shared" si="0"/>
        <v>31.326439150216341</v>
      </c>
      <c r="E74" s="385">
        <f t="shared" si="1"/>
        <v>35.890007171064958</v>
      </c>
      <c r="F74" s="385">
        <f t="shared" si="2"/>
        <v>36.10880252443625</v>
      </c>
      <c r="G74" s="110">
        <f t="shared" si="21"/>
        <v>1.0040006644989004</v>
      </c>
      <c r="H74" s="414" t="b">
        <f>Wh_hp&gt;='2022'!Maxi_hp</f>
        <v>0</v>
      </c>
      <c r="I74" s="390">
        <f>IF(H74,Wh_hp,'2022'!Maxi_hp)</f>
        <v>36.108802524436257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5.9296546444042392E-2</v>
      </c>
      <c r="M74" s="843"/>
      <c r="N74" s="843"/>
      <c r="O74" s="48">
        <f>IF(t&lt;Tnet,'2022'!Resal+('2022'!Salim-'2022'!Resal)*(1-EXP(('2022'!Tnet-t)/('2022'!Tau_j))),Resal+(Salim-Resal)*(1-EXP((Tnet-t)/(Tau_j))))*Salcycl</f>
        <v>0.12715427999490159</v>
      </c>
      <c r="P74" s="169">
        <f>(INDEX(Models!$BJ74:$BT74,,T74)*(1-R74)+INDEX(Models!$BJ74:$BT74,,T74+1)*R74-ERP_i)*Q74*Ramure*Pc/MaxiM</f>
        <v>6.059335621091926E-3</v>
      </c>
      <c r="Q74" s="305">
        <f t="shared" si="4"/>
        <v>0.8</v>
      </c>
      <c r="R74" s="177">
        <f t="shared" si="5"/>
        <v>0.60783539209786974</v>
      </c>
      <c r="S74" s="809">
        <f t="shared" si="6"/>
        <v>0</v>
      </c>
      <c r="T74" s="176">
        <f t="shared" si="7"/>
        <v>6</v>
      </c>
      <c r="U74" s="251">
        <f t="shared" si="8"/>
        <v>0.60783539209786974</v>
      </c>
      <c r="V74" s="383">
        <f t="shared" si="9"/>
        <v>29.35146413566078</v>
      </c>
      <c r="W74" s="402">
        <f t="shared" si="10"/>
        <v>29.46888949621907</v>
      </c>
      <c r="X74" s="157">
        <f t="shared" si="11"/>
        <v>44986</v>
      </c>
      <c r="Y74" s="385">
        <f t="shared" si="12"/>
        <v>28.088239985749794</v>
      </c>
      <c r="Z74" s="385">
        <f t="shared" si="22"/>
        <v>29.858761418992675</v>
      </c>
      <c r="AA74" s="386">
        <f t="shared" si="13"/>
        <v>35.391250849628747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0.15632364773267426</v>
      </c>
      <c r="AD74" s="231">
        <f>(INDEX(Models!$BJ74:$BT74,,AH74)*(1-AF74)+INDEX(Models!$BJ74:$BT74,,AH74+1)*AF74-ERP_i)*AE74*Ramure*Pc/MaxiM</f>
        <v>1.98719321783631E-2</v>
      </c>
      <c r="AE74" s="305">
        <f t="shared" si="15"/>
        <v>0.8</v>
      </c>
      <c r="AF74" s="177">
        <f t="shared" si="23"/>
        <v>0.80855213926277325</v>
      </c>
      <c r="AG74" s="809">
        <f t="shared" si="24"/>
        <v>1</v>
      </c>
      <c r="AH74" s="176">
        <f t="shared" si="16"/>
        <v>7</v>
      </c>
      <c r="AI74" s="225">
        <f t="shared" si="17"/>
        <v>1.8085521392627733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1141">
        <f>IF(t&gt;Tmaj,'2022'!Wh/'2022'!Env_an*'2023'!Env_an,0.001*'[5]mon-tableau'!$B$141)</f>
        <v>8.4793693685010911</v>
      </c>
      <c r="C75" s="839"/>
      <c r="D75" s="393">
        <f t="shared" si="0"/>
        <v>9.0140746235678151</v>
      </c>
      <c r="E75" s="385">
        <f t="shared" si="1"/>
        <v>10.328237365880163</v>
      </c>
      <c r="F75" s="385">
        <f t="shared" si="2"/>
        <v>10.328237365880163</v>
      </c>
      <c r="G75" s="110">
        <f t="shared" si="21"/>
        <v>0.28378972696548282</v>
      </c>
      <c r="H75" s="414" t="b">
        <f>Wh_hp&gt;='2022'!Maxi_hp</f>
        <v>0</v>
      </c>
      <c r="I75" s="390">
        <f>IF(H75,Wh_hp,'2022'!Maxi_hp)</f>
        <v>24.299923659656329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5.9318929274082804E-2</v>
      </c>
      <c r="M75" s="843"/>
      <c r="N75" s="843"/>
      <c r="O75" s="48">
        <f>IF(t&lt;Tnet,'2022'!Resal+('2022'!Salim-'2022'!Resal)*(1-EXP(('2022'!Tnet-t)/('2022'!Tau_j))),Resal+(Salim-Resal)*(1-EXP((Tnet-t)/(Tau_j))))*Salcycl</f>
        <v>0.12723978891633037</v>
      </c>
      <c r="P75" s="169">
        <f>(INDEX(Models!$BJ75:$BT75,,T75)*(1-R75)+INDEX(Models!$BJ75:$BT75,,T75+1)*R75-ERP_i)*Q75*Ramure*Pc/MaxiM</f>
        <v>6.1311912578568212E-3</v>
      </c>
      <c r="Q75" s="305">
        <f t="shared" si="4"/>
        <v>0.8</v>
      </c>
      <c r="R75" s="177">
        <f t="shared" si="5"/>
        <v>0.60822013726098356</v>
      </c>
      <c r="S75" s="809">
        <f t="shared" si="6"/>
        <v>0</v>
      </c>
      <c r="T75" s="176">
        <f t="shared" si="7"/>
        <v>6</v>
      </c>
      <c r="U75" s="251">
        <f t="shared" si="8"/>
        <v>0.60822013726098356</v>
      </c>
      <c r="V75" s="383">
        <f t="shared" si="9"/>
        <v>29.695862578499248</v>
      </c>
      <c r="W75" s="402">
        <f t="shared" si="10"/>
        <v>8.4793693685010911</v>
      </c>
      <c r="X75" s="157">
        <f t="shared" si="11"/>
        <v>44987</v>
      </c>
      <c r="Y75" s="385">
        <f t="shared" si="12"/>
        <v>8.1965225649005742</v>
      </c>
      <c r="Z75" s="385">
        <f t="shared" si="22"/>
        <v>8.7133916265322249</v>
      </c>
      <c r="AA75" s="386">
        <f t="shared" si="13"/>
        <v>10.328237365880163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0.15635250063894343</v>
      </c>
      <c r="AD75" s="231">
        <f>(INDEX(Models!$BJ75:$BT75,,AH75)*(1-AF75)+INDEX(Models!$BJ75:$BT75,,AH75+1)*AF75-ERP_i)*AE75*Ramure*Pc/MaxiM</f>
        <v>2.0161436695248034E-2</v>
      </c>
      <c r="AE75" s="305">
        <f t="shared" si="15"/>
        <v>0.8</v>
      </c>
      <c r="AF75" s="177">
        <f t="shared" si="23"/>
        <v>0.80893688442588707</v>
      </c>
      <c r="AG75" s="809">
        <f t="shared" si="24"/>
        <v>1</v>
      </c>
      <c r="AH75" s="176">
        <f t="shared" si="16"/>
        <v>7</v>
      </c>
      <c r="AI75" s="225">
        <f t="shared" si="17"/>
        <v>1.8089368844258871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1141">
        <f>IF(t&gt;Tmaj,'2022'!Wh/'2022'!Env_an*'2023'!Env_an,0.001*'[5]mon-tableau'!$B$142)</f>
        <v>28.699399059364147</v>
      </c>
      <c r="C76" s="839"/>
      <c r="D76" s="393">
        <f t="shared" si="0"/>
        <v>30.509896323467441</v>
      </c>
      <c r="E76" s="385">
        <f t="shared" si="1"/>
        <v>34.961356005923264</v>
      </c>
      <c r="F76" s="385">
        <f t="shared" si="2"/>
        <v>35.165479713753186</v>
      </c>
      <c r="G76" s="110">
        <f t="shared" si="21"/>
        <v>0.95492435551258037</v>
      </c>
      <c r="H76" s="414" t="b">
        <f>Wh_hp&gt;='2022'!Maxi_hp</f>
        <v>0</v>
      </c>
      <c r="I76" s="390">
        <f>IF(H76,Wh_hp,'2022'!Maxi_hp)</f>
        <v>35.179291593929499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5.9341311583242101E-2</v>
      </c>
      <c r="M76" s="843"/>
      <c r="N76" s="843"/>
      <c r="O76" s="48">
        <f>IF(t&lt;Tnet,'2022'!Resal+('2022'!Salim-'2022'!Resal)*(1-EXP(('2022'!Tnet-t)/('2022'!Tau_j))),Resal+(Salim-Resal)*(1-EXP((Tnet-t)/(Tau_j))))*Salcycl</f>
        <v>0.12732514384458213</v>
      </c>
      <c r="P76" s="169">
        <f>(INDEX(Models!$BJ76:$BT76,,T76)*(1-R76)+INDEX(Models!$BJ76:$BT76,,T76+1)*R76-ERP_i)*Q76*Ramure*Pc/MaxiM</f>
        <v>6.20056991085805E-3</v>
      </c>
      <c r="Q76" s="305">
        <f t="shared" si="4"/>
        <v>0.8</v>
      </c>
      <c r="R76" s="177">
        <f t="shared" si="5"/>
        <v>0.60862049135281304</v>
      </c>
      <c r="S76" s="809">
        <f t="shared" si="6"/>
        <v>0</v>
      </c>
      <c r="T76" s="176">
        <f t="shared" si="7"/>
        <v>6</v>
      </c>
      <c r="U76" s="251">
        <f t="shared" si="8"/>
        <v>0.60862049135281304</v>
      </c>
      <c r="V76" s="383">
        <f t="shared" si="9"/>
        <v>30.042139172616146</v>
      </c>
      <c r="W76" s="402">
        <f t="shared" si="10"/>
        <v>28.699399059364147</v>
      </c>
      <c r="X76" s="157">
        <f t="shared" si="11"/>
        <v>44988</v>
      </c>
      <c r="Y76" s="385">
        <f t="shared" si="12"/>
        <v>27.371602291827148</v>
      </c>
      <c r="Z76" s="385">
        <f t="shared" si="22"/>
        <v>29.098335696975123</v>
      </c>
      <c r="AA76" s="386">
        <f t="shared" si="13"/>
        <v>34.492284357580964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0.15638131138798633</v>
      </c>
      <c r="AD76" s="231">
        <f>(INDEX(Models!$BJ76:$BT76,,AH76)*(1-AF76)+INDEX(Models!$BJ76:$BT76,,AH76+1)*AF76-ERP_i)*AE76*Ramure*Pc/MaxiM</f>
        <v>2.0449338854303205E-2</v>
      </c>
      <c r="AE76" s="305">
        <f t="shared" si="15"/>
        <v>0.8</v>
      </c>
      <c r="AF76" s="177">
        <f t="shared" si="23"/>
        <v>0.80933723851771644</v>
      </c>
      <c r="AG76" s="809">
        <f t="shared" si="24"/>
        <v>1</v>
      </c>
      <c r="AH76" s="176">
        <f t="shared" si="16"/>
        <v>7</v>
      </c>
      <c r="AI76" s="225">
        <f t="shared" si="17"/>
        <v>1.8093372385177164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1141">
        <f>IF(t&gt;Tmaj,'2022'!Wh/'2022'!Env_an*'2023'!Env_an,0.001*'[5]mon-tableau'!$B$143)</f>
        <v>3.8303389164819301</v>
      </c>
      <c r="C77" s="839"/>
      <c r="D77" s="393">
        <f t="shared" si="0"/>
        <v>4.0720721595480969</v>
      </c>
      <c r="E77" s="385">
        <f t="shared" si="1"/>
        <v>4.666651980009707</v>
      </c>
      <c r="F77" s="385">
        <f t="shared" si="2"/>
        <v>4.666651980009707</v>
      </c>
      <c r="G77" s="110">
        <f t="shared" si="21"/>
        <v>0.12524978013307958</v>
      </c>
      <c r="H77" s="414" t="b">
        <f>Wh_hp&gt;='2022'!Maxi_hp</f>
        <v>0</v>
      </c>
      <c r="I77" s="390">
        <f>IF(H77,Wh_hp,'2022'!Maxi_hp)</f>
        <v>28.821969075833852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5.9363693371532383E-2</v>
      </c>
      <c r="M77" s="843"/>
      <c r="N77" s="843"/>
      <c r="O77" s="48">
        <f>IF(t&lt;Tnet,'2022'!Resal+('2022'!Salim-'2022'!Resal)*(1-EXP(('2022'!Tnet-t)/('2022'!Tau_j))),Resal+(Salim-Resal)*(1-EXP((Tnet-t)/(Tau_j))))*Salcycl</f>
        <v>0.1274103625058351</v>
      </c>
      <c r="P77" s="169">
        <f>(INDEX(Models!$BJ77:$BT77,,T77)*(1-R77)+INDEX(Models!$BJ77:$BT77,,T77+1)*R77-ERP_i)*Q77*Ramure*Pc/MaxiM</f>
        <v>6.2676434738364716E-3</v>
      </c>
      <c r="Q77" s="305">
        <f t="shared" si="4"/>
        <v>0.8</v>
      </c>
      <c r="R77" s="177">
        <f t="shared" si="5"/>
        <v>0.60903706480693098</v>
      </c>
      <c r="S77" s="809">
        <f t="shared" si="6"/>
        <v>0</v>
      </c>
      <c r="T77" s="176">
        <f t="shared" si="7"/>
        <v>6</v>
      </c>
      <c r="U77" s="251">
        <f t="shared" si="8"/>
        <v>0.60903706480693098</v>
      </c>
      <c r="V77" s="383">
        <f t="shared" si="9"/>
        <v>30.389927341390788</v>
      </c>
      <c r="W77" s="402">
        <f t="shared" si="10"/>
        <v>3.8303389164819301</v>
      </c>
      <c r="X77" s="157">
        <f t="shared" si="11"/>
        <v>44989</v>
      </c>
      <c r="Y77" s="385">
        <f t="shared" si="12"/>
        <v>3.7030410162555927</v>
      </c>
      <c r="Z77" s="385">
        <f t="shared" si="22"/>
        <v>3.9367404704252174</v>
      </c>
      <c r="AA77" s="386">
        <f t="shared" si="13"/>
        <v>4.666651980009707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0.1564101014412845</v>
      </c>
      <c r="AD77" s="231">
        <f>(INDEX(Models!$BJ77:$BT77,,AH77)*(1-AF77)+INDEX(Models!$BJ77:$BT77,,AH77+1)*AF77-ERP_i)*AE77*Ramure*Pc/MaxiM</f>
        <v>2.0735956520543972E-2</v>
      </c>
      <c r="AE77" s="305">
        <f t="shared" si="15"/>
        <v>0.8</v>
      </c>
      <c r="AF77" s="177">
        <f t="shared" si="23"/>
        <v>0.80975381197183438</v>
      </c>
      <c r="AG77" s="809">
        <f t="shared" si="24"/>
        <v>1</v>
      </c>
      <c r="AH77" s="176">
        <f t="shared" si="16"/>
        <v>7</v>
      </c>
      <c r="AI77" s="225">
        <f t="shared" si="17"/>
        <v>1.8097538119718344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1141">
        <f>IF(t&gt;Tmaj,'2022'!Wh/'2022'!Env_an*'2023'!Env_an,0.001*'[5]mon-tableau'!$B$144)</f>
        <v>12.295664183286959</v>
      </c>
      <c r="C78" s="839"/>
      <c r="D78" s="393">
        <f t="shared" si="0"/>
        <v>13.071956359318765</v>
      </c>
      <c r="E78" s="385">
        <f t="shared" si="1"/>
        <v>14.982107069655266</v>
      </c>
      <c r="F78" s="385">
        <f t="shared" si="2"/>
        <v>14.995673505873325</v>
      </c>
      <c r="G78" s="110">
        <f t="shared" si="21"/>
        <v>0.39783075922687827</v>
      </c>
      <c r="H78" s="414" t="b">
        <f>Wh_hp&gt;='2022'!Maxi_hp</f>
        <v>0</v>
      </c>
      <c r="I78" s="390">
        <f>IF(H78,Wh_hp,'2022'!Maxi_hp)</f>
        <v>37.277702445333496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5.9386074638965641E-2</v>
      </c>
      <c r="M78" s="843"/>
      <c r="N78" s="843"/>
      <c r="O78" s="48">
        <f>IF(t&lt;Tnet,'2022'!Resal+('2022'!Salim-'2022'!Resal)*(1-EXP(('2022'!Tnet-t)/('2022'!Tau_j))),Resal+(Salim-Resal)*(1-EXP((Tnet-t)/(Tau_j))))*Salcycl</f>
        <v>0.12749546518762475</v>
      </c>
      <c r="P78" s="169">
        <f>(INDEX(Models!$BJ78:$BT78,,T78)*(1-R78)+INDEX(Models!$BJ78:$BT78,,T78+1)*R78-ERP_i)*Q78*Ramure*Pc/MaxiM</f>
        <v>6.3325829656584133E-3</v>
      </c>
      <c r="Q78" s="305">
        <f t="shared" si="4"/>
        <v>0.8</v>
      </c>
      <c r="R78" s="177">
        <f t="shared" si="5"/>
        <v>0.60947049001320575</v>
      </c>
      <c r="S78" s="809">
        <f t="shared" si="6"/>
        <v>0</v>
      </c>
      <c r="T78" s="176">
        <f t="shared" si="7"/>
        <v>6</v>
      </c>
      <c r="U78" s="251">
        <f t="shared" si="8"/>
        <v>0.60947049001320575</v>
      </c>
      <c r="V78" s="383">
        <f t="shared" si="9"/>
        <v>30.738860476591025</v>
      </c>
      <c r="W78" s="402">
        <f t="shared" si="10"/>
        <v>12.295664183286959</v>
      </c>
      <c r="X78" s="157">
        <f t="shared" si="11"/>
        <v>44990</v>
      </c>
      <c r="Y78" s="385">
        <f t="shared" si="12"/>
        <v>11.862813124872361</v>
      </c>
      <c r="Z78" s="385">
        <f t="shared" si="22"/>
        <v>12.61177705860465</v>
      </c>
      <c r="AA78" s="386">
        <f t="shared" si="13"/>
        <v>14.950638417620599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0.15643889536244837</v>
      </c>
      <c r="AD78" s="231">
        <f>(INDEX(Models!$BJ78:$BT78,,AH78)*(1-AF78)+INDEX(Models!$BJ78:$BT78,,AH78+1)*AF78-ERP_i)*AE78*Ramure*Pc/MaxiM</f>
        <v>2.1021617478764867E-2</v>
      </c>
      <c r="AE78" s="305">
        <f t="shared" si="15"/>
        <v>0.8</v>
      </c>
      <c r="AF78" s="177">
        <f t="shared" si="23"/>
        <v>0.81018723717810914</v>
      </c>
      <c r="AG78" s="809">
        <f t="shared" si="24"/>
        <v>1</v>
      </c>
      <c r="AH78" s="176">
        <f t="shared" si="16"/>
        <v>7</v>
      </c>
      <c r="AI78" s="225">
        <f t="shared" si="17"/>
        <v>1.8101872371781091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1141">
        <f>IF(t&gt;Tmaj,'2022'!Wh/'2022'!Env_an*'2023'!Env_an,0.001*'[5]mon-tableau'!$B$145)</f>
        <v>14.177479532505686</v>
      </c>
      <c r="C79" s="839"/>
      <c r="D79" s="393">
        <f t="shared" ref="D79:D142" si="25">Wh/(1-Ppv)</f>
        <v>15.072939591772666</v>
      </c>
      <c r="E79" s="385">
        <f t="shared" si="1"/>
        <v>17.27716901672526</v>
      </c>
      <c r="F79" s="385">
        <f t="shared" ref="F79:F142" si="26">Wh_sa/(1-Pvg*MEDIAN((-Sdif+Wh/Env_an)/Csdif,0,1))</f>
        <v>17.301827045388865</v>
      </c>
      <c r="G79" s="110">
        <f t="shared" si="21"/>
        <v>0.45372904857640811</v>
      </c>
      <c r="H79" s="414" t="b">
        <f>Wh_hp&gt;='2022'!Maxi_hp</f>
        <v>0</v>
      </c>
      <c r="I79" s="390">
        <f>IF(H79,Wh_hp,'2022'!Maxi_hp)</f>
        <v>22.684826096802258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5.940845538555431E-2</v>
      </c>
      <c r="M79" s="843"/>
      <c r="N79" s="843"/>
      <c r="O79" s="48">
        <f>IF(t&lt;Tnet,'2022'!Resal+('2022'!Salim-'2022'!Resal)*(1-EXP(('2022'!Tnet-t)/('2022'!Tau_j))),Resal+(Salim-Resal)*(1-EXP((Tnet-t)/(Tau_j))))*Salcycl</f>
        <v>0.12758047471890671</v>
      </c>
      <c r="P79" s="169">
        <f>(INDEX(Models!$BJ79:$BT79,,T79)*(1-R79)+INDEX(Models!$BJ79:$BT79,,T79+1)*R79-ERP_i)*Q79*Ramure*Pc/MaxiM</f>
        <v>6.3950491987085512E-3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0.60992142194508348</v>
      </c>
      <c r="S79" s="809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0.60992142194508348</v>
      </c>
      <c r="V79" s="383">
        <f t="shared" ref="V79:V142" si="33">MaxiM*(1-Ppv)*(1-Pvg)*(1-Psa)</f>
        <v>31.091063359558589</v>
      </c>
      <c r="W79" s="402">
        <f t="shared" ref="W79:W142" si="34">Wh*(A79&gt;Tmaj)</f>
        <v>14.177479532505686</v>
      </c>
      <c r="X79" s="157">
        <f t="shared" ref="X79:X142" si="35">t</f>
        <v>44991</v>
      </c>
      <c r="Y79" s="385">
        <f t="shared" ref="Y79:Y142" si="36">Wh_pvt_s*(1-Ppv)</f>
        <v>13.662426463679511</v>
      </c>
      <c r="Z79" s="385">
        <f t="shared" ref="Z79:Z142" si="37">Wh_sa_s*(1-Psa_s)</f>
        <v>14.525355391409375</v>
      </c>
      <c r="AA79" s="386">
        <f t="shared" ref="AA79:AA142" si="38">Wh_hp*(1-Pvg_s*MEDIAN((-Sdif+Wh/Env_an)/Csdif,0,1))</f>
        <v>17.219679376035039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0.15646772078552201</v>
      </c>
      <c r="AD79" s="231">
        <f>(INDEX(Models!$BJ79:$BT79,,AH79)*(1-AF79)+INDEX(Models!$BJ79:$BT79,,AH79+1)*AF79-ERP_i)*AE79*Ramure*Pc/MaxiM</f>
        <v>2.1304962949140877E-2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0.81063816910998687</v>
      </c>
      <c r="AG79" s="809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1.8106381691099869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1141">
        <f>IF(t&gt;Tmaj,'2022'!Wh/'2022'!Env_an*'2023'!Env_an,0.001*'[5]mon-tableau'!$B$146)</f>
        <v>30.167110698024903</v>
      </c>
      <c r="C80" s="839"/>
      <c r="D80" s="393">
        <f t="shared" si="25"/>
        <v>32.073250793450796</v>
      </c>
      <c r="E80" s="385">
        <f t="shared" ref="E80:E143" si="47">Wh_pvt/(1-Psa)</f>
        <v>36.767143476453754</v>
      </c>
      <c r="F80" s="385">
        <f t="shared" si="26"/>
        <v>36.991794526683123</v>
      </c>
      <c r="G80" s="110">
        <f t="shared" ref="G80:G143" si="48">+Wh_hp/MaxiM</f>
        <v>0.95888846400004102</v>
      </c>
      <c r="H80" s="414" t="b">
        <f>Wh_hp&gt;='2022'!Maxi_hp</f>
        <v>0</v>
      </c>
      <c r="I80" s="390">
        <f>IF(H80,Wh_hp,'2022'!Maxi_hp)</f>
        <v>37.005534165316867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5.9430835611310157E-2</v>
      </c>
      <c r="M80" s="843"/>
      <c r="N80" s="843"/>
      <c r="O80" s="48">
        <f>IF(t&lt;Tnet,'2022'!Resal+('2022'!Salim-'2022'!Resal)*(1-EXP(('2022'!Tnet-t)/('2022'!Tau_j))),Resal+(Salim-Resal)*(1-EXP((Tnet-t)/(Tau_j))))*Salcycl</f>
        <v>0.12766541643380586</v>
      </c>
      <c r="P80" s="169">
        <f>(INDEX(Models!$BJ80:$BT80,,T80)*(1-R80)+INDEX(Models!$BJ80:$BT80,,T80+1)*R80-ERP_i)*Q80*Ramure*Pc/MaxiM</f>
        <v>6.4483776139135267E-3</v>
      </c>
      <c r="Q80" s="305">
        <f t="shared" si="28"/>
        <v>0.8</v>
      </c>
      <c r="R80" s="177">
        <f t="shared" si="29"/>
        <v>0.61039053879040617</v>
      </c>
      <c r="S80" s="809">
        <f t="shared" si="30"/>
        <v>0</v>
      </c>
      <c r="T80" s="176">
        <f t="shared" si="31"/>
        <v>6</v>
      </c>
      <c r="U80" s="251">
        <f t="shared" si="32"/>
        <v>0.61039053879040617</v>
      </c>
      <c r="V80" s="383">
        <f t="shared" si="33"/>
        <v>31.448618357831858</v>
      </c>
      <c r="W80" s="402">
        <f t="shared" si="34"/>
        <v>30.167110698024903</v>
      </c>
      <c r="X80" s="157">
        <f t="shared" si="35"/>
        <v>44992</v>
      </c>
      <c r="Y80" s="385">
        <f t="shared" si="36"/>
        <v>28.751983749191631</v>
      </c>
      <c r="Z80" s="385">
        <f t="shared" si="37"/>
        <v>30.568707584496021</v>
      </c>
      <c r="AA80" s="386">
        <f t="shared" si="38"/>
        <v>36.240171512750535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0.15649660836343171</v>
      </c>
      <c r="AD80" s="231">
        <f>(INDEX(Models!$BJ80:$BT80,,AH80)*(1-AF80)+INDEX(Models!$BJ80:$BT80,,AH80+1)*AF80-ERP_i)*AE80*Ramure*Pc/MaxiM</f>
        <v>2.1574566476303979E-2</v>
      </c>
      <c r="AE80" s="305">
        <f t="shared" si="40"/>
        <v>0.8</v>
      </c>
      <c r="AF80" s="177">
        <f t="shared" si="41"/>
        <v>0.81110728595530968</v>
      </c>
      <c r="AG80" s="809">
        <f t="shared" ref="AG80:AG143" si="49">INDEX(Echel_vg,AH80)</f>
        <v>1</v>
      </c>
      <c r="AH80" s="176">
        <f t="shared" si="42"/>
        <v>7</v>
      </c>
      <c r="AI80" s="225">
        <f t="shared" si="43"/>
        <v>1.8111072859553097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1141">
        <f>IF(t&gt;Tmaj,'2022'!Wh/'2022'!Env_an*'2023'!Env_an,0.001*'[5]mon-tableau'!$B$147)</f>
        <v>23.337169076654064</v>
      </c>
      <c r="C81" s="839"/>
      <c r="D81" s="393">
        <f t="shared" si="25"/>
        <v>24.812342625253731</v>
      </c>
      <c r="E81" s="385">
        <f t="shared" si="47"/>
        <v>28.446376239159562</v>
      </c>
      <c r="F81" s="385">
        <f t="shared" si="26"/>
        <v>28.561244403779728</v>
      </c>
      <c r="G81" s="110">
        <f t="shared" si="48"/>
        <v>0.7318039942022535</v>
      </c>
      <c r="H81" s="414" t="b">
        <f>Wh_hp&gt;='2022'!Maxi_hp</f>
        <v>0</v>
      </c>
      <c r="I81" s="390">
        <f>IF(H81,Wh_hp,'2022'!Maxi_hp)</f>
        <v>28.631009499082833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5.9453215316245506E-2</v>
      </c>
      <c r="M81" s="843"/>
      <c r="N81" s="843"/>
      <c r="O81" s="48">
        <f>IF(t&lt;Tnet,'2022'!Resal+('2022'!Salim-'2022'!Resal)*(1-EXP(('2022'!Tnet-t)/('2022'!Tau_j))),Resal+(Salim-Resal)*(1-EXP((Tnet-t)/(Tau_j))))*Salcycl</f>
        <v>0.1277503181197184</v>
      </c>
      <c r="P81" s="169">
        <f>(INDEX(Models!$BJ81:$BT81,,T81)*(1-R81)+INDEX(Models!$BJ81:$BT81,,T81+1)*R81-ERP_i)*Q81*Ramure*Pc/MaxiM</f>
        <v>6.4924329196822369E-3</v>
      </c>
      <c r="Q81" s="305">
        <f t="shared" si="28"/>
        <v>0.8</v>
      </c>
      <c r="R81" s="177">
        <f t="shared" si="29"/>
        <v>0.61087854258425822</v>
      </c>
      <c r="S81" s="809">
        <f t="shared" si="30"/>
        <v>0</v>
      </c>
      <c r="T81" s="176">
        <f t="shared" si="31"/>
        <v>6</v>
      </c>
      <c r="U81" s="251">
        <f t="shared" si="32"/>
        <v>0.61087854258425822</v>
      </c>
      <c r="V81" s="383">
        <f t="shared" si="33"/>
        <v>31.810811789668264</v>
      </c>
      <c r="W81" s="402">
        <f t="shared" si="34"/>
        <v>23.337169076654064</v>
      </c>
      <c r="X81" s="157">
        <f t="shared" si="35"/>
        <v>44993</v>
      </c>
      <c r="Y81" s="385">
        <f t="shared" si="36"/>
        <v>22.352063239673853</v>
      </c>
      <c r="Z81" s="385">
        <f t="shared" si="37"/>
        <v>23.764966935897206</v>
      </c>
      <c r="AA81" s="386">
        <f t="shared" si="38"/>
        <v>28.175089489345989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0.15652559169746061</v>
      </c>
      <c r="AD81" s="231">
        <f>(INDEX(Models!$BJ81:$BT81,,AH81)*(1-AF81)+INDEX(Models!$BJ81:$BT81,,AH81+1)*AF81-ERP_i)*AE81*Ramure*Pc/MaxiM</f>
        <v>2.182575900691721E-2</v>
      </c>
      <c r="AE81" s="305">
        <f t="shared" si="40"/>
        <v>0.8</v>
      </c>
      <c r="AF81" s="177">
        <f t="shared" si="41"/>
        <v>0.81159528974916184</v>
      </c>
      <c r="AG81" s="809">
        <f t="shared" si="49"/>
        <v>1</v>
      </c>
      <c r="AH81" s="176">
        <f t="shared" si="42"/>
        <v>7</v>
      </c>
      <c r="AI81" s="225">
        <f t="shared" si="43"/>
        <v>1.8115952897491618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1141">
        <f>IF(t&gt;Tmaj,'2022'!Wh/'2022'!Env_an*'2023'!Env_an,0.001*'[5]mon-tableau'!$B$148)</f>
        <v>24.356409793691476</v>
      </c>
      <c r="C82" s="839"/>
      <c r="D82" s="393">
        <f t="shared" si="25"/>
        <v>25.896627085134281</v>
      </c>
      <c r="E82" s="385">
        <f t="shared" si="47"/>
        <v>29.692355596774796</v>
      </c>
      <c r="F82" s="385">
        <f t="shared" si="26"/>
        <v>29.819422209088504</v>
      </c>
      <c r="G82" s="110">
        <f t="shared" si="48"/>
        <v>0.75523004854866438</v>
      </c>
      <c r="H82" s="414" t="b">
        <f>Wh_hp&gt;='2022'!Maxi_hp</f>
        <v>0</v>
      </c>
      <c r="I82" s="390">
        <f>IF(H82,Wh_hp,'2022'!Maxi_hp)</f>
        <v>38.36219098507231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5.9475594500372347E-2</v>
      </c>
      <c r="M82" s="843"/>
      <c r="N82" s="843"/>
      <c r="O82" s="48">
        <f>IF(t&lt;Tnet,'2022'!Resal+('2022'!Salim-'2022'!Resal)*(1-EXP(('2022'!Tnet-t)/('2022'!Tau_j))),Resal+(Salim-Resal)*(1-EXP((Tnet-t)/(Tau_j))))*Salcycl</f>
        <v>0.12783520995056422</v>
      </c>
      <c r="P82" s="169">
        <f>(INDEX(Models!$BJ82:$BT82,,T82)*(1-R82)+INDEX(Models!$BJ82:$BT82,,T82+1)*R82-ERP_i)*Q82*Ramure*Pc/MaxiM</f>
        <v>6.5276780893318235E-3</v>
      </c>
      <c r="Q82" s="305">
        <f t="shared" si="28"/>
        <v>0.8</v>
      </c>
      <c r="R82" s="177">
        <f t="shared" si="29"/>
        <v>0.6113861598421626</v>
      </c>
      <c r="S82" s="809">
        <f t="shared" si="30"/>
        <v>0</v>
      </c>
      <c r="T82" s="176">
        <f t="shared" si="31"/>
        <v>6</v>
      </c>
      <c r="U82" s="251">
        <f t="shared" si="32"/>
        <v>0.6113861598421626</v>
      </c>
      <c r="V82" s="383">
        <f t="shared" si="33"/>
        <v>32.176911401247985</v>
      </c>
      <c r="W82" s="402">
        <f t="shared" si="34"/>
        <v>24.356409793691476</v>
      </c>
      <c r="X82" s="157">
        <f t="shared" si="35"/>
        <v>44994</v>
      </c>
      <c r="Y82" s="385">
        <f t="shared" si="36"/>
        <v>23.31453518449764</v>
      </c>
      <c r="Z82" s="385">
        <f t="shared" si="37"/>
        <v>24.788867836037102</v>
      </c>
      <c r="AA82" s="386">
        <f t="shared" si="38"/>
        <v>29.390012664815469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0.15655470724878823</v>
      </c>
      <c r="AD82" s="231">
        <f>(INDEX(Models!$BJ82:$BT82,,AH82)*(1-AF82)+INDEX(Models!$BJ82:$BT82,,AH82+1)*AF82-ERP_i)*AE82*Ramure*Pc/MaxiM</f>
        <v>2.2059667936851764E-2</v>
      </c>
      <c r="AE82" s="305">
        <f t="shared" si="40"/>
        <v>0.8</v>
      </c>
      <c r="AF82" s="177">
        <f t="shared" si="41"/>
        <v>0.812102907007066</v>
      </c>
      <c r="AG82" s="809">
        <f t="shared" si="49"/>
        <v>1</v>
      </c>
      <c r="AH82" s="176">
        <f t="shared" si="42"/>
        <v>7</v>
      </c>
      <c r="AI82" s="225">
        <f t="shared" si="43"/>
        <v>1.812102907007066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1141">
        <f>IF(t&gt;Tmaj,'2022'!Wh/'2022'!Env_an*'2023'!Env_an,0.001*'[5]mon-tableau'!$B$149)</f>
        <v>19.319410527533453</v>
      </c>
      <c r="C83" s="839"/>
      <c r="D83" s="393">
        <f t="shared" si="25"/>
        <v>20.541593719389372</v>
      </c>
      <c r="E83" s="385">
        <f t="shared" si="47"/>
        <v>23.554715908792566</v>
      </c>
      <c r="F83" s="385">
        <f t="shared" si="26"/>
        <v>23.619650364365516</v>
      </c>
      <c r="G83" s="110">
        <f t="shared" si="48"/>
        <v>0.59133473864051678</v>
      </c>
      <c r="H83" s="414" t="b">
        <f>Wh_hp&gt;='2022'!Maxi_hp</f>
        <v>0</v>
      </c>
      <c r="I83" s="390">
        <f>IF(H83,Wh_hp,'2022'!Maxi_hp)</f>
        <v>38.414933458593104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5.9497973163703005E-2</v>
      </c>
      <c r="M83" s="843"/>
      <c r="N83" s="843"/>
      <c r="O83" s="48">
        <f>IF(t&lt;Tnet,'2022'!Resal+('2022'!Salim-'2022'!Resal)*(1-EXP(('2022'!Tnet-t)/('2022'!Tau_j))),Resal+(Salim-Resal)*(1-EXP((Tnet-t)/(Tau_j))))*Salcycl</f>
        <v>0.12792012440610454</v>
      </c>
      <c r="P83" s="169">
        <f>(INDEX(Models!$BJ83:$BT83,,T83)*(1-R83)+INDEX(Models!$BJ83:$BT83,,T83+1)*R83-ERP_i)*Q83*Ramure*Pc/MaxiM</f>
        <v>6.5545661811800167E-3</v>
      </c>
      <c r="Q83" s="305">
        <f t="shared" si="28"/>
        <v>0.8</v>
      </c>
      <c r="R83" s="177">
        <f t="shared" si="29"/>
        <v>0.61191414219176665</v>
      </c>
      <c r="S83" s="809">
        <f t="shared" si="30"/>
        <v>0</v>
      </c>
      <c r="T83" s="176">
        <f t="shared" si="31"/>
        <v>6</v>
      </c>
      <c r="U83" s="251">
        <f t="shared" si="32"/>
        <v>0.61191414219176665</v>
      </c>
      <c r="V83" s="383">
        <f t="shared" si="33"/>
        <v>32.546185105779756</v>
      </c>
      <c r="W83" s="402">
        <f t="shared" si="34"/>
        <v>19.319410527533453</v>
      </c>
      <c r="X83" s="157">
        <f t="shared" si="35"/>
        <v>44995</v>
      </c>
      <c r="Y83" s="385">
        <f t="shared" si="36"/>
        <v>18.560856363425348</v>
      </c>
      <c r="Z83" s="385">
        <f t="shared" si="37"/>
        <v>19.735051955030006</v>
      </c>
      <c r="AA83" s="386">
        <f t="shared" si="38"/>
        <v>23.398953565138221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0.15658399423327249</v>
      </c>
      <c r="AD83" s="231">
        <f>(INDEX(Models!$BJ83:$BT83,,AH83)*(1-AF83)+INDEX(Models!$BJ83:$BT83,,AH83+1)*AF83-ERP_i)*AE83*Ramure*Pc/MaxiM</f>
        <v>2.2277414413443622E-2</v>
      </c>
      <c r="AE83" s="305">
        <f t="shared" si="40"/>
        <v>0.8</v>
      </c>
      <c r="AF83" s="177">
        <f t="shared" si="41"/>
        <v>0.81263088935667027</v>
      </c>
      <c r="AG83" s="809">
        <f t="shared" si="49"/>
        <v>1</v>
      </c>
      <c r="AH83" s="176">
        <f t="shared" si="42"/>
        <v>7</v>
      </c>
      <c r="AI83" s="225">
        <f t="shared" si="43"/>
        <v>1.8126308893566703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1141">
        <f>IF(t&gt;Tmaj,'2022'!Wh/'2022'!Env_an*'2023'!Env_an,0.001*'[5]mon-tableau'!$B$150)</f>
        <v>12.599390716436432</v>
      </c>
      <c r="C84" s="839"/>
      <c r="D84" s="393">
        <f t="shared" si="25"/>
        <v>13.396771247454378</v>
      </c>
      <c r="E84" s="385">
        <f t="shared" si="47"/>
        <v>15.363359566370047</v>
      </c>
      <c r="F84" s="385">
        <f t="shared" si="26"/>
        <v>15.375307786126577</v>
      </c>
      <c r="G84" s="110">
        <f t="shared" si="48"/>
        <v>0.38053162585013423</v>
      </c>
      <c r="H84" s="414" t="b">
        <f>Wh_hp&gt;='2022'!Maxi_hp</f>
        <v>0</v>
      </c>
      <c r="I84" s="390">
        <f>IF(H84,Wh_hp,'2022'!Maxi_hp)</f>
        <v>32.677588662609999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5.9520351306249469E-2</v>
      </c>
      <c r="M84" s="843"/>
      <c r="N84" s="843"/>
      <c r="O84" s="48">
        <f>IF(t&lt;Tnet,'2022'!Resal+('2022'!Salim-'2022'!Resal)*(1-EXP(('2022'!Tnet-t)/('2022'!Tau_j))),Resal+(Salim-Resal)*(1-EXP((Tnet-t)/(Tau_j))))*Salcycl</f>
        <v>0.1280050961783433</v>
      </c>
      <c r="P84" s="169">
        <f>(INDEX(Models!$BJ84:$BT84,,T84)*(1-R84)+INDEX(Models!$BJ84:$BT84,,T84+1)*R84-ERP_i)*Q84*Ramure*Pc/MaxiM</f>
        <v>6.5735383259260061E-3</v>
      </c>
      <c r="Q84" s="305">
        <f t="shared" si="28"/>
        <v>0.8</v>
      </c>
      <c r="R84" s="177">
        <f t="shared" si="29"/>
        <v>0.61246326700096454</v>
      </c>
      <c r="S84" s="809">
        <f t="shared" si="30"/>
        <v>0</v>
      </c>
      <c r="T84" s="176">
        <f t="shared" si="31"/>
        <v>6</v>
      </c>
      <c r="U84" s="251">
        <f t="shared" si="32"/>
        <v>0.61246326700096454</v>
      </c>
      <c r="V84" s="383">
        <f t="shared" si="33"/>
        <v>32.917900991114756</v>
      </c>
      <c r="W84" s="402">
        <f t="shared" si="34"/>
        <v>12.599390716436432</v>
      </c>
      <c r="X84" s="157">
        <f t="shared" si="35"/>
        <v>44996</v>
      </c>
      <c r="Y84" s="385">
        <f t="shared" si="36"/>
        <v>12.163097282214803</v>
      </c>
      <c r="Z84" s="385">
        <f t="shared" si="37"/>
        <v>12.932866010559986</v>
      </c>
      <c r="AA84" s="386">
        <f t="shared" si="38"/>
        <v>15.334447404875929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0.15661349450077394</v>
      </c>
      <c r="AD84" s="231">
        <f>(INDEX(Models!$BJ84:$BT84,,AH84)*(1-AF84)+INDEX(Models!$BJ84:$BT84,,AH84+1)*AF84-ERP_i)*AE84*Ramure*Pc/MaxiM</f>
        <v>2.2480108973246024E-2</v>
      </c>
      <c r="AE84" s="305">
        <f t="shared" si="40"/>
        <v>0.8</v>
      </c>
      <c r="AF84" s="177">
        <f t="shared" si="41"/>
        <v>0.81318001416586805</v>
      </c>
      <c r="AG84" s="809">
        <f t="shared" si="49"/>
        <v>1</v>
      </c>
      <c r="AH84" s="176">
        <f t="shared" si="42"/>
        <v>7</v>
      </c>
      <c r="AI84" s="225">
        <f t="shared" si="43"/>
        <v>1.813180014165868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1141">
        <f>IF(t&gt;Tmaj,'2022'!Wh/'2022'!Env_an*'2023'!Env_an,0.001*'[5]mon-tableau'!$B$151)</f>
        <v>13.225949204807584</v>
      </c>
      <c r="C85" s="839"/>
      <c r="D85" s="393">
        <f t="shared" si="25"/>
        <v>14.063317506952805</v>
      </c>
      <c r="E85" s="385">
        <f t="shared" si="47"/>
        <v>16.129325413138918</v>
      </c>
      <c r="F85" s="385">
        <f t="shared" si="26"/>
        <v>16.144099227594818</v>
      </c>
      <c r="G85" s="110">
        <f t="shared" si="48"/>
        <v>0.39502452317308862</v>
      </c>
      <c r="H85" s="414" t="b">
        <f>Wh_hp&gt;='2022'!Maxi_hp</f>
        <v>0</v>
      </c>
      <c r="I85" s="390">
        <f>IF(H85,Wh_hp,'2022'!Maxi_hp)</f>
        <v>39.534128612030948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5.954272892802373E-2</v>
      </c>
      <c r="M85" s="843"/>
      <c r="N85" s="843"/>
      <c r="O85" s="48">
        <f>IF(t&lt;Tnet,'2022'!Resal+('2022'!Salim-'2022'!Resal)*(1-EXP(('2022'!Tnet-t)/('2022'!Tau_j))),Resal+(Salim-Resal)*(1-EXP((Tnet-t)/(Tau_j))))*Salcycl</f>
        <v>0.12809016206611756</v>
      </c>
      <c r="P85" s="169">
        <f>(INDEX(Models!$BJ85:$BT85,,T85)*(1-R85)+INDEX(Models!$BJ85:$BT85,,T85+1)*R85-ERP_i)*Q85*Ramure*Pc/MaxiM</f>
        <v>6.5850220185133881E-3</v>
      </c>
      <c r="Q85" s="305">
        <f t="shared" si="28"/>
        <v>0.8</v>
      </c>
      <c r="R85" s="177">
        <f t="shared" si="29"/>
        <v>0.6130343380001908</v>
      </c>
      <c r="S85" s="809">
        <f t="shared" si="30"/>
        <v>0</v>
      </c>
      <c r="T85" s="176">
        <f t="shared" si="31"/>
        <v>6</v>
      </c>
      <c r="U85" s="251">
        <f t="shared" si="32"/>
        <v>0.6130343380001908</v>
      </c>
      <c r="V85" s="383">
        <f t="shared" si="33"/>
        <v>33.291327325764819</v>
      </c>
      <c r="W85" s="402">
        <f t="shared" si="34"/>
        <v>13.225949204807584</v>
      </c>
      <c r="X85" s="157">
        <f t="shared" si="35"/>
        <v>44997</v>
      </c>
      <c r="Y85" s="385">
        <f t="shared" si="36"/>
        <v>12.764208687070019</v>
      </c>
      <c r="Z85" s="385">
        <f t="shared" si="37"/>
        <v>13.572343028961633</v>
      </c>
      <c r="AA85" s="386">
        <f t="shared" si="38"/>
        <v>16.093240574160596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0.15664325240042279</v>
      </c>
      <c r="AD85" s="231">
        <f>(INDEX(Models!$BJ85:$BT85,,AH85)*(1-AF85)+INDEX(Models!$BJ85:$BT85,,AH85+1)*AF85-ERP_i)*AE85*Ramure*Pc/MaxiM</f>
        <v>2.2668847892734913E-2</v>
      </c>
      <c r="AE85" s="305">
        <f t="shared" si="40"/>
        <v>0.8</v>
      </c>
      <c r="AF85" s="177">
        <f t="shared" si="41"/>
        <v>0.8137510851650942</v>
      </c>
      <c r="AG85" s="809">
        <f t="shared" si="49"/>
        <v>1</v>
      </c>
      <c r="AH85" s="176">
        <f t="shared" si="42"/>
        <v>7</v>
      </c>
      <c r="AI85" s="225">
        <f t="shared" si="43"/>
        <v>1.8137510851650942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1141">
        <f>IF(t&gt;Tmaj,'2022'!Wh/'2022'!Env_an*'2023'!Env_an,0.001*'[5]mon-tableau'!$B$152)</f>
        <v>9.5313155978292059</v>
      </c>
      <c r="C86" s="839"/>
      <c r="D86" s="393">
        <f t="shared" si="25"/>
        <v>10.135008450806705</v>
      </c>
      <c r="E86" s="385">
        <f t="shared" si="47"/>
        <v>11.625053933774165</v>
      </c>
      <c r="F86" s="385">
        <f t="shared" si="26"/>
        <v>11.625053933774165</v>
      </c>
      <c r="G86" s="110">
        <f t="shared" si="48"/>
        <v>0.28125066474446497</v>
      </c>
      <c r="H86" s="414" t="b">
        <f>Wh_hp&gt;='2022'!Maxi_hp</f>
        <v>0</v>
      </c>
      <c r="I86" s="390">
        <f>IF(H86,Wh_hp,'2022'!Maxi_hp)</f>
        <v>38.291818478565958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5.9565106029038112E-2</v>
      </c>
      <c r="M86" s="843"/>
      <c r="N86" s="843"/>
      <c r="O86" s="48">
        <f>IF(t&lt;Tnet,'2022'!Resal+('2022'!Salim-'2022'!Resal)*(1-EXP(('2022'!Tnet-t)/('2022'!Tau_j))),Resal+(Salim-Resal)*(1-EXP((Tnet-t)/(Tau_j))))*Salcycl</f>
        <v>0.12817536085905321</v>
      </c>
      <c r="P86" s="169">
        <f>(INDEX(Models!$BJ86:$BT86,,T86)*(1-R86)+INDEX(Models!$BJ86:$BT86,,T86+1)*R86-ERP_i)*Q86*Ramure*Pc/MaxiM</f>
        <v>6.5791728857141421E-3</v>
      </c>
      <c r="Q86" s="305">
        <f t="shared" si="28"/>
        <v>0.8</v>
      </c>
      <c r="R86" s="177">
        <f t="shared" si="29"/>
        <v>0.61362818589640578</v>
      </c>
      <c r="S86" s="809">
        <f t="shared" si="30"/>
        <v>0</v>
      </c>
      <c r="T86" s="176">
        <f t="shared" si="31"/>
        <v>6</v>
      </c>
      <c r="U86" s="251">
        <f t="shared" si="32"/>
        <v>0.61362818589640578</v>
      </c>
      <c r="V86" s="383">
        <f t="shared" si="33"/>
        <v>33.666080161217209</v>
      </c>
      <c r="W86" s="402">
        <f t="shared" si="34"/>
        <v>9.5313155978292059</v>
      </c>
      <c r="X86" s="157">
        <f t="shared" si="35"/>
        <v>44998</v>
      </c>
      <c r="Y86" s="385">
        <f t="shared" si="36"/>
        <v>9.2197586870467525</v>
      </c>
      <c r="Z86" s="385">
        <f t="shared" si="37"/>
        <v>9.8037182011787767</v>
      </c>
      <c r="AA86" s="386">
        <f t="shared" si="38"/>
        <v>11.625053933774165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0.15667331463330927</v>
      </c>
      <c r="AD86" s="231">
        <f>(INDEX(Models!$BJ86:$BT86,,AH86)*(1-AF86)+INDEX(Models!$BJ86:$BT86,,AH86+1)*AF86-ERP_i)*AE86*Ramure*Pc/MaxiM</f>
        <v>2.2816565776323901E-2</v>
      </c>
      <c r="AE86" s="305">
        <f t="shared" si="40"/>
        <v>0.8</v>
      </c>
      <c r="AF86" s="177">
        <f t="shared" si="41"/>
        <v>0.81434493306130928</v>
      </c>
      <c r="AG86" s="809">
        <f t="shared" si="49"/>
        <v>1</v>
      </c>
      <c r="AH86" s="176">
        <f t="shared" si="42"/>
        <v>7</v>
      </c>
      <c r="AI86" s="225">
        <f t="shared" si="43"/>
        <v>1.8143449330613093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1141">
        <f>IF(t&gt;Tmaj,'2022'!Wh/'2022'!Env_an*'2023'!Env_an,0.001*'[5]mon-tableau'!$B$153)</f>
        <v>12.711732529608369</v>
      </c>
      <c r="C87" s="839"/>
      <c r="D87" s="393">
        <f t="shared" si="25"/>
        <v>13.517187717661214</v>
      </c>
      <c r="E87" s="385">
        <f t="shared" si="47"/>
        <v>15.50599844775639</v>
      </c>
      <c r="F87" s="385">
        <f t="shared" si="26"/>
        <v>15.516671347298127</v>
      </c>
      <c r="G87" s="110">
        <f t="shared" si="48"/>
        <v>0.37122641691941216</v>
      </c>
      <c r="H87" s="414" t="b">
        <f>Wh_hp&gt;='2022'!Maxi_hp</f>
        <v>0</v>
      </c>
      <c r="I87" s="390">
        <f>IF(H87,Wh_hp,'2022'!Maxi_hp)</f>
        <v>37.562812339887081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5.9587482609304715E-2</v>
      </c>
      <c r="M87" s="843"/>
      <c r="N87" s="843"/>
      <c r="O87" s="48">
        <f>IF(t&lt;Tnet,'2022'!Resal+('2022'!Salim-'2022'!Resal)*(1-EXP(('2022'!Tnet-t)/('2022'!Tau_j))),Resal+(Salim-Resal)*(1-EXP((Tnet-t)/(Tau_j))))*Salcycl</f>
        <v>0.12826073321211659</v>
      </c>
      <c r="P87" s="169">
        <f>(INDEX(Models!$BJ87:$BT87,,T87)*(1-R87)+INDEX(Models!$BJ87:$BT87,,T87+1)*R87-ERP_i)*Q87*Ramure*Pc/MaxiM</f>
        <v>6.5579463513235218E-3</v>
      </c>
      <c r="Q87" s="305">
        <f t="shared" si="28"/>
        <v>0.8</v>
      </c>
      <c r="R87" s="177">
        <f t="shared" si="29"/>
        <v>0.61424566897605093</v>
      </c>
      <c r="S87" s="809">
        <f t="shared" si="30"/>
        <v>0</v>
      </c>
      <c r="T87" s="176">
        <f t="shared" si="31"/>
        <v>6</v>
      </c>
      <c r="U87" s="251">
        <f t="shared" si="32"/>
        <v>0.61424566897605093</v>
      </c>
      <c r="V87" s="383">
        <f t="shared" si="33"/>
        <v>34.041386331683832</v>
      </c>
      <c r="W87" s="402">
        <f t="shared" si="34"/>
        <v>12.711732529608369</v>
      </c>
      <c r="X87" s="157">
        <f t="shared" si="35"/>
        <v>44999</v>
      </c>
      <c r="Y87" s="385">
        <f t="shared" si="36"/>
        <v>12.275850979000655</v>
      </c>
      <c r="Z87" s="385">
        <f t="shared" si="37"/>
        <v>13.053687346763208</v>
      </c>
      <c r="AA87" s="386">
        <f t="shared" si="38"/>
        <v>15.479360946563228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0.15670373009414021</v>
      </c>
      <c r="AD87" s="231">
        <f>(INDEX(Models!$BJ87:$BT87,,AH87)*(1-AF87)+INDEX(Models!$BJ87:$BT87,,AH87+1)*AF87-ERP_i)*AE87*Ramure*Pc/MaxiM</f>
        <v>2.292531709953884E-2</v>
      </c>
      <c r="AE87" s="305">
        <f t="shared" si="40"/>
        <v>0.8</v>
      </c>
      <c r="AF87" s="177">
        <f t="shared" si="41"/>
        <v>0.81496241614095433</v>
      </c>
      <c r="AG87" s="809">
        <f t="shared" si="49"/>
        <v>1</v>
      </c>
      <c r="AH87" s="176">
        <f t="shared" si="42"/>
        <v>7</v>
      </c>
      <c r="AI87" s="225">
        <f t="shared" si="43"/>
        <v>1.8149624161409543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1141">
        <f>IF(t&gt;Tmaj,'2022'!Wh/'2022'!Env_an*'2023'!Env_an,0.001*'[5]mon-tableau'!$B$154)</f>
        <v>12.784857049371396</v>
      </c>
      <c r="C88" s="839"/>
      <c r="D88" s="393">
        <f t="shared" si="25"/>
        <v>13.59526912019075</v>
      </c>
      <c r="E88" s="385">
        <f t="shared" si="47"/>
        <v>15.597099462453965</v>
      </c>
      <c r="F88" s="385">
        <f t="shared" si="26"/>
        <v>15.607493031423807</v>
      </c>
      <c r="G88" s="110">
        <f t="shared" si="48"/>
        <v>0.3692976540647826</v>
      </c>
      <c r="H88" s="414" t="b">
        <f>Wh_hp&gt;='2022'!Maxi_hp</f>
        <v>0</v>
      </c>
      <c r="I88" s="390">
        <f>IF(H88,Wh_hp,'2022'!Maxi_hp)</f>
        <v>29.969159838266769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5.960985866883553E-2</v>
      </c>
      <c r="M88" s="843"/>
      <c r="N88" s="843"/>
      <c r="O88" s="48">
        <f>IF(t&lt;Tnet,'2022'!Resal+('2022'!Salim-'2022'!Resal)*(1-EXP(('2022'!Tnet-t)/('2022'!Tau_j))),Resal+(Salim-Resal)*(1-EXP((Tnet-t)/(Tau_j))))*Salcycl</f>
        <v>0.12834632151202935</v>
      </c>
      <c r="P88" s="169">
        <f>(INDEX(Models!$BJ88:$BT88,,T88)*(1-R88)+INDEX(Models!$BJ88:$BT88,,T88+1)*R88-ERP_i)*Q88*Ramure*Pc/MaxiM</f>
        <v>6.5219677340043825E-3</v>
      </c>
      <c r="Q88" s="305">
        <f t="shared" si="28"/>
        <v>0.8</v>
      </c>
      <c r="R88" s="177">
        <f t="shared" si="29"/>
        <v>0.61488767369400876</v>
      </c>
      <c r="S88" s="809">
        <f t="shared" si="30"/>
        <v>0</v>
      </c>
      <c r="T88" s="176">
        <f t="shared" si="31"/>
        <v>6</v>
      </c>
      <c r="U88" s="251">
        <f t="shared" si="32"/>
        <v>0.61488767369400876</v>
      </c>
      <c r="V88" s="383">
        <f t="shared" si="33"/>
        <v>34.416515977462915</v>
      </c>
      <c r="W88" s="402">
        <f t="shared" si="34"/>
        <v>12.784857049371396</v>
      </c>
      <c r="X88" s="157">
        <f t="shared" si="35"/>
        <v>45000</v>
      </c>
      <c r="Y88" s="385">
        <f t="shared" si="36"/>
        <v>12.34765657781157</v>
      </c>
      <c r="Z88" s="385">
        <f t="shared" si="37"/>
        <v>13.130355195273429</v>
      </c>
      <c r="AA88" s="386">
        <f t="shared" si="38"/>
        <v>15.570844495829578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0.15673454970344078</v>
      </c>
      <c r="AD88" s="231">
        <f>(INDEX(Models!$BJ88:$BT88,,AH88)*(1-AF88)+INDEX(Models!$BJ88:$BT88,,AH88+1)*AF88-ERP_i)*AE88*Ramure*Pc/MaxiM</f>
        <v>2.2996967387971086E-2</v>
      </c>
      <c r="AE88" s="305">
        <f t="shared" si="40"/>
        <v>0.8</v>
      </c>
      <c r="AF88" s="177">
        <f t="shared" si="41"/>
        <v>0.81560442085891238</v>
      </c>
      <c r="AG88" s="809">
        <f t="shared" si="49"/>
        <v>1</v>
      </c>
      <c r="AH88" s="176">
        <f t="shared" si="42"/>
        <v>7</v>
      </c>
      <c r="AI88" s="225">
        <f t="shared" si="43"/>
        <v>1.8156044208589124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1141">
        <f>IF(t&gt;Tmaj,'2022'!Wh/'2022'!Env_an*'2023'!Env_an,0.001*'[5]mon-tableau'!$B$155)</f>
        <v>11.645526868163389</v>
      </c>
      <c r="C89" s="839"/>
      <c r="D89" s="393">
        <f t="shared" si="25"/>
        <v>12.384013246509813</v>
      </c>
      <c r="E89" s="385">
        <f t="shared" si="47"/>
        <v>14.208892086770243</v>
      </c>
      <c r="F89" s="385">
        <f t="shared" si="26"/>
        <v>14.213456042402344</v>
      </c>
      <c r="G89" s="110">
        <f t="shared" si="48"/>
        <v>0.33267115178147177</v>
      </c>
      <c r="H89" s="414" t="b">
        <f>Wh_hp&gt;='2022'!Maxi_hp</f>
        <v>0</v>
      </c>
      <c r="I89" s="390">
        <f>IF(H89,Wh_hp,'2022'!Maxi_hp)</f>
        <v>42.898084527524084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5.9632234207642881E-2</v>
      </c>
      <c r="M89" s="843"/>
      <c r="N89" s="843"/>
      <c r="O89" s="48">
        <f>IF(t&lt;Tnet,'2022'!Resal+('2022'!Salim-'2022'!Resal)*(1-EXP(('2022'!Tnet-t)/('2022'!Tau_j))),Resal+(Salim-Resal)*(1-EXP((Tnet-t)/(Tau_j))))*Salcycl</f>
        <v>0.12843216973683386</v>
      </c>
      <c r="P89" s="169">
        <f>(INDEX(Models!$BJ89:$BT89,,T89)*(1-R89)+INDEX(Models!$BJ89:$BT89,,T89+1)*R89-ERP_i)*Q89*Ramure*Pc/MaxiM</f>
        <v>6.4718264031106056E-3</v>
      </c>
      <c r="Q89" s="305">
        <f t="shared" si="28"/>
        <v>0.8</v>
      </c>
      <c r="R89" s="177">
        <f t="shared" si="29"/>
        <v>0.61555511524533513</v>
      </c>
      <c r="S89" s="809">
        <f t="shared" si="30"/>
        <v>0</v>
      </c>
      <c r="T89" s="176">
        <f t="shared" si="31"/>
        <v>6</v>
      </c>
      <c r="U89" s="251">
        <f t="shared" si="32"/>
        <v>0.61555511524533513</v>
      </c>
      <c r="V89" s="383">
        <f t="shared" si="33"/>
        <v>34.79073962815832</v>
      </c>
      <c r="W89" s="402">
        <f t="shared" si="34"/>
        <v>11.645526868163389</v>
      </c>
      <c r="X89" s="157">
        <f t="shared" si="35"/>
        <v>45001</v>
      </c>
      <c r="Y89" s="385">
        <f t="shared" si="36"/>
        <v>11.257683297011539</v>
      </c>
      <c r="Z89" s="385">
        <f t="shared" si="37"/>
        <v>11.971575065129732</v>
      </c>
      <c r="AA89" s="386">
        <f t="shared" si="38"/>
        <v>14.197212871050088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0.15676582623190155</v>
      </c>
      <c r="AD89" s="231">
        <f>(INDEX(Models!$BJ89:$BT89,,AH89)*(1-AF89)+INDEX(Models!$BJ89:$BT89,,AH89+1)*AF89-ERP_i)*AE89*Ramure*Pc/MaxiM</f>
        <v>2.3033305689562248E-2</v>
      </c>
      <c r="AE89" s="305">
        <f t="shared" si="40"/>
        <v>0.8</v>
      </c>
      <c r="AF89" s="177">
        <f t="shared" si="41"/>
        <v>0.81627186241023852</v>
      </c>
      <c r="AG89" s="809">
        <f t="shared" si="49"/>
        <v>1</v>
      </c>
      <c r="AH89" s="176">
        <f t="shared" si="42"/>
        <v>7</v>
      </c>
      <c r="AI89" s="225">
        <f t="shared" si="43"/>
        <v>1.8162718624102385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1141">
        <f>IF(t&gt;Tmaj,'2022'!Wh/'2022'!Env_an*'2023'!Env_an,0.001*'[5]mon-tableau'!$B$156)</f>
        <v>9.6256332072635473</v>
      </c>
      <c r="C90" s="839"/>
      <c r="D90" s="393">
        <f t="shared" si="25"/>
        <v>10.236274141077031</v>
      </c>
      <c r="E90" s="385">
        <f t="shared" si="47"/>
        <v>11.745828300090647</v>
      </c>
      <c r="F90" s="385">
        <f t="shared" si="26"/>
        <v>11.745828300090647</v>
      </c>
      <c r="G90" s="110">
        <f t="shared" si="48"/>
        <v>0.27198652450712063</v>
      </c>
      <c r="H90" s="414" t="b">
        <f>Wh_hp&gt;='2022'!Maxi_hp</f>
        <v>0</v>
      </c>
      <c r="I90" s="390">
        <f>IF(H90,Wh_hp,'2022'!Maxi_hp)</f>
        <v>25.162053403230466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5.9654609225738647E-2</v>
      </c>
      <c r="M90" s="843"/>
      <c r="N90" s="843"/>
      <c r="O90" s="48">
        <f>IF(t&lt;Tnet,'2022'!Resal+('2022'!Salim-'2022'!Resal)*(1-EXP(('2022'!Tnet-t)/('2022'!Tau_j))),Resal+(Salim-Resal)*(1-EXP((Tnet-t)/(Tau_j))))*Salcycl</f>
        <v>0.12851832330989937</v>
      </c>
      <c r="P90" s="169">
        <f>(INDEX(Models!$BJ90:$BT90,,T90)*(1-R90)+INDEX(Models!$BJ90:$BT90,,T90+1)*R90-ERP_i)*Q90*Ramure*Pc/MaxiM</f>
        <v>6.4080739596498919E-3</v>
      </c>
      <c r="Q90" s="305">
        <f t="shared" si="28"/>
        <v>0.8</v>
      </c>
      <c r="R90" s="177">
        <f t="shared" si="29"/>
        <v>0.61624893811625225</v>
      </c>
      <c r="S90" s="809">
        <f t="shared" si="30"/>
        <v>0</v>
      </c>
      <c r="T90" s="176">
        <f t="shared" si="31"/>
        <v>6</v>
      </c>
      <c r="U90" s="251">
        <f t="shared" si="32"/>
        <v>0.61624893811625225</v>
      </c>
      <c r="V90" s="383">
        <f t="shared" si="33"/>
        <v>35.163328238758226</v>
      </c>
      <c r="W90" s="402">
        <f t="shared" si="34"/>
        <v>9.6256332072635473</v>
      </c>
      <c r="X90" s="157">
        <f t="shared" si="35"/>
        <v>45002</v>
      </c>
      <c r="Y90" s="385">
        <f t="shared" si="36"/>
        <v>9.3132846083593943</v>
      </c>
      <c r="Z90" s="385">
        <f t="shared" si="37"/>
        <v>9.9041104467912842</v>
      </c>
      <c r="AA90" s="386">
        <f t="shared" si="38"/>
        <v>11.745828300090647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0.15679761411846532</v>
      </c>
      <c r="AD90" s="231">
        <f>(INDEX(Models!$BJ90:$BT90,,AH90)*(1-AF90)+INDEX(Models!$BJ90:$BT90,,AH90+1)*AF90-ERP_i)*AE90*Ramure*Pc/MaxiM</f>
        <v>2.3036040092779844E-2</v>
      </c>
      <c r="AE90" s="305">
        <f t="shared" si="40"/>
        <v>0.8</v>
      </c>
      <c r="AF90" s="177">
        <f t="shared" si="41"/>
        <v>0.81696568528115576</v>
      </c>
      <c r="AG90" s="809">
        <f t="shared" si="49"/>
        <v>1</v>
      </c>
      <c r="AH90" s="176">
        <f t="shared" si="42"/>
        <v>7</v>
      </c>
      <c r="AI90" s="225">
        <f t="shared" si="43"/>
        <v>1.8169656852811558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1141">
        <f>IF(t&gt;Tmaj,'2022'!Wh/'2022'!Env_an*'2023'!Env_an,0.001*'[5]mon-tableau'!$B$157)</f>
        <v>12.925505672267452</v>
      </c>
      <c r="C91" s="839"/>
      <c r="D91" s="393">
        <f t="shared" si="25"/>
        <v>13.745814415396291</v>
      </c>
      <c r="E91" s="385">
        <f t="shared" si="47"/>
        <v>15.774490004147586</v>
      </c>
      <c r="F91" s="385">
        <f t="shared" si="26"/>
        <v>15.783591426106955</v>
      </c>
      <c r="G91" s="110">
        <f t="shared" si="48"/>
        <v>0.3616604778831875</v>
      </c>
      <c r="H91" s="414" t="b">
        <f>Wh_hp&gt;='2022'!Maxi_hp</f>
        <v>0</v>
      </c>
      <c r="I91" s="390">
        <f>IF(H91,Wh_hp,'2022'!Maxi_hp)</f>
        <v>31.721839412381989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5.9676983723135041E-2</v>
      </c>
      <c r="M91" s="843"/>
      <c r="N91" s="843"/>
      <c r="O91" s="48">
        <f>IF(t&lt;Tnet,'2022'!Resal+('2022'!Salim-'2022'!Resal)*(1-EXP(('2022'!Tnet-t)/('2022'!Tau_j))),Resal+(Salim-Resal)*(1-EXP((Tnet-t)/(Tau_j))))*Salcycl</f>
        <v>0.12860482894964562</v>
      </c>
      <c r="P91" s="169">
        <f>(INDEX(Models!$BJ91:$BT91,,T91)*(1-R91)+INDEX(Models!$BJ91:$BT91,,T91+1)*R91-ERP_i)*Q91*Ramure*Pc/MaxiM</f>
        <v>6.3312226910264688E-3</v>
      </c>
      <c r="Q91" s="305">
        <f t="shared" si="28"/>
        <v>0.8</v>
      </c>
      <c r="R91" s="177">
        <f t="shared" si="29"/>
        <v>0.61697011661060275</v>
      </c>
      <c r="S91" s="809">
        <f t="shared" si="30"/>
        <v>0</v>
      </c>
      <c r="T91" s="176">
        <f t="shared" si="31"/>
        <v>6</v>
      </c>
      <c r="U91" s="251">
        <f t="shared" si="32"/>
        <v>0.61697011661060275</v>
      </c>
      <c r="V91" s="383">
        <f t="shared" si="33"/>
        <v>35.533553230788648</v>
      </c>
      <c r="W91" s="402">
        <f t="shared" si="34"/>
        <v>12.925505672267452</v>
      </c>
      <c r="X91" s="157">
        <f t="shared" si="35"/>
        <v>45003</v>
      </c>
      <c r="Y91" s="385">
        <f t="shared" si="36"/>
        <v>12.487832720858606</v>
      </c>
      <c r="Z91" s="385">
        <f t="shared" si="37"/>
        <v>13.280364837078217</v>
      </c>
      <c r="AA91" s="386">
        <f t="shared" si="38"/>
        <v>15.750518108188164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0.15682996928372772</v>
      </c>
      <c r="AD91" s="231">
        <f>(INDEX(Models!$BJ91:$BT91,,AH91)*(1-AF91)+INDEX(Models!$BJ91:$BT91,,AH91+1)*AF91-ERP_i)*AE91*Ramure*Pc/MaxiM</f>
        <v>2.3006794082262149E-2</v>
      </c>
      <c r="AE91" s="305">
        <f t="shared" si="40"/>
        <v>0.8</v>
      </c>
      <c r="AF91" s="177">
        <f t="shared" si="41"/>
        <v>0.81768686377550615</v>
      </c>
      <c r="AG91" s="809">
        <f t="shared" si="49"/>
        <v>1</v>
      </c>
      <c r="AH91" s="176">
        <f t="shared" si="42"/>
        <v>7</v>
      </c>
      <c r="AI91" s="225">
        <f t="shared" si="43"/>
        <v>1.8176868637755061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1141">
        <f>IF(t&gt;Tmaj,'2022'!Wh/'2022'!Env_an*'2023'!Env_an,0.001*'[5]mon-tableau'!$B$158)</f>
        <v>23.768233115911791</v>
      </c>
      <c r="C92" s="839"/>
      <c r="D92" s="393">
        <f t="shared" si="25"/>
        <v>25.277269892925023</v>
      </c>
      <c r="E92" s="385">
        <f t="shared" si="47"/>
        <v>29.010708258219616</v>
      </c>
      <c r="F92" s="385">
        <f t="shared" si="26"/>
        <v>29.104668749154619</v>
      </c>
      <c r="G92" s="110">
        <f t="shared" si="48"/>
        <v>0.66005362923967148</v>
      </c>
      <c r="H92" s="414" t="b">
        <f>Wh_hp&gt;='2022'!Maxi_hp</f>
        <v>0</v>
      </c>
      <c r="I92" s="390">
        <f>IF(H92,Wh_hp,'2022'!Maxi_hp)</f>
        <v>41.177223902410979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5.9699357699844163E-2</v>
      </c>
      <c r="M92" s="843"/>
      <c r="N92" s="843"/>
      <c r="O92" s="48">
        <f>IF(t&lt;Tnet,'2022'!Resal+('2022'!Salim-'2022'!Resal)*(1-EXP(('2022'!Tnet-t)/('2022'!Tau_j))),Resal+(Salim-Resal)*(1-EXP((Tnet-t)/(Tau_j))))*Salcycl</f>
        <v>0.1286917345162297</v>
      </c>
      <c r="P92" s="169">
        <f>(INDEX(Models!$BJ92:$BT92,,T92)*(1-R92)+INDEX(Models!$BJ92:$BT92,,T92+1)*R92-ERP_i)*Q92*Ramure*Pc/MaxiM</f>
        <v>6.2417442560802686E-3</v>
      </c>
      <c r="Q92" s="305">
        <f t="shared" si="28"/>
        <v>0.8</v>
      </c>
      <c r="R92" s="177">
        <f t="shared" si="29"/>
        <v>0.61771965534765061</v>
      </c>
      <c r="S92" s="809">
        <f t="shared" si="30"/>
        <v>0</v>
      </c>
      <c r="T92" s="176">
        <f t="shared" si="31"/>
        <v>6</v>
      </c>
      <c r="U92" s="251">
        <f t="shared" si="32"/>
        <v>0.61771965534765061</v>
      </c>
      <c r="V92" s="383">
        <f t="shared" si="33"/>
        <v>35.900686535161952</v>
      </c>
      <c r="W92" s="402">
        <f t="shared" si="34"/>
        <v>23.768233115911791</v>
      </c>
      <c r="X92" s="157">
        <f t="shared" si="35"/>
        <v>45004</v>
      </c>
      <c r="Y92" s="385">
        <f t="shared" si="36"/>
        <v>22.800386436268877</v>
      </c>
      <c r="Z92" s="385">
        <f t="shared" si="37"/>
        <v>24.247974967341037</v>
      </c>
      <c r="AA92" s="386">
        <f t="shared" si="38"/>
        <v>28.759233077067911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0.1568629489401811</v>
      </c>
      <c r="AD92" s="231">
        <f>(INDEX(Models!$BJ92:$BT92,,AH92)*(1-AF92)+INDEX(Models!$BJ92:$BT92,,AH92+1)*AF92-ERP_i)*AE92*Ramure*Pc/MaxiM</f>
        <v>2.2947103624479499E-2</v>
      </c>
      <c r="AE92" s="305">
        <f t="shared" si="40"/>
        <v>0.8</v>
      </c>
      <c r="AF92" s="177">
        <f t="shared" si="41"/>
        <v>0.81843640251255412</v>
      </c>
      <c r="AG92" s="809">
        <f t="shared" si="49"/>
        <v>1</v>
      </c>
      <c r="AH92" s="176">
        <f t="shared" si="42"/>
        <v>7</v>
      </c>
      <c r="AI92" s="225">
        <f t="shared" si="43"/>
        <v>1.8184364025125541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1141">
        <f>IF(t&gt;Tmaj,'2022'!Wh/'2022'!Env_an*'2023'!Env_an,0.001*'[5]mon-tableau'!$B$159)</f>
        <v>24.742865538969337</v>
      </c>
      <c r="C93" s="839"/>
      <c r="D93" s="393">
        <f t="shared" si="25"/>
        <v>26.314407509795569</v>
      </c>
      <c r="E93" s="385">
        <f t="shared" si="47"/>
        <v>30.204058664356655</v>
      </c>
      <c r="F93" s="385">
        <f t="shared" si="26"/>
        <v>30.305652760079131</v>
      </c>
      <c r="G93" s="110">
        <f t="shared" si="48"/>
        <v>0.68031544341745198</v>
      </c>
      <c r="H93" s="414" t="b">
        <f>Wh_hp&gt;='2022'!Maxi_hp</f>
        <v>0</v>
      </c>
      <c r="I93" s="390">
        <f>IF(H93,Wh_hp,'2022'!Maxi_hp)</f>
        <v>44.675068559280305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5.9721731155878227E-2</v>
      </c>
      <c r="M93" s="843"/>
      <c r="N93" s="843"/>
      <c r="O93" s="48">
        <f>IF(t&lt;Tnet,'2022'!Resal+('2022'!Salim-'2022'!Resal)*(1-EXP(('2022'!Tnet-t)/('2022'!Tau_j))),Resal+(Salim-Resal)*(1-EXP((Tnet-t)/(Tau_j))))*Salcycl</f>
        <v>0.12877908885639947</v>
      </c>
      <c r="P93" s="169">
        <f>(INDEX(Models!$BJ93:$BT93,,T93)*(1-R93)+INDEX(Models!$BJ93:$BT93,,T93+1)*R93-ERP_i)*Q93*Ramure*Pc/MaxiM</f>
        <v>6.1393976494294915E-3</v>
      </c>
      <c r="Q93" s="305">
        <f t="shared" si="28"/>
        <v>0.8</v>
      </c>
      <c r="R93" s="177">
        <f t="shared" si="29"/>
        <v>0.61849858972679639</v>
      </c>
      <c r="S93" s="809">
        <f t="shared" si="30"/>
        <v>0</v>
      </c>
      <c r="T93" s="176">
        <f t="shared" si="31"/>
        <v>6</v>
      </c>
      <c r="U93" s="251">
        <f t="shared" si="32"/>
        <v>0.61849858972679639</v>
      </c>
      <c r="V93" s="383">
        <f t="shared" si="33"/>
        <v>36.267989229105297</v>
      </c>
      <c r="W93" s="402">
        <f t="shared" si="34"/>
        <v>24.742865538969337</v>
      </c>
      <c r="X93" s="157">
        <f t="shared" si="35"/>
        <v>45005</v>
      </c>
      <c r="Y93" s="385">
        <f t="shared" si="36"/>
        <v>23.725028192408406</v>
      </c>
      <c r="Z93" s="385">
        <f t="shared" si="37"/>
        <v>25.231922270811847</v>
      </c>
      <c r="AA93" s="386">
        <f t="shared" si="38"/>
        <v>29.927435486569902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0.15689661140077277</v>
      </c>
      <c r="AD93" s="231">
        <f>(INDEX(Models!$BJ93:$BT93,,AH93)*(1-AF93)+INDEX(Models!$BJ93:$BT93,,AH93+1)*AF93-ERP_i)*AE93*Ramure*Pc/MaxiM</f>
        <v>2.2855917201125689E-2</v>
      </c>
      <c r="AE93" s="305">
        <f t="shared" si="40"/>
        <v>0.8</v>
      </c>
      <c r="AF93" s="177">
        <f t="shared" si="41"/>
        <v>0.8192153368916999</v>
      </c>
      <c r="AG93" s="809">
        <f t="shared" si="49"/>
        <v>1</v>
      </c>
      <c r="AH93" s="176">
        <f t="shared" si="42"/>
        <v>7</v>
      </c>
      <c r="AI93" s="225">
        <f t="shared" si="43"/>
        <v>1.8192153368916999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1141">
        <f>IF(t&gt;Tmaj,'2022'!Wh/'2022'!Env_an*'2023'!Env_an,0.001*'[5]mon-tableau'!$B$160)</f>
        <v>34.273981116373953</v>
      </c>
      <c r="C94" s="839"/>
      <c r="D94" s="393">
        <f t="shared" si="25"/>
        <v>36.45175878769512</v>
      </c>
      <c r="E94" s="385">
        <f t="shared" si="47"/>
        <v>41.844077019232493</v>
      </c>
      <c r="F94" s="385">
        <f t="shared" si="26"/>
        <v>42.074048088328929</v>
      </c>
      <c r="G94" s="110">
        <f t="shared" si="48"/>
        <v>0.93493756014919838</v>
      </c>
      <c r="H94" s="414" t="b">
        <f>Wh_hp&gt;='2022'!Maxi_hp</f>
        <v>0</v>
      </c>
      <c r="I94" s="390">
        <f>IF(H94,Wh_hp,'2022'!Maxi_hp)</f>
        <v>46.027750309068139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5.9744104091249334E-2</v>
      </c>
      <c r="M94" s="843"/>
      <c r="N94" s="843"/>
      <c r="O94" s="48">
        <f>IF(t&lt;Tnet,'2022'!Resal+('2022'!Salim-'2022'!Resal)*(1-EXP(('2022'!Tnet-t)/('2022'!Tau_j))),Resal+(Salim-Resal)*(1-EXP((Tnet-t)/(Tau_j))))*Salcycl</f>
        <v>0.12886694164765397</v>
      </c>
      <c r="P94" s="169">
        <f>(INDEX(Models!$BJ94:$BT94,,T94)*(1-R94)+INDEX(Models!$BJ94:$BT94,,T94+1)*R94-ERP_i)*Q94*Ramure*Pc/MaxiM</f>
        <v>6.0210039923986221E-3</v>
      </c>
      <c r="Q94" s="305">
        <f t="shared" si="28"/>
        <v>0.8</v>
      </c>
      <c r="R94" s="177">
        <f t="shared" si="29"/>
        <v>0.61930798635443662</v>
      </c>
      <c r="S94" s="809">
        <f t="shared" si="30"/>
        <v>0</v>
      </c>
      <c r="T94" s="176">
        <f t="shared" si="31"/>
        <v>6</v>
      </c>
      <c r="U94" s="251">
        <f t="shared" si="32"/>
        <v>0.61930798635443662</v>
      </c>
      <c r="V94" s="383">
        <f t="shared" si="33"/>
        <v>36.638649665320344</v>
      </c>
      <c r="W94" s="402">
        <f t="shared" si="34"/>
        <v>34.273981116373953</v>
      </c>
      <c r="X94" s="157">
        <f t="shared" si="35"/>
        <v>45006</v>
      </c>
      <c r="Y94" s="385">
        <f t="shared" si="36"/>
        <v>32.664519221273004</v>
      </c>
      <c r="Z94" s="385">
        <f t="shared" si="37"/>
        <v>34.740031265321633</v>
      </c>
      <c r="AA94" s="386">
        <f t="shared" si="38"/>
        <v>41.206629492933949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0.15693101588716932</v>
      </c>
      <c r="AD94" s="231">
        <f>(INDEX(Models!$BJ94:$BT94,,AH94)*(1-AF94)+INDEX(Models!$BJ94:$BT94,,AH94+1)*AF94-ERP_i)*AE94*Ramure*Pc/MaxiM</f>
        <v>2.2710381990544329E-2</v>
      </c>
      <c r="AE94" s="305">
        <f t="shared" si="40"/>
        <v>0.8</v>
      </c>
      <c r="AF94" s="177">
        <f t="shared" si="41"/>
        <v>0.82002473351934024</v>
      </c>
      <c r="AG94" s="809">
        <f t="shared" si="49"/>
        <v>1</v>
      </c>
      <c r="AH94" s="176">
        <f t="shared" si="42"/>
        <v>7</v>
      </c>
      <c r="AI94" s="225">
        <f t="shared" si="43"/>
        <v>1.8200247335193402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1141">
        <f>IF(t&gt;Tmaj,'2022'!Wh/'2022'!Env_an*'2023'!Env_an,0.001*'[5]mon-tableau'!$B$161)</f>
        <v>32.625866452776336</v>
      </c>
      <c r="C95" s="839"/>
      <c r="D95" s="393">
        <f t="shared" si="25"/>
        <v>34.699748134414904</v>
      </c>
      <c r="E95" s="385">
        <f t="shared" si="47"/>
        <v>39.836933577662272</v>
      </c>
      <c r="F95" s="385">
        <f t="shared" si="26"/>
        <v>40.032902717667433</v>
      </c>
      <c r="G95" s="110">
        <f t="shared" si="48"/>
        <v>0.88062353109178959</v>
      </c>
      <c r="H95" s="414" t="b">
        <f>Wh_hp&gt;='2022'!Maxi_hp</f>
        <v>0</v>
      </c>
      <c r="I95" s="390">
        <f>IF(H95,Wh_hp,'2022'!Maxi_hp)</f>
        <v>44.110203483465384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5.9766476505969474E-2</v>
      </c>
      <c r="M95" s="843"/>
      <c r="N95" s="843"/>
      <c r="O95" s="48">
        <f>IF(t&lt;Tnet,'2022'!Resal+('2022'!Salim-'2022'!Resal)*(1-EXP(('2022'!Tnet-t)/('2022'!Tau_j))),Resal+(Salim-Resal)*(1-EXP((Tnet-t)/(Tau_j))))*Salcycl</f>
        <v>0.12895534324278257</v>
      </c>
      <c r="P95" s="169">
        <f>(INDEX(Models!$BJ95:$BT95,,T95)*(1-R95)+INDEX(Models!$BJ95:$BT95,,T95+1)*R95-ERP_i)*Q95*Ramure*Pc/MaxiM</f>
        <v>5.8926898977121828E-3</v>
      </c>
      <c r="Q95" s="305">
        <f t="shared" si="28"/>
        <v>0.8</v>
      </c>
      <c r="R95" s="177">
        <f t="shared" si="29"/>
        <v>0.62014894342784632</v>
      </c>
      <c r="S95" s="809">
        <f t="shared" si="30"/>
        <v>0</v>
      </c>
      <c r="T95" s="176">
        <f t="shared" si="31"/>
        <v>6</v>
      </c>
      <c r="U95" s="251">
        <f t="shared" si="32"/>
        <v>0.62014894342784632</v>
      </c>
      <c r="V95" s="383">
        <f t="shared" si="33"/>
        <v>37.01145983265971</v>
      </c>
      <c r="W95" s="402">
        <f t="shared" si="34"/>
        <v>32.625866452776336</v>
      </c>
      <c r="X95" s="157">
        <f t="shared" si="35"/>
        <v>45007</v>
      </c>
      <c r="Y95" s="385">
        <f t="shared" si="36"/>
        <v>31.138344764812011</v>
      </c>
      <c r="Z95" s="385">
        <f t="shared" si="37"/>
        <v>33.117671287764615</v>
      </c>
      <c r="AA95" s="386">
        <f t="shared" si="38"/>
        <v>39.283919773239361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0.15696622233902593</v>
      </c>
      <c r="AD95" s="231">
        <f>(INDEX(Models!$BJ95:$BT95,,AH95)*(1-AF95)+INDEX(Models!$BJ95:$BT95,,AH95+1)*AF95-ERP_i)*AE95*Ramure*Pc/MaxiM</f>
        <v>2.2521526757089634E-2</v>
      </c>
      <c r="AE95" s="305">
        <f t="shared" si="40"/>
        <v>0.8</v>
      </c>
      <c r="AF95" s="177">
        <f t="shared" si="41"/>
        <v>0.82086569059274983</v>
      </c>
      <c r="AG95" s="809">
        <f t="shared" si="49"/>
        <v>1</v>
      </c>
      <c r="AH95" s="176">
        <f t="shared" si="42"/>
        <v>7</v>
      </c>
      <c r="AI95" s="225">
        <f t="shared" si="43"/>
        <v>1.8208656905927498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1141">
        <f>IF(t&gt;Tmaj,'2022'!Wh/'2022'!Env_an*'2023'!Env_an,0.001*'[5]mon-tableau'!$B$162)</f>
        <v>37.092433220789417</v>
      </c>
      <c r="C96" s="839"/>
      <c r="D96" s="393">
        <f t="shared" si="25"/>
        <v>39.451173449357142</v>
      </c>
      <c r="E96" s="385">
        <f t="shared" si="47"/>
        <v>45.296420318234375</v>
      </c>
      <c r="F96" s="385">
        <f t="shared" si="26"/>
        <v>45.555651466923699</v>
      </c>
      <c r="G96" s="110">
        <f t="shared" si="48"/>
        <v>0.99209883847907132</v>
      </c>
      <c r="H96" s="414" t="b">
        <f>Wh_hp&gt;='2022'!Maxi_hp</f>
        <v>0</v>
      </c>
      <c r="I96" s="390">
        <f>IF(H96,Wh_hp,'2022'!Maxi_hp)</f>
        <v>47.127501005079935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5.9788848400050859E-2</v>
      </c>
      <c r="M96" s="843"/>
      <c r="N96" s="843"/>
      <c r="O96" s="48">
        <f>IF(t&lt;Tnet,'2022'!Resal+('2022'!Salim-'2022'!Resal)*(1-EXP(('2022'!Tnet-t)/('2022'!Tau_j))),Resal+(Salim-Resal)*(1-EXP((Tnet-t)/(Tau_j))))*Salcycl</f>
        <v>0.12904434451576718</v>
      </c>
      <c r="P96" s="169">
        <f>(INDEX(Models!$BJ96:$BT96,,T96)*(1-R96)+INDEX(Models!$BJ96:$BT96,,T96+1)*R96-ERP_i)*Q96*Ramure*Pc/MaxiM</f>
        <v>5.7548565455455185E-3</v>
      </c>
      <c r="Q96" s="305">
        <f t="shared" si="28"/>
        <v>0.8</v>
      </c>
      <c r="R96" s="177">
        <f t="shared" si="29"/>
        <v>0.62102259107059987</v>
      </c>
      <c r="S96" s="809">
        <f t="shared" si="30"/>
        <v>0</v>
      </c>
      <c r="T96" s="176">
        <f t="shared" si="31"/>
        <v>6</v>
      </c>
      <c r="U96" s="251">
        <f t="shared" si="32"/>
        <v>0.62102259107059987</v>
      </c>
      <c r="V96" s="383">
        <f t="shared" si="33"/>
        <v>37.385417953271215</v>
      </c>
      <c r="W96" s="402">
        <f t="shared" si="34"/>
        <v>37.092433220789417</v>
      </c>
      <c r="X96" s="157">
        <f t="shared" si="35"/>
        <v>45008</v>
      </c>
      <c r="Y96" s="385">
        <f t="shared" si="36"/>
        <v>35.3113569930048</v>
      </c>
      <c r="Z96" s="385">
        <f t="shared" si="37"/>
        <v>37.556837028486385</v>
      </c>
      <c r="AA96" s="386">
        <f t="shared" si="38"/>
        <v>44.551529188711768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0.15700229122545273</v>
      </c>
      <c r="AD96" s="231">
        <f>(INDEX(Models!$BJ96:$BT96,,AH96)*(1-AF96)+INDEX(Models!$BJ96:$BT96,,AH96+1)*AF96-ERP_i)*AE96*Ramure*Pc/MaxiM</f>
        <v>2.2291224239496317E-2</v>
      </c>
      <c r="AE96" s="305">
        <f t="shared" si="40"/>
        <v>0.8</v>
      </c>
      <c r="AF96" s="177">
        <f t="shared" si="41"/>
        <v>0.82173933823550338</v>
      </c>
      <c r="AG96" s="809">
        <f t="shared" si="49"/>
        <v>1</v>
      </c>
      <c r="AH96" s="176">
        <f t="shared" si="42"/>
        <v>7</v>
      </c>
      <c r="AI96" s="225">
        <f t="shared" si="43"/>
        <v>1.8217393382355034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1141">
        <f>IF(t&gt;Tmaj,'2022'!Wh/'2022'!Env_an*'2023'!Env_an,0.001*'[5]mon-tableau'!$B$163)</f>
        <v>36.152524554044334</v>
      </c>
      <c r="C97" s="839"/>
      <c r="D97" s="393">
        <f t="shared" si="25"/>
        <v>38.452410105697155</v>
      </c>
      <c r="E97" s="385">
        <f t="shared" si="47"/>
        <v>44.154221155065279</v>
      </c>
      <c r="F97" s="385">
        <f t="shared" si="26"/>
        <v>44.388009114690462</v>
      </c>
      <c r="G97" s="110">
        <f t="shared" si="48"/>
        <v>0.95711307271211965</v>
      </c>
      <c r="H97" s="414" t="b">
        <f>Wh_hp&gt;='2022'!Maxi_hp</f>
        <v>0</v>
      </c>
      <c r="I97" s="390">
        <f>IF(H97,Wh_hp,'2022'!Maxi_hp)</f>
        <v>46.384617938296579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5.9811219773505592E-2</v>
      </c>
      <c r="M97" s="843"/>
      <c r="N97" s="843"/>
      <c r="O97" s="48">
        <f>IF(t&lt;Tnet,'2022'!Resal+('2022'!Salim-'2022'!Resal)*(1-EXP(('2022'!Tnet-t)/('2022'!Tau_j))),Resal+(Salim-Resal)*(1-EXP((Tnet-t)/(Tau_j))))*Salcycl</f>
        <v>0.12913399670993919</v>
      </c>
      <c r="P97" s="169">
        <f>(INDEX(Models!$BJ97:$BT97,,T97)*(1-R97)+INDEX(Models!$BJ97:$BT97,,T97+1)*R97-ERP_i)*Q97*Ramure*Pc/MaxiM</f>
        <v>5.6078652783459739E-3</v>
      </c>
      <c r="Q97" s="305">
        <f t="shared" si="28"/>
        <v>0.8</v>
      </c>
      <c r="R97" s="177">
        <f t="shared" si="29"/>
        <v>0.62193009161367163</v>
      </c>
      <c r="S97" s="809">
        <f t="shared" si="30"/>
        <v>0</v>
      </c>
      <c r="T97" s="176">
        <f t="shared" si="31"/>
        <v>6</v>
      </c>
      <c r="U97" s="251">
        <f t="shared" si="32"/>
        <v>0.62193009161367163</v>
      </c>
      <c r="V97" s="383">
        <f t="shared" si="33"/>
        <v>37.759523068661167</v>
      </c>
      <c r="W97" s="402">
        <f t="shared" si="34"/>
        <v>36.152524554044334</v>
      </c>
      <c r="X97" s="157">
        <f t="shared" si="35"/>
        <v>45009</v>
      </c>
      <c r="Y97" s="385">
        <f t="shared" si="36"/>
        <v>34.451777677777592</v>
      </c>
      <c r="Z97" s="385">
        <f t="shared" si="37"/>
        <v>36.643468208031635</v>
      </c>
      <c r="AA97" s="386">
        <f t="shared" si="38"/>
        <v>43.469959494767224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0.1570392833597497</v>
      </c>
      <c r="AD97" s="231">
        <f>(INDEX(Models!$BJ97:$BT97,,AH97)*(1-AF97)+INDEX(Models!$BJ97:$BT97,,AH97+1)*AF97-ERP_i)*AE97*Ramure*Pc/MaxiM</f>
        <v>2.2021230672529379E-2</v>
      </c>
      <c r="AE97" s="305">
        <f t="shared" si="40"/>
        <v>0.8</v>
      </c>
      <c r="AF97" s="177">
        <f t="shared" si="41"/>
        <v>0.82264683877857525</v>
      </c>
      <c r="AG97" s="809">
        <f t="shared" si="49"/>
        <v>1</v>
      </c>
      <c r="AH97" s="176">
        <f t="shared" si="42"/>
        <v>7</v>
      </c>
      <c r="AI97" s="225">
        <f t="shared" si="43"/>
        <v>1.8226468387785753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1141">
        <f>IF(t&gt;Tmaj,'2022'!Wh/'2022'!Env_an*'2023'!Env_an,0.001*'[5]mon-tableau'!$B$164)</f>
        <v>34.47851079649827</v>
      </c>
      <c r="C98" s="839"/>
      <c r="D98" s="393">
        <f t="shared" si="25"/>
        <v>36.672774577713433</v>
      </c>
      <c r="E98" s="385">
        <f t="shared" si="47"/>
        <v>42.115066759167256</v>
      </c>
      <c r="F98" s="385">
        <f t="shared" si="26"/>
        <v>42.314182588581104</v>
      </c>
      <c r="G98" s="110">
        <f t="shared" si="48"/>
        <v>0.90349193955078233</v>
      </c>
      <c r="H98" s="414" t="b">
        <f>Wh_hp&gt;='2022'!Maxi_hp</f>
        <v>0</v>
      </c>
      <c r="I98" s="390">
        <f>IF(H98,Wh_hp,'2022'!Maxi_hp)</f>
        <v>42.344777516113844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5.9833590626345773E-2</v>
      </c>
      <c r="M98" s="843"/>
      <c r="N98" s="843"/>
      <c r="O98" s="48">
        <f>IF(t&lt;Tnet,'2022'!Resal+('2022'!Salim-'2022'!Resal)*(1-EXP(('2022'!Tnet-t)/('2022'!Tau_j))),Resal+(Salim-Resal)*(1-EXP((Tnet-t)/(Tau_j))))*Salcycl</f>
        <v>0.12922435128917825</v>
      </c>
      <c r="P98" s="169">
        <f>(INDEX(Models!$BJ98:$BT98,,T98)*(1-R98)+INDEX(Models!$BJ98:$BT98,,T98+1)*R98-ERP_i)*Q98*Ramure*Pc/MaxiM</f>
        <v>5.4520361074702978E-3</v>
      </c>
      <c r="Q98" s="305">
        <f t="shared" si="28"/>
        <v>0.8</v>
      </c>
      <c r="R98" s="177">
        <f t="shared" si="29"/>
        <v>0.6228726398159683</v>
      </c>
      <c r="S98" s="809">
        <f t="shared" si="30"/>
        <v>0</v>
      </c>
      <c r="T98" s="176">
        <f t="shared" si="31"/>
        <v>6</v>
      </c>
      <c r="U98" s="251">
        <f t="shared" si="32"/>
        <v>0.6228726398159683</v>
      </c>
      <c r="V98" s="383">
        <f t="shared" si="33"/>
        <v>38.132775087886714</v>
      </c>
      <c r="W98" s="402">
        <f t="shared" si="34"/>
        <v>34.47851079649827</v>
      </c>
      <c r="X98" s="157">
        <f t="shared" si="35"/>
        <v>45010</v>
      </c>
      <c r="Y98" s="385">
        <f t="shared" si="36"/>
        <v>32.905028209724527</v>
      </c>
      <c r="Z98" s="385">
        <f t="shared" si="37"/>
        <v>34.999153215488839</v>
      </c>
      <c r="AA98" s="386">
        <f t="shared" si="38"/>
        <v>41.521187580957324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0.1570772597183529</v>
      </c>
      <c r="AD98" s="231">
        <f>(INDEX(Models!$BJ98:$BT98,,AH98)*(1-AF98)+INDEX(Models!$BJ98:$BT98,,AH98+1)*AF98-ERP_i)*AE98*Ramure*Pc/MaxiM</f>
        <v>2.1713177838927723E-2</v>
      </c>
      <c r="AE98" s="305">
        <f t="shared" si="40"/>
        <v>0.8</v>
      </c>
      <c r="AF98" s="177">
        <f t="shared" si="41"/>
        <v>0.82358938698087192</v>
      </c>
      <c r="AG98" s="809">
        <f t="shared" si="49"/>
        <v>1</v>
      </c>
      <c r="AH98" s="176">
        <f t="shared" si="42"/>
        <v>7</v>
      </c>
      <c r="AI98" s="225">
        <f t="shared" si="43"/>
        <v>1.8235893869808719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1141">
        <f>IF(t&gt;Tmaj,'2022'!Wh/'2022'!Env_an*'2023'!Env_an,0.001*'[5]mon-tableau'!$B$165)</f>
        <v>36.594584710934967</v>
      </c>
      <c r="C99" s="839"/>
      <c r="D99" s="393">
        <f t="shared" si="25"/>
        <v>38.924444756621867</v>
      </c>
      <c r="E99" s="385">
        <f t="shared" si="47"/>
        <v>44.705565516714174</v>
      </c>
      <c r="F99" s="385">
        <f t="shared" si="26"/>
        <v>44.926289342433229</v>
      </c>
      <c r="G99" s="110">
        <f t="shared" si="48"/>
        <v>0.95004783077598387</v>
      </c>
      <c r="H99" s="414" t="b">
        <f>Wh_hp&gt;='2022'!Maxi_hp</f>
        <v>0</v>
      </c>
      <c r="I99" s="390">
        <f>IF(H99,Wh_hp,'2022'!Maxi_hp)</f>
        <v>48.874468185394626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5.9855960958583504E-2</v>
      </c>
      <c r="M99" s="843"/>
      <c r="N99" s="843"/>
      <c r="O99" s="48">
        <f>IF(t&lt;Tnet,'2022'!Resal+('2022'!Salim-'2022'!Resal)*(1-EXP(('2022'!Tnet-t)/('2022'!Tau_j))),Resal+(Salim-Resal)*(1-EXP((Tnet-t)/(Tau_j))))*Salcycl</f>
        <v>0.12931545979282832</v>
      </c>
      <c r="P99" s="169">
        <f>(INDEX(Models!$BJ99:$BT99,,T99)*(1-R99)+INDEX(Models!$BJ99:$BT99,,T99+1)*R99-ERP_i)*Q99*Ramure*Pc/MaxiM</f>
        <v>5.2876464663160578E-3</v>
      </c>
      <c r="Q99" s="305">
        <f t="shared" si="28"/>
        <v>0.8</v>
      </c>
      <c r="R99" s="177">
        <f t="shared" si="29"/>
        <v>0.62385146301765271</v>
      </c>
      <c r="S99" s="809">
        <f t="shared" si="30"/>
        <v>0</v>
      </c>
      <c r="T99" s="176">
        <f t="shared" si="31"/>
        <v>6</v>
      </c>
      <c r="U99" s="251">
        <f t="shared" si="32"/>
        <v>0.62385146301765271</v>
      </c>
      <c r="V99" s="383">
        <f t="shared" si="33"/>
        <v>38.504174837016123</v>
      </c>
      <c r="W99" s="402">
        <f t="shared" si="34"/>
        <v>36.594584710934967</v>
      </c>
      <c r="X99" s="157">
        <f t="shared" si="35"/>
        <v>45011</v>
      </c>
      <c r="Y99" s="385">
        <f t="shared" si="36"/>
        <v>34.894188875342842</v>
      </c>
      <c r="Z99" s="385">
        <f t="shared" si="37"/>
        <v>37.115790162240913</v>
      </c>
      <c r="AA99" s="386">
        <f t="shared" si="38"/>
        <v>44.034294811074638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0.15711628126479554</v>
      </c>
      <c r="AD99" s="231">
        <f>(INDEX(Models!$BJ99:$BT99,,AH99)*(1-AF99)+INDEX(Models!$BJ99:$BT99,,AH99+1)*AF99-ERP_i)*AE99*Ramure*Pc/MaxiM</f>
        <v>2.1368566426150114E-2</v>
      </c>
      <c r="AE99" s="305">
        <f t="shared" si="40"/>
        <v>0.8</v>
      </c>
      <c r="AF99" s="177">
        <f t="shared" si="41"/>
        <v>0.82456821018255622</v>
      </c>
      <c r="AG99" s="809">
        <f t="shared" si="49"/>
        <v>1</v>
      </c>
      <c r="AH99" s="176">
        <f t="shared" si="42"/>
        <v>7</v>
      </c>
      <c r="AI99" s="225">
        <f t="shared" si="43"/>
        <v>1.8245682101825562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1141">
        <f>IF(t&gt;Tmaj,'2022'!Wh/'2022'!Env_an*'2023'!Env_an,0.001*'[5]mon-tableau'!$B$166)</f>
        <v>35.314903523007857</v>
      </c>
      <c r="C100" s="839"/>
      <c r="D100" s="393">
        <f t="shared" si="25"/>
        <v>37.564184167716242</v>
      </c>
      <c r="E100" s="385">
        <f t="shared" si="47"/>
        <v>43.147831755872801</v>
      </c>
      <c r="F100" s="385">
        <f t="shared" si="26"/>
        <v>43.340616358627997</v>
      </c>
      <c r="G100" s="110">
        <f t="shared" si="48"/>
        <v>0.90786666107856262</v>
      </c>
      <c r="H100" s="414" t="b">
        <f>Wh_hp&gt;='2022'!Maxi_hp</f>
        <v>0</v>
      </c>
      <c r="I100" s="390">
        <f>IF(H100,Wh_hp,'2022'!Maxi_hp)</f>
        <v>48.250977884589958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5.9878330770230997E-2</v>
      </c>
      <c r="M100" s="843"/>
      <c r="N100" s="843"/>
      <c r="O100" s="48">
        <f>IF(t&lt;Tnet,'2022'!Resal+('2022'!Salim-'2022'!Resal)*(1-EXP(('2022'!Tnet-t)/('2022'!Tau_j))),Resal+(Salim-Resal)*(1-EXP((Tnet-t)/(Tau_j))))*Salcycl</f>
        <v>0.12940737369489203</v>
      </c>
      <c r="P100" s="169">
        <f>(INDEX(Models!$BJ100:$BT100,,T100)*(1-R100)+INDEX(Models!$BJ100:$BT100,,T100+1)*R100-ERP_i)*Q100*Ramure*Pc/MaxiM</f>
        <v>5.1171835254012797E-3</v>
      </c>
      <c r="Q100" s="305">
        <f t="shared" si="28"/>
        <v>0.8</v>
      </c>
      <c r="R100" s="177">
        <f t="shared" si="29"/>
        <v>0.62486782121921014</v>
      </c>
      <c r="S100" s="809">
        <f t="shared" si="30"/>
        <v>0</v>
      </c>
      <c r="T100" s="176">
        <f t="shared" si="31"/>
        <v>6</v>
      </c>
      <c r="U100" s="251">
        <f t="shared" si="32"/>
        <v>0.62486782121921014</v>
      </c>
      <c r="V100" s="383">
        <f t="shared" si="33"/>
        <v>38.872636072129886</v>
      </c>
      <c r="W100" s="402">
        <f t="shared" si="34"/>
        <v>35.314903523007857</v>
      </c>
      <c r="X100" s="157">
        <f t="shared" si="35"/>
        <v>45012</v>
      </c>
      <c r="Y100" s="385">
        <f t="shared" si="36"/>
        <v>33.715739983817436</v>
      </c>
      <c r="Z100" s="385">
        <f t="shared" si="37"/>
        <v>35.863166531881305</v>
      </c>
      <c r="AA100" s="386">
        <f t="shared" si="38"/>
        <v>42.550203745326158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0.157156408779344</v>
      </c>
      <c r="AD100" s="231">
        <f>(INDEX(Models!$BJ100:$BT100,,AH100)*(1-AF100)+INDEX(Models!$BJ100:$BT100,,AH100+1)*AF100-ERP_i)*AE100*Ramure*Pc/MaxiM</f>
        <v>2.0980339431948995E-2</v>
      </c>
      <c r="AE100" s="305">
        <f t="shared" si="40"/>
        <v>0.8</v>
      </c>
      <c r="AF100" s="177">
        <f t="shared" si="41"/>
        <v>0.82558456838411365</v>
      </c>
      <c r="AG100" s="809">
        <f t="shared" si="49"/>
        <v>1</v>
      </c>
      <c r="AH100" s="176">
        <f t="shared" si="42"/>
        <v>7</v>
      </c>
      <c r="AI100" s="225">
        <f t="shared" si="43"/>
        <v>1.8255845683841136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1141">
        <f>IF(t&gt;Tmaj,'2022'!Wh/'2022'!Env_an*'2023'!Env_an,0.001*'[5]mon-tableau'!$B$167)</f>
        <v>26.77698394297563</v>
      </c>
      <c r="C101" s="839"/>
      <c r="D101" s="393">
        <f t="shared" si="25"/>
        <v>28.483144221808963</v>
      </c>
      <c r="E101" s="385">
        <f t="shared" si="47"/>
        <v>32.720446803354939</v>
      </c>
      <c r="F101" s="385">
        <f t="shared" si="26"/>
        <v>32.809174743760394</v>
      </c>
      <c r="G101" s="110">
        <f t="shared" si="48"/>
        <v>0.680909018499959</v>
      </c>
      <c r="H101" s="414" t="b">
        <f>Wh_hp&gt;='2022'!Maxi_hp</f>
        <v>0</v>
      </c>
      <c r="I101" s="390">
        <f>IF(H101,Wh_hp,'2022'!Maxi_hp)</f>
        <v>47.544172268799947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5.9900700061300244E-2</v>
      </c>
      <c r="M101" s="843"/>
      <c r="N101" s="843"/>
      <c r="O101" s="48">
        <f>IF(t&lt;Tnet,'2022'!Resal+('2022'!Salim-'2022'!Resal)*(1-EXP(('2022'!Tnet-t)/('2022'!Tau_j))),Resal+(Salim-Resal)*(1-EXP((Tnet-t)/(Tau_j))))*Salcycl</f>
        <v>0.12950014426794165</v>
      </c>
      <c r="P101" s="169">
        <f>(INDEX(Models!$BJ101:$BT101,,T101)*(1-R101)+INDEX(Models!$BJ101:$BT101,,T101+1)*R101-ERP_i)*Q101*Ramure*Pc/MaxiM</f>
        <v>4.9498661686580439E-3</v>
      </c>
      <c r="Q101" s="305">
        <f t="shared" si="28"/>
        <v>0.8</v>
      </c>
      <c r="R101" s="177">
        <f t="shared" si="29"/>
        <v>0.62592300707880721</v>
      </c>
      <c r="S101" s="809">
        <f t="shared" si="30"/>
        <v>0</v>
      </c>
      <c r="T101" s="176">
        <f t="shared" si="31"/>
        <v>6</v>
      </c>
      <c r="U101" s="251">
        <f t="shared" si="32"/>
        <v>0.62592300707880721</v>
      </c>
      <c r="V101" s="383">
        <f t="shared" si="33"/>
        <v>39.236803133105909</v>
      </c>
      <c r="W101" s="402">
        <f t="shared" si="34"/>
        <v>26.77698394297563</v>
      </c>
      <c r="X101" s="157">
        <f t="shared" si="35"/>
        <v>45013</v>
      </c>
      <c r="Y101" s="385">
        <f t="shared" si="36"/>
        <v>25.703085361160433</v>
      </c>
      <c r="Z101" s="385">
        <f t="shared" si="37"/>
        <v>27.340819595160248</v>
      </c>
      <c r="AA101" s="386">
        <f t="shared" si="38"/>
        <v>32.440371463842979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0.15719770269482064</v>
      </c>
      <c r="AD101" s="231">
        <f>(INDEX(Models!$BJ101:$BT101,,AH101)*(1-AF101)+INDEX(Models!$BJ101:$BT101,,AH101+1)*AF101-ERP_i)*AE101*Ramure*Pc/MaxiM</f>
        <v>2.0574430893034359E-2</v>
      </c>
      <c r="AE101" s="305">
        <f t="shared" si="40"/>
        <v>0.8</v>
      </c>
      <c r="AF101" s="177">
        <f t="shared" si="41"/>
        <v>0.82663975424371072</v>
      </c>
      <c r="AG101" s="809">
        <f t="shared" si="49"/>
        <v>1</v>
      </c>
      <c r="AH101" s="176">
        <f t="shared" si="42"/>
        <v>7</v>
      </c>
      <c r="AI101" s="225">
        <f t="shared" si="43"/>
        <v>1.8266397542437107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1141">
        <f>IF(t&gt;Tmaj,'2022'!Wh/'2022'!Env_an*'2023'!Env_an,0.001*'[5]mon-tableau'!$B$168)</f>
        <v>22.997541427904647</v>
      </c>
      <c r="C102" s="839"/>
      <c r="D102" s="393">
        <f t="shared" si="25"/>
        <v>24.463467473163611</v>
      </c>
      <c r="E102" s="385">
        <f t="shared" si="47"/>
        <v>28.105806351329974</v>
      </c>
      <c r="F102" s="385">
        <f t="shared" si="26"/>
        <v>28.15986736728021</v>
      </c>
      <c r="G102" s="110">
        <f t="shared" si="48"/>
        <v>0.5791417026384108</v>
      </c>
      <c r="H102" s="414" t="b">
        <f>Wh_hp&gt;='2022'!Maxi_hp</f>
        <v>0</v>
      </c>
      <c r="I102" s="390">
        <f>IF(H102,Wh_hp,'2022'!Maxi_hp)</f>
        <v>49.462573168637149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5.9923068831803344E-2</v>
      </c>
      <c r="M102" s="843"/>
      <c r="N102" s="843"/>
      <c r="O102" s="48">
        <f>IF(t&lt;Tnet,'2022'!Resal+('2022'!Salim-'2022'!Resal)*(1-EXP(('2022'!Tnet-t)/('2022'!Tau_j))),Resal+(Salim-Resal)*(1-EXP((Tnet-t)/(Tau_j))))*Salcycl</f>
        <v>0.12959382245206449</v>
      </c>
      <c r="P102" s="169">
        <f>(INDEX(Models!$BJ102:$BT102,,T102)*(1-R102)+INDEX(Models!$BJ102:$BT102,,T102+1)*R102-ERP_i)*Q102*Ramure*Pc/MaxiM</f>
        <v>4.7856393896225273E-3</v>
      </c>
      <c r="Q102" s="305">
        <f t="shared" si="28"/>
        <v>0.8</v>
      </c>
      <c r="R102" s="177">
        <f t="shared" si="29"/>
        <v>0.62701834582007088</v>
      </c>
      <c r="S102" s="809">
        <f t="shared" si="30"/>
        <v>0</v>
      </c>
      <c r="T102" s="176">
        <f t="shared" si="31"/>
        <v>6</v>
      </c>
      <c r="U102" s="251">
        <f t="shared" si="32"/>
        <v>0.62701834582007088</v>
      </c>
      <c r="V102" s="383">
        <f t="shared" si="33"/>
        <v>39.595675891660697</v>
      </c>
      <c r="W102" s="402">
        <f t="shared" si="34"/>
        <v>22.997541427904647</v>
      </c>
      <c r="X102" s="157">
        <f t="shared" si="35"/>
        <v>45014</v>
      </c>
      <c r="Y102" s="385">
        <f t="shared" si="36"/>
        <v>22.129557710754952</v>
      </c>
      <c r="Z102" s="385">
        <f t="shared" si="37"/>
        <v>23.540156105368332</v>
      </c>
      <c r="AA102" s="386">
        <f t="shared" si="38"/>
        <v>27.932225464604418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0.15724022293897402</v>
      </c>
      <c r="AD102" s="231">
        <f>(INDEX(Models!$BJ102:$BT102,,AH102)*(1-AF102)+INDEX(Models!$BJ102:$BT102,,AH102+1)*AF102-ERP_i)*AE102*Ramure*Pc/MaxiM</f>
        <v>2.0151527621617898E-2</v>
      </c>
      <c r="AE102" s="305">
        <f t="shared" si="40"/>
        <v>0.8</v>
      </c>
      <c r="AF102" s="177">
        <f t="shared" si="41"/>
        <v>0.8277350929849745</v>
      </c>
      <c r="AG102" s="809">
        <f t="shared" si="49"/>
        <v>1</v>
      </c>
      <c r="AH102" s="176">
        <f t="shared" si="42"/>
        <v>7</v>
      </c>
      <c r="AI102" s="225">
        <f t="shared" si="43"/>
        <v>1.8277350929849745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1141">
        <f>IF(t&gt;Tmaj,'2022'!Wh/'2022'!Env_an*'2023'!Env_an,0.001*'[5]mon-tableau'!$B$169)</f>
        <v>7.0952253302339985</v>
      </c>
      <c r="C103" s="839"/>
      <c r="D103" s="393">
        <f t="shared" si="25"/>
        <v>7.5476739437421791</v>
      </c>
      <c r="E103" s="385">
        <f t="shared" si="47"/>
        <v>8.6723817688547555</v>
      </c>
      <c r="F103" s="385">
        <f t="shared" si="26"/>
        <v>8.6723817688547555</v>
      </c>
      <c r="G103" s="110">
        <f t="shared" si="48"/>
        <v>0.17678904785959515</v>
      </c>
      <c r="H103" s="414" t="b">
        <f>Wh_hp&gt;='2022'!Maxi_hp</f>
        <v>0</v>
      </c>
      <c r="I103" s="390">
        <f>IF(H103,Wh_hp,'2022'!Maxi_hp)</f>
        <v>48.853038467776038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5.9945437081752623E-2</v>
      </c>
      <c r="M103" s="843"/>
      <c r="N103" s="843"/>
      <c r="O103" s="48">
        <f>IF(t&lt;Tnet,'2022'!Resal+('2022'!Salim-'2022'!Resal)*(1-EXP(('2022'!Tnet-t)/('2022'!Tau_j))),Resal+(Salim-Resal)*(1-EXP((Tnet-t)/(Tau_j))))*Salcycl</f>
        <v>0.12968845872903748</v>
      </c>
      <c r="P103" s="169">
        <f>(INDEX(Models!$BJ103:$BT103,,T103)*(1-R103)+INDEX(Models!$BJ103:$BT103,,T103+1)*R103-ERP_i)*Q103*Ramure*Pc/MaxiM</f>
        <v>4.6244317633657907E-3</v>
      </c>
      <c r="Q103" s="305">
        <f t="shared" si="28"/>
        <v>0.8</v>
      </c>
      <c r="R103" s="177">
        <f t="shared" si="29"/>
        <v>0.62815519504201289</v>
      </c>
      <c r="S103" s="809">
        <f t="shared" si="30"/>
        <v>0</v>
      </c>
      <c r="T103" s="176">
        <f t="shared" si="31"/>
        <v>6</v>
      </c>
      <c r="U103" s="251">
        <f t="shared" si="32"/>
        <v>0.62815519504201289</v>
      </c>
      <c r="V103" s="383">
        <f t="shared" si="33"/>
        <v>39.948254885435865</v>
      </c>
      <c r="W103" s="402">
        <f t="shared" si="34"/>
        <v>7.0952253302339985</v>
      </c>
      <c r="X103" s="157">
        <f t="shared" si="35"/>
        <v>45015</v>
      </c>
      <c r="Y103" s="385">
        <f t="shared" si="36"/>
        <v>6.8702521127496956</v>
      </c>
      <c r="Z103" s="385">
        <f t="shared" si="37"/>
        <v>7.3083546250997484</v>
      </c>
      <c r="AA103" s="386">
        <f t="shared" si="38"/>
        <v>8.6723817688547555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0.15728402878361014</v>
      </c>
      <c r="AD103" s="231">
        <f>(INDEX(Models!$BJ103:$BT103,,AH103)*(1-AF103)+INDEX(Models!$BJ103:$BT103,,AH103+1)*AF103-ERP_i)*AE103*Ramure*Pc/MaxiM</f>
        <v>1.9712205487004222E-2</v>
      </c>
      <c r="AE103" s="305">
        <f t="shared" si="40"/>
        <v>0.8</v>
      </c>
      <c r="AF103" s="177">
        <f t="shared" si="41"/>
        <v>0.8288719422069164</v>
      </c>
      <c r="AG103" s="809">
        <f t="shared" si="49"/>
        <v>1</v>
      </c>
      <c r="AH103" s="176">
        <f t="shared" si="42"/>
        <v>7</v>
      </c>
      <c r="AI103" s="225">
        <f t="shared" si="43"/>
        <v>1.8288719422069164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1141">
        <f>IF(t&gt;Tmaj,'2022'!Wh/'2022'!Env_an*'2023'!Env_an,0.001*'[5]mon-tableau'!$B$170)</f>
        <v>25.715870196293992</v>
      </c>
      <c r="C104" s="839"/>
      <c r="D104" s="393">
        <f t="shared" si="25"/>
        <v>27.356371758233252</v>
      </c>
      <c r="E104" s="385">
        <f t="shared" si="47"/>
        <v>31.436304315514008</v>
      </c>
      <c r="F104" s="385">
        <f t="shared" si="26"/>
        <v>31.504286658496966</v>
      </c>
      <c r="G104" s="110">
        <f t="shared" si="48"/>
        <v>0.63673684494408533</v>
      </c>
      <c r="H104" s="414" t="b">
        <f>Wh_hp&gt;='2022'!Maxi_hp</f>
        <v>0</v>
      </c>
      <c r="I104" s="390">
        <f>IF(H104,Wh_hp,'2022'!Maxi_hp)</f>
        <v>44.47420567428135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5.9967804811159958E-2</v>
      </c>
      <c r="M104" s="843"/>
      <c r="N104" s="843"/>
      <c r="O104" s="48">
        <f>IF(t&lt;Tnet,'2022'!Resal+('2022'!Salim-'2022'!Resal)*(1-EXP(('2022'!Tnet-t)/('2022'!Tau_j))),Resal+(Salim-Resal)*(1-EXP((Tnet-t)/(Tau_j))))*Salcycl</f>
        <v>0.12978410300180498</v>
      </c>
      <c r="P104" s="169">
        <f>(INDEX(Models!$BJ104:$BT104,,T104)*(1-R104)+INDEX(Models!$BJ104:$BT104,,T104+1)*R104-ERP_i)*Q104*Ramure*Pc/MaxiM</f>
        <v>4.4661566990970023E-3</v>
      </c>
      <c r="Q104" s="305">
        <f t="shared" si="28"/>
        <v>0.8</v>
      </c>
      <c r="R104" s="177">
        <f t="shared" si="29"/>
        <v>0.62933494442241</v>
      </c>
      <c r="S104" s="809">
        <f t="shared" si="30"/>
        <v>0</v>
      </c>
      <c r="T104" s="176">
        <f t="shared" si="31"/>
        <v>6</v>
      </c>
      <c r="U104" s="251">
        <f t="shared" si="32"/>
        <v>0.62933494442241</v>
      </c>
      <c r="V104" s="383">
        <f t="shared" si="33"/>
        <v>40.29354133494919</v>
      </c>
      <c r="W104" s="402">
        <f t="shared" si="34"/>
        <v>25.715870196293992</v>
      </c>
      <c r="X104" s="157">
        <f t="shared" si="35"/>
        <v>45016</v>
      </c>
      <c r="Y104" s="385">
        <f t="shared" si="36"/>
        <v>24.723539828855923</v>
      </c>
      <c r="Z104" s="385">
        <f t="shared" si="37"/>
        <v>26.300737310267646</v>
      </c>
      <c r="AA104" s="386">
        <f t="shared" si="38"/>
        <v>31.211164128965866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0.15732917870054849</v>
      </c>
      <c r="AD104" s="231">
        <f>(INDEX(Models!$BJ104:$BT104,,AH104)*(1-AF104)+INDEX(Models!$BJ104:$BT104,,AH104+1)*AF104-ERP_i)*AE104*Ramure*Pc/MaxiM</f>
        <v>1.9256928953593228E-2</v>
      </c>
      <c r="AE104" s="305">
        <f t="shared" si="40"/>
        <v>0.8</v>
      </c>
      <c r="AF104" s="177">
        <f t="shared" si="41"/>
        <v>0.83005169158731351</v>
      </c>
      <c r="AG104" s="809">
        <f t="shared" si="49"/>
        <v>1</v>
      </c>
      <c r="AH104" s="176">
        <f t="shared" si="42"/>
        <v>7</v>
      </c>
      <c r="AI104" s="225">
        <f t="shared" si="43"/>
        <v>1.8300516915873135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1141">
        <f>IF(t&gt;Tmaj,'2022'!Wh/'2022'!Env_an*'2023'!Env_an,0.001*'[6]mon-tableau'!$B$136)</f>
        <v>27.609799588773072</v>
      </c>
      <c r="C105" s="839"/>
      <c r="D105" s="393">
        <f t="shared" si="25"/>
        <v>29.37182013097166</v>
      </c>
      <c r="E105" s="385">
        <f t="shared" si="47"/>
        <v>33.756087995957905</v>
      </c>
      <c r="F105" s="385">
        <f t="shared" si="26"/>
        <v>33.835168469101035</v>
      </c>
      <c r="G105" s="110">
        <f t="shared" si="48"/>
        <v>0.67818902451248975</v>
      </c>
      <c r="H105" s="414" t="b">
        <f>Wh_hp&gt;='2022'!Maxi_hp</f>
        <v>0</v>
      </c>
      <c r="I105" s="390">
        <f>IF(H105,Wh_hp,'2022'!Maxi_hp)</f>
        <v>45.531723733193161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5.9990172020037452E-2</v>
      </c>
      <c r="M105" s="843"/>
      <c r="N105" s="843"/>
      <c r="O105" s="48">
        <f>IF(t&lt;Tnet,'2022'!Resal+('2022'!Salim-'2022'!Resal)*(1-EXP(('2022'!Tnet-t)/('2022'!Tau_j))),Resal+(Salim-Resal)*(1-EXP((Tnet-t)/(Tau_j))))*Salcycl</f>
        <v>0.12988080447921685</v>
      </c>
      <c r="P105" s="169">
        <f>(INDEX(Models!$BJ105:$BT105,,T105)*(1-R105)+INDEX(Models!$BJ105:$BT105,,T105+1)*R105-ERP_i)*Q105*Ramure*Pc/MaxiM</f>
        <v>4.3107135596104195E-3</v>
      </c>
      <c r="Q105" s="305">
        <f t="shared" si="28"/>
        <v>0.8</v>
      </c>
      <c r="R105" s="177">
        <f t="shared" si="29"/>
        <v>0.63055901530555236</v>
      </c>
      <c r="S105" s="809">
        <f t="shared" si="30"/>
        <v>0</v>
      </c>
      <c r="T105" s="176">
        <f t="shared" si="31"/>
        <v>6</v>
      </c>
      <c r="U105" s="251">
        <f t="shared" si="32"/>
        <v>0.63055901530555236</v>
      </c>
      <c r="V105" s="383">
        <f t="shared" si="33"/>
        <v>40.63053717975005</v>
      </c>
      <c r="W105" s="402">
        <f t="shared" si="34"/>
        <v>27.609799588773072</v>
      </c>
      <c r="X105" s="157">
        <f t="shared" si="35"/>
        <v>45017</v>
      </c>
      <c r="Y105" s="385">
        <f t="shared" si="36"/>
        <v>26.527019862733141</v>
      </c>
      <c r="Z105" s="385">
        <f t="shared" si="37"/>
        <v>28.21993884865914</v>
      </c>
      <c r="AA105" s="386">
        <f t="shared" si="38"/>
        <v>33.490536483327233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0.15737573022432719</v>
      </c>
      <c r="AD105" s="231">
        <f>(INDEX(Models!$BJ105:$BT105,,AH105)*(1-AF105)+INDEX(Models!$BJ105:$BT105,,AH105+1)*AF105-ERP_i)*AE105*Ramure*Pc/MaxiM</f>
        <v>1.8786050653259802E-2</v>
      </c>
      <c r="AE105" s="305">
        <f t="shared" si="40"/>
        <v>0.8</v>
      </c>
      <c r="AF105" s="177">
        <f t="shared" si="41"/>
        <v>0.83127576247045587</v>
      </c>
      <c r="AG105" s="809">
        <f t="shared" si="49"/>
        <v>1</v>
      </c>
      <c r="AH105" s="176">
        <f t="shared" si="42"/>
        <v>7</v>
      </c>
      <c r="AI105" s="225">
        <f t="shared" si="43"/>
        <v>1.8312757624704559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1141">
        <f>IF(t&gt;Tmaj,'2022'!Wh/'2022'!Env_an*'2023'!Env_an,0.001*'[6]mon-tableau'!$B$137)</f>
        <v>18.487856057752708</v>
      </c>
      <c r="C106" s="839"/>
      <c r="D106" s="393">
        <f t="shared" si="25"/>
        <v>19.668194331389504</v>
      </c>
      <c r="E106" s="385">
        <f t="shared" si="47"/>
        <v>22.606564152162377</v>
      </c>
      <c r="F106" s="385">
        <f t="shared" si="26"/>
        <v>22.626910556131289</v>
      </c>
      <c r="G106" s="110">
        <f t="shared" si="48"/>
        <v>0.44991073245021174</v>
      </c>
      <c r="H106" s="414" t="b">
        <f>Wh_hp&gt;='2022'!Maxi_hp</f>
        <v>0</v>
      </c>
      <c r="I106" s="390">
        <f>IF(H106,Wh_hp,'2022'!Maxi_hp)</f>
        <v>41.845132643511377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6.0012538708397428E-2</v>
      </c>
      <c r="M106" s="843"/>
      <c r="N106" s="843"/>
      <c r="O106" s="48">
        <f>IF(t&lt;Tnet,'2022'!Resal+('2022'!Salim-'2022'!Resal)*(1-EXP(('2022'!Tnet-t)/('2022'!Tau_j))),Resal+(Salim-Resal)*(1-EXP((Tnet-t)/(Tau_j))))*Salcycl</f>
        <v>0.12997861156587165</v>
      </c>
      <c r="P106" s="169">
        <f>(INDEX(Models!$BJ106:$BT106,,T106)*(1-R106)+INDEX(Models!$BJ106:$BT106,,T106+1)*R106-ERP_i)*Q106*Ramure*Pc/MaxiM</f>
        <v>4.1579886506371583E-3</v>
      </c>
      <c r="Q106" s="305">
        <f t="shared" si="28"/>
        <v>0.8</v>
      </c>
      <c r="R106" s="177">
        <f t="shared" si="29"/>
        <v>0.6318288601648796</v>
      </c>
      <c r="S106" s="809">
        <f t="shared" si="30"/>
        <v>0</v>
      </c>
      <c r="T106" s="176">
        <f t="shared" si="31"/>
        <v>6</v>
      </c>
      <c r="U106" s="251">
        <f t="shared" si="32"/>
        <v>0.6318288601648796</v>
      </c>
      <c r="V106" s="383">
        <f t="shared" si="33"/>
        <v>40.958245097322141</v>
      </c>
      <c r="W106" s="402">
        <f t="shared" si="34"/>
        <v>18.487856057752708</v>
      </c>
      <c r="X106" s="157">
        <f t="shared" si="35"/>
        <v>45018</v>
      </c>
      <c r="Y106" s="385">
        <f t="shared" si="36"/>
        <v>17.849842558542253</v>
      </c>
      <c r="Z106" s="385">
        <f t="shared" si="37"/>
        <v>18.989447512433234</v>
      </c>
      <c r="AA106" s="386">
        <f t="shared" si="38"/>
        <v>22.537363571588237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0.15742373982144434</v>
      </c>
      <c r="AD106" s="231">
        <f>(INDEX(Models!$BJ106:$BT106,,AH106)*(1-AF106)+INDEX(Models!$BJ106:$BT106,,AH106+1)*AF106-ERP_i)*AE106*Ramure*Pc/MaxiM</f>
        <v>1.8299810914878208E-2</v>
      </c>
      <c r="AE106" s="305">
        <f t="shared" si="40"/>
        <v>0.8</v>
      </c>
      <c r="AF106" s="177">
        <f t="shared" si="41"/>
        <v>0.832545607329783</v>
      </c>
      <c r="AG106" s="809">
        <f t="shared" si="49"/>
        <v>1</v>
      </c>
      <c r="AH106" s="176">
        <f t="shared" si="42"/>
        <v>7</v>
      </c>
      <c r="AI106" s="225">
        <f t="shared" si="43"/>
        <v>1.832545607329783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1141">
        <f>IF(t&gt;Tmaj,'2022'!Wh/'2022'!Env_an*'2023'!Env_an,0.001*'[6]mon-tableau'!$B$138)</f>
        <v>18.485563767523114</v>
      </c>
      <c r="C107" s="839"/>
      <c r="D107" s="393">
        <f t="shared" si="25"/>
        <v>19.666223632580163</v>
      </c>
      <c r="E107" s="385">
        <f t="shared" si="47"/>
        <v>22.606870445099361</v>
      </c>
      <c r="F107" s="385">
        <f t="shared" si="26"/>
        <v>22.626020248485979</v>
      </c>
      <c r="G107" s="110">
        <f t="shared" si="48"/>
        <v>0.44641431227063333</v>
      </c>
      <c r="H107" s="414" t="b">
        <f>Wh_hp&gt;='2022'!Maxi_hp</f>
        <v>0</v>
      </c>
      <c r="I107" s="390">
        <f>IF(H107,Wh_hp,'2022'!Maxi_hp)</f>
        <v>50.711672503234396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6.0034904876251988E-2</v>
      </c>
      <c r="M107" s="843"/>
      <c r="N107" s="843"/>
      <c r="O107" s="48">
        <f>IF(t&lt;Tnet,'2022'!Resal+('2022'!Salim-'2022'!Resal)*(1-EXP(('2022'!Tnet-t)/('2022'!Tau_j))),Resal+(Salim-Resal)*(1-EXP((Tnet-t)/(Tau_j))))*Salcycl</f>
        <v>0.13007757175680454</v>
      </c>
      <c r="P107" s="169">
        <f>(INDEX(Models!$BJ107:$BT107,,T107)*(1-R107)+INDEX(Models!$BJ107:$BT107,,T107+1)*R107-ERP_i)*Q107*Ramure*Pc/MaxiM</f>
        <v>4.0076335581758007E-3</v>
      </c>
      <c r="Q107" s="305">
        <f t="shared" si="28"/>
        <v>0.8</v>
      </c>
      <c r="R107" s="177">
        <f t="shared" si="29"/>
        <v>0.63314596193065587</v>
      </c>
      <c r="S107" s="809">
        <f t="shared" si="30"/>
        <v>0</v>
      </c>
      <c r="T107" s="176">
        <f t="shared" si="31"/>
        <v>6</v>
      </c>
      <c r="U107" s="251">
        <f t="shared" si="32"/>
        <v>0.63314596193065587</v>
      </c>
      <c r="V107" s="383">
        <f t="shared" si="33"/>
        <v>41.277969527952528</v>
      </c>
      <c r="W107" s="402">
        <f t="shared" si="34"/>
        <v>18.485563767523114</v>
      </c>
      <c r="X107" s="157">
        <f t="shared" si="35"/>
        <v>45019</v>
      </c>
      <c r="Y107" s="385">
        <f t="shared" si="36"/>
        <v>17.851231639078737</v>
      </c>
      <c r="Z107" s="385">
        <f t="shared" si="37"/>
        <v>18.991377160370611</v>
      </c>
      <c r="AA107" s="386">
        <f t="shared" si="38"/>
        <v>22.540978607651553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0.15747326276579784</v>
      </c>
      <c r="AD107" s="231">
        <f>(INDEX(Models!$BJ107:$BT107,,AH107)*(1-AF107)+INDEX(Models!$BJ107:$BT107,,AH107+1)*AF107-ERP_i)*AE107*Ramure*Pc/MaxiM</f>
        <v>1.7797348973752361E-2</v>
      </c>
      <c r="AE107" s="305">
        <f t="shared" si="40"/>
        <v>0.8</v>
      </c>
      <c r="AF107" s="177">
        <f t="shared" si="41"/>
        <v>0.83386270909555926</v>
      </c>
      <c r="AG107" s="809">
        <f t="shared" si="49"/>
        <v>1</v>
      </c>
      <c r="AH107" s="176">
        <f t="shared" si="42"/>
        <v>7</v>
      </c>
      <c r="AI107" s="225">
        <f t="shared" si="43"/>
        <v>1.8338627090955593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1141">
        <f>IF(t&gt;Tmaj,'2022'!Wh/'2022'!Env_an*'2023'!Env_an,0.001*'[6]mon-tableau'!$B$139)</f>
        <v>40.636632103909307</v>
      </c>
      <c r="C108" s="839"/>
      <c r="D108" s="393">
        <f t="shared" si="25"/>
        <v>43.233093708322755</v>
      </c>
      <c r="E108" s="385">
        <f t="shared" si="47"/>
        <v>49.703365015821049</v>
      </c>
      <c r="F108" s="385">
        <f t="shared" si="26"/>
        <v>49.889535887207167</v>
      </c>
      <c r="G108" s="110">
        <f t="shared" si="48"/>
        <v>0.97691095776109504</v>
      </c>
      <c r="H108" s="414" t="b">
        <f>Wh_hp&gt;='2022'!Maxi_hp</f>
        <v>0</v>
      </c>
      <c r="I108" s="390">
        <f>IF(H108,Wh_hp,'2022'!Maxi_hp)</f>
        <v>52.742592428937442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6.005727052361301E-2</v>
      </c>
      <c r="M108" s="843"/>
      <c r="N108" s="843"/>
      <c r="O108" s="48">
        <f>IF(t&lt;Tnet,'2022'!Resal+('2022'!Salim-'2022'!Resal)*(1-EXP(('2022'!Tnet-t)/('2022'!Tau_j))),Resal+(Salim-Resal)*(1-EXP((Tnet-t)/(Tau_j))))*Salcycl</f>
        <v>0.13017773153666243</v>
      </c>
      <c r="P108" s="169">
        <f>(INDEX(Models!$BJ108:$BT108,,T108)*(1-R108)+INDEX(Models!$BJ108:$BT108,,T108+1)*R108-ERP_i)*Q108*Ramure*Pc/MaxiM</f>
        <v>3.8582390163127748E-3</v>
      </c>
      <c r="Q108" s="305">
        <f t="shared" si="28"/>
        <v>0.8</v>
      </c>
      <c r="R108" s="177">
        <f t="shared" si="29"/>
        <v>0.63451183317247906</v>
      </c>
      <c r="S108" s="809">
        <f t="shared" si="30"/>
        <v>0</v>
      </c>
      <c r="T108" s="176">
        <f t="shared" si="31"/>
        <v>6</v>
      </c>
      <c r="U108" s="251">
        <f t="shared" si="32"/>
        <v>0.63451183317247906</v>
      </c>
      <c r="V108" s="383">
        <f t="shared" si="33"/>
        <v>41.591783611197314</v>
      </c>
      <c r="W108" s="402">
        <f t="shared" si="34"/>
        <v>40.636632103909307</v>
      </c>
      <c r="X108" s="157">
        <f t="shared" si="35"/>
        <v>45020</v>
      </c>
      <c r="Y108" s="385">
        <f t="shared" si="36"/>
        <v>38.846545348312823</v>
      </c>
      <c r="Z108" s="385">
        <f t="shared" si="37"/>
        <v>41.328630064464704</v>
      </c>
      <c r="AA108" s="386">
        <f t="shared" si="38"/>
        <v>49.056171786814126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0.15752435301986853</v>
      </c>
      <c r="AD108" s="231">
        <f>(INDEX(Models!$BJ108:$BT108,,AH108)*(1-AF108)+INDEX(Models!$BJ108:$BT108,,AH108+1)*AF108-ERP_i)*AE108*Ramure*Pc/MaxiM</f>
        <v>1.7270789264676463E-2</v>
      </c>
      <c r="AE108" s="305">
        <f t="shared" si="40"/>
        <v>0.8</v>
      </c>
      <c r="AF108" s="177">
        <f t="shared" si="41"/>
        <v>0.83522858033738245</v>
      </c>
      <c r="AG108" s="809">
        <f t="shared" si="49"/>
        <v>1</v>
      </c>
      <c r="AH108" s="176">
        <f t="shared" si="42"/>
        <v>7</v>
      </c>
      <c r="AI108" s="225">
        <f t="shared" si="43"/>
        <v>1.8352285803373825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1141">
        <f>IF(t&gt;Tmaj,'2022'!Wh/'2022'!Env_an*'2023'!Env_an,0.001*'[6]mon-tableau'!$B$140)</f>
        <v>41.812446033562068</v>
      </c>
      <c r="C109" s="839"/>
      <c r="D109" s="393">
        <f t="shared" si="25"/>
        <v>44.485094290407567</v>
      </c>
      <c r="E109" s="385">
        <f t="shared" si="47"/>
        <v>51.148703160096531</v>
      </c>
      <c r="F109" s="385">
        <f t="shared" si="26"/>
        <v>51.338726759999005</v>
      </c>
      <c r="G109" s="110">
        <f t="shared" si="48"/>
        <v>0.9979073591668205</v>
      </c>
      <c r="H109" s="414" t="b">
        <f>Wh_hp&gt;='2022'!Maxi_hp</f>
        <v>0</v>
      </c>
      <c r="I109" s="390">
        <f>IF(H109,Wh_hp,'2022'!Maxi_hp)</f>
        <v>53.625563554782609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6.0079635650492708E-2</v>
      </c>
      <c r="M109" s="843"/>
      <c r="N109" s="843"/>
      <c r="O109" s="48">
        <f>IF(t&lt;Tnet,'2022'!Resal+('2022'!Salim-'2022'!Resal)*(1-EXP(('2022'!Tnet-t)/('2022'!Tau_j))),Resal+(Salim-Resal)*(1-EXP((Tnet-t)/(Tau_j))))*Salcycl</f>
        <v>0.13027913628292254</v>
      </c>
      <c r="P109" s="169">
        <f>(INDEX(Models!$BJ109:$BT109,,T109)*(1-R109)+INDEX(Models!$BJ109:$BT109,,T109+1)*R109-ERP_i)*Q109*Ramure*Pc/MaxiM</f>
        <v>3.7124091043544143E-3</v>
      </c>
      <c r="Q109" s="305">
        <f t="shared" si="28"/>
        <v>0.8</v>
      </c>
      <c r="R109" s="177">
        <f t="shared" si="29"/>
        <v>0.63592801512610153</v>
      </c>
      <c r="S109" s="809">
        <f t="shared" si="30"/>
        <v>0</v>
      </c>
      <c r="T109" s="176">
        <f t="shared" si="31"/>
        <v>6</v>
      </c>
      <c r="U109" s="251">
        <f t="shared" si="32"/>
        <v>0.63592801512610153</v>
      </c>
      <c r="V109" s="383">
        <f t="shared" si="33"/>
        <v>41.899663674977454</v>
      </c>
      <c r="W109" s="402">
        <f t="shared" si="34"/>
        <v>41.812446033562068</v>
      </c>
      <c r="X109" s="157">
        <f t="shared" si="35"/>
        <v>45021</v>
      </c>
      <c r="Y109" s="385">
        <f t="shared" si="36"/>
        <v>39.972077284379274</v>
      </c>
      <c r="Z109" s="385">
        <f t="shared" si="37"/>
        <v>42.527089315745208</v>
      </c>
      <c r="AA109" s="386">
        <f t="shared" si="38"/>
        <v>50.481874903956985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0.1575770631210896</v>
      </c>
      <c r="AD109" s="231">
        <f>(INDEX(Models!$BJ109:$BT109,,AH109)*(1-AF109)+INDEX(Models!$BJ109:$BT109,,AH109+1)*AF109-ERP_i)*AE109*Ramure*Pc/MaxiM</f>
        <v>1.6739945107270265E-2</v>
      </c>
      <c r="AE109" s="305">
        <f t="shared" si="40"/>
        <v>0.8</v>
      </c>
      <c r="AF109" s="177">
        <f t="shared" si="41"/>
        <v>0.83664476229100493</v>
      </c>
      <c r="AG109" s="809">
        <f t="shared" si="49"/>
        <v>1</v>
      </c>
      <c r="AH109" s="176">
        <f t="shared" si="42"/>
        <v>7</v>
      </c>
      <c r="AI109" s="225">
        <f t="shared" si="43"/>
        <v>1.8366447622910049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1141">
        <f>IF(t&gt;Tmaj,'2022'!Wh/'2022'!Env_an*'2023'!Env_an,0.001*'[6]mon-tableau'!$B$141)</f>
        <v>10.181362725249169</v>
      </c>
      <c r="C110" s="839"/>
      <c r="D110" s="393">
        <f t="shared" si="25"/>
        <v>10.832412376696251</v>
      </c>
      <c r="E110" s="385">
        <f t="shared" si="47"/>
        <v>12.456515689922467</v>
      </c>
      <c r="F110" s="385">
        <f t="shared" si="26"/>
        <v>12.456515689922467</v>
      </c>
      <c r="G110" s="110">
        <f t="shared" si="48"/>
        <v>0.24039352443999679</v>
      </c>
      <c r="H110" s="414" t="b">
        <f>Wh_hp&gt;='2022'!Maxi_hp</f>
        <v>0</v>
      </c>
      <c r="I110" s="390">
        <f>IF(H110,Wh_hp,'2022'!Maxi_hp)</f>
        <v>54.126950024967606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6.0102000256903404E-2</v>
      </c>
      <c r="M110" s="843"/>
      <c r="N110" s="843"/>
      <c r="O110" s="48">
        <f>IF(t&lt;Tnet,'2022'!Resal+('2022'!Salim-'2022'!Resal)*(1-EXP(('2022'!Tnet-t)/('2022'!Tau_j))),Resal+(Salim-Resal)*(1-EXP((Tnet-t)/(Tau_j))))*Salcycl</f>
        <v>0.13038183017263349</v>
      </c>
      <c r="P110" s="169">
        <f>(INDEX(Models!$BJ110:$BT110,,T110)*(1-R110)+INDEX(Models!$BJ110:$BT110,,T110+1)*R110-ERP_i)*Q110*Ramure*Pc/MaxiM</f>
        <v>3.5699530073753085E-3</v>
      </c>
      <c r="Q110" s="305">
        <f t="shared" si="28"/>
        <v>0.8</v>
      </c>
      <c r="R110" s="177">
        <f t="shared" si="29"/>
        <v>0.63739607655374975</v>
      </c>
      <c r="S110" s="809">
        <f t="shared" si="30"/>
        <v>0</v>
      </c>
      <c r="T110" s="176">
        <f t="shared" si="31"/>
        <v>6</v>
      </c>
      <c r="U110" s="251">
        <f t="shared" si="32"/>
        <v>0.63739607655374975</v>
      </c>
      <c r="V110" s="383">
        <f t="shared" si="33"/>
        <v>42.201701407731662</v>
      </c>
      <c r="W110" s="402">
        <f t="shared" si="34"/>
        <v>10.181362725249169</v>
      </c>
      <c r="X110" s="157">
        <f t="shared" si="35"/>
        <v>45022</v>
      </c>
      <c r="Y110" s="385">
        <f t="shared" si="36"/>
        <v>9.8623282192254553</v>
      </c>
      <c r="Z110" s="385">
        <f t="shared" si="37"/>
        <v>10.492977133605068</v>
      </c>
      <c r="AA110" s="386">
        <f t="shared" si="38"/>
        <v>12.456515689922467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0.15763144407275426</v>
      </c>
      <c r="AD110" s="231">
        <f>(INDEX(Models!$BJ110:$BT110,,AH110)*(1-AF110)+INDEX(Models!$BJ110:$BT110,,AH110+1)*AF110-ERP_i)*AE110*Ramure*Pc/MaxiM</f>
        <v>1.6204341350069117E-2</v>
      </c>
      <c r="AE110" s="305">
        <f t="shared" si="40"/>
        <v>0.8</v>
      </c>
      <c r="AF110" s="177">
        <f t="shared" si="41"/>
        <v>0.83811282371865325</v>
      </c>
      <c r="AG110" s="809">
        <f t="shared" si="49"/>
        <v>1</v>
      </c>
      <c r="AH110" s="176">
        <f t="shared" si="42"/>
        <v>7</v>
      </c>
      <c r="AI110" s="225">
        <f t="shared" si="43"/>
        <v>1.8381128237186533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1141">
        <f>IF(t&gt;Tmaj,'2022'!Wh/'2022'!Env_an*'2023'!Env_an,0.001*'[6]mon-tableau'!$B$142)</f>
        <v>30.382678606190261</v>
      </c>
      <c r="C111" s="839"/>
      <c r="D111" s="393">
        <f t="shared" si="25"/>
        <v>32.326275364024383</v>
      </c>
      <c r="E111" s="385">
        <f t="shared" si="47"/>
        <v>37.177400264863586</v>
      </c>
      <c r="F111" s="385">
        <f t="shared" si="26"/>
        <v>37.253155191371285</v>
      </c>
      <c r="G111" s="110">
        <f t="shared" si="48"/>
        <v>0.71391949003183819</v>
      </c>
      <c r="H111" s="414" t="b">
        <f>Wh_hp&gt;='2022'!Maxi_hp</f>
        <v>0</v>
      </c>
      <c r="I111" s="390">
        <f>IF(H111,Wh_hp,'2022'!Maxi_hp)</f>
        <v>53.441018311123912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6.0124364342856867E-2</v>
      </c>
      <c r="M111" s="843"/>
      <c r="N111" s="843"/>
      <c r="O111" s="48">
        <f>IF(t&lt;Tnet,'2022'!Resal+('2022'!Salim-'2022'!Resal)*(1-EXP(('2022'!Tnet-t)/('2022'!Tau_j))),Resal+(Salim-Resal)*(1-EXP((Tnet-t)/(Tau_j))))*Salcycl</f>
        <v>0.13048585609209498</v>
      </c>
      <c r="P111" s="169">
        <f>(INDEX(Models!$BJ111:$BT111,,T111)*(1-R111)+INDEX(Models!$BJ111:$BT111,,T111+1)*R111-ERP_i)*Q111*Ramure*Pc/MaxiM</f>
        <v>3.4306868792526196E-3</v>
      </c>
      <c r="Q111" s="305">
        <f t="shared" si="28"/>
        <v>0.8</v>
      </c>
      <c r="R111" s="177">
        <f t="shared" si="29"/>
        <v>0.6389176124268886</v>
      </c>
      <c r="S111" s="809">
        <f t="shared" si="30"/>
        <v>0</v>
      </c>
      <c r="T111" s="176">
        <f t="shared" si="31"/>
        <v>6</v>
      </c>
      <c r="U111" s="251">
        <f t="shared" si="32"/>
        <v>0.6389176124268886</v>
      </c>
      <c r="V111" s="383">
        <f t="shared" si="33"/>
        <v>42.49798859666739</v>
      </c>
      <c r="W111" s="402">
        <f t="shared" si="34"/>
        <v>30.382678606190261</v>
      </c>
      <c r="X111" s="157">
        <f t="shared" si="35"/>
        <v>45023</v>
      </c>
      <c r="Y111" s="385">
        <f t="shared" si="36"/>
        <v>29.218348467195991</v>
      </c>
      <c r="Z111" s="385">
        <f t="shared" si="37"/>
        <v>31.087462381942775</v>
      </c>
      <c r="AA111" s="386">
        <f t="shared" si="38"/>
        <v>36.907280910091728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0.15768754523873943</v>
      </c>
      <c r="AD111" s="231">
        <f>(INDEX(Models!$BJ111:$BT111,,AH111)*(1-AF111)+INDEX(Models!$BJ111:$BT111,,AH111+1)*AF111-ERP_i)*AE111*Ramure*Pc/MaxiM</f>
        <v>1.5663487687974303E-2</v>
      </c>
      <c r="AE111" s="305">
        <f t="shared" si="40"/>
        <v>0.8</v>
      </c>
      <c r="AF111" s="177">
        <f t="shared" si="41"/>
        <v>0.83963435959179211</v>
      </c>
      <c r="AG111" s="809">
        <f t="shared" si="49"/>
        <v>1</v>
      </c>
      <c r="AH111" s="176">
        <f t="shared" si="42"/>
        <v>7</v>
      </c>
      <c r="AI111" s="225">
        <f t="shared" si="43"/>
        <v>1.8396343595917921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1141">
        <f>IF(t&gt;Tmaj,'2022'!Wh/'2022'!Env_an*'2023'!Env_an,0.001*'[6]mon-tableau'!$B$143)</f>
        <v>23.843126508316804</v>
      </c>
      <c r="C112" s="839"/>
      <c r="D112" s="393">
        <f t="shared" si="25"/>
        <v>25.368988134982125</v>
      </c>
      <c r="E112" s="385">
        <f t="shared" si="47"/>
        <v>29.179587043372898</v>
      </c>
      <c r="F112" s="385">
        <f t="shared" si="26"/>
        <v>29.214955045346173</v>
      </c>
      <c r="G112" s="110">
        <f t="shared" si="48"/>
        <v>0.55606801728542843</v>
      </c>
      <c r="H112" s="414" t="b">
        <f>Wh_hp&gt;='2022'!Maxi_hp</f>
        <v>0</v>
      </c>
      <c r="I112" s="390">
        <f>IF(H112,Wh_hp,'2022'!Maxi_hp)</f>
        <v>51.207037958344102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6.0146727908365422E-2</v>
      </c>
      <c r="M112" s="843"/>
      <c r="N112" s="843"/>
      <c r="O112" s="48">
        <f>IF(t&lt;Tnet,'2022'!Resal+('2022'!Salim-'2022'!Resal)*(1-EXP(('2022'!Tnet-t)/('2022'!Tau_j))),Resal+(Salim-Resal)*(1-EXP((Tnet-t)/(Tau_j))))*Salcycl</f>
        <v>0.13059125554884141</v>
      </c>
      <c r="P112" s="169">
        <f>(INDEX(Models!$BJ112:$BT112,,T112)*(1-R112)+INDEX(Models!$BJ112:$BT112,,T112+1)*R112-ERP_i)*Q112*Ramure*Pc/MaxiM</f>
        <v>3.294433340758021E-3</v>
      </c>
      <c r="Q112" s="305">
        <f t="shared" si="28"/>
        <v>0.8</v>
      </c>
      <c r="R112" s="177">
        <f t="shared" si="29"/>
        <v>0.64049424242018083</v>
      </c>
      <c r="S112" s="809">
        <f t="shared" si="30"/>
        <v>0</v>
      </c>
      <c r="T112" s="176">
        <f t="shared" si="31"/>
        <v>6</v>
      </c>
      <c r="U112" s="251">
        <f t="shared" si="32"/>
        <v>0.64049424242018083</v>
      </c>
      <c r="V112" s="383">
        <f t="shared" si="33"/>
        <v>42.788617134550329</v>
      </c>
      <c r="W112" s="402">
        <f t="shared" si="34"/>
        <v>23.843126508316804</v>
      </c>
      <c r="X112" s="157">
        <f t="shared" si="35"/>
        <v>45024</v>
      </c>
      <c r="Y112" s="385">
        <f t="shared" si="36"/>
        <v>22.997965505607031</v>
      </c>
      <c r="Z112" s="385">
        <f t="shared" si="37"/>
        <v>24.469740318534271</v>
      </c>
      <c r="AA112" s="386">
        <f t="shared" si="38"/>
        <v>29.052664992605521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0.15774541424126487</v>
      </c>
      <c r="AD112" s="231">
        <f>(INDEX(Models!$BJ112:$BT112,,AH112)*(1-AF112)+INDEX(Models!$BJ112:$BT112,,AH112+1)*AF112-ERP_i)*AE112*Ramure*Pc/MaxiM</f>
        <v>1.5116877708449309E-2</v>
      </c>
      <c r="AE112" s="305">
        <f t="shared" si="40"/>
        <v>0.8</v>
      </c>
      <c r="AF112" s="177">
        <f t="shared" si="41"/>
        <v>0.84121098958508433</v>
      </c>
      <c r="AG112" s="809">
        <f t="shared" si="49"/>
        <v>1</v>
      </c>
      <c r="AH112" s="176">
        <f t="shared" si="42"/>
        <v>7</v>
      </c>
      <c r="AI112" s="225">
        <f t="shared" si="43"/>
        <v>1.8412109895850843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1141">
        <f>IF(t&gt;Tmaj,'2022'!Wh/'2022'!Env_an*'2023'!Env_an,0.001*'[6]mon-tableau'!$B$144)</f>
        <v>32.018628823896037</v>
      </c>
      <c r="C113" s="839"/>
      <c r="D113" s="393">
        <f t="shared" si="25"/>
        <v>34.06849946697151</v>
      </c>
      <c r="E113" s="385">
        <f t="shared" si="47"/>
        <v>39.190640484977251</v>
      </c>
      <c r="F113" s="385">
        <f t="shared" si="26"/>
        <v>39.269258926502197</v>
      </c>
      <c r="G113" s="110">
        <f t="shared" si="48"/>
        <v>0.74248232249498114</v>
      </c>
      <c r="H113" s="414" t="b">
        <f>Wh_hp&gt;='2022'!Maxi_hp</f>
        <v>0</v>
      </c>
      <c r="I113" s="390">
        <f>IF(H113,Wh_hp,'2022'!Maxi_hp)</f>
        <v>43.332487476984227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6.0169090953441168E-2</v>
      </c>
      <c r="M113" s="843"/>
      <c r="N113" s="843"/>
      <c r="O113" s="48">
        <f>IF(t&lt;Tnet,'2022'!Resal+('2022'!Salim-'2022'!Resal)*(1-EXP(('2022'!Tnet-t)/('2022'!Tau_j))),Resal+(Salim-Resal)*(1-EXP((Tnet-t)/(Tau_j))))*Salcycl</f>
        <v>0.13069806858525784</v>
      </c>
      <c r="P113" s="169">
        <f>(INDEX(Models!$BJ113:$BT113,,T113)*(1-R113)+INDEX(Models!$BJ113:$BT113,,T113+1)*R113-ERP_i)*Q113*Ramure*Pc/MaxiM</f>
        <v>3.1610210223823832E-3</v>
      </c>
      <c r="Q113" s="305">
        <f t="shared" si="28"/>
        <v>0.8</v>
      </c>
      <c r="R113" s="177">
        <f t="shared" si="29"/>
        <v>0.64212760920526013</v>
      </c>
      <c r="S113" s="809">
        <f t="shared" si="30"/>
        <v>0</v>
      </c>
      <c r="T113" s="176">
        <f t="shared" si="31"/>
        <v>6</v>
      </c>
      <c r="U113" s="251">
        <f t="shared" si="32"/>
        <v>0.64212760920526013</v>
      </c>
      <c r="V113" s="383">
        <f t="shared" si="33"/>
        <v>43.073679032627595</v>
      </c>
      <c r="W113" s="402">
        <f t="shared" si="34"/>
        <v>32.018628823896037</v>
      </c>
      <c r="X113" s="157">
        <f t="shared" si="35"/>
        <v>45025</v>
      </c>
      <c r="Y113" s="385">
        <f t="shared" si="36"/>
        <v>30.795727375611985</v>
      </c>
      <c r="Z113" s="385">
        <f t="shared" si="37"/>
        <v>32.767306415633513</v>
      </c>
      <c r="AA113" s="386">
        <f t="shared" si="38"/>
        <v>38.907034812843349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0.15780509686086616</v>
      </c>
      <c r="AD113" s="231">
        <f>(INDEX(Models!$BJ113:$BT113,,AH113)*(1-AF113)+INDEX(Models!$BJ113:$BT113,,AH113+1)*AF113-ERP_i)*AE113*Ramure*Pc/MaxiM</f>
        <v>1.4563987989079617E-2</v>
      </c>
      <c r="AE113" s="305">
        <f t="shared" si="40"/>
        <v>0.8</v>
      </c>
      <c r="AF113" s="177">
        <f t="shared" si="41"/>
        <v>0.84284435637016353</v>
      </c>
      <c r="AG113" s="809">
        <f t="shared" si="49"/>
        <v>1</v>
      </c>
      <c r="AH113" s="176">
        <f t="shared" si="42"/>
        <v>7</v>
      </c>
      <c r="AI113" s="225">
        <f t="shared" si="43"/>
        <v>1.8428443563701635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1141">
        <f>IF(t&gt;Tmaj,'2022'!Wh/'2022'!Env_an*'2023'!Env_an,0.001*'[6]mon-tableau'!$B$145)</f>
        <v>42.149570661361771</v>
      </c>
      <c r="C114" s="839"/>
      <c r="D114" s="393">
        <f t="shared" si="25"/>
        <v>44.849103381056992</v>
      </c>
      <c r="E114" s="385">
        <f t="shared" si="47"/>
        <v>51.598516095517937</v>
      </c>
      <c r="F114" s="385">
        <f t="shared" si="26"/>
        <v>51.74917338185719</v>
      </c>
      <c r="G114" s="110">
        <f t="shared" si="48"/>
        <v>0.97211915751684563</v>
      </c>
      <c r="H114" s="414" t="b">
        <f>Wh_hp&gt;='2022'!Maxi_hp</f>
        <v>0</v>
      </c>
      <c r="I114" s="390">
        <f>IF(H114,Wh_hp,'2022'!Maxi_hp)</f>
        <v>53.455243179157556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6.0191453478096207E-2</v>
      </c>
      <c r="M114" s="843"/>
      <c r="N114" s="843"/>
      <c r="O114" s="48">
        <f>IF(t&lt;Tnet,'2022'!Resal+('2022'!Salim-'2022'!Resal)*(1-EXP(('2022'!Tnet-t)/('2022'!Tau_j))),Resal+(Salim-Resal)*(1-EXP((Tnet-t)/(Tau_j))))*Salcycl</f>
        <v>0.13080633369313557</v>
      </c>
      <c r="P114" s="169">
        <f>(INDEX(Models!$BJ114:$BT114,,T114)*(1-R114)+INDEX(Models!$BJ114:$BT114,,T114+1)*R114-ERP_i)*Q114*Ramure*Pc/MaxiM</f>
        <v>3.0315360702516548E-3</v>
      </c>
      <c r="Q114" s="305">
        <f t="shared" si="28"/>
        <v>0.8</v>
      </c>
      <c r="R114" s="177">
        <f t="shared" si="29"/>
        <v>0.64381937653287113</v>
      </c>
      <c r="S114" s="809">
        <f t="shared" si="30"/>
        <v>0</v>
      </c>
      <c r="T114" s="176">
        <f t="shared" si="31"/>
        <v>6</v>
      </c>
      <c r="U114" s="251">
        <f t="shared" si="32"/>
        <v>0.64381937653287113</v>
      </c>
      <c r="V114" s="383">
        <f t="shared" si="33"/>
        <v>43.353211972432263</v>
      </c>
      <c r="W114" s="402">
        <f t="shared" si="34"/>
        <v>42.149570661361771</v>
      </c>
      <c r="X114" s="157">
        <f t="shared" si="35"/>
        <v>45026</v>
      </c>
      <c r="Y114" s="385">
        <f t="shared" si="36"/>
        <v>40.405384704356614</v>
      </c>
      <c r="Z114" s="385">
        <f t="shared" si="37"/>
        <v>42.993208408128581</v>
      </c>
      <c r="AA114" s="386">
        <f t="shared" si="38"/>
        <v>51.052731424618543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0.15786663693773534</v>
      </c>
      <c r="AD114" s="231">
        <f>(INDEX(Models!$BJ114:$BT114,,AH114)*(1-AF114)+INDEX(Models!$BJ114:$BT114,,AH114+1)*AF114-ERP_i)*AE114*Ramure*Pc/MaxiM</f>
        <v>1.401385200481672E-2</v>
      </c>
      <c r="AE114" s="305">
        <f t="shared" si="40"/>
        <v>0.8</v>
      </c>
      <c r="AF114" s="177">
        <f t="shared" si="41"/>
        <v>0.84453612369777464</v>
      </c>
      <c r="AG114" s="809">
        <f t="shared" si="49"/>
        <v>1</v>
      </c>
      <c r="AH114" s="176">
        <f t="shared" si="42"/>
        <v>7</v>
      </c>
      <c r="AI114" s="225">
        <f t="shared" si="43"/>
        <v>1.8445361236977746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1141">
        <f>IF(t&gt;Tmaj,'2022'!Wh/'2022'!Env_an*'2023'!Env_an,0.001*'[6]mon-tableau'!$B$146)</f>
        <v>35.58189274233073</v>
      </c>
      <c r="C115" s="839"/>
      <c r="D115" s="393">
        <f t="shared" si="25"/>
        <v>37.861689529510414</v>
      </c>
      <c r="E115" s="385">
        <f t="shared" si="47"/>
        <v>43.565056256249072</v>
      </c>
      <c r="F115" s="385">
        <f t="shared" si="26"/>
        <v>43.658428787726891</v>
      </c>
      <c r="G115" s="110">
        <f t="shared" si="48"/>
        <v>0.81496065710717802</v>
      </c>
      <c r="H115" s="414" t="b">
        <f>Wh_hp&gt;='2022'!Maxi_hp</f>
        <v>0</v>
      </c>
      <c r="I115" s="390">
        <f>IF(H115,Wh_hp,'2022'!Maxi_hp)</f>
        <v>54.340445908416534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6.0213815482342642E-2</v>
      </c>
      <c r="M115" s="843"/>
      <c r="N115" s="843"/>
      <c r="O115" s="48">
        <f>IF(t&lt;Tnet,'2022'!Resal+('2022'!Salim-'2022'!Resal)*(1-EXP(('2022'!Tnet-t)/('2022'!Tau_j))),Resal+(Salim-Resal)*(1-EXP((Tnet-t)/(Tau_j))))*Salcycl</f>
        <v>0.13091608772846597</v>
      </c>
      <c r="P115" s="169">
        <f>(INDEX(Models!$BJ115:$BT115,,T115)*(1-R115)+INDEX(Models!$BJ115:$BT115,,T115+1)*R115-ERP_i)*Q115*Ramure*Pc/MaxiM</f>
        <v>2.9036752691107654E-3</v>
      </c>
      <c r="Q115" s="305">
        <f t="shared" si="28"/>
        <v>0.8</v>
      </c>
      <c r="R115" s="177">
        <f t="shared" si="29"/>
        <v>0.6455712270919477</v>
      </c>
      <c r="S115" s="809">
        <f t="shared" si="30"/>
        <v>0</v>
      </c>
      <c r="T115" s="176">
        <f t="shared" si="31"/>
        <v>6</v>
      </c>
      <c r="U115" s="251">
        <f t="shared" si="32"/>
        <v>0.6455712270919477</v>
      </c>
      <c r="V115" s="383">
        <f t="shared" si="33"/>
        <v>43.62740094207291</v>
      </c>
      <c r="W115" s="402">
        <f t="shared" si="34"/>
        <v>35.58189274233073</v>
      </c>
      <c r="X115" s="157">
        <f t="shared" si="35"/>
        <v>45027</v>
      </c>
      <c r="Y115" s="385">
        <f t="shared" si="36"/>
        <v>34.20690311954553</v>
      </c>
      <c r="Z115" s="385">
        <f t="shared" si="37"/>
        <v>36.398601812924205</v>
      </c>
      <c r="AA115" s="386">
        <f t="shared" si="38"/>
        <v>43.225153621268255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0.15793007627357872</v>
      </c>
      <c r="AD115" s="231">
        <f>(INDEX(Models!$BJ115:$BT115,,AH115)*(1-AF115)+INDEX(Models!$BJ115:$BT115,,AH115+1)*AF115-ERP_i)*AE115*Ramure*Pc/MaxiM</f>
        <v>1.3473881083160789E-2</v>
      </c>
      <c r="AE115" s="305">
        <f t="shared" si="40"/>
        <v>0.8</v>
      </c>
      <c r="AF115" s="177">
        <f t="shared" si="41"/>
        <v>0.84628797425685121</v>
      </c>
      <c r="AG115" s="809">
        <f t="shared" si="49"/>
        <v>1</v>
      </c>
      <c r="AH115" s="176">
        <f t="shared" si="42"/>
        <v>7</v>
      </c>
      <c r="AI115" s="225">
        <f t="shared" si="43"/>
        <v>1.8462879742568512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1141">
        <f>IF(t&gt;Tmaj,'2022'!Wh/'2022'!Env_an*'2023'!Env_an,0.001*'[6]mon-tableau'!$B$147)</f>
        <v>29.684952396754603</v>
      </c>
      <c r="C116" s="839"/>
      <c r="D116" s="393">
        <f t="shared" si="25"/>
        <v>31.58767306122051</v>
      </c>
      <c r="E116" s="385">
        <f t="shared" si="47"/>
        <v>36.350595886414951</v>
      </c>
      <c r="F116" s="385">
        <f t="shared" si="26"/>
        <v>36.40494101819354</v>
      </c>
      <c r="G116" s="110">
        <f t="shared" si="48"/>
        <v>0.6753812752935292</v>
      </c>
      <c r="H116" s="414" t="b">
        <f>Wh_hp&gt;='2022'!Maxi_hp</f>
        <v>0</v>
      </c>
      <c r="I116" s="390">
        <f>IF(H116,Wh_hp,'2022'!Maxi_hp)</f>
        <v>55.077370568801221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6.0236176966192462E-2</v>
      </c>
      <c r="M116" s="843"/>
      <c r="N116" s="843"/>
      <c r="O116" s="48">
        <f>IF(t&lt;Tnet,'2022'!Resal+('2022'!Salim-'2022'!Resal)*(1-EXP(('2022'!Tnet-t)/('2022'!Tau_j))),Resal+(Salim-Resal)*(1-EXP((Tnet-t)/(Tau_j))))*Salcycl</f>
        <v>0.13102736582578145</v>
      </c>
      <c r="P116" s="169">
        <f>(INDEX(Models!$BJ116:$BT116,,T116)*(1-R116)+INDEX(Models!$BJ116:$BT116,,T116+1)*R116-ERP_i)*Q116*Ramure*Pc/MaxiM</f>
        <v>2.7772849927777806E-3</v>
      </c>
      <c r="Q116" s="305">
        <f t="shared" si="28"/>
        <v>0.8</v>
      </c>
      <c r="R116" s="177">
        <f t="shared" si="29"/>
        <v>0.64738486013430163</v>
      </c>
      <c r="S116" s="809">
        <f t="shared" si="30"/>
        <v>0</v>
      </c>
      <c r="T116" s="176">
        <f t="shared" si="31"/>
        <v>6</v>
      </c>
      <c r="U116" s="251">
        <f t="shared" si="32"/>
        <v>0.64738486013430163</v>
      </c>
      <c r="V116" s="383">
        <f t="shared" si="33"/>
        <v>43.896338951257128</v>
      </c>
      <c r="W116" s="402">
        <f t="shared" si="34"/>
        <v>29.684952396754603</v>
      </c>
      <c r="X116" s="157">
        <f t="shared" si="35"/>
        <v>45028</v>
      </c>
      <c r="Y116" s="385">
        <f t="shared" si="36"/>
        <v>28.606286572360528</v>
      </c>
      <c r="Z116" s="385">
        <f t="shared" si="37"/>
        <v>30.439867838295612</v>
      </c>
      <c r="AA116" s="386">
        <f t="shared" si="38"/>
        <v>36.151666878969564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0.15799545453315372</v>
      </c>
      <c r="AD116" s="231">
        <f>(INDEX(Models!$BJ116:$BT116,,AH116)*(1-AF116)+INDEX(Models!$BJ116:$BT116,,AH116+1)*AF116-ERP_i)*AE116*Ramure*Pc/MaxiM</f>
        <v>1.2943467848992588E-2</v>
      </c>
      <c r="AE116" s="305">
        <f t="shared" si="40"/>
        <v>0.8</v>
      </c>
      <c r="AF116" s="177">
        <f t="shared" si="41"/>
        <v>0.84810160729920514</v>
      </c>
      <c r="AG116" s="809">
        <f t="shared" si="49"/>
        <v>1</v>
      </c>
      <c r="AH116" s="176">
        <f t="shared" si="42"/>
        <v>7</v>
      </c>
      <c r="AI116" s="225">
        <f t="shared" si="43"/>
        <v>1.8481016072992051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1141">
        <f>IF(t&gt;Tmaj,'2022'!Wh/'2022'!Env_an*'2023'!Env_an,0.001*'[6]mon-tableau'!$B$148)</f>
        <v>6.4132750288330342</v>
      </c>
      <c r="C117" s="839"/>
      <c r="D117" s="393">
        <f t="shared" si="25"/>
        <v>6.8245100250274842</v>
      </c>
      <c r="E117" s="385">
        <f t="shared" si="47"/>
        <v>7.8545583940329058</v>
      </c>
      <c r="F117" s="385">
        <f t="shared" si="26"/>
        <v>7.8545583940329058</v>
      </c>
      <c r="G117" s="110">
        <f t="shared" si="48"/>
        <v>0.14484258118636167</v>
      </c>
      <c r="H117" s="414" t="b">
        <f>Wh_hp&gt;='2022'!Maxi_hp</f>
        <v>0</v>
      </c>
      <c r="I117" s="390">
        <f>IF(H117,Wh_hp,'2022'!Maxi_hp)</f>
        <v>54.846872874129055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6.025853792965799E-2</v>
      </c>
      <c r="M117" s="843"/>
      <c r="N117" s="843"/>
      <c r="O117" s="48">
        <f>IF(t&lt;Tnet,'2022'!Resal+('2022'!Salim-'2022'!Resal)*(1-EXP(('2022'!Tnet-t)/('2022'!Tau_j))),Resal+(Salim-Resal)*(1-EXP((Tnet-t)/(Tau_j))))*Salcycl</f>
        <v>0.13114020131137444</v>
      </c>
      <c r="P117" s="169">
        <f>(INDEX(Models!$BJ117:$BT117,,T117)*(1-R117)+INDEX(Models!$BJ117:$BT117,,T117+1)*R117-ERP_i)*Q117*Ramure*Pc/MaxiM</f>
        <v>2.6522141149324468E-3</v>
      </c>
      <c r="Q117" s="305">
        <f t="shared" si="28"/>
        <v>0.8</v>
      </c>
      <c r="R117" s="177">
        <f t="shared" si="29"/>
        <v>0.64926198885380748</v>
      </c>
      <c r="S117" s="809">
        <f t="shared" si="30"/>
        <v>0</v>
      </c>
      <c r="T117" s="176">
        <f t="shared" si="31"/>
        <v>6</v>
      </c>
      <c r="U117" s="251">
        <f t="shared" si="32"/>
        <v>0.64926198885380748</v>
      </c>
      <c r="V117" s="383">
        <f t="shared" si="33"/>
        <v>44.160119198986557</v>
      </c>
      <c r="W117" s="402">
        <f t="shared" si="34"/>
        <v>6.4132750288330342</v>
      </c>
      <c r="X117" s="157">
        <f t="shared" si="35"/>
        <v>45029</v>
      </c>
      <c r="Y117" s="385">
        <f t="shared" si="36"/>
        <v>6.2145524169812845</v>
      </c>
      <c r="Z117" s="385">
        <f t="shared" si="37"/>
        <v>6.6130448296811553</v>
      </c>
      <c r="AA117" s="386">
        <f t="shared" si="38"/>
        <v>7.8545583940329058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0.15806280914467782</v>
      </c>
      <c r="AD117" s="231">
        <f>(INDEX(Models!$BJ117:$BT117,,AH117)*(1-AF117)+INDEX(Models!$BJ117:$BT117,,AH117+1)*AF117-ERP_i)*AE117*Ramure*Pc/MaxiM</f>
        <v>1.242202367669566E-2</v>
      </c>
      <c r="AE117" s="305">
        <f t="shared" si="40"/>
        <v>0.8</v>
      </c>
      <c r="AF117" s="177">
        <f t="shared" si="41"/>
        <v>0.84997873601871099</v>
      </c>
      <c r="AG117" s="809">
        <f t="shared" si="49"/>
        <v>1</v>
      </c>
      <c r="AH117" s="176">
        <f t="shared" si="42"/>
        <v>7</v>
      </c>
      <c r="AI117" s="225">
        <f t="shared" si="43"/>
        <v>1.849978736018711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1141">
        <f>IF(t&gt;Tmaj,'2022'!Wh/'2022'!Env_an*'2023'!Env_an,0.001*'[6]mon-tableau'!$B$149)</f>
        <v>32.87047533094124</v>
      </c>
      <c r="C118" s="839"/>
      <c r="D118" s="393">
        <f t="shared" si="25"/>
        <v>34.979043497170203</v>
      </c>
      <c r="E118" s="385">
        <f t="shared" si="47"/>
        <v>40.26386157385064</v>
      </c>
      <c r="F118" s="385">
        <f t="shared" si="26"/>
        <v>40.32795355947728</v>
      </c>
      <c r="G118" s="110">
        <f t="shared" si="48"/>
        <v>0.73931608741496735</v>
      </c>
      <c r="H118" s="414" t="b">
        <f>Wh_hp&gt;='2022'!Maxi_hp</f>
        <v>0</v>
      </c>
      <c r="I118" s="390">
        <f>IF(H118,Wh_hp,'2022'!Maxi_hp)</f>
        <v>54.86097401033841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6.0280898372751218E-2</v>
      </c>
      <c r="M118" s="843"/>
      <c r="N118" s="843"/>
      <c r="O118" s="48">
        <f>IF(t&lt;Tnet,'2022'!Resal+('2022'!Salim-'2022'!Resal)*(1-EXP(('2022'!Tnet-t)/('2022'!Tau_j))),Resal+(Salim-Resal)*(1-EXP((Tnet-t)/(Tau_j))))*Salcycl</f>
        <v>0.13125462561476373</v>
      </c>
      <c r="P118" s="169">
        <f>(INDEX(Models!$BJ118:$BT118,,T118)*(1-R118)+INDEX(Models!$BJ118:$BT118,,T118+1)*R118-ERP_i)*Q118*Ramure*Pc/MaxiM</f>
        <v>2.5283137421739468E-3</v>
      </c>
      <c r="Q118" s="305">
        <f t="shared" si="28"/>
        <v>0.8</v>
      </c>
      <c r="R118" s="177">
        <f t="shared" si="29"/>
        <v>0.65120433750928386</v>
      </c>
      <c r="S118" s="809">
        <f t="shared" si="30"/>
        <v>0</v>
      </c>
      <c r="T118" s="176">
        <f t="shared" si="31"/>
        <v>6</v>
      </c>
      <c r="U118" s="251">
        <f t="shared" si="32"/>
        <v>0.65120433750928386</v>
      </c>
      <c r="V118" s="383">
        <f t="shared" si="33"/>
        <v>44.418835089310377</v>
      </c>
      <c r="W118" s="402">
        <f t="shared" si="34"/>
        <v>32.87047533094124</v>
      </c>
      <c r="X118" s="157">
        <f t="shared" si="35"/>
        <v>45030</v>
      </c>
      <c r="Y118" s="385">
        <f t="shared" si="36"/>
        <v>31.665391242712047</v>
      </c>
      <c r="Z118" s="385">
        <f t="shared" si="37"/>
        <v>33.696655934607698</v>
      </c>
      <c r="AA118" s="386">
        <f t="shared" si="38"/>
        <v>40.026064593390224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0.15813217519835179</v>
      </c>
      <c r="AD118" s="231">
        <f>(INDEX(Models!$BJ118:$BT118,,AH118)*(1-AF118)+INDEX(Models!$BJ118:$BT118,,AH118+1)*AF118-ERP_i)*AE118*Ramure*Pc/MaxiM</f>
        <v>1.1908977606263204E-2</v>
      </c>
      <c r="AE118" s="305">
        <f t="shared" si="40"/>
        <v>0.8</v>
      </c>
      <c r="AF118" s="177">
        <f t="shared" si="41"/>
        <v>0.85192108467418737</v>
      </c>
      <c r="AG118" s="809">
        <f t="shared" si="49"/>
        <v>1</v>
      </c>
      <c r="AH118" s="176">
        <f t="shared" si="42"/>
        <v>7</v>
      </c>
      <c r="AI118" s="225">
        <f t="shared" si="43"/>
        <v>1.8519210846741874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1141">
        <f>IF(t&gt;Tmaj,'2022'!Wh/'2022'!Env_an*'2023'!Env_an,0.001*'[6]mon-tableau'!$B$150)</f>
        <v>38.478417977609475</v>
      </c>
      <c r="C119" s="839"/>
      <c r="D119" s="393">
        <f t="shared" si="25"/>
        <v>40.947697560186782</v>
      </c>
      <c r="E119" s="385">
        <f t="shared" si="47"/>
        <v>47.140588119777959</v>
      </c>
      <c r="F119" s="385">
        <f t="shared" si="26"/>
        <v>47.231696402682566</v>
      </c>
      <c r="G119" s="110">
        <f t="shared" si="48"/>
        <v>0.86093188386998032</v>
      </c>
      <c r="H119" s="414" t="b">
        <f>Wh_hp&gt;='2022'!Maxi_hp</f>
        <v>0</v>
      </c>
      <c r="I119" s="390">
        <f>IF(H119,Wh_hp,'2022'!Maxi_hp)</f>
        <v>55.982036059106356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6.0303258295484136E-2</v>
      </c>
      <c r="M119" s="843"/>
      <c r="N119" s="843"/>
      <c r="O119" s="48">
        <f>IF(t&lt;Tnet,'2022'!Resal+('2022'!Salim-'2022'!Resal)*(1-EXP(('2022'!Tnet-t)/('2022'!Tau_j))),Resal+(Salim-Resal)*(1-EXP((Tnet-t)/(Tau_j))))*Salcycl</f>
        <v>0.1313706681778315</v>
      </c>
      <c r="P119" s="169">
        <f>(INDEX(Models!$BJ119:$BT119,,T119)*(1-R119)+INDEX(Models!$BJ119:$BT119,,T119+1)*R119-ERP_i)*Q119*Ramure*Pc/MaxiM</f>
        <v>2.4054369721492291E-3</v>
      </c>
      <c r="Q119" s="305">
        <f t="shared" si="28"/>
        <v>0.8</v>
      </c>
      <c r="R119" s="177">
        <f t="shared" si="29"/>
        <v>0.65321363828072165</v>
      </c>
      <c r="S119" s="809">
        <f t="shared" si="30"/>
        <v>0</v>
      </c>
      <c r="T119" s="176">
        <f t="shared" si="31"/>
        <v>6</v>
      </c>
      <c r="U119" s="251">
        <f t="shared" si="32"/>
        <v>0.65321363828072165</v>
      </c>
      <c r="V119" s="383">
        <f t="shared" si="33"/>
        <v>44.672580225594864</v>
      </c>
      <c r="W119" s="402">
        <f t="shared" si="34"/>
        <v>38.478417977609475</v>
      </c>
      <c r="X119" s="157">
        <f t="shared" si="35"/>
        <v>45031</v>
      </c>
      <c r="Y119" s="385">
        <f t="shared" si="36"/>
        <v>37.020176561844096</v>
      </c>
      <c r="Z119" s="385">
        <f t="shared" si="37"/>
        <v>39.395876263967033</v>
      </c>
      <c r="AA119" s="386">
        <f t="shared" si="38"/>
        <v>46.799767233490613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0.1582035853423058</v>
      </c>
      <c r="AD119" s="231">
        <f>(INDEX(Models!$BJ119:$BT119,,AH119)*(1-AF119)+INDEX(Models!$BJ119:$BT119,,AH119+1)*AF119-ERP_i)*AE119*Ramure*Pc/MaxiM</f>
        <v>1.1403775373660047E-2</v>
      </c>
      <c r="AE119" s="305">
        <f t="shared" si="40"/>
        <v>0.8</v>
      </c>
      <c r="AF119" s="177">
        <f t="shared" si="41"/>
        <v>0.85393038544562505</v>
      </c>
      <c r="AG119" s="809">
        <f t="shared" si="49"/>
        <v>1</v>
      </c>
      <c r="AH119" s="176">
        <f t="shared" si="42"/>
        <v>7</v>
      </c>
      <c r="AI119" s="225">
        <f t="shared" si="43"/>
        <v>1.8539303854456251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1141">
        <f>IF(t&gt;Tmaj,'2022'!Wh/'2022'!Env_an*'2023'!Env_an,0.001*'[6]mon-tableau'!$B$151)</f>
        <v>40.13915654059312</v>
      </c>
      <c r="C120" s="839"/>
      <c r="D120" s="393">
        <f t="shared" si="25"/>
        <v>42.716027271335456</v>
      </c>
      <c r="E120" s="385">
        <f t="shared" si="47"/>
        <v>49.183021994229499</v>
      </c>
      <c r="F120" s="385">
        <f t="shared" si="26"/>
        <v>49.278433101458859</v>
      </c>
      <c r="G120" s="110">
        <f t="shared" si="48"/>
        <v>0.89323010653427937</v>
      </c>
      <c r="H120" s="414" t="b">
        <f>Wh_hp&gt;='2022'!Maxi_hp</f>
        <v>0</v>
      </c>
      <c r="I120" s="390">
        <f>IF(H120,Wh_hp,'2022'!Maxi_hp)</f>
        <v>49.294140738939028</v>
      </c>
      <c r="J120" s="85">
        <f>IF(H120,An,'2022'!An_max)</f>
        <v>2022</v>
      </c>
      <c r="K120" s="197">
        <f t="shared" si="27"/>
        <v>45032</v>
      </c>
      <c r="L120" s="147">
        <f>IF(t&lt;Tvie,1-EXP((T0-t)*PertePVj)+'2022'!Pspv,1-EXP((T0-t)*PertePVj)+Pspv)</f>
        <v>6.0325617697869177E-2</v>
      </c>
      <c r="M120" s="843"/>
      <c r="N120" s="843"/>
      <c r="O120" s="48">
        <f>IF(t&lt;Tnet,'2022'!Resal+('2022'!Salim-'2022'!Resal)*(1-EXP(('2022'!Tnet-t)/('2022'!Tau_j))),Resal+(Salim-Resal)*(1-EXP((Tnet-t)/(Tau_j))))*Salcycl</f>
        <v>0.13148835636111986</v>
      </c>
      <c r="P120" s="169">
        <f>(INDEX(Models!$BJ120:$BT120,,T120)*(1-R120)+INDEX(Models!$BJ120:$BT120,,T120+1)*R120-ERP_i)*Q120*Ramure*Pc/MaxiM</f>
        <v>2.2834386724384726E-3</v>
      </c>
      <c r="Q120" s="305">
        <f t="shared" si="28"/>
        <v>0.8</v>
      </c>
      <c r="R120" s="177">
        <f t="shared" si="29"/>
        <v>0.65529162784909245</v>
      </c>
      <c r="S120" s="809">
        <f t="shared" si="30"/>
        <v>0</v>
      </c>
      <c r="T120" s="176">
        <f t="shared" si="31"/>
        <v>6</v>
      </c>
      <c r="U120" s="251">
        <f t="shared" si="32"/>
        <v>0.65529162784909245</v>
      </c>
      <c r="V120" s="383">
        <f t="shared" si="33"/>
        <v>44.921448433508345</v>
      </c>
      <c r="W120" s="402">
        <f t="shared" si="34"/>
        <v>40.13915654059312</v>
      </c>
      <c r="X120" s="157">
        <f t="shared" si="35"/>
        <v>45032</v>
      </c>
      <c r="Y120" s="385">
        <f t="shared" si="36"/>
        <v>38.616127099042323</v>
      </c>
      <c r="Z120" s="385">
        <f t="shared" si="37"/>
        <v>41.095221734613801</v>
      </c>
      <c r="AA120" s="386">
        <f t="shared" si="38"/>
        <v>48.82274232301593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0.15827706967535979</v>
      </c>
      <c r="AD120" s="231">
        <f>(INDEX(Models!$BJ120:$BT120,,AH120)*(1-AF120)+INDEX(Models!$BJ120:$BT120,,AH120+1)*AF120-ERP_i)*AE120*Ramure*Pc/MaxiM</f>
        <v>1.0905878533291074E-2</v>
      </c>
      <c r="AE120" s="305">
        <f t="shared" si="40"/>
        <v>0.8</v>
      </c>
      <c r="AF120" s="177">
        <f t="shared" si="41"/>
        <v>0.85600837501399596</v>
      </c>
      <c r="AG120" s="809">
        <f t="shared" si="49"/>
        <v>1</v>
      </c>
      <c r="AH120" s="176">
        <f t="shared" si="42"/>
        <v>7</v>
      </c>
      <c r="AI120" s="225">
        <f t="shared" si="43"/>
        <v>1.856008375013996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1141">
        <f>IF(t&gt;Tmaj,'2022'!Wh/'2022'!Env_an*'2023'!Env_an,0.001*'[6]mon-tableau'!$B$152)</f>
        <v>43.708566953333815</v>
      </c>
      <c r="C121" s="839"/>
      <c r="D121" s="393">
        <f t="shared" si="25"/>
        <v>46.515695027448913</v>
      </c>
      <c r="E121" s="385">
        <f t="shared" si="47"/>
        <v>53.565302052434106</v>
      </c>
      <c r="F121" s="385">
        <f t="shared" si="26"/>
        <v>53.67601206008252</v>
      </c>
      <c r="G121" s="110">
        <f t="shared" si="48"/>
        <v>0.96764986676536691</v>
      </c>
      <c r="H121" s="414" t="b">
        <f>Wh_hp&gt;='2022'!Maxi_hp</f>
        <v>0</v>
      </c>
      <c r="I121" s="390">
        <f>IF(H121,Wh_hp,'2022'!Maxi_hp)</f>
        <v>53.680903826965675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6.0347976579918111E-2</v>
      </c>
      <c r="M121" s="843"/>
      <c r="N121" s="843"/>
      <c r="O121" s="48">
        <f>IF(t&lt;Tnet,'2022'!Resal+('2022'!Salim-'2022'!Resal)*(1-EXP(('2022'!Tnet-t)/('2022'!Tau_j))),Resal+(Salim-Resal)*(1-EXP((Tnet-t)/(Tau_j))))*Salcycl</f>
        <v>0.13160771534685758</v>
      </c>
      <c r="P121" s="169">
        <f>(INDEX(Models!$BJ121:$BT121,,T121)*(1-R121)+INDEX(Models!$BJ121:$BT121,,T121+1)*R121-ERP_i)*Q121*Ramure*Pc/MaxiM</f>
        <v>2.1621861072932385E-3</v>
      </c>
      <c r="Q121" s="305">
        <f t="shared" si="28"/>
        <v>0.8</v>
      </c>
      <c r="R121" s="177">
        <f t="shared" si="29"/>
        <v>0.65744004369070463</v>
      </c>
      <c r="S121" s="809">
        <f t="shared" si="30"/>
        <v>0</v>
      </c>
      <c r="T121" s="176">
        <f t="shared" si="31"/>
        <v>6</v>
      </c>
      <c r="U121" s="251">
        <f t="shared" si="32"/>
        <v>0.65744004369070463</v>
      </c>
      <c r="V121" s="383">
        <f t="shared" si="33"/>
        <v>45.165307152886946</v>
      </c>
      <c r="W121" s="402">
        <f t="shared" si="34"/>
        <v>43.708566953333815</v>
      </c>
      <c r="X121" s="157">
        <f t="shared" si="35"/>
        <v>45033</v>
      </c>
      <c r="Y121" s="385">
        <f t="shared" si="36"/>
        <v>42.028238458566044</v>
      </c>
      <c r="Z121" s="385">
        <f t="shared" si="37"/>
        <v>44.727449535621176</v>
      </c>
      <c r="AA121" s="386">
        <f t="shared" si="38"/>
        <v>53.14274420888794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0.15835265563608847</v>
      </c>
      <c r="AD121" s="231">
        <f>(INDEX(Models!$BJ121:$BT121,,AH121)*(1-AF121)+INDEX(Models!$BJ121:$BT121,,AH121+1)*AF121-ERP_i)*AE121*Ramure*Pc/MaxiM</f>
        <v>1.0414815822078014E-2</v>
      </c>
      <c r="AE121" s="305">
        <f t="shared" si="40"/>
        <v>0.8</v>
      </c>
      <c r="AF121" s="177">
        <f t="shared" si="41"/>
        <v>0.85815679085560803</v>
      </c>
      <c r="AG121" s="809">
        <f t="shared" si="49"/>
        <v>1</v>
      </c>
      <c r="AH121" s="176">
        <f t="shared" si="42"/>
        <v>7</v>
      </c>
      <c r="AI121" s="225">
        <f t="shared" si="43"/>
        <v>1.858156790855608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1141">
        <f>IF(t&gt;Tmaj,'2022'!Wh/'2022'!Env_an*'2023'!Env_an,0.001*'[6]mon-tableau'!$B$153)</f>
        <v>34.183295826626058</v>
      </c>
      <c r="C122" s="839"/>
      <c r="D122" s="393">
        <f t="shared" si="25"/>
        <v>36.379540895511283</v>
      </c>
      <c r="E122" s="385">
        <f t="shared" si="47"/>
        <v>41.898820963262402</v>
      </c>
      <c r="F122" s="385">
        <f t="shared" si="26"/>
        <v>41.954409469247082</v>
      </c>
      <c r="G122" s="110">
        <f t="shared" si="48"/>
        <v>0.75233009678674656</v>
      </c>
      <c r="H122" s="414" t="b">
        <f>Wh_hp&gt;='2022'!Maxi_hp</f>
        <v>0</v>
      </c>
      <c r="I122" s="390">
        <f>IF(H122,Wh_hp,'2022'!Maxi_hp)</f>
        <v>41.982059519389949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6.0370334941643261E-2</v>
      </c>
      <c r="M122" s="843"/>
      <c r="N122" s="843"/>
      <c r="O122" s="48">
        <f>IF(t&lt;Tnet,'2022'!Resal+('2022'!Salim-'2022'!Resal)*(1-EXP(('2022'!Tnet-t)/('2022'!Tau_j))),Resal+(Salim-Resal)*(1-EXP((Tnet-t)/(Tau_j))))*Salcycl</f>
        <v>0.13172876803837791</v>
      </c>
      <c r="P122" s="169">
        <f>(INDEX(Models!$BJ122:$BT122,,T122)*(1-R122)+INDEX(Models!$BJ122:$BT122,,T122+1)*R122-ERP_i)*Q122*Ramure*Pc/MaxiM</f>
        <v>2.0479857586775578E-3</v>
      </c>
      <c r="Q122" s="305">
        <f t="shared" si="28"/>
        <v>0.8</v>
      </c>
      <c r="R122" s="177">
        <f t="shared" si="29"/>
        <v>0.6596606200779721</v>
      </c>
      <c r="S122" s="809">
        <f t="shared" si="30"/>
        <v>0</v>
      </c>
      <c r="T122" s="176">
        <f t="shared" si="31"/>
        <v>6</v>
      </c>
      <c r="U122" s="251">
        <f t="shared" si="32"/>
        <v>0.6596606200779721</v>
      </c>
      <c r="V122" s="383">
        <f t="shared" si="33"/>
        <v>45.403670890045085</v>
      </c>
      <c r="W122" s="402">
        <f t="shared" si="34"/>
        <v>34.183295826626058</v>
      </c>
      <c r="X122" s="157">
        <f t="shared" si="35"/>
        <v>45034</v>
      </c>
      <c r="Y122" s="385">
        <f t="shared" si="36"/>
        <v>32.962579526538356</v>
      </c>
      <c r="Z122" s="385">
        <f t="shared" si="37"/>
        <v>35.080394704749104</v>
      </c>
      <c r="AA122" s="386">
        <f t="shared" si="38"/>
        <v>41.684482621720605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0.1584303678877928</v>
      </c>
      <c r="AD122" s="231">
        <f>(INDEX(Models!$BJ122:$BT122,,AH122)*(1-AF122)+INDEX(Models!$BJ122:$BT122,,AH122+1)*AF122-ERP_i)*AE122*Ramure*Pc/MaxiM</f>
        <v>9.9446158846457841E-3</v>
      </c>
      <c r="AE122" s="305">
        <f t="shared" si="40"/>
        <v>0.8</v>
      </c>
      <c r="AF122" s="177">
        <f t="shared" si="41"/>
        <v>0.86037736724287561</v>
      </c>
      <c r="AG122" s="809">
        <f t="shared" si="49"/>
        <v>1</v>
      </c>
      <c r="AH122" s="176">
        <f t="shared" si="42"/>
        <v>7</v>
      </c>
      <c r="AI122" s="225">
        <f t="shared" si="43"/>
        <v>1.8603773672428756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1141">
        <f>IF(t&gt;Tmaj,'2022'!Wh/'2022'!Env_an*'2023'!Env_an,0.001*'[6]mon-tableau'!$B$154)</f>
        <v>7.8540295452981423</v>
      </c>
      <c r="C123" s="839"/>
      <c r="D123" s="393">
        <f t="shared" si="25"/>
        <v>8.3588425557920303</v>
      </c>
      <c r="E123" s="385">
        <f t="shared" si="47"/>
        <v>9.628356084653598</v>
      </c>
      <c r="F123" s="385">
        <f t="shared" si="26"/>
        <v>9.628356084653598</v>
      </c>
      <c r="G123" s="110">
        <f t="shared" si="48"/>
        <v>0.17176559324706814</v>
      </c>
      <c r="H123" s="414" t="b">
        <f>Wh_hp&gt;='2022'!Maxi_hp</f>
        <v>0</v>
      </c>
      <c r="I123" s="390">
        <f>IF(H123,Wh_hp,'2022'!Maxi_hp)</f>
        <v>56.249835170849416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6.0392692783056728E-2</v>
      </c>
      <c r="M123" s="843"/>
      <c r="N123" s="843"/>
      <c r="O123" s="48">
        <f>IF(t&lt;Tnet,'2022'!Resal+('2022'!Salim-'2022'!Resal)*(1-EXP(('2022'!Tnet-t)/('2022'!Tau_j))),Resal+(Salim-Resal)*(1-EXP((Tnet-t)/(Tau_j))))*Salcycl</f>
        <v>0.13185153495569343</v>
      </c>
      <c r="P123" s="169">
        <f>(INDEX(Models!$BJ123:$BT123,,T123)*(1-R123)+INDEX(Models!$BJ123:$BT123,,T123+1)*R123-ERP_i)*Q123*Ramure*Pc/MaxiM</f>
        <v>1.9417612081006174E-3</v>
      </c>
      <c r="Q123" s="305">
        <f t="shared" si="28"/>
        <v>0.8</v>
      </c>
      <c r="R123" s="177">
        <f t="shared" si="29"/>
        <v>0.66195508377953638</v>
      </c>
      <c r="S123" s="809">
        <f t="shared" si="30"/>
        <v>0</v>
      </c>
      <c r="T123" s="176">
        <f t="shared" si="31"/>
        <v>6</v>
      </c>
      <c r="U123" s="251">
        <f t="shared" si="32"/>
        <v>0.66195508377953638</v>
      </c>
      <c r="V123" s="383">
        <f t="shared" si="33"/>
        <v>45.636490680205561</v>
      </c>
      <c r="W123" s="402">
        <f t="shared" si="34"/>
        <v>7.8540295452981423</v>
      </c>
      <c r="X123" s="157">
        <f t="shared" si="35"/>
        <v>45035</v>
      </c>
      <c r="Y123" s="385">
        <f t="shared" si="36"/>
        <v>7.6128517136214802</v>
      </c>
      <c r="Z123" s="385">
        <f t="shared" si="37"/>
        <v>8.1021631644928984</v>
      </c>
      <c r="AA123" s="386">
        <f t="shared" si="38"/>
        <v>9.628356084653598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0.1585102281991066</v>
      </c>
      <c r="AD123" s="231">
        <f>(INDEX(Models!$BJ123:$BT123,,AH123)*(1-AF123)+INDEX(Models!$BJ123:$BT123,,AH123+1)*AF123-ERP_i)*AE123*Ramure*Pc/MaxiM</f>
        <v>9.5013798412861561E-3</v>
      </c>
      <c r="AE123" s="305">
        <f t="shared" si="40"/>
        <v>0.8</v>
      </c>
      <c r="AF123" s="177">
        <f t="shared" si="41"/>
        <v>0.86267183094443989</v>
      </c>
      <c r="AG123" s="809">
        <f t="shared" si="49"/>
        <v>1</v>
      </c>
      <c r="AH123" s="176">
        <f t="shared" si="42"/>
        <v>7</v>
      </c>
      <c r="AI123" s="225">
        <f t="shared" si="43"/>
        <v>1.8626718309444399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1141">
        <f>IF(t&gt;Tmaj,'2022'!Wh/'2022'!Env_an*'2023'!Env_an,0.001*'[6]mon-tableau'!$B$155)</f>
        <v>9.1404948536645758</v>
      </c>
      <c r="C124" s="839"/>
      <c r="D124" s="393">
        <f t="shared" si="25"/>
        <v>9.7282261222659745</v>
      </c>
      <c r="E124" s="385">
        <f t="shared" si="47"/>
        <v>11.207324342114411</v>
      </c>
      <c r="F124" s="385">
        <f t="shared" si="26"/>
        <v>11.207324342114411</v>
      </c>
      <c r="G124" s="110">
        <f t="shared" si="48"/>
        <v>0.19892927062824109</v>
      </c>
      <c r="H124" s="414" t="b">
        <f>Wh_hp&gt;='2022'!Maxi_hp</f>
        <v>0</v>
      </c>
      <c r="I124" s="390">
        <f>IF(H124,Wh_hp,'2022'!Maxi_hp)</f>
        <v>47.97247568092412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6.0415050104170503E-2</v>
      </c>
      <c r="M124" s="843"/>
      <c r="N124" s="843"/>
      <c r="O124" s="48">
        <f>IF(t&lt;Tnet,'2022'!Resal+('2022'!Salim-'2022'!Resal)*(1-EXP(('2022'!Tnet-t)/('2022'!Tau_j))),Resal+(Salim-Resal)*(1-EXP((Tnet-t)/(Tau_j))))*Salcycl</f>
        <v>0.13197603412710601</v>
      </c>
      <c r="P124" s="169">
        <f>(INDEX(Models!$BJ124:$BT124,,T124)*(1-R124)+INDEX(Models!$BJ124:$BT124,,T124+1)*R124-ERP_i)*Q124*Ramure*Pc/MaxiM</f>
        <v>1.8434421604906707E-3</v>
      </c>
      <c r="Q124" s="305">
        <f t="shared" si="28"/>
        <v>0.8</v>
      </c>
      <c r="R124" s="177">
        <f t="shared" si="29"/>
        <v>0.66432514945393939</v>
      </c>
      <c r="S124" s="809">
        <f t="shared" si="30"/>
        <v>0</v>
      </c>
      <c r="T124" s="176">
        <f t="shared" si="31"/>
        <v>6</v>
      </c>
      <c r="U124" s="251">
        <f t="shared" si="32"/>
        <v>0.66432514945393939</v>
      </c>
      <c r="V124" s="383">
        <f t="shared" si="33"/>
        <v>45.863762790011151</v>
      </c>
      <c r="W124" s="402">
        <f t="shared" si="34"/>
        <v>9.1404948536645758</v>
      </c>
      <c r="X124" s="157">
        <f t="shared" si="35"/>
        <v>45036</v>
      </c>
      <c r="Y124" s="385">
        <f t="shared" si="36"/>
        <v>8.8602198354582153</v>
      </c>
      <c r="Z124" s="385">
        <f t="shared" si="37"/>
        <v>9.4299294985946034</v>
      </c>
      <c r="AA124" s="386">
        <f t="shared" si="38"/>
        <v>11.207324342114411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0.15859225532010252</v>
      </c>
      <c r="AD124" s="231">
        <f>(INDEX(Models!$BJ124:$BT124,,AH124)*(1-AF124)+INDEX(Models!$BJ124:$BT124,,AH124+1)*AF124-ERP_i)*AE124*Ramure*Pc/MaxiM</f>
        <v>9.0846701952087671E-3</v>
      </c>
      <c r="AE124" s="305">
        <f t="shared" si="40"/>
        <v>0.8</v>
      </c>
      <c r="AF124" s="177">
        <f t="shared" si="41"/>
        <v>0.8650418966188429</v>
      </c>
      <c r="AG124" s="809">
        <f t="shared" si="49"/>
        <v>1</v>
      </c>
      <c r="AH124" s="176">
        <f t="shared" si="42"/>
        <v>7</v>
      </c>
      <c r="AI124" s="225">
        <f t="shared" si="43"/>
        <v>1.8650418966188429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1141">
        <f>IF(t&gt;Tmaj,'2022'!Wh/'2022'!Env_an*'2023'!Env_an,0.001*'[6]mon-tableau'!$B$156)</f>
        <v>8.6133151866867586</v>
      </c>
      <c r="C125" s="839"/>
      <c r="D125" s="393">
        <f t="shared" si="25"/>
        <v>9.1673670812220465</v>
      </c>
      <c r="E125" s="385">
        <f t="shared" si="47"/>
        <v>10.562727473855164</v>
      </c>
      <c r="F125" s="385">
        <f t="shared" si="26"/>
        <v>10.562727473855164</v>
      </c>
      <c r="G125" s="110">
        <f t="shared" si="48"/>
        <v>0.18657103412836754</v>
      </c>
      <c r="H125" s="414" t="b">
        <f>Wh_hp&gt;='2022'!Maxi_hp</f>
        <v>0</v>
      </c>
      <c r="I125" s="390">
        <f>IF(H125,Wh_hp,'2022'!Maxi_hp)</f>
        <v>54.505282357520926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6.0437406904996688E-2</v>
      </c>
      <c r="M125" s="843"/>
      <c r="N125" s="843"/>
      <c r="O125" s="48">
        <f>IF(t&lt;Tnet,'2022'!Resal+('2022'!Salim-'2022'!Resal)*(1-EXP(('2022'!Tnet-t)/('2022'!Tau_j))),Resal+(Salim-Resal)*(1-EXP((Tnet-t)/(Tau_j))))*Salcycl</f>
        <v>0.13210228097685089</v>
      </c>
      <c r="P125" s="169">
        <f>(INDEX(Models!$BJ125:$BT125,,T125)*(1-R125)+INDEX(Models!$BJ125:$BT125,,T125+1)*R125-ERP_i)*Q125*Ramure*Pc/MaxiM</f>
        <v>1.7529809279207037E-3</v>
      </c>
      <c r="Q125" s="305">
        <f t="shared" si="28"/>
        <v>0.8</v>
      </c>
      <c r="R125" s="177">
        <f t="shared" si="29"/>
        <v>0.66677251473250709</v>
      </c>
      <c r="S125" s="809">
        <f t="shared" si="30"/>
        <v>0</v>
      </c>
      <c r="T125" s="176">
        <f t="shared" si="31"/>
        <v>6</v>
      </c>
      <c r="U125" s="251">
        <f t="shared" si="32"/>
        <v>0.66677251473250709</v>
      </c>
      <c r="V125" s="383">
        <f t="shared" si="33"/>
        <v>46.085482934732767</v>
      </c>
      <c r="W125" s="402">
        <f t="shared" si="34"/>
        <v>8.6133151866867586</v>
      </c>
      <c r="X125" s="157">
        <f t="shared" si="35"/>
        <v>45037</v>
      </c>
      <c r="Y125" s="385">
        <f t="shared" si="36"/>
        <v>8.3495838545896035</v>
      </c>
      <c r="Z125" s="385">
        <f t="shared" si="37"/>
        <v>8.8866712190885835</v>
      </c>
      <c r="AA125" s="386">
        <f t="shared" si="38"/>
        <v>10.562727473855164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0.15867646485390746</v>
      </c>
      <c r="AD125" s="231">
        <f>(INDEX(Models!$BJ125:$BT125,,AH125)*(1-AF125)+INDEX(Models!$BJ125:$BT125,,AH125+1)*AF125-ERP_i)*AE125*Ramure*Pc/MaxiM</f>
        <v>8.6941237397518238E-3</v>
      </c>
      <c r="AE125" s="305">
        <f t="shared" si="40"/>
        <v>0.8</v>
      </c>
      <c r="AF125" s="177">
        <f t="shared" si="41"/>
        <v>0.8674892618974106</v>
      </c>
      <c r="AG125" s="809">
        <f t="shared" si="49"/>
        <v>1</v>
      </c>
      <c r="AH125" s="176">
        <f t="shared" si="42"/>
        <v>7</v>
      </c>
      <c r="AI125" s="225">
        <f t="shared" si="43"/>
        <v>1.8674892618974106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1141">
        <f>IF(t&gt;Tmaj,'2022'!Wh/'2022'!Env_an*'2023'!Env_an,0.001*'[6]mon-tableau'!$B$157)</f>
        <v>24.708708624133514</v>
      </c>
      <c r="C126" s="839"/>
      <c r="D126" s="393">
        <f t="shared" si="25"/>
        <v>26.298723200944906</v>
      </c>
      <c r="E126" s="385">
        <f t="shared" si="47"/>
        <v>30.306108687135076</v>
      </c>
      <c r="F126" s="385">
        <f t="shared" si="26"/>
        <v>30.323014657451754</v>
      </c>
      <c r="G126" s="110">
        <f t="shared" si="48"/>
        <v>0.53305225315133442</v>
      </c>
      <c r="H126" s="414" t="b">
        <f>Wh_hp&gt;='2022'!Maxi_hp</f>
        <v>0</v>
      </c>
      <c r="I126" s="390">
        <f>IF(H126,Wh_hp,'2022'!Maxi_hp)</f>
        <v>57.608125541806146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6.0459763185547494E-2</v>
      </c>
      <c r="M126" s="843"/>
      <c r="N126" s="843"/>
      <c r="O126" s="48">
        <f>IF(t&lt;Tnet,'2022'!Resal+('2022'!Salim-'2022'!Resal)*(1-EXP(('2022'!Tnet-t)/('2022'!Tau_j))),Resal+(Salim-Resal)*(1-EXP((Tnet-t)/(Tau_j))))*Salcycl</f>
        <v>0.13223028820890176</v>
      </c>
      <c r="P126" s="169">
        <f>(INDEX(Models!$BJ126:$BT126,,T126)*(1-R126)+INDEX(Models!$BJ126:$BT126,,T126+1)*R126-ERP_i)*Q126*Ramure*Pc/MaxiM</f>
        <v>1.670346635402122E-3</v>
      </c>
      <c r="Q126" s="305">
        <f t="shared" si="28"/>
        <v>0.8</v>
      </c>
      <c r="R126" s="177">
        <f t="shared" si="29"/>
        <v>0.66929885498876607</v>
      </c>
      <c r="S126" s="809">
        <f t="shared" si="30"/>
        <v>0</v>
      </c>
      <c r="T126" s="176">
        <f t="shared" si="31"/>
        <v>6</v>
      </c>
      <c r="U126" s="251">
        <f t="shared" si="32"/>
        <v>0.66929885498876607</v>
      </c>
      <c r="V126" s="383">
        <f t="shared" si="33"/>
        <v>46.301646529693542</v>
      </c>
      <c r="W126" s="402">
        <f t="shared" si="34"/>
        <v>24.708708624133514</v>
      </c>
      <c r="X126" s="157">
        <f t="shared" si="35"/>
        <v>45038</v>
      </c>
      <c r="Y126" s="385">
        <f t="shared" si="36"/>
        <v>23.899955169233699</v>
      </c>
      <c r="Z126" s="385">
        <f t="shared" si="37"/>
        <v>25.437926160850143</v>
      </c>
      <c r="AA126" s="386">
        <f t="shared" si="38"/>
        <v>30.238710617018029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0.15876286912399157</v>
      </c>
      <c r="AD126" s="231">
        <f>(INDEX(Models!$BJ126:$BT126,,AH126)*(1-AF126)+INDEX(Models!$BJ126:$BT126,,AH126+1)*AF126-ERP_i)*AE126*Ramure*Pc/MaxiM</f>
        <v>8.3294225443162374E-3</v>
      </c>
      <c r="AE126" s="305">
        <f t="shared" si="40"/>
        <v>0.8</v>
      </c>
      <c r="AF126" s="177">
        <f t="shared" si="41"/>
        <v>0.87001560215366958</v>
      </c>
      <c r="AG126" s="809">
        <f t="shared" si="49"/>
        <v>1</v>
      </c>
      <c r="AH126" s="176">
        <f t="shared" si="42"/>
        <v>7</v>
      </c>
      <c r="AI126" s="225">
        <f t="shared" si="43"/>
        <v>1.8700156021536696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1141">
        <f>IF(t&gt;Tmaj,'2022'!Wh/'2022'!Env_an*'2023'!Env_an,0.001*'[6]mon-tableau'!$B$158)</f>
        <v>8.4688001514105782</v>
      </c>
      <c r="C127" s="839"/>
      <c r="D127" s="393">
        <f t="shared" si="25"/>
        <v>9.0139850684995491</v>
      </c>
      <c r="E127" s="385">
        <f t="shared" si="47"/>
        <v>10.389085047864812</v>
      </c>
      <c r="F127" s="385">
        <f t="shared" si="26"/>
        <v>10.389085047864812</v>
      </c>
      <c r="G127" s="110">
        <f t="shared" si="48"/>
        <v>0.18178626505331744</v>
      </c>
      <c r="H127" s="414" t="b">
        <f>Wh_hp&gt;='2022'!Maxi_hp</f>
        <v>0</v>
      </c>
      <c r="I127" s="390">
        <f>IF(H127,Wh_hp,'2022'!Maxi_hp)</f>
        <v>57.772460785382194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6.0482118945835023E-2</v>
      </c>
      <c r="M127" s="843"/>
      <c r="N127" s="843"/>
      <c r="O127" s="48">
        <f>IF(t&lt;Tnet,'2022'!Resal+('2022'!Salim-'2022'!Resal)*(1-EXP(('2022'!Tnet-t)/('2022'!Tau_j))),Resal+(Salim-Resal)*(1-EXP((Tnet-t)/(Tau_j))))*Salcycl</f>
        <v>0.13236006568719708</v>
      </c>
      <c r="P127" s="169">
        <f>(INDEX(Models!$BJ127:$BT127,,T127)*(1-R127)+INDEX(Models!$BJ127:$BT127,,T127+1)*R127-ERP_i)*Q127*Ramure*Pc/MaxiM</f>
        <v>1.5955208582345342E-3</v>
      </c>
      <c r="Q127" s="305">
        <f t="shared" si="28"/>
        <v>0.8</v>
      </c>
      <c r="R127" s="177">
        <f t="shared" si="29"/>
        <v>0.67190581779360614</v>
      </c>
      <c r="S127" s="809">
        <f t="shared" si="30"/>
        <v>0</v>
      </c>
      <c r="T127" s="176">
        <f t="shared" si="31"/>
        <v>6</v>
      </c>
      <c r="U127" s="251">
        <f t="shared" si="32"/>
        <v>0.67190581779360614</v>
      </c>
      <c r="V127" s="383">
        <f t="shared" si="33"/>
        <v>46.51224888549676</v>
      </c>
      <c r="W127" s="402">
        <f t="shared" si="34"/>
        <v>8.4688001514105782</v>
      </c>
      <c r="X127" s="157">
        <f t="shared" si="35"/>
        <v>45039</v>
      </c>
      <c r="Y127" s="385">
        <f t="shared" si="36"/>
        <v>8.2102246068999278</v>
      </c>
      <c r="Z127" s="385">
        <f t="shared" si="37"/>
        <v>8.7387635429437793</v>
      </c>
      <c r="AA127" s="386">
        <f t="shared" si="38"/>
        <v>10.389085047864812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0.15885147703745195</v>
      </c>
      <c r="AD127" s="231">
        <f>(INDEX(Models!$BJ127:$BT127,,AH127)*(1-AF127)+INDEX(Models!$BJ127:$BT127,,AH127+1)*AF127-ERP_i)*AE127*Ramure*Pc/MaxiM</f>
        <v>7.9902708847926305E-3</v>
      </c>
      <c r="AE127" s="305">
        <f t="shared" si="40"/>
        <v>0.8</v>
      </c>
      <c r="AF127" s="177">
        <f t="shared" si="41"/>
        <v>0.87262256495850954</v>
      </c>
      <c r="AG127" s="809">
        <f t="shared" si="49"/>
        <v>1</v>
      </c>
      <c r="AH127" s="176">
        <f t="shared" si="42"/>
        <v>7</v>
      </c>
      <c r="AI127" s="225">
        <f t="shared" si="43"/>
        <v>1.8726225649585095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1141">
        <f>IF(t&gt;Tmaj,'2022'!Wh/'2022'!Env_an*'2023'!Env_an,0.001*'[6]mon-tableau'!$B$159)</f>
        <v>26.99682585402687</v>
      </c>
      <c r="C128" s="839"/>
      <c r="D128" s="393">
        <f t="shared" si="25"/>
        <v>28.735449091822463</v>
      </c>
      <c r="E128" s="385">
        <f t="shared" si="47"/>
        <v>33.124117028333217</v>
      </c>
      <c r="F128" s="385">
        <f t="shared" si="26"/>
        <v>33.144276425412549</v>
      </c>
      <c r="G128" s="110">
        <f t="shared" si="48"/>
        <v>0.57734447447970383</v>
      </c>
      <c r="H128" s="414" t="b">
        <f>Wh_hp&gt;='2022'!Maxi_hp</f>
        <v>0</v>
      </c>
      <c r="I128" s="390">
        <f>IF(H128,Wh_hp,'2022'!Maxi_hp)</f>
        <v>52.820731246679635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6.0504474185871376E-2</v>
      </c>
      <c r="M128" s="843"/>
      <c r="N128" s="843"/>
      <c r="O128" s="48">
        <f>IF(t&lt;Tnet,'2022'!Resal+('2022'!Salim-'2022'!Resal)*(1-EXP(('2022'!Tnet-t)/('2022'!Tau_j))),Resal+(Salim-Resal)*(1-EXP((Tnet-t)/(Tau_j))))*Salcycl</f>
        <v>0.13249162031268147</v>
      </c>
      <c r="P128" s="169">
        <f>(INDEX(Models!$BJ128:$BT128,,T128)*(1-R128)+INDEX(Models!$BJ128:$BT128,,T128+1)*R128-ERP_i)*Q128*Ramure*Pc/MaxiM</f>
        <v>1.5321868337943034E-3</v>
      </c>
      <c r="Q128" s="305">
        <f t="shared" si="28"/>
        <v>0.8</v>
      </c>
      <c r="R128" s="177">
        <f t="shared" si="29"/>
        <v>0.67459501705750391</v>
      </c>
      <c r="S128" s="809">
        <f t="shared" si="30"/>
        <v>0</v>
      </c>
      <c r="T128" s="176">
        <f t="shared" si="31"/>
        <v>6</v>
      </c>
      <c r="U128" s="251">
        <f t="shared" si="32"/>
        <v>0.67459501705750391</v>
      </c>
      <c r="V128" s="383">
        <f t="shared" si="33"/>
        <v>46.717112586144459</v>
      </c>
      <c r="W128" s="402">
        <f t="shared" si="34"/>
        <v>26.99682585402687</v>
      </c>
      <c r="X128" s="157">
        <f t="shared" si="35"/>
        <v>45040</v>
      </c>
      <c r="Y128" s="385">
        <f t="shared" si="36"/>
        <v>26.109722470688126</v>
      </c>
      <c r="Z128" s="385">
        <f t="shared" si="37"/>
        <v>27.791215341938432</v>
      </c>
      <c r="AA128" s="386">
        <f t="shared" si="38"/>
        <v>33.043173068690287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0.15894229394477533</v>
      </c>
      <c r="AD128" s="231">
        <f>(INDEX(Models!$BJ128:$BT128,,AH128)*(1-AF128)+INDEX(Models!$BJ128:$BT128,,AH128+1)*AF128-ERP_i)*AE128*Ramure*Pc/MaxiM</f>
        <v>7.6842194938988983E-3</v>
      </c>
      <c r="AE128" s="305">
        <f t="shared" si="40"/>
        <v>0.8</v>
      </c>
      <c r="AF128" s="177">
        <f t="shared" si="41"/>
        <v>0.87531176422240731</v>
      </c>
      <c r="AG128" s="809">
        <f t="shared" si="49"/>
        <v>1</v>
      </c>
      <c r="AH128" s="176">
        <f t="shared" si="42"/>
        <v>7</v>
      </c>
      <c r="AI128" s="225">
        <f t="shared" si="43"/>
        <v>1.8753117642224073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1141">
        <f>IF(t&gt;Tmaj,'2022'!Wh/'2022'!Env_an*'2023'!Env_an,0.001*'[6]mon-tableau'!$B$160)</f>
        <v>43.195524620007021</v>
      </c>
      <c r="C129" s="839"/>
      <c r="D129" s="393">
        <f t="shared" si="25"/>
        <v>45.978454679755629</v>
      </c>
      <c r="E129" s="385">
        <f t="shared" si="47"/>
        <v>53.008735946906732</v>
      </c>
      <c r="F129" s="385">
        <f t="shared" si="26"/>
        <v>53.078350653231851</v>
      </c>
      <c r="G129" s="110">
        <f t="shared" si="48"/>
        <v>0.92053907426046411</v>
      </c>
      <c r="H129" s="414" t="b">
        <f>Wh_hp&gt;='2022'!Maxi_hp</f>
        <v>0</v>
      </c>
      <c r="I129" s="390">
        <f>IF(H129,Wh_hp,'2022'!Maxi_hp)</f>
        <v>55.359840587650929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6.0526828905668656E-2</v>
      </c>
      <c r="M129" s="843"/>
      <c r="N129" s="843"/>
      <c r="O129" s="48">
        <f>IF(t&lt;Tnet,'2022'!Resal+('2022'!Salim-'2022'!Resal)*(1-EXP(('2022'!Tnet-t)/('2022'!Tau_j))),Resal+(Salim-Resal)*(1-EXP((Tnet-t)/(Tau_j))))*Salcycl</f>
        <v>0.13262495589769577</v>
      </c>
      <c r="P129" s="169">
        <f>(INDEX(Models!$BJ129:$BT129,,T129)*(1-R129)+INDEX(Models!$BJ129:$BT129,,T129+1)*R129-ERP_i)*Q129*Ramure*Pc/MaxiM</f>
        <v>1.4791232848634552E-3</v>
      </c>
      <c r="Q129" s="305">
        <f t="shared" si="28"/>
        <v>0.8</v>
      </c>
      <c r="R129" s="177">
        <f t="shared" si="29"/>
        <v>0.67736802686346287</v>
      </c>
      <c r="S129" s="809">
        <f t="shared" si="30"/>
        <v>0</v>
      </c>
      <c r="T129" s="176">
        <f t="shared" si="31"/>
        <v>6</v>
      </c>
      <c r="U129" s="251">
        <f t="shared" si="32"/>
        <v>0.67736802686346287</v>
      </c>
      <c r="V129" s="383">
        <f t="shared" si="33"/>
        <v>46.916288226163843</v>
      </c>
      <c r="W129" s="402">
        <f t="shared" si="34"/>
        <v>43.195524620007021</v>
      </c>
      <c r="X129" s="157">
        <f t="shared" si="35"/>
        <v>45041</v>
      </c>
      <c r="Y129" s="385">
        <f t="shared" si="36"/>
        <v>41.660064781492459</v>
      </c>
      <c r="Z129" s="385">
        <f t="shared" si="37"/>
        <v>44.344070765709418</v>
      </c>
      <c r="AA129" s="386">
        <f t="shared" si="38"/>
        <v>52.730003886288912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0.15903532149672464</v>
      </c>
      <c r="AD129" s="231">
        <f>(INDEX(Models!$BJ129:$BT129,,AH129)*(1-AF129)+INDEX(Models!$BJ129:$BT129,,AH129+1)*AF129-ERP_i)*AE129*Ramure*Pc/MaxiM</f>
        <v>7.4014219321111036E-3</v>
      </c>
      <c r="AE129" s="305">
        <f t="shared" si="40"/>
        <v>0.8</v>
      </c>
      <c r="AF129" s="177">
        <f t="shared" si="41"/>
        <v>0.87808477402836638</v>
      </c>
      <c r="AG129" s="809">
        <f t="shared" si="49"/>
        <v>1</v>
      </c>
      <c r="AH129" s="176">
        <f t="shared" si="42"/>
        <v>7</v>
      </c>
      <c r="AI129" s="225">
        <f t="shared" si="43"/>
        <v>1.8780847740283664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1141">
        <f>IF(t&gt;Tmaj,'2022'!Wh/'2022'!Env_an*'2023'!Env_an,0.001*'[6]mon-tableau'!$B$161)</f>
        <v>45.185456783063756</v>
      </c>
      <c r="C130" s="839"/>
      <c r="D130" s="393">
        <f t="shared" si="25"/>
        <v>48.097735368860192</v>
      </c>
      <c r="E130" s="385">
        <f t="shared" si="47"/>
        <v>55.460702250380692</v>
      </c>
      <c r="F130" s="385">
        <f t="shared" si="26"/>
        <v>55.535819339925524</v>
      </c>
      <c r="G130" s="110">
        <f t="shared" si="48"/>
        <v>0.95907212943994846</v>
      </c>
      <c r="H130" s="414" t="b">
        <f>Wh_hp&gt;='2022'!Maxi_hp</f>
        <v>0</v>
      </c>
      <c r="I130" s="390">
        <f>IF(H130,Wh_hp,'2022'!Maxi_hp)</f>
        <v>55.539931860605101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6.0549183105238852E-2</v>
      </c>
      <c r="M130" s="843"/>
      <c r="N130" s="843"/>
      <c r="O130" s="48">
        <f>IF(t&lt;Tnet,'2022'!Resal+('2022'!Salim-'2022'!Resal)*(1-EXP(('2022'!Tnet-t)/('2022'!Tau_j))),Resal+(Salim-Resal)*(1-EXP((Tnet-t)/(Tau_j))))*Salcycl</f>
        <v>0.13276007303838203</v>
      </c>
      <c r="P130" s="169">
        <f>(INDEX(Models!$BJ130:$BT130,,T130)*(1-R130)+INDEX(Models!$BJ130:$BT130,,T130+1)*R130-ERP_i)*Q130*Ramure*Pc/MaxiM</f>
        <v>1.4364073454400394E-3</v>
      </c>
      <c r="Q130" s="305">
        <f t="shared" si="28"/>
        <v>0.8</v>
      </c>
      <c r="R130" s="177">
        <f t="shared" si="29"/>
        <v>0.68022637499689365</v>
      </c>
      <c r="S130" s="809">
        <f t="shared" si="30"/>
        <v>0</v>
      </c>
      <c r="T130" s="176">
        <f t="shared" si="31"/>
        <v>6</v>
      </c>
      <c r="U130" s="251">
        <f t="shared" si="32"/>
        <v>0.68022637499689365</v>
      </c>
      <c r="V130" s="383">
        <f t="shared" si="33"/>
        <v>47.109766676019191</v>
      </c>
      <c r="W130" s="402">
        <f t="shared" si="34"/>
        <v>45.185456783063756</v>
      </c>
      <c r="X130" s="157">
        <f t="shared" si="35"/>
        <v>45042</v>
      </c>
      <c r="Y130" s="385">
        <f t="shared" si="36"/>
        <v>43.575796686173319</v>
      </c>
      <c r="Z130" s="385">
        <f t="shared" si="37"/>
        <v>46.384329975046214</v>
      </c>
      <c r="AA130" s="386">
        <f t="shared" si="38"/>
        <v>55.162344628785505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0.1591305574991575</v>
      </c>
      <c r="AD130" s="231">
        <f>(INDEX(Models!$BJ130:$BT130,,AH130)*(1-AF130)+INDEX(Models!$BJ130:$BT130,,AH130+1)*AF130-ERP_i)*AE130*Ramure*Pc/MaxiM</f>
        <v>7.14167470635888E-3</v>
      </c>
      <c r="AE130" s="305">
        <f t="shared" si="40"/>
        <v>0.8</v>
      </c>
      <c r="AF130" s="177">
        <f t="shared" si="41"/>
        <v>0.88094312216179715</v>
      </c>
      <c r="AG130" s="809">
        <f t="shared" si="49"/>
        <v>1</v>
      </c>
      <c r="AH130" s="176">
        <f t="shared" si="42"/>
        <v>7</v>
      </c>
      <c r="AI130" s="225">
        <f t="shared" si="43"/>
        <v>1.8809431221617972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1141">
        <f>IF(t&gt;Tmaj,'2022'!Wh/'2022'!Env_an*'2023'!Env_an,0.001*'[6]mon-tableau'!$B$162)</f>
        <v>32.883513047638012</v>
      </c>
      <c r="C131" s="839"/>
      <c r="D131" s="393">
        <f t="shared" si="25"/>
        <v>35.003743590104527</v>
      </c>
      <c r="E131" s="385">
        <f t="shared" si="47"/>
        <v>40.368609424841942</v>
      </c>
      <c r="F131" s="385">
        <f t="shared" si="26"/>
        <v>40.400640404813601</v>
      </c>
      <c r="G131" s="110">
        <f t="shared" si="48"/>
        <v>0.69482253097534552</v>
      </c>
      <c r="H131" s="414" t="b">
        <f>Wh_hp&gt;='2022'!Maxi_hp</f>
        <v>0</v>
      </c>
      <c r="I131" s="390">
        <f>IF(H131,Wh_hp,'2022'!Maxi_hp)</f>
        <v>40.422363464574303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6.0571536784594177E-2</v>
      </c>
      <c r="M131" s="843"/>
      <c r="N131" s="843"/>
      <c r="O131" s="48">
        <f>IF(t&lt;Tnet,'2022'!Resal+('2022'!Salim-'2022'!Resal)*(1-EXP(('2022'!Tnet-t)/('2022'!Tau_j))),Resal+(Salim-Resal)*(1-EXP((Tnet-t)/(Tau_j))))*Salcycl</f>
        <v>0.13289696898590708</v>
      </c>
      <c r="P131" s="169">
        <f>(INDEX(Models!$BJ131:$BT131,,T131)*(1-R131)+INDEX(Models!$BJ131:$BT131,,T131+1)*R131-ERP_i)*Q131*Ramure*Pc/MaxiM</f>
        <v>1.4041401886808426E-3</v>
      </c>
      <c r="Q131" s="305">
        <f t="shared" si="28"/>
        <v>0.8</v>
      </c>
      <c r="R131" s="177">
        <f t="shared" si="29"/>
        <v>0.68317153618145565</v>
      </c>
      <c r="S131" s="809">
        <f t="shared" si="30"/>
        <v>0</v>
      </c>
      <c r="T131" s="176">
        <f t="shared" si="31"/>
        <v>6</v>
      </c>
      <c r="U131" s="251">
        <f t="shared" si="32"/>
        <v>0.68317153618145565</v>
      </c>
      <c r="V131" s="383">
        <f t="shared" si="33"/>
        <v>47.297538177082487</v>
      </c>
      <c r="W131" s="402">
        <f t="shared" si="34"/>
        <v>32.883513047638012</v>
      </c>
      <c r="X131" s="157">
        <f t="shared" si="35"/>
        <v>45043</v>
      </c>
      <c r="Y131" s="385">
        <f t="shared" si="36"/>
        <v>31.785840400260973</v>
      </c>
      <c r="Z131" s="385">
        <f t="shared" si="37"/>
        <v>33.835296294373244</v>
      </c>
      <c r="AA131" s="386">
        <f t="shared" si="38"/>
        <v>40.243129081384218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0.15922799576673896</v>
      </c>
      <c r="AD131" s="231">
        <f>(INDEX(Models!$BJ131:$BT131,,AH131)*(1-AF131)+INDEX(Models!$BJ131:$BT131,,AH131+1)*AF131-ERP_i)*AE131*Ramure*Pc/MaxiM</f>
        <v>6.9048146386778047E-3</v>
      </c>
      <c r="AE131" s="305">
        <f t="shared" si="40"/>
        <v>0.8</v>
      </c>
      <c r="AF131" s="177">
        <f t="shared" si="41"/>
        <v>0.88388828334635905</v>
      </c>
      <c r="AG131" s="809">
        <f t="shared" si="49"/>
        <v>1</v>
      </c>
      <c r="AH131" s="176">
        <f t="shared" si="42"/>
        <v>7</v>
      </c>
      <c r="AI131" s="225">
        <f t="shared" si="43"/>
        <v>1.883888283346359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1141">
        <f>IF(t&gt;Tmaj,'2022'!Wh/'2022'!Env_an*'2023'!Env_an,0.001*'[6]mon-tableau'!$B$163)</f>
        <v>18.399444420521377</v>
      </c>
      <c r="C132" s="839"/>
      <c r="D132" s="393">
        <f t="shared" si="25"/>
        <v>19.586251594019956</v>
      </c>
      <c r="E132" s="385">
        <f t="shared" si="47"/>
        <v>22.591760909219385</v>
      </c>
      <c r="F132" s="385">
        <f t="shared" si="26"/>
        <v>22.595666609781695</v>
      </c>
      <c r="G132" s="110">
        <f t="shared" si="48"/>
        <v>0.38705439092883748</v>
      </c>
      <c r="H132" s="414" t="b">
        <f>Wh_hp&gt;='2022'!Maxi_hp</f>
        <v>0</v>
      </c>
      <c r="I132" s="390">
        <f>IF(H132,Wh_hp,'2022'!Maxi_hp)</f>
        <v>43.833448045184817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6.0593889943746732E-2</v>
      </c>
      <c r="M132" s="843"/>
      <c r="N132" s="843"/>
      <c r="O132" s="48">
        <f>IF(t&lt;Tnet,'2022'!Resal+('2022'!Salim-'2022'!Resal)*(1-EXP(('2022'!Tnet-t)/('2022'!Tau_j))),Resal+(Salim-Resal)*(1-EXP((Tnet-t)/(Tau_j))))*Salcycl</f>
        <v>0.1330356375174333</v>
      </c>
      <c r="P132" s="169">
        <f>(INDEX(Models!$BJ132:$BT132,,T132)*(1-R132)+INDEX(Models!$BJ132:$BT132,,T132+1)*R132-ERP_i)*Q132*Ramure*Pc/MaxiM</f>
        <v>1.3824471816148885E-3</v>
      </c>
      <c r="Q132" s="305">
        <f t="shared" si="28"/>
        <v>0.8</v>
      </c>
      <c r="R132" s="177">
        <f t="shared" si="29"/>
        <v>0.68620492503290842</v>
      </c>
      <c r="S132" s="809">
        <f t="shared" si="30"/>
        <v>0</v>
      </c>
      <c r="T132" s="176">
        <f t="shared" si="31"/>
        <v>6</v>
      </c>
      <c r="U132" s="251">
        <f t="shared" si="32"/>
        <v>0.68620492503290842</v>
      </c>
      <c r="V132" s="383">
        <f t="shared" si="33"/>
        <v>47.479592325278688</v>
      </c>
      <c r="W132" s="402">
        <f t="shared" si="34"/>
        <v>18.399444420521377</v>
      </c>
      <c r="X132" s="157">
        <f t="shared" si="35"/>
        <v>45044</v>
      </c>
      <c r="Y132" s="385">
        <f t="shared" si="36"/>
        <v>17.829610204997298</v>
      </c>
      <c r="Z132" s="385">
        <f t="shared" si="37"/>
        <v>18.979661739617203</v>
      </c>
      <c r="AA132" s="386">
        <f t="shared" si="38"/>
        <v>22.576763940491254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0.15932762597666514</v>
      </c>
      <c r="AD132" s="231">
        <f>(INDEX(Models!$BJ132:$BT132,,AH132)*(1-AF132)+INDEX(Models!$BJ132:$BT132,,AH132+1)*AF132-ERP_i)*AE132*Ramure*Pc/MaxiM</f>
        <v>6.6907182126891189E-3</v>
      </c>
      <c r="AE132" s="305">
        <f t="shared" si="40"/>
        <v>0.8</v>
      </c>
      <c r="AF132" s="177">
        <f t="shared" si="41"/>
        <v>0.88692167219781193</v>
      </c>
      <c r="AG132" s="809">
        <f t="shared" si="49"/>
        <v>1</v>
      </c>
      <c r="AH132" s="176">
        <f t="shared" si="42"/>
        <v>7</v>
      </c>
      <c r="AI132" s="225">
        <f t="shared" si="43"/>
        <v>1.8869216721978119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1141">
        <f>IF(t&gt;Tmaj,'2022'!Wh/'2022'!Env_an*'2023'!Env_an,0.001*'[6]mon-tableau'!$B$164)</f>
        <v>34.240704867574678</v>
      </c>
      <c r="C133" s="839"/>
      <c r="D133" s="393">
        <f t="shared" si="25"/>
        <v>36.450177680008935</v>
      </c>
      <c r="E133" s="385">
        <f t="shared" si="47"/>
        <v>42.050266920850255</v>
      </c>
      <c r="F133" s="385">
        <f t="shared" si="26"/>
        <v>42.084774119758826</v>
      </c>
      <c r="G133" s="110">
        <f t="shared" si="48"/>
        <v>0.71810188285812238</v>
      </c>
      <c r="H133" s="414" t="b">
        <f>Wh_hp&gt;='2022'!Maxi_hp</f>
        <v>0</v>
      </c>
      <c r="I133" s="390">
        <f>IF(H133,Wh_hp,'2022'!Maxi_hp)</f>
        <v>53.521315436728898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6.0616242582708729E-2</v>
      </c>
      <c r="M133" s="843"/>
      <c r="N133" s="843"/>
      <c r="O133" s="48">
        <f>IF(t&lt;Tnet,'2022'!Resal+('2022'!Salim-'2022'!Resal)*(1-EXP(('2022'!Tnet-t)/('2022'!Tau_j))),Resal+(Salim-Resal)*(1-EXP((Tnet-t)/(Tau_j))))*Salcycl</f>
        <v>0.13317606880789065</v>
      </c>
      <c r="P133" s="169">
        <f>(INDEX(Models!$BJ133:$BT133,,T133)*(1-R133)+INDEX(Models!$BJ133:$BT133,,T133+1)*R133-ERP_i)*Q133*Ramure*Pc/MaxiM</f>
        <v>1.3714780393422228E-3</v>
      </c>
      <c r="Q133" s="305">
        <f t="shared" si="28"/>
        <v>0.8</v>
      </c>
      <c r="R133" s="177">
        <f t="shared" si="29"/>
        <v>0.68932788874626683</v>
      </c>
      <c r="S133" s="809">
        <f t="shared" si="30"/>
        <v>0</v>
      </c>
      <c r="T133" s="176">
        <f t="shared" si="31"/>
        <v>6</v>
      </c>
      <c r="U133" s="251">
        <f t="shared" si="32"/>
        <v>0.68932788874626683</v>
      </c>
      <c r="V133" s="383">
        <f t="shared" si="33"/>
        <v>47.655918061502909</v>
      </c>
      <c r="W133" s="402">
        <f t="shared" si="34"/>
        <v>34.240704867574678</v>
      </c>
      <c r="X133" s="157">
        <f t="shared" si="35"/>
        <v>45045</v>
      </c>
      <c r="Y133" s="385">
        <f t="shared" si="36"/>
        <v>33.10178602732443</v>
      </c>
      <c r="Z133" s="385">
        <f t="shared" si="37"/>
        <v>35.237767063732626</v>
      </c>
      <c r="AA133" s="386">
        <f t="shared" si="38"/>
        <v>41.921247863161092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0.15942943352365418</v>
      </c>
      <c r="AD133" s="231">
        <f>(INDEX(Models!$BJ133:$BT133,,AH133)*(1-AF133)+INDEX(Models!$BJ133:$BT133,,AH133+1)*AF133-ERP_i)*AE133*Ramure*Pc/MaxiM</f>
        <v>6.499300924826739E-3</v>
      </c>
      <c r="AE133" s="305">
        <f t="shared" si="40"/>
        <v>0.8</v>
      </c>
      <c r="AF133" s="177">
        <f t="shared" si="41"/>
        <v>0.89004463591117045</v>
      </c>
      <c r="AG133" s="809">
        <f t="shared" si="49"/>
        <v>1</v>
      </c>
      <c r="AH133" s="176">
        <f t="shared" si="42"/>
        <v>7</v>
      </c>
      <c r="AI133" s="225">
        <f t="shared" si="43"/>
        <v>1.8900446359111704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1141">
        <f>IF(t&gt;Tmaj,'2022'!Wh/'2022'!Env_an*'2023'!Env_an,0.001*'[6]mon-tableau'!$B$165)</f>
        <v>43.840499255243436</v>
      </c>
      <c r="C134" s="839"/>
      <c r="D134" s="393">
        <f t="shared" si="25"/>
        <v>46.670534905904411</v>
      </c>
      <c r="E134" s="385">
        <f t="shared" si="47"/>
        <v>47.535643111125701</v>
      </c>
      <c r="F134" s="385">
        <f t="shared" si="26"/>
        <v>47.583109832944146</v>
      </c>
      <c r="G134" s="110">
        <f t="shared" si="48"/>
        <v>0.80887339414038351</v>
      </c>
      <c r="H134" s="414" t="b">
        <f>Wh_hp&gt;='2022'!Maxi_hp</f>
        <v>0</v>
      </c>
      <c r="I134" s="390">
        <f>IF(H134,Wh_hp,'2022'!Maxi_hp)</f>
        <v>59.130369018521904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6.0638594701492049E-2</v>
      </c>
      <c r="M134" s="843"/>
      <c r="N134" s="843"/>
      <c r="O134" s="48">
        <f>IF(t&lt;Tnet,'2022'!Resal+('2022'!Salim-'2022'!Resal)*(1-EXP(('2022'!Tnet-t)/('2022'!Tau_j))),Resal+(Salim-Resal)*(1-EXP((Tnet-t)/(Tau_j))))*Salcycl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1.3714069735903495E-3</v>
      </c>
      <c r="Q134" s="305">
        <f t="shared" si="28"/>
        <v>0.8</v>
      </c>
      <c r="R134" s="177">
        <f t="shared" si="29"/>
        <v>0.69254169953500178</v>
      </c>
      <c r="S134" s="809">
        <f t="shared" si="30"/>
        <v>0</v>
      </c>
      <c r="T134" s="176">
        <f t="shared" si="31"/>
        <v>6</v>
      </c>
      <c r="U134" s="251">
        <f t="shared" si="32"/>
        <v>0.69254169953500178</v>
      </c>
      <c r="V134" s="383">
        <f t="shared" si="33"/>
        <v>54.179174770509015</v>
      </c>
      <c r="W134" s="402">
        <f t="shared" si="34"/>
        <v>43.840499255243436</v>
      </c>
      <c r="X134" s="157">
        <f t="shared" si="35"/>
        <v>45046</v>
      </c>
      <c r="Y134" s="385">
        <f t="shared" si="36"/>
        <v>38.560329500393046</v>
      </c>
      <c r="Z134" s="385">
        <f t="shared" si="37"/>
        <v>41.049514364643755</v>
      </c>
      <c r="AA134" s="386">
        <f t="shared" si="38"/>
        <v>47.363999913076491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0.13331824930371641</v>
      </c>
      <c r="AD134" s="231">
        <f>(INDEX(Models!$BJ134:$BT134,,AH134)*(1-AF134)+INDEX(Models!$BJ134:$BT134,,AH134+1)*AF134-ERP_i)*AE134*Ramure*Pc/MaxiM</f>
        <v>6.3305166351840013E-3</v>
      </c>
      <c r="AE134" s="305">
        <f t="shared" si="40"/>
        <v>0.8</v>
      </c>
      <c r="AF134" s="177">
        <f t="shared" si="41"/>
        <v>0.8932584466999054</v>
      </c>
      <c r="AG134" s="809">
        <f t="shared" si="49"/>
        <v>1</v>
      </c>
      <c r="AH134" s="176">
        <f t="shared" si="42"/>
        <v>7</v>
      </c>
      <c r="AI134" s="225">
        <f t="shared" si="43"/>
        <v>1.8932584466999054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1141">
        <f>IF(t&gt;Tmaj,'2022'!Wh/'2022'!Env_an*'2023'!Env_an,0.001*[7]mois!$B$140)</f>
        <v>44.690191162092205</v>
      </c>
      <c r="C135" s="839"/>
      <c r="D135" s="393">
        <f t="shared" si="25"/>
        <v>47.576209022786195</v>
      </c>
      <c r="E135" s="385">
        <f t="shared" si="47"/>
        <v>48.469829369210018</v>
      </c>
      <c r="F135" s="385">
        <f t="shared" si="26"/>
        <v>48.51985591025376</v>
      </c>
      <c r="G135" s="110">
        <f t="shared" si="48"/>
        <v>0.82179260162827472</v>
      </c>
      <c r="H135" s="414" t="b">
        <f>Wh_hp&gt;='2022'!Maxi_hp</f>
        <v>0</v>
      </c>
      <c r="I135" s="390">
        <f>IF(H135,Wh_hp,'2022'!Maxi_hp)</f>
        <v>53.619994148118579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6.0660946300108903E-2</v>
      </c>
      <c r="M135" s="843"/>
      <c r="N135" s="843"/>
      <c r="O135" s="48">
        <f>IF(t&lt;Tnet,'2022'!Resal+('2022'!Salim-'2022'!Resal)*(1-EXP(('2022'!Tnet-t)/('2022'!Tau_j))),Resal+(Salim-Resal)*(1-EXP((Tnet-t)/(Tau_j))))*Salcycl</f>
        <v>1.8436630746455355E-2</v>
      </c>
      <c r="P135" s="169">
        <f>(INDEX(Models!$BJ135:$BT135,,T135)*(1-R135)+INDEX(Models!$BJ135:$BT135,,T135+1)*R135-ERP_i)*Q135*Ramure*Pc/MaxiM</f>
        <v>1.382421559525575E-3</v>
      </c>
      <c r="Q135" s="305">
        <f t="shared" si="28"/>
        <v>0.8</v>
      </c>
      <c r="R135" s="177">
        <f t="shared" si="29"/>
        <v>0.69584754684467387</v>
      </c>
      <c r="S135" s="809">
        <f t="shared" si="30"/>
        <v>0</v>
      </c>
      <c r="T135" s="176">
        <f t="shared" si="31"/>
        <v>6</v>
      </c>
      <c r="U135" s="251">
        <f t="shared" si="32"/>
        <v>0.69584754684467387</v>
      </c>
      <c r="V135" s="383">
        <f t="shared" si="33"/>
        <v>54.362222459325558</v>
      </c>
      <c r="W135" s="402">
        <f t="shared" si="34"/>
        <v>44.690191162092205</v>
      </c>
      <c r="X135" s="157">
        <f t="shared" si="35"/>
        <v>45047</v>
      </c>
      <c r="Y135" s="385">
        <f t="shared" si="36"/>
        <v>39.312027716628712</v>
      </c>
      <c r="Z135" s="385">
        <f t="shared" si="37"/>
        <v>41.850732769797609</v>
      </c>
      <c r="AA135" s="386">
        <f t="shared" si="38"/>
        <v>48.296060599433893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0.13345452506144639</v>
      </c>
      <c r="AD135" s="231">
        <f>(INDEX(Models!$BJ135:$BT135,,AH135)*(1-AF135)+INDEX(Models!$BJ135:$BT135,,AH135+1)*AF135-ERP_i)*AE135*Ramure*Pc/MaxiM</f>
        <v>6.1843064929791199E-3</v>
      </c>
      <c r="AE135" s="305">
        <f t="shared" si="40"/>
        <v>0.8</v>
      </c>
      <c r="AF135" s="177">
        <f t="shared" si="41"/>
        <v>0.89656429400957727</v>
      </c>
      <c r="AG135" s="809">
        <f t="shared" si="49"/>
        <v>1</v>
      </c>
      <c r="AH135" s="176">
        <f t="shared" si="42"/>
        <v>7</v>
      </c>
      <c r="AI135" s="225">
        <f t="shared" si="43"/>
        <v>1.8965642940095773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1141">
        <f>IF(t&gt;Tmaj,'2022'!Wh/'2022'!Env_an*'2023'!Env_an,0.001*[7]mois!$B$141)</f>
        <v>29.145126101442628</v>
      </c>
      <c r="C136" s="839"/>
      <c r="D136" s="393">
        <f t="shared" si="25"/>
        <v>31.028007933964044</v>
      </c>
      <c r="E136" s="385">
        <f t="shared" si="47"/>
        <v>31.618459869965776</v>
      </c>
      <c r="F136" s="385">
        <f t="shared" si="26"/>
        <v>31.633338498803543</v>
      </c>
      <c r="G136" s="110">
        <f t="shared" si="48"/>
        <v>0.53388551078646929</v>
      </c>
      <c r="H136" s="414" t="b">
        <f>Wh_hp&gt;='2022'!Maxi_hp</f>
        <v>0</v>
      </c>
      <c r="I136" s="390">
        <f>IF(H136,Wh_hp,'2022'!Maxi_hp)</f>
        <v>49.269090767711724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6.0683297378571505E-2</v>
      </c>
      <c r="M136" s="843"/>
      <c r="N136" s="843"/>
      <c r="O136" s="48">
        <f>IF(t&lt;Tnet,'2022'!Resal+('2022'!Salim-'2022'!Resal)*(1-EXP(('2022'!Tnet-t)/('2022'!Tau_j))),Resal+(Salim-Resal)*(1-EXP((Tnet-t)/(Tau_j))))*Salcycl</f>
        <v>1.8674278836794338E-2</v>
      </c>
      <c r="P136" s="169">
        <f>(INDEX(Models!$BJ136:$BT136,,T136)*(1-R136)+INDEX(Models!$BJ136:$BT136,,T136+1)*R136-ERP_i)*Q136*Ramure*Pc/MaxiM</f>
        <v>1.4047078383925601E-3</v>
      </c>
      <c r="Q136" s="305">
        <f t="shared" si="28"/>
        <v>0.8</v>
      </c>
      <c r="R136" s="177">
        <f t="shared" si="29"/>
        <v>0.69924652936719589</v>
      </c>
      <c r="S136" s="809">
        <f t="shared" si="30"/>
        <v>0</v>
      </c>
      <c r="T136" s="176">
        <f t="shared" si="31"/>
        <v>6</v>
      </c>
      <c r="U136" s="251">
        <f t="shared" si="32"/>
        <v>0.69924652936719589</v>
      </c>
      <c r="V136" s="383">
        <f t="shared" si="33"/>
        <v>54.539560670721237</v>
      </c>
      <c r="W136" s="402">
        <f t="shared" si="34"/>
        <v>29.145126101442628</v>
      </c>
      <c r="X136" s="157">
        <f t="shared" si="35"/>
        <v>45048</v>
      </c>
      <c r="Y136" s="385">
        <f t="shared" si="36"/>
        <v>25.691864774947238</v>
      </c>
      <c r="Z136" s="385">
        <f t="shared" si="37"/>
        <v>27.351653285038829</v>
      </c>
      <c r="AA136" s="386">
        <f t="shared" si="38"/>
        <v>31.569042353616481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0.13359255631948294</v>
      </c>
      <c r="AD136" s="231">
        <f>(INDEX(Models!$BJ136:$BT136,,AH136)*(1-AF136)+INDEX(Models!$BJ136:$BT136,,AH136+1)*AF136-ERP_i)*AE136*Ramure*Pc/MaxiM</f>
        <v>6.0702703258127388E-3</v>
      </c>
      <c r="AE136" s="305">
        <f t="shared" si="40"/>
        <v>0.8</v>
      </c>
      <c r="AF136" s="177">
        <f t="shared" si="41"/>
        <v>0.89996327653209951</v>
      </c>
      <c r="AG136" s="809">
        <f t="shared" si="49"/>
        <v>1</v>
      </c>
      <c r="AH136" s="176">
        <f t="shared" si="42"/>
        <v>7</v>
      </c>
      <c r="AI136" s="225">
        <f t="shared" si="43"/>
        <v>1.8999632765320995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1141">
        <f>IF(t&gt;Tmaj,'2022'!Wh/'2022'!Env_an*'2023'!Env_an,0.001*[7]mois!$B$142)</f>
        <v>35.563318161130674</v>
      </c>
      <c r="C137" s="839"/>
      <c r="D137" s="393">
        <f t="shared" si="25"/>
        <v>37.861739595280014</v>
      </c>
      <c r="E137" s="385">
        <f t="shared" si="47"/>
        <v>38.591587452596137</v>
      </c>
      <c r="F137" s="385">
        <f t="shared" si="26"/>
        <v>38.619231920178365</v>
      </c>
      <c r="G137" s="110">
        <f t="shared" si="48"/>
        <v>0.6495516140916926</v>
      </c>
      <c r="H137" s="414" t="b">
        <f>Wh_hp&gt;='2022'!Maxi_hp</f>
        <v>0</v>
      </c>
      <c r="I137" s="390">
        <f>IF(H137,Wh_hp,'2022'!Maxi_hp)</f>
        <v>58.038935188367326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6.0705647936891732E-2</v>
      </c>
      <c r="M137" s="843"/>
      <c r="N137" s="843"/>
      <c r="O137" s="48">
        <f>IF(t&lt;Tnet,'2022'!Resal+('2022'!Salim-'2022'!Resal)*(1-EXP(('2022'!Tnet-t)/('2022'!Tau_j))),Resal+(Salim-Resal)*(1-EXP((Tnet-t)/(Tau_j))))*Salcycl</f>
        <v>1.891209731169078E-2</v>
      </c>
      <c r="P137" s="169">
        <f>(INDEX(Models!$BJ137:$BT137,,T137)*(1-R137)+INDEX(Models!$BJ137:$BT137,,T137+1)*R137-ERP_i)*Q137*Ramure*Pc/MaxiM</f>
        <v>1.431572194574664E-3</v>
      </c>
      <c r="Q137" s="305">
        <f t="shared" si="28"/>
        <v>0.8</v>
      </c>
      <c r="R137" s="177">
        <f t="shared" si="29"/>
        <v>0.70273964688587243</v>
      </c>
      <c r="S137" s="809">
        <f t="shared" si="30"/>
        <v>0</v>
      </c>
      <c r="T137" s="176">
        <f t="shared" si="31"/>
        <v>6</v>
      </c>
      <c r="U137" s="251">
        <f t="shared" si="32"/>
        <v>0.70273964688587243</v>
      </c>
      <c r="V137" s="383">
        <f t="shared" si="33"/>
        <v>54.711349611545458</v>
      </c>
      <c r="W137" s="402">
        <f t="shared" si="34"/>
        <v>35.563318161130674</v>
      </c>
      <c r="X137" s="157">
        <f t="shared" si="35"/>
        <v>45049</v>
      </c>
      <c r="Y137" s="385">
        <f t="shared" si="36"/>
        <v>31.329846064194442</v>
      </c>
      <c r="Z137" s="385">
        <f t="shared" si="37"/>
        <v>33.354662460580286</v>
      </c>
      <c r="AA137" s="386">
        <f t="shared" si="38"/>
        <v>38.503874870005049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0.13373231724882986</v>
      </c>
      <c r="AD137" s="231">
        <f>(INDEX(Models!$BJ137:$BT137,,AH137)*(1-AF137)+INDEX(Models!$BJ137:$BT137,,AH137+1)*AF137-ERP_i)*AE137*Ramure*Pc/MaxiM</f>
        <v>5.9737792013920057E-3</v>
      </c>
      <c r="AE137" s="305">
        <f t="shared" si="40"/>
        <v>0.8</v>
      </c>
      <c r="AF137" s="177">
        <f t="shared" si="41"/>
        <v>0.90345639405077605</v>
      </c>
      <c r="AG137" s="809">
        <f t="shared" si="49"/>
        <v>1</v>
      </c>
      <c r="AH137" s="176">
        <f t="shared" si="42"/>
        <v>7</v>
      </c>
      <c r="AI137" s="225">
        <f t="shared" si="43"/>
        <v>1.903456394050776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1141">
        <f>IF(t&gt;Tmaj,'2022'!Wh/'2022'!Env_an*'2023'!Env_an,0.001*[7]mois!$B$143)</f>
        <v>20.926309970888415</v>
      </c>
      <c r="C138" s="839"/>
      <c r="D138" s="393">
        <f t="shared" si="25"/>
        <v>22.279286432231221</v>
      </c>
      <c r="E138" s="385">
        <f t="shared" si="47"/>
        <v>22.71426669240741</v>
      </c>
      <c r="F138" s="385">
        <f t="shared" si="26"/>
        <v>22.718128576389823</v>
      </c>
      <c r="G138" s="110">
        <f t="shared" si="48"/>
        <v>0.38083532024596722</v>
      </c>
      <c r="H138" s="414" t="b">
        <f>Wh_hp&gt;='2022'!Maxi_hp</f>
        <v>0</v>
      </c>
      <c r="I138" s="390">
        <f>IF(H138,Wh_hp,'2022'!Maxi_hp)</f>
        <v>56.165663952413723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6.072799797508191E-2</v>
      </c>
      <c r="M138" s="843"/>
      <c r="N138" s="843"/>
      <c r="O138" s="48">
        <f>IF(t&lt;Tnet,'2022'!Resal+('2022'!Salim-'2022'!Resal)*(1-EXP(('2022'!Tnet-t)/('2022'!Tau_j))),Resal+(Salim-Resal)*(1-EXP((Tnet-t)/(Tau_j))))*Salcycl</f>
        <v>1.9150090384453679E-2</v>
      </c>
      <c r="P138" s="169">
        <f>(INDEX(Models!$BJ138:$BT138,,T138)*(1-R138)+INDEX(Models!$BJ138:$BT138,,T138+1)*R138-ERP_i)*Q138*Ramure*Pc/MaxiM</f>
        <v>1.4631264975673245E-3</v>
      </c>
      <c r="Q138" s="305">
        <f t="shared" si="28"/>
        <v>0.8</v>
      </c>
      <c r="R138" s="177">
        <f t="shared" si="29"/>
        <v>0.70632779198542095</v>
      </c>
      <c r="S138" s="809">
        <f t="shared" si="30"/>
        <v>0</v>
      </c>
      <c r="T138" s="176">
        <f t="shared" si="31"/>
        <v>6</v>
      </c>
      <c r="U138" s="251">
        <f t="shared" si="32"/>
        <v>0.70632779198542095</v>
      </c>
      <c r="V138" s="383">
        <f t="shared" si="33"/>
        <v>54.8773806178543</v>
      </c>
      <c r="W138" s="402">
        <f t="shared" si="34"/>
        <v>20.926309970888415</v>
      </c>
      <c r="X138" s="157">
        <f t="shared" si="35"/>
        <v>45050</v>
      </c>
      <c r="Y138" s="385">
        <f t="shared" si="36"/>
        <v>18.469178011875915</v>
      </c>
      <c r="Z138" s="385">
        <f t="shared" si="37"/>
        <v>19.663290263160576</v>
      </c>
      <c r="AA138" s="386">
        <f t="shared" si="38"/>
        <v>22.702568933007722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0.13387377784495033</v>
      </c>
      <c r="AD138" s="231">
        <f>(INDEX(Models!$BJ138:$BT138,,AH138)*(1-AF138)+INDEX(Models!$BJ138:$BT138,,AH138+1)*AF138-ERP_i)*AE138*Ramure*Pc/MaxiM</f>
        <v>5.8949794009189472E-3</v>
      </c>
      <c r="AE138" s="305">
        <f t="shared" si="40"/>
        <v>0.8</v>
      </c>
      <c r="AF138" s="177">
        <f t="shared" si="41"/>
        <v>0.90704453915032435</v>
      </c>
      <c r="AG138" s="809">
        <f t="shared" si="49"/>
        <v>1</v>
      </c>
      <c r="AH138" s="176">
        <f t="shared" si="42"/>
        <v>7</v>
      </c>
      <c r="AI138" s="225">
        <f t="shared" si="43"/>
        <v>1.9070445391503243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1141">
        <f>IF(t&gt;Tmaj,'2022'!Wh/'2022'!Env_an*'2023'!Env_an,0.001*[7]mois!$B$144)</f>
        <v>41.613381420562497</v>
      </c>
      <c r="C139" s="839"/>
      <c r="D139" s="393">
        <f t="shared" si="25"/>
        <v>44.30492075189688</v>
      </c>
      <c r="E139" s="385">
        <f t="shared" si="47"/>
        <v>45.18089984913604</v>
      </c>
      <c r="F139" s="385">
        <f t="shared" si="26"/>
        <v>45.225085166962828</v>
      </c>
      <c r="G139" s="110">
        <f t="shared" si="48"/>
        <v>0.75569674369224604</v>
      </c>
      <c r="H139" s="414" t="b">
        <f>Wh_hp&gt;='2022'!Maxi_hp</f>
        <v>0</v>
      </c>
      <c r="I139" s="390">
        <f>IF(H139,Wh_hp,'2022'!Maxi_hp)</f>
        <v>56.298681599981336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6.0750347493154028E-2</v>
      </c>
      <c r="M139" s="843"/>
      <c r="N139" s="843"/>
      <c r="O139" s="48">
        <f>IF(t&lt;Tnet,'2022'!Resal+('2022'!Salim-'2022'!Resal)*(1-EXP(('2022'!Tnet-t)/('2022'!Tau_j))),Resal+(Salim-Resal)*(1-EXP((Tnet-t)/(Tau_j))))*Salcycl</f>
        <v>1.9388261414981681E-2</v>
      </c>
      <c r="P139" s="169">
        <f>(INDEX(Models!$BJ139:$BT139,,T139)*(1-R139)+INDEX(Models!$BJ139:$BT139,,T139+1)*R139-ERP_i)*Q139*Ramure*Pc/MaxiM</f>
        <v>1.4994915013699626E-3</v>
      </c>
      <c r="Q139" s="305">
        <f t="shared" si="28"/>
        <v>0.8</v>
      </c>
      <c r="R139" s="177">
        <f t="shared" si="29"/>
        <v>0.71001174166531267</v>
      </c>
      <c r="S139" s="809">
        <f t="shared" si="30"/>
        <v>0</v>
      </c>
      <c r="T139" s="176">
        <f t="shared" si="31"/>
        <v>6</v>
      </c>
      <c r="U139" s="251">
        <f t="shared" si="32"/>
        <v>0.71001174166531267</v>
      </c>
      <c r="V139" s="383">
        <f t="shared" si="33"/>
        <v>55.037444905427293</v>
      </c>
      <c r="W139" s="402">
        <f t="shared" si="34"/>
        <v>41.613381420562497</v>
      </c>
      <c r="X139" s="157">
        <f t="shared" si="35"/>
        <v>45051</v>
      </c>
      <c r="Y139" s="385">
        <f t="shared" si="36"/>
        <v>36.645094936278596</v>
      </c>
      <c r="Z139" s="385">
        <f t="shared" si="37"/>
        <v>39.01528719065616</v>
      </c>
      <c r="AA139" s="386">
        <f t="shared" si="38"/>
        <v>45.05317409005827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0.13401690383307474</v>
      </c>
      <c r="AD139" s="231">
        <f>(INDEX(Models!$BJ139:$BT139,,AH139)*(1-AF139)+INDEX(Models!$BJ139:$BT139,,AH139+1)*AF139-ERP_i)*AE139*Ramure*Pc/MaxiM</f>
        <v>5.8340464997955954E-3</v>
      </c>
      <c r="AE139" s="305">
        <f t="shared" si="40"/>
        <v>0.8</v>
      </c>
      <c r="AF139" s="177">
        <f t="shared" si="41"/>
        <v>0.91072848883021607</v>
      </c>
      <c r="AG139" s="809">
        <f t="shared" si="49"/>
        <v>1</v>
      </c>
      <c r="AH139" s="176">
        <f t="shared" si="42"/>
        <v>7</v>
      </c>
      <c r="AI139" s="225">
        <f t="shared" si="43"/>
        <v>1.9107284888302161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1141">
        <f>IF(t&gt;Tmaj,'2022'!Wh/'2022'!Env_an*'2023'!Env_an,0.001*[7]mois!$B$145)</f>
        <v>35.051067215921599</v>
      </c>
      <c r="C140" s="839"/>
      <c r="D140" s="393">
        <f t="shared" si="25"/>
        <v>37.319046289405719</v>
      </c>
      <c r="E140" s="385">
        <f t="shared" si="47"/>
        <v>38.066155996377113</v>
      </c>
      <c r="F140" s="385">
        <f t="shared" si="26"/>
        <v>38.094252933913275</v>
      </c>
      <c r="G140" s="110">
        <f t="shared" si="48"/>
        <v>0.63457231389167346</v>
      </c>
      <c r="H140" s="414" t="b">
        <f>Wh_hp&gt;='2022'!Maxi_hp</f>
        <v>0</v>
      </c>
      <c r="I140" s="390">
        <f>IF(H140,Wh_hp,'2022'!Maxi_hp)</f>
        <v>61.556815865324921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6.0772696491120187E-2</v>
      </c>
      <c r="M140" s="843"/>
      <c r="N140" s="843"/>
      <c r="O140" s="48">
        <f>IF(t&lt;Tnet,'2022'!Resal+('2022'!Salim-'2022'!Resal)*(1-EXP(('2022'!Tnet-t)/('2022'!Tau_j))),Resal+(Salim-Resal)*(1-EXP((Tnet-t)/(Tau_j))))*Salcycl</f>
        <v>1.962661286425918E-2</v>
      </c>
      <c r="P140" s="169">
        <f>(INDEX(Models!$BJ140:$BT140,,T140)*(1-R140)+INDEX(Models!$BJ140:$BT140,,T140+1)*R140-ERP_i)*Q140*Ramure*Pc/MaxiM</f>
        <v>1.5407969712020152E-3</v>
      </c>
      <c r="Q140" s="305">
        <f t="shared" si="28"/>
        <v>0.8</v>
      </c>
      <c r="R140" s="177">
        <f t="shared" si="29"/>
        <v>0.71379214889892229</v>
      </c>
      <c r="S140" s="809">
        <f t="shared" si="30"/>
        <v>0</v>
      </c>
      <c r="T140" s="176">
        <f t="shared" si="31"/>
        <v>6</v>
      </c>
      <c r="U140" s="251">
        <f t="shared" si="32"/>
        <v>0.71379214889892229</v>
      </c>
      <c r="V140" s="383">
        <f t="shared" si="33"/>
        <v>55.191333571373626</v>
      </c>
      <c r="W140" s="402">
        <f t="shared" si="34"/>
        <v>35.051067215921599</v>
      </c>
      <c r="X140" s="157">
        <f t="shared" si="35"/>
        <v>45052</v>
      </c>
      <c r="Y140" s="385">
        <f t="shared" si="36"/>
        <v>30.89309143690511</v>
      </c>
      <c r="Z140" s="385">
        <f t="shared" si="37"/>
        <v>32.892028714977656</v>
      </c>
      <c r="AA140" s="386">
        <f t="shared" si="38"/>
        <v>37.988648764636373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0.13416165658419418</v>
      </c>
      <c r="AD140" s="231">
        <f>(INDEX(Models!$BJ140:$BT140,,AH140)*(1-AF140)+INDEX(Models!$BJ140:$BT140,,AH140+1)*AF140-ERP_i)*AE140*Ramure*Pc/MaxiM</f>
        <v>5.7911857460890039E-3</v>
      </c>
      <c r="AE140" s="305">
        <f t="shared" si="40"/>
        <v>0.8</v>
      </c>
      <c r="AF140" s="177">
        <f t="shared" si="41"/>
        <v>0.91450889606382568</v>
      </c>
      <c r="AG140" s="809">
        <f t="shared" si="49"/>
        <v>1</v>
      </c>
      <c r="AH140" s="176">
        <f t="shared" si="42"/>
        <v>7</v>
      </c>
      <c r="AI140" s="225">
        <f t="shared" si="43"/>
        <v>1.9145088960638257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1141">
        <f>IF(t&gt;Tmaj,'2022'!Wh/'2022'!Env_an*'2023'!Env_an,0.001*[7]mois!$B$146)</f>
        <v>51.293128473506926</v>
      </c>
      <c r="C141" s="839"/>
      <c r="D141" s="393">
        <f t="shared" si="25"/>
        <v>54.613349513060754</v>
      </c>
      <c r="E141" s="385">
        <f t="shared" si="47"/>
        <v>55.720240234407605</v>
      </c>
      <c r="F141" s="385">
        <f t="shared" si="26"/>
        <v>55.799554649650098</v>
      </c>
      <c r="G141" s="110">
        <f t="shared" si="48"/>
        <v>0.92673818190509405</v>
      </c>
      <c r="H141" s="414" t="b">
        <f>Wh_hp&gt;='2022'!Maxi_hp</f>
        <v>0</v>
      </c>
      <c r="I141" s="390">
        <f>IF(H141,Wh_hp,'2022'!Maxi_hp)</f>
        <v>58.403819725398094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6.079504496899249E-2</v>
      </c>
      <c r="M141" s="843"/>
      <c r="N141" s="843"/>
      <c r="O141" s="48">
        <f>IF(t&lt;Tnet,'2022'!Resal+('2022'!Salim-'2022'!Resal)*(1-EXP(('2022'!Tnet-t)/('2022'!Tau_j))),Resal+(Salim-Resal)*(1-EXP((Tnet-t)/(Tau_j))))*Salcycl</f>
        <v>1.9865146250093457E-2</v>
      </c>
      <c r="P141" s="169">
        <f>(INDEX(Models!$BJ141:$BT141,,T141)*(1-R141)+INDEX(Models!$BJ141:$BT141,,T141+1)*R141-ERP_i)*Q141*Ramure*Pc/MaxiM</f>
        <v>1.5871817958211037E-3</v>
      </c>
      <c r="Q141" s="305">
        <f t="shared" si="28"/>
        <v>0.8</v>
      </c>
      <c r="R141" s="177">
        <f t="shared" si="29"/>
        <v>0.71766953418510504</v>
      </c>
      <c r="S141" s="809">
        <f t="shared" si="30"/>
        <v>0</v>
      </c>
      <c r="T141" s="176">
        <f t="shared" si="31"/>
        <v>6</v>
      </c>
      <c r="U141" s="251">
        <f t="shared" si="32"/>
        <v>0.71766953418510504</v>
      </c>
      <c r="V141" s="383">
        <f t="shared" si="33"/>
        <v>55.338837611574164</v>
      </c>
      <c r="W141" s="402">
        <f t="shared" si="34"/>
        <v>51.293128473506926</v>
      </c>
      <c r="X141" s="157">
        <f t="shared" si="35"/>
        <v>45053</v>
      </c>
      <c r="Y141" s="385">
        <f t="shared" si="36"/>
        <v>45.134210339652903</v>
      </c>
      <c r="Z141" s="385">
        <f t="shared" si="37"/>
        <v>48.055762587158426</v>
      </c>
      <c r="AA141" s="386">
        <f t="shared" si="38"/>
        <v>55.511385343729806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0.13430799304333199</v>
      </c>
      <c r="AD141" s="231">
        <f>(INDEX(Models!$BJ141:$BT141,,AH141)*(1-AF141)+INDEX(Models!$BJ141:$BT141,,AH141+1)*AF141-ERP_i)*AE141*Ramure*Pc/MaxiM</f>
        <v>5.7666323968055171E-3</v>
      </c>
      <c r="AE141" s="305">
        <f t="shared" si="40"/>
        <v>0.8</v>
      </c>
      <c r="AF141" s="177">
        <f t="shared" si="41"/>
        <v>0.91838628135000855</v>
      </c>
      <c r="AG141" s="809">
        <f t="shared" si="49"/>
        <v>1</v>
      </c>
      <c r="AH141" s="176">
        <f t="shared" si="42"/>
        <v>7</v>
      </c>
      <c r="AI141" s="225">
        <f t="shared" si="43"/>
        <v>1.9183862813500085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1141">
        <f>IF(t&gt;Tmaj,'2022'!Wh/'2022'!Env_an*'2023'!Env_an,0.001*[7]mois!$B$147)</f>
        <v>46.743455564530613</v>
      </c>
      <c r="C142" s="839"/>
      <c r="D142" s="393">
        <f t="shared" si="25"/>
        <v>49.770359046786076</v>
      </c>
      <c r="E142" s="385">
        <f t="shared" si="47"/>
        <v>50.791463627640518</v>
      </c>
      <c r="F142" s="385">
        <f t="shared" si="26"/>
        <v>50.856050411816724</v>
      </c>
      <c r="G142" s="110">
        <f t="shared" si="48"/>
        <v>0.84222074391443413</v>
      </c>
      <c r="H142" s="414" t="b">
        <f>Wh_hp&gt;='2022'!Maxi_hp</f>
        <v>0</v>
      </c>
      <c r="I142" s="390">
        <f>IF(H142,Wh_hp,'2022'!Maxi_hp)</f>
        <v>55.761522255902449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6.0817392926783148E-2</v>
      </c>
      <c r="M142" s="843"/>
      <c r="N142" s="843"/>
      <c r="O142" s="48">
        <f>IF(t&lt;Tnet,'2022'!Resal+('2022'!Salim-'2022'!Resal)*(1-EXP(('2022'!Tnet-t)/('2022'!Tau_j))),Resal+(Salim-Resal)*(1-EXP((Tnet-t)/(Tau_j))))*Salcycl</f>
        <v>2.0103862104473048E-2</v>
      </c>
      <c r="P142" s="169">
        <f>(INDEX(Models!$BJ142:$BT142,,T142)*(1-R142)+INDEX(Models!$BJ142:$BT142,,T142+1)*R142-ERP_i)*Q142*Ramure*Pc/MaxiM</f>
        <v>1.6386037660833035E-3</v>
      </c>
      <c r="Q142" s="305">
        <f t="shared" si="28"/>
        <v>0.8</v>
      </c>
      <c r="R142" s="177">
        <f t="shared" si="29"/>
        <v>0.72164427714286461</v>
      </c>
      <c r="S142" s="809">
        <f t="shared" si="30"/>
        <v>0</v>
      </c>
      <c r="T142" s="176">
        <f t="shared" si="31"/>
        <v>6</v>
      </c>
      <c r="U142" s="251">
        <f t="shared" si="32"/>
        <v>0.72164427714286461</v>
      </c>
      <c r="V142" s="383">
        <f t="shared" si="33"/>
        <v>55.479758496644685</v>
      </c>
      <c r="W142" s="402">
        <f t="shared" si="34"/>
        <v>46.743455564530613</v>
      </c>
      <c r="X142" s="157">
        <f t="shared" si="35"/>
        <v>45054</v>
      </c>
      <c r="Y142" s="385">
        <f t="shared" si="36"/>
        <v>41.156368907647568</v>
      </c>
      <c r="Z142" s="385">
        <f t="shared" si="37"/>
        <v>43.82147688605896</v>
      </c>
      <c r="AA142" s="386">
        <f t="shared" si="38"/>
        <v>50.628818506251086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0.13445586567167533</v>
      </c>
      <c r="AD142" s="231">
        <f>(INDEX(Models!$BJ142:$BT142,,AH142)*(1-AF142)+INDEX(Models!$BJ142:$BT142,,AH142+1)*AF142-ERP_i)*AE142*Ramure*Pc/MaxiM</f>
        <v>5.7650038004418546E-3</v>
      </c>
      <c r="AE142" s="305">
        <f t="shared" si="40"/>
        <v>0.8</v>
      </c>
      <c r="AF142" s="177">
        <f t="shared" si="41"/>
        <v>0.92236102430776801</v>
      </c>
      <c r="AG142" s="809">
        <f t="shared" si="49"/>
        <v>1</v>
      </c>
      <c r="AH142" s="176">
        <f t="shared" si="42"/>
        <v>7</v>
      </c>
      <c r="AI142" s="225">
        <f t="shared" si="43"/>
        <v>1.922361024307768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1141">
        <f>IF(t&gt;Tmaj,'2022'!Wh/'2022'!Env_an*'2023'!Env_an,0.001*[7]mois!$B$148)</f>
        <v>51.712363965160641</v>
      </c>
      <c r="C143" s="839"/>
      <c r="D143" s="393">
        <f t="shared" ref="D143:D206" si="50">Wh/(1-Ppv)</f>
        <v>55.062342592339974</v>
      </c>
      <c r="E143" s="385">
        <f t="shared" si="47"/>
        <v>56.205722103958493</v>
      </c>
      <c r="F143" s="385">
        <f t="shared" ref="F143:F206" si="51">Wh_sa/(1-Pvg*MEDIAN((-Sdif+Wh/Env_an)/Csdif,0,1))</f>
        <v>56.291376297586091</v>
      </c>
      <c r="G143" s="110">
        <f t="shared" si="48"/>
        <v>0.92968457669474414</v>
      </c>
      <c r="H143" s="414" t="b">
        <f>Wh_hp&gt;='2022'!Maxi_hp</f>
        <v>0</v>
      </c>
      <c r="I143" s="390">
        <f>IF(H143,Wh_hp,'2022'!Maxi_hp)</f>
        <v>56.299279898719327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6.0839740364504041E-2</v>
      </c>
      <c r="M143" s="843"/>
      <c r="N143" s="843"/>
      <c r="O143" s="48">
        <f>IF(t&lt;Tnet,'2022'!Resal+('2022'!Salim-'2022'!Resal)*(1-EXP(('2022'!Tnet-t)/('2022'!Tau_j))),Resal+(Salim-Resal)*(1-EXP((Tnet-t)/(Tau_j))))*Salcycl</f>
        <v>2.0342759932942787E-2</v>
      </c>
      <c r="P143" s="169">
        <f>(INDEX(Models!$BJ143:$BT143,,T143)*(1-R143)+INDEX(Models!$BJ143:$BT143,,T143+1)*R143-ERP_i)*Q143*Ramure*Pc/MaxiM</f>
        <v>1.6911140518588398E-3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0.725716608203679</v>
      </c>
      <c r="S143" s="809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0.725716608203679</v>
      </c>
      <c r="V143" s="383">
        <f t="shared" ref="V143:V206" si="58">MaxiM*(1-Ppv)*(1-Pvg)*(1-Psa)</f>
        <v>55.614115869808941</v>
      </c>
      <c r="W143" s="402">
        <f t="shared" ref="W143:W206" si="59">Wh*(A143&gt;Tmaj)</f>
        <v>51.712363965160641</v>
      </c>
      <c r="X143" s="157">
        <f t="shared" ref="X143:X206" si="60">t</f>
        <v>45055</v>
      </c>
      <c r="Y143" s="385">
        <f t="shared" ref="Y143:Y206" si="61">Wh_pvt_s*(1-Ppv)</f>
        <v>45.51262730488741</v>
      </c>
      <c r="Z143" s="385">
        <f t="shared" ref="Z143:Z206" si="62">Wh_sa_s*(1-Psa_s)</f>
        <v>48.460980794216773</v>
      </c>
      <c r="AA143" s="386">
        <f t="shared" ref="AA143:AA206" si="63">Wh_hp*(1-Pvg_s*MEDIAN((-Sdif+Wh/Env_an)/Csdif,0,1))</f>
        <v>55.99869799173571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0.13460522240412368</v>
      </c>
      <c r="AD143" s="231">
        <f>(INDEX(Models!$BJ143:$BT143,,AH143)*(1-AF143)+INDEX(Models!$BJ143:$BT143,,AH143+1)*AF143-ERP_i)*AE143*Ramure*Pc/MaxiM</f>
        <v>5.778495771610756E-3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0.92643335536858262</v>
      </c>
      <c r="AG143" s="80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1.9264333553685826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1141">
        <f>IF(t&gt;Tmaj,'2022'!Wh/'2022'!Env_an*'2023'!Env_an,0.001*[7]mois!$B$149)</f>
        <v>47.985982777032227</v>
      </c>
      <c r="C144" s="839"/>
      <c r="D144" s="393">
        <f t="shared" si="50"/>
        <v>51.095778508358229</v>
      </c>
      <c r="E144" s="385">
        <f t="shared" ref="E144:E169" si="72">Wh_pvt/(1-Psa)</f>
        <v>52.169523192445205</v>
      </c>
      <c r="F144" s="385">
        <f t="shared" si="51"/>
        <v>52.242555905584588</v>
      </c>
      <c r="G144" s="110">
        <f t="shared" ref="G144:G169" si="73">+Wh_hp/MaxiM</f>
        <v>0.86056417523333228</v>
      </c>
      <c r="H144" s="414" t="b">
        <f>Wh_hp&gt;='2022'!Maxi_hp</f>
        <v>0</v>
      </c>
      <c r="I144" s="390">
        <f>IF(H144,Wh_hp,'2022'!Maxi_hp)</f>
        <v>52.257479209340723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6.0862087282167604E-2</v>
      </c>
      <c r="M144" s="843"/>
      <c r="N144" s="843"/>
      <c r="O144" s="48">
        <f>IF(t&lt;Tnet,'2022'!Resal+('2022'!Salim-'2022'!Resal)*(1-EXP(('2022'!Tnet-t)/('2022'!Tau_j))),Resal+(Salim-Resal)*(1-EXP((Tnet-t)/(Tau_j))))*Salcycl</f>
        <v>2.0581838176402318E-2</v>
      </c>
      <c r="P144" s="169">
        <f>(INDEX(Models!$BJ144:$BT144,,T144)*(1-R144)+INDEX(Models!$BJ144:$BT144,,T144+1)*R144-ERP_i)*Q144*Ramure*Pc/MaxiM</f>
        <v>1.7447538272927351E-3</v>
      </c>
      <c r="Q144" s="305">
        <f t="shared" si="53"/>
        <v>0.8</v>
      </c>
      <c r="R144" s="177">
        <f t="shared" si="54"/>
        <v>0.72988660045974096</v>
      </c>
      <c r="S144" s="809">
        <f t="shared" si="55"/>
        <v>0</v>
      </c>
      <c r="T144" s="176">
        <f t="shared" si="56"/>
        <v>6</v>
      </c>
      <c r="U144" s="251">
        <f t="shared" si="57"/>
        <v>0.72988660045974096</v>
      </c>
      <c r="V144" s="383">
        <f t="shared" si="58"/>
        <v>55.741709162018438</v>
      </c>
      <c r="W144" s="402">
        <f t="shared" si="59"/>
        <v>47.985982777032227</v>
      </c>
      <c r="X144" s="157">
        <f t="shared" si="60"/>
        <v>45056</v>
      </c>
      <c r="Y144" s="385">
        <f t="shared" si="61"/>
        <v>42.253904948178437</v>
      </c>
      <c r="Z144" s="385">
        <f t="shared" si="62"/>
        <v>44.992225716771571</v>
      </c>
      <c r="AA144" s="386">
        <f t="shared" si="63"/>
        <v>51.99946611730779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0.13475600662376583</v>
      </c>
      <c r="AD144" s="231">
        <f>(INDEX(Models!$BJ144:$BT144,,AH144)*(1-AF144)+INDEX(Models!$BJ144:$BT144,,AH144+1)*AF144-ERP_i)*AE144*Ramure*Pc/MaxiM</f>
        <v>5.8074227320881354E-3</v>
      </c>
      <c r="AE144" s="305">
        <f t="shared" si="65"/>
        <v>0.8</v>
      </c>
      <c r="AF144" s="177">
        <f t="shared" si="66"/>
        <v>0.93060334762464447</v>
      </c>
      <c r="AG144" s="809">
        <f t="shared" ref="AG144:AG207" si="74">INDEX(Echel_vg,AH144)</f>
        <v>1</v>
      </c>
      <c r="AH144" s="176">
        <f t="shared" si="67"/>
        <v>7</v>
      </c>
      <c r="AI144" s="225">
        <f t="shared" si="68"/>
        <v>1.9306033476246445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1141">
        <f>IF(t&gt;Tmaj,'2022'!Wh/'2022'!Env_an*'2023'!Env_an,0.001*[7]mois!$B$150)</f>
        <v>51.862300545301416</v>
      </c>
      <c r="C145" s="839"/>
      <c r="D145" s="393">
        <f t="shared" si="50"/>
        <v>55.224620275986027</v>
      </c>
      <c r="E145" s="385">
        <f t="shared" si="72"/>
        <v>56.398907234933532</v>
      </c>
      <c r="F145" s="385">
        <f t="shared" si="51"/>
        <v>56.490165998719398</v>
      </c>
      <c r="G145" s="110">
        <f t="shared" si="73"/>
        <v>0.92822355446435167</v>
      </c>
      <c r="H145" s="414" t="b">
        <f>Wh_hp&gt;='2022'!Maxi_hp</f>
        <v>0</v>
      </c>
      <c r="I145" s="390">
        <f>IF(H145,Wh_hp,'2022'!Maxi_hp)</f>
        <v>56.498682503617381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6.0884433679785604E-2</v>
      </c>
      <c r="M145" s="843"/>
      <c r="N145" s="843"/>
      <c r="O145" s="48">
        <f>IF(t&lt;Tnet,'2022'!Resal+('2022'!Salim-'2022'!Resal)*(1-EXP(('2022'!Tnet-t)/('2022'!Tau_j))),Resal+(Salim-Resal)*(1-EXP((Tnet-t)/(Tau_j))))*Salcycl</f>
        <v>2.0821094175742266E-2</v>
      </c>
      <c r="P145" s="169">
        <f>(INDEX(Models!$BJ145:$BT145,,T145)*(1-R145)+INDEX(Models!$BJ145:$BT145,,T145+1)*R145-ERP_i)*Q145*Ramure*Pc/MaxiM</f>
        <v>1.799563741969772E-3</v>
      </c>
      <c r="Q145" s="305">
        <f t="shared" si="53"/>
        <v>0.8</v>
      </c>
      <c r="R145" s="177">
        <f t="shared" si="54"/>
        <v>0.73415416172977799</v>
      </c>
      <c r="S145" s="809">
        <f t="shared" si="55"/>
        <v>0</v>
      </c>
      <c r="T145" s="176">
        <f t="shared" si="56"/>
        <v>6</v>
      </c>
      <c r="U145" s="251">
        <f t="shared" si="57"/>
        <v>0.73415416172977799</v>
      </c>
      <c r="V145" s="383">
        <f t="shared" si="58"/>
        <v>55.8623381938256</v>
      </c>
      <c r="W145" s="402">
        <f t="shared" si="59"/>
        <v>51.862300545301416</v>
      </c>
      <c r="X145" s="157">
        <f t="shared" si="60"/>
        <v>45057</v>
      </c>
      <c r="Y145" s="385">
        <f t="shared" si="61"/>
        <v>45.652706487261803</v>
      </c>
      <c r="Z145" s="385">
        <f t="shared" si="62"/>
        <v>48.612447844033923</v>
      </c>
      <c r="AA145" s="386">
        <f t="shared" si="63"/>
        <v>56.193395240149783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0.13490815715472781</v>
      </c>
      <c r="AD145" s="231">
        <f>(INDEX(Models!$BJ145:$BT145,,AH145)*(1-AF145)+INDEX(Models!$BJ145:$BT145,,AH145+1)*AF145-ERP_i)*AE145*Ramure*Pc/MaxiM</f>
        <v>5.8521272329731993E-3</v>
      </c>
      <c r="AE145" s="305">
        <f t="shared" si="65"/>
        <v>0.8</v>
      </c>
      <c r="AF145" s="177">
        <f t="shared" si="66"/>
        <v>0.93487090889468161</v>
      </c>
      <c r="AG145" s="809">
        <f t="shared" si="74"/>
        <v>1</v>
      </c>
      <c r="AH145" s="176">
        <f t="shared" si="67"/>
        <v>7</v>
      </c>
      <c r="AI145" s="225">
        <f t="shared" si="68"/>
        <v>1.9348709088946816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1141">
        <f>IF(t&gt;Tmaj,'2022'!Wh/'2022'!Env_an*'2023'!Env_an,0.001*[7]mois!$B$151)</f>
        <v>39.645837321654874</v>
      </c>
      <c r="C146" s="839"/>
      <c r="D146" s="393">
        <f t="shared" si="50"/>
        <v>42.217147838601484</v>
      </c>
      <c r="E146" s="385">
        <f t="shared" si="72"/>
        <v>43.125391180595962</v>
      </c>
      <c r="F146" s="385">
        <f t="shared" si="51"/>
        <v>43.172114165132328</v>
      </c>
      <c r="G146" s="110">
        <f t="shared" si="73"/>
        <v>0.70771909209949035</v>
      </c>
      <c r="H146" s="414" t="b">
        <f>Wh_hp&gt;='2022'!Maxi_hp</f>
        <v>0</v>
      </c>
      <c r="I146" s="390">
        <f>IF(H146,Wh_hp,'2022'!Maxi_hp)</f>
        <v>59.943333681324077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6.0906779557370255E-2</v>
      </c>
      <c r="M146" s="843"/>
      <c r="N146" s="843"/>
      <c r="O146" s="48">
        <f>IF(t&lt;Tnet,'2022'!Resal+('2022'!Salim-'2022'!Resal)*(1-EXP(('2022'!Tnet-t)/('2022'!Tau_j))),Resal+(Salim-Resal)*(1-EXP((Tnet-t)/(Tau_j))))*Salcycl</f>
        <v>2.106052413973554E-2</v>
      </c>
      <c r="P146" s="169">
        <f>(INDEX(Models!$BJ146:$BT146,,T146)*(1-R146)+INDEX(Models!$BJ146:$BT146,,T146+1)*R146-ERP_i)*Q146*Ramure*Pc/MaxiM</f>
        <v>1.8555838437202972E-3</v>
      </c>
      <c r="Q146" s="305">
        <f t="shared" si="53"/>
        <v>0.8</v>
      </c>
      <c r="R146" s="177">
        <f t="shared" si="54"/>
        <v>0.73851902690717253</v>
      </c>
      <c r="S146" s="809">
        <f t="shared" si="55"/>
        <v>0</v>
      </c>
      <c r="T146" s="176">
        <f t="shared" si="56"/>
        <v>6</v>
      </c>
      <c r="U146" s="251">
        <f t="shared" si="57"/>
        <v>0.73851902690717253</v>
      </c>
      <c r="V146" s="383">
        <f t="shared" si="58"/>
        <v>55.975803176547693</v>
      </c>
      <c r="W146" s="402">
        <f t="shared" si="59"/>
        <v>39.645837321654874</v>
      </c>
      <c r="X146" s="157">
        <f t="shared" si="60"/>
        <v>45058</v>
      </c>
      <c r="Y146" s="385">
        <f t="shared" si="61"/>
        <v>34.945951075240494</v>
      </c>
      <c r="Z146" s="385">
        <f t="shared" si="62"/>
        <v>37.21244101705809</v>
      </c>
      <c r="AA146" s="386">
        <f t="shared" si="63"/>
        <v>43.023227287705858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0.1350616082747525</v>
      </c>
      <c r="AD146" s="231">
        <f>(INDEX(Models!$BJ146:$BT146,,AH146)*(1-AF146)+INDEX(Models!$BJ146:$BT146,,AH146+1)*AF146-ERP_i)*AE146*Ramure*Pc/MaxiM</f>
        <v>5.9129802395111591E-3</v>
      </c>
      <c r="AE146" s="305">
        <f t="shared" si="65"/>
        <v>0.8</v>
      </c>
      <c r="AF146" s="177">
        <f t="shared" si="66"/>
        <v>0.93923577407207604</v>
      </c>
      <c r="AG146" s="809">
        <f t="shared" si="74"/>
        <v>1</v>
      </c>
      <c r="AH146" s="176">
        <f t="shared" si="67"/>
        <v>7</v>
      </c>
      <c r="AI146" s="225">
        <f t="shared" si="68"/>
        <v>1.939235774072076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1141">
        <f>IF(t&gt;Tmaj,'2022'!Wh/'2022'!Env_an*'2023'!Env_an,0.001*[7]mois!$B$152)</f>
        <v>42.33903074761043</v>
      </c>
      <c r="C147" s="839"/>
      <c r="D147" s="393">
        <f t="shared" si="50"/>
        <v>45.086086546742415</v>
      </c>
      <c r="E147" s="385">
        <f t="shared" si="72"/>
        <v>46.067326267901308</v>
      </c>
      <c r="F147" s="385">
        <f t="shared" si="51"/>
        <v>46.124669286321705</v>
      </c>
      <c r="G147" s="110">
        <f t="shared" si="73"/>
        <v>0.75444377178518884</v>
      </c>
      <c r="H147" s="414" t="b">
        <f>Wh_hp&gt;='2022'!Maxi_hp</f>
        <v>0</v>
      </c>
      <c r="I147" s="390">
        <f>IF(H147,Wh_hp,'2022'!Maxi_hp)</f>
        <v>63.165410025979916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6.0929124914933769E-2</v>
      </c>
      <c r="M147" s="843"/>
      <c r="N147" s="843"/>
      <c r="O147" s="48">
        <f>IF(t&lt;Tnet,'2022'!Resal+('2022'!Salim-'2022'!Resal)*(1-EXP(('2022'!Tnet-t)/('2022'!Tau_j))),Resal+(Salim-Resal)*(1-EXP((Tnet-t)/(Tau_j))))*Salcycl</f>
        <v>2.1300123116600369E-2</v>
      </c>
      <c r="P147" s="169">
        <f>(INDEX(Models!$BJ147:$BT147,,T147)*(1-R147)+INDEX(Models!$BJ147:$BT147,,T147+1)*R147-ERP_i)*Q147*Ramure*Pc/MaxiM</f>
        <v>1.9128535002369098E-3</v>
      </c>
      <c r="Q147" s="305">
        <f t="shared" si="53"/>
        <v>0.8</v>
      </c>
      <c r="R147" s="177">
        <f t="shared" si="54"/>
        <v>0.74298075065771507</v>
      </c>
      <c r="S147" s="809">
        <f t="shared" si="55"/>
        <v>0</v>
      </c>
      <c r="T147" s="176">
        <f t="shared" si="56"/>
        <v>6</v>
      </c>
      <c r="U147" s="251">
        <f t="shared" si="57"/>
        <v>0.74298075065771507</v>
      </c>
      <c r="V147" s="383">
        <f t="shared" si="58"/>
        <v>56.0819047357149</v>
      </c>
      <c r="W147" s="402">
        <f t="shared" si="59"/>
        <v>42.33903074761043</v>
      </c>
      <c r="X147" s="157">
        <f t="shared" si="60"/>
        <v>45059</v>
      </c>
      <c r="Y147" s="385">
        <f t="shared" si="61"/>
        <v>37.31169594139778</v>
      </c>
      <c r="Z147" s="385">
        <f t="shared" si="62"/>
        <v>39.732566445549573</v>
      </c>
      <c r="AA147" s="386">
        <f t="shared" si="63"/>
        <v>45.945091211311663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0.13521628974876357</v>
      </c>
      <c r="AD147" s="231">
        <f>(INDEX(Models!$BJ147:$BT147,,AH147)*(1-AF147)+INDEX(Models!$BJ147:$BT147,,AH147+1)*AF147-ERP_i)*AE147*Ramure*Pc/MaxiM</f>
        <v>5.9903813718075764E-3</v>
      </c>
      <c r="AE147" s="305">
        <f t="shared" si="65"/>
        <v>0.8</v>
      </c>
      <c r="AF147" s="177">
        <f t="shared" si="66"/>
        <v>0.94369749782261847</v>
      </c>
      <c r="AG147" s="809">
        <f t="shared" si="74"/>
        <v>1</v>
      </c>
      <c r="AH147" s="176">
        <f t="shared" si="67"/>
        <v>7</v>
      </c>
      <c r="AI147" s="225">
        <f t="shared" si="68"/>
        <v>1.9436974978226185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1141">
        <f>IF(t&gt;Tmaj,'2022'!Wh/'2022'!Env_an*'2023'!Env_an,0.001*[7]mois!$B$153)</f>
        <v>46.20769224843081</v>
      </c>
      <c r="C148" s="839"/>
      <c r="D148" s="393">
        <f t="shared" si="50"/>
        <v>49.206926756225812</v>
      </c>
      <c r="E148" s="385">
        <f t="shared" si="72"/>
        <v>50.290171260275926</v>
      </c>
      <c r="F148" s="385">
        <f t="shared" si="51"/>
        <v>50.364281368541391</v>
      </c>
      <c r="G148" s="110">
        <f t="shared" si="73"/>
        <v>0.82207534129891191</v>
      </c>
      <c r="H148" s="414" t="b">
        <f>Wh_hp&gt;='2022'!Maxi_hp</f>
        <v>0</v>
      </c>
      <c r="I148" s="390">
        <f>IF(H148,Wh_hp,'2022'!Maxi_hp)</f>
        <v>61.55883645461271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6.0951469752488247E-2</v>
      </c>
      <c r="M148" s="843"/>
      <c r="N148" s="843"/>
      <c r="O148" s="48">
        <f>IF(t&lt;Tnet,'2022'!Resal+('2022'!Salim-'2022'!Resal)*(1-EXP(('2022'!Tnet-t)/('2022'!Tau_j))),Resal+(Salim-Resal)*(1-EXP((Tnet-t)/(Tau_j))))*Salcycl</f>
        <v>2.1539884969645436E-2</v>
      </c>
      <c r="P148" s="169">
        <f>(INDEX(Models!$BJ148:$BT148,,T148)*(1-R148)+INDEX(Models!$BJ148:$BT148,,T148+1)*R148-ERP_i)*Q148*Ramure*Pc/MaxiM</f>
        <v>1.9714113216626142E-3</v>
      </c>
      <c r="Q148" s="305">
        <f t="shared" si="53"/>
        <v>0.8</v>
      </c>
      <c r="R148" s="177">
        <f t="shared" si="54"/>
        <v>0.74753870053643789</v>
      </c>
      <c r="S148" s="809">
        <f t="shared" si="55"/>
        <v>0</v>
      </c>
      <c r="T148" s="176">
        <f t="shared" si="56"/>
        <v>6</v>
      </c>
      <c r="U148" s="251">
        <f t="shared" si="57"/>
        <v>0.74753870053643789</v>
      </c>
      <c r="V148" s="383">
        <f t="shared" si="58"/>
        <v>56.180443911481973</v>
      </c>
      <c r="W148" s="402">
        <f t="shared" si="59"/>
        <v>46.20769224843081</v>
      </c>
      <c r="X148" s="157">
        <f t="shared" si="60"/>
        <v>45060</v>
      </c>
      <c r="Y148" s="385">
        <f t="shared" si="61"/>
        <v>40.70642581178754</v>
      </c>
      <c r="Z148" s="385">
        <f t="shared" si="62"/>
        <v>43.348585829806105</v>
      </c>
      <c r="AA148" s="386">
        <f t="shared" si="63"/>
        <v>50.135540592290994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0.13537212688454534</v>
      </c>
      <c r="AD148" s="231">
        <f>(INDEX(Models!$BJ148:$BT148,,AH148)*(1-AF148)+INDEX(Models!$BJ148:$BT148,,AH148+1)*AF148-ERP_i)*AE148*Ramure*Pc/MaxiM</f>
        <v>6.0847591047991003E-3</v>
      </c>
      <c r="AE148" s="305">
        <f t="shared" si="65"/>
        <v>0.8</v>
      </c>
      <c r="AF148" s="177">
        <f t="shared" si="66"/>
        <v>0.9482554477013414</v>
      </c>
      <c r="AG148" s="809">
        <f t="shared" si="74"/>
        <v>1</v>
      </c>
      <c r="AH148" s="176">
        <f t="shared" si="67"/>
        <v>7</v>
      </c>
      <c r="AI148" s="225">
        <f t="shared" si="68"/>
        <v>1.9482554477013414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1141">
        <f>IF(t&gt;Tmaj,'2022'!Wh/'2022'!Env_an*'2023'!Env_an,0.001*[7]mois!$B$154)</f>
        <v>48.599285282703264</v>
      </c>
      <c r="C149" s="839"/>
      <c r="D149" s="393">
        <f t="shared" si="50"/>
        <v>51.754984057844439</v>
      </c>
      <c r="E149" s="385">
        <f t="shared" si="72"/>
        <v>52.907294474769543</v>
      </c>
      <c r="F149" s="385">
        <f t="shared" si="51"/>
        <v>52.993976115163797</v>
      </c>
      <c r="G149" s="110">
        <f t="shared" si="73"/>
        <v>0.86332494722753916</v>
      </c>
      <c r="H149" s="414" t="b">
        <f>Wh_hp&gt;='2022'!Maxi_hp</f>
        <v>0</v>
      </c>
      <c r="I149" s="390">
        <f>IF(H149,Wh_hp,'2022'!Maxi_hp)</f>
        <v>62.517859934391758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6.0973814070045568E-2</v>
      </c>
      <c r="M149" s="843"/>
      <c r="N149" s="843"/>
      <c r="O149" s="48">
        <f>IF(t&lt;Tnet,'2022'!Resal+('2022'!Salim-'2022'!Resal)*(1-EXP(('2022'!Tnet-t)/('2022'!Tau_j))),Resal+(Salim-Resal)*(1-EXP((Tnet-t)/(Tau_j))))*Salcycl</f>
        <v>2.1779802357397397E-2</v>
      </c>
      <c r="P149" s="169">
        <f>(INDEX(Models!$BJ149:$BT149,,T149)*(1-R149)+INDEX(Models!$BJ149:$BT149,,T149+1)*R149-ERP_i)*Q149*Ramure*Pc/MaxiM</f>
        <v>2.0313085612297544E-3</v>
      </c>
      <c r="Q149" s="305">
        <f t="shared" si="53"/>
        <v>0.8</v>
      </c>
      <c r="R149" s="177">
        <f t="shared" si="54"/>
        <v>0.75219205059448546</v>
      </c>
      <c r="S149" s="809">
        <f t="shared" si="55"/>
        <v>0</v>
      </c>
      <c r="T149" s="176">
        <f t="shared" si="56"/>
        <v>6</v>
      </c>
      <c r="U149" s="251">
        <f t="shared" si="57"/>
        <v>0.75219205059448546</v>
      </c>
      <c r="V149" s="383">
        <f t="shared" si="58"/>
        <v>56.270848060937851</v>
      </c>
      <c r="W149" s="402">
        <f t="shared" si="59"/>
        <v>48.599285282703264</v>
      </c>
      <c r="X149" s="157">
        <f t="shared" si="60"/>
        <v>45061</v>
      </c>
      <c r="Y149" s="385">
        <f t="shared" si="61"/>
        <v>42.80378468359514</v>
      </c>
      <c r="Z149" s="385">
        <f t="shared" si="62"/>
        <v>45.583164053305794</v>
      </c>
      <c r="AA149" s="386">
        <f t="shared" si="63"/>
        <v>52.729549278961755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0.13552904061152785</v>
      </c>
      <c r="AD149" s="231">
        <f>(INDEX(Models!$BJ149:$BT149,,AH149)*(1-AF149)+INDEX(Models!$BJ149:$BT149,,AH149+1)*AF149-ERP_i)*AE149*Ramure*Pc/MaxiM</f>
        <v>6.1966120363324308E-3</v>
      </c>
      <c r="AE149" s="305">
        <f t="shared" si="65"/>
        <v>0.8</v>
      </c>
      <c r="AF149" s="177">
        <f t="shared" si="66"/>
        <v>0.95290879775938908</v>
      </c>
      <c r="AG149" s="809">
        <f t="shared" si="74"/>
        <v>1</v>
      </c>
      <c r="AH149" s="176">
        <f t="shared" si="67"/>
        <v>7</v>
      </c>
      <c r="AI149" s="225">
        <f t="shared" si="68"/>
        <v>1.9529087977593891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1141">
        <f>IF(t&gt;Tmaj,'2022'!Wh/'2022'!Env_an*'2023'!Env_an,0.001*[7]mois!$B$155)</f>
        <v>47.116189538937853</v>
      </c>
      <c r="C150" s="839"/>
      <c r="D150" s="393">
        <f t="shared" si="50"/>
        <v>50.17678035474465</v>
      </c>
      <c r="E150" s="385">
        <f t="shared" si="72"/>
        <v>51.306543606757259</v>
      </c>
      <c r="F150" s="385">
        <f t="shared" si="51"/>
        <v>51.388879573690538</v>
      </c>
      <c r="G150" s="110">
        <f t="shared" si="73"/>
        <v>0.83568021430942374</v>
      </c>
      <c r="H150" s="414" t="b">
        <f>Wh_hp&gt;='2022'!Maxi_hp</f>
        <v>0</v>
      </c>
      <c r="I150" s="390">
        <f>IF(H150,Wh_hp,'2022'!Maxi_hp)</f>
        <v>52.342496301263523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6.0996157867618056E-2</v>
      </c>
      <c r="M150" s="843"/>
      <c r="N150" s="843"/>
      <c r="O150" s="48">
        <f>IF(t&lt;Tnet,'2022'!Resal+('2022'!Salim-'2022'!Resal)*(1-EXP(('2022'!Tnet-t)/('2022'!Tau_j))),Resal+(Salim-Resal)*(1-EXP((Tnet-t)/(Tau_j))))*Salcycl</f>
        <v>2.2019866718595609E-2</v>
      </c>
      <c r="P150" s="169">
        <f>(INDEX(Models!$BJ150:$BT150,,T150)*(1-R150)+INDEX(Models!$BJ150:$BT150,,T150+1)*R150-ERP_i)*Q150*Ramure*Pc/MaxiM</f>
        <v>2.0920902155957886E-3</v>
      </c>
      <c r="Q150" s="305">
        <f t="shared" si="53"/>
        <v>0.8</v>
      </c>
      <c r="R150" s="177">
        <f t="shared" si="54"/>
        <v>0.75693977554783687</v>
      </c>
      <c r="S150" s="809">
        <f t="shared" si="55"/>
        <v>0</v>
      </c>
      <c r="T150" s="176">
        <f t="shared" si="56"/>
        <v>6</v>
      </c>
      <c r="U150" s="251">
        <f t="shared" si="57"/>
        <v>0.75693977554783687</v>
      </c>
      <c r="V150" s="383">
        <f t="shared" si="58"/>
        <v>56.352981173448143</v>
      </c>
      <c r="W150" s="402">
        <f t="shared" si="59"/>
        <v>47.116189538937853</v>
      </c>
      <c r="X150" s="157">
        <f t="shared" si="60"/>
        <v>45062</v>
      </c>
      <c r="Y150" s="385">
        <f t="shared" si="61"/>
        <v>41.504834302165747</v>
      </c>
      <c r="Z150" s="385">
        <f t="shared" si="62"/>
        <v>44.200920635119552</v>
      </c>
      <c r="AA150" s="386">
        <f t="shared" si="63"/>
        <v>51.139943463239831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0.13568694758350991</v>
      </c>
      <c r="AD150" s="231">
        <f>(INDEX(Models!$BJ150:$BT150,,AH150)*(1-AF150)+INDEX(Models!$BJ150:$BT150,,AH150+1)*AF150-ERP_i)*AE150*Ramure*Pc/MaxiM</f>
        <v>6.3252648918842198E-3</v>
      </c>
      <c r="AE150" s="305">
        <f t="shared" si="65"/>
        <v>0.8</v>
      </c>
      <c r="AF150" s="177">
        <f t="shared" si="66"/>
        <v>0.95765652271274027</v>
      </c>
      <c r="AG150" s="809">
        <f t="shared" si="74"/>
        <v>1</v>
      </c>
      <c r="AH150" s="176">
        <f t="shared" si="67"/>
        <v>7</v>
      </c>
      <c r="AI150" s="225">
        <f t="shared" si="68"/>
        <v>1.9576565227127403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1141">
        <f>IF(t&gt;Tmaj,'2022'!Wh/'2022'!Env_an*'2023'!Env_an,0.001*[7]mois!$B$156)</f>
        <v>50.220952357163526</v>
      </c>
      <c r="C151" s="839"/>
      <c r="D151" s="393">
        <f t="shared" si="50"/>
        <v>53.484496146532081</v>
      </c>
      <c r="E151" s="385">
        <f t="shared" si="72"/>
        <v>54.702170189042597</v>
      </c>
      <c r="F151" s="385">
        <f t="shared" si="51"/>
        <v>54.801655593863629</v>
      </c>
      <c r="G151" s="110">
        <f t="shared" si="73"/>
        <v>0.88971055244791286</v>
      </c>
      <c r="H151" s="414" t="b">
        <f>Wh_hp&gt;='2022'!Maxi_hp</f>
        <v>0</v>
      </c>
      <c r="I151" s="390">
        <f>IF(H151,Wh_hp,'2022'!Maxi_hp)</f>
        <v>59.99498381286103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6.1018501145217702E-2</v>
      </c>
      <c r="M151" s="843"/>
      <c r="N151" s="843"/>
      <c r="O151" s="48">
        <f>IF(t&lt;Tnet,'2022'!Resal+('2022'!Salim-'2022'!Resal)*(1-EXP(('2022'!Tnet-t)/('2022'!Tau_j))),Resal+(Salim-Resal)*(1-EXP((Tnet-t)/(Tau_j))))*Salcycl</f>
        <v>2.2260068262418432E-2</v>
      </c>
      <c r="P151" s="169">
        <f>(INDEX(Models!$BJ151:$BT151,,T151)*(1-R151)+INDEX(Models!$BJ151:$BT151,,T151+1)*R151-ERP_i)*Q151*Ramure*Pc/MaxiM</f>
        <v>2.1537866070944129E-3</v>
      </c>
      <c r="Q151" s="305">
        <f t="shared" si="53"/>
        <v>0.8</v>
      </c>
      <c r="R151" s="177">
        <f t="shared" si="54"/>
        <v>0.7617806455798054</v>
      </c>
      <c r="S151" s="809">
        <f t="shared" si="55"/>
        <v>0</v>
      </c>
      <c r="T151" s="176">
        <f t="shared" si="56"/>
        <v>6</v>
      </c>
      <c r="U151" s="251">
        <f t="shared" si="57"/>
        <v>0.7617806455798054</v>
      </c>
      <c r="V151" s="383">
        <f t="shared" si="58"/>
        <v>56.42725695281068</v>
      </c>
      <c r="W151" s="402">
        <f t="shared" si="59"/>
        <v>50.220952357163526</v>
      </c>
      <c r="X151" s="157">
        <f t="shared" si="60"/>
        <v>45063</v>
      </c>
      <c r="Y151" s="385">
        <f t="shared" si="61"/>
        <v>44.225291735030012</v>
      </c>
      <c r="Z151" s="385">
        <f t="shared" si="62"/>
        <v>47.099215255006477</v>
      </c>
      <c r="AA151" s="386">
        <f t="shared" si="63"/>
        <v>54.503250798935284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0.13584576030597875</v>
      </c>
      <c r="AD151" s="231">
        <f>(INDEX(Models!$BJ151:$BT151,,AH151)*(1-AF151)+INDEX(Models!$BJ151:$BT151,,AH151+1)*AF151-ERP_i)*AE151*Ramure*Pc/MaxiM</f>
        <v>6.4602466257803557E-3</v>
      </c>
      <c r="AE151" s="305">
        <f t="shared" si="65"/>
        <v>0.8</v>
      </c>
      <c r="AF151" s="177">
        <f t="shared" si="66"/>
        <v>0.96249739274470891</v>
      </c>
      <c r="AG151" s="809">
        <f t="shared" si="74"/>
        <v>1</v>
      </c>
      <c r="AH151" s="176">
        <f t="shared" si="67"/>
        <v>7</v>
      </c>
      <c r="AI151" s="225">
        <f t="shared" si="68"/>
        <v>1.9624973927447089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1141">
        <f>IF(t&gt;Tmaj,'2022'!Wh/'2022'!Env_an*'2023'!Env_an,0.001*[7]mois!$B$157)</f>
        <v>49.034744565384337</v>
      </c>
      <c r="C152" s="839"/>
      <c r="D152" s="393">
        <f t="shared" si="50"/>
        <v>52.222446787995608</v>
      </c>
      <c r="E152" s="385">
        <f t="shared" si="72"/>
        <v>53.424519633961239</v>
      </c>
      <c r="F152" s="385">
        <f t="shared" si="51"/>
        <v>53.520767296584978</v>
      </c>
      <c r="G152" s="110">
        <f t="shared" si="73"/>
        <v>0.86759884349603833</v>
      </c>
      <c r="H152" s="414" t="b">
        <f>Wh_hp&gt;='2022'!Maxi_hp</f>
        <v>0</v>
      </c>
      <c r="I152" s="390">
        <f>IF(H152,Wh_hp,'2022'!Maxi_hp)</f>
        <v>63.269617508467668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6.1040843902856606E-2</v>
      </c>
      <c r="M152" s="843"/>
      <c r="N152" s="843"/>
      <c r="O152" s="48">
        <f>IF(t&lt;Tnet,'2022'!Resal+('2022'!Salim-'2022'!Resal)*(1-EXP(('2022'!Tnet-t)/('2022'!Tau_j))),Resal+(Salim-Resal)*(1-EXP((Tnet-t)/(Tau_j))))*Salcycl</f>
        <v>2.2500395964281036E-2</v>
      </c>
      <c r="P152" s="169">
        <f>(INDEX(Models!$BJ152:$BT152,,T152)*(1-R152)+INDEX(Models!$BJ152:$BT152,,T152+1)*R152-ERP_i)*Q152*Ramure*Pc/MaxiM</f>
        <v>2.2163908187181171E-3</v>
      </c>
      <c r="Q152" s="305">
        <f t="shared" si="53"/>
        <v>0.8</v>
      </c>
      <c r="R152" s="177">
        <f t="shared" si="54"/>
        <v>0.76671322184855395</v>
      </c>
      <c r="S152" s="809">
        <f t="shared" si="55"/>
        <v>0</v>
      </c>
      <c r="T152" s="176">
        <f t="shared" si="56"/>
        <v>6</v>
      </c>
      <c r="U152" s="251">
        <f t="shared" si="57"/>
        <v>0.76671322184855395</v>
      </c>
      <c r="V152" s="383">
        <f t="shared" si="58"/>
        <v>56.494090771573894</v>
      </c>
      <c r="W152" s="402">
        <f t="shared" si="59"/>
        <v>49.034744565384337</v>
      </c>
      <c r="X152" s="157">
        <f t="shared" si="60"/>
        <v>45064</v>
      </c>
      <c r="Y152" s="385">
        <f t="shared" si="61"/>
        <v>43.186454465168815</v>
      </c>
      <c r="Z152" s="385">
        <f t="shared" si="62"/>
        <v>45.993964896914861</v>
      </c>
      <c r="AA152" s="386">
        <f t="shared" si="63"/>
        <v>53.234087597572675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0.13600538728850012</v>
      </c>
      <c r="AD152" s="231">
        <f>(INDEX(Models!$BJ152:$BT152,,AH152)*(1-AF152)+INDEX(Models!$BJ152:$BT152,,AH152+1)*AF152-ERP_i)*AE152*Ramure*Pc/MaxiM</f>
        <v>6.6016590479466963E-3</v>
      </c>
      <c r="AE152" s="305">
        <f t="shared" si="65"/>
        <v>0.8</v>
      </c>
      <c r="AF152" s="177">
        <f t="shared" si="66"/>
        <v>0.96742996901345735</v>
      </c>
      <c r="AG152" s="809">
        <f t="shared" si="74"/>
        <v>1</v>
      </c>
      <c r="AH152" s="176">
        <f t="shared" si="67"/>
        <v>7</v>
      </c>
      <c r="AI152" s="225">
        <f t="shared" si="68"/>
        <v>1.9674299690134573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1141">
        <f>IF(t&gt;Tmaj,'2022'!Wh/'2022'!Env_an*'2023'!Env_an,0.001*[7]mois!$B$158)</f>
        <v>51.567889156877428</v>
      </c>
      <c r="C153" s="839"/>
      <c r="D153" s="393">
        <f t="shared" si="50"/>
        <v>54.921575547677364</v>
      </c>
      <c r="E153" s="385">
        <f t="shared" si="72"/>
        <v>56.199601558068416</v>
      </c>
      <c r="F153" s="385">
        <f t="shared" si="51"/>
        <v>56.311816516930833</v>
      </c>
      <c r="G153" s="110">
        <f t="shared" si="73"/>
        <v>0.91157380643358943</v>
      </c>
      <c r="H153" s="414" t="b">
        <f>Wh_hp&gt;='2022'!Maxi_hp</f>
        <v>0</v>
      </c>
      <c r="I153" s="390">
        <f>IF(H153,Wh_hp,'2022'!Maxi_hp)</f>
        <v>62.475898424686022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6.1063186140546982E-2</v>
      </c>
      <c r="M153" s="843"/>
      <c r="N153" s="843"/>
      <c r="O153" s="48">
        <f>IF(t&lt;Tnet,'2022'!Resal+('2022'!Salim-'2022'!Resal)*(1-EXP(('2022'!Tnet-t)/('2022'!Tau_j))),Resal+(Salim-Resal)*(1-EXP((Tnet-t)/(Tau_j))))*Salcycl</f>
        <v>2.2740837567514161E-2</v>
      </c>
      <c r="P153" s="169">
        <f>(INDEX(Models!$BJ153:$BT153,,T153)*(1-R153)+INDEX(Models!$BJ153:$BT153,,T153+1)*R153-ERP_i)*Q153*Ramure*Pc/MaxiM</f>
        <v>2.2798911658380035E-3</v>
      </c>
      <c r="Q153" s="305">
        <f t="shared" si="53"/>
        <v>0.8</v>
      </c>
      <c r="R153" s="177">
        <f t="shared" si="54"/>
        <v>0.77173585276930967</v>
      </c>
      <c r="S153" s="809">
        <f t="shared" si="55"/>
        <v>0</v>
      </c>
      <c r="T153" s="176">
        <f t="shared" si="56"/>
        <v>6</v>
      </c>
      <c r="U153" s="251">
        <f t="shared" si="57"/>
        <v>0.77173585276930967</v>
      </c>
      <c r="V153" s="383">
        <f t="shared" si="58"/>
        <v>56.553897867418016</v>
      </c>
      <c r="W153" s="402">
        <f t="shared" si="59"/>
        <v>51.567889156877428</v>
      </c>
      <c r="X153" s="157">
        <f t="shared" si="60"/>
        <v>45065</v>
      </c>
      <c r="Y153" s="385">
        <f t="shared" si="61"/>
        <v>45.404262223970257</v>
      </c>
      <c r="Z153" s="385">
        <f t="shared" si="62"/>
        <v>48.35710087597726</v>
      </c>
      <c r="AA153" s="386">
        <f t="shared" si="63"/>
        <v>55.979604810502394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0.13616573322245157</v>
      </c>
      <c r="AD153" s="231">
        <f>(INDEX(Models!$BJ153:$BT153,,AH153)*(1-AF153)+INDEX(Models!$BJ153:$BT153,,AH153+1)*AF153-ERP_i)*AE153*Ramure*Pc/MaxiM</f>
        <v>6.7496039953352091E-3</v>
      </c>
      <c r="AE153" s="305">
        <f t="shared" si="65"/>
        <v>0.8</v>
      </c>
      <c r="AF153" s="177">
        <f t="shared" si="66"/>
        <v>0.97245259993421307</v>
      </c>
      <c r="AG153" s="809">
        <f t="shared" si="74"/>
        <v>1</v>
      </c>
      <c r="AH153" s="176">
        <f t="shared" si="67"/>
        <v>7</v>
      </c>
      <c r="AI153" s="225">
        <f t="shared" si="68"/>
        <v>1.9724525999342131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1141">
        <f>IF(t&gt;Tmaj,'2022'!Wh/'2022'!Env_an*'2023'!Env_an,0.001*[7]mois!$B$159)</f>
        <v>45.856133887811367</v>
      </c>
      <c r="C154" s="839"/>
      <c r="D154" s="393">
        <f t="shared" si="50"/>
        <v>48.839521861040012</v>
      </c>
      <c r="E154" s="385">
        <f t="shared" si="72"/>
        <v>49.988322474964463</v>
      </c>
      <c r="F154" s="385">
        <f t="shared" si="51"/>
        <v>50.073860070243214</v>
      </c>
      <c r="G154" s="110">
        <f t="shared" si="73"/>
        <v>0.80956139661389348</v>
      </c>
      <c r="H154" s="414" t="b">
        <f>Wh_hp&gt;='2022'!Maxi_hp</f>
        <v>0</v>
      </c>
      <c r="I154" s="390">
        <f>IF(H154,Wh_hp,'2022'!Maxi_hp)</f>
        <v>61.584962409087645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6.1085527858300709E-2</v>
      </c>
      <c r="M154" s="843"/>
      <c r="N154" s="843"/>
      <c r="O154" s="48">
        <f>IF(t&lt;Tnet,'2022'!Resal+('2022'!Salim-'2022'!Resal)*(1-EXP(('2022'!Tnet-t)/('2022'!Tau_j))),Resal+(Salim-Resal)*(1-EXP((Tnet-t)/(Tau_j))))*Salcycl</f>
        <v>2.2981379591199544E-2</v>
      </c>
      <c r="P154" s="169">
        <f>(INDEX(Models!$BJ154:$BT154,,T154)*(1-R154)+INDEX(Models!$BJ154:$BT154,,T154+1)*R154-ERP_i)*Q154*Ramure*Pc/MaxiM</f>
        <v>2.3442710254701488E-3</v>
      </c>
      <c r="Q154" s="305">
        <f t="shared" si="53"/>
        <v>0.8</v>
      </c>
      <c r="R154" s="177">
        <f t="shared" si="54"/>
        <v>0.77684667113850248</v>
      </c>
      <c r="S154" s="809">
        <f t="shared" si="55"/>
        <v>0</v>
      </c>
      <c r="T154" s="176">
        <f t="shared" si="56"/>
        <v>6</v>
      </c>
      <c r="U154" s="251">
        <f t="shared" si="57"/>
        <v>0.77684667113850248</v>
      </c>
      <c r="V154" s="383">
        <f t="shared" si="58"/>
        <v>56.607093322919283</v>
      </c>
      <c r="W154" s="402">
        <f t="shared" si="59"/>
        <v>45.856133887811367</v>
      </c>
      <c r="X154" s="157">
        <f t="shared" si="60"/>
        <v>45066</v>
      </c>
      <c r="Y154" s="385">
        <f t="shared" si="61"/>
        <v>40.401377081959211</v>
      </c>
      <c r="Z154" s="385">
        <f t="shared" si="62"/>
        <v>43.029880016442974</v>
      </c>
      <c r="AA154" s="386">
        <f t="shared" si="63"/>
        <v>49.821940745182779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0.1363266991841646</v>
      </c>
      <c r="AD154" s="231">
        <f>(INDEX(Models!$BJ154:$BT154,,AH154)*(1-AF154)+INDEX(Models!$BJ154:$BT154,,AH154+1)*AF154-ERP_i)*AE154*Ramure*Pc/MaxiM</f>
        <v>6.9041825710745297E-3</v>
      </c>
      <c r="AE154" s="305">
        <f t="shared" si="65"/>
        <v>0.8</v>
      </c>
      <c r="AF154" s="177">
        <f t="shared" si="66"/>
        <v>0.9775634183034061</v>
      </c>
      <c r="AG154" s="809">
        <f t="shared" si="74"/>
        <v>1</v>
      </c>
      <c r="AH154" s="176">
        <f t="shared" si="67"/>
        <v>7</v>
      </c>
      <c r="AI154" s="225">
        <f t="shared" si="68"/>
        <v>1.9775634183034061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1141">
        <f>IF(t&gt;Tmaj,'2022'!Wh/'2022'!Env_an*'2023'!Env_an,0.001*[7]mois!$B$160)</f>
        <v>44.679856020510456</v>
      </c>
      <c r="C155" s="839"/>
      <c r="D155" s="393">
        <f t="shared" si="50"/>
        <v>47.587848005067116</v>
      </c>
      <c r="E155" s="385">
        <f t="shared" si="72"/>
        <v>48.719205759016262</v>
      </c>
      <c r="F155" s="385">
        <f t="shared" si="51"/>
        <v>48.801288806456441</v>
      </c>
      <c r="G155" s="110">
        <f t="shared" si="73"/>
        <v>0.78806832768010915</v>
      </c>
      <c r="H155" s="414" t="b">
        <f>Wh_hp&gt;='2022'!Maxi_hp</f>
        <v>0</v>
      </c>
      <c r="I155" s="390">
        <f>IF(H155,Wh_hp,'2022'!Maxi_hp)</f>
        <v>60.33184776738014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6.110786905613011E-2</v>
      </c>
      <c r="M155" s="843"/>
      <c r="N155" s="843"/>
      <c r="O155" s="48">
        <f>IF(t&lt;Tnet,'2022'!Resal+('2022'!Salim-'2022'!Resal)*(1-EXP(('2022'!Tnet-t)/('2022'!Tau_j))),Resal+(Salim-Resal)*(1-EXP((Tnet-t)/(Tau_j))))*Salcycl</f>
        <v>2.3222007344398745E-2</v>
      </c>
      <c r="P155" s="169">
        <f>(INDEX(Models!$BJ155:$BT155,,T155)*(1-R155)+INDEX(Models!$BJ155:$BT155,,T155+1)*R155-ERP_i)*Q155*Ramure*Pc/MaxiM</f>
        <v>2.4095086711276724E-3</v>
      </c>
      <c r="Q155" s="305">
        <f t="shared" si="53"/>
        <v>0.8</v>
      </c>
      <c r="R155" s="177">
        <f t="shared" si="54"/>
        <v>0.78204359216363395</v>
      </c>
      <c r="S155" s="809">
        <f t="shared" si="55"/>
        <v>0</v>
      </c>
      <c r="T155" s="176">
        <f t="shared" si="56"/>
        <v>6</v>
      </c>
      <c r="U155" s="251">
        <f t="shared" si="57"/>
        <v>0.78204359216363395</v>
      </c>
      <c r="V155" s="383">
        <f t="shared" si="58"/>
        <v>56.65409209330636</v>
      </c>
      <c r="W155" s="402">
        <f t="shared" si="59"/>
        <v>44.679856020510456</v>
      </c>
      <c r="X155" s="157">
        <f t="shared" si="60"/>
        <v>45067</v>
      </c>
      <c r="Y155" s="385">
        <f t="shared" si="61"/>
        <v>39.370231713538161</v>
      </c>
      <c r="Z155" s="385">
        <f t="shared" si="62"/>
        <v>41.932646377554789</v>
      </c>
      <c r="AA155" s="386">
        <f t="shared" si="63"/>
        <v>48.560593549952138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0.13648818286332251</v>
      </c>
      <c r="AD155" s="231">
        <f>(INDEX(Models!$BJ155:$BT155,,AH155)*(1-AF155)+INDEX(Models!$BJ155:$BT155,,AH155+1)*AF155-ERP_i)*AE155*Ramure*Pc/MaxiM</f>
        <v>7.0654943466750978E-3</v>
      </c>
      <c r="AE155" s="305">
        <f t="shared" si="65"/>
        <v>0.8</v>
      </c>
      <c r="AF155" s="177">
        <f t="shared" si="66"/>
        <v>0.98276033932853735</v>
      </c>
      <c r="AG155" s="809">
        <f t="shared" si="74"/>
        <v>1</v>
      </c>
      <c r="AH155" s="176">
        <f t="shared" si="67"/>
        <v>7</v>
      </c>
      <c r="AI155" s="225">
        <f t="shared" si="68"/>
        <v>1.9827603393285373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1141">
        <f>IF(t&gt;Tmaj,'2022'!Wh/'2022'!Env_an*'2023'!Env_an,0.001*[7]mois!$B$161)</f>
        <v>33.020436988607081</v>
      </c>
      <c r="C156" s="839"/>
      <c r="D156" s="393">
        <f t="shared" si="50"/>
        <v>35.170411627850349</v>
      </c>
      <c r="E156" s="385">
        <f t="shared" si="72"/>
        <v>36.015431060357429</v>
      </c>
      <c r="F156" s="385">
        <f t="shared" si="51"/>
        <v>36.051425243751069</v>
      </c>
      <c r="G156" s="110">
        <f t="shared" si="73"/>
        <v>0.58155801951724673</v>
      </c>
      <c r="H156" s="414" t="b">
        <f>Wh_hp&gt;='2022'!Maxi_hp</f>
        <v>0</v>
      </c>
      <c r="I156" s="390">
        <f>IF(H156,Wh_hp,'2022'!Maxi_hp)</f>
        <v>60.101475651272665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6.1130209734047286E-2</v>
      </c>
      <c r="M156" s="843"/>
      <c r="N156" s="843"/>
      <c r="O156" s="48">
        <f>IF(t&lt;Tnet,'2022'!Resal+('2022'!Salim-'2022'!Resal)*(1-EXP(('2022'!Tnet-t)/('2022'!Tau_j))),Resal+(Salim-Resal)*(1-EXP((Tnet-t)/(Tau_j))))*Salcycl</f>
        <v>2.3462704946969243E-2</v>
      </c>
      <c r="P156" s="169">
        <f>(INDEX(Models!$BJ156:$BT156,,T156)*(1-R156)+INDEX(Models!$BJ156:$BT156,,T156+1)*R156-ERP_i)*Q156*Ramure*Pc/MaxiM</f>
        <v>2.4746542161769081E-3</v>
      </c>
      <c r="Q156" s="305">
        <f t="shared" si="53"/>
        <v>0.8</v>
      </c>
      <c r="R156" s="177">
        <f t="shared" si="54"/>
        <v>0.78732431245830059</v>
      </c>
      <c r="S156" s="809">
        <f t="shared" si="55"/>
        <v>0</v>
      </c>
      <c r="T156" s="176">
        <f t="shared" si="56"/>
        <v>6</v>
      </c>
      <c r="U156" s="251">
        <f t="shared" si="57"/>
        <v>0.78732431245830059</v>
      </c>
      <c r="V156" s="383">
        <f t="shared" si="58"/>
        <v>56.695361440731951</v>
      </c>
      <c r="W156" s="402">
        <f t="shared" si="59"/>
        <v>33.020436988607081</v>
      </c>
      <c r="X156" s="157">
        <f t="shared" si="60"/>
        <v>45068</v>
      </c>
      <c r="Y156" s="385">
        <f t="shared" si="61"/>
        <v>29.137054706542472</v>
      </c>
      <c r="Z156" s="385">
        <f t="shared" si="62"/>
        <v>31.034180680463525</v>
      </c>
      <c r="AA156" s="386">
        <f t="shared" si="63"/>
        <v>35.946236767951206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0.13665007881623795</v>
      </c>
      <c r="AD156" s="231">
        <f>(INDEX(Models!$BJ156:$BT156,,AH156)*(1-AF156)+INDEX(Models!$BJ156:$BT156,,AH156+1)*AF156-ERP_i)*AE156*Ramure*Pc/MaxiM</f>
        <v>7.2318658346720403E-3</v>
      </c>
      <c r="AE156" s="305">
        <f t="shared" si="65"/>
        <v>0.8</v>
      </c>
      <c r="AF156" s="177">
        <f t="shared" si="66"/>
        <v>0.9880410596232041</v>
      </c>
      <c r="AG156" s="809">
        <f t="shared" si="74"/>
        <v>1</v>
      </c>
      <c r="AH156" s="176">
        <f t="shared" si="67"/>
        <v>7</v>
      </c>
      <c r="AI156" s="225">
        <f t="shared" si="68"/>
        <v>1.9880410596232041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1141">
        <f>IF(t&gt;Tmaj,'2022'!Wh/'2022'!Env_an*'2023'!Env_an,0.001*[7]mois!$B$162)</f>
        <v>19.335825333610316</v>
      </c>
      <c r="C157" s="839"/>
      <c r="D157" s="393">
        <f t="shared" si="50"/>
        <v>20.595279170633468</v>
      </c>
      <c r="E157" s="385">
        <f t="shared" si="72"/>
        <v>21.095310931543782</v>
      </c>
      <c r="F157" s="385">
        <f t="shared" si="51"/>
        <v>21.098436705787289</v>
      </c>
      <c r="G157" s="110">
        <f t="shared" si="73"/>
        <v>0.34001637385068367</v>
      </c>
      <c r="H157" s="414" t="b">
        <f>Wh_hp&gt;='2022'!Maxi_hp</f>
        <v>0</v>
      </c>
      <c r="I157" s="390">
        <f>IF(H157,Wh_hp,'2022'!Maxi_hp)</f>
        <v>57.387775282609631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6.1152549892064118E-2</v>
      </c>
      <c r="M157" s="843"/>
      <c r="N157" s="843"/>
      <c r="O157" s="48">
        <f>IF(t&lt;Tnet,'2022'!Resal+('2022'!Salim-'2022'!Resal)*(1-EXP(('2022'!Tnet-t)/('2022'!Tau_j))),Resal+(Salim-Resal)*(1-EXP((Tnet-t)/(Tau_j))))*Salcycl</f>
        <v>2.3703455357115259E-2</v>
      </c>
      <c r="P157" s="169">
        <f>(INDEX(Models!$BJ157:$BT157,,T157)*(1-R157)+INDEX(Models!$BJ157:$BT157,,T157+1)*R157-ERP_i)*Q157*Ramure*Pc/MaxiM</f>
        <v>2.5398514585331386E-3</v>
      </c>
      <c r="Q157" s="305">
        <f t="shared" si="53"/>
        <v>0.8</v>
      </c>
      <c r="R157" s="177">
        <f t="shared" si="54"/>
        <v>0.79268631005642742</v>
      </c>
      <c r="S157" s="809">
        <f t="shared" si="55"/>
        <v>0</v>
      </c>
      <c r="T157" s="176">
        <f t="shared" si="56"/>
        <v>6</v>
      </c>
      <c r="U157" s="251">
        <f t="shared" si="57"/>
        <v>0.79268631005642742</v>
      </c>
      <c r="V157" s="383">
        <f t="shared" si="58"/>
        <v>56.731306138477009</v>
      </c>
      <c r="W157" s="402">
        <f t="shared" si="59"/>
        <v>19.335825333610316</v>
      </c>
      <c r="X157" s="157">
        <f t="shared" si="60"/>
        <v>45069</v>
      </c>
      <c r="Y157" s="385">
        <f t="shared" si="61"/>
        <v>17.090828003777791</v>
      </c>
      <c r="Z157" s="385">
        <f t="shared" si="62"/>
        <v>18.204052215099395</v>
      </c>
      <c r="AA157" s="386">
        <f t="shared" si="63"/>
        <v>21.089331748832873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0.13681227874340562</v>
      </c>
      <c r="AD157" s="231">
        <f>(INDEX(Models!$BJ157:$BT157,,AH157)*(1-AF157)+INDEX(Models!$BJ157:$BT157,,AH157+1)*AF157-ERP_i)*AE157*Ramure*Pc/MaxiM</f>
        <v>7.398243250802199E-3</v>
      </c>
      <c r="AE157" s="305">
        <f t="shared" si="65"/>
        <v>0.8</v>
      </c>
      <c r="AF157" s="177">
        <f t="shared" si="66"/>
        <v>0.99340305722133104</v>
      </c>
      <c r="AG157" s="809">
        <f t="shared" si="74"/>
        <v>1</v>
      </c>
      <c r="AH157" s="176">
        <f t="shared" si="67"/>
        <v>7</v>
      </c>
      <c r="AI157" s="225">
        <f t="shared" si="68"/>
        <v>1.993403057221331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1141">
        <f>IF(t&gt;Tmaj,'2022'!Wh/'2022'!Env_an*'2023'!Env_an,0.001*[7]mois!$B$163)</f>
        <v>16.599979735231393</v>
      </c>
      <c r="C158" s="839"/>
      <c r="D158" s="393">
        <f t="shared" si="50"/>
        <v>17.68165289797631</v>
      </c>
      <c r="E158" s="385">
        <f t="shared" si="72"/>
        <v>18.115412694585206</v>
      </c>
      <c r="F158" s="385">
        <f t="shared" si="51"/>
        <v>18.115412694585206</v>
      </c>
      <c r="G158" s="110">
        <f t="shared" si="73"/>
        <v>0.29168521801287373</v>
      </c>
      <c r="H158" s="414" t="b">
        <f>Wh_hp&gt;='2022'!Maxi_hp</f>
        <v>0</v>
      </c>
      <c r="I158" s="390">
        <f>IF(H158,Wh_hp,'2022'!Maxi_hp)</f>
        <v>32.282065944533301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6.1174889530192927E-2</v>
      </c>
      <c r="M158" s="843"/>
      <c r="N158" s="843"/>
      <c r="O158" s="48">
        <f>IF(t&lt;Tnet,'2022'!Resal+('2022'!Salim-'2022'!Resal)*(1-EXP(('2022'!Tnet-t)/('2022'!Tau_j))),Resal+(Salim-Resal)*(1-EXP((Tnet-t)/(Tau_j))))*Salcycl</f>
        <v>2.3944240405770534E-2</v>
      </c>
      <c r="P158" s="169">
        <f>(INDEX(Models!$BJ158:$BT158,,T158)*(1-R158)+INDEX(Models!$BJ158:$BT158,,T158+1)*R158-ERP_i)*Q158*Ramure*Pc/MaxiM</f>
        <v>2.6050220727527893E-3</v>
      </c>
      <c r="Q158" s="305">
        <f t="shared" si="53"/>
        <v>0.8</v>
      </c>
      <c r="R158" s="177">
        <f t="shared" si="54"/>
        <v>0.79812684549342283</v>
      </c>
      <c r="S158" s="809">
        <f t="shared" si="55"/>
        <v>0</v>
      </c>
      <c r="T158" s="176">
        <f t="shared" si="56"/>
        <v>6</v>
      </c>
      <c r="U158" s="251">
        <f t="shared" si="57"/>
        <v>0.79812684549342283</v>
      </c>
      <c r="V158" s="383">
        <f t="shared" si="58"/>
        <v>56.762343098521789</v>
      </c>
      <c r="W158" s="402">
        <f t="shared" si="59"/>
        <v>16.599979735231393</v>
      </c>
      <c r="X158" s="157">
        <f t="shared" si="60"/>
        <v>45070</v>
      </c>
      <c r="Y158" s="385">
        <f t="shared" si="61"/>
        <v>14.677648093818867</v>
      </c>
      <c r="Z158" s="385">
        <f t="shared" si="62"/>
        <v>15.634059986394989</v>
      </c>
      <c r="AA158" s="386">
        <f t="shared" si="63"/>
        <v>18.115412694585206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0.1369746717904973</v>
      </c>
      <c r="AD158" s="231">
        <f>(INDEX(Models!$BJ158:$BT158,,AH158)*(1-AF158)+INDEX(Models!$BJ158:$BT158,,AH158+1)*AF158-ERP_i)*AE158*Ramure*Pc/MaxiM</f>
        <v>7.5644620773819083E-3</v>
      </c>
      <c r="AE158" s="305">
        <f t="shared" si="65"/>
        <v>0.8</v>
      </c>
      <c r="AF158" s="177">
        <f t="shared" si="66"/>
        <v>0.99884359265832634</v>
      </c>
      <c r="AG158" s="809">
        <f t="shared" si="74"/>
        <v>1</v>
      </c>
      <c r="AH158" s="176">
        <f t="shared" si="67"/>
        <v>7</v>
      </c>
      <c r="AI158" s="225">
        <f t="shared" si="68"/>
        <v>1.9988435926583263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1141">
        <f>IF(t&gt;Tmaj,'2022'!Wh/'2022'!Env_an*'2023'!Env_an,0.001*[7]mois!$B$164)</f>
        <v>38.699222193616791</v>
      </c>
      <c r="C159" s="839"/>
      <c r="D159" s="393">
        <f t="shared" si="50"/>
        <v>41.221887466206738</v>
      </c>
      <c r="E159" s="385">
        <f t="shared" si="72"/>
        <v>42.243549434414099</v>
      </c>
      <c r="F159" s="385">
        <f t="shared" si="51"/>
        <v>42.305105089016649</v>
      </c>
      <c r="G159" s="110">
        <f t="shared" si="73"/>
        <v>0.68062843179980881</v>
      </c>
      <c r="H159" s="414" t="b">
        <f>Wh_hp&gt;='2022'!Maxi_hp</f>
        <v>0</v>
      </c>
      <c r="I159" s="390">
        <f>IF(H159,Wh_hp,'2022'!Maxi_hp)</f>
        <v>58.648188470902781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6.1197228648445595E-2</v>
      </c>
      <c r="M159" s="843"/>
      <c r="N159" s="843"/>
      <c r="O159" s="48">
        <f>IF(t&lt;Tnet,'2022'!Resal+('2022'!Salim-'2022'!Resal)*(1-EXP(('2022'!Tnet-t)/('2022'!Tau_j))),Resal+(Salim-Resal)*(1-EXP((Tnet-t)/(Tau_j))))*Salcycl</f>
        <v>2.4185040837857538E-2</v>
      </c>
      <c r="P159" s="169">
        <f>(INDEX(Models!$BJ159:$BT159,,T159)*(1-R159)+INDEX(Models!$BJ159:$BT159,,T159+1)*R159-ERP_i)*Q159*Ramure*Pc/MaxiM</f>
        <v>2.6700960870289637E-3</v>
      </c>
      <c r="Q159" s="305">
        <f t="shared" si="53"/>
        <v>0.8</v>
      </c>
      <c r="R159" s="177">
        <f t="shared" si="54"/>
        <v>0.80364296399468338</v>
      </c>
      <c r="S159" s="809">
        <f t="shared" si="55"/>
        <v>0</v>
      </c>
      <c r="T159" s="176">
        <f t="shared" si="56"/>
        <v>6</v>
      </c>
      <c r="U159" s="251">
        <f t="shared" si="57"/>
        <v>0.80364296399468338</v>
      </c>
      <c r="V159" s="383">
        <f t="shared" si="58"/>
        <v>56.788888291503071</v>
      </c>
      <c r="W159" s="402">
        <f t="shared" si="59"/>
        <v>38.699222193616791</v>
      </c>
      <c r="X159" s="157">
        <f t="shared" si="60"/>
        <v>45071</v>
      </c>
      <c r="Y159" s="385">
        <f t="shared" si="61"/>
        <v>34.125178443034144</v>
      </c>
      <c r="Z159" s="385">
        <f t="shared" si="62"/>
        <v>36.349677998825648</v>
      </c>
      <c r="AA159" s="386">
        <f t="shared" si="63"/>
        <v>42.12683137625887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0.1371371448717365</v>
      </c>
      <c r="AD159" s="231">
        <f>(INDEX(Models!$BJ159:$BT159,,AH159)*(1-AF159)+INDEX(Models!$BJ159:$BT159,,AH159+1)*AF159-ERP_i)*AE159*Ramure*Pc/MaxiM</f>
        <v>7.7329685782423592E-3</v>
      </c>
      <c r="AE159" s="305">
        <f t="shared" si="65"/>
        <v>0.8</v>
      </c>
      <c r="AF159" s="177">
        <f t="shared" si="66"/>
        <v>4.3597111595867766E-3</v>
      </c>
      <c r="AG159" s="809">
        <f t="shared" si="74"/>
        <v>2</v>
      </c>
      <c r="AH159" s="176">
        <f t="shared" si="67"/>
        <v>8</v>
      </c>
      <c r="AI159" s="225">
        <f t="shared" si="68"/>
        <v>2.0043597111595868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1141">
        <f>IF(t&gt;Tmaj,'2022'!Wh/'2022'!Env_an*'2023'!Env_an,0.001*[7]mois!$B$165)</f>
        <v>21.010824526167156</v>
      </c>
      <c r="C160" s="839"/>
      <c r="D160" s="393">
        <f t="shared" si="50"/>
        <v>22.380978334357284</v>
      </c>
      <c r="E160" s="385">
        <f t="shared" si="72"/>
        <v>22.941339744853696</v>
      </c>
      <c r="F160" s="385">
        <f t="shared" si="51"/>
        <v>22.947601107872273</v>
      </c>
      <c r="G160" s="110">
        <f t="shared" si="73"/>
        <v>0.36892409656000658</v>
      </c>
      <c r="H160" s="414" t="b">
        <f>Wh_hp&gt;='2022'!Maxi_hp</f>
        <v>0</v>
      </c>
      <c r="I160" s="390">
        <f>IF(H160,Wh_hp,'2022'!Maxi_hp)</f>
        <v>61.484504066070642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6.1219567246834444E-2</v>
      </c>
      <c r="M160" s="843"/>
      <c r="N160" s="843"/>
      <c r="O160" s="48">
        <f>IF(t&lt;Tnet,'2022'!Resal+('2022'!Salim-'2022'!Resal)*(1-EXP(('2022'!Tnet-t)/('2022'!Tau_j))),Resal+(Salim-Resal)*(1-EXP((Tnet-t)/(Tau_j))))*Salcycl</f>
        <v>2.4425836360412002E-2</v>
      </c>
      <c r="P160" s="169">
        <f>(INDEX(Models!$BJ160:$BT160,,T160)*(1-R160)+INDEX(Models!$BJ160:$BT160,,T160+1)*R160-ERP_i)*Q160*Ramure*Pc/MaxiM</f>
        <v>2.7349974184383641E-3</v>
      </c>
      <c r="Q160" s="305">
        <f t="shared" si="53"/>
        <v>0.8</v>
      </c>
      <c r="R160" s="177">
        <f t="shared" si="54"/>
        <v>0.80923149880368217</v>
      </c>
      <c r="S160" s="809">
        <f t="shared" si="55"/>
        <v>0</v>
      </c>
      <c r="T160" s="176">
        <f t="shared" si="56"/>
        <v>6</v>
      </c>
      <c r="U160" s="251">
        <f t="shared" si="57"/>
        <v>0.80923149880368217</v>
      </c>
      <c r="V160" s="383">
        <f t="shared" si="58"/>
        <v>56.811357555439443</v>
      </c>
      <c r="W160" s="402">
        <f t="shared" si="59"/>
        <v>21.010824526167156</v>
      </c>
      <c r="X160" s="157">
        <f t="shared" si="60"/>
        <v>45072</v>
      </c>
      <c r="Y160" s="385">
        <f t="shared" si="61"/>
        <v>18.570298058232453</v>
      </c>
      <c r="Z160" s="385">
        <f t="shared" si="62"/>
        <v>19.78130072840489</v>
      </c>
      <c r="AA160" s="386">
        <f t="shared" si="63"/>
        <v>22.929513350095309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0.13729958301436584</v>
      </c>
      <c r="AD160" s="231">
        <f>(INDEX(Models!$BJ160:$BT160,,AH160)*(1-AF160)+INDEX(Models!$BJ160:$BT160,,AH160+1)*AF160-ERP_i)*AE160*Ramure*Pc/MaxiM</f>
        <v>7.9008309658074056E-3</v>
      </c>
      <c r="AE160" s="305">
        <f t="shared" si="65"/>
        <v>0.8</v>
      </c>
      <c r="AF160" s="177">
        <f t="shared" si="66"/>
        <v>9.9482459685855673E-3</v>
      </c>
      <c r="AG160" s="809">
        <f t="shared" si="74"/>
        <v>2</v>
      </c>
      <c r="AH160" s="176">
        <f t="shared" si="67"/>
        <v>8</v>
      </c>
      <c r="AI160" s="225">
        <f t="shared" si="68"/>
        <v>2.0099482459685856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1141">
        <f>IF(t&gt;Tmaj,'2022'!Wh/'2022'!Env_an*'2023'!Env_an,0.001*[7]mois!$B$166)</f>
        <v>45.422247779893603</v>
      </c>
      <c r="C161" s="839"/>
      <c r="D161" s="393">
        <f t="shared" si="50"/>
        <v>48.385465901774033</v>
      </c>
      <c r="E161" s="385">
        <f t="shared" si="72"/>
        <v>49.609155376430664</v>
      </c>
      <c r="F161" s="385">
        <f t="shared" si="51"/>
        <v>49.708413032916688</v>
      </c>
      <c r="G161" s="110">
        <f t="shared" si="73"/>
        <v>0.7986200017537648</v>
      </c>
      <c r="H161" s="414" t="b">
        <f>Wh_hp&gt;='2022'!Maxi_hp</f>
        <v>0</v>
      </c>
      <c r="I161" s="390">
        <f>IF(H161,Wh_hp,'2022'!Maxi_hp)</f>
        <v>61.220926609696406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6.1241905325371465E-2</v>
      </c>
      <c r="M161" s="843"/>
      <c r="N161" s="843"/>
      <c r="O161" s="48">
        <f>IF(t&lt;Tnet,'2022'!Resal+('2022'!Salim-'2022'!Resal)*(1-EXP(('2022'!Tnet-t)/('2022'!Tau_j))),Resal+(Salim-Resal)*(1-EXP((Tnet-t)/(Tau_j))))*Salcycl</f>
        <v>2.4666605697504142E-2</v>
      </c>
      <c r="P161" s="169">
        <f>(INDEX(Models!$BJ161:$BT161,,T161)*(1-R161)+INDEX(Models!$BJ161:$BT161,,T161+1)*R161-ERP_i)*Q161*Ramure*Pc/MaxiM</f>
        <v>2.7996439478254571E-3</v>
      </c>
      <c r="Q161" s="305">
        <f t="shared" si="53"/>
        <v>0.8</v>
      </c>
      <c r="R161" s="177">
        <f t="shared" si="54"/>
        <v>0.81488907567285318</v>
      </c>
      <c r="S161" s="809">
        <f t="shared" si="55"/>
        <v>0</v>
      </c>
      <c r="T161" s="176">
        <f t="shared" si="56"/>
        <v>6</v>
      </c>
      <c r="U161" s="251">
        <f t="shared" si="57"/>
        <v>0.81488907567285318</v>
      </c>
      <c r="V161" s="383">
        <f t="shared" si="58"/>
        <v>56.830166595665297</v>
      </c>
      <c r="W161" s="402">
        <f t="shared" si="59"/>
        <v>45.422247779893603</v>
      </c>
      <c r="X161" s="157">
        <f t="shared" si="60"/>
        <v>45073</v>
      </c>
      <c r="Y161" s="385">
        <f t="shared" si="61"/>
        <v>40.018038589330096</v>
      </c>
      <c r="Z161" s="385">
        <f t="shared" si="62"/>
        <v>42.6287014901323</v>
      </c>
      <c r="AA161" s="386">
        <f t="shared" si="63"/>
        <v>49.422396522258524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0.13746186972269805</v>
      </c>
      <c r="AD161" s="231">
        <f>(INDEX(Models!$BJ161:$BT161,,AH161)*(1-AF161)+INDEX(Models!$BJ161:$BT161,,AH161+1)*AF161-ERP_i)*AE161*Ramure*Pc/MaxiM</f>
        <v>8.0673312406382633E-3</v>
      </c>
      <c r="AE161" s="305">
        <f t="shared" si="65"/>
        <v>0.8</v>
      </c>
      <c r="AF161" s="177">
        <f t="shared" si="66"/>
        <v>1.5605822837756467E-2</v>
      </c>
      <c r="AG161" s="809">
        <f t="shared" si="74"/>
        <v>2</v>
      </c>
      <c r="AH161" s="176">
        <f t="shared" si="67"/>
        <v>8</v>
      </c>
      <c r="AI161" s="225">
        <f t="shared" si="68"/>
        <v>2.0156058228377565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1141">
        <f>IF(t&gt;Tmaj,'2022'!Wh/'2022'!Env_an*'2023'!Env_an,0.001*[7]mois!$B$167)</f>
        <v>52.047784303828365</v>
      </c>
      <c r="C162" s="839"/>
      <c r="D162" s="393">
        <f t="shared" si="50"/>
        <v>55.444552856635894</v>
      </c>
      <c r="E162" s="385">
        <f t="shared" si="72"/>
        <v>56.860803462153193</v>
      </c>
      <c r="F162" s="385">
        <f t="shared" si="51"/>
        <v>57.004376129261644</v>
      </c>
      <c r="G162" s="110">
        <f t="shared" si="73"/>
        <v>0.91528008838570563</v>
      </c>
      <c r="H162" s="414" t="b">
        <f>Wh_hp&gt;='2022'!Maxi_hp</f>
        <v>0</v>
      </c>
      <c r="I162" s="390">
        <f>IF(H162,Wh_hp,'2022'!Maxi_hp)</f>
        <v>59.964902917287468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6.1264242884068759E-2</v>
      </c>
      <c r="M162" s="843"/>
      <c r="N162" s="843"/>
      <c r="O162" s="48">
        <f>IF(t&lt;Tnet,'2022'!Resal+('2022'!Salim-'2022'!Resal)*(1-EXP(('2022'!Tnet-t)/('2022'!Tau_j))),Resal+(Salim-Resal)*(1-EXP((Tnet-t)/(Tau_j))))*Salcycl</f>
        <v>2.4907326651829046E-2</v>
      </c>
      <c r="P162" s="169">
        <f>(INDEX(Models!$BJ162:$BT162,,T162)*(1-R162)+INDEX(Models!$BJ162:$BT162,,T162+1)*R162-ERP_i)*Q162*Ramure*Pc/MaxiM</f>
        <v>2.8639476300528865E-3</v>
      </c>
      <c r="Q162" s="305">
        <f t="shared" si="53"/>
        <v>0.8</v>
      </c>
      <c r="R162" s="177">
        <f t="shared" si="54"/>
        <v>0.82061211853070404</v>
      </c>
      <c r="S162" s="809">
        <f t="shared" si="55"/>
        <v>0</v>
      </c>
      <c r="T162" s="176">
        <f t="shared" si="56"/>
        <v>6</v>
      </c>
      <c r="U162" s="251">
        <f t="shared" si="57"/>
        <v>0.82061211853070404</v>
      </c>
      <c r="V162" s="383">
        <f t="shared" si="58"/>
        <v>56.845730965413182</v>
      </c>
      <c r="W162" s="402">
        <f t="shared" si="59"/>
        <v>52.047784303828365</v>
      </c>
      <c r="X162" s="157">
        <f t="shared" si="60"/>
        <v>45074</v>
      </c>
      <c r="Y162" s="385">
        <f t="shared" si="61"/>
        <v>45.813406107637171</v>
      </c>
      <c r="Z162" s="385">
        <f t="shared" si="62"/>
        <v>48.803303549860779</v>
      </c>
      <c r="AA162" s="386">
        <f t="shared" si="63"/>
        <v>56.591669034593927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0.13762388736003178</v>
      </c>
      <c r="AD162" s="231">
        <f>(INDEX(Models!$BJ162:$BT162,,AH162)*(1-AF162)+INDEX(Models!$BJ162:$BT162,,AH162+1)*AF162-ERP_i)*AE162*Ramure*Pc/MaxiM</f>
        <v>8.2325663337215853E-3</v>
      </c>
      <c r="AE162" s="305">
        <f t="shared" si="65"/>
        <v>0.8</v>
      </c>
      <c r="AF162" s="177">
        <f t="shared" si="66"/>
        <v>2.1328865695607657E-2</v>
      </c>
      <c r="AG162" s="809">
        <f t="shared" si="74"/>
        <v>2</v>
      </c>
      <c r="AH162" s="176">
        <f t="shared" si="67"/>
        <v>8</v>
      </c>
      <c r="AI162" s="225">
        <f t="shared" si="68"/>
        <v>2.0213288656956077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1141">
        <f>IF(t&gt;Tmaj,'2022'!Wh/'2022'!Env_an*'2023'!Env_an,0.001*[7]mois!$B$168)</f>
        <v>55.735967521157995</v>
      </c>
      <c r="C163" s="839"/>
      <c r="D163" s="393">
        <f t="shared" si="50"/>
        <v>59.374848946532026</v>
      </c>
      <c r="E163" s="385">
        <f t="shared" si="72"/>
        <v>60.906524780478271</v>
      </c>
      <c r="F163" s="385">
        <f t="shared" si="51"/>
        <v>61.080325587227769</v>
      </c>
      <c r="G163" s="110">
        <f t="shared" si="73"/>
        <v>0.98020587997879105</v>
      </c>
      <c r="H163" s="414" t="b">
        <f>Wh_hp&gt;='2022'!Maxi_hp</f>
        <v>0</v>
      </c>
      <c r="I163" s="390">
        <f>IF(H163,Wh_hp,'2022'!Maxi_hp)</f>
        <v>61.083995775588619</v>
      </c>
      <c r="J163" s="85">
        <f>IF(H163,An,'2022'!An_max)</f>
        <v>2022</v>
      </c>
      <c r="K163" s="197">
        <f t="shared" si="52"/>
        <v>45075</v>
      </c>
      <c r="L163" s="147">
        <f>IF(t&lt;Tvie,1-EXP((T0-t)*PertePVj)+'2022'!Pspv,1-EXP((T0-t)*PertePVj)+Pspv)</f>
        <v>6.1286579922938428E-2</v>
      </c>
      <c r="M163" s="843"/>
      <c r="N163" s="843"/>
      <c r="O163" s="48">
        <f>IF(t&lt;Tnet,'2022'!Resal+('2022'!Salim-'2022'!Resal)*(1-EXP(('2022'!Tnet-t)/('2022'!Tau_j))),Resal+(Salim-Resal)*(1-EXP((Tnet-t)/(Tau_j))))*Salcycl</f>
        <v>2.5147976172779116E-2</v>
      </c>
      <c r="P163" s="169">
        <f>(INDEX(Models!$BJ163:$BT163,,T163)*(1-R163)+INDEX(Models!$BJ163:$BT163,,T163+1)*R163-ERP_i)*Q163*Ramure*Pc/MaxiM</f>
        <v>2.9279007541515981E-3</v>
      </c>
      <c r="Q163" s="305">
        <f t="shared" si="53"/>
        <v>0.8</v>
      </c>
      <c r="R163" s="177">
        <f t="shared" si="54"/>
        <v>0.82639685632817039</v>
      </c>
      <c r="S163" s="809">
        <f t="shared" si="55"/>
        <v>0</v>
      </c>
      <c r="T163" s="176">
        <f t="shared" si="56"/>
        <v>6</v>
      </c>
      <c r="U163" s="251">
        <f t="shared" si="57"/>
        <v>0.82639685632817039</v>
      </c>
      <c r="V163" s="383">
        <f t="shared" si="58"/>
        <v>56.856788849391521</v>
      </c>
      <c r="W163" s="402">
        <f t="shared" si="59"/>
        <v>55.735967521157995</v>
      </c>
      <c r="X163" s="157">
        <f t="shared" si="60"/>
        <v>45075</v>
      </c>
      <c r="Y163" s="385">
        <f t="shared" si="61"/>
        <v>49.033299765915856</v>
      </c>
      <c r="Z163" s="385">
        <f t="shared" si="62"/>
        <v>52.234578431711967</v>
      </c>
      <c r="AA163" s="386">
        <f t="shared" si="63"/>
        <v>60.581884780077957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0.13778551754650861</v>
      </c>
      <c r="AD163" s="231">
        <f>(INDEX(Models!$BJ163:$BT163,,AH163)*(1-AF163)+INDEX(Models!$BJ163:$BT163,,AH163+1)*AF163-ERP_i)*AE163*Ramure*Pc/MaxiM</f>
        <v>8.396884010194991E-3</v>
      </c>
      <c r="AE163" s="305">
        <f t="shared" si="65"/>
        <v>0.8</v>
      </c>
      <c r="AF163" s="177">
        <f t="shared" si="66"/>
        <v>2.7113603493074123E-2</v>
      </c>
      <c r="AG163" s="809">
        <f t="shared" si="74"/>
        <v>2</v>
      </c>
      <c r="AH163" s="176">
        <f t="shared" si="67"/>
        <v>8</v>
      </c>
      <c r="AI163" s="225">
        <f t="shared" si="68"/>
        <v>2.0271136034930741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1141">
        <f>IF(t&gt;Tmaj,'2022'!Wh/'2022'!Env_an*'2023'!Env_an,0.001*[7]mois!$B$169)</f>
        <v>50.108279606680547</v>
      </c>
      <c r="C164" s="839"/>
      <c r="D164" s="393">
        <f t="shared" si="50"/>
        <v>53.381011585569247</v>
      </c>
      <c r="E164" s="385">
        <f t="shared" si="72"/>
        <v>54.771581550504607</v>
      </c>
      <c r="F164" s="385">
        <f t="shared" si="51"/>
        <v>54.907936917015881</v>
      </c>
      <c r="G164" s="110">
        <f t="shared" si="73"/>
        <v>0.88077701386600971</v>
      </c>
      <c r="H164" s="414" t="b">
        <f>Wh_hp&gt;='2022'!Maxi_hp</f>
        <v>0</v>
      </c>
      <c r="I164" s="390">
        <f>IF(H164,Wh_hp,'2022'!Maxi_hp)</f>
        <v>56.346398541738836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6.1308916441992573E-2</v>
      </c>
      <c r="M164" s="843"/>
      <c r="N164" s="843"/>
      <c r="O164" s="48">
        <f>IF(t&lt;Tnet,'2022'!Resal+('2022'!Salim-'2022'!Resal)*(1-EXP(('2022'!Tnet-t)/('2022'!Tau_j))),Resal+(Salim-Resal)*(1-EXP((Tnet-t)/(Tau_j))))*Salcycl</f>
        <v>2.538853043075125E-2</v>
      </c>
      <c r="P164" s="169">
        <f>(INDEX(Models!$BJ164:$BT164,,T164)*(1-R164)+INDEX(Models!$BJ164:$BT164,,T164+1)*R164-ERP_i)*Q164*Ramure*Pc/MaxiM</f>
        <v>2.9908223482302074E-3</v>
      </c>
      <c r="Q164" s="305">
        <f t="shared" si="53"/>
        <v>0.8</v>
      </c>
      <c r="R164" s="177">
        <f t="shared" si="54"/>
        <v>0.83223933105627546</v>
      </c>
      <c r="S164" s="809">
        <f t="shared" si="55"/>
        <v>0</v>
      </c>
      <c r="T164" s="176">
        <f t="shared" si="56"/>
        <v>6</v>
      </c>
      <c r="U164" s="251">
        <f t="shared" si="57"/>
        <v>0.83223933105627546</v>
      </c>
      <c r="V164" s="383">
        <f t="shared" si="58"/>
        <v>56.862051018796684</v>
      </c>
      <c r="W164" s="402">
        <f t="shared" si="59"/>
        <v>50.108279606680547</v>
      </c>
      <c r="X164" s="157">
        <f t="shared" si="60"/>
        <v>45076</v>
      </c>
      <c r="Y164" s="385">
        <f t="shared" si="61"/>
        <v>44.115833817740743</v>
      </c>
      <c r="Z164" s="385">
        <f t="shared" si="62"/>
        <v>46.997179999328878</v>
      </c>
      <c r="AA164" s="386">
        <f t="shared" si="63"/>
        <v>54.517715800058276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0.13794664157080033</v>
      </c>
      <c r="AD164" s="231">
        <f>(INDEX(Models!$BJ164:$BT164,,AH164)*(1-AF164)+INDEX(Models!$BJ164:$BT164,,AH164+1)*AF164-ERP_i)*AE164*Ramure*Pc/MaxiM</f>
        <v>8.5591206800916704E-3</v>
      </c>
      <c r="AE164" s="305">
        <f t="shared" si="65"/>
        <v>0.8</v>
      </c>
      <c r="AF164" s="177">
        <f t="shared" si="66"/>
        <v>3.2956078221178853E-2</v>
      </c>
      <c r="AG164" s="809">
        <f t="shared" si="74"/>
        <v>2</v>
      </c>
      <c r="AH164" s="176">
        <f t="shared" si="67"/>
        <v>8</v>
      </c>
      <c r="AI164" s="225">
        <f t="shared" si="68"/>
        <v>2.0329560782211789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1141">
        <f>IF(t&gt;Tmaj,'2022'!Wh/'2022'!Env_an*'2023'!Env_an,0.001*[7]mois!$B$170)</f>
        <v>51.404210102754895</v>
      </c>
      <c r="C165" s="839"/>
      <c r="D165" s="393">
        <f t="shared" si="50"/>
        <v>54.762886520345354</v>
      </c>
      <c r="E165" s="385">
        <f t="shared" si="72"/>
        <v>56.20331942089993</v>
      </c>
      <c r="F165" s="385">
        <f t="shared" si="51"/>
        <v>56.351781268534253</v>
      </c>
      <c r="G165" s="110">
        <f t="shared" si="73"/>
        <v>0.90364062288554603</v>
      </c>
      <c r="H165" s="414" t="b">
        <f>Wh_hp&gt;='2022'!Maxi_hp</f>
        <v>0</v>
      </c>
      <c r="I165" s="390">
        <f>IF(H165,Wh_hp,'2022'!Maxi_hp)</f>
        <v>62.468341792037805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6.1331252441243295E-2</v>
      </c>
      <c r="M165" s="843"/>
      <c r="N165" s="843"/>
      <c r="O165" s="48">
        <f>IF(t&lt;Tnet,'2022'!Resal+('2022'!Salim-'2022'!Resal)*(1-EXP(('2022'!Tnet-t)/('2022'!Tau_j))),Resal+(Salim-Resal)*(1-EXP((Tnet-t)/(Tau_j))))*Salcycl</f>
        <v>2.5628964897381704E-2</v>
      </c>
      <c r="P165" s="169">
        <f>(INDEX(Models!$BJ165:$BT165,,T165)*(1-R165)+INDEX(Models!$BJ165:$BT165,,T165+1)*R165-ERP_i)*Q165*Ramure*Pc/MaxiM</f>
        <v>3.0531903267632964E-3</v>
      </c>
      <c r="Q165" s="305">
        <f t="shared" si="53"/>
        <v>0.8</v>
      </c>
      <c r="R165" s="177">
        <f t="shared" si="54"/>
        <v>0.83813540691582744</v>
      </c>
      <c r="S165" s="809">
        <f t="shared" si="55"/>
        <v>0</v>
      </c>
      <c r="T165" s="176">
        <f t="shared" si="56"/>
        <v>6</v>
      </c>
      <c r="U165" s="251">
        <f t="shared" si="57"/>
        <v>0.83813540691582744</v>
      </c>
      <c r="V165" s="383">
        <f t="shared" si="58"/>
        <v>56.861801385389882</v>
      </c>
      <c r="W165" s="402">
        <f t="shared" si="59"/>
        <v>51.404210102754895</v>
      </c>
      <c r="X165" s="157">
        <f t="shared" si="60"/>
        <v>45077</v>
      </c>
      <c r="Y165" s="385">
        <f t="shared" si="61"/>
        <v>45.247340707137305</v>
      </c>
      <c r="Z165" s="385">
        <f t="shared" si="62"/>
        <v>48.203736221978573</v>
      </c>
      <c r="AA165" s="386">
        <f t="shared" si="63"/>
        <v>55.927759127122592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0.13810714081333886</v>
      </c>
      <c r="AD165" s="231">
        <f>(INDEX(Models!$BJ165:$BT165,,AH165)*(1-AF165)+INDEX(Models!$BJ165:$BT165,,AH165+1)*AF165-ERP_i)*AE165*Ramure*Pc/MaxiM</f>
        <v>8.7202222060466638E-3</v>
      </c>
      <c r="AE165" s="305">
        <f t="shared" si="65"/>
        <v>0.8</v>
      </c>
      <c r="AF165" s="177">
        <f t="shared" si="66"/>
        <v>3.8852154080730728E-2</v>
      </c>
      <c r="AG165" s="809">
        <f t="shared" si="74"/>
        <v>2</v>
      </c>
      <c r="AH165" s="176">
        <f t="shared" si="67"/>
        <v>8</v>
      </c>
      <c r="AI165" s="225">
        <f t="shared" si="68"/>
        <v>2.0388521540807307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1141">
        <f>IF(t&gt;Tmaj,'2022'!Wh/'2022'!Env_an*'2023'!Env_an,0.001*'[8]mon-tableau'!$B$136)</f>
        <v>52.690535434899495</v>
      </c>
      <c r="C166" s="839"/>
      <c r="D166" s="393">
        <f t="shared" si="50"/>
        <v>56.134594195250777</v>
      </c>
      <c r="E166" s="385">
        <f t="shared" si="72"/>
        <v>57.625318213810985</v>
      </c>
      <c r="F166" s="385">
        <f t="shared" si="51"/>
        <v>57.786477140309017</v>
      </c>
      <c r="G166" s="110">
        <f t="shared" si="73"/>
        <v>0.92642778624144528</v>
      </c>
      <c r="H166" s="414" t="b">
        <f>Wh_hp&gt;='2022'!Maxi_hp</f>
        <v>0</v>
      </c>
      <c r="I166" s="390">
        <f>IF(H166,Wh_hp,'2022'!Maxi_hp)</f>
        <v>62.676293728135057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6.1353587920702696E-2</v>
      </c>
      <c r="M166" s="843"/>
      <c r="N166" s="843"/>
      <c r="O166" s="48">
        <f>IF(t&lt;Tnet,'2022'!Resal+('2022'!Salim-'2022'!Resal)*(1-EXP(('2022'!Tnet-t)/('2022'!Tau_j))),Resal+(Salim-Resal)*(1-EXP((Tnet-t)/(Tau_j))))*Salcycl</f>
        <v>2.5869254431343455E-2</v>
      </c>
      <c r="P166" s="169">
        <f>(INDEX(Models!$BJ166:$BT166,,T166)*(1-R166)+INDEX(Models!$BJ166:$BT166,,T166+1)*R166-ERP_i)*Q166*Ramure*Pc/MaxiM</f>
        <v>3.1149075517331224E-3</v>
      </c>
      <c r="Q166" s="305">
        <f t="shared" si="53"/>
        <v>0.8</v>
      </c>
      <c r="R166" s="177">
        <f t="shared" si="54"/>
        <v>0.84408078060832625</v>
      </c>
      <c r="S166" s="809">
        <f t="shared" si="55"/>
        <v>0</v>
      </c>
      <c r="T166" s="176">
        <f t="shared" si="56"/>
        <v>6</v>
      </c>
      <c r="U166" s="251">
        <f t="shared" si="57"/>
        <v>0.84408078060832625</v>
      </c>
      <c r="V166" s="383">
        <f t="shared" si="58"/>
        <v>56.856356251065051</v>
      </c>
      <c r="W166" s="402">
        <f t="shared" si="59"/>
        <v>52.690535434899495</v>
      </c>
      <c r="X166" s="157">
        <f t="shared" si="60"/>
        <v>45078</v>
      </c>
      <c r="Y166" s="385">
        <f t="shared" si="61"/>
        <v>46.369702371094085</v>
      </c>
      <c r="Z166" s="385">
        <f t="shared" si="62"/>
        <v>49.400606846592567</v>
      </c>
      <c r="AA166" s="386">
        <f t="shared" si="63"/>
        <v>57.327038597974934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0.13826689717864413</v>
      </c>
      <c r="AD166" s="231">
        <f>(INDEX(Models!$BJ166:$BT166,,AH166)*(1-AF166)+INDEX(Models!$BJ166:$BT166,,AH166+1)*AF166-ERP_i)*AE166*Ramure*Pc/MaxiM</f>
        <v>8.8801074577221934E-3</v>
      </c>
      <c r="AE166" s="305">
        <f t="shared" si="65"/>
        <v>0.8</v>
      </c>
      <c r="AF166" s="177">
        <f t="shared" si="66"/>
        <v>4.479752777322954E-2</v>
      </c>
      <c r="AG166" s="809">
        <f t="shared" si="74"/>
        <v>2</v>
      </c>
      <c r="AH166" s="176">
        <f t="shared" si="67"/>
        <v>8</v>
      </c>
      <c r="AI166" s="225">
        <f t="shared" si="68"/>
        <v>2.0447975277732295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1141">
        <f>IF(t&gt;Tmaj,'2022'!Wh/'2022'!Env_an*'2023'!Env_an,0.001*'[8]mon-tableau'!$B$137)</f>
        <v>43.331644883805083</v>
      </c>
      <c r="C167" s="839"/>
      <c r="D167" s="393">
        <f t="shared" si="50"/>
        <v>46.165068572263941</v>
      </c>
      <c r="E167" s="385">
        <f t="shared" si="72"/>
        <v>47.402723991683892</v>
      </c>
      <c r="F167" s="385">
        <f t="shared" si="51"/>
        <v>47.502349259032314</v>
      </c>
      <c r="G167" s="110">
        <f t="shared" si="73"/>
        <v>0.76143941275383176</v>
      </c>
      <c r="H167" s="414" t="b">
        <f>Wh_hp&gt;='2022'!Maxi_hp</f>
        <v>0</v>
      </c>
      <c r="I167" s="390">
        <f>IF(H167,Wh_hp,'2022'!Maxi_hp)</f>
        <v>61.321691281882586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6.1375922880382877E-2</v>
      </c>
      <c r="M167" s="843"/>
      <c r="N167" s="843"/>
      <c r="O167" s="48">
        <f>IF(t&lt;Tnet,'2022'!Resal+('2022'!Salim-'2022'!Resal)*(1-EXP(('2022'!Tnet-t)/('2022'!Tau_j))),Resal+(Salim-Resal)*(1-EXP((Tnet-t)/(Tau_j))))*Salcycl</f>
        <v>2.6109373369283196E-2</v>
      </c>
      <c r="P167" s="169">
        <f>(INDEX(Models!$BJ167:$BT167,,T167)*(1-R167)+INDEX(Models!$BJ167:$BT167,,T167+1)*R167-ERP_i)*Q167*Ramure*Pc/MaxiM</f>
        <v>3.1758722015147885E-3</v>
      </c>
      <c r="Q167" s="305">
        <f t="shared" si="53"/>
        <v>0.8</v>
      </c>
      <c r="R167" s="177">
        <f t="shared" si="54"/>
        <v>0.85007099270562136</v>
      </c>
      <c r="S167" s="809">
        <f t="shared" si="55"/>
        <v>0</v>
      </c>
      <c r="T167" s="176">
        <f t="shared" si="56"/>
        <v>6</v>
      </c>
      <c r="U167" s="251">
        <f t="shared" si="57"/>
        <v>0.85007099270562136</v>
      </c>
      <c r="V167" s="383">
        <f t="shared" si="58"/>
        <v>56.84603178904203</v>
      </c>
      <c r="W167" s="402">
        <f t="shared" si="59"/>
        <v>43.331644883805083</v>
      </c>
      <c r="X167" s="157">
        <f t="shared" si="60"/>
        <v>45079</v>
      </c>
      <c r="Y167" s="385">
        <f t="shared" si="61"/>
        <v>38.185582843750034</v>
      </c>
      <c r="Z167" s="385">
        <f t="shared" si="62"/>
        <v>40.68250940347837</v>
      </c>
      <c r="AA167" s="386">
        <f t="shared" si="63"/>
        <v>47.218810751493386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0.13842579353416459</v>
      </c>
      <c r="AD167" s="231">
        <f>(INDEX(Models!$BJ167:$BT167,,AH167)*(1-AF167)+INDEX(Models!$BJ167:$BT167,,AH167+1)*AF167-ERP_i)*AE167*Ramure*Pc/MaxiM</f>
        <v>9.0386915701074506E-3</v>
      </c>
      <c r="AE167" s="305">
        <f t="shared" si="65"/>
        <v>0.8</v>
      </c>
      <c r="AF167" s="177">
        <f t="shared" si="66"/>
        <v>5.0787739870524984E-2</v>
      </c>
      <c r="AG167" s="809">
        <f t="shared" si="74"/>
        <v>2</v>
      </c>
      <c r="AH167" s="176">
        <f t="shared" si="67"/>
        <v>8</v>
      </c>
      <c r="AI167" s="225">
        <f t="shared" si="68"/>
        <v>2.050787739870525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1141">
        <f>IF(t&gt;Tmaj,'2022'!Wh/'2022'!Env_an*'2023'!Env_an,0.001*'[8]mon-tableau'!$B$138)</f>
        <v>50.484535546226006</v>
      </c>
      <c r="C168" s="839"/>
      <c r="D168" s="393">
        <f t="shared" si="50"/>
        <v>53.786961232452924</v>
      </c>
      <c r="E168" s="385">
        <f t="shared" si="72"/>
        <v>55.24256387898555</v>
      </c>
      <c r="F168" s="385">
        <f t="shared" si="51"/>
        <v>55.393218185454188</v>
      </c>
      <c r="G168" s="110">
        <f t="shared" si="73"/>
        <v>0.88786531635661137</v>
      </c>
      <c r="H168" s="414" t="b">
        <f>Wh_hp&gt;='2022'!Maxi_hp</f>
        <v>0</v>
      </c>
      <c r="I168" s="390">
        <f>IF(H168,Wh_hp,'2022'!Maxi_hp)</f>
        <v>55.413341824549725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6.1398257320295829E-2</v>
      </c>
      <c r="M168" s="843"/>
      <c r="N168" s="843"/>
      <c r="O168" s="48">
        <f>IF(t&lt;Tnet,'2022'!Resal+('2022'!Salim-'2022'!Resal)*(1-EXP(('2022'!Tnet-t)/('2022'!Tau_j))),Resal+(Salim-Resal)*(1-EXP((Tnet-t)/(Tau_j))))*Salcycl</f>
        <v>2.6349295621421086E-2</v>
      </c>
      <c r="P168" s="169">
        <f>(INDEX(Models!$BJ168:$BT168,,T168)*(1-R168)+INDEX(Models!$BJ168:$BT168,,T168+1)*R168-ERP_i)*Q168*Ramure*Pc/MaxiM</f>
        <v>3.2359780423816963E-3</v>
      </c>
      <c r="Q168" s="305">
        <f t="shared" si="53"/>
        <v>0.8</v>
      </c>
      <c r="R168" s="177">
        <f t="shared" si="54"/>
        <v>0.85610144004434763</v>
      </c>
      <c r="S168" s="809">
        <f t="shared" si="55"/>
        <v>0</v>
      </c>
      <c r="T168" s="176">
        <f t="shared" si="56"/>
        <v>6</v>
      </c>
      <c r="U168" s="251">
        <f t="shared" si="57"/>
        <v>0.85610144004434763</v>
      </c>
      <c r="V168" s="383">
        <f t="shared" si="58"/>
        <v>56.831144016988418</v>
      </c>
      <c r="W168" s="402">
        <f t="shared" si="59"/>
        <v>50.484535546226006</v>
      </c>
      <c r="X168" s="157">
        <f t="shared" si="60"/>
        <v>45080</v>
      </c>
      <c r="Y168" s="385">
        <f t="shared" si="61"/>
        <v>44.440753198997797</v>
      </c>
      <c r="Z168" s="385">
        <f t="shared" si="62"/>
        <v>47.347827282015935</v>
      </c>
      <c r="AA168" s="386">
        <f t="shared" si="63"/>
        <v>54.965094182607025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0.13858371415292639</v>
      </c>
      <c r="AD168" s="231">
        <f>(INDEX(Models!$BJ168:$BT168,,AH168)*(1-AF168)+INDEX(Models!$BJ168:$BT168,,AH168+1)*AF168-ERP_i)*AE168*Ramure*Pc/MaxiM</f>
        <v>9.1958862982676141E-3</v>
      </c>
      <c r="AE168" s="305">
        <f t="shared" si="65"/>
        <v>0.8</v>
      </c>
      <c r="AF168" s="177">
        <f t="shared" si="66"/>
        <v>5.6818187209251025E-2</v>
      </c>
      <c r="AG168" s="809">
        <f t="shared" si="74"/>
        <v>2</v>
      </c>
      <c r="AH168" s="176">
        <f t="shared" si="67"/>
        <v>8</v>
      </c>
      <c r="AI168" s="225">
        <f t="shared" si="68"/>
        <v>2.056818187209251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1141">
        <f>IF(t&gt;Tmaj,'2022'!Wh/'2022'!Env_an*'2023'!Env_an,0.001*'[8]mon-tableau'!$B$139)</f>
        <v>23.904083488405412</v>
      </c>
      <c r="C169" s="839"/>
      <c r="D169" s="393">
        <f t="shared" si="50"/>
        <v>25.468365558965054</v>
      </c>
      <c r="E169" s="385">
        <f t="shared" si="72"/>
        <v>26.164041111268226</v>
      </c>
      <c r="F169" s="385">
        <f t="shared" si="51"/>
        <v>26.178922336059035</v>
      </c>
      <c r="G169" s="110">
        <f t="shared" si="73"/>
        <v>0.41960966257182047</v>
      </c>
      <c r="H169" s="414" t="b">
        <f>Wh_hp&gt;='2022'!Maxi_hp</f>
        <v>0</v>
      </c>
      <c r="I169" s="390">
        <f>IF(H169,Wh_hp,'2022'!Maxi_hp)</f>
        <v>56.408226720952712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6.1420591240453765E-2</v>
      </c>
      <c r="M169" s="843"/>
      <c r="N169" s="843"/>
      <c r="O169" s="48">
        <f>IF(t&lt;Tnet,'2022'!Resal+('2022'!Salim-'2022'!Resal)*(1-EXP(('2022'!Tnet-t)/('2022'!Tau_j))),Resal+(Salim-Resal)*(1-EXP((Tnet-t)/(Tau_j))))*Salcycl</f>
        <v>2.6588994771284125E-2</v>
      </c>
      <c r="P169" s="169">
        <f>(INDEX(Models!$BJ169:$BT169,,T169)*(1-R169)+INDEX(Models!$BJ169:$BT169,,T169+1)*R169-ERP_i)*Q169*Ramure*Pc/MaxiM</f>
        <v>3.2951147316300491E-3</v>
      </c>
      <c r="Q169" s="305">
        <f t="shared" si="53"/>
        <v>0.8</v>
      </c>
      <c r="R169" s="177">
        <f t="shared" si="54"/>
        <v>0.86216738907993939</v>
      </c>
      <c r="S169" s="809">
        <f t="shared" si="55"/>
        <v>0</v>
      </c>
      <c r="T169" s="176">
        <f t="shared" si="56"/>
        <v>6</v>
      </c>
      <c r="U169" s="251">
        <f t="shared" si="57"/>
        <v>0.86216738907993939</v>
      </c>
      <c r="V169" s="383">
        <f t="shared" si="58"/>
        <v>56.812008765156875</v>
      </c>
      <c r="W169" s="402">
        <f t="shared" si="59"/>
        <v>23.904083488405412</v>
      </c>
      <c r="X169" s="157">
        <f t="shared" si="60"/>
        <v>45081</v>
      </c>
      <c r="Y169" s="385">
        <f t="shared" si="61"/>
        <v>21.127864214276592</v>
      </c>
      <c r="Z169" s="385">
        <f t="shared" si="62"/>
        <v>22.510470629437513</v>
      </c>
      <c r="AA169" s="386">
        <f t="shared" si="63"/>
        <v>26.1366891276055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0.13874054515718989</v>
      </c>
      <c r="AD169" s="231">
        <f>(INDEX(Models!$BJ169:$BT169,,AH169)*(1-AF169)+INDEX(Models!$BJ169:$BT169,,AH169+1)*AF169-ERP_i)*AE169*Ramure*Pc/MaxiM</f>
        <v>9.3516003753410758E-3</v>
      </c>
      <c r="AE169" s="305">
        <f t="shared" si="65"/>
        <v>0.8</v>
      </c>
      <c r="AF169" s="177">
        <f t="shared" si="66"/>
        <v>6.2884136244842903E-2</v>
      </c>
      <c r="AG169" s="809">
        <f t="shared" si="74"/>
        <v>2</v>
      </c>
      <c r="AH169" s="176">
        <f t="shared" si="67"/>
        <v>8</v>
      </c>
      <c r="AI169" s="225">
        <f t="shared" si="68"/>
        <v>2.0628841362448429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1141">
        <f>IF(t&gt;Tmaj,'2022'!Wh/'2022'!Env_an*'2023'!Env_an,0.001*'[8]mon-tableau'!$B$140)</f>
        <v>33.792076090343464</v>
      </c>
      <c r="C170" s="839"/>
      <c r="D170" s="393">
        <f t="shared" si="50"/>
        <v>36.004284638111329</v>
      </c>
      <c r="E170" s="385">
        <f t="shared" ref="E170:E232" si="75">Wh_pvt/(1-Psa)</f>
        <v>36.996852633795655</v>
      </c>
      <c r="F170" s="385">
        <f t="shared" si="51"/>
        <v>37.049210967553449</v>
      </c>
      <c r="G170" s="110">
        <f t="shared" ref="G170:G232" si="76">+Wh_hp/MaxiM</f>
        <v>0.59389076703204224</v>
      </c>
      <c r="H170" s="414" t="b">
        <f>Wh_hp&gt;='2022'!Maxi_hp</f>
        <v>0</v>
      </c>
      <c r="I170" s="390">
        <f>IF(H170,Wh_hp,'2022'!Maxi_hp)</f>
        <v>45.470659595237684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6.1442924640868785E-2</v>
      </c>
      <c r="M170" s="843"/>
      <c r="N170" s="843"/>
      <c r="O170" s="48">
        <f>IF(t&lt;Tnet,'2022'!Resal+('2022'!Salim-'2022'!Resal)*(1-EXP(('2022'!Tnet-t)/('2022'!Tau_j))),Resal+(Salim-Resal)*(1-EXP((Tnet-t)/(Tau_j))))*Salcycl</f>
        <v>2.6828444178995998E-2</v>
      </c>
      <c r="P170" s="169">
        <f>(INDEX(Models!$BJ170:$BT170,,T170)*(1-R170)+INDEX(Models!$BJ170:$BT170,,T170+1)*R170-ERP_i)*Q170*Ramure*Pc/MaxiM</f>
        <v>3.3528514575783051E-3</v>
      </c>
      <c r="Q170" s="305">
        <f t="shared" si="53"/>
        <v>0.8</v>
      </c>
      <c r="R170" s="177">
        <f t="shared" si="54"/>
        <v>0.86826399012426569</v>
      </c>
      <c r="S170" s="809">
        <f t="shared" si="55"/>
        <v>0</v>
      </c>
      <c r="T170" s="176">
        <f t="shared" si="56"/>
        <v>6</v>
      </c>
      <c r="U170" s="251">
        <f t="shared" si="57"/>
        <v>0.86826399012426569</v>
      </c>
      <c r="V170" s="383">
        <f t="shared" si="58"/>
        <v>56.788959701506833</v>
      </c>
      <c r="W170" s="402">
        <f t="shared" si="59"/>
        <v>33.792076090343464</v>
      </c>
      <c r="X170" s="157">
        <f t="shared" si="60"/>
        <v>45082</v>
      </c>
      <c r="Y170" s="385">
        <f t="shared" si="61"/>
        <v>29.823042340480118</v>
      </c>
      <c r="Z170" s="385">
        <f t="shared" si="62"/>
        <v>31.775416885615158</v>
      </c>
      <c r="AA170" s="386">
        <f t="shared" si="63"/>
        <v>36.900796351877631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0.13889617496023707</v>
      </c>
      <c r="AD170" s="231">
        <f>(INDEX(Models!$BJ170:$BT170,,AH170)*(1-AF170)+INDEX(Models!$BJ170:$BT170,,AH170+1)*AF170-ERP_i)*AE170*Ramure*Pc/MaxiM</f>
        <v>9.5039724296141388E-3</v>
      </c>
      <c r="AE170" s="305">
        <f t="shared" si="65"/>
        <v>0.8</v>
      </c>
      <c r="AF170" s="177">
        <f t="shared" si="66"/>
        <v>6.8980737289169092E-2</v>
      </c>
      <c r="AG170" s="809">
        <f t="shared" si="74"/>
        <v>2</v>
      </c>
      <c r="AH170" s="176">
        <f t="shared" si="67"/>
        <v>8</v>
      </c>
      <c r="AI170" s="225">
        <f t="shared" si="68"/>
        <v>2.0689807372891691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1141">
        <f>IF(t&gt;Tmaj,'2022'!Wh/'2022'!Env_an*'2023'!Env_an,0.001*'[8]mon-tableau'!$B$141)</f>
        <v>42.962318194141638</v>
      </c>
      <c r="C171" s="839"/>
      <c r="D171" s="393">
        <f t="shared" si="50"/>
        <v>45.7759486672687</v>
      </c>
      <c r="E171" s="385">
        <f t="shared" si="75"/>
        <v>47.049465585919997</v>
      </c>
      <c r="F171" s="385">
        <f t="shared" si="51"/>
        <v>47.154421030951831</v>
      </c>
      <c r="G171" s="110">
        <f t="shared" si="76"/>
        <v>0.75598343863399498</v>
      </c>
      <c r="H171" s="414" t="b">
        <f>Wh_hp&gt;='2022'!Maxi_hp</f>
        <v>0</v>
      </c>
      <c r="I171" s="390">
        <f>IF(H171,Wh_hp,'2022'!Maxi_hp)</f>
        <v>63.6888163743956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6.1465257521552991E-2</v>
      </c>
      <c r="M171" s="843"/>
      <c r="N171" s="843"/>
      <c r="O171" s="48">
        <f>IF(t&lt;Tnet,'2022'!Resal+('2022'!Salim-'2022'!Resal)*(1-EXP(('2022'!Tnet-t)/('2022'!Tau_j))),Resal+(Salim-Resal)*(1-EXP((Tnet-t)/(Tau_j))))*Salcycl</f>
        <v>2.7067617087502122E-2</v>
      </c>
      <c r="P171" s="169">
        <f>(INDEX(Models!$BJ171:$BT171,,T171)*(1-R171)+INDEX(Models!$BJ171:$BT171,,T171+1)*R171-ERP_i)*Q171*Ramure*Pc/MaxiM</f>
        <v>3.4101749459314189E-3</v>
      </c>
      <c r="Q171" s="305">
        <f t="shared" si="53"/>
        <v>0.8</v>
      </c>
      <c r="R171" s="177">
        <f t="shared" si="54"/>
        <v>0.87438629238083365</v>
      </c>
      <c r="S171" s="809">
        <f t="shared" si="55"/>
        <v>0</v>
      </c>
      <c r="T171" s="176">
        <f t="shared" si="56"/>
        <v>6</v>
      </c>
      <c r="U171" s="251">
        <f t="shared" si="57"/>
        <v>0.87438629238083365</v>
      </c>
      <c r="V171" s="383">
        <f t="shared" si="58"/>
        <v>56.762249289574029</v>
      </c>
      <c r="W171" s="402">
        <f t="shared" si="59"/>
        <v>42.962318194141638</v>
      </c>
      <c r="X171" s="157">
        <f t="shared" si="60"/>
        <v>45083</v>
      </c>
      <c r="Y171" s="385">
        <f t="shared" si="61"/>
        <v>37.862140561336489</v>
      </c>
      <c r="Z171" s="385">
        <f t="shared" si="62"/>
        <v>40.341757047108963</v>
      </c>
      <c r="AA171" s="386">
        <f t="shared" si="63"/>
        <v>46.857285820972109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0.13905049470336506</v>
      </c>
      <c r="AD171" s="231">
        <f>(INDEX(Models!$BJ171:$BT171,,AH171)*(1-AF171)+INDEX(Models!$BJ171:$BT171,,AH171+1)*AF171-ERP_i)*AE171*Ramure*Pc/MaxiM</f>
        <v>9.654411434485595E-3</v>
      </c>
      <c r="AE171" s="305">
        <f t="shared" si="65"/>
        <v>0.8</v>
      </c>
      <c r="AF171" s="177">
        <f t="shared" si="66"/>
        <v>7.5103039545737271E-2</v>
      </c>
      <c r="AG171" s="809">
        <f t="shared" si="74"/>
        <v>2</v>
      </c>
      <c r="AH171" s="176">
        <f t="shared" si="67"/>
        <v>8</v>
      </c>
      <c r="AI171" s="225">
        <f t="shared" si="68"/>
        <v>2.0751030395457373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1141">
        <f>IF(t&gt;Tmaj,'2022'!Wh/'2022'!Env_an*'2023'!Env_an,0.001*'[8]mon-tableau'!$B$142)</f>
        <v>28.988653469041669</v>
      </c>
      <c r="C172" s="839"/>
      <c r="D172" s="393">
        <f t="shared" si="50"/>
        <v>30.887874423965165</v>
      </c>
      <c r="E172" s="385">
        <f t="shared" si="75"/>
        <v>31.754991683002263</v>
      </c>
      <c r="F172" s="385">
        <f t="shared" si="51"/>
        <v>31.788207834651228</v>
      </c>
      <c r="G172" s="110">
        <f t="shared" si="76"/>
        <v>0.50973471765502798</v>
      </c>
      <c r="H172" s="414" t="b">
        <f>Wh_hp&gt;='2022'!Maxi_hp</f>
        <v>0</v>
      </c>
      <c r="I172" s="390">
        <f>IF(H172,Wh_hp,'2022'!Maxi_hp)</f>
        <v>51.75274626686349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6.1487589882518373E-2</v>
      </c>
      <c r="M172" s="843"/>
      <c r="N172" s="843"/>
      <c r="O172" s="48">
        <f>IF(t&lt;Tnet,'2022'!Resal+('2022'!Salim-'2022'!Resal)*(1-EXP(('2022'!Tnet-t)/('2022'!Tau_j))),Resal+(Salim-Resal)*(1-EXP((Tnet-t)/(Tau_j))))*Salcycl</f>
        <v>2.7306486731068766E-2</v>
      </c>
      <c r="P172" s="169">
        <f>(INDEX(Models!$BJ172:$BT172,,T172)*(1-R172)+INDEX(Models!$BJ172:$BT172,,T172+1)*R172-ERP_i)*Q172*Ramure*Pc/MaxiM</f>
        <v>3.4669943937326473E-3</v>
      </c>
      <c r="Q172" s="305">
        <f t="shared" si="53"/>
        <v>0.8</v>
      </c>
      <c r="R172" s="177">
        <f t="shared" si="54"/>
        <v>0.88052925968222484</v>
      </c>
      <c r="S172" s="809">
        <f t="shared" si="55"/>
        <v>0</v>
      </c>
      <c r="T172" s="176">
        <f t="shared" si="56"/>
        <v>6</v>
      </c>
      <c r="U172" s="251">
        <f t="shared" si="57"/>
        <v>0.88052925968222484</v>
      </c>
      <c r="V172" s="383">
        <f t="shared" si="58"/>
        <v>56.73219100983215</v>
      </c>
      <c r="W172" s="402">
        <f t="shared" si="59"/>
        <v>28.988653469041669</v>
      </c>
      <c r="X172" s="157">
        <f t="shared" si="60"/>
        <v>45084</v>
      </c>
      <c r="Y172" s="385">
        <f t="shared" si="61"/>
        <v>25.604813052038796</v>
      </c>
      <c r="Z172" s="385">
        <f t="shared" si="62"/>
        <v>27.282338279185485</v>
      </c>
      <c r="AA172" s="386">
        <f t="shared" si="63"/>
        <v>31.694291354672867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0.13920339868513584</v>
      </c>
      <c r="AD172" s="231">
        <f>(INDEX(Models!$BJ172:$BT172,,AH172)*(1-AF172)+INDEX(Models!$BJ172:$BT172,,AH172+1)*AF172-ERP_i)*AE172*Ramure*Pc/MaxiM</f>
        <v>9.8026981874714172E-3</v>
      </c>
      <c r="AE172" s="305">
        <f t="shared" si="65"/>
        <v>0.8</v>
      </c>
      <c r="AF172" s="177">
        <f t="shared" si="66"/>
        <v>8.1246006847128349E-2</v>
      </c>
      <c r="AG172" s="809">
        <f t="shared" si="74"/>
        <v>2</v>
      </c>
      <c r="AH172" s="176">
        <f t="shared" si="67"/>
        <v>8</v>
      </c>
      <c r="AI172" s="225">
        <f t="shared" si="68"/>
        <v>2.0812460068471283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1141">
        <f>IF(t&gt;Tmaj,'2022'!Wh/'2022'!Env_an*'2023'!Env_an,0.001*'[8]mon-tableau'!$B$143)</f>
        <v>19.744849886421104</v>
      </c>
      <c r="C173" s="839"/>
      <c r="D173" s="393">
        <f t="shared" si="50"/>
        <v>21.038954319780949</v>
      </c>
      <c r="E173" s="385">
        <f t="shared" si="75"/>
        <v>21.634887878537697</v>
      </c>
      <c r="F173" s="385">
        <f t="shared" si="51"/>
        <v>21.640142019511625</v>
      </c>
      <c r="G173" s="110">
        <f t="shared" si="76"/>
        <v>0.34709657513657155</v>
      </c>
      <c r="H173" s="414" t="b">
        <f>Wh_hp&gt;='2022'!Maxi_hp</f>
        <v>0</v>
      </c>
      <c r="I173" s="390">
        <f>IF(H173,Wh_hp,'2022'!Maxi_hp)</f>
        <v>63.160398004063062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6.1509921723777033E-2</v>
      </c>
      <c r="M173" s="843"/>
      <c r="N173" s="843"/>
      <c r="O173" s="48">
        <f>IF(t&lt;Tnet,'2022'!Resal+('2022'!Salim-'2022'!Resal)*(1-EXP(('2022'!Tnet-t)/('2022'!Tau_j))),Resal+(Salim-Resal)*(1-EXP((Tnet-t)/(Tau_j))))*Salcycl</f>
        <v>2.7545026445361408E-2</v>
      </c>
      <c r="P173" s="169">
        <f>(INDEX(Models!$BJ173:$BT173,,T173)*(1-R173)+INDEX(Models!$BJ173:$BT173,,T173+1)*R173-ERP_i)*Q173*Ramure*Pc/MaxiM</f>
        <v>3.5232166084455119E-3</v>
      </c>
      <c r="Q173" s="305">
        <f t="shared" si="53"/>
        <v>0.8</v>
      </c>
      <c r="R173" s="177">
        <f t="shared" si="54"/>
        <v>0.88668778682614469</v>
      </c>
      <c r="S173" s="809">
        <f t="shared" si="55"/>
        <v>0</v>
      </c>
      <c r="T173" s="176">
        <f t="shared" si="56"/>
        <v>6</v>
      </c>
      <c r="U173" s="251">
        <f t="shared" si="57"/>
        <v>0.88668778682614469</v>
      </c>
      <c r="V173" s="383">
        <f t="shared" si="58"/>
        <v>56.699098045256044</v>
      </c>
      <c r="W173" s="402">
        <f t="shared" si="59"/>
        <v>19.744849886421104</v>
      </c>
      <c r="X173" s="157">
        <f t="shared" si="60"/>
        <v>45085</v>
      </c>
      <c r="Y173" s="385">
        <f t="shared" si="61"/>
        <v>17.466910731283672</v>
      </c>
      <c r="Z173" s="385">
        <f t="shared" si="62"/>
        <v>18.611715920711831</v>
      </c>
      <c r="AA173" s="386">
        <f t="shared" si="63"/>
        <v>21.625305749190527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0.13935478477993316</v>
      </c>
      <c r="AD173" s="231">
        <f>(INDEX(Models!$BJ173:$BT173,,AH173)*(1-AF173)+INDEX(Models!$BJ173:$BT173,,AH173+1)*AF173-ERP_i)*AE173*Ramure*Pc/MaxiM</f>
        <v>9.9486089661545291E-3</v>
      </c>
      <c r="AE173" s="305">
        <f t="shared" si="65"/>
        <v>0.8</v>
      </c>
      <c r="AF173" s="177">
        <f t="shared" si="66"/>
        <v>8.7404533991048083E-2</v>
      </c>
      <c r="AG173" s="809">
        <f t="shared" si="74"/>
        <v>2</v>
      </c>
      <c r="AH173" s="176">
        <f t="shared" si="67"/>
        <v>8</v>
      </c>
      <c r="AI173" s="225">
        <f t="shared" si="68"/>
        <v>2.0874045339910481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1141">
        <f>IF(t&gt;Tmaj,'2022'!Wh/'2022'!Env_an*'2023'!Env_an,0.001*'[8]mon-tableau'!$B$144)</f>
        <v>42.267293510395199</v>
      </c>
      <c r="C174" s="839"/>
      <c r="D174" s="393">
        <f t="shared" si="50"/>
        <v>45.038621356517758</v>
      </c>
      <c r="E174" s="385">
        <f t="shared" si="75"/>
        <v>46.325697940529267</v>
      </c>
      <c r="F174" s="385">
        <f t="shared" si="51"/>
        <v>46.431555174046181</v>
      </c>
      <c r="G174" s="110">
        <f t="shared" si="76"/>
        <v>0.74496684674690228</v>
      </c>
      <c r="H174" s="414" t="b">
        <f>Wh_hp&gt;='2022'!Maxi_hp</f>
        <v>0</v>
      </c>
      <c r="I174" s="390">
        <f>IF(H174,Wh_hp,'2022'!Maxi_hp)</f>
        <v>59.632877338436153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6.1532253045341184E-2</v>
      </c>
      <c r="M174" s="843"/>
      <c r="N174" s="843"/>
      <c r="O174" s="48">
        <f>IF(t&lt;Tnet,'2022'!Resal+('2022'!Salim-'2022'!Resal)*(1-EXP(('2022'!Tnet-t)/('2022'!Tau_j))),Resal+(Salim-Resal)*(1-EXP((Tnet-t)/(Tau_j))))*Salcycl</f>
        <v>2.7783209778378233E-2</v>
      </c>
      <c r="P174" s="169">
        <f>(INDEX(Models!$BJ174:$BT174,,T174)*(1-R174)+INDEX(Models!$BJ174:$BT174,,T174+1)*R174-ERP_i)*Q174*Ramure*Pc/MaxiM</f>
        <v>3.5787463170566152E-3</v>
      </c>
      <c r="Q174" s="305">
        <f t="shared" si="53"/>
        <v>0.8</v>
      </c>
      <c r="R174" s="177">
        <f t="shared" si="54"/>
        <v>0.89285671639931175</v>
      </c>
      <c r="S174" s="809">
        <f t="shared" si="55"/>
        <v>0</v>
      </c>
      <c r="T174" s="176">
        <f t="shared" si="56"/>
        <v>6</v>
      </c>
      <c r="U174" s="251">
        <f t="shared" si="57"/>
        <v>0.89285671639931175</v>
      </c>
      <c r="V174" s="383">
        <f t="shared" si="58"/>
        <v>56.663283260481123</v>
      </c>
      <c r="W174" s="402">
        <f t="shared" si="59"/>
        <v>42.267293510395199</v>
      </c>
      <c r="X174" s="157">
        <f t="shared" si="60"/>
        <v>45086</v>
      </c>
      <c r="Y174" s="385">
        <f t="shared" si="61"/>
        <v>37.25461002626642</v>
      </c>
      <c r="Z174" s="385">
        <f t="shared" si="62"/>
        <v>39.697272652318802</v>
      </c>
      <c r="AA174" s="386">
        <f t="shared" si="63"/>
        <v>46.133042162787518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0.13950455484290669</v>
      </c>
      <c r="AD174" s="231">
        <f>(INDEX(Models!$BJ174:$BT174,,AH174)*(1-AF174)+INDEX(Models!$BJ174:$BT174,,AH174+1)*AF174-ERP_i)*AE174*Ramure*Pc/MaxiM</f>
        <v>1.0091916292756329E-2</v>
      </c>
      <c r="AE174" s="305">
        <f t="shared" si="65"/>
        <v>0.8</v>
      </c>
      <c r="AF174" s="177">
        <f t="shared" si="66"/>
        <v>9.3573463564215142E-2</v>
      </c>
      <c r="AG174" s="809">
        <f t="shared" si="74"/>
        <v>2</v>
      </c>
      <c r="AH174" s="176">
        <f t="shared" si="67"/>
        <v>8</v>
      </c>
      <c r="AI174" s="225">
        <f t="shared" si="68"/>
        <v>2.0935734635642151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1141">
        <f>IF(t&gt;Tmaj,'2022'!Wh/'2022'!Env_an*'2023'!Env_an,0.001*'[8]mon-tableau'!$B$145)</f>
        <v>53.674693907246628</v>
      </c>
      <c r="C175" s="839"/>
      <c r="D175" s="393">
        <f t="shared" si="50"/>
        <v>57.195328554419078</v>
      </c>
      <c r="E175" s="385">
        <f t="shared" si="75"/>
        <v>58.844202578713549</v>
      </c>
      <c r="F175" s="385">
        <f t="shared" si="51"/>
        <v>59.042765345832592</v>
      </c>
      <c r="G175" s="110">
        <f t="shared" si="76"/>
        <v>0.94763924661664223</v>
      </c>
      <c r="H175" s="414" t="b">
        <f>Wh_hp&gt;='2022'!Maxi_hp</f>
        <v>0</v>
      </c>
      <c r="I175" s="390">
        <f>IF(H175,Wh_hp,'2022'!Maxi_hp)</f>
        <v>59.456159779115154</v>
      </c>
      <c r="J175" s="85">
        <f>IF(H175,An,'2022'!An_max)</f>
        <v>2021</v>
      </c>
      <c r="K175" s="197">
        <f t="shared" si="52"/>
        <v>45087</v>
      </c>
      <c r="L175" s="147">
        <f>IF(t&lt;Tvie,1-EXP((T0-t)*PertePVj)+'2022'!Pspv,1-EXP((T0-t)*PertePVj)+Pspv)</f>
        <v>6.1554583847222927E-2</v>
      </c>
      <c r="M175" s="843"/>
      <c r="N175" s="843"/>
      <c r="O175" s="48">
        <f>IF(t&lt;Tnet,'2022'!Resal+('2022'!Salim-'2022'!Resal)*(1-EXP(('2022'!Tnet-t)/('2022'!Tau_j))),Resal+(Salim-Resal)*(1-EXP((Tnet-t)/(Tau_j))))*Salcycl</f>
        <v>2.8021010601492001E-2</v>
      </c>
      <c r="P175" s="169">
        <f>(INDEX(Models!$BJ175:$BT175,,T175)*(1-R175)+INDEX(Models!$BJ175:$BT175,,T175+1)*R175-ERP_i)*Q175*Ramure*Pc/MaxiM</f>
        <v>3.6334864939790664E-3</v>
      </c>
      <c r="Q175" s="305">
        <f t="shared" si="53"/>
        <v>0.8</v>
      </c>
      <c r="R175" s="177">
        <f t="shared" si="54"/>
        <v>0.89903085597252552</v>
      </c>
      <c r="S175" s="809">
        <f t="shared" si="55"/>
        <v>0</v>
      </c>
      <c r="T175" s="176">
        <f t="shared" si="56"/>
        <v>6</v>
      </c>
      <c r="U175" s="251">
        <f t="shared" si="57"/>
        <v>0.89903085597252552</v>
      </c>
      <c r="V175" s="383">
        <f t="shared" si="58"/>
        <v>56.625059172087198</v>
      </c>
      <c r="W175" s="402">
        <f t="shared" si="59"/>
        <v>53.674693907246628</v>
      </c>
      <c r="X175" s="157">
        <f t="shared" si="60"/>
        <v>45087</v>
      </c>
      <c r="Y175" s="385">
        <f t="shared" si="61"/>
        <v>47.219007279759801</v>
      </c>
      <c r="Z175" s="385">
        <f t="shared" si="62"/>
        <v>50.316200033601781</v>
      </c>
      <c r="AA175" s="386">
        <f t="shared" si="63"/>
        <v>58.483585719690105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0.13965261509843691</v>
      </c>
      <c r="AD175" s="231">
        <f>(INDEX(Models!$BJ175:$BT175,,AH175)*(1-AF175)+INDEX(Models!$BJ175:$BT175,,AH175+1)*AF175-ERP_i)*AE175*Ramure*Pc/MaxiM</f>
        <v>1.0232389731347968E-2</v>
      </c>
      <c r="AE175" s="305">
        <f t="shared" si="65"/>
        <v>0.8</v>
      </c>
      <c r="AF175" s="177">
        <f t="shared" si="66"/>
        <v>9.9747603137429142E-2</v>
      </c>
      <c r="AG175" s="809">
        <f t="shared" si="74"/>
        <v>2</v>
      </c>
      <c r="AH175" s="176">
        <f t="shared" si="67"/>
        <v>8</v>
      </c>
      <c r="AI175" s="225">
        <f t="shared" si="68"/>
        <v>2.0997476031374291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1141">
        <f>IF(t&gt;Tmaj,'2022'!Wh/'2022'!Env_an*'2023'!Env_an,0.001*'[8]mon-tableau'!$B$146)</f>
        <v>52.662492378897468</v>
      </c>
      <c r="C176" s="839"/>
      <c r="D176" s="393">
        <f t="shared" si="50"/>
        <v>56.11806995353593</v>
      </c>
      <c r="E176" s="385">
        <f t="shared" si="75"/>
        <v>57.749992528344521</v>
      </c>
      <c r="F176" s="385">
        <f t="shared" si="51"/>
        <v>57.942489427596811</v>
      </c>
      <c r="G176" s="110">
        <f t="shared" si="76"/>
        <v>0.93034272885157088</v>
      </c>
      <c r="H176" s="414" t="b">
        <f>Wh_hp&gt;='2022'!Maxi_hp</f>
        <v>0</v>
      </c>
      <c r="I176" s="390">
        <f>IF(H176,Wh_hp,'2022'!Maxi_hp)</f>
        <v>57.956580464308153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6.157691412943414E-2</v>
      </c>
      <c r="M176" s="843"/>
      <c r="N176" s="843"/>
      <c r="O176" s="48">
        <f>IF(t&lt;Tnet,'2022'!Resal+('2022'!Salim-'2022'!Resal)*(1-EXP(('2022'!Tnet-t)/('2022'!Tau_j))),Resal+(Salim-Resal)*(1-EXP((Tnet-t)/(Tau_j))))*Salcycl</f>
        <v>2.8258403219837979E-2</v>
      </c>
      <c r="P176" s="169">
        <f>(INDEX(Models!$BJ176:$BT176,,T176)*(1-R176)+INDEX(Models!$BJ176:$BT176,,T176+1)*R176-ERP_i)*Q176*Ramure*Pc/MaxiM</f>
        <v>3.6873387043159398E-3</v>
      </c>
      <c r="Q176" s="305">
        <f t="shared" si="53"/>
        <v>0.8</v>
      </c>
      <c r="R176" s="177">
        <f t="shared" si="54"/>
        <v>0.9052049955457393</v>
      </c>
      <c r="S176" s="809">
        <f t="shared" si="55"/>
        <v>0</v>
      </c>
      <c r="T176" s="176">
        <f t="shared" si="56"/>
        <v>6</v>
      </c>
      <c r="U176" s="251">
        <f t="shared" si="57"/>
        <v>0.9052049955457393</v>
      </c>
      <c r="V176" s="383">
        <f t="shared" si="58"/>
        <v>56.584737930621493</v>
      </c>
      <c r="W176" s="402">
        <f t="shared" si="59"/>
        <v>52.662492378897468</v>
      </c>
      <c r="X176" s="157">
        <f t="shared" si="60"/>
        <v>45088</v>
      </c>
      <c r="Y176" s="385">
        <f t="shared" si="61"/>
        <v>46.336067783283433</v>
      </c>
      <c r="Z176" s="385">
        <f t="shared" si="62"/>
        <v>49.376521614766027</v>
      </c>
      <c r="AA176" s="386">
        <f t="shared" si="63"/>
        <v>57.401135927837295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0.13979887650933484</v>
      </c>
      <c r="AD176" s="231">
        <f>(INDEX(Models!$BJ176:$BT176,,AH176)*(1-AF176)+INDEX(Models!$BJ176:$BT176,,AH176+1)*AF176-ERP_i)*AE176*Ramure*Pc/MaxiM</f>
        <v>1.0369796709109579E-2</v>
      </c>
      <c r="AE176" s="305">
        <f t="shared" si="65"/>
        <v>0.8</v>
      </c>
      <c r="AF176" s="177">
        <f t="shared" si="66"/>
        <v>0.1059217427106427</v>
      </c>
      <c r="AG176" s="809">
        <f t="shared" si="74"/>
        <v>2</v>
      </c>
      <c r="AH176" s="176">
        <f t="shared" si="67"/>
        <v>8</v>
      </c>
      <c r="AI176" s="225">
        <f t="shared" si="68"/>
        <v>2.1059217427106427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1141">
        <f>IF(t&gt;Tmaj,'2022'!Wh/'2022'!Env_an*'2023'!Env_an,0.001*'[8]mon-tableau'!$B$147)</f>
        <v>39.661958768909685</v>
      </c>
      <c r="C177" s="839"/>
      <c r="D177" s="393">
        <f t="shared" si="50"/>
        <v>42.265480404562318</v>
      </c>
      <c r="E177" s="385">
        <f t="shared" si="75"/>
        <v>43.505176169318773</v>
      </c>
      <c r="F177" s="385">
        <f t="shared" si="51"/>
        <v>43.59869965386045</v>
      </c>
      <c r="G177" s="110">
        <f t="shared" si="76"/>
        <v>0.70034037642614611</v>
      </c>
      <c r="H177" s="414" t="b">
        <f>Wh_hp&gt;='2022'!Maxi_hp</f>
        <v>0</v>
      </c>
      <c r="I177" s="390">
        <f>IF(H177,Wh_hp,'2022'!Maxi_hp)</f>
        <v>57.157834054855876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6.1599243891987149E-2</v>
      </c>
      <c r="M177" s="843"/>
      <c r="N177" s="843"/>
      <c r="O177" s="48">
        <f>IF(t&lt;Tnet,'2022'!Resal+('2022'!Salim-'2022'!Resal)*(1-EXP(('2022'!Tnet-t)/('2022'!Tau_j))),Resal+(Salim-Resal)*(1-EXP((Tnet-t)/(Tau_j))))*Salcycl</f>
        <v>2.849536248127478E-2</v>
      </c>
      <c r="P177" s="169">
        <f>(INDEX(Models!$BJ177:$BT177,,T177)*(1-R177)+INDEX(Models!$BJ177:$BT177,,T177+1)*R177-ERP_i)*Q177*Ramure*Pc/MaxiM</f>
        <v>3.7402535143229534E-3</v>
      </c>
      <c r="Q177" s="305">
        <f t="shared" si="53"/>
        <v>0.8</v>
      </c>
      <c r="R177" s="177">
        <f t="shared" si="54"/>
        <v>0.91137392511890636</v>
      </c>
      <c r="S177" s="809">
        <f t="shared" si="55"/>
        <v>0</v>
      </c>
      <c r="T177" s="176">
        <f t="shared" si="56"/>
        <v>6</v>
      </c>
      <c r="U177" s="251">
        <f t="shared" si="57"/>
        <v>0.91137392511890636</v>
      </c>
      <c r="V177" s="383">
        <f t="shared" si="58"/>
        <v>56.541871788273582</v>
      </c>
      <c r="W177" s="402">
        <f t="shared" si="59"/>
        <v>39.661958768909685</v>
      </c>
      <c r="X177" s="157">
        <f t="shared" si="60"/>
        <v>45089</v>
      </c>
      <c r="Y177" s="385">
        <f t="shared" si="61"/>
        <v>34.97556853863685</v>
      </c>
      <c r="Z177" s="385">
        <f t="shared" si="62"/>
        <v>37.271462443931632</v>
      </c>
      <c r="AA177" s="386">
        <f t="shared" si="63"/>
        <v>43.336050401313379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0.13994325512409747</v>
      </c>
      <c r="AD177" s="231">
        <f>(INDEX(Models!$BJ177:$BT177,,AH177)*(1-AF177)+INDEX(Models!$BJ177:$BT177,,AH177+1)*AF177-ERP_i)*AE177*Ramure*Pc/MaxiM</f>
        <v>1.0504043927444751E-2</v>
      </c>
      <c r="AE177" s="305">
        <f t="shared" si="65"/>
        <v>0.8</v>
      </c>
      <c r="AF177" s="177">
        <f t="shared" si="66"/>
        <v>0.11209067228380976</v>
      </c>
      <c r="AG177" s="809">
        <f t="shared" si="74"/>
        <v>2</v>
      </c>
      <c r="AH177" s="176">
        <f t="shared" si="67"/>
        <v>8</v>
      </c>
      <c r="AI177" s="225">
        <f t="shared" si="68"/>
        <v>2.1120906722838098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1141">
        <f>IF(t&gt;Tmaj,'2022'!Wh/'2022'!Env_an*'2023'!Env_an,0.001*'[8]mon-tableau'!$B$148)</f>
        <v>51.541517960471431</v>
      </c>
      <c r="C178" s="839"/>
      <c r="D178" s="393">
        <f t="shared" si="50"/>
        <v>54.926153974638041</v>
      </c>
      <c r="E178" s="385">
        <f t="shared" si="75"/>
        <v>56.550968710075864</v>
      </c>
      <c r="F178" s="385">
        <f t="shared" si="51"/>
        <v>56.739158834577999</v>
      </c>
      <c r="G178" s="110">
        <f t="shared" si="76"/>
        <v>0.91187170844715693</v>
      </c>
      <c r="H178" s="414" t="b">
        <f>Wh_hp&gt;='2022'!Maxi_hp</f>
        <v>0</v>
      </c>
      <c r="I178" s="390">
        <f>IF(H178,Wh_hp,'2022'!Maxi_hp)</f>
        <v>63.561322397498678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6.1621573134894053E-2</v>
      </c>
      <c r="M178" s="843"/>
      <c r="N178" s="843"/>
      <c r="O178" s="48">
        <f>IF(t&lt;Tnet,'2022'!Resal+('2022'!Salim-'2022'!Resal)*(1-EXP(('2022'!Tnet-t)/('2022'!Tau_j))),Resal+(Salim-Resal)*(1-EXP((Tnet-t)/(Tau_j))))*Salcycl</f>
        <v>2.8731863883143693E-2</v>
      </c>
      <c r="P178" s="169">
        <f>(INDEX(Models!$BJ178:$BT178,,T178)*(1-R178)+INDEX(Models!$BJ178:$BT178,,T178+1)*R178-ERP_i)*Q178*Ramure*Pc/MaxiM</f>
        <v>3.791779691685788E-3</v>
      </c>
      <c r="Q178" s="305">
        <f t="shared" si="53"/>
        <v>0.8</v>
      </c>
      <c r="R178" s="177">
        <f t="shared" si="54"/>
        <v>0.91753245226282631</v>
      </c>
      <c r="S178" s="809">
        <f t="shared" si="55"/>
        <v>0</v>
      </c>
      <c r="T178" s="176">
        <f t="shared" si="56"/>
        <v>6</v>
      </c>
      <c r="U178" s="251">
        <f t="shared" si="57"/>
        <v>0.91753245226282631</v>
      </c>
      <c r="V178" s="383">
        <f t="shared" si="58"/>
        <v>56.495834587623193</v>
      </c>
      <c r="W178" s="402">
        <f t="shared" si="59"/>
        <v>51.541517960471431</v>
      </c>
      <c r="X178" s="157">
        <f t="shared" si="60"/>
        <v>45090</v>
      </c>
      <c r="Y178" s="385">
        <f t="shared" si="61"/>
        <v>45.358413463535612</v>
      </c>
      <c r="Z178" s="385">
        <f t="shared" si="62"/>
        <v>48.33701645834617</v>
      </c>
      <c r="AA178" s="386">
        <f t="shared" si="63"/>
        <v>56.211432821726682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0.1400856723996709</v>
      </c>
      <c r="AD178" s="231">
        <f>(INDEX(Models!$BJ178:$BT178,,AH178)*(1-AF178)+INDEX(Models!$BJ178:$BT178,,AH178+1)*AF178-ERP_i)*AE178*Ramure*Pc/MaxiM</f>
        <v>1.0632974411371154E-2</v>
      </c>
      <c r="AE178" s="305">
        <f t="shared" si="65"/>
        <v>0.8</v>
      </c>
      <c r="AF178" s="177">
        <f t="shared" si="66"/>
        <v>0.11824919942772993</v>
      </c>
      <c r="AG178" s="809">
        <f t="shared" si="74"/>
        <v>2</v>
      </c>
      <c r="AH178" s="176">
        <f t="shared" si="67"/>
        <v>8</v>
      </c>
      <c r="AI178" s="225">
        <f t="shared" si="68"/>
        <v>2.1182491994277299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1141">
        <f>IF(t&gt;Tmaj,'2022'!Wh/'2022'!Env_an*'2023'!Env_an,0.001*'[8]mon-tableau'!$B$149)</f>
        <v>43.788655516111909</v>
      </c>
      <c r="C179" s="839"/>
      <c r="D179" s="393">
        <f t="shared" si="50"/>
        <v>46.665285815079997</v>
      </c>
      <c r="E179" s="385">
        <f t="shared" si="75"/>
        <v>48.057407196521666</v>
      </c>
      <c r="F179" s="385">
        <f t="shared" si="51"/>
        <v>48.183244777243758</v>
      </c>
      <c r="G179" s="110">
        <f t="shared" si="76"/>
        <v>0.77479633489248512</v>
      </c>
      <c r="H179" s="414" t="b">
        <f>Wh_hp&gt;='2022'!Maxi_hp</f>
        <v>0</v>
      </c>
      <c r="I179" s="390">
        <f>IF(H179,Wh_hp,'2022'!Maxi_hp)</f>
        <v>54.436884810261837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6.1643901858166733E-2</v>
      </c>
      <c r="M179" s="843"/>
      <c r="N179" s="843"/>
      <c r="O179" s="48">
        <f>IF(t&lt;Tnet,'2022'!Resal+('2022'!Salim-'2022'!Resal)*(1-EXP(('2022'!Tnet-t)/('2022'!Tau_j))),Resal+(Salim-Resal)*(1-EXP((Tnet-t)/(Tau_j))))*Salcycl</f>
        <v>2.8967883676055364E-2</v>
      </c>
      <c r="P179" s="169">
        <f>(INDEX(Models!$BJ179:$BT179,,T179)*(1-R179)+INDEX(Models!$BJ179:$BT179,,T179+1)*R179-ERP_i)*Q179*Ramure*Pc/MaxiM</f>
        <v>3.8426435787618394E-3</v>
      </c>
      <c r="Q179" s="305">
        <f t="shared" si="53"/>
        <v>0.8</v>
      </c>
      <c r="R179" s="177">
        <f t="shared" si="54"/>
        <v>0.92367541956421739</v>
      </c>
      <c r="S179" s="809">
        <f t="shared" si="55"/>
        <v>0</v>
      </c>
      <c r="T179" s="176">
        <f t="shared" si="56"/>
        <v>6</v>
      </c>
      <c r="U179" s="251">
        <f t="shared" si="57"/>
        <v>0.92367541956421739</v>
      </c>
      <c r="V179" s="383">
        <f t="shared" si="58"/>
        <v>56.446589475947043</v>
      </c>
      <c r="W179" s="402">
        <f t="shared" si="59"/>
        <v>43.788655516111909</v>
      </c>
      <c r="X179" s="157">
        <f t="shared" si="60"/>
        <v>45091</v>
      </c>
      <c r="Y179" s="385">
        <f t="shared" si="61"/>
        <v>38.588765301533698</v>
      </c>
      <c r="Z179" s="385">
        <f t="shared" si="62"/>
        <v>41.123796582074299</v>
      </c>
      <c r="AA179" s="386">
        <f t="shared" si="63"/>
        <v>47.830940731592015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0.1402260554973298</v>
      </c>
      <c r="AD179" s="231">
        <f>(INDEX(Models!$BJ179:$BT179,,AH179)*(1-AF179)+INDEX(Models!$BJ179:$BT179,,AH179+1)*AF179-ERP_i)*AE179*Ramure*Pc/MaxiM</f>
        <v>1.0758144514755619E-2</v>
      </c>
      <c r="AE179" s="305">
        <f t="shared" si="65"/>
        <v>0.8</v>
      </c>
      <c r="AF179" s="177">
        <f t="shared" si="66"/>
        <v>0.12439216672912101</v>
      </c>
      <c r="AG179" s="809">
        <f t="shared" si="74"/>
        <v>2</v>
      </c>
      <c r="AH179" s="176">
        <f t="shared" si="67"/>
        <v>8</v>
      </c>
      <c r="AI179" s="225">
        <f t="shared" si="68"/>
        <v>2.124392166729121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1141">
        <f>IF(t&gt;Tmaj,'2022'!Wh/'2022'!Env_an*'2023'!Env_an,0.001*'[8]mon-tableau'!$B$150)</f>
        <v>50.605891772039946</v>
      </c>
      <c r="C180" s="839"/>
      <c r="D180" s="393">
        <f t="shared" si="50"/>
        <v>53.931653525987727</v>
      </c>
      <c r="E180" s="385">
        <f t="shared" si="75"/>
        <v>55.554019728160043</v>
      </c>
      <c r="F180" s="385">
        <f t="shared" si="51"/>
        <v>55.739185035879537</v>
      </c>
      <c r="G180" s="110">
        <f t="shared" si="76"/>
        <v>0.89684684297000483</v>
      </c>
      <c r="H180" s="414" t="b">
        <f>Wh_hp&gt;='2022'!Maxi_hp</f>
        <v>0</v>
      </c>
      <c r="I180" s="390">
        <f>IF(H180,Wh_hp,'2022'!Maxi_hp)</f>
        <v>56.029931246616755</v>
      </c>
      <c r="J180" s="85">
        <f>IF(H180,An,'2022'!An_max)</f>
        <v>2020</v>
      </c>
      <c r="K180" s="197">
        <f t="shared" si="52"/>
        <v>45092</v>
      </c>
      <c r="L180" s="147">
        <f>IF(t&lt;Tvie,1-EXP((T0-t)*PertePVj)+'2022'!Pspv,1-EXP((T0-t)*PertePVj)+Pspv)</f>
        <v>6.1666230061817401E-2</v>
      </c>
      <c r="M180" s="843"/>
      <c r="N180" s="843"/>
      <c r="O180" s="48">
        <f>IF(t&lt;Tnet,'2022'!Resal+('2022'!Salim-'2022'!Resal)*(1-EXP(('2022'!Tnet-t)/('2022'!Tau_j))),Resal+(Salim-Resal)*(1-EXP((Tnet-t)/(Tau_j))))*Salcycl</f>
        <v>2.9203398963944745E-2</v>
      </c>
      <c r="P180" s="169">
        <f>(INDEX(Models!$BJ180:$BT180,,T180)*(1-R180)+INDEX(Models!$BJ180:$BT180,,T180+1)*R180-ERP_i)*Q180*Ramure*Pc/MaxiM</f>
        <v>3.8927844801715872E-3</v>
      </c>
      <c r="Q180" s="305">
        <f t="shared" si="53"/>
        <v>0.8</v>
      </c>
      <c r="R180" s="177">
        <f t="shared" si="54"/>
        <v>0.92979772182078535</v>
      </c>
      <c r="S180" s="809">
        <f t="shared" si="55"/>
        <v>0</v>
      </c>
      <c r="T180" s="176">
        <f t="shared" si="56"/>
        <v>6</v>
      </c>
      <c r="U180" s="251">
        <f t="shared" si="57"/>
        <v>0.92979772182078535</v>
      </c>
      <c r="V180" s="383">
        <f t="shared" si="58"/>
        <v>56.394144210508792</v>
      </c>
      <c r="W180" s="402">
        <f t="shared" si="59"/>
        <v>50.605891772039946</v>
      </c>
      <c r="X180" s="157">
        <f t="shared" si="60"/>
        <v>45092</v>
      </c>
      <c r="Y180" s="385">
        <f t="shared" si="61"/>
        <v>44.543207707585552</v>
      </c>
      <c r="Z180" s="385">
        <f t="shared" si="62"/>
        <v>47.470536747835531</v>
      </c>
      <c r="AA180" s="386">
        <f t="shared" si="63"/>
        <v>55.221693121144554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0.1403643375494599</v>
      </c>
      <c r="AD180" s="231">
        <f>(INDEX(Models!$BJ180:$BT180,,AH180)*(1-AF180)+INDEX(Models!$BJ180:$BT180,,AH180+1)*AF180-ERP_i)*AE180*Ramure*Pc/MaxiM</f>
        <v>1.0879384043939703E-2</v>
      </c>
      <c r="AE180" s="305">
        <f t="shared" si="65"/>
        <v>0.8</v>
      </c>
      <c r="AF180" s="177">
        <f t="shared" si="66"/>
        <v>0.13051446898568875</v>
      </c>
      <c r="AG180" s="809">
        <f t="shared" si="74"/>
        <v>2</v>
      </c>
      <c r="AH180" s="176">
        <f t="shared" si="67"/>
        <v>8</v>
      </c>
      <c r="AI180" s="225">
        <f t="shared" si="68"/>
        <v>2.1305144689856887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1141">
        <f>IF(t&gt;Tmaj,'2022'!Wh/'2022'!Env_an*'2023'!Env_an,0.001*'[8]mon-tableau'!$B$151)</f>
        <v>48.596474805867516</v>
      </c>
      <c r="C181" s="839"/>
      <c r="D181" s="393">
        <f t="shared" si="50"/>
        <v>51.791412336529035</v>
      </c>
      <c r="E181" s="385">
        <f t="shared" si="75"/>
        <v>53.362312794458752</v>
      </c>
      <c r="F181" s="385">
        <f t="shared" si="51"/>
        <v>53.531914992451846</v>
      </c>
      <c r="G181" s="110">
        <f t="shared" si="76"/>
        <v>0.86191043486940799</v>
      </c>
      <c r="H181" s="414" t="b">
        <f>Wh_hp&gt;='2022'!Maxi_hp</f>
        <v>0</v>
      </c>
      <c r="I181" s="390">
        <f>IF(H181,Wh_hp,'2022'!Maxi_hp)</f>
        <v>64.737412852018437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6.1688557745858158E-2</v>
      </c>
      <c r="M181" s="843"/>
      <c r="N181" s="843"/>
      <c r="O181" s="48">
        <f>IF(t&lt;Tnet,'2022'!Resal+('2022'!Salim-'2022'!Resal)*(1-EXP(('2022'!Tnet-t)/('2022'!Tau_j))),Resal+(Salim-Resal)*(1-EXP((Tnet-t)/(Tau_j))))*Salcycl</f>
        <v>2.9438387799654055E-2</v>
      </c>
      <c r="P181" s="169">
        <f>(INDEX(Models!$BJ181:$BT181,,T181)*(1-R181)+INDEX(Models!$BJ181:$BT181,,T181+1)*R181-ERP_i)*Q181*Ramure*Pc/MaxiM</f>
        <v>3.9421429279861446E-3</v>
      </c>
      <c r="Q181" s="305">
        <f t="shared" si="53"/>
        <v>0.8</v>
      </c>
      <c r="R181" s="177">
        <f t="shared" si="54"/>
        <v>0.93589432286511176</v>
      </c>
      <c r="S181" s="809">
        <f t="shared" si="55"/>
        <v>0</v>
      </c>
      <c r="T181" s="176">
        <f t="shared" si="56"/>
        <v>6</v>
      </c>
      <c r="U181" s="251">
        <f t="shared" si="57"/>
        <v>0.93589432286511176</v>
      </c>
      <c r="V181" s="383">
        <f t="shared" si="58"/>
        <v>56.33850638771613</v>
      </c>
      <c r="W181" s="402">
        <f t="shared" si="59"/>
        <v>48.596474805867516</v>
      </c>
      <c r="X181" s="157">
        <f t="shared" si="60"/>
        <v>45093</v>
      </c>
      <c r="Y181" s="385">
        <f t="shared" si="61"/>
        <v>42.79077902432843</v>
      </c>
      <c r="Z181" s="385">
        <f t="shared" si="62"/>
        <v>45.604025590405769</v>
      </c>
      <c r="AA181" s="386">
        <f t="shared" si="63"/>
        <v>53.058813130637901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0.14050045789523127</v>
      </c>
      <c r="AD181" s="231">
        <f>(INDEX(Models!$BJ181:$BT181,,AH181)*(1-AF181)+INDEX(Models!$BJ181:$BT181,,AH181+1)*AF181-ERP_i)*AE181*Ramure*Pc/MaxiM</f>
        <v>1.0996527054695844E-2</v>
      </c>
      <c r="AE181" s="305">
        <f t="shared" si="65"/>
        <v>0.8</v>
      </c>
      <c r="AF181" s="177">
        <f t="shared" si="66"/>
        <v>0.13661107003001538</v>
      </c>
      <c r="AG181" s="809">
        <f t="shared" si="74"/>
        <v>2</v>
      </c>
      <c r="AH181" s="176">
        <f t="shared" si="67"/>
        <v>8</v>
      </c>
      <c r="AI181" s="225">
        <f t="shared" si="68"/>
        <v>2.1366110700300154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1141">
        <f>IF(t&gt;Tmaj,'2022'!Wh/'2022'!Env_an*'2023'!Env_an,0.001*'[8]mon-tableau'!$B$152)</f>
        <v>49.013835905029914</v>
      </c>
      <c r="C182" s="839"/>
      <c r="D182" s="393">
        <f t="shared" si="50"/>
        <v>52.237455510015451</v>
      </c>
      <c r="E182" s="385">
        <f t="shared" si="75"/>
        <v>53.834888979768415</v>
      </c>
      <c r="F182" s="385">
        <f t="shared" si="51"/>
        <v>54.010675083904793</v>
      </c>
      <c r="G182" s="110">
        <f t="shared" si="76"/>
        <v>0.87025442679073062</v>
      </c>
      <c r="H182" s="414" t="b">
        <f>Wh_hp&gt;='2022'!Maxi_hp</f>
        <v>0</v>
      </c>
      <c r="I182" s="390">
        <f>IF(H182,Wh_hp,'2022'!Maxi_hp)</f>
        <v>61.823807905736835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6.1710884910301106E-2</v>
      </c>
      <c r="M182" s="843"/>
      <c r="N182" s="843"/>
      <c r="O182" s="48">
        <f>IF(t&lt;Tnet,'2022'!Resal+('2022'!Salim-'2022'!Resal)*(1-EXP(('2022'!Tnet-t)/('2022'!Tau_j))),Resal+(Salim-Resal)*(1-EXP((Tnet-t)/(Tau_j))))*Salcycl</f>
        <v>2.9672829275329087E-2</v>
      </c>
      <c r="P182" s="169">
        <f>(INDEX(Models!$BJ182:$BT182,,T182)*(1-R182)+INDEX(Models!$BJ182:$BT182,,T182+1)*R182-ERP_i)*Q182*Ramure*Pc/MaxiM</f>
        <v>3.9906609385806551E-3</v>
      </c>
      <c r="Q182" s="305">
        <f t="shared" si="53"/>
        <v>0.8</v>
      </c>
      <c r="R182" s="177">
        <f t="shared" si="54"/>
        <v>0.94196027190070342</v>
      </c>
      <c r="S182" s="809">
        <f t="shared" si="55"/>
        <v>0</v>
      </c>
      <c r="T182" s="176">
        <f t="shared" si="56"/>
        <v>6</v>
      </c>
      <c r="U182" s="251">
        <f t="shared" si="57"/>
        <v>0.94196027190070342</v>
      </c>
      <c r="V182" s="383">
        <f t="shared" si="58"/>
        <v>56.279683413146685</v>
      </c>
      <c r="W182" s="402">
        <f t="shared" si="59"/>
        <v>49.013835905029914</v>
      </c>
      <c r="X182" s="157">
        <f t="shared" si="60"/>
        <v>45094</v>
      </c>
      <c r="Y182" s="385">
        <f t="shared" si="61"/>
        <v>43.156023114020215</v>
      </c>
      <c r="Z182" s="385">
        <f t="shared" si="62"/>
        <v>45.994376807722603</v>
      </c>
      <c r="AA182" s="386">
        <f t="shared" si="63"/>
        <v>53.521312453138783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0.1406343622833704</v>
      </c>
      <c r="AD182" s="231">
        <f>(INDEX(Models!$BJ182:$BT182,,AH182)*(1-AF182)+INDEX(Models!$BJ182:$BT182,,AH182+1)*AF182-ERP_i)*AE182*Ramure*Pc/MaxiM</f>
        <v>1.1109412458927281E-2</v>
      </c>
      <c r="AE182" s="305">
        <f t="shared" si="65"/>
        <v>0.8</v>
      </c>
      <c r="AF182" s="177">
        <f t="shared" si="66"/>
        <v>0.14267701906560681</v>
      </c>
      <c r="AG182" s="809">
        <f t="shared" si="74"/>
        <v>2</v>
      </c>
      <c r="AH182" s="176">
        <f t="shared" si="67"/>
        <v>8</v>
      </c>
      <c r="AI182" s="225">
        <f t="shared" si="68"/>
        <v>2.1426770190656068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1141">
        <f>IF(t&gt;Tmaj,'2022'!Wh/'2022'!Env_an*'2023'!Env_an,0.001*'[8]mon-tableau'!$B$153)</f>
        <v>50.647583557377104</v>
      </c>
      <c r="C183" s="839"/>
      <c r="D183" s="393">
        <f t="shared" si="50"/>
        <v>53.979938521882943</v>
      </c>
      <c r="E183" s="385">
        <f t="shared" si="75"/>
        <v>55.644069207145478</v>
      </c>
      <c r="F183" s="385">
        <f t="shared" si="51"/>
        <v>55.837640831919337</v>
      </c>
      <c r="G183" s="110">
        <f t="shared" si="76"/>
        <v>0.90040234125266549</v>
      </c>
      <c r="H183" s="414" t="b">
        <f>Wh_hp&gt;='2022'!Maxi_hp</f>
        <v>0</v>
      </c>
      <c r="I183" s="390">
        <f>IF(H183,Wh_hp,'2022'!Maxi_hp)</f>
        <v>61.050936871155521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6.1733211555158346E-2</v>
      </c>
      <c r="M183" s="843"/>
      <c r="N183" s="843"/>
      <c r="O183" s="48">
        <f>IF(t&lt;Tnet,'2022'!Resal+('2022'!Salim-'2022'!Resal)*(1-EXP(('2022'!Tnet-t)/('2022'!Tau_j))),Resal+(Salim-Resal)*(1-EXP((Tnet-t)/(Tau_j))))*Salcycl</f>
        <v>2.9906703606946857E-2</v>
      </c>
      <c r="P183" s="169">
        <f>(INDEX(Models!$BJ183:$BT183,,T183)*(1-R183)+INDEX(Models!$BJ183:$BT183,,T183+1)*R183-ERP_i)*Q183*Ramure*Pc/MaxiM</f>
        <v>4.0382822583507087E-3</v>
      </c>
      <c r="Q183" s="305">
        <f t="shared" si="53"/>
        <v>0.8</v>
      </c>
      <c r="R183" s="177">
        <f t="shared" si="54"/>
        <v>0.94799071923942979</v>
      </c>
      <c r="S183" s="809">
        <f t="shared" si="55"/>
        <v>0</v>
      </c>
      <c r="T183" s="176">
        <f t="shared" si="56"/>
        <v>6</v>
      </c>
      <c r="U183" s="251">
        <f t="shared" si="57"/>
        <v>0.94799071923942979</v>
      </c>
      <c r="V183" s="383">
        <f t="shared" si="58"/>
        <v>56.217682486249259</v>
      </c>
      <c r="W183" s="402">
        <f t="shared" si="59"/>
        <v>50.647583557377104</v>
      </c>
      <c r="X183" s="157">
        <f t="shared" si="60"/>
        <v>45095</v>
      </c>
      <c r="Y183" s="385">
        <f t="shared" si="61"/>
        <v>44.582283346545111</v>
      </c>
      <c r="Z183" s="385">
        <f t="shared" si="62"/>
        <v>47.515572218472478</v>
      </c>
      <c r="AA183" s="386">
        <f t="shared" si="63"/>
        <v>55.299921076925067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0.14076600304047726</v>
      </c>
      <c r="AD183" s="231">
        <f>(INDEX(Models!$BJ183:$BT183,,AH183)*(1-AF183)+INDEX(Models!$BJ183:$BT183,,AH183+1)*AF183-ERP_i)*AE183*Ramure*Pc/MaxiM</f>
        <v>1.121788458972142E-2</v>
      </c>
      <c r="AE183" s="305">
        <f t="shared" si="65"/>
        <v>0.8</v>
      </c>
      <c r="AF183" s="177">
        <f t="shared" si="66"/>
        <v>0.1487074664043333</v>
      </c>
      <c r="AG183" s="809">
        <f t="shared" si="74"/>
        <v>2</v>
      </c>
      <c r="AH183" s="176">
        <f t="shared" si="67"/>
        <v>8</v>
      </c>
      <c r="AI183" s="225">
        <f t="shared" si="68"/>
        <v>2.1487074664043333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1141">
        <f>IF(t&gt;Tmaj,'2022'!Wh/'2022'!Env_an*'2023'!Env_an,0.001*'[8]mon-tableau'!$B$154)</f>
        <v>51.842887316061073</v>
      </c>
      <c r="C184" s="839"/>
      <c r="D184" s="393">
        <f t="shared" si="50"/>
        <v>55.255202026871991</v>
      </c>
      <c r="E184" s="385">
        <f t="shared" si="75"/>
        <v>56.972348156631156</v>
      </c>
      <c r="F184" s="385">
        <f t="shared" si="51"/>
        <v>57.180294339905252</v>
      </c>
      <c r="G184" s="110">
        <f t="shared" si="76"/>
        <v>0.92283607600061268</v>
      </c>
      <c r="H184" s="414" t="b">
        <f>Wh_hp&gt;='2022'!Maxi_hp</f>
        <v>0</v>
      </c>
      <c r="I184" s="390">
        <f>IF(H184,Wh_hp,'2022'!Maxi_hp)</f>
        <v>57.196487657929183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6.1755537680441869E-2</v>
      </c>
      <c r="M184" s="843"/>
      <c r="N184" s="843"/>
      <c r="O184" s="48">
        <f>IF(t&lt;Tnet,'2022'!Resal+('2022'!Salim-'2022'!Resal)*(1-EXP(('2022'!Tnet-t)/('2022'!Tau_j))),Resal+(Salim-Resal)*(1-EXP((Tnet-t)/(Tau_j))))*Salcycl</f>
        <v>3.0139992212332555E-2</v>
      </c>
      <c r="P184" s="169">
        <f>(INDEX(Models!$BJ184:$BT184,,T184)*(1-R184)+INDEX(Models!$BJ184:$BT184,,T184+1)*R184-ERP_i)*Q184*Ramure*Pc/MaxiM</f>
        <v>4.0845064982459192E-3</v>
      </c>
      <c r="Q184" s="305">
        <f t="shared" si="53"/>
        <v>0.8</v>
      </c>
      <c r="R184" s="177">
        <f t="shared" si="54"/>
        <v>0.95398093133672479</v>
      </c>
      <c r="S184" s="809">
        <f t="shared" si="55"/>
        <v>0</v>
      </c>
      <c r="T184" s="176">
        <f t="shared" si="56"/>
        <v>6</v>
      </c>
      <c r="U184" s="251">
        <f t="shared" si="57"/>
        <v>0.95398093133672479</v>
      </c>
      <c r="V184" s="383">
        <f t="shared" si="58"/>
        <v>56.152535730279752</v>
      </c>
      <c r="W184" s="402">
        <f t="shared" si="59"/>
        <v>51.842887316061073</v>
      </c>
      <c r="X184" s="157">
        <f t="shared" si="60"/>
        <v>45096</v>
      </c>
      <c r="Y184" s="385">
        <f t="shared" si="61"/>
        <v>45.625668048822277</v>
      </c>
      <c r="Z184" s="385">
        <f t="shared" si="62"/>
        <v>48.628763484545416</v>
      </c>
      <c r="AA184" s="386">
        <f t="shared" si="63"/>
        <v>56.604003800265005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0.14089533920358921</v>
      </c>
      <c r="AD184" s="231">
        <f>(INDEX(Models!$BJ184:$BT184,,AH184)*(1-AF184)+INDEX(Models!$BJ184:$BT184,,AH184+1)*AF184-ERP_i)*AE184*Ramure*Pc/MaxiM</f>
        <v>1.131957517554236E-2</v>
      </c>
      <c r="AE184" s="305">
        <f t="shared" si="65"/>
        <v>0.8</v>
      </c>
      <c r="AF184" s="177">
        <f t="shared" si="66"/>
        <v>0.1546976785016283</v>
      </c>
      <c r="AG184" s="809">
        <f t="shared" si="74"/>
        <v>2</v>
      </c>
      <c r="AH184" s="176">
        <f t="shared" si="67"/>
        <v>8</v>
      </c>
      <c r="AI184" s="225">
        <f t="shared" si="68"/>
        <v>2.1546976785016283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1141">
        <f>IF(t&gt;Tmaj,'2022'!Wh/'2022'!Env_an*'2023'!Env_an,0.001*'[8]mon-tableau'!$B$155)</f>
        <v>31.45062163593429</v>
      </c>
      <c r="C185" s="839"/>
      <c r="D185" s="393">
        <f t="shared" si="50"/>
        <v>33.521508825288926</v>
      </c>
      <c r="E185" s="385">
        <f t="shared" si="75"/>
        <v>34.571539041011803</v>
      </c>
      <c r="F185" s="385">
        <f t="shared" si="51"/>
        <v>34.624807182437991</v>
      </c>
      <c r="G185" s="110">
        <f t="shared" si="76"/>
        <v>0.55931946284555178</v>
      </c>
      <c r="H185" s="414" t="b">
        <f>Wh_hp&gt;='2022'!Maxi_hp</f>
        <v>0</v>
      </c>
      <c r="I185" s="390">
        <f>IF(H185,Wh_hp,'2022'!Maxi_hp)</f>
        <v>54.149543241445002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6.1777863286163887E-2</v>
      </c>
      <c r="M185" s="843"/>
      <c r="N185" s="843"/>
      <c r="O185" s="48">
        <f>IF(t&lt;Tnet,'2022'!Resal+('2022'!Salim-'2022'!Resal)*(1-EXP(('2022'!Tnet-t)/('2022'!Tau_j))),Resal+(Salim-Resal)*(1-EXP((Tnet-t)/(Tau_j))))*Salcycl</f>
        <v>3.0372677782069254E-2</v>
      </c>
      <c r="P185" s="169">
        <f>(INDEX(Models!$BJ185:$BT185,,T185)*(1-R185)+INDEX(Models!$BJ185:$BT185,,T185+1)*R185-ERP_i)*Q185*Ramure*Pc/MaxiM</f>
        <v>4.1296441041312566E-3</v>
      </c>
      <c r="Q185" s="305">
        <f t="shared" si="53"/>
        <v>0.8</v>
      </c>
      <c r="R185" s="177">
        <f t="shared" si="54"/>
        <v>0.95992630502922349</v>
      </c>
      <c r="S185" s="809">
        <f t="shared" si="55"/>
        <v>0</v>
      </c>
      <c r="T185" s="176">
        <f t="shared" si="56"/>
        <v>6</v>
      </c>
      <c r="U185" s="251">
        <f t="shared" si="57"/>
        <v>0.95992630502922349</v>
      </c>
      <c r="V185" s="383">
        <f t="shared" si="58"/>
        <v>56.084229369704715</v>
      </c>
      <c r="W185" s="402">
        <f t="shared" si="59"/>
        <v>31.45062163593429</v>
      </c>
      <c r="X185" s="157">
        <f t="shared" si="60"/>
        <v>45097</v>
      </c>
      <c r="Y185" s="385">
        <f t="shared" si="61"/>
        <v>27.785865210681916</v>
      </c>
      <c r="Z185" s="385">
        <f t="shared" si="62"/>
        <v>29.615444065307518</v>
      </c>
      <c r="AA185" s="386">
        <f t="shared" si="63"/>
        <v>34.477548518123349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0.14102233661595856</v>
      </c>
      <c r="AD185" s="231">
        <f>(INDEX(Models!$BJ185:$BT185,,AH185)*(1-AF185)+INDEX(Models!$BJ185:$BT185,,AH185+1)*AF185-ERP_i)*AE185*Ramure*Pc/MaxiM</f>
        <v>1.1416314866398377E-2</v>
      </c>
      <c r="AE185" s="305">
        <f t="shared" si="65"/>
        <v>0.8</v>
      </c>
      <c r="AF185" s="177">
        <f t="shared" si="66"/>
        <v>0.16064305219412711</v>
      </c>
      <c r="AG185" s="809">
        <f t="shared" si="74"/>
        <v>2</v>
      </c>
      <c r="AH185" s="176">
        <f t="shared" si="67"/>
        <v>8</v>
      </c>
      <c r="AI185" s="225">
        <f t="shared" si="68"/>
        <v>2.1606430521941271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1141">
        <f>IF(t&gt;Tmaj,'2022'!Wh/'2022'!Env_an*'2023'!Env_an,0.001*'[8]mon-tableau'!$B$156)</f>
        <v>22.782723039451323</v>
      </c>
      <c r="C186" s="839"/>
      <c r="D186" s="393">
        <f t="shared" si="50"/>
        <v>24.283444482818695</v>
      </c>
      <c r="E186" s="385">
        <f t="shared" si="75"/>
        <v>25.050096275078907</v>
      </c>
      <c r="F186" s="385">
        <f t="shared" si="51"/>
        <v>25.066049071411747</v>
      </c>
      <c r="G186" s="110">
        <f t="shared" si="76"/>
        <v>0.40530194082756393</v>
      </c>
      <c r="H186" s="414" t="b">
        <f>Wh_hp&gt;='2022'!Maxi_hp</f>
        <v>0</v>
      </c>
      <c r="I186" s="390">
        <f>IF(H186,Wh_hp,'2022'!Maxi_hp)</f>
        <v>52.018835844669908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6.1800188372336501E-2</v>
      </c>
      <c r="M186" s="843"/>
      <c r="N186" s="843"/>
      <c r="O186" s="48">
        <f>IF(t&lt;Tnet,'2022'!Resal+('2022'!Salim-'2022'!Resal)*(1-EXP(('2022'!Tnet-t)/('2022'!Tau_j))),Resal+(Salim-Resal)*(1-EXP((Tnet-t)/(Tau_j))))*Salcycl</f>
        <v>3.0604744342755955E-2</v>
      </c>
      <c r="P186" s="169">
        <f>(INDEX(Models!$BJ186:$BT186,,T186)*(1-R186)+INDEX(Models!$BJ186:$BT186,,T186+1)*R186-ERP_i)*Q186*Ramure*Pc/MaxiM</f>
        <v>4.17364314461447E-3</v>
      </c>
      <c r="Q186" s="305">
        <f t="shared" si="53"/>
        <v>0.8</v>
      </c>
      <c r="R186" s="177">
        <f t="shared" si="54"/>
        <v>0.96582238088877559</v>
      </c>
      <c r="S186" s="809">
        <f t="shared" si="55"/>
        <v>0</v>
      </c>
      <c r="T186" s="176">
        <f t="shared" si="56"/>
        <v>6</v>
      </c>
      <c r="U186" s="251">
        <f t="shared" si="57"/>
        <v>0.96582238088877559</v>
      </c>
      <c r="V186" s="383">
        <f t="shared" si="58"/>
        <v>56.012769972286733</v>
      </c>
      <c r="W186" s="402">
        <f t="shared" si="59"/>
        <v>22.782723039451323</v>
      </c>
      <c r="X186" s="157">
        <f t="shared" si="60"/>
        <v>45098</v>
      </c>
      <c r="Y186" s="385">
        <f t="shared" si="61"/>
        <v>20.162171257248001</v>
      </c>
      <c r="Z186" s="385">
        <f t="shared" si="62"/>
        <v>21.490274254339347</v>
      </c>
      <c r="AA186" s="386">
        <f t="shared" si="63"/>
        <v>25.022062510424227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0.14114696798529422</v>
      </c>
      <c r="AD186" s="231">
        <f>(INDEX(Models!$BJ186:$BT186,,AH186)*(1-AF186)+INDEX(Models!$BJ186:$BT186,,AH186+1)*AF186-ERP_i)*AE186*Ramure*Pc/MaxiM</f>
        <v>1.150796417696469E-2</v>
      </c>
      <c r="AE186" s="305">
        <f t="shared" si="65"/>
        <v>0.8</v>
      </c>
      <c r="AF186" s="177">
        <f t="shared" si="66"/>
        <v>0.16653912805367899</v>
      </c>
      <c r="AG186" s="809">
        <f t="shared" si="74"/>
        <v>2</v>
      </c>
      <c r="AH186" s="176">
        <f t="shared" si="67"/>
        <v>8</v>
      </c>
      <c r="AI186" s="225">
        <f t="shared" si="68"/>
        <v>2.166539128053679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1141">
        <f>IF(t&gt;Tmaj,'2022'!Wh/'2022'!Env_an*'2023'!Env_an,0.001*'[8]mon-tableau'!$B$157)</f>
        <v>39.922579815407154</v>
      </c>
      <c r="C187" s="839"/>
      <c r="D187" s="393">
        <f t="shared" si="50"/>
        <v>42.553333847809753</v>
      </c>
      <c r="E187" s="385">
        <f t="shared" si="75"/>
        <v>43.90726609025976</v>
      </c>
      <c r="F187" s="385">
        <f t="shared" si="51"/>
        <v>44.016950695993081</v>
      </c>
      <c r="G187" s="110">
        <f t="shared" si="76"/>
        <v>0.71245738721920593</v>
      </c>
      <c r="H187" s="414" t="b">
        <f>Wh_hp&gt;='2022'!Maxi_hp</f>
        <v>0</v>
      </c>
      <c r="I187" s="390">
        <f>IF(H187,Wh_hp,'2022'!Maxi_hp)</f>
        <v>63.102397192098245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6.1822512938971702E-2</v>
      </c>
      <c r="M187" s="843"/>
      <c r="N187" s="843"/>
      <c r="O187" s="48">
        <f>IF(t&lt;Tnet,'2022'!Resal+('2022'!Salim-'2022'!Resal)*(1-EXP(('2022'!Tnet-t)/('2022'!Tau_j))),Resal+(Salim-Resal)*(1-EXP((Tnet-t)/(Tau_j))))*Salcycl</f>
        <v>3.083617731212733E-2</v>
      </c>
      <c r="P187" s="169">
        <f>(INDEX(Models!$BJ187:$BT187,,T187)*(1-R187)+INDEX(Models!$BJ187:$BT187,,T187+1)*R187-ERP_i)*Q187*Ramure*Pc/MaxiM</f>
        <v>4.2164542964516615E-3</v>
      </c>
      <c r="Q187" s="305">
        <f t="shared" si="53"/>
        <v>0.8</v>
      </c>
      <c r="R187" s="177">
        <f t="shared" si="54"/>
        <v>0.97166485561688076</v>
      </c>
      <c r="S187" s="809">
        <f t="shared" si="55"/>
        <v>0</v>
      </c>
      <c r="T187" s="176">
        <f t="shared" si="56"/>
        <v>6</v>
      </c>
      <c r="U187" s="251">
        <f t="shared" si="57"/>
        <v>0.97166485561688076</v>
      </c>
      <c r="V187" s="383">
        <f t="shared" si="58"/>
        <v>55.938163827668461</v>
      </c>
      <c r="W187" s="402">
        <f t="shared" si="59"/>
        <v>39.922579815407154</v>
      </c>
      <c r="X187" s="157">
        <f t="shared" si="60"/>
        <v>45099</v>
      </c>
      <c r="Y187" s="385">
        <f t="shared" si="61"/>
        <v>35.218909512753996</v>
      </c>
      <c r="Z187" s="385">
        <f t="shared" si="62"/>
        <v>37.539708635603844</v>
      </c>
      <c r="AA187" s="386">
        <f t="shared" si="63"/>
        <v>43.715340360106623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0.14126921290400113</v>
      </c>
      <c r="AD187" s="231">
        <f>(INDEX(Models!$BJ187:$BT187,,AH187)*(1-AF187)+INDEX(Models!$BJ187:$BT187,,AH187+1)*AF187-ERP_i)*AE187*Ramure*Pc/MaxiM</f>
        <v>1.159439091839958E-2</v>
      </c>
      <c r="AE187" s="305">
        <f t="shared" si="65"/>
        <v>0.8</v>
      </c>
      <c r="AF187" s="177">
        <f t="shared" si="66"/>
        <v>0.17238160278178416</v>
      </c>
      <c r="AG187" s="809">
        <f t="shared" si="74"/>
        <v>2</v>
      </c>
      <c r="AH187" s="176">
        <f t="shared" si="67"/>
        <v>8</v>
      </c>
      <c r="AI187" s="225">
        <f t="shared" si="68"/>
        <v>2.1723816027817842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1141">
        <f>IF(t&gt;Tmaj,'2022'!Wh/'2022'!Env_an*'2023'!Env_an,0.001*'[8]mon-tableau'!$B$158)</f>
        <v>39.388429994801498</v>
      </c>
      <c r="C188" s="839"/>
      <c r="D188" s="393">
        <f t="shared" si="50"/>
        <v>41.984984518192256</v>
      </c>
      <c r="E188" s="385">
        <f t="shared" si="75"/>
        <v>43.331151832563854</v>
      </c>
      <c r="F188" s="385">
        <f t="shared" si="51"/>
        <v>43.438196323771244</v>
      </c>
      <c r="G188" s="110">
        <f t="shared" si="76"/>
        <v>0.70385444891618754</v>
      </c>
      <c r="H188" s="414" t="b">
        <f>Wh_hp&gt;='2022'!Maxi_hp</f>
        <v>0</v>
      </c>
      <c r="I188" s="390">
        <f>IF(H188,Wh_hp,'2022'!Maxi_hp)</f>
        <v>54.439058781268628</v>
      </c>
      <c r="J188" s="85">
        <f>IF(H188,An,'2022'!An_max)</f>
        <v>2020</v>
      </c>
      <c r="K188" s="197">
        <f t="shared" si="52"/>
        <v>45100</v>
      </c>
      <c r="L188" s="147">
        <f>IF(t&lt;Tvie,1-EXP((T0-t)*PertePVj)+'2022'!Pspv,1-EXP((T0-t)*PertePVj)+Pspv)</f>
        <v>6.1844836986081592E-2</v>
      </c>
      <c r="M188" s="843"/>
      <c r="N188" s="843"/>
      <c r="O188" s="48">
        <f>IF(t&lt;Tnet,'2022'!Resal+('2022'!Salim-'2022'!Resal)*(1-EXP(('2022'!Tnet-t)/('2022'!Tau_j))),Resal+(Salim-Resal)*(1-EXP((Tnet-t)/(Tau_j))))*Salcycl</f>
        <v>3.1066963545611007E-2</v>
      </c>
      <c r="P188" s="169">
        <f>(INDEX(Models!$BJ188:$BT188,,T188)*(1-R188)+INDEX(Models!$BJ188:$BT188,,T188+1)*R188-ERP_i)*Q188*Ramure*Pc/MaxiM</f>
        <v>4.2579874670604688E-3</v>
      </c>
      <c r="Q188" s="305">
        <f t="shared" si="53"/>
        <v>0.8</v>
      </c>
      <c r="R188" s="177">
        <f t="shared" si="54"/>
        <v>0.97744959341434701</v>
      </c>
      <c r="S188" s="809">
        <f t="shared" si="55"/>
        <v>0</v>
      </c>
      <c r="T188" s="176">
        <f t="shared" si="56"/>
        <v>6</v>
      </c>
      <c r="U188" s="251">
        <f t="shared" si="57"/>
        <v>0.97744959341434701</v>
      </c>
      <c r="V188" s="383">
        <f t="shared" si="58"/>
        <v>55.860419374515928</v>
      </c>
      <c r="W188" s="402">
        <f t="shared" si="59"/>
        <v>39.388429994801498</v>
      </c>
      <c r="X188" s="157">
        <f t="shared" si="60"/>
        <v>45100</v>
      </c>
      <c r="Y188" s="385">
        <f t="shared" si="61"/>
        <v>34.753484918755248</v>
      </c>
      <c r="Z188" s="385">
        <f t="shared" si="62"/>
        <v>37.044495717644573</v>
      </c>
      <c r="AA188" s="386">
        <f t="shared" si="63"/>
        <v>43.144681599415087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0.1413890578312488</v>
      </c>
      <c r="AD188" s="231">
        <f>(INDEX(Models!$BJ188:$BT188,,AH188)*(1-AF188)+INDEX(Models!$BJ188:$BT188,,AH188+1)*AF188-ERP_i)*AE188*Ramure*Pc/MaxiM</f>
        <v>1.1675351095694368E-2</v>
      </c>
      <c r="AE188" s="305">
        <f t="shared" si="65"/>
        <v>0.8</v>
      </c>
      <c r="AF188" s="177">
        <f t="shared" si="66"/>
        <v>0.17816634057925063</v>
      </c>
      <c r="AG188" s="809">
        <f t="shared" si="74"/>
        <v>2</v>
      </c>
      <c r="AH188" s="176">
        <f t="shared" si="67"/>
        <v>8</v>
      </c>
      <c r="AI188" s="225">
        <f t="shared" si="68"/>
        <v>2.1781663405792506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1141">
        <f>IF(t&gt;Tmaj,'2022'!Wh/'2022'!Env_an*'2023'!Env_an,0.001*'[8]mon-tableau'!$B$159)</f>
        <v>38.48490407847212</v>
      </c>
      <c r="C189" s="839"/>
      <c r="D189" s="393">
        <f t="shared" si="50"/>
        <v>41.022872730417021</v>
      </c>
      <c r="E189" s="385">
        <f t="shared" si="75"/>
        <v>42.348249773093045</v>
      </c>
      <c r="F189" s="385">
        <f t="shared" si="51"/>
        <v>42.449889928424419</v>
      </c>
      <c r="G189" s="110">
        <f t="shared" si="76"/>
        <v>0.68862987096335493</v>
      </c>
      <c r="H189" s="414" t="b">
        <f>Wh_hp&gt;='2022'!Maxi_hp</f>
        <v>0</v>
      </c>
      <c r="I189" s="390">
        <f>IF(H189,Wh_hp,'2022'!Maxi_hp)</f>
        <v>61.680272578542535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6.1867160513678271E-2</v>
      </c>
      <c r="M189" s="843"/>
      <c r="N189" s="843"/>
      <c r="O189" s="48">
        <f>IF(t&lt;Tnet,'2022'!Resal+('2022'!Salim-'2022'!Resal)*(1-EXP(('2022'!Tnet-t)/('2022'!Tau_j))),Resal+(Salim-Resal)*(1-EXP((Tnet-t)/(Tau_j))))*Salcycl</f>
        <v>3.1297091373965871E-2</v>
      </c>
      <c r="P189" s="169">
        <f>(INDEX(Models!$BJ189:$BT189,,T189)*(1-R189)+INDEX(Models!$BJ189:$BT189,,T189+1)*R189-ERP_i)*Q189*Ramure*Pc/MaxiM</f>
        <v>4.2981515050922927E-3</v>
      </c>
      <c r="Q189" s="305">
        <f t="shared" si="53"/>
        <v>0.8</v>
      </c>
      <c r="R189" s="177">
        <f t="shared" si="54"/>
        <v>0.98317263627219798</v>
      </c>
      <c r="S189" s="809">
        <f t="shared" si="55"/>
        <v>0</v>
      </c>
      <c r="T189" s="176">
        <f t="shared" si="56"/>
        <v>6</v>
      </c>
      <c r="U189" s="251">
        <f t="shared" si="57"/>
        <v>0.98317263627219798</v>
      </c>
      <c r="V189" s="383">
        <f t="shared" si="58"/>
        <v>55.779544959536125</v>
      </c>
      <c r="W189" s="402">
        <f t="shared" si="59"/>
        <v>38.48490407847212</v>
      </c>
      <c r="X189" s="157">
        <f t="shared" si="60"/>
        <v>45101</v>
      </c>
      <c r="Y189" s="385">
        <f t="shared" si="61"/>
        <v>33.964540408722264</v>
      </c>
      <c r="Z189" s="385">
        <f t="shared" si="62"/>
        <v>36.204404087719261</v>
      </c>
      <c r="AA189" s="386">
        <f t="shared" si="63"/>
        <v>42.17201868225132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0.14150649603699458</v>
      </c>
      <c r="AD189" s="231">
        <f>(INDEX(Models!$BJ189:$BT189,,AH189)*(1-AF189)+INDEX(Models!$BJ189:$BT189,,AH189+1)*AF189-ERP_i)*AE189*Ramure*Pc/MaxiM</f>
        <v>1.1750599072452595E-2</v>
      </c>
      <c r="AE189" s="305">
        <f t="shared" si="65"/>
        <v>0.8</v>
      </c>
      <c r="AF189" s="177">
        <f t="shared" si="66"/>
        <v>0.18388938343710137</v>
      </c>
      <c r="AG189" s="809">
        <f t="shared" si="74"/>
        <v>2</v>
      </c>
      <c r="AH189" s="176">
        <f t="shared" si="67"/>
        <v>8</v>
      </c>
      <c r="AI189" s="225">
        <f t="shared" si="68"/>
        <v>2.1838893834371014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1141">
        <f>IF(t&gt;Tmaj,'2022'!Wh/'2022'!Env_an*'2023'!Env_an,0.001*'[8]mon-tableau'!$B$160)</f>
        <v>31.230013585790211</v>
      </c>
      <c r="C190" s="839"/>
      <c r="D190" s="393">
        <f t="shared" si="50"/>
        <v>33.290335240064515</v>
      </c>
      <c r="E190" s="385">
        <f t="shared" si="75"/>
        <v>34.37402983197849</v>
      </c>
      <c r="F190" s="385">
        <f t="shared" si="51"/>
        <v>34.429645918875032</v>
      </c>
      <c r="G190" s="110">
        <f t="shared" si="76"/>
        <v>0.55919879159106189</v>
      </c>
      <c r="H190" s="414" t="b">
        <f>Wh_hp&gt;='2022'!Maxi_hp</f>
        <v>0</v>
      </c>
      <c r="I190" s="390">
        <f>IF(H190,Wh_hp,'2022'!Maxi_hp)</f>
        <v>58.487024218685626</v>
      </c>
      <c r="J190" s="85">
        <f>IF(H190,An,'2022'!An_max)</f>
        <v>2021</v>
      </c>
      <c r="K190" s="197">
        <f t="shared" si="52"/>
        <v>45102</v>
      </c>
      <c r="L190" s="147">
        <f>IF(t&lt;Tvie,1-EXP((T0-t)*PertePVj)+'2022'!Pspv,1-EXP((T0-t)*PertePVj)+Pspv)</f>
        <v>6.1889483521773953E-2</v>
      </c>
      <c r="M190" s="843"/>
      <c r="N190" s="843"/>
      <c r="O190" s="48">
        <f>IF(t&lt;Tnet,'2022'!Resal+('2022'!Salim-'2022'!Resal)*(1-EXP(('2022'!Tnet-t)/('2022'!Tau_j))),Resal+(Salim-Resal)*(1-EXP((Tnet-t)/(Tau_j))))*Salcycl</f>
        <v>3.1526550631715632E-2</v>
      </c>
      <c r="P190" s="169">
        <f>(INDEX(Models!$BJ190:$BT190,,T190)*(1-R190)+INDEX(Models!$BJ190:$BT190,,T190+1)*R190-ERP_i)*Q190*Ramure*Pc/MaxiM</f>
        <v>4.3368998801715354E-3</v>
      </c>
      <c r="Q190" s="305">
        <f t="shared" si="53"/>
        <v>0.8</v>
      </c>
      <c r="R190" s="177">
        <f t="shared" si="54"/>
        <v>0.98883021314136887</v>
      </c>
      <c r="S190" s="809">
        <f t="shared" si="55"/>
        <v>0</v>
      </c>
      <c r="T190" s="176">
        <f t="shared" si="56"/>
        <v>6</v>
      </c>
      <c r="U190" s="251">
        <f t="shared" si="57"/>
        <v>0.98883021314136887</v>
      </c>
      <c r="V190" s="383">
        <f t="shared" si="58"/>
        <v>55.695546271956665</v>
      </c>
      <c r="W190" s="402">
        <f t="shared" si="59"/>
        <v>31.230013585790211</v>
      </c>
      <c r="X190" s="157">
        <f t="shared" si="60"/>
        <v>45102</v>
      </c>
      <c r="Y190" s="385">
        <f t="shared" si="61"/>
        <v>27.602546139199514</v>
      </c>
      <c r="Z190" s="385">
        <f t="shared" si="62"/>
        <v>29.423554745791169</v>
      </c>
      <c r="AA190" s="386">
        <f t="shared" si="63"/>
        <v>34.278066946836958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0.14162152750838664</v>
      </c>
      <c r="AD190" s="231">
        <f>(INDEX(Models!$BJ190:$BT190,,AH190)*(1-AF190)+INDEX(Models!$BJ190:$BT190,,AH190+1)*AF190-ERP_i)*AE190*Ramure*Pc/MaxiM</f>
        <v>1.1820012200630434E-2</v>
      </c>
      <c r="AE190" s="305">
        <f t="shared" si="65"/>
        <v>0.8</v>
      </c>
      <c r="AF190" s="177">
        <f t="shared" si="66"/>
        <v>0.18954696030627227</v>
      </c>
      <c r="AG190" s="809">
        <f t="shared" si="74"/>
        <v>2</v>
      </c>
      <c r="AH190" s="176">
        <f t="shared" si="67"/>
        <v>8</v>
      </c>
      <c r="AI190" s="225">
        <f t="shared" si="68"/>
        <v>2.1895469603062723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1141">
        <f>IF(t&gt;Tmaj,'2022'!Wh/'2022'!Env_an*'2023'!Env_an,0.001*'[8]mon-tableau'!$B$161)</f>
        <v>11.501039031183208</v>
      </c>
      <c r="C191" s="839"/>
      <c r="D191" s="393">
        <f t="shared" si="50"/>
        <v>12.260082905712885</v>
      </c>
      <c r="E191" s="385">
        <f t="shared" si="75"/>
        <v>12.662174468359304</v>
      </c>
      <c r="F191" s="385">
        <f t="shared" si="51"/>
        <v>12.662174468359304</v>
      </c>
      <c r="G191" s="110">
        <f t="shared" si="76"/>
        <v>0.20591718884993343</v>
      </c>
      <c r="H191" s="414" t="b">
        <f>Wh_hp&gt;='2022'!Maxi_hp</f>
        <v>0</v>
      </c>
      <c r="I191" s="390">
        <f>IF(H191,Wh_hp,'2022'!Maxi_hp)</f>
        <v>59.355416952943592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6.1911806010380516E-2</v>
      </c>
      <c r="M191" s="843"/>
      <c r="N191" s="843"/>
      <c r="O191" s="48">
        <f>IF(t&lt;Tnet,'2022'!Resal+('2022'!Salim-'2022'!Resal)*(1-EXP(('2022'!Tnet-t)/('2022'!Tau_j))),Resal+(Salim-Resal)*(1-EXP((Tnet-t)/(Tau_j))))*Salcycl</f>
        <v>3.1755332676167015E-2</v>
      </c>
      <c r="P191" s="169">
        <f>(INDEX(Models!$BJ191:$BT191,,T191)*(1-R191)+INDEX(Models!$BJ191:$BT191,,T191+1)*R191-ERP_i)*Q191*Ramure*Pc/MaxiM</f>
        <v>4.3741892484270095E-3</v>
      </c>
      <c r="Q191" s="305">
        <f t="shared" si="53"/>
        <v>0.8</v>
      </c>
      <c r="R191" s="177">
        <f t="shared" si="54"/>
        <v>0.99441874795036767</v>
      </c>
      <c r="S191" s="809">
        <f t="shared" si="55"/>
        <v>0</v>
      </c>
      <c r="T191" s="176">
        <f t="shared" si="56"/>
        <v>6</v>
      </c>
      <c r="U191" s="251">
        <f t="shared" si="57"/>
        <v>0.99441874795036767</v>
      </c>
      <c r="V191" s="383">
        <f t="shared" si="58"/>
        <v>55.60842867883278</v>
      </c>
      <c r="W191" s="402">
        <f t="shared" si="59"/>
        <v>11.501039031183208</v>
      </c>
      <c r="X191" s="157">
        <f t="shared" si="60"/>
        <v>45103</v>
      </c>
      <c r="Y191" s="385">
        <f t="shared" si="61"/>
        <v>10.19468453757003</v>
      </c>
      <c r="Z191" s="385">
        <f t="shared" si="62"/>
        <v>10.867511821263619</v>
      </c>
      <c r="AA191" s="386">
        <f t="shared" si="63"/>
        <v>12.662174468359304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0.14173415881926535</v>
      </c>
      <c r="AD191" s="231">
        <f>(INDEX(Models!$BJ191:$BT191,,AH191)*(1-AF191)+INDEX(Models!$BJ191:$BT191,,AH191+1)*AF191-ERP_i)*AE191*Ramure*Pc/MaxiM</f>
        <v>1.1883476414004942E-2</v>
      </c>
      <c r="AE191" s="305">
        <f t="shared" si="65"/>
        <v>0.8</v>
      </c>
      <c r="AF191" s="177">
        <f t="shared" si="66"/>
        <v>0.19513549511527106</v>
      </c>
      <c r="AG191" s="809">
        <f t="shared" si="74"/>
        <v>2</v>
      </c>
      <c r="AH191" s="176">
        <f t="shared" si="67"/>
        <v>8</v>
      </c>
      <c r="AI191" s="225">
        <f t="shared" si="68"/>
        <v>2.1951354951152711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1141">
        <f>IF(t&gt;Tmaj,'2022'!Wh/'2022'!Env_an*'2023'!Env_an,0.001*'[8]mon-tableau'!$B$162)</f>
        <v>12.221212670979551</v>
      </c>
      <c r="C192" s="839"/>
      <c r="D192" s="393">
        <f t="shared" si="50"/>
        <v>13.02809646475723</v>
      </c>
      <c r="E192" s="385">
        <f t="shared" si="75"/>
        <v>13.458546964850651</v>
      </c>
      <c r="F192" s="385">
        <f t="shared" si="51"/>
        <v>13.458546964850651</v>
      </c>
      <c r="G192" s="110">
        <f t="shared" si="76"/>
        <v>0.21915908627845126</v>
      </c>
      <c r="H192" s="414" t="b">
        <f>Wh_hp&gt;='2022'!Maxi_hp</f>
        <v>0</v>
      </c>
      <c r="I192" s="390">
        <f>IF(H192,Wh_hp,'2022'!Maxi_hp)</f>
        <v>59.191456400170118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6.1934127979510284E-2</v>
      </c>
      <c r="M192" s="843"/>
      <c r="N192" s="843"/>
      <c r="O192" s="48">
        <f>IF(t&lt;Tnet,'2022'!Resal+('2022'!Salim-'2022'!Resal)*(1-EXP(('2022'!Tnet-t)/('2022'!Tau_j))),Resal+(Salim-Resal)*(1-EXP((Tnet-t)/(Tau_j))))*Salcycl</f>
        <v>3.198343039687844E-2</v>
      </c>
      <c r="P192" s="169">
        <f>(INDEX(Models!$BJ192:$BT192,,T192)*(1-R192)+INDEX(Models!$BJ192:$BT192,,T192+1)*R192-ERP_i)*Q192*Ramure*Pc/MaxiM</f>
        <v>4.4095764485175774E-3</v>
      </c>
      <c r="Q192" s="305">
        <f t="shared" si="53"/>
        <v>0.8</v>
      </c>
      <c r="R192" s="177">
        <f t="shared" si="54"/>
        <v>0.99993486645162832</v>
      </c>
      <c r="S192" s="809">
        <f t="shared" si="55"/>
        <v>0</v>
      </c>
      <c r="T192" s="176">
        <f t="shared" si="56"/>
        <v>6</v>
      </c>
      <c r="U192" s="251">
        <f t="shared" si="57"/>
        <v>0.99993486645162832</v>
      </c>
      <c r="V192" s="383">
        <f t="shared" si="58"/>
        <v>55.518219691581287</v>
      </c>
      <c r="W192" s="402">
        <f t="shared" si="59"/>
        <v>12.221212670979551</v>
      </c>
      <c r="X192" s="157">
        <f t="shared" si="60"/>
        <v>45104</v>
      </c>
      <c r="Y192" s="385">
        <f t="shared" si="61"/>
        <v>10.834217497404021</v>
      </c>
      <c r="Z192" s="385">
        <f t="shared" si="62"/>
        <v>11.549527405861509</v>
      </c>
      <c r="AA192" s="386">
        <f t="shared" si="63"/>
        <v>13.458546964850651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0.1418444029637731</v>
      </c>
      <c r="AD192" s="231">
        <f>(INDEX(Models!$BJ192:$BT192,,AH192)*(1-AF192)+INDEX(Models!$BJ192:$BT192,,AH192+1)*AF192-ERP_i)*AE192*Ramure*Pc/MaxiM</f>
        <v>1.193874610910505E-2</v>
      </c>
      <c r="AE192" s="305">
        <f t="shared" si="65"/>
        <v>0.8</v>
      </c>
      <c r="AF192" s="177">
        <f t="shared" si="66"/>
        <v>0.20065161361653194</v>
      </c>
      <c r="AG192" s="809">
        <f t="shared" si="74"/>
        <v>2</v>
      </c>
      <c r="AH192" s="176">
        <f t="shared" si="67"/>
        <v>8</v>
      </c>
      <c r="AI192" s="225">
        <f t="shared" si="68"/>
        <v>2.2006516136165319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1141">
        <f>IF(t&gt;Tmaj,'2022'!Wh/'2022'!Env_an*'2023'!Env_an,0.001*'[8]mon-tableau'!$B$163)</f>
        <v>55.951125712258673</v>
      </c>
      <c r="C193" s="839"/>
      <c r="D193" s="393">
        <f t="shared" si="50"/>
        <v>59.646618409359455</v>
      </c>
      <c r="E193" s="385">
        <f t="shared" si="75"/>
        <v>61.63183135816373</v>
      </c>
      <c r="F193" s="385">
        <f t="shared" si="51"/>
        <v>61.907521444604455</v>
      </c>
      <c r="G193" s="110">
        <f t="shared" si="76"/>
        <v>1.0095043316533834</v>
      </c>
      <c r="H193" s="414" t="b">
        <f>Wh_hp&gt;='2022'!Maxi_hp</f>
        <v>1</v>
      </c>
      <c r="I193" s="390">
        <f>IF(H193,Wh_hp,'2022'!Maxi_hp)</f>
        <v>61.907521444604455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6.1956449429175137E-2</v>
      </c>
      <c r="M193" s="843"/>
      <c r="N193" s="843"/>
      <c r="O193" s="48">
        <f>IF(t&lt;Tnet,'2022'!Resal+('2022'!Salim-'2022'!Resal)*(1-EXP(('2022'!Tnet-t)/('2022'!Tau_j))),Resal+(Salim-Resal)*(1-EXP((Tnet-t)/(Tau_j))))*Salcycl</f>
        <v>3.2210838215524042E-2</v>
      </c>
      <c r="P193" s="169">
        <f>(INDEX(Models!$BJ193:$BT193,,T193)*(1-R193)+INDEX(Models!$BJ193:$BT193,,T193+1)*R193-ERP_i)*Q193*Ramure*Pc/MaxiM</f>
        <v>4.4532567288679756E-3</v>
      </c>
      <c r="Q193" s="305">
        <f t="shared" si="53"/>
        <v>0.8</v>
      </c>
      <c r="R193" s="177">
        <f t="shared" si="54"/>
        <v>5.375401888623621E-3</v>
      </c>
      <c r="S193" s="809">
        <f t="shared" si="55"/>
        <v>1</v>
      </c>
      <c r="T193" s="176">
        <f t="shared" si="56"/>
        <v>7</v>
      </c>
      <c r="U193" s="251">
        <f t="shared" si="57"/>
        <v>1.0053754018886236</v>
      </c>
      <c r="V193" s="383">
        <f t="shared" si="58"/>
        <v>55.424354267624551</v>
      </c>
      <c r="W193" s="402">
        <f t="shared" si="59"/>
        <v>55.951125712258673</v>
      </c>
      <c r="X193" s="157">
        <f t="shared" si="60"/>
        <v>45105</v>
      </c>
      <c r="Y193" s="385">
        <f t="shared" si="61"/>
        <v>49.231158690963305</v>
      </c>
      <c r="Z193" s="385">
        <f t="shared" si="62"/>
        <v>52.482807073301458</v>
      </c>
      <c r="AA193" s="386">
        <f t="shared" si="63"/>
        <v>61.165370874289941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0.1419522791553624</v>
      </c>
      <c r="AD193" s="231">
        <f>(INDEX(Models!$BJ193:$BT193,,AH193)*(1-AF193)+INDEX(Models!$BJ193:$BT193,,AH193+1)*AF193-ERP_i)*AE193*Ramure*Pc/MaxiM</f>
        <v>1.1988051742284699E-2</v>
      </c>
      <c r="AE193" s="305">
        <f t="shared" si="65"/>
        <v>0.8</v>
      </c>
      <c r="AF193" s="177">
        <f t="shared" si="66"/>
        <v>0.20609214905352724</v>
      </c>
      <c r="AG193" s="809">
        <f t="shared" si="74"/>
        <v>2</v>
      </c>
      <c r="AH193" s="176">
        <f t="shared" si="67"/>
        <v>8</v>
      </c>
      <c r="AI193" s="225">
        <f t="shared" si="68"/>
        <v>2.2060921490535272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1141">
        <f>IF(t&gt;Tmaj,'2022'!Wh/'2022'!Env_an*'2023'!Env_an,0.001*'[8]mon-tableau'!$B$164)</f>
        <v>52.67606306897931</v>
      </c>
      <c r="C194" s="839"/>
      <c r="D194" s="393">
        <f t="shared" si="50"/>
        <v>56.156578768650327</v>
      </c>
      <c r="E194" s="385">
        <f t="shared" si="75"/>
        <v>58.039229291246379</v>
      </c>
      <c r="F194" s="385">
        <f t="shared" si="51"/>
        <v>58.283295254162113</v>
      </c>
      <c r="G194" s="110">
        <f t="shared" si="76"/>
        <v>0.95178510688214057</v>
      </c>
      <c r="H194" s="414" t="b">
        <f>Wh_hp&gt;='2022'!Maxi_hp</f>
        <v>0</v>
      </c>
      <c r="I194" s="390">
        <f>IF(H194,Wh_hp,'2022'!Maxi_hp)</f>
        <v>58.29404049517651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6.1978770359387175E-2</v>
      </c>
      <c r="M194" s="843"/>
      <c r="N194" s="843"/>
      <c r="O194" s="48">
        <f>IF(t&lt;Tnet,'2022'!Resal+('2022'!Salim-'2022'!Resal)*(1-EXP(('2022'!Tnet-t)/('2022'!Tau_j))),Resal+(Salim-Resal)*(1-EXP((Tnet-t)/(Tau_j))))*Salcycl</f>
        <v>3.2437552076178149E-2</v>
      </c>
      <c r="P194" s="169">
        <f>(INDEX(Models!$BJ194:$BT194,,T194)*(1-R194)+INDEX(Models!$BJ194:$BT194,,T194+1)*R194-ERP_i)*Q194*Ramure*Pc/MaxiM</f>
        <v>4.4953211494795095E-3</v>
      </c>
      <c r="Q194" s="305">
        <f t="shared" si="53"/>
        <v>0.8</v>
      </c>
      <c r="R194" s="177">
        <f t="shared" si="54"/>
        <v>1.0737399486750565E-2</v>
      </c>
      <c r="S194" s="809">
        <f t="shared" si="55"/>
        <v>1</v>
      </c>
      <c r="T194" s="176">
        <f t="shared" si="56"/>
        <v>7</v>
      </c>
      <c r="U194" s="251">
        <f t="shared" si="57"/>
        <v>1.0107373994867506</v>
      </c>
      <c r="V194" s="383">
        <f t="shared" si="58"/>
        <v>55.327388429010064</v>
      </c>
      <c r="W194" s="402">
        <f t="shared" si="59"/>
        <v>52.67606306897931</v>
      </c>
      <c r="X194" s="157">
        <f t="shared" si="60"/>
        <v>45106</v>
      </c>
      <c r="Y194" s="385">
        <f t="shared" si="61"/>
        <v>46.378839695105107</v>
      </c>
      <c r="Z194" s="385">
        <f t="shared" si="62"/>
        <v>49.443272955425947</v>
      </c>
      <c r="AA194" s="386">
        <f t="shared" si="63"/>
        <v>57.630075407350276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0.14205781259276581</v>
      </c>
      <c r="AD194" s="231">
        <f>(INDEX(Models!$BJ194:$BT194,,AH194)*(1-AF194)+INDEX(Models!$BJ194:$BT194,,AH194+1)*AF194-ERP_i)*AE194*Ramure*Pc/MaxiM</f>
        <v>1.2031308903350919E-2</v>
      </c>
      <c r="AE194" s="305">
        <f t="shared" si="65"/>
        <v>0.8</v>
      </c>
      <c r="AF194" s="177">
        <f t="shared" si="66"/>
        <v>0.21145414665165418</v>
      </c>
      <c r="AG194" s="809">
        <f t="shared" si="74"/>
        <v>2</v>
      </c>
      <c r="AH194" s="176">
        <f t="shared" si="67"/>
        <v>8</v>
      </c>
      <c r="AI194" s="225">
        <f t="shared" si="68"/>
        <v>2.2114541466516542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1141">
        <f>IF(t&gt;Tmaj,'2022'!Wh/'2022'!Env_an*'2023'!Env_an,0.001*'[8]mon-tableau'!$B$165)</f>
        <v>13.300527414163577</v>
      </c>
      <c r="C195" s="839"/>
      <c r="D195" s="393">
        <f t="shared" si="50"/>
        <v>14.179683241939143</v>
      </c>
      <c r="E195" s="385">
        <f t="shared" si="75"/>
        <v>14.658481572462854</v>
      </c>
      <c r="F195" s="385">
        <f t="shared" si="51"/>
        <v>14.658481572462854</v>
      </c>
      <c r="G195" s="110">
        <f t="shared" si="76"/>
        <v>0.23974000866562431</v>
      </c>
      <c r="H195" s="414" t="b">
        <f>Wh_hp&gt;='2022'!Maxi_hp</f>
        <v>0</v>
      </c>
      <c r="I195" s="390">
        <f>IF(H195,Wh_hp,'2022'!Maxi_hp)</f>
        <v>53.913631634693168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6.2001090770158723E-2</v>
      </c>
      <c r="M195" s="843"/>
      <c r="N195" s="843"/>
      <c r="O195" s="48">
        <f>IF(t&lt;Tnet,'2022'!Resal+('2022'!Salim-'2022'!Resal)*(1-EXP(('2022'!Tnet-t)/('2022'!Tau_j))),Resal+(Salim-Resal)*(1-EXP((Tnet-t)/(Tau_j))))*Salcycl</f>
        <v>3.2663569426124792E-2</v>
      </c>
      <c r="P195" s="169">
        <f>(INDEX(Models!$BJ195:$BT195,,T195)*(1-R195)+INDEX(Models!$BJ195:$BT195,,T195+1)*R195-ERP_i)*Q195*Ramure*Pc/MaxiM</f>
        <v>4.5355820314726611E-3</v>
      </c>
      <c r="Q195" s="305">
        <f t="shared" si="53"/>
        <v>0.8</v>
      </c>
      <c r="R195" s="177">
        <f t="shared" si="54"/>
        <v>1.6018119781417095E-2</v>
      </c>
      <c r="S195" s="809">
        <f t="shared" si="55"/>
        <v>1</v>
      </c>
      <c r="T195" s="176">
        <f t="shared" si="56"/>
        <v>7</v>
      </c>
      <c r="U195" s="251">
        <f t="shared" si="57"/>
        <v>1.0160181197814171</v>
      </c>
      <c r="V195" s="383">
        <f t="shared" si="58"/>
        <v>55.227335039774118</v>
      </c>
      <c r="W195" s="402">
        <f t="shared" si="59"/>
        <v>13.300527414163577</v>
      </c>
      <c r="X195" s="157">
        <f t="shared" si="60"/>
        <v>45107</v>
      </c>
      <c r="Y195" s="385">
        <f t="shared" si="61"/>
        <v>11.794976722691667</v>
      </c>
      <c r="Z195" s="385">
        <f t="shared" si="62"/>
        <v>12.574616672396898</v>
      </c>
      <c r="AA195" s="386">
        <f t="shared" si="63"/>
        <v>14.658481572462854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0.14216103419474668</v>
      </c>
      <c r="AD195" s="231">
        <f>(INDEX(Models!$BJ195:$BT195,,AH195)*(1-AF195)+INDEX(Models!$BJ195:$BT195,,AH195+1)*AF195-ERP_i)*AE195*Ramure*Pc/MaxiM</f>
        <v>1.2068441586434072E-2</v>
      </c>
      <c r="AE195" s="305">
        <f t="shared" si="65"/>
        <v>0.8</v>
      </c>
      <c r="AF195" s="177">
        <f t="shared" si="66"/>
        <v>0.21673486694632071</v>
      </c>
      <c r="AG195" s="809">
        <f t="shared" si="74"/>
        <v>2</v>
      </c>
      <c r="AH195" s="176">
        <f t="shared" si="67"/>
        <v>8</v>
      </c>
      <c r="AI195" s="225">
        <f t="shared" si="68"/>
        <v>2.2167348669463207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1141">
        <f>IF(t&gt;Tmaj,'2022'!Wh/'2022'!Env_an*'2023'!Env_an,0.001*[9]mois!$B$140)</f>
        <v>50.247797644559384</v>
      </c>
      <c r="C196" s="839"/>
      <c r="D196" s="393">
        <f t="shared" si="50"/>
        <v>53.570417658287504</v>
      </c>
      <c r="E196" s="385">
        <f t="shared" si="75"/>
        <v>55.392205775895299</v>
      </c>
      <c r="F196" s="385">
        <f t="shared" si="51"/>
        <v>55.614437822380182</v>
      </c>
      <c r="G196" s="110">
        <f t="shared" si="76"/>
        <v>0.91100889044794109</v>
      </c>
      <c r="H196" s="414" t="b">
        <f>Wh_hp&gt;='2022'!Maxi_hp</f>
        <v>0</v>
      </c>
      <c r="I196" s="390">
        <f>IF(H196,Wh_hp,'2022'!Maxi_hp)</f>
        <v>59.241632276839347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6.2023410661501549E-2</v>
      </c>
      <c r="M196" s="843"/>
      <c r="N196" s="843"/>
      <c r="O196" s="48">
        <f>IF(t&lt;Tnet,'2022'!Resal+('2022'!Salim-'2022'!Resal)*(1-EXP(('2022'!Tnet-t)/('2022'!Tau_j))),Resal+(Salim-Resal)*(1-EXP((Tnet-t)/(Tau_j))))*Salcycl</f>
        <v>3.2888889187376841E-2</v>
      </c>
      <c r="P196" s="169">
        <f>(INDEX(Models!$BJ196:$BT196,,T196)*(1-R196)+INDEX(Models!$BJ196:$BT196,,T196+1)*R196-ERP_i)*Q196*Ramure*Pc/MaxiM</f>
        <v>4.5739750769749473E-3</v>
      </c>
      <c r="Q196" s="305">
        <f t="shared" si="53"/>
        <v>0.8</v>
      </c>
      <c r="R196" s="177">
        <f t="shared" si="54"/>
        <v>2.1215040806548568E-2</v>
      </c>
      <c r="S196" s="809">
        <f t="shared" si="55"/>
        <v>1</v>
      </c>
      <c r="T196" s="176">
        <f t="shared" si="56"/>
        <v>7</v>
      </c>
      <c r="U196" s="251">
        <f t="shared" si="57"/>
        <v>1.0212150408065486</v>
      </c>
      <c r="V196" s="383">
        <f t="shared" si="58"/>
        <v>55.124199923053368</v>
      </c>
      <c r="W196" s="402">
        <f t="shared" si="59"/>
        <v>50.247797644559384</v>
      </c>
      <c r="X196" s="157">
        <f t="shared" si="60"/>
        <v>45108</v>
      </c>
      <c r="Y196" s="385">
        <f t="shared" si="61"/>
        <v>44.270980534161168</v>
      </c>
      <c r="Z196" s="385">
        <f t="shared" si="62"/>
        <v>47.198385372691412</v>
      </c>
      <c r="AA196" s="386">
        <f t="shared" si="63"/>
        <v>55.026574885315995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0.1422619803056932</v>
      </c>
      <c r="AD196" s="231">
        <f>(INDEX(Models!$BJ196:$BT196,,AH196)*(1-AF196)+INDEX(Models!$BJ196:$BT196,,AH196+1)*AF196-ERP_i)*AE196*Ramure*Pc/MaxiM</f>
        <v>1.2099381998859411E-2</v>
      </c>
      <c r="AE196" s="305">
        <f t="shared" si="65"/>
        <v>0.8</v>
      </c>
      <c r="AF196" s="177">
        <f t="shared" si="66"/>
        <v>0.22193178797145219</v>
      </c>
      <c r="AG196" s="809">
        <f t="shared" si="74"/>
        <v>2</v>
      </c>
      <c r="AH196" s="176">
        <f t="shared" si="67"/>
        <v>8</v>
      </c>
      <c r="AI196" s="225">
        <f t="shared" si="68"/>
        <v>2.2219317879714522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1141">
        <f>IF(t&gt;Tmaj,'2022'!Wh/'2022'!Env_an*'2023'!Env_an,0.001*[9]mois!$B$141)</f>
        <v>52.824834205660338</v>
      </c>
      <c r="C197" s="839"/>
      <c r="D197" s="393">
        <f t="shared" si="50"/>
        <v>56.319200090152556</v>
      </c>
      <c r="E197" s="385">
        <f t="shared" si="75"/>
        <v>58.247995781066926</v>
      </c>
      <c r="F197" s="385">
        <f t="shared" si="51"/>
        <v>58.502357753326677</v>
      </c>
      <c r="G197" s="110">
        <f t="shared" si="76"/>
        <v>0.95988432224586018</v>
      </c>
      <c r="H197" s="414" t="b">
        <f>Wh_hp&gt;='2022'!Maxi_hp</f>
        <v>0</v>
      </c>
      <c r="I197" s="390">
        <f>IF(H197,Wh_hp,'2022'!Maxi_hp)</f>
        <v>58.511459605426658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6.2045730033427976E-2</v>
      </c>
      <c r="M197" s="843"/>
      <c r="N197" s="843"/>
      <c r="O197" s="48">
        <f>IF(t&lt;Tnet,'2022'!Resal+('2022'!Salim-'2022'!Resal)*(1-EXP(('2022'!Tnet-t)/('2022'!Tau_j))),Resal+(Salim-Resal)*(1-EXP((Tnet-t)/(Tau_j))))*Salcycl</f>
        <v>3.311351171916728E-2</v>
      </c>
      <c r="P197" s="169">
        <f>(INDEX(Models!$BJ197:$BT197,,T197)*(1-R197)+INDEX(Models!$BJ197:$BT197,,T197+1)*R197-ERP_i)*Q197*Ramure*Pc/MaxiM</f>
        <v>4.6104407673795743E-3</v>
      </c>
      <c r="Q197" s="305">
        <f t="shared" si="53"/>
        <v>0.8</v>
      </c>
      <c r="R197" s="177">
        <f t="shared" si="54"/>
        <v>2.6325859175741373E-2</v>
      </c>
      <c r="S197" s="809">
        <f t="shared" si="55"/>
        <v>1</v>
      </c>
      <c r="T197" s="176">
        <f t="shared" si="56"/>
        <v>7</v>
      </c>
      <c r="U197" s="251">
        <f t="shared" si="57"/>
        <v>1.0263258591757414</v>
      </c>
      <c r="V197" s="383">
        <f t="shared" si="58"/>
        <v>55.017988477711462</v>
      </c>
      <c r="W197" s="402">
        <f t="shared" si="59"/>
        <v>52.824834205660338</v>
      </c>
      <c r="X197" s="157">
        <f t="shared" si="60"/>
        <v>45109</v>
      </c>
      <c r="Y197" s="385">
        <f t="shared" si="61"/>
        <v>46.522766883911999</v>
      </c>
      <c r="Z197" s="385">
        <f t="shared" si="62"/>
        <v>49.600250645023486</v>
      </c>
      <c r="AA197" s="386">
        <f t="shared" si="63"/>
        <v>57.833462393811999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0.14236069237434151</v>
      </c>
      <c r="AD197" s="231">
        <f>(INDEX(Models!$BJ197:$BT197,,AH197)*(1-AF197)+INDEX(Models!$BJ197:$BT197,,AH197+1)*AF197-ERP_i)*AE197*Ramure*Pc/MaxiM</f>
        <v>1.2124070305085687E-2</v>
      </c>
      <c r="AE197" s="305">
        <f t="shared" si="65"/>
        <v>0.8</v>
      </c>
      <c r="AF197" s="177">
        <f t="shared" si="66"/>
        <v>0.22704260634064477</v>
      </c>
      <c r="AG197" s="809">
        <f t="shared" si="74"/>
        <v>2</v>
      </c>
      <c r="AH197" s="176">
        <f t="shared" si="67"/>
        <v>8</v>
      </c>
      <c r="AI197" s="225">
        <f t="shared" si="68"/>
        <v>2.2270426063406448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1141">
        <f>IF(t&gt;Tmaj,'2022'!Wh/'2022'!Env_an*'2023'!Env_an,0.001*[9]mois!$B$142)</f>
        <v>40.88834503164292</v>
      </c>
      <c r="C198" s="839"/>
      <c r="D198" s="393">
        <f t="shared" si="50"/>
        <v>43.594148789874211</v>
      </c>
      <c r="E198" s="385">
        <f t="shared" si="75"/>
        <v>45.097586829558352</v>
      </c>
      <c r="F198" s="385">
        <f t="shared" si="51"/>
        <v>45.231016839022772</v>
      </c>
      <c r="G198" s="110">
        <f t="shared" si="76"/>
        <v>0.74339461242717597</v>
      </c>
      <c r="H198" s="414" t="b">
        <f>Wh_hp&gt;='2022'!Maxi_hp</f>
        <v>0</v>
      </c>
      <c r="I198" s="390">
        <f>IF(H198,Wh_hp,'2022'!Maxi_hp)</f>
        <v>51.855426044960964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6.2068048885949995E-2</v>
      </c>
      <c r="M198" s="843"/>
      <c r="N198" s="843"/>
      <c r="O198" s="48">
        <f>IF(t&lt;Tnet,'2022'!Resal+('2022'!Salim-'2022'!Resal)*(1-EXP(('2022'!Tnet-t)/('2022'!Tau_j))),Resal+(Salim-Resal)*(1-EXP((Tnet-t)/(Tau_j))))*Salcycl</f>
        <v>3.333743877175132E-2</v>
      </c>
      <c r="P198" s="169">
        <f>(INDEX(Models!$BJ198:$BT198,,T198)*(1-R198)+INDEX(Models!$BJ198:$BT198,,T198+1)*R198-ERP_i)*Q198*Ramure*Pc/MaxiM</f>
        <v>4.6439480494488844E-3</v>
      </c>
      <c r="Q198" s="305">
        <f t="shared" si="53"/>
        <v>0.8</v>
      </c>
      <c r="R198" s="177">
        <f t="shared" si="54"/>
        <v>3.1348490096497095E-2</v>
      </c>
      <c r="S198" s="809">
        <f t="shared" si="55"/>
        <v>1</v>
      </c>
      <c r="T198" s="176">
        <f t="shared" si="56"/>
        <v>7</v>
      </c>
      <c r="U198" s="251">
        <f t="shared" si="57"/>
        <v>1.0313484900964971</v>
      </c>
      <c r="V198" s="383">
        <f t="shared" si="58"/>
        <v>54.908759545123765</v>
      </c>
      <c r="W198" s="402">
        <f t="shared" si="59"/>
        <v>40.88834503164292</v>
      </c>
      <c r="X198" s="157">
        <f t="shared" si="60"/>
        <v>45110</v>
      </c>
      <c r="Y198" s="385">
        <f t="shared" si="61"/>
        <v>36.099505045113112</v>
      </c>
      <c r="Z198" s="385">
        <f t="shared" si="62"/>
        <v>38.488405264619786</v>
      </c>
      <c r="AA198" s="386">
        <f t="shared" si="63"/>
        <v>44.882198311301281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0.14245721660811664</v>
      </c>
      <c r="AD198" s="231">
        <f>(INDEX(Models!$BJ198:$BT198,,AH198)*(1-AF198)+INDEX(Models!$BJ198:$BT198,,AH198+1)*AF198-ERP_i)*AE198*Ramure*Pc/MaxiM</f>
        <v>1.2140410751119544E-2</v>
      </c>
      <c r="AE198" s="305">
        <f t="shared" si="65"/>
        <v>0.8</v>
      </c>
      <c r="AF198" s="177">
        <f t="shared" si="66"/>
        <v>0.23206523726140071</v>
      </c>
      <c r="AG198" s="809">
        <f t="shared" si="74"/>
        <v>2</v>
      </c>
      <c r="AH198" s="176">
        <f t="shared" si="67"/>
        <v>8</v>
      </c>
      <c r="AI198" s="225">
        <f t="shared" si="68"/>
        <v>2.2320652372614007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1141">
        <f>IF(t&gt;Tmaj,'2022'!Wh/'2022'!Env_an*'2023'!Env_an,0.001*[9]mois!$B$143)</f>
        <v>41.900549207703286</v>
      </c>
      <c r="C199" s="839"/>
      <c r="D199" s="393">
        <f t="shared" si="50"/>
        <v>44.674399050010116</v>
      </c>
      <c r="E199" s="385">
        <f t="shared" si="75"/>
        <v>46.225766917674726</v>
      </c>
      <c r="F199" s="385">
        <f t="shared" si="51"/>
        <v>46.369662847085053</v>
      </c>
      <c r="G199" s="110">
        <f t="shared" si="76"/>
        <v>0.76345197849728064</v>
      </c>
      <c r="H199" s="414" t="b">
        <f>Wh_hp&gt;='2022'!Maxi_hp</f>
        <v>0</v>
      </c>
      <c r="I199" s="390">
        <f>IF(H199,Wh_hp,'2022'!Maxi_hp)</f>
        <v>57.973124882145292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6.2090367219079706E-2</v>
      </c>
      <c r="M199" s="843"/>
      <c r="N199" s="843"/>
      <c r="O199" s="48">
        <f>IF(t&lt;Tnet,'2022'!Resal+('2022'!Salim-'2022'!Resal)*(1-EXP(('2022'!Tnet-t)/('2022'!Tau_j))),Resal+(Salim-Resal)*(1-EXP((Tnet-t)/(Tau_j))))*Salcycl</f>
        <v>3.3560673431930324E-2</v>
      </c>
      <c r="P199" s="169">
        <f>(INDEX(Models!$BJ199:$BT199,,T199)*(1-R199)+INDEX(Models!$BJ199:$BT199,,T199+1)*R199-ERP_i)*Q199*Ramure*Pc/MaxiM</f>
        <v>4.6749782820234547E-3</v>
      </c>
      <c r="Q199" s="305">
        <f t="shared" si="53"/>
        <v>0.8</v>
      </c>
      <c r="R199" s="177">
        <f t="shared" si="54"/>
        <v>3.6281066365245751E-2</v>
      </c>
      <c r="S199" s="809">
        <f t="shared" si="55"/>
        <v>1</v>
      </c>
      <c r="T199" s="176">
        <f t="shared" si="56"/>
        <v>7</v>
      </c>
      <c r="U199" s="251">
        <f t="shared" si="57"/>
        <v>1.0362810663652458</v>
      </c>
      <c r="V199" s="383">
        <f t="shared" si="58"/>
        <v>54.796488116219379</v>
      </c>
      <c r="W199" s="402">
        <f t="shared" si="59"/>
        <v>41.900549207703286</v>
      </c>
      <c r="X199" s="157">
        <f t="shared" si="60"/>
        <v>45111</v>
      </c>
      <c r="Y199" s="385">
        <f t="shared" si="61"/>
        <v>36.990129905998806</v>
      </c>
      <c r="Z199" s="385">
        <f t="shared" si="62"/>
        <v>39.438906066379069</v>
      </c>
      <c r="AA199" s="386">
        <f t="shared" si="63"/>
        <v>45.995661350850348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0.14255160360576197</v>
      </c>
      <c r="AD199" s="231">
        <f>(INDEX(Models!$BJ199:$BT199,,AH199)*(1-AF199)+INDEX(Models!$BJ199:$BT199,,AH199+1)*AF199-ERP_i)*AE199*Ramure*Pc/MaxiM</f>
        <v>1.2150787583127152E-2</v>
      </c>
      <c r="AE199" s="305">
        <f t="shared" si="65"/>
        <v>0.8</v>
      </c>
      <c r="AF199" s="177">
        <f t="shared" si="66"/>
        <v>0.23699781353014915</v>
      </c>
      <c r="AG199" s="809">
        <f t="shared" si="74"/>
        <v>2</v>
      </c>
      <c r="AH199" s="176">
        <f t="shared" si="67"/>
        <v>8</v>
      </c>
      <c r="AI199" s="225">
        <f t="shared" si="68"/>
        <v>2.2369978135301491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1141">
        <f>IF(t&gt;Tmaj,'2022'!Wh/'2022'!Env_an*'2023'!Env_an,0.001*[9]mois!$B$144)</f>
        <v>51.743608193145015</v>
      </c>
      <c r="C200" s="839"/>
      <c r="D200" s="393">
        <f t="shared" si="50"/>
        <v>55.170389200707135</v>
      </c>
      <c r="E200" s="385">
        <f t="shared" si="75"/>
        <v>57.099390474441535</v>
      </c>
      <c r="F200" s="385">
        <f t="shared" si="51"/>
        <v>57.348427327011407</v>
      </c>
      <c r="G200" s="110">
        <f t="shared" si="76"/>
        <v>0.94593516257653776</v>
      </c>
      <c r="H200" s="414" t="b">
        <f>Wh_hp&gt;='2022'!Maxi_hp</f>
        <v>0</v>
      </c>
      <c r="I200" s="390">
        <f>IF(H200,Wh_hp,'2022'!Maxi_hp)</f>
        <v>60.257495392536157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6.2112685032829212E-2</v>
      </c>
      <c r="M200" s="843"/>
      <c r="N200" s="843"/>
      <c r="O200" s="48">
        <f>IF(t&lt;Tnet,'2022'!Resal+('2022'!Salim-'2022'!Resal)*(1-EXP(('2022'!Tnet-t)/('2022'!Tau_j))),Resal+(Salim-Resal)*(1-EXP((Tnet-t)/(Tau_j))))*Salcycl</f>
        <v>3.3783220060778982E-2</v>
      </c>
      <c r="P200" s="169">
        <f>(INDEX(Models!$BJ200:$BT200,,T200)*(1-R200)+INDEX(Models!$BJ200:$BT200,,T200+1)*R200-ERP_i)*Q200*Ramure*Pc/MaxiM</f>
        <v>4.7034942576859333E-3</v>
      </c>
      <c r="Q200" s="305">
        <f t="shared" si="53"/>
        <v>0.8</v>
      </c>
      <c r="R200" s="177">
        <f t="shared" si="54"/>
        <v>4.1121936397214398E-2</v>
      </c>
      <c r="S200" s="809">
        <f t="shared" si="55"/>
        <v>1</v>
      </c>
      <c r="T200" s="176">
        <f t="shared" si="56"/>
        <v>7</v>
      </c>
      <c r="U200" s="251">
        <f t="shared" si="57"/>
        <v>1.0411219363972144</v>
      </c>
      <c r="V200" s="383">
        <f t="shared" si="58"/>
        <v>54.681177748749995</v>
      </c>
      <c r="W200" s="402">
        <f t="shared" si="59"/>
        <v>51.743608193145015</v>
      </c>
      <c r="X200" s="157">
        <f t="shared" si="60"/>
        <v>45112</v>
      </c>
      <c r="Y200" s="385">
        <f t="shared" si="61"/>
        <v>45.596558879111356</v>
      </c>
      <c r="Z200" s="385">
        <f t="shared" si="62"/>
        <v>48.616244352027927</v>
      </c>
      <c r="AA200" s="386">
        <f t="shared" si="63"/>
        <v>56.704845050996873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0.14264390797108345</v>
      </c>
      <c r="AD200" s="231">
        <f>(INDEX(Models!$BJ200:$BT200,,AH200)*(1-AF200)+INDEX(Models!$BJ200:$BT200,,AH200+1)*AF200-ERP_i)*AE200*Ramure*Pc/MaxiM</f>
        <v>1.2155171045351534E-2</v>
      </c>
      <c r="AE200" s="305">
        <f t="shared" si="65"/>
        <v>0.8</v>
      </c>
      <c r="AF200" s="177">
        <f t="shared" si="66"/>
        <v>0.24183868356211757</v>
      </c>
      <c r="AG200" s="809">
        <f t="shared" si="74"/>
        <v>2</v>
      </c>
      <c r="AH200" s="176">
        <f t="shared" si="67"/>
        <v>8</v>
      </c>
      <c r="AI200" s="225">
        <f t="shared" si="68"/>
        <v>2.2418386835621176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1141">
        <f>IF(t&gt;Tmaj,'2022'!Wh/'2022'!Env_an*'2023'!Env_an,0.001*[9]mois!$B$145)</f>
        <v>46.586280199675294</v>
      </c>
      <c r="C201" s="839"/>
      <c r="D201" s="393">
        <f t="shared" si="50"/>
        <v>49.672693101111683</v>
      </c>
      <c r="E201" s="385">
        <f t="shared" si="75"/>
        <v>51.421277990076142</v>
      </c>
      <c r="F201" s="385">
        <f t="shared" si="51"/>
        <v>51.614406048473882</v>
      </c>
      <c r="G201" s="110">
        <f t="shared" si="76"/>
        <v>0.85296330834606904</v>
      </c>
      <c r="H201" s="414" t="b">
        <f>Wh_hp&gt;='2022'!Maxi_hp</f>
        <v>0</v>
      </c>
      <c r="I201" s="390">
        <f>IF(H201,Wh_hp,'2022'!Maxi_hp)</f>
        <v>59.845160048198764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6.2135002327210614E-2</v>
      </c>
      <c r="M201" s="843"/>
      <c r="N201" s="843"/>
      <c r="O201" s="48">
        <f>IF(t&lt;Tnet,'2022'!Resal+('2022'!Salim-'2022'!Resal)*(1-EXP(('2022'!Tnet-t)/('2022'!Tau_j))),Resal+(Salim-Resal)*(1-EXP((Tnet-t)/(Tau_j))))*Salcycl</f>
        <v>3.4005084224120623E-2</v>
      </c>
      <c r="P201" s="169">
        <f>(INDEX(Models!$BJ201:$BT201,,T201)*(1-R201)+INDEX(Models!$BJ201:$BT201,,T201+1)*R201-ERP_i)*Q201*Ramure*Pc/MaxiM</f>
        <v>4.7294631488155239E-3</v>
      </c>
      <c r="Q201" s="305">
        <f t="shared" si="53"/>
        <v>0.8</v>
      </c>
      <c r="R201" s="177">
        <f t="shared" si="54"/>
        <v>4.5869661350565583E-2</v>
      </c>
      <c r="S201" s="809">
        <f t="shared" si="55"/>
        <v>1</v>
      </c>
      <c r="T201" s="176">
        <f t="shared" si="56"/>
        <v>7</v>
      </c>
      <c r="U201" s="251">
        <f t="shared" si="57"/>
        <v>1.0458696613505656</v>
      </c>
      <c r="V201" s="383">
        <f t="shared" si="58"/>
        <v>54.562831615459679</v>
      </c>
      <c r="W201" s="402">
        <f t="shared" si="59"/>
        <v>46.586280199675294</v>
      </c>
      <c r="X201" s="157">
        <f t="shared" si="60"/>
        <v>45113</v>
      </c>
      <c r="Y201" s="385">
        <f t="shared" si="61"/>
        <v>41.098944145254109</v>
      </c>
      <c r="Z201" s="385">
        <f t="shared" si="62"/>
        <v>43.821812571358024</v>
      </c>
      <c r="AA201" s="386">
        <f t="shared" si="63"/>
        <v>51.118115237280264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0.14273418791076772</v>
      </c>
      <c r="AD201" s="231">
        <f>(INDEX(Models!$BJ201:$BT201,,AH201)*(1-AF201)+INDEX(Models!$BJ201:$BT201,,AH201+1)*AF201-ERP_i)*AE201*Ramure*Pc/MaxiM</f>
        <v>1.2153537513445984E-2</v>
      </c>
      <c r="AE201" s="305">
        <f t="shared" si="65"/>
        <v>0.8</v>
      </c>
      <c r="AF201" s="177">
        <f t="shared" si="66"/>
        <v>0.2465864085154692</v>
      </c>
      <c r="AG201" s="809">
        <f t="shared" si="74"/>
        <v>2</v>
      </c>
      <c r="AH201" s="176">
        <f t="shared" si="67"/>
        <v>8</v>
      </c>
      <c r="AI201" s="225">
        <f t="shared" si="68"/>
        <v>2.2465864085154692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1141">
        <f>IF(t&gt;Tmaj,'2022'!Wh/'2022'!Env_an*'2023'!Env_an,0.001*[9]mois!$B$146)</f>
        <v>51.214016561370023</v>
      </c>
      <c r="C202" s="839"/>
      <c r="D202" s="393">
        <f t="shared" si="50"/>
        <v>54.608323554164365</v>
      </c>
      <c r="E202" s="385">
        <f t="shared" si="75"/>
        <v>56.543600230358877</v>
      </c>
      <c r="F202" s="385">
        <f t="shared" si="51"/>
        <v>56.790658848875665</v>
      </c>
      <c r="G202" s="110">
        <f t="shared" si="76"/>
        <v>0.94033699676542948</v>
      </c>
      <c r="H202" s="414" t="b">
        <f>Wh_hp&gt;='2022'!Maxi_hp</f>
        <v>0</v>
      </c>
      <c r="I202" s="390">
        <f>IF(H202,Wh_hp,'2022'!Maxi_hp)</f>
        <v>56.803975288408445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6.2157319102235903E-2</v>
      </c>
      <c r="M202" s="843"/>
      <c r="N202" s="843"/>
      <c r="O202" s="48">
        <f>IF(t&lt;Tnet,'2022'!Resal+('2022'!Salim-'2022'!Resal)*(1-EXP(('2022'!Tnet-t)/('2022'!Tau_j))),Resal+(Salim-Resal)*(1-EXP((Tnet-t)/(Tau_j))))*Salcycl</f>
        <v>3.4226272616356045E-2</v>
      </c>
      <c r="P202" s="169">
        <f>(INDEX(Models!$BJ202:$BT202,,T202)*(1-R202)+INDEX(Models!$BJ202:$BT202,,T202+1)*R202-ERP_i)*Q202*Ramure*Pc/MaxiM</f>
        <v>4.7528563320069278E-3</v>
      </c>
      <c r="Q202" s="305">
        <f t="shared" si="53"/>
        <v>0.8</v>
      </c>
      <c r="R202" s="177">
        <f t="shared" si="54"/>
        <v>5.0523011408613261E-2</v>
      </c>
      <c r="S202" s="809">
        <f t="shared" si="55"/>
        <v>1</v>
      </c>
      <c r="T202" s="176">
        <f t="shared" si="56"/>
        <v>7</v>
      </c>
      <c r="U202" s="251">
        <f t="shared" si="57"/>
        <v>1.0505230114086133</v>
      </c>
      <c r="V202" s="383">
        <f t="shared" si="58"/>
        <v>54.441452518157632</v>
      </c>
      <c r="W202" s="402">
        <f t="shared" si="59"/>
        <v>51.214016561370023</v>
      </c>
      <c r="X202" s="157">
        <f t="shared" si="60"/>
        <v>45114</v>
      </c>
      <c r="Y202" s="385">
        <f t="shared" si="61"/>
        <v>45.14633149414189</v>
      </c>
      <c r="Z202" s="385">
        <f t="shared" si="62"/>
        <v>48.138491043001878</v>
      </c>
      <c r="AA202" s="386">
        <f t="shared" si="63"/>
        <v>56.159303427414251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0.14282250481933509</v>
      </c>
      <c r="AD202" s="231">
        <f>(INDEX(Models!$BJ202:$BT202,,AH202)*(1-AF202)+INDEX(Models!$BJ202:$BT202,,AH202+1)*AF202-ERP_i)*AE202*Ramure*Pc/MaxiM</f>
        <v>1.2145868987103745E-2</v>
      </c>
      <c r="AE202" s="305">
        <f t="shared" si="65"/>
        <v>0.8</v>
      </c>
      <c r="AF202" s="177">
        <f t="shared" si="66"/>
        <v>0.25123975857351688</v>
      </c>
      <c r="AG202" s="809">
        <f t="shared" si="74"/>
        <v>2</v>
      </c>
      <c r="AH202" s="176">
        <f t="shared" si="67"/>
        <v>8</v>
      </c>
      <c r="AI202" s="225">
        <f t="shared" si="68"/>
        <v>2.2512397585735169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1141">
        <f>IF(t&gt;Tmaj,'2022'!Wh/'2022'!Env_an*'2023'!Env_an,0.001*[9]mois!$B$147)</f>
        <v>54.251921853673629</v>
      </c>
      <c r="C203" s="839"/>
      <c r="D203" s="393">
        <f t="shared" si="50"/>
        <v>57.848948369103468</v>
      </c>
      <c r="E203" s="385">
        <f t="shared" si="75"/>
        <v>59.912750481707683</v>
      </c>
      <c r="F203" s="385">
        <f t="shared" si="51"/>
        <v>60.199630208716727</v>
      </c>
      <c r="G203" s="110">
        <f t="shared" si="76"/>
        <v>0.99879288824098422</v>
      </c>
      <c r="H203" s="414" t="b">
        <f>Wh_hp&gt;='2022'!Maxi_hp</f>
        <v>0</v>
      </c>
      <c r="I203" s="390">
        <f>IF(H203,Wh_hp,'2022'!Maxi_hp)</f>
        <v>61.470681296854167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6.217963535791729E-2</v>
      </c>
      <c r="M203" s="843"/>
      <c r="N203" s="843"/>
      <c r="O203" s="48">
        <f>IF(t&lt;Tnet,'2022'!Resal+('2022'!Salim-'2022'!Resal)*(1-EXP(('2022'!Tnet-t)/('2022'!Tau_j))),Resal+(Salim-Resal)*(1-EXP((Tnet-t)/(Tau_j))))*Salcycl</f>
        <v>3.4446792978304816E-2</v>
      </c>
      <c r="P203" s="169">
        <f>(INDEX(Models!$BJ203:$BT203,,T203)*(1-R203)+INDEX(Models!$BJ203:$BT203,,T203+1)*R203-ERP_i)*Q203*Ramure*Pc/MaxiM</f>
        <v>4.7736491847827703E-3</v>
      </c>
      <c r="Q203" s="305">
        <f t="shared" si="53"/>
        <v>0.8</v>
      </c>
      <c r="R203" s="177">
        <f t="shared" si="54"/>
        <v>5.5080961287335972E-2</v>
      </c>
      <c r="S203" s="809">
        <f t="shared" si="55"/>
        <v>1</v>
      </c>
      <c r="T203" s="176">
        <f t="shared" si="56"/>
        <v>7</v>
      </c>
      <c r="U203" s="251">
        <f t="shared" si="57"/>
        <v>1.055080961287336</v>
      </c>
      <c r="V203" s="383">
        <f t="shared" si="58"/>
        <v>54.317042910443668</v>
      </c>
      <c r="W203" s="402">
        <f t="shared" si="59"/>
        <v>54.251921853673629</v>
      </c>
      <c r="X203" s="157">
        <f t="shared" si="60"/>
        <v>45115</v>
      </c>
      <c r="Y203" s="385">
        <f t="shared" si="61"/>
        <v>47.802261346495968</v>
      </c>
      <c r="Z203" s="385">
        <f t="shared" si="62"/>
        <v>50.971660617265016</v>
      </c>
      <c r="AA203" s="386">
        <f t="shared" si="63"/>
        <v>59.470530001333977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0.14290892285436704</v>
      </c>
      <c r="AD203" s="231">
        <f>(INDEX(Models!$BJ203:$BT203,,AH203)*(1-AF203)+INDEX(Models!$BJ203:$BT203,,AH203+1)*AF203-ERP_i)*AE203*Ramure*Pc/MaxiM</f>
        <v>1.2132152546589342E-2</v>
      </c>
      <c r="AE203" s="305">
        <f t="shared" si="65"/>
        <v>0.8</v>
      </c>
      <c r="AF203" s="177">
        <f t="shared" si="66"/>
        <v>0.25579770845223937</v>
      </c>
      <c r="AG203" s="809">
        <f t="shared" si="74"/>
        <v>2</v>
      </c>
      <c r="AH203" s="176">
        <f t="shared" si="67"/>
        <v>8</v>
      </c>
      <c r="AI203" s="225">
        <f t="shared" si="68"/>
        <v>2.2557977084522394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1141">
        <f>IF(t&gt;Tmaj,'2022'!Wh/'2022'!Env_an*'2023'!Env_an,0.001*[9]mois!$B$148)</f>
        <v>53.274196281787944</v>
      </c>
      <c r="C204" s="839"/>
      <c r="D204" s="393">
        <f t="shared" si="50"/>
        <v>56.807749113949185</v>
      </c>
      <c r="E204" s="385">
        <f t="shared" si="75"/>
        <v>58.847805630992724</v>
      </c>
      <c r="F204" s="385">
        <f t="shared" si="51"/>
        <v>59.124281567576574</v>
      </c>
      <c r="G204" s="110">
        <f t="shared" si="76"/>
        <v>0.98299308309107214</v>
      </c>
      <c r="H204" s="414" t="b">
        <f>Wh_hp&gt;='2022'!Maxi_hp</f>
        <v>0</v>
      </c>
      <c r="I204" s="390">
        <f>IF(H204,Wh_hp,'2022'!Maxi_hp)</f>
        <v>60.783742606554995</v>
      </c>
      <c r="J204" s="85">
        <f>IF(H204,An,'2022'!An_max)</f>
        <v>2021</v>
      </c>
      <c r="K204" s="197">
        <f t="shared" si="52"/>
        <v>45116</v>
      </c>
      <c r="L204" s="147">
        <f>IF(t&lt;Tvie,1-EXP((T0-t)*PertePVj)+'2022'!Pspv,1-EXP((T0-t)*PertePVj)+Pspv)</f>
        <v>6.2201951094266766E-2</v>
      </c>
      <c r="M204" s="843"/>
      <c r="N204" s="843"/>
      <c r="O204" s="48">
        <f>IF(t&lt;Tnet,'2022'!Resal+('2022'!Salim-'2022'!Resal)*(1-EXP(('2022'!Tnet-t)/('2022'!Tau_j))),Resal+(Salim-Resal)*(1-EXP((Tnet-t)/(Tau_j))))*Salcycl</f>
        <v>3.4666654009765242E-2</v>
      </c>
      <c r="P204" s="169">
        <f>(INDEX(Models!$BJ204:$BT204,,T204)*(1-R204)+INDEX(Models!$BJ204:$BT204,,T204+1)*R204-ERP_i)*Q204*Ramure*Pc/MaxiM</f>
        <v>4.7918208587567511E-3</v>
      </c>
      <c r="Q204" s="305">
        <f t="shared" si="53"/>
        <v>0.8</v>
      </c>
      <c r="R204" s="177">
        <f t="shared" si="54"/>
        <v>5.9542685037878407E-2</v>
      </c>
      <c r="S204" s="809">
        <f t="shared" si="55"/>
        <v>1</v>
      </c>
      <c r="T204" s="176">
        <f t="shared" si="56"/>
        <v>7</v>
      </c>
      <c r="U204" s="251">
        <f t="shared" si="57"/>
        <v>1.0595426850378784</v>
      </c>
      <c r="V204" s="383">
        <f t="shared" si="58"/>
        <v>54.18960491130759</v>
      </c>
      <c r="W204" s="402">
        <f t="shared" si="59"/>
        <v>53.274196281787944</v>
      </c>
      <c r="X204" s="157">
        <f t="shared" si="60"/>
        <v>45116</v>
      </c>
      <c r="Y204" s="385">
        <f t="shared" si="61"/>
        <v>46.956458896810119</v>
      </c>
      <c r="Z204" s="385">
        <f t="shared" si="62"/>
        <v>50.070970985278883</v>
      </c>
      <c r="AA204" s="386">
        <f t="shared" si="63"/>
        <v>58.4254279077212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0.14299350850519374</v>
      </c>
      <c r="AD204" s="231">
        <f>(INDEX(Models!$BJ204:$BT204,,AH204)*(1-AF204)+INDEX(Models!$BJ204:$BT204,,AH204+1)*AF204-ERP_i)*AE204*Ramure*Pc/MaxiM</f>
        <v>1.2112379782092978E-2</v>
      </c>
      <c r="AE204" s="305">
        <f t="shared" si="65"/>
        <v>0.8</v>
      </c>
      <c r="AF204" s="177">
        <f t="shared" si="66"/>
        <v>0.26025943220278203</v>
      </c>
      <c r="AG204" s="809">
        <f t="shared" si="74"/>
        <v>2</v>
      </c>
      <c r="AH204" s="176">
        <f t="shared" si="67"/>
        <v>8</v>
      </c>
      <c r="AI204" s="225">
        <f t="shared" si="68"/>
        <v>2.260259432202782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1141">
        <f>IF(t&gt;Tmaj,'2022'!Wh/'2022'!Env_an*'2023'!Env_an,0.001*[9]mois!$B$149)</f>
        <v>52.654610964026439</v>
      </c>
      <c r="C205" s="839"/>
      <c r="D205" s="393">
        <f t="shared" si="50"/>
        <v>56.148404221243418</v>
      </c>
      <c r="E205" s="385">
        <f t="shared" si="75"/>
        <v>58.177993877781255</v>
      </c>
      <c r="F205" s="385">
        <f t="shared" si="51"/>
        <v>58.44855573783849</v>
      </c>
      <c r="G205" s="110">
        <f t="shared" si="76"/>
        <v>0.97385589729265321</v>
      </c>
      <c r="H205" s="414" t="b">
        <f>Wh_hp&gt;='2022'!Maxi_hp</f>
        <v>0</v>
      </c>
      <c r="I205" s="390">
        <f>IF(H205,Wh_hp,'2022'!Maxi_hp)</f>
        <v>60.976537805718309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6.2224266311296544E-2</v>
      </c>
      <c r="M205" s="843"/>
      <c r="N205" s="843"/>
      <c r="O205" s="48">
        <f>IF(t&lt;Tnet,'2022'!Resal+('2022'!Salim-'2022'!Resal)*(1-EXP(('2022'!Tnet-t)/('2022'!Tau_j))),Resal+(Salim-Resal)*(1-EXP((Tnet-t)/(Tau_j))))*Salcycl</f>
        <v>3.4885865277540271E-2</v>
      </c>
      <c r="P205" s="169">
        <f>(INDEX(Models!$BJ205:$BT205,,T205)*(1-R205)+INDEX(Models!$BJ205:$BT205,,T205+1)*R205-ERP_i)*Q205*Ramure*Pc/MaxiM</f>
        <v>4.8074118632647662E-3</v>
      </c>
      <c r="Q205" s="305">
        <f t="shared" si="53"/>
        <v>0.8</v>
      </c>
      <c r="R205" s="177">
        <f t="shared" si="54"/>
        <v>6.3907550215272835E-2</v>
      </c>
      <c r="S205" s="809">
        <f t="shared" si="55"/>
        <v>1</v>
      </c>
      <c r="T205" s="176">
        <f t="shared" si="56"/>
        <v>7</v>
      </c>
      <c r="U205" s="251">
        <f t="shared" si="57"/>
        <v>1.0639075502152728</v>
      </c>
      <c r="V205" s="383">
        <f t="shared" si="58"/>
        <v>54.058486864665909</v>
      </c>
      <c r="W205" s="402">
        <f t="shared" si="59"/>
        <v>52.654610964026439</v>
      </c>
      <c r="X205" s="157">
        <f t="shared" si="60"/>
        <v>45117</v>
      </c>
      <c r="Y205" s="385">
        <f t="shared" si="61"/>
        <v>46.422746303063342</v>
      </c>
      <c r="Z205" s="385">
        <f t="shared" si="62"/>
        <v>49.50303642477644</v>
      </c>
      <c r="AA205" s="386">
        <f t="shared" si="63"/>
        <v>57.76831492344941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0.14307633015824578</v>
      </c>
      <c r="AD205" s="231">
        <f>(INDEX(Models!$BJ205:$BT205,,AH205)*(1-AF205)+INDEX(Models!$BJ205:$BT205,,AH205+1)*AF205-ERP_i)*AE205*Ramure*Pc/MaxiM</f>
        <v>1.208669159902712E-2</v>
      </c>
      <c r="AE205" s="305">
        <f t="shared" si="65"/>
        <v>0.8</v>
      </c>
      <c r="AF205" s="177">
        <f t="shared" si="66"/>
        <v>0.26462429738017645</v>
      </c>
      <c r="AG205" s="809">
        <f t="shared" si="74"/>
        <v>2</v>
      </c>
      <c r="AH205" s="176">
        <f t="shared" si="67"/>
        <v>8</v>
      </c>
      <c r="AI205" s="225">
        <f t="shared" si="68"/>
        <v>2.2646242973801765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1141">
        <f>IF(t&gt;Tmaj,'2022'!Wh/'2022'!Env_an*'2023'!Env_an,0.001*[9]mois!$B$150)</f>
        <v>51.213375137688303</v>
      </c>
      <c r="C206" s="839"/>
      <c r="D206" s="393">
        <f t="shared" si="50"/>
        <v>54.612837554667266</v>
      </c>
      <c r="E206" s="385">
        <f t="shared" si="75"/>
        <v>56.599739552790098</v>
      </c>
      <c r="F206" s="385">
        <f t="shared" si="51"/>
        <v>56.854045622715475</v>
      </c>
      <c r="G206" s="110">
        <f t="shared" si="76"/>
        <v>0.94941440251051989</v>
      </c>
      <c r="H206" s="414" t="b">
        <f>Wh_hp&gt;='2022'!Maxi_hp</f>
        <v>0</v>
      </c>
      <c r="I206" s="390">
        <f>IF(H206,Wh_hp,'2022'!Maxi_hp)</f>
        <v>60.655127137032757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6.2246581009018503E-2</v>
      </c>
      <c r="M206" s="843"/>
      <c r="N206" s="843"/>
      <c r="O206" s="48">
        <f>IF(t&lt;Tnet,'2022'!Resal+('2022'!Salim-'2022'!Resal)*(1-EXP(('2022'!Tnet-t)/('2022'!Tau_j))),Resal+(Salim-Resal)*(1-EXP((Tnet-t)/(Tau_j))))*Salcycl</f>
        <v>3.5104437119709161E-2</v>
      </c>
      <c r="P206" s="169">
        <f>(INDEX(Models!$BJ206:$BT206,,T206)*(1-R206)+INDEX(Models!$BJ206:$BT206,,T206+1)*R206-ERP_i)*Q206*Ramure*Pc/MaxiM</f>
        <v>4.818932099877638E-3</v>
      </c>
      <c r="Q206" s="305">
        <f t="shared" si="53"/>
        <v>0.8</v>
      </c>
      <c r="R206" s="177">
        <f t="shared" si="54"/>
        <v>6.8175111485310191E-2</v>
      </c>
      <c r="S206" s="809">
        <f t="shared" si="55"/>
        <v>1</v>
      </c>
      <c r="T206" s="176">
        <f t="shared" si="56"/>
        <v>7</v>
      </c>
      <c r="U206" s="251">
        <f t="shared" si="57"/>
        <v>1.0681751114853102</v>
      </c>
      <c r="V206" s="383">
        <f t="shared" si="58"/>
        <v>53.923320704534845</v>
      </c>
      <c r="W206" s="402">
        <f t="shared" si="59"/>
        <v>51.213375137688303</v>
      </c>
      <c r="X206" s="157">
        <f t="shared" si="60"/>
        <v>45118</v>
      </c>
      <c r="Y206" s="385">
        <f t="shared" si="61"/>
        <v>45.171478378124093</v>
      </c>
      <c r="Z206" s="385">
        <f t="shared" si="62"/>
        <v>48.169889294275677</v>
      </c>
      <c r="AA206" s="386">
        <f t="shared" si="63"/>
        <v>56.217901089333203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0.14315745766226345</v>
      </c>
      <c r="AD206" s="231">
        <f>(INDEX(Models!$BJ206:$BT206,,AH206)*(1-AF206)+INDEX(Models!$BJ206:$BT206,,AH206+1)*AF206-ERP_i)*AE206*Ramure*Pc/MaxiM</f>
        <v>1.2054518844072633E-2</v>
      </c>
      <c r="AE206" s="305">
        <f t="shared" si="65"/>
        <v>0.8</v>
      </c>
      <c r="AF206" s="177">
        <f t="shared" si="66"/>
        <v>0.26889185865021359</v>
      </c>
      <c r="AG206" s="809">
        <f t="shared" si="74"/>
        <v>2</v>
      </c>
      <c r="AH206" s="176">
        <f t="shared" si="67"/>
        <v>8</v>
      </c>
      <c r="AI206" s="225">
        <f t="shared" si="68"/>
        <v>2.2688918586502136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1141">
        <f>IF(t&gt;Tmaj,'2022'!Wh/'2022'!Env_an*'2023'!Env_an,0.001*[9]mois!$B$151)</f>
        <v>50.871911104031419</v>
      </c>
      <c r="C207" s="839"/>
      <c r="D207" s="393">
        <f t="shared" ref="D207:D270" si="77">Wh/(1-Ppv)</f>
        <v>54.249998579497166</v>
      </c>
      <c r="E207" s="385">
        <f t="shared" si="75"/>
        <v>56.236402177813275</v>
      </c>
      <c r="F207" s="385">
        <f t="shared" ref="F207:F270" si="78">Wh_sa/(1-Pvg*MEDIAN((-Sdif+Wh/Env_an)/Csdif,0,1))</f>
        <v>56.48796891529863</v>
      </c>
      <c r="G207" s="110">
        <f t="shared" si="76"/>
        <v>0.9454943796065397</v>
      </c>
      <c r="H207" s="414" t="b">
        <f>Wh_hp&gt;='2022'!Maxi_hp</f>
        <v>0</v>
      </c>
      <c r="I207" s="390">
        <f>IF(H207,Wh_hp,'2022'!Maxi_hp)</f>
        <v>61.032000698200029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6.2268895187444967E-2</v>
      </c>
      <c r="M207" s="843"/>
      <c r="N207" s="843"/>
      <c r="O207" s="48">
        <f>IF(t&lt;Tnet,'2022'!Resal+('2022'!Salim-'2022'!Resal)*(1-EXP(('2022'!Tnet-t)/('2022'!Tau_j))),Resal+(Salim-Resal)*(1-EXP((Tnet-t)/(Tau_j))))*Salcycl</f>
        <v>3.5322380546951082E-2</v>
      </c>
      <c r="P207" s="169">
        <f>(INDEX(Models!$BJ207:$BT207,,T207)*(1-R207)+INDEX(Models!$BJ207:$BT207,,T207+1)*R207-ERP_i)*Q207*Ramure*Pc/MaxiM</f>
        <v>4.8268545724569805E-3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7.2345103741372041E-2</v>
      </c>
      <c r="S207" s="80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1.072345103741372</v>
      </c>
      <c r="V207" s="383">
        <f t="shared" ref="V207:V270" si="85">MaxiM*(1-Ppv)*(1-Pvg)*(1-Psa)</f>
        <v>53.784381775428841</v>
      </c>
      <c r="W207" s="402">
        <f t="shared" ref="W207:W270" si="86">Wh*(A207&gt;Tmaj)</f>
        <v>50.871911104031419</v>
      </c>
      <c r="X207" s="157">
        <f t="shared" ref="X207:X270" si="87">t</f>
        <v>45119</v>
      </c>
      <c r="Y207" s="385">
        <f t="shared" ref="Y207:Y270" si="88">Wh_pvt_s*(1-Ppv)</f>
        <v>44.879956786072349</v>
      </c>
      <c r="Z207" s="385">
        <f t="shared" ref="Z207:Z270" si="89">Wh_sa_s*(1-Psa_s)</f>
        <v>47.860155811983532</v>
      </c>
      <c r="AA207" s="386">
        <f t="shared" ref="AA207:AA270" si="90">Wh_hp*(1-Pvg_s*MEDIAN((-Sdif+Wh/Env_an)/Csdif,0,1))</f>
        <v>55.86160196397595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0.14323696189651694</v>
      </c>
      <c r="AD207" s="231">
        <f>(INDEX(Models!$BJ207:$BT207,,AH207)*(1-AF207)+INDEX(Models!$BJ207:$BT207,,AH207+1)*AF207-ERP_i)*AE207*Ramure*Pc/MaxiM</f>
        <v>1.2018211204109596E-2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0.27306185090627544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2.2730618509062754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1141">
        <f>IF(t&gt;Tmaj,'2022'!Wh/'2022'!Env_an*'2023'!Env_an,0.001*[9]mois!$B$152)</f>
        <v>50.529464105798233</v>
      </c>
      <c r="C208" s="839"/>
      <c r="D208" s="393">
        <f t="shared" si="77"/>
        <v>53.886094043807944</v>
      </c>
      <c r="E208" s="385">
        <f t="shared" si="75"/>
        <v>55.871760032869908</v>
      </c>
      <c r="F208" s="385">
        <f t="shared" si="78"/>
        <v>56.120411991384131</v>
      </c>
      <c r="G208" s="110">
        <f t="shared" si="76"/>
        <v>0.94159734756515168</v>
      </c>
      <c r="H208" s="414" t="b">
        <f>Wh_hp&gt;='2022'!Maxi_hp</f>
        <v>0</v>
      </c>
      <c r="I208" s="390">
        <f>IF(H208,Wh_hp,'2022'!Maxi_hp)</f>
        <v>56.133262205738227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6.2291208846587814E-2</v>
      </c>
      <c r="M208" s="843"/>
      <c r="N208" s="843"/>
      <c r="O208" s="48">
        <f>IF(t&lt;Tnet,'2022'!Resal+('2022'!Salim-'2022'!Resal)*(1-EXP(('2022'!Tnet-t)/('2022'!Tau_j))),Resal+(Salim-Resal)*(1-EXP((Tnet-t)/(Tau_j))))*Salcycl</f>
        <v>3.5539707141743496E-2</v>
      </c>
      <c r="P208" s="169">
        <f>(INDEX(Models!$BJ208:$BT208,,T208)*(1-R208)+INDEX(Models!$BJ208:$BT208,,T208+1)*R208-ERP_i)*Q208*Ramure*Pc/MaxiM</f>
        <v>4.8311454488516427E-3</v>
      </c>
      <c r="Q208" s="305">
        <f t="shared" si="80"/>
        <v>0.8</v>
      </c>
      <c r="R208" s="177">
        <f t="shared" si="81"/>
        <v>7.6417434802186435E-2</v>
      </c>
      <c r="S208" s="809">
        <f t="shared" si="82"/>
        <v>1</v>
      </c>
      <c r="T208" s="176">
        <f t="shared" si="83"/>
        <v>7</v>
      </c>
      <c r="U208" s="251">
        <f t="shared" si="84"/>
        <v>1.0764174348021864</v>
      </c>
      <c r="V208" s="383">
        <f t="shared" si="85"/>
        <v>53.641972561386709</v>
      </c>
      <c r="W208" s="402">
        <f t="shared" si="86"/>
        <v>50.529464105798233</v>
      </c>
      <c r="X208" s="157">
        <f t="shared" si="87"/>
        <v>45120</v>
      </c>
      <c r="Y208" s="385">
        <f t="shared" si="88"/>
        <v>44.58748161849725</v>
      </c>
      <c r="Z208" s="385">
        <f t="shared" si="89"/>
        <v>47.549390641473245</v>
      </c>
      <c r="AA208" s="386">
        <f t="shared" si="90"/>
        <v>55.50393188545457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0.14331491434512059</v>
      </c>
      <c r="AD208" s="231">
        <f>(INDEX(Models!$BJ208:$BT208,,AH208)*(1-AF208)+INDEX(Models!$BJ208:$BT208,,AH208+1)*AF208-ERP_i)*AE208*Ramure*Pc/MaxiM</f>
        <v>1.1977806552844127E-2</v>
      </c>
      <c r="AE208" s="305">
        <f t="shared" si="92"/>
        <v>0.8</v>
      </c>
      <c r="AF208" s="177">
        <f t="shared" si="93"/>
        <v>0.27713418196709005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2.2771341819670901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1141">
        <f>IF(t&gt;Tmaj,'2022'!Wh/'2022'!Env_an*'2023'!Env_an,0.001*[9]mois!$B$153)</f>
        <v>49.798180751122139</v>
      </c>
      <c r="C209" s="839"/>
      <c r="D209" s="393">
        <f t="shared" si="77"/>
        <v>53.107495862175611</v>
      </c>
      <c r="E209" s="385">
        <f t="shared" si="75"/>
        <v>55.076847237560699</v>
      </c>
      <c r="F209" s="385">
        <f t="shared" si="78"/>
        <v>55.317733796072091</v>
      </c>
      <c r="G209" s="110">
        <f t="shared" si="76"/>
        <v>0.93042371250585487</v>
      </c>
      <c r="H209" s="414" t="b">
        <f>Wh_hp&gt;='2022'!Maxi_hp</f>
        <v>0</v>
      </c>
      <c r="I209" s="390">
        <f>IF(H209,Wh_hp,'2022'!Maxi_hp)</f>
        <v>60.641960912358456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6.2313521986459258E-2</v>
      </c>
      <c r="M209" s="843"/>
      <c r="N209" s="843"/>
      <c r="O209" s="48">
        <f>IF(t&lt;Tnet,'2022'!Resal+('2022'!Salim-'2022'!Resal)*(1-EXP(('2022'!Tnet-t)/('2022'!Tau_j))),Resal+(Salim-Resal)*(1-EXP((Tnet-t)/(Tau_j))))*Salcycl</f>
        <v>3.5756428956268418E-2</v>
      </c>
      <c r="P209" s="169">
        <f>(INDEX(Models!$BJ209:$BT209,,T209)*(1-R209)+INDEX(Models!$BJ209:$BT209,,T209+1)*R209-ERP_i)*Q209*Ramure*Pc/MaxiM</f>
        <v>4.8317723087950935E-3</v>
      </c>
      <c r="Q209" s="305">
        <f t="shared" si="80"/>
        <v>0.8</v>
      </c>
      <c r="R209" s="177">
        <f t="shared" si="81"/>
        <v>8.0392177759946115E-2</v>
      </c>
      <c r="S209" s="809">
        <f t="shared" si="82"/>
        <v>1</v>
      </c>
      <c r="T209" s="176">
        <f t="shared" si="83"/>
        <v>7</v>
      </c>
      <c r="U209" s="251">
        <f t="shared" si="84"/>
        <v>1.0803921777599461</v>
      </c>
      <c r="V209" s="383">
        <f t="shared" si="85"/>
        <v>53.496395030083313</v>
      </c>
      <c r="W209" s="402">
        <f t="shared" si="86"/>
        <v>49.798180751122139</v>
      </c>
      <c r="X209" s="157">
        <f t="shared" si="87"/>
        <v>45121</v>
      </c>
      <c r="Y209" s="385">
        <f t="shared" si="88"/>
        <v>43.955012342871946</v>
      </c>
      <c r="Z209" s="385">
        <f t="shared" si="89"/>
        <v>46.876022395021899</v>
      </c>
      <c r="AA209" s="386">
        <f t="shared" si="90"/>
        <v>54.722800665482168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0.14339138668043036</v>
      </c>
      <c r="AD209" s="231">
        <f>(INDEX(Models!$BJ209:$BT209,,AH209)*(1-AF209)+INDEX(Models!$BJ209:$BT209,,AH209+1)*AF209-ERP_i)*AE209*Ramure*Pc/MaxiM</f>
        <v>1.1933340920859795E-2</v>
      </c>
      <c r="AE209" s="305">
        <f t="shared" si="92"/>
        <v>0.8</v>
      </c>
      <c r="AF209" s="177">
        <f t="shared" si="93"/>
        <v>0.28110892492484929</v>
      </c>
      <c r="AG209" s="809">
        <f t="shared" si="99"/>
        <v>2</v>
      </c>
      <c r="AH209" s="176">
        <f t="shared" si="94"/>
        <v>8</v>
      </c>
      <c r="AI209" s="225">
        <f t="shared" si="95"/>
        <v>2.2811089249248493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1141">
        <f>IF(t&gt;Tmaj,'2022'!Wh/'2022'!Env_an*'2023'!Env_an,0.001*[9]mois!$B$154)</f>
        <v>48.135364987995985</v>
      </c>
      <c r="C210" s="839"/>
      <c r="D210" s="393">
        <f t="shared" si="77"/>
        <v>51.335399991344268</v>
      </c>
      <c r="E210" s="385">
        <f t="shared" si="75"/>
        <v>53.250973755132691</v>
      </c>
      <c r="F210" s="385">
        <f t="shared" si="78"/>
        <v>53.473138140692122</v>
      </c>
      <c r="G210" s="110">
        <f t="shared" si="76"/>
        <v>0.90168010562234446</v>
      </c>
      <c r="H210" s="414" t="b">
        <f>Wh_hp&gt;='2022'!Maxi_hp</f>
        <v>0</v>
      </c>
      <c r="I210" s="390">
        <f>IF(H210,Wh_hp,'2022'!Maxi_hp)</f>
        <v>61.822480130513313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6.2335834607071289E-2</v>
      </c>
      <c r="M210" s="843"/>
      <c r="N210" s="843"/>
      <c r="O210" s="48">
        <f>IF(t&lt;Tnet,'2022'!Resal+('2022'!Salim-'2022'!Resal)*(1-EXP(('2022'!Tnet-t)/('2022'!Tau_j))),Resal+(Salim-Resal)*(1-EXP((Tnet-t)/(Tau_j))))*Salcycl</f>
        <v>3.5972558409859801E-2</v>
      </c>
      <c r="P210" s="169">
        <f>(INDEX(Models!$BJ210:$BT210,,T210)*(1-R210)+INDEX(Models!$BJ210:$BT210,,T210+1)*R210-ERP_i)*Q210*Ramure*Pc/MaxiM</f>
        <v>4.8287039543285885E-3</v>
      </c>
      <c r="Q210" s="305">
        <f t="shared" si="80"/>
        <v>0.8</v>
      </c>
      <c r="R210" s="177">
        <f t="shared" si="81"/>
        <v>8.4269563046128759E-2</v>
      </c>
      <c r="S210" s="809">
        <f t="shared" si="82"/>
        <v>1</v>
      </c>
      <c r="T210" s="176">
        <f t="shared" si="83"/>
        <v>7</v>
      </c>
      <c r="U210" s="251">
        <f t="shared" si="84"/>
        <v>1.0842695630461288</v>
      </c>
      <c r="V210" s="383">
        <f t="shared" si="85"/>
        <v>53.347950664307575</v>
      </c>
      <c r="W210" s="402">
        <f t="shared" si="86"/>
        <v>48.135364987995985</v>
      </c>
      <c r="X210" s="157">
        <f t="shared" si="87"/>
        <v>45122</v>
      </c>
      <c r="Y210" s="385">
        <f t="shared" si="88"/>
        <v>42.507293308740188</v>
      </c>
      <c r="Z210" s="385">
        <f t="shared" si="89"/>
        <v>45.333174581677099</v>
      </c>
      <c r="AA210" s="386">
        <f t="shared" si="90"/>
        <v>52.926326821226212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0.14346645035838504</v>
      </c>
      <c r="AD210" s="231">
        <f>(INDEX(Models!$BJ210:$BT210,,AH210)*(1-AF210)+INDEX(Models!$BJ210:$BT210,,AH210+1)*AF210-ERP_i)*AE210*Ramure*Pc/MaxiM</f>
        <v>1.1884848122384401E-2</v>
      </c>
      <c r="AE210" s="305">
        <f t="shared" si="92"/>
        <v>0.8</v>
      </c>
      <c r="AF210" s="177">
        <f t="shared" si="93"/>
        <v>0.28498631021103238</v>
      </c>
      <c r="AG210" s="809">
        <f t="shared" si="99"/>
        <v>2</v>
      </c>
      <c r="AH210" s="176">
        <f t="shared" si="94"/>
        <v>8</v>
      </c>
      <c r="AI210" s="225">
        <f t="shared" si="95"/>
        <v>2.2849863102110324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1141">
        <f>IF(t&gt;Tmaj,'2022'!Wh/'2022'!Env_an*'2023'!Env_an,0.001*[9]mois!$B$155)</f>
        <v>49.892600211256358</v>
      </c>
      <c r="C211" s="839"/>
      <c r="D211" s="393">
        <f t="shared" si="77"/>
        <v>53.210722234838236</v>
      </c>
      <c r="E211" s="385">
        <f t="shared" si="75"/>
        <v>55.20861766369682</v>
      </c>
      <c r="F211" s="385">
        <f t="shared" si="78"/>
        <v>55.452276796955616</v>
      </c>
      <c r="G211" s="110">
        <f t="shared" si="76"/>
        <v>0.93748169782595836</v>
      </c>
      <c r="H211" s="414" t="b">
        <f>Wh_hp&gt;='2022'!Maxi_hp</f>
        <v>0</v>
      </c>
      <c r="I211" s="390">
        <f>IF(H211,Wh_hp,'2022'!Maxi_hp)</f>
        <v>59.884372222442117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6.2358146708436007E-2</v>
      </c>
      <c r="M211" s="843"/>
      <c r="N211" s="843"/>
      <c r="O211" s="48">
        <f>IF(t&lt;Tnet,'2022'!Resal+('2022'!Salim-'2022'!Resal)*(1-EXP(('2022'!Tnet-t)/('2022'!Tau_j))),Resal+(Salim-Resal)*(1-EXP((Tnet-t)/(Tau_j))))*Salcycl</f>
        <v>3.618810818681889E-2</v>
      </c>
      <c r="P211" s="169">
        <f>(INDEX(Models!$BJ211:$BT211,,T211)*(1-R211)+INDEX(Models!$BJ211:$BT211,,T211+1)*R211-ERP_i)*Q211*Ramure*Pc/MaxiM</f>
        <v>4.8219102265309802E-3</v>
      </c>
      <c r="Q211" s="305">
        <f t="shared" si="80"/>
        <v>0.8</v>
      </c>
      <c r="R211" s="177">
        <f t="shared" si="81"/>
        <v>8.8049970279738599E-2</v>
      </c>
      <c r="S211" s="809">
        <f t="shared" si="82"/>
        <v>1</v>
      </c>
      <c r="T211" s="176">
        <f t="shared" si="83"/>
        <v>7</v>
      </c>
      <c r="U211" s="251">
        <f t="shared" si="84"/>
        <v>1.0880499702797386</v>
      </c>
      <c r="V211" s="383">
        <f t="shared" si="85"/>
        <v>53.19694048564142</v>
      </c>
      <c r="W211" s="402">
        <f t="shared" si="86"/>
        <v>49.892600211256358</v>
      </c>
      <c r="X211" s="157">
        <f t="shared" si="87"/>
        <v>45123</v>
      </c>
      <c r="Y211" s="385">
        <f t="shared" si="88"/>
        <v>44.050941567997683</v>
      </c>
      <c r="Z211" s="385">
        <f t="shared" si="89"/>
        <v>46.980562368625243</v>
      </c>
      <c r="AA211" s="386">
        <f t="shared" si="90"/>
        <v>54.854368021307039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0.14354017622850718</v>
      </c>
      <c r="AD211" s="231">
        <f>(INDEX(Models!$BJ211:$BT211,,AH211)*(1-AF211)+INDEX(Models!$BJ211:$BT211,,AH211+1)*AF211-ERP_i)*AE211*Ramure*Pc/MaxiM</f>
        <v>1.1832359416506386E-2</v>
      </c>
      <c r="AE211" s="305">
        <f t="shared" si="92"/>
        <v>0.8</v>
      </c>
      <c r="AF211" s="177">
        <f t="shared" si="93"/>
        <v>0.28876671744464222</v>
      </c>
      <c r="AG211" s="809">
        <f t="shared" si="99"/>
        <v>2</v>
      </c>
      <c r="AH211" s="176">
        <f t="shared" si="94"/>
        <v>8</v>
      </c>
      <c r="AI211" s="225">
        <f t="shared" si="95"/>
        <v>2.2887667174446422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1141">
        <f>IF(t&gt;Tmaj,'2022'!Wh/'2022'!Env_an*'2023'!Env_an,0.001*[9]mois!$B$156)</f>
        <v>49.271682189634497</v>
      </c>
      <c r="C212" s="839"/>
      <c r="D212" s="393">
        <f t="shared" si="77"/>
        <v>52.549760321552313</v>
      </c>
      <c r="E212" s="385">
        <f t="shared" si="75"/>
        <v>54.535003006051348</v>
      </c>
      <c r="F212" s="385">
        <f t="shared" si="78"/>
        <v>54.771713176040045</v>
      </c>
      <c r="G212" s="110">
        <f t="shared" si="76"/>
        <v>0.92843233716520324</v>
      </c>
      <c r="H212" s="414" t="b">
        <f>Wh_hp&gt;='2022'!Maxi_hp</f>
        <v>0</v>
      </c>
      <c r="I212" s="390">
        <f>IF(H212,Wh_hp,'2022'!Maxi_hp)</f>
        <v>59.284108427339568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6.2380458290565627E-2</v>
      </c>
      <c r="M212" s="843"/>
      <c r="N212" s="843"/>
      <c r="O212" s="48">
        <f>IF(t&lt;Tnet,'2022'!Resal+('2022'!Salim-'2022'!Resal)*(1-EXP(('2022'!Tnet-t)/('2022'!Tau_j))),Resal+(Salim-Resal)*(1-EXP((Tnet-t)/(Tau_j))))*Salcycl</f>
        <v>3.640309113540794E-2</v>
      </c>
      <c r="P212" s="169">
        <f>(INDEX(Models!$BJ212:$BT212,,T212)*(1-R212)+INDEX(Models!$BJ212:$BT212,,T212+1)*R212-ERP_i)*Q212*Ramure*Pc/MaxiM</f>
        <v>4.8104439414739806E-3</v>
      </c>
      <c r="Q212" s="305">
        <f t="shared" si="80"/>
        <v>0.8</v>
      </c>
      <c r="R212" s="177">
        <f t="shared" si="81"/>
        <v>9.1733919959630095E-2</v>
      </c>
      <c r="S212" s="809">
        <f t="shared" si="82"/>
        <v>1</v>
      </c>
      <c r="T212" s="176">
        <f t="shared" si="83"/>
        <v>7</v>
      </c>
      <c r="U212" s="251">
        <f t="shared" si="84"/>
        <v>1.0917339199596301</v>
      </c>
      <c r="V212" s="383">
        <f t="shared" si="85"/>
        <v>53.04371401108525</v>
      </c>
      <c r="W212" s="402">
        <f t="shared" si="86"/>
        <v>49.271682189634497</v>
      </c>
      <c r="X212" s="157">
        <f t="shared" si="87"/>
        <v>45124</v>
      </c>
      <c r="Y212" s="385">
        <f t="shared" si="88"/>
        <v>43.514408743705808</v>
      </c>
      <c r="Z212" s="385">
        <f t="shared" si="89"/>
        <v>46.409451603762328</v>
      </c>
      <c r="AA212" s="386">
        <f t="shared" si="90"/>
        <v>54.192125497204977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0.14361263416110237</v>
      </c>
      <c r="AD212" s="231">
        <f>(INDEX(Models!$BJ212:$BT212,,AH212)*(1-AF212)+INDEX(Models!$BJ212:$BT212,,AH212+1)*AF212-ERP_i)*AE212*Ramure*Pc/MaxiM</f>
        <v>1.1778429453784043E-2</v>
      </c>
      <c r="AE212" s="305">
        <f t="shared" si="92"/>
        <v>0.8</v>
      </c>
      <c r="AF212" s="177">
        <f t="shared" si="93"/>
        <v>0.29245066712453349</v>
      </c>
      <c r="AG212" s="809">
        <f t="shared" si="99"/>
        <v>2</v>
      </c>
      <c r="AH212" s="176">
        <f t="shared" si="94"/>
        <v>8</v>
      </c>
      <c r="AI212" s="225">
        <f t="shared" si="95"/>
        <v>2.2924506671245335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1141">
        <f>IF(t&gt;Tmaj,'2022'!Wh/'2022'!Env_an*'2023'!Env_an,0.001*[9]mois!$B$157)</f>
        <v>49.360203647516649</v>
      </c>
      <c r="C213" s="839"/>
      <c r="D213" s="393">
        <f t="shared" si="77"/>
        <v>52.64542389217587</v>
      </c>
      <c r="E213" s="385">
        <f t="shared" si="75"/>
        <v>54.646441049458069</v>
      </c>
      <c r="F213" s="385">
        <f t="shared" si="78"/>
        <v>54.884548008888643</v>
      </c>
      <c r="G213" s="110">
        <f t="shared" si="76"/>
        <v>0.93285938246978151</v>
      </c>
      <c r="H213" s="414" t="b">
        <f>Wh_hp&gt;='2022'!Maxi_hp</f>
        <v>0</v>
      </c>
      <c r="I213" s="390">
        <f>IF(H213,Wh_hp,'2022'!Maxi_hp)</f>
        <v>54.898695193030804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6.2402769353472137E-2</v>
      </c>
      <c r="M213" s="843"/>
      <c r="N213" s="843"/>
      <c r="O213" s="48">
        <f>IF(t&lt;Tnet,'2022'!Resal+('2022'!Salim-'2022'!Resal)*(1-EXP(('2022'!Tnet-t)/('2022'!Tau_j))),Resal+(Salim-Resal)*(1-EXP((Tnet-t)/(Tau_j))))*Salcycl</f>
        <v>3.6617520168809682E-2</v>
      </c>
      <c r="P213" s="169">
        <f>(INDEX(Models!$BJ213:$BT213,,T213)*(1-R213)+INDEX(Models!$BJ213:$BT213,,T213+1)*R213-ERP_i)*Q213*Ramure*Pc/MaxiM</f>
        <v>4.7953348728104273E-3</v>
      </c>
      <c r="Q213" s="305">
        <f t="shared" si="80"/>
        <v>0.8</v>
      </c>
      <c r="R213" s="177">
        <f t="shared" si="81"/>
        <v>9.5322065059178618E-2</v>
      </c>
      <c r="S213" s="809">
        <f t="shared" si="82"/>
        <v>1</v>
      </c>
      <c r="T213" s="176">
        <f t="shared" si="83"/>
        <v>7</v>
      </c>
      <c r="U213" s="251">
        <f t="shared" si="84"/>
        <v>1.0953220650591786</v>
      </c>
      <c r="V213" s="383">
        <f t="shared" si="85"/>
        <v>52.88851475449659</v>
      </c>
      <c r="W213" s="402">
        <f t="shared" si="86"/>
        <v>49.360203647516649</v>
      </c>
      <c r="X213" s="157">
        <f t="shared" si="87"/>
        <v>45125</v>
      </c>
      <c r="Y213" s="385">
        <f t="shared" si="88"/>
        <v>43.598235921287447</v>
      </c>
      <c r="Z213" s="385">
        <f t="shared" si="89"/>
        <v>46.499962346543967</v>
      </c>
      <c r="AA213" s="386">
        <f t="shared" si="90"/>
        <v>54.302332923334241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0.14368389269400098</v>
      </c>
      <c r="AD213" s="231">
        <f>(INDEX(Models!$BJ213:$BT213,,AH213)*(1-AF213)+INDEX(Models!$BJ213:$BT213,,AH213+1)*AF213-ERP_i)*AE213*Ramure*Pc/MaxiM</f>
        <v>1.1725471233231104E-2</v>
      </c>
      <c r="AE213" s="305">
        <f t="shared" si="92"/>
        <v>0.8</v>
      </c>
      <c r="AF213" s="177">
        <f t="shared" si="93"/>
        <v>0.29603881222408202</v>
      </c>
      <c r="AG213" s="809">
        <f t="shared" si="99"/>
        <v>2</v>
      </c>
      <c r="AH213" s="176">
        <f t="shared" si="94"/>
        <v>8</v>
      </c>
      <c r="AI213" s="225">
        <f t="shared" si="95"/>
        <v>2.296038812224082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1141">
        <f>IF(t&gt;Tmaj,'2022'!Wh/'2022'!Env_an*'2023'!Env_an,0.001*[9]mois!$B$158)</f>
        <v>41.969126744422425</v>
      </c>
      <c r="C214" s="839"/>
      <c r="D214" s="393">
        <f t="shared" si="77"/>
        <v>44.763491262990783</v>
      </c>
      <c r="E214" s="385">
        <f t="shared" si="75"/>
        <v>46.475239789418076</v>
      </c>
      <c r="F214" s="385">
        <f t="shared" si="78"/>
        <v>46.633039078882028</v>
      </c>
      <c r="G214" s="110">
        <f t="shared" si="76"/>
        <v>0.79478801879370919</v>
      </c>
      <c r="H214" s="414" t="b">
        <f>Wh_hp&gt;='2022'!Maxi_hp</f>
        <v>0</v>
      </c>
      <c r="I214" s="390">
        <f>IF(H214,Wh_hp,'2022'!Maxi_hp)</f>
        <v>58.756624023834831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6.2425079897167529E-2</v>
      </c>
      <c r="M214" s="843"/>
      <c r="N214" s="843"/>
      <c r="O214" s="48">
        <f>IF(t&lt;Tnet,'2022'!Resal+('2022'!Salim-'2022'!Resal)*(1-EXP(('2022'!Tnet-t)/('2022'!Tau_j))),Resal+(Salim-Resal)*(1-EXP((Tnet-t)/(Tau_j))))*Salcycl</f>
        <v>3.6831408168808089E-2</v>
      </c>
      <c r="P214" s="169">
        <f>(INDEX(Models!$BJ214:$BT214,,T214)*(1-R214)+INDEX(Models!$BJ214:$BT214,,T214+1)*R214-ERP_i)*Q214*Ramure*Pc/MaxiM</f>
        <v>4.7765579124169882E-3</v>
      </c>
      <c r="Q214" s="305">
        <f t="shared" si="80"/>
        <v>0.8</v>
      </c>
      <c r="R214" s="177">
        <f t="shared" si="81"/>
        <v>9.8815182577855154E-2</v>
      </c>
      <c r="S214" s="809">
        <f t="shared" si="82"/>
        <v>1</v>
      </c>
      <c r="T214" s="176">
        <f t="shared" si="83"/>
        <v>7</v>
      </c>
      <c r="U214" s="251">
        <f t="shared" si="84"/>
        <v>1.0988151825778552</v>
      </c>
      <c r="V214" s="383">
        <f t="shared" si="85"/>
        <v>52.731642438900238</v>
      </c>
      <c r="W214" s="402">
        <f t="shared" si="86"/>
        <v>41.969126744422425</v>
      </c>
      <c r="X214" s="157">
        <f t="shared" si="87"/>
        <v>45126</v>
      </c>
      <c r="Y214" s="385">
        <f t="shared" si="88"/>
        <v>37.127157673317377</v>
      </c>
      <c r="Z214" s="385">
        <f t="shared" si="89"/>
        <v>39.599136962031046</v>
      </c>
      <c r="AA214" s="386">
        <f t="shared" si="90"/>
        <v>46.247384311169881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0.14375401870096935</v>
      </c>
      <c r="AD214" s="231">
        <f>(INDEX(Models!$BJ214:$BT214,,AH214)*(1-AF214)+INDEX(Models!$BJ214:$BT214,,AH214+1)*AF214-ERP_i)*AE214*Ramure*Pc/MaxiM</f>
        <v>1.1673704859092963E-2</v>
      </c>
      <c r="AE214" s="305">
        <f t="shared" si="92"/>
        <v>0.8</v>
      </c>
      <c r="AF214" s="177">
        <f t="shared" si="93"/>
        <v>0.29953192974275877</v>
      </c>
      <c r="AG214" s="809">
        <f t="shared" si="99"/>
        <v>2</v>
      </c>
      <c r="AH214" s="176">
        <f t="shared" si="94"/>
        <v>8</v>
      </c>
      <c r="AI214" s="225">
        <f t="shared" si="95"/>
        <v>2.2995319297427588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1141">
        <f>IF(t&gt;Tmaj,'2022'!Wh/'2022'!Env_an*'2023'!Env_an,0.001*[9]mois!$B$159)</f>
        <v>40.482526469374449</v>
      </c>
      <c r="C215" s="839"/>
      <c r="D215" s="393">
        <f t="shared" si="77"/>
        <v>43.178938476841296</v>
      </c>
      <c r="E215" s="385">
        <f t="shared" si="75"/>
        <v>44.840026864342569</v>
      </c>
      <c r="F215" s="385">
        <f t="shared" si="78"/>
        <v>44.983621843720293</v>
      </c>
      <c r="G215" s="110">
        <f t="shared" si="76"/>
        <v>0.76881266887829169</v>
      </c>
      <c r="H215" s="414" t="b">
        <f>Wh_hp&gt;='2022'!Maxi_hp</f>
        <v>0</v>
      </c>
      <c r="I215" s="390">
        <f>IF(H215,Wh_hp,'2022'!Maxi_hp)</f>
        <v>56.850317250869089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6.2447389921664015E-2</v>
      </c>
      <c r="M215" s="843"/>
      <c r="N215" s="843"/>
      <c r="O215" s="48">
        <f>IF(t&lt;Tnet,'2022'!Resal+('2022'!Salim-'2022'!Resal)*(1-EXP(('2022'!Tnet-t)/('2022'!Tau_j))),Resal+(Salim-Resal)*(1-EXP((Tnet-t)/(Tau_j))))*Salcycl</f>
        <v>3.7044767892906699E-2</v>
      </c>
      <c r="P215" s="169">
        <f>(INDEX(Models!$BJ215:$BT215,,T215)*(1-R215)+INDEX(Models!$BJ215:$BT215,,T215+1)*R215-ERP_i)*Q215*Ramure*Pc/MaxiM</f>
        <v>4.7540883173164249E-3</v>
      </c>
      <c r="Q215" s="305">
        <f t="shared" si="80"/>
        <v>0.8</v>
      </c>
      <c r="R215" s="177">
        <f t="shared" si="81"/>
        <v>0.1022141651003774</v>
      </c>
      <c r="S215" s="809">
        <f t="shared" si="82"/>
        <v>1</v>
      </c>
      <c r="T215" s="176">
        <f t="shared" si="83"/>
        <v>7</v>
      </c>
      <c r="U215" s="251">
        <f t="shared" si="84"/>
        <v>1.1022141651003774</v>
      </c>
      <c r="V215" s="383">
        <f t="shared" si="85"/>
        <v>52.573396442239151</v>
      </c>
      <c r="W215" s="402">
        <f t="shared" si="86"/>
        <v>40.482526469374449</v>
      </c>
      <c r="X215" s="157">
        <f t="shared" si="87"/>
        <v>45127</v>
      </c>
      <c r="Y215" s="385">
        <f t="shared" si="88"/>
        <v>35.827030255764782</v>
      </c>
      <c r="Z215" s="385">
        <f t="shared" si="89"/>
        <v>38.213354504736863</v>
      </c>
      <c r="AA215" s="386">
        <f t="shared" si="90"/>
        <v>44.63254437479376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0.14382307708368366</v>
      </c>
      <c r="AD215" s="231">
        <f>(INDEX(Models!$BJ215:$BT215,,AH215)*(1-AF215)+INDEX(Models!$BJ215:$BT215,,AH215+1)*AF215-ERP_i)*AE215*Ramure*Pc/MaxiM</f>
        <v>1.1623340180343101E-2</v>
      </c>
      <c r="AE215" s="305">
        <f t="shared" si="92"/>
        <v>0.8</v>
      </c>
      <c r="AF215" s="177">
        <f t="shared" si="93"/>
        <v>0.30293091226528102</v>
      </c>
      <c r="AG215" s="809">
        <f t="shared" si="99"/>
        <v>2</v>
      </c>
      <c r="AH215" s="176">
        <f t="shared" si="94"/>
        <v>8</v>
      </c>
      <c r="AI215" s="225">
        <f t="shared" si="95"/>
        <v>2.302930912265281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1141">
        <f>IF(t&gt;Tmaj,'2022'!Wh/'2022'!Env_an*'2023'!Env_an,0.001*[9]mois!$B$160)</f>
        <v>47.964065321159808</v>
      </c>
      <c r="C216" s="839"/>
      <c r="D216" s="393">
        <f t="shared" si="77"/>
        <v>51.160016152911297</v>
      </c>
      <c r="E216" s="385">
        <f t="shared" si="75"/>
        <v>53.139881223168594</v>
      </c>
      <c r="F216" s="385">
        <f t="shared" si="78"/>
        <v>53.361570133537136</v>
      </c>
      <c r="G216" s="110">
        <f t="shared" si="76"/>
        <v>0.91457200371255454</v>
      </c>
      <c r="H216" s="414" t="b">
        <f>Wh_hp&gt;='2022'!Maxi_hp</f>
        <v>0</v>
      </c>
      <c r="I216" s="390">
        <f>IF(H216,Wh_hp,'2022'!Maxi_hp)</f>
        <v>53.378703386572745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6.2469699426973696E-2</v>
      </c>
      <c r="M216" s="843"/>
      <c r="N216" s="843"/>
      <c r="O216" s="48">
        <f>IF(t&lt;Tnet,'2022'!Resal+('2022'!Salim-'2022'!Resal)*(1-EXP(('2022'!Tnet-t)/('2022'!Tau_j))),Resal+(Salim-Resal)*(1-EXP((Tnet-t)/(Tau_j))))*Salcycl</f>
        <v>3.7257611885554813E-2</v>
      </c>
      <c r="P216" s="169">
        <f>(INDEX(Models!$BJ216:$BT216,,T216)*(1-R216)+INDEX(Models!$BJ216:$BT216,,T216+1)*R216-ERP_i)*Q216*Ramure*Pc/MaxiM</f>
        <v>4.7279015979212139E-3</v>
      </c>
      <c r="Q216" s="305">
        <f t="shared" si="80"/>
        <v>0.8</v>
      </c>
      <c r="R216" s="177">
        <f t="shared" si="81"/>
        <v>0.10552001241004927</v>
      </c>
      <c r="S216" s="809">
        <f t="shared" si="82"/>
        <v>1</v>
      </c>
      <c r="T216" s="176">
        <f t="shared" si="83"/>
        <v>7</v>
      </c>
      <c r="U216" s="251">
        <f t="shared" si="84"/>
        <v>1.1055200124100493</v>
      </c>
      <c r="V216" s="383">
        <f t="shared" si="85"/>
        <v>52.414075824832032</v>
      </c>
      <c r="W216" s="402">
        <f t="shared" si="86"/>
        <v>47.964065321159808</v>
      </c>
      <c r="X216" s="157">
        <f t="shared" si="87"/>
        <v>45128</v>
      </c>
      <c r="Y216" s="385">
        <f t="shared" si="88"/>
        <v>42.393883505830445</v>
      </c>
      <c r="Z216" s="385">
        <f t="shared" si="89"/>
        <v>45.218680910813177</v>
      </c>
      <c r="AA216" s="386">
        <f t="shared" si="90"/>
        <v>52.818844099392159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0.14389113048890906</v>
      </c>
      <c r="AD216" s="231">
        <f>(INDEX(Models!$BJ216:$BT216,,AH216)*(1-AF216)+INDEX(Models!$BJ216:$BT216,,AH216+1)*AF216-ERP_i)*AE216*Ramure*Pc/MaxiM</f>
        <v>1.1574576643467486E-2</v>
      </c>
      <c r="AE216" s="305">
        <f t="shared" si="92"/>
        <v>0.8</v>
      </c>
      <c r="AF216" s="177">
        <f t="shared" si="93"/>
        <v>0.30623675957495289</v>
      </c>
      <c r="AG216" s="809">
        <f t="shared" si="99"/>
        <v>2</v>
      </c>
      <c r="AH216" s="176">
        <f t="shared" si="94"/>
        <v>8</v>
      </c>
      <c r="AI216" s="225">
        <f t="shared" si="95"/>
        <v>2.3062367595749529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1141">
        <f>IF(t&gt;Tmaj,'2022'!Wh/'2022'!Env_an*'2023'!Env_an,0.001*[9]mois!$B$161)</f>
        <v>36.368079877085421</v>
      </c>
      <c r="C217" s="839"/>
      <c r="D217" s="393">
        <f t="shared" si="77"/>
        <v>38.792287856156051</v>
      </c>
      <c r="E217" s="385">
        <f t="shared" si="75"/>
        <v>40.302417522075309</v>
      </c>
      <c r="F217" s="385">
        <f t="shared" si="78"/>
        <v>40.409811529950503</v>
      </c>
      <c r="G217" s="110">
        <f t="shared" si="76"/>
        <v>0.69456295842205773</v>
      </c>
      <c r="H217" s="414" t="b">
        <f>Wh_hp&gt;='2022'!Maxi_hp</f>
        <v>0</v>
      </c>
      <c r="I217" s="390">
        <f>IF(H217,Wh_hp,'2022'!Maxi_hp)</f>
        <v>52.403107161067176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6.2492008413108563E-2</v>
      </c>
      <c r="M217" s="843"/>
      <c r="N217" s="843"/>
      <c r="O217" s="48">
        <f>IF(t&lt;Tnet,'2022'!Resal+('2022'!Salim-'2022'!Resal)*(1-EXP(('2022'!Tnet-t)/('2022'!Tau_j))),Resal+(Salim-Resal)*(1-EXP((Tnet-t)/(Tau_j))))*Salcycl</f>
        <v>3.7469952394098914E-2</v>
      </c>
      <c r="P217" s="169">
        <f>(INDEX(Models!$BJ217:$BT217,,T217)*(1-R217)+INDEX(Models!$BJ217:$BT217,,T217+1)*R217-ERP_i)*Q217*Ramure*Pc/MaxiM</f>
        <v>4.6979734286437683E-3</v>
      </c>
      <c r="Q217" s="305">
        <f t="shared" si="80"/>
        <v>0.8</v>
      </c>
      <c r="R217" s="177">
        <f t="shared" si="81"/>
        <v>0.10873382319878422</v>
      </c>
      <c r="S217" s="809">
        <f t="shared" si="82"/>
        <v>1</v>
      </c>
      <c r="T217" s="176">
        <f t="shared" si="83"/>
        <v>7</v>
      </c>
      <c r="U217" s="251">
        <f t="shared" si="84"/>
        <v>1.1087338231987842</v>
      </c>
      <c r="V217" s="383">
        <f t="shared" si="85"/>
        <v>52.25397934895296</v>
      </c>
      <c r="W217" s="402">
        <f t="shared" si="86"/>
        <v>36.368079877085421</v>
      </c>
      <c r="X217" s="157">
        <f t="shared" si="87"/>
        <v>45129</v>
      </c>
      <c r="Y217" s="385">
        <f t="shared" si="88"/>
        <v>32.219247830260556</v>
      </c>
      <c r="Z217" s="385">
        <f t="shared" si="89"/>
        <v>34.366904729765565</v>
      </c>
      <c r="AA217" s="386">
        <f t="shared" si="90"/>
        <v>40.146294605671415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0.14395823905226371</v>
      </c>
      <c r="AD217" s="231">
        <f>(INDEX(Models!$BJ217:$BT217,,AH217)*(1-AF217)+INDEX(Models!$BJ217:$BT217,,AH217+1)*AF217-ERP_i)*AE217*Ramure*Pc/MaxiM</f>
        <v>1.1527603194582684E-2</v>
      </c>
      <c r="AE217" s="305">
        <f t="shared" si="92"/>
        <v>0.8</v>
      </c>
      <c r="AF217" s="177">
        <f t="shared" si="93"/>
        <v>0.30945057036368784</v>
      </c>
      <c r="AG217" s="809">
        <f t="shared" si="99"/>
        <v>2</v>
      </c>
      <c r="AH217" s="176">
        <f t="shared" si="94"/>
        <v>8</v>
      </c>
      <c r="AI217" s="225">
        <f t="shared" si="95"/>
        <v>2.3094505703636878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1141">
        <f>IF(t&gt;Tmaj,'2022'!Wh/'2022'!Env_an*'2023'!Env_an,0.001*[9]mois!$B$162)</f>
        <v>45.943693459006781</v>
      </c>
      <c r="C218" s="839"/>
      <c r="D218" s="393">
        <f t="shared" si="77"/>
        <v>49.007354764189877</v>
      </c>
      <c r="E218" s="385">
        <f t="shared" si="75"/>
        <v>50.926351418777863</v>
      </c>
      <c r="F218" s="385">
        <f t="shared" si="78"/>
        <v>51.124595791889675</v>
      </c>
      <c r="G218" s="110">
        <f t="shared" si="76"/>
        <v>0.88125190975162093</v>
      </c>
      <c r="H218" s="414" t="b">
        <f>Wh_hp&gt;='2022'!Maxi_hp</f>
        <v>0</v>
      </c>
      <c r="I218" s="390">
        <f>IF(H218,Wh_hp,'2022'!Maxi_hp)</f>
        <v>54.77401411835254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6.2514316880080717E-2</v>
      </c>
      <c r="M218" s="843"/>
      <c r="N218" s="843"/>
      <c r="O218" s="48">
        <f>IF(t&lt;Tnet,'2022'!Resal+('2022'!Salim-'2022'!Resal)*(1-EXP(('2022'!Tnet-t)/('2022'!Tau_j))),Resal+(Salim-Resal)*(1-EXP((Tnet-t)/(Tau_j))))*Salcycl</f>
        <v>3.7681801290017435E-2</v>
      </c>
      <c r="P218" s="169">
        <f>(INDEX(Models!$BJ218:$BT218,,T218)*(1-R218)+INDEX(Models!$BJ218:$BT218,,T218+1)*R218-ERP_i)*Q218*Ramure*Pc/MaxiM</f>
        <v>4.6642795819734273E-3</v>
      </c>
      <c r="Q218" s="305">
        <f t="shared" si="80"/>
        <v>0.8</v>
      </c>
      <c r="R218" s="177">
        <f t="shared" si="81"/>
        <v>0.11185678691214274</v>
      </c>
      <c r="S218" s="809">
        <f t="shared" si="82"/>
        <v>1</v>
      </c>
      <c r="T218" s="176">
        <f t="shared" si="83"/>
        <v>7</v>
      </c>
      <c r="U218" s="251">
        <f t="shared" si="84"/>
        <v>1.1118567869121427</v>
      </c>
      <c r="V218" s="383">
        <f t="shared" si="85"/>
        <v>52.093405499177678</v>
      </c>
      <c r="W218" s="402">
        <f t="shared" si="86"/>
        <v>45.943693459006781</v>
      </c>
      <c r="X218" s="157">
        <f t="shared" si="87"/>
        <v>45130</v>
      </c>
      <c r="Y218" s="385">
        <f t="shared" si="88"/>
        <v>40.634053366788187</v>
      </c>
      <c r="Z218" s="385">
        <f t="shared" si="89"/>
        <v>43.34365217350252</v>
      </c>
      <c r="AA218" s="386">
        <f t="shared" si="90"/>
        <v>50.636554617079632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0.1440244601696741</v>
      </c>
      <c r="AD218" s="231">
        <f>(INDEX(Models!$BJ218:$BT218,,AH218)*(1-AF218)+INDEX(Models!$BJ218:$BT218,,AH218+1)*AF218-ERP_i)*AE218*Ramure*Pc/MaxiM</f>
        <v>1.14825982250953E-2</v>
      </c>
      <c r="AE218" s="305">
        <f t="shared" si="92"/>
        <v>0.8</v>
      </c>
      <c r="AF218" s="177">
        <f t="shared" si="93"/>
        <v>0.31257353407704613</v>
      </c>
      <c r="AG218" s="809">
        <f t="shared" si="99"/>
        <v>2</v>
      </c>
      <c r="AH218" s="176">
        <f t="shared" si="94"/>
        <v>8</v>
      </c>
      <c r="AI218" s="225">
        <f t="shared" si="95"/>
        <v>2.3125735340770461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1141">
        <f>IF(t&gt;Tmaj,'2022'!Wh/'2022'!Env_an*'2023'!Env_an,0.001*[9]mois!$B$163)</f>
        <v>47.665649233191033</v>
      </c>
      <c r="C219" s="839"/>
      <c r="D219" s="393">
        <f t="shared" si="77"/>
        <v>50.845345530902115</v>
      </c>
      <c r="E219" s="385">
        <f t="shared" si="75"/>
        <v>52.847920776830158</v>
      </c>
      <c r="F219" s="385">
        <f t="shared" si="78"/>
        <v>53.064619982318092</v>
      </c>
      <c r="G219" s="110">
        <f t="shared" si="76"/>
        <v>0.91733324489321022</v>
      </c>
      <c r="H219" s="414" t="b">
        <f>Wh_hp&gt;='2022'!Maxi_hp</f>
        <v>0</v>
      </c>
      <c r="I219" s="390">
        <f>IF(H219,Wh_hp,'2022'!Maxi_hp)</f>
        <v>54.951989772892752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6.253662482790226E-2</v>
      </c>
      <c r="M219" s="843"/>
      <c r="N219" s="843"/>
      <c r="O219" s="48">
        <f>IF(t&lt;Tnet,'2022'!Resal+('2022'!Salim-'2022'!Resal)*(1-EXP(('2022'!Tnet-t)/('2022'!Tau_j))),Resal+(Salim-Resal)*(1-EXP((Tnet-t)/(Tau_j))))*Salcycl</f>
        <v>3.7893169995933229E-2</v>
      </c>
      <c r="P219" s="169">
        <f>(INDEX(Models!$BJ219:$BT219,,T219)*(1-R219)+INDEX(Models!$BJ219:$BT219,,T219+1)*R219-ERP_i)*Q219*Ramure*Pc/MaxiM</f>
        <v>4.6267780507133005E-3</v>
      </c>
      <c r="Q219" s="305">
        <f t="shared" si="80"/>
        <v>0.8</v>
      </c>
      <c r="R219" s="177">
        <f t="shared" si="81"/>
        <v>0.11489017576359539</v>
      </c>
      <c r="S219" s="809">
        <f t="shared" si="82"/>
        <v>1</v>
      </c>
      <c r="T219" s="176">
        <f t="shared" si="83"/>
        <v>7</v>
      </c>
      <c r="U219" s="251">
        <f t="shared" si="84"/>
        <v>1.1148901757635954</v>
      </c>
      <c r="V219" s="383">
        <f t="shared" si="85"/>
        <v>51.932769775615817</v>
      </c>
      <c r="W219" s="402">
        <f t="shared" si="86"/>
        <v>47.665649233191033</v>
      </c>
      <c r="X219" s="157">
        <f t="shared" si="87"/>
        <v>45131</v>
      </c>
      <c r="Y219" s="385">
        <f t="shared" si="88"/>
        <v>42.148316609870434</v>
      </c>
      <c r="Z219" s="385">
        <f t="shared" si="89"/>
        <v>44.959960811410816</v>
      </c>
      <c r="AA219" s="386">
        <f t="shared" si="90"/>
        <v>52.528832286861444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0.14408984829734658</v>
      </c>
      <c r="AD219" s="231">
        <f>(INDEX(Models!$BJ219:$BT219,,AH219)*(1-AF219)+INDEX(Models!$BJ219:$BT219,,AH219+1)*AF219-ERP_i)*AE219*Ramure*Pc/MaxiM</f>
        <v>1.1439685455234253E-2</v>
      </c>
      <c r="AE219" s="305">
        <f t="shared" si="92"/>
        <v>0.8</v>
      </c>
      <c r="AF219" s="177">
        <f t="shared" si="93"/>
        <v>0.31560692292849879</v>
      </c>
      <c r="AG219" s="809">
        <f t="shared" si="99"/>
        <v>2</v>
      </c>
      <c r="AH219" s="176">
        <f t="shared" si="94"/>
        <v>8</v>
      </c>
      <c r="AI219" s="225">
        <f t="shared" si="95"/>
        <v>2.3156069229284988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1141">
        <f>IF(t&gt;Tmaj,'2022'!Wh/'2022'!Env_an*'2023'!Env_an,0.001*[9]mois!$B$164)</f>
        <v>25.810298285872996</v>
      </c>
      <c r="C220" s="839"/>
      <c r="D220" s="393">
        <f t="shared" si="77"/>
        <v>27.53271557432716</v>
      </c>
      <c r="E220" s="385">
        <f t="shared" si="75"/>
        <v>28.623382945067728</v>
      </c>
      <c r="F220" s="385">
        <f t="shared" si="78"/>
        <v>28.660661395301716</v>
      </c>
      <c r="G220" s="110">
        <f t="shared" si="76"/>
        <v>0.4968978735101362</v>
      </c>
      <c r="H220" s="414" t="b">
        <f>Wh_hp&gt;='2022'!Maxi_hp</f>
        <v>0</v>
      </c>
      <c r="I220" s="390">
        <f>IF(H220,Wh_hp,'2022'!Maxi_hp)</f>
        <v>56.624993980258836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6.2558932256585292E-2</v>
      </c>
      <c r="M220" s="843"/>
      <c r="N220" s="843"/>
      <c r="O220" s="48">
        <f>IF(t&lt;Tnet,'2022'!Resal+('2022'!Salim-'2022'!Resal)*(1-EXP(('2022'!Tnet-t)/('2022'!Tau_j))),Resal+(Salim-Resal)*(1-EXP((Tnet-t)/(Tau_j))))*Salcycl</f>
        <v>3.8104069418828344E-2</v>
      </c>
      <c r="P220" s="169">
        <f>(INDEX(Models!$BJ220:$BT220,,T220)*(1-R220)+INDEX(Models!$BJ220:$BT220,,T220+1)*R220-ERP_i)*Q220*Ramure*Pc/MaxiM</f>
        <v>4.5859195318627586E-3</v>
      </c>
      <c r="Q220" s="305">
        <f t="shared" si="80"/>
        <v>0.8</v>
      </c>
      <c r="R220" s="177">
        <f t="shared" si="81"/>
        <v>0.11783533694815729</v>
      </c>
      <c r="S220" s="809">
        <f t="shared" si="82"/>
        <v>1</v>
      </c>
      <c r="T220" s="176">
        <f t="shared" si="83"/>
        <v>7</v>
      </c>
      <c r="U220" s="251">
        <f t="shared" si="84"/>
        <v>1.1178353369481573</v>
      </c>
      <c r="V220" s="383">
        <f t="shared" si="85"/>
        <v>51.77199642776386</v>
      </c>
      <c r="W220" s="402">
        <f t="shared" si="86"/>
        <v>25.810298285872996</v>
      </c>
      <c r="X220" s="157">
        <f t="shared" si="87"/>
        <v>45132</v>
      </c>
      <c r="Y220" s="385">
        <f t="shared" si="88"/>
        <v>22.920189581191323</v>
      </c>
      <c r="Z220" s="385">
        <f t="shared" si="89"/>
        <v>24.449739156792273</v>
      </c>
      <c r="AA220" s="386">
        <f t="shared" si="90"/>
        <v>28.56793412476086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0.14415445478079553</v>
      </c>
      <c r="AD220" s="231">
        <f>(INDEX(Models!$BJ220:$BT220,,AH220)*(1-AF220)+INDEX(Models!$BJ220:$BT220,,AH220+1)*AF220-ERP_i)*AE220*Ramure*Pc/MaxiM</f>
        <v>1.1407121230644697E-2</v>
      </c>
      <c r="AE220" s="305">
        <f t="shared" si="92"/>
        <v>0.8</v>
      </c>
      <c r="AF220" s="177">
        <f t="shared" si="93"/>
        <v>0.31855208411306091</v>
      </c>
      <c r="AG220" s="809">
        <f t="shared" si="99"/>
        <v>2</v>
      </c>
      <c r="AH220" s="176">
        <f t="shared" si="94"/>
        <v>8</v>
      </c>
      <c r="AI220" s="225">
        <f t="shared" si="95"/>
        <v>2.3185520841130609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1141">
        <f>IF(t&gt;Tmaj,'2022'!Wh/'2022'!Env_an*'2023'!Env_an,0.001*[9]mois!$B$165)</f>
        <v>52.366154162106135</v>
      </c>
      <c r="C221" s="839"/>
      <c r="D221" s="393">
        <f t="shared" si="77"/>
        <v>55.862071840257485</v>
      </c>
      <c r="E221" s="385">
        <f t="shared" si="75"/>
        <v>58.087672544437581</v>
      </c>
      <c r="F221" s="385">
        <f t="shared" si="78"/>
        <v>58.352794111069464</v>
      </c>
      <c r="G221" s="110">
        <f t="shared" si="76"/>
        <v>1.014639607517938</v>
      </c>
      <c r="H221" s="414" t="b">
        <f>Wh_hp&gt;='2022'!Maxi_hp</f>
        <v>1</v>
      </c>
      <c r="I221" s="390">
        <f>IF(H221,Wh_hp,'2022'!Maxi_hp)</f>
        <v>58.352794111069464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6.2581239166141805E-2</v>
      </c>
      <c r="M221" s="843"/>
      <c r="N221" s="843"/>
      <c r="O221" s="48">
        <f>IF(t&lt;Tnet,'2022'!Resal+('2022'!Salim-'2022'!Resal)*(1-EXP(('2022'!Tnet-t)/('2022'!Tau_j))),Resal+(Salim-Resal)*(1-EXP((Tnet-t)/(Tau_j))))*Salcycl</f>
        <v>3.8314509889813476E-2</v>
      </c>
      <c r="P221" s="169">
        <f>(INDEX(Models!$BJ221:$BT221,,T221)*(1-R221)+INDEX(Models!$BJ221:$BT221,,T221+1)*R221-ERP_i)*Q221*Ramure*Pc/MaxiM</f>
        <v>4.5434253949733546E-3</v>
      </c>
      <c r="Q221" s="305">
        <f t="shared" si="80"/>
        <v>0.8</v>
      </c>
      <c r="R221" s="177">
        <f t="shared" si="81"/>
        <v>0.12069368508158806</v>
      </c>
      <c r="S221" s="809">
        <f t="shared" si="82"/>
        <v>1</v>
      </c>
      <c r="T221" s="176">
        <f t="shared" si="83"/>
        <v>7</v>
      </c>
      <c r="U221" s="251">
        <f t="shared" si="84"/>
        <v>1.1206936850815881</v>
      </c>
      <c r="V221" s="383">
        <f t="shared" si="85"/>
        <v>51.61059530310159</v>
      </c>
      <c r="W221" s="402">
        <f t="shared" si="86"/>
        <v>52.366154162106135</v>
      </c>
      <c r="X221" s="157">
        <f t="shared" si="87"/>
        <v>45133</v>
      </c>
      <c r="Y221" s="385">
        <f t="shared" si="88"/>
        <v>46.279128706750683</v>
      </c>
      <c r="Z221" s="385">
        <f t="shared" si="89"/>
        <v>49.368682002464091</v>
      </c>
      <c r="AA221" s="386">
        <f t="shared" si="90"/>
        <v>57.688407687606961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0.14421832771318063</v>
      </c>
      <c r="AD221" s="231">
        <f>(INDEX(Models!$BJ221:$BT221,,AH221)*(1-AF221)+INDEX(Models!$BJ221:$BT221,,AH221+1)*AF221-ERP_i)*AE221*Ramure*Pc/MaxiM</f>
        <v>1.1385683129378474E-2</v>
      </c>
      <c r="AE221" s="305">
        <f t="shared" si="92"/>
        <v>0.8</v>
      </c>
      <c r="AF221" s="177">
        <f t="shared" si="93"/>
        <v>0.32141043224649168</v>
      </c>
      <c r="AG221" s="809">
        <f t="shared" si="99"/>
        <v>2</v>
      </c>
      <c r="AH221" s="176">
        <f t="shared" si="94"/>
        <v>8</v>
      </c>
      <c r="AI221" s="225">
        <f t="shared" si="95"/>
        <v>2.3214104322464917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1141">
        <f>IF(t&gt;Tmaj,'2022'!Wh/'2022'!Env_an*'2023'!Env_an,0.001*[9]mois!$B$166)</f>
        <v>51.250341198579186</v>
      </c>
      <c r="C222" s="839"/>
      <c r="D222" s="393">
        <f t="shared" si="77"/>
        <v>54.673069175420913</v>
      </c>
      <c r="E222" s="385">
        <f t="shared" si="75"/>
        <v>56.863715444211522</v>
      </c>
      <c r="F222" s="385">
        <f t="shared" si="78"/>
        <v>57.119306840498226</v>
      </c>
      <c r="G222" s="110">
        <f t="shared" si="76"/>
        <v>0.99613024065250788</v>
      </c>
      <c r="H222" s="414" t="b">
        <f>Wh_hp&gt;='2022'!Maxi_hp</f>
        <v>0</v>
      </c>
      <c r="I222" s="390">
        <f>IF(H222,Wh_hp,'2022'!Maxi_hp)</f>
        <v>57.120088666927721</v>
      </c>
      <c r="J222" s="85">
        <f>IF(H222,An,'2022'!An_max)</f>
        <v>2022</v>
      </c>
      <c r="K222" s="197">
        <f t="shared" si="79"/>
        <v>45134</v>
      </c>
      <c r="L222" s="147">
        <f>IF(t&lt;Tvie,1-EXP((T0-t)*PertePVj)+'2022'!Pspv,1-EXP((T0-t)*PertePVj)+Pspv)</f>
        <v>6.2603545556584012E-2</v>
      </c>
      <c r="M222" s="843"/>
      <c r="N222" s="843"/>
      <c r="O222" s="48">
        <f>IF(t&lt;Tnet,'2022'!Resal+('2022'!Salim-'2022'!Resal)*(1-EXP(('2022'!Tnet-t)/('2022'!Tau_j))),Resal+(Salim-Resal)*(1-EXP((Tnet-t)/(Tau_j))))*Salcycl</f>
        <v>3.8524501110727388E-2</v>
      </c>
      <c r="P222" s="169">
        <f>(INDEX(Models!$BJ222:$BT222,,T222)*(1-R222)+INDEX(Models!$BJ222:$BT222,,T222+1)*R222-ERP_i)*Q222*Ramure*Pc/MaxiM</f>
        <v>4.4994083851812618E-3</v>
      </c>
      <c r="Q222" s="305">
        <f t="shared" si="80"/>
        <v>0.8</v>
      </c>
      <c r="R222" s="177">
        <f t="shared" si="81"/>
        <v>0.12346669488754713</v>
      </c>
      <c r="S222" s="809">
        <f t="shared" si="82"/>
        <v>1</v>
      </c>
      <c r="T222" s="176">
        <f t="shared" si="83"/>
        <v>7</v>
      </c>
      <c r="U222" s="251">
        <f t="shared" si="84"/>
        <v>1.1234666948875471</v>
      </c>
      <c r="V222" s="383">
        <f t="shared" si="85"/>
        <v>51.44816086509541</v>
      </c>
      <c r="W222" s="402">
        <f t="shared" si="86"/>
        <v>51.250341198579186</v>
      </c>
      <c r="X222" s="157">
        <f t="shared" si="87"/>
        <v>45134</v>
      </c>
      <c r="Y222" s="385">
        <f t="shared" si="88"/>
        <v>45.299757343880934</v>
      </c>
      <c r="Z222" s="385">
        <f t="shared" si="89"/>
        <v>48.325078603778053</v>
      </c>
      <c r="AA222" s="386">
        <f t="shared" si="90"/>
        <v>56.473103329488687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0.14428151182292048</v>
      </c>
      <c r="AD222" s="231">
        <f>(INDEX(Models!$BJ222:$BT222,,AH222)*(1-AF222)+INDEX(Models!$BJ222:$BT222,,AH222+1)*AF222-ERP_i)*AE222*Ramure*Pc/MaxiM</f>
        <v>1.137570958260465E-2</v>
      </c>
      <c r="AE222" s="305">
        <f t="shared" si="92"/>
        <v>0.8</v>
      </c>
      <c r="AF222" s="177">
        <f t="shared" si="93"/>
        <v>0.32418344205245075</v>
      </c>
      <c r="AG222" s="809">
        <f t="shared" si="99"/>
        <v>2</v>
      </c>
      <c r="AH222" s="176">
        <f t="shared" si="94"/>
        <v>8</v>
      </c>
      <c r="AI222" s="225">
        <f t="shared" si="95"/>
        <v>2.3241834420524508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1141">
        <f>IF(t&gt;Tmaj,'2022'!Wh/'2022'!Env_an*'2023'!Env_an,0.001*[9]mois!$B$167)</f>
        <v>43.310099413847126</v>
      </c>
      <c r="C223" s="839"/>
      <c r="D223" s="393">
        <f t="shared" si="77"/>
        <v>46.203641822022092</v>
      </c>
      <c r="E223" s="385">
        <f t="shared" si="75"/>
        <v>48.06540991422056</v>
      </c>
      <c r="F223" s="385">
        <f t="shared" si="78"/>
        <v>48.232517334384099</v>
      </c>
      <c r="G223" s="110">
        <f t="shared" si="76"/>
        <v>0.8436716753783442</v>
      </c>
      <c r="H223" s="414" t="b">
        <f>Wh_hp&gt;='2022'!Maxi_hp</f>
        <v>0</v>
      </c>
      <c r="I223" s="390">
        <f>IF(H223,Wh_hp,'2022'!Maxi_hp)</f>
        <v>54.720346355997435</v>
      </c>
      <c r="J223" s="85">
        <f>IF(H223,An,'2022'!An_max)</f>
        <v>2019</v>
      </c>
      <c r="K223" s="197">
        <f t="shared" si="79"/>
        <v>45135</v>
      </c>
      <c r="L223" s="147">
        <f>IF(t&lt;Tvie,1-EXP((T0-t)*PertePVj)+'2022'!Pspv,1-EXP((T0-t)*PertePVj)+Pspv)</f>
        <v>6.2625851427923901E-2</v>
      </c>
      <c r="M223" s="843"/>
      <c r="N223" s="843"/>
      <c r="O223" s="48">
        <f>IF(t&lt;Tnet,'2022'!Resal+('2022'!Salim-'2022'!Resal)*(1-EXP(('2022'!Tnet-t)/('2022'!Tau_j))),Resal+(Salim-Resal)*(1-EXP((Tnet-t)/(Tau_j))))*Salcycl</f>
        <v>3.8734052107764302E-2</v>
      </c>
      <c r="P223" s="169">
        <f>(INDEX(Models!$BJ223:$BT223,,T223)*(1-R223)+INDEX(Models!$BJ223:$BT223,,T223+1)*R223-ERP_i)*Q223*Ramure*Pc/MaxiM</f>
        <v>4.4539763377240442E-3</v>
      </c>
      <c r="Q223" s="305">
        <f t="shared" si="80"/>
        <v>0.8</v>
      </c>
      <c r="R223" s="177">
        <f t="shared" si="81"/>
        <v>0.12615589415144512</v>
      </c>
      <c r="S223" s="809">
        <f t="shared" si="82"/>
        <v>1</v>
      </c>
      <c r="T223" s="176">
        <f t="shared" si="83"/>
        <v>7</v>
      </c>
      <c r="U223" s="251">
        <f t="shared" si="84"/>
        <v>1.1261558941514451</v>
      </c>
      <c r="V223" s="383">
        <f t="shared" si="85"/>
        <v>51.284288250427473</v>
      </c>
      <c r="W223" s="402">
        <f t="shared" si="86"/>
        <v>43.310099413847126</v>
      </c>
      <c r="X223" s="157">
        <f t="shared" si="87"/>
        <v>45135</v>
      </c>
      <c r="Y223" s="385">
        <f t="shared" si="88"/>
        <v>38.343464328800877</v>
      </c>
      <c r="Z223" s="385">
        <f t="shared" si="89"/>
        <v>40.905186458587927</v>
      </c>
      <c r="AA223" s="386">
        <f t="shared" si="90"/>
        <v>47.805647096398566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0.14434404839026829</v>
      </c>
      <c r="AD223" s="231">
        <f>(INDEX(Models!$BJ223:$BT223,,AH223)*(1-AF223)+INDEX(Models!$BJ223:$BT223,,AH223+1)*AF223-ERP_i)*AE223*Ramure*Pc/MaxiM</f>
        <v>1.1377531514791569E-2</v>
      </c>
      <c r="AE223" s="305">
        <f t="shared" si="92"/>
        <v>0.8</v>
      </c>
      <c r="AF223" s="177">
        <f t="shared" si="93"/>
        <v>0.3268726413163483</v>
      </c>
      <c r="AG223" s="809">
        <f t="shared" si="99"/>
        <v>2</v>
      </c>
      <c r="AH223" s="176">
        <f t="shared" si="94"/>
        <v>8</v>
      </c>
      <c r="AI223" s="225">
        <f t="shared" si="95"/>
        <v>2.3268726413163483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1141">
        <f>IF(t&gt;Tmaj,'2022'!Wh/'2022'!Env_an*'2023'!Env_an,0.001*[9]mois!$B$168)</f>
        <v>30.013372528791216</v>
      </c>
      <c r="C224" s="839"/>
      <c r="D224" s="393">
        <f t="shared" si="77"/>
        <v>32.019324169347712</v>
      </c>
      <c r="E224" s="385">
        <f t="shared" si="75"/>
        <v>33.316785448649824</v>
      </c>
      <c r="F224" s="385">
        <f t="shared" si="78"/>
        <v>33.377124580568463</v>
      </c>
      <c r="G224" s="110">
        <f t="shared" si="76"/>
        <v>0.58560346204084823</v>
      </c>
      <c r="H224" s="414" t="b">
        <f>Wh_hp&gt;='2022'!Maxi_hp</f>
        <v>0</v>
      </c>
      <c r="I224" s="390">
        <f>IF(H224,Wh_hp,'2022'!Maxi_hp)</f>
        <v>57.337532868317645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6.2648156780173575E-2</v>
      </c>
      <c r="M224" s="843"/>
      <c r="N224" s="843"/>
      <c r="O224" s="48">
        <f>IF(t&lt;Tnet,'2022'!Resal+('2022'!Salim-'2022'!Resal)*(1-EXP(('2022'!Tnet-t)/('2022'!Tau_j))),Resal+(Salim-Resal)*(1-EXP((Tnet-t)/(Tau_j))))*Salcycl</f>
        <v>3.894317119224644E-2</v>
      </c>
      <c r="P224" s="169">
        <f>(INDEX(Models!$BJ224:$BT224,,T224)*(1-R224)+INDEX(Models!$BJ224:$BT224,,T224+1)*R224-ERP_i)*Q224*Ramure*Pc/MaxiM</f>
        <v>4.4072320759447111E-3</v>
      </c>
      <c r="Q224" s="305">
        <f t="shared" si="80"/>
        <v>0.8</v>
      </c>
      <c r="R224" s="177">
        <f t="shared" si="81"/>
        <v>0.12876285695628509</v>
      </c>
      <c r="S224" s="809">
        <f t="shared" si="82"/>
        <v>1</v>
      </c>
      <c r="T224" s="176">
        <f t="shared" si="83"/>
        <v>7</v>
      </c>
      <c r="U224" s="251">
        <f t="shared" si="84"/>
        <v>1.1287628569562851</v>
      </c>
      <c r="V224" s="383">
        <f t="shared" si="85"/>
        <v>51.118573266071579</v>
      </c>
      <c r="W224" s="402">
        <f t="shared" si="86"/>
        <v>30.013372528791216</v>
      </c>
      <c r="X224" s="157">
        <f t="shared" si="87"/>
        <v>45136</v>
      </c>
      <c r="Y224" s="385">
        <f t="shared" si="88"/>
        <v>26.643129409852897</v>
      </c>
      <c r="Z224" s="385">
        <f t="shared" si="89"/>
        <v>28.423829965846227</v>
      </c>
      <c r="AA224" s="386">
        <f t="shared" si="90"/>
        <v>33.221164643165167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0.14440597519226137</v>
      </c>
      <c r="AD224" s="231">
        <f>(INDEX(Models!$BJ224:$BT224,,AH224)*(1-AF224)+INDEX(Models!$BJ224:$BT224,,AH224+1)*AF224-ERP_i)*AE224*Ramure*Pc/MaxiM</f>
        <v>1.1391473772161015E-2</v>
      </c>
      <c r="AE224" s="305">
        <f t="shared" si="92"/>
        <v>0.8</v>
      </c>
      <c r="AF224" s="177">
        <f t="shared" si="93"/>
        <v>0.32947960412118871</v>
      </c>
      <c r="AG224" s="809">
        <f t="shared" si="99"/>
        <v>2</v>
      </c>
      <c r="AH224" s="176">
        <f t="shared" si="94"/>
        <v>8</v>
      </c>
      <c r="AI224" s="225">
        <f t="shared" si="95"/>
        <v>2.3294796041211887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1141">
        <f>IF(t&gt;Tmaj,'2022'!Wh/'2022'!Env_an*'2023'!Env_an,0.001*[9]mois!$B$169)</f>
        <v>47.830707991356093</v>
      </c>
      <c r="C225" s="839"/>
      <c r="D225" s="393">
        <f t="shared" si="77"/>
        <v>51.02870018764478</v>
      </c>
      <c r="E225" s="385">
        <f t="shared" si="75"/>
        <v>53.10797656589066</v>
      </c>
      <c r="F225" s="385">
        <f t="shared" si="78"/>
        <v>53.320080499171155</v>
      </c>
      <c r="G225" s="110">
        <f t="shared" si="76"/>
        <v>0.9384066909646257</v>
      </c>
      <c r="H225" s="414" t="b">
        <f>Wh_hp&gt;='2022'!Maxi_hp</f>
        <v>0</v>
      </c>
      <c r="I225" s="390">
        <f>IF(H225,Wh_hp,'2022'!Maxi_hp)</f>
        <v>53.331314939696405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6.2670461613345135E-2</v>
      </c>
      <c r="M225" s="843"/>
      <c r="N225" s="843"/>
      <c r="O225" s="48">
        <f>IF(t&lt;Tnet,'2022'!Resal+('2022'!Salim-'2022'!Resal)*(1-EXP(('2022'!Tnet-t)/('2022'!Tau_j))),Resal+(Salim-Resal)*(1-EXP((Tnet-t)/(Tau_j))))*Salcycl</f>
        <v>3.9151865928579263E-2</v>
      </c>
      <c r="P225" s="169">
        <f>(INDEX(Models!$BJ225:$BT225,,T225)*(1-R225)+INDEX(Models!$BJ225:$BT225,,T225+1)*R225-ERP_i)*Q225*Ramure*Pc/MaxiM</f>
        <v>4.3592733455354044E-3</v>
      </c>
      <c r="Q225" s="305">
        <f t="shared" si="80"/>
        <v>0.8</v>
      </c>
      <c r="R225" s="177">
        <f t="shared" si="81"/>
        <v>0.13128919721254384</v>
      </c>
      <c r="S225" s="809">
        <f t="shared" si="82"/>
        <v>1</v>
      </c>
      <c r="T225" s="176">
        <f t="shared" si="83"/>
        <v>7</v>
      </c>
      <c r="U225" s="251">
        <f t="shared" si="84"/>
        <v>1.1312891972125438</v>
      </c>
      <c r="V225" s="383">
        <f t="shared" si="85"/>
        <v>50.950612383330558</v>
      </c>
      <c r="W225" s="402">
        <f t="shared" si="86"/>
        <v>47.830707991356093</v>
      </c>
      <c r="X225" s="157">
        <f t="shared" si="87"/>
        <v>45137</v>
      </c>
      <c r="Y225" s="385">
        <f t="shared" si="88"/>
        <v>42.312727712839518</v>
      </c>
      <c r="Z225" s="385">
        <f t="shared" si="89"/>
        <v>45.141784164477301</v>
      </c>
      <c r="AA225" s="386">
        <f t="shared" si="90"/>
        <v>52.764535547768673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0.14446732647519198</v>
      </c>
      <c r="AD225" s="231">
        <f>(INDEX(Models!$BJ225:$BT225,,AH225)*(1-AF225)+INDEX(Models!$BJ225:$BT225,,AH225+1)*AF225-ERP_i)*AE225*Ramure*Pc/MaxiM</f>
        <v>1.1417856620758293E-2</v>
      </c>
      <c r="AE225" s="305">
        <f t="shared" si="92"/>
        <v>0.8</v>
      </c>
      <c r="AF225" s="177">
        <f t="shared" si="93"/>
        <v>0.33200594437744746</v>
      </c>
      <c r="AG225" s="809">
        <f t="shared" si="99"/>
        <v>2</v>
      </c>
      <c r="AH225" s="176">
        <f t="shared" si="94"/>
        <v>8</v>
      </c>
      <c r="AI225" s="225">
        <f t="shared" si="95"/>
        <v>2.3320059443774475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1141">
        <f>IF(t&gt;Tmaj,'2022'!Wh/'2022'!Env_an*'2023'!Env_an,0.001*[9]mois!$B$170)</f>
        <v>48.8718257525721</v>
      </c>
      <c r="C226" s="839"/>
      <c r="D226" s="393">
        <f t="shared" si="77"/>
        <v>52.140668476681491</v>
      </c>
      <c r="E226" s="385">
        <f t="shared" si="75"/>
        <v>54.277019741245766</v>
      </c>
      <c r="F226" s="385">
        <f t="shared" si="78"/>
        <v>54.499416840047509</v>
      </c>
      <c r="G226" s="110">
        <f t="shared" si="76"/>
        <v>0.96220091829432497</v>
      </c>
      <c r="H226" s="414" t="b">
        <f>Wh_hp&gt;='2022'!Maxi_hp</f>
        <v>0</v>
      </c>
      <c r="I226" s="390">
        <f>IF(H226,Wh_hp,'2022'!Maxi_hp)</f>
        <v>55.057825166695693</v>
      </c>
      <c r="J226" s="85">
        <f>IF(H226,An,'2022'!An_max)</f>
        <v>2019</v>
      </c>
      <c r="K226" s="197">
        <f t="shared" si="79"/>
        <v>45138</v>
      </c>
      <c r="L226" s="147">
        <f>IF(t&lt;Tvie,1-EXP((T0-t)*PertePVj)+'2022'!Pspv,1-EXP((T0-t)*PertePVj)+Pspv)</f>
        <v>6.2692765927450572E-2</v>
      </c>
      <c r="M226" s="843"/>
      <c r="N226" s="843"/>
      <c r="O226" s="48">
        <f>IF(t&lt;Tnet,'2022'!Resal+('2022'!Salim-'2022'!Resal)*(1-EXP(('2022'!Tnet-t)/('2022'!Tau_j))),Resal+(Salim-Resal)*(1-EXP((Tnet-t)/(Tau_j))))*Salcycl</f>
        <v>3.9360143109346775E-2</v>
      </c>
      <c r="P226" s="169">
        <f>(INDEX(Models!$BJ226:$BT226,,T226)*(1-R226)+INDEX(Models!$BJ226:$BT226,,T226+1)*R226-ERP_i)*Q226*Ramure*Pc/MaxiM</f>
        <v>4.3121994971456242E-3</v>
      </c>
      <c r="Q226" s="305">
        <f t="shared" si="80"/>
        <v>0.8</v>
      </c>
      <c r="R226" s="177">
        <f t="shared" si="81"/>
        <v>0.13373656249111177</v>
      </c>
      <c r="S226" s="809">
        <f t="shared" si="82"/>
        <v>1</v>
      </c>
      <c r="T226" s="176">
        <f t="shared" si="83"/>
        <v>7</v>
      </c>
      <c r="U226" s="251">
        <f t="shared" si="84"/>
        <v>1.1337365624911118</v>
      </c>
      <c r="V226" s="383">
        <f t="shared" si="85"/>
        <v>50.779900391924421</v>
      </c>
      <c r="W226" s="402">
        <f t="shared" si="86"/>
        <v>48.8718257525721</v>
      </c>
      <c r="X226" s="157">
        <f t="shared" si="87"/>
        <v>45138</v>
      </c>
      <c r="Y226" s="385">
        <f t="shared" si="88"/>
        <v>43.225208889885195</v>
      </c>
      <c r="Z226" s="385">
        <f t="shared" si="89"/>
        <v>46.116371792068641</v>
      </c>
      <c r="AA226" s="386">
        <f t="shared" si="90"/>
        <v>53.907525856208792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0.14452813295349567</v>
      </c>
      <c r="AD226" s="231">
        <f>(INDEX(Models!$BJ226:$BT226,,AH226)*(1-AF226)+INDEX(Models!$BJ226:$BT226,,AH226+1)*AF226-ERP_i)*AE226*Ramure*Pc/MaxiM</f>
        <v>1.1476552601748166E-2</v>
      </c>
      <c r="AE226" s="305">
        <f t="shared" si="92"/>
        <v>0.8</v>
      </c>
      <c r="AF226" s="177">
        <f t="shared" si="93"/>
        <v>0.33445330965601539</v>
      </c>
      <c r="AG226" s="809">
        <f t="shared" si="99"/>
        <v>2</v>
      </c>
      <c r="AH226" s="176">
        <f t="shared" si="94"/>
        <v>8</v>
      </c>
      <c r="AI226" s="225">
        <f t="shared" si="95"/>
        <v>2.3344533096560154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1141">
        <f>IF(t&gt;Tmaj,'2022'!Wh/'2022'!Env_an*'2023'!Env_an,0.001*'[10]mon-tableau (1)'!$B$140)</f>
        <v>48.807674160377452</v>
      </c>
      <c r="C227" s="839"/>
      <c r="D227" s="393">
        <f t="shared" si="77"/>
        <v>52.073465158484062</v>
      </c>
      <c r="E227" s="385">
        <f t="shared" si="75"/>
        <v>54.218794909183316</v>
      </c>
      <c r="F227" s="385">
        <f t="shared" si="78"/>
        <v>54.43930632215104</v>
      </c>
      <c r="G227" s="110">
        <f t="shared" si="76"/>
        <v>0.9642547955034777</v>
      </c>
      <c r="H227" s="414" t="b">
        <f>Wh_hp&gt;='2022'!Maxi_hp</f>
        <v>0</v>
      </c>
      <c r="I227" s="390">
        <f>IF(H227,Wh_hp,'2022'!Maxi_hp)</f>
        <v>54.44583213474823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6.2715069722502098E-2</v>
      </c>
      <c r="M227" s="843"/>
      <c r="N227" s="843"/>
      <c r="O227" s="48">
        <f>IF(t&lt;Tnet,'2022'!Resal+('2022'!Salim-'2022'!Resal)*(1-EXP(('2022'!Tnet-t)/('2022'!Tau_j))),Resal+(Salim-Resal)*(1-EXP((Tnet-t)/(Tau_j))))*Salcycl</f>
        <v>3.9568008737425601E-2</v>
      </c>
      <c r="P227" s="169">
        <f>(INDEX(Models!$BJ227:$BT227,,T227)*(1-R227)+INDEX(Models!$BJ227:$BT227,,T227+1)*R227-ERP_i)*Q227*Ramure*Pc/MaxiM</f>
        <v>4.2672167115040795E-3</v>
      </c>
      <c r="Q227" s="305">
        <f t="shared" si="80"/>
        <v>0.8</v>
      </c>
      <c r="R227" s="177">
        <f t="shared" si="81"/>
        <v>0.13610662816551478</v>
      </c>
      <c r="S227" s="809">
        <f t="shared" si="82"/>
        <v>1</v>
      </c>
      <c r="T227" s="176">
        <f t="shared" si="83"/>
        <v>7</v>
      </c>
      <c r="U227" s="251">
        <f t="shared" si="84"/>
        <v>1.1361066281655148</v>
      </c>
      <c r="V227" s="383">
        <f t="shared" si="85"/>
        <v>50.60597928429241</v>
      </c>
      <c r="W227" s="402">
        <f t="shared" si="86"/>
        <v>48.807674160377452</v>
      </c>
      <c r="X227" s="157">
        <f t="shared" si="87"/>
        <v>45139</v>
      </c>
      <c r="Y227" s="385">
        <f t="shared" si="88"/>
        <v>43.168344521086645</v>
      </c>
      <c r="Z227" s="385">
        <f t="shared" si="89"/>
        <v>46.056799940553809</v>
      </c>
      <c r="AA227" s="386">
        <f t="shared" si="90"/>
        <v>53.841684068953434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0.1445884218337182</v>
      </c>
      <c r="AD227" s="231">
        <f>(INDEX(Models!$BJ227:$BT227,,AH227)*(1-AF227)+INDEX(Models!$BJ227:$BT227,,AH227+1)*AF227-ERP_i)*AE227*Ramure*Pc/MaxiM</f>
        <v>1.156486021149759E-2</v>
      </c>
      <c r="AE227" s="305">
        <f t="shared" si="92"/>
        <v>0.8</v>
      </c>
      <c r="AF227" s="177">
        <f t="shared" si="93"/>
        <v>0.33682337533041817</v>
      </c>
      <c r="AG227" s="809">
        <f t="shared" si="99"/>
        <v>2</v>
      </c>
      <c r="AH227" s="176">
        <f t="shared" si="94"/>
        <v>8</v>
      </c>
      <c r="AI227" s="225">
        <f t="shared" si="95"/>
        <v>2.3368233753304182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1141">
        <f>IF(t&gt;Tmaj,'2022'!Wh/'2022'!Env_an*'2023'!Env_an,0.001*'[10]mon-tableau (1)'!$B$141)</f>
        <v>48.819160668235156</v>
      </c>
      <c r="C228" s="839"/>
      <c r="D228" s="393">
        <f t="shared" si="77"/>
        <v>52.086959686441901</v>
      </c>
      <c r="E228" s="385">
        <f t="shared" si="75"/>
        <v>54.244562549096869</v>
      </c>
      <c r="F228" s="385">
        <f t="shared" si="78"/>
        <v>54.464159486770797</v>
      </c>
      <c r="G228" s="110">
        <f t="shared" si="76"/>
        <v>0.96790061864221366</v>
      </c>
      <c r="H228" s="414" t="b">
        <f>Wh_hp&gt;='2022'!Maxi_hp</f>
        <v>0</v>
      </c>
      <c r="I228" s="390">
        <f>IF(H228,Wh_hp,'2022'!Maxi_hp)</f>
        <v>54.855614137032767</v>
      </c>
      <c r="J228" s="85">
        <f>IF(H228,An,'2022'!An_max)</f>
        <v>2019</v>
      </c>
      <c r="K228" s="197">
        <f t="shared" si="79"/>
        <v>45140</v>
      </c>
      <c r="L228" s="147">
        <f>IF(t&lt;Tvie,1-EXP((T0-t)*PertePVj)+'2022'!Pspv,1-EXP((T0-t)*PertePVj)+Pspv)</f>
        <v>6.2737372998511703E-2</v>
      </c>
      <c r="M228" s="843"/>
      <c r="N228" s="843"/>
      <c r="O228" s="48">
        <f>IF(t&lt;Tnet,'2022'!Resal+('2022'!Salim-'2022'!Resal)*(1-EXP(('2022'!Tnet-t)/('2022'!Tau_j))),Resal+(Salim-Resal)*(1-EXP((Tnet-t)/(Tau_j))))*Salcycl</f>
        <v>3.9775468014920719E-2</v>
      </c>
      <c r="P228" s="169">
        <f>(INDEX(Models!$BJ228:$BT228,,T228)*(1-R228)+INDEX(Models!$BJ228:$BT228,,T228+1)*R228-ERP_i)*Q228*Ramure*Pc/MaxiM</f>
        <v>4.2245451878154105E-3</v>
      </c>
      <c r="Q228" s="305">
        <f t="shared" si="80"/>
        <v>0.8</v>
      </c>
      <c r="R228" s="177">
        <f t="shared" si="81"/>
        <v>0.13840109186707883</v>
      </c>
      <c r="S228" s="809">
        <f t="shared" si="82"/>
        <v>1</v>
      </c>
      <c r="T228" s="176">
        <f t="shared" si="83"/>
        <v>7</v>
      </c>
      <c r="U228" s="251">
        <f t="shared" si="84"/>
        <v>1.1384010918670788</v>
      </c>
      <c r="V228" s="383">
        <f t="shared" si="85"/>
        <v>50.42844222053359</v>
      </c>
      <c r="W228" s="402">
        <f t="shared" si="86"/>
        <v>48.819160668235156</v>
      </c>
      <c r="X228" s="157">
        <f t="shared" si="87"/>
        <v>45140</v>
      </c>
      <c r="Y228" s="385">
        <f t="shared" si="88"/>
        <v>43.176458911417676</v>
      </c>
      <c r="Z228" s="385">
        <f t="shared" si="89"/>
        <v>46.066553458499435</v>
      </c>
      <c r="AA228" s="386">
        <f t="shared" si="90"/>
        <v>53.856850908168745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0.14464821686200216</v>
      </c>
      <c r="AD228" s="231">
        <f>(INDEX(Models!$BJ228:$BT228,,AH228)*(1-AF228)+INDEX(Models!$BJ228:$BT228,,AH228+1)*AF228-ERP_i)*AE228*Ramure*Pc/MaxiM</f>
        <v>1.1683234567969863E-2</v>
      </c>
      <c r="AE228" s="305">
        <f t="shared" si="92"/>
        <v>0.8</v>
      </c>
      <c r="AF228" s="177">
        <f t="shared" si="93"/>
        <v>0.33911783903198245</v>
      </c>
      <c r="AG228" s="809">
        <f t="shared" si="99"/>
        <v>2</v>
      </c>
      <c r="AH228" s="176">
        <f t="shared" si="94"/>
        <v>8</v>
      </c>
      <c r="AI228" s="225">
        <f t="shared" si="95"/>
        <v>2.3391178390319824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1141">
        <f>IF(t&gt;Tmaj,'2022'!Wh/'2022'!Env_an*'2023'!Env_an,0.001*'[10]mon-tableau (1)'!$B$142)</f>
        <v>45.550978769722036</v>
      </c>
      <c r="C229" s="839"/>
      <c r="D229" s="393">
        <f t="shared" si="77"/>
        <v>48.601172603664708</v>
      </c>
      <c r="E229" s="385">
        <f t="shared" si="75"/>
        <v>50.625299941346434</v>
      </c>
      <c r="F229" s="385">
        <f t="shared" si="78"/>
        <v>50.809522033985651</v>
      </c>
      <c r="G229" s="110">
        <f t="shared" si="76"/>
        <v>0.90603507645858494</v>
      </c>
      <c r="H229" s="414" t="b">
        <f>Wh_hp&gt;='2022'!Maxi_hp</f>
        <v>0</v>
      </c>
      <c r="I229" s="390">
        <f>IF(H229,Wh_hp,'2022'!Maxi_hp)</f>
        <v>54.652362848660495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6.275967575549149E-2</v>
      </c>
      <c r="M229" s="843"/>
      <c r="N229" s="843"/>
      <c r="O229" s="48">
        <f>IF(t&lt;Tnet,'2022'!Resal+('2022'!Salim-'2022'!Resal)*(1-EXP(('2022'!Tnet-t)/('2022'!Tau_j))),Resal+(Salim-Resal)*(1-EXP((Tnet-t)/(Tau_j))))*Salcycl</f>
        <v>3.9982525338651764E-2</v>
      </c>
      <c r="P229" s="169">
        <f>(INDEX(Models!$BJ229:$BT229,,T229)*(1-R229)+INDEX(Models!$BJ229:$BT229,,T229+1)*R229-ERP_i)*Q229*Ramure*Pc/MaxiM</f>
        <v>4.1843960641072412E-3</v>
      </c>
      <c r="Q229" s="305">
        <f t="shared" si="80"/>
        <v>0.8</v>
      </c>
      <c r="R229" s="177">
        <f t="shared" si="81"/>
        <v>0.14062166825434641</v>
      </c>
      <c r="S229" s="809">
        <f t="shared" si="82"/>
        <v>1</v>
      </c>
      <c r="T229" s="176">
        <f t="shared" si="83"/>
        <v>7</v>
      </c>
      <c r="U229" s="251">
        <f t="shared" si="84"/>
        <v>1.1406216682543464</v>
      </c>
      <c r="V229" s="383">
        <f t="shared" si="85"/>
        <v>50.246883370801498</v>
      </c>
      <c r="W229" s="402">
        <f t="shared" si="86"/>
        <v>45.550978769722036</v>
      </c>
      <c r="X229" s="157">
        <f t="shared" si="87"/>
        <v>45141</v>
      </c>
      <c r="Y229" s="385">
        <f t="shared" si="88"/>
        <v>40.312075538775694</v>
      </c>
      <c r="Z229" s="385">
        <f t="shared" si="89"/>
        <v>43.011460877198694</v>
      </c>
      <c r="AA229" s="386">
        <f t="shared" si="90"/>
        <v>50.288600458844172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0.144707538393339</v>
      </c>
      <c r="AD229" s="231">
        <f>(INDEX(Models!$BJ229:$BT229,,AH229)*(1-AF229)+INDEX(Models!$BJ229:$BT229,,AH229+1)*AF229-ERP_i)*AE229*Ramure*Pc/MaxiM</f>
        <v>1.1832143243532711E-2</v>
      </c>
      <c r="AE229" s="305">
        <f t="shared" si="92"/>
        <v>0.8</v>
      </c>
      <c r="AF229" s="177">
        <f t="shared" si="93"/>
        <v>0.34133841541925003</v>
      </c>
      <c r="AG229" s="809">
        <f t="shared" si="99"/>
        <v>2</v>
      </c>
      <c r="AH229" s="176">
        <f t="shared" si="94"/>
        <v>8</v>
      </c>
      <c r="AI229" s="225">
        <f t="shared" si="95"/>
        <v>2.34133841541925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1141">
        <f>IF(t&gt;Tmaj,'2022'!Wh/'2022'!Env_an*'2023'!Env_an,0.001*'[10]mon-tableau (1)'!$B$143)</f>
        <v>45.03815330631744</v>
      </c>
      <c r="C230" s="839"/>
      <c r="D230" s="393">
        <f t="shared" si="77"/>
        <v>48.055150721379157</v>
      </c>
      <c r="E230" s="385">
        <f t="shared" si="75"/>
        <v>50.06731528277755</v>
      </c>
      <c r="F230" s="385">
        <f t="shared" si="78"/>
        <v>50.245817395720465</v>
      </c>
      <c r="G230" s="110">
        <f t="shared" si="76"/>
        <v>0.89913064446890145</v>
      </c>
      <c r="H230" s="414" t="b">
        <f>Wh_hp&gt;='2022'!Maxi_hp</f>
        <v>0</v>
      </c>
      <c r="I230" s="390">
        <f>IF(H230,Wh_hp,'2022'!Maxi_hp)</f>
        <v>51.450131759098554</v>
      </c>
      <c r="J230" s="85">
        <f>IF(H230,An,'2022'!An_max)</f>
        <v>2019</v>
      </c>
      <c r="K230" s="197">
        <f t="shared" si="79"/>
        <v>45142</v>
      </c>
      <c r="L230" s="147">
        <f>IF(t&lt;Tvie,1-EXP((T0-t)*PertePVj)+'2022'!Pspv,1-EXP((T0-t)*PertePVj)+Pspv)</f>
        <v>6.2781977993453558E-2</v>
      </c>
      <c r="M230" s="843"/>
      <c r="N230" s="843"/>
      <c r="O230" s="48">
        <f>IF(t&lt;Tnet,'2022'!Resal+('2022'!Salim-'2022'!Resal)*(1-EXP(('2022'!Tnet-t)/('2022'!Tau_j))),Resal+(Salim-Resal)*(1-EXP((Tnet-t)/(Tau_j))))*Salcycl</f>
        <v>4.0189184301850221E-2</v>
      </c>
      <c r="P230" s="169">
        <f>(INDEX(Models!$BJ230:$BT230,,T230)*(1-R230)+INDEX(Models!$BJ230:$BT230,,T230+1)*R230-ERP_i)*Q230*Ramure*Pc/MaxiM</f>
        <v>4.1469720814628084E-3</v>
      </c>
      <c r="Q230" s="305">
        <f t="shared" si="80"/>
        <v>0.8</v>
      </c>
      <c r="R230" s="177">
        <f t="shared" si="81"/>
        <v>0.1427700840959587</v>
      </c>
      <c r="S230" s="809">
        <f t="shared" si="82"/>
        <v>1</v>
      </c>
      <c r="T230" s="176">
        <f t="shared" si="83"/>
        <v>7</v>
      </c>
      <c r="U230" s="251">
        <f t="shared" si="84"/>
        <v>1.1427700840959587</v>
      </c>
      <c r="V230" s="383">
        <f t="shared" si="85"/>
        <v>50.060897894198519</v>
      </c>
      <c r="W230" s="402">
        <f t="shared" si="86"/>
        <v>45.03815330631744</v>
      </c>
      <c r="X230" s="157">
        <f t="shared" si="87"/>
        <v>45142</v>
      </c>
      <c r="Y230" s="385">
        <f t="shared" si="88"/>
        <v>39.859615445643868</v>
      </c>
      <c r="Z230" s="385">
        <f t="shared" si="89"/>
        <v>42.52971508198916</v>
      </c>
      <c r="AA230" s="386">
        <f t="shared" si="90"/>
        <v>49.728770309162066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0.14476640348065373</v>
      </c>
      <c r="AD230" s="231">
        <f>(INDEX(Models!$BJ230:$BT230,,AH230)*(1-AF230)+INDEX(Models!$BJ230:$BT230,,AH230+1)*AF230-ERP_i)*AE230*Ramure*Pc/MaxiM</f>
        <v>1.2012069758776547E-2</v>
      </c>
      <c r="AE230" s="305">
        <f t="shared" si="92"/>
        <v>0.8</v>
      </c>
      <c r="AF230" s="177">
        <f t="shared" si="93"/>
        <v>0.34348683126086232</v>
      </c>
      <c r="AG230" s="809">
        <f t="shared" si="99"/>
        <v>2</v>
      </c>
      <c r="AH230" s="176">
        <f t="shared" si="94"/>
        <v>8</v>
      </c>
      <c r="AI230" s="225">
        <f t="shared" si="95"/>
        <v>2.3434868312608623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1141">
        <f>IF(t&gt;Tmaj,'2022'!Wh/'2022'!Env_an*'2023'!Env_an,0.001*'[10]mon-tableau (1)'!$B$144)</f>
        <v>42.89419520364217</v>
      </c>
      <c r="C231" s="839"/>
      <c r="D231" s="393">
        <f t="shared" si="77"/>
        <v>45.768663124581444</v>
      </c>
      <c r="E231" s="385">
        <f t="shared" si="75"/>
        <v>47.695337641908303</v>
      </c>
      <c r="F231" s="385">
        <f t="shared" si="78"/>
        <v>47.852805557937259</v>
      </c>
      <c r="G231" s="110">
        <f t="shared" si="76"/>
        <v>0.85940962837904578</v>
      </c>
      <c r="H231" s="414" t="b">
        <f>Wh_hp&gt;='2022'!Maxi_hp</f>
        <v>0</v>
      </c>
      <c r="I231" s="390">
        <f>IF(H231,Wh_hp,'2022'!Maxi_hp)</f>
        <v>55.321706068538063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6.2804279712410011E-2</v>
      </c>
      <c r="M231" s="843"/>
      <c r="N231" s="843"/>
      <c r="O231" s="48">
        <f>IF(t&lt;Tnet,'2022'!Resal+('2022'!Salim-'2022'!Resal)*(1-EXP(('2022'!Tnet-t)/('2022'!Tau_j))),Resal+(Salim-Resal)*(1-EXP((Tnet-t)/(Tau_j))))*Salcycl</f>
        <v>4.0395447701662826E-2</v>
      </c>
      <c r="P231" s="169">
        <f>(INDEX(Models!$BJ231:$BT231,,T231)*(1-R231)+INDEX(Models!$BJ231:$BT231,,T231+1)*R231-ERP_i)*Q231*Ramure*Pc/MaxiM</f>
        <v>4.1124682886741048E-3</v>
      </c>
      <c r="Q231" s="305">
        <f t="shared" si="80"/>
        <v>0.8</v>
      </c>
      <c r="R231" s="177">
        <f t="shared" si="81"/>
        <v>0.14484807366432939</v>
      </c>
      <c r="S231" s="809">
        <f t="shared" si="82"/>
        <v>1</v>
      </c>
      <c r="T231" s="176">
        <f t="shared" si="83"/>
        <v>7</v>
      </c>
      <c r="U231" s="251">
        <f t="shared" si="84"/>
        <v>1.1448480736643294</v>
      </c>
      <c r="V231" s="383">
        <f t="shared" si="85"/>
        <v>49.870081906918784</v>
      </c>
      <c r="W231" s="402">
        <f t="shared" si="86"/>
        <v>42.89419520364217</v>
      </c>
      <c r="X231" s="157">
        <f t="shared" si="87"/>
        <v>45143</v>
      </c>
      <c r="Y231" s="385">
        <f t="shared" si="88"/>
        <v>37.977300468246519</v>
      </c>
      <c r="Z231" s="385">
        <f t="shared" si="89"/>
        <v>40.522272611949951</v>
      </c>
      <c r="AA231" s="386">
        <f t="shared" si="90"/>
        <v>47.384762611314869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0.14482482598163826</v>
      </c>
      <c r="AD231" s="231">
        <f>(INDEX(Models!$BJ231:$BT231,,AH231)*(1-AF231)+INDEX(Models!$BJ231:$BT231,,AH231+1)*AF231-ERP_i)*AE231*Ramure*Pc/MaxiM</f>
        <v>1.2223517172655138E-2</v>
      </c>
      <c r="AE231" s="305">
        <f t="shared" si="92"/>
        <v>0.8</v>
      </c>
      <c r="AF231" s="177">
        <f t="shared" si="93"/>
        <v>0.34556482082923301</v>
      </c>
      <c r="AG231" s="809">
        <f t="shared" si="99"/>
        <v>2</v>
      </c>
      <c r="AH231" s="176">
        <f t="shared" si="94"/>
        <v>8</v>
      </c>
      <c r="AI231" s="225">
        <f t="shared" si="95"/>
        <v>2.345564820829233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1141">
        <f>IF(t&gt;Tmaj,'2022'!Wh/'2022'!Env_an*'2023'!Env_an,0.001*'[10]mon-tableau (1)'!$B$145)</f>
        <v>44.042033575082975</v>
      </c>
      <c r="C232" s="839"/>
      <c r="D232" s="393">
        <f t="shared" si="77"/>
        <v>46.994539834430554</v>
      </c>
      <c r="E232" s="385">
        <f t="shared" si="75"/>
        <v>48.983327467700164</v>
      </c>
      <c r="F232" s="385">
        <f t="shared" si="78"/>
        <v>49.151428332664125</v>
      </c>
      <c r="G232" s="110">
        <f t="shared" si="76"/>
        <v>0.88603278555091747</v>
      </c>
      <c r="H232" s="414" t="b">
        <f>Wh_hp&gt;='2022'!Maxi_hp</f>
        <v>0</v>
      </c>
      <c r="I232" s="390">
        <f>IF(H232,Wh_hp,'2022'!Maxi_hp)</f>
        <v>54.962682458177952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6.2826580912372837E-2</v>
      </c>
      <c r="M232" s="843"/>
      <c r="N232" s="843"/>
      <c r="O232" s="48">
        <f>IF(t&lt;Tnet,'2022'!Resal+('2022'!Salim-'2022'!Resal)*(1-EXP(('2022'!Tnet-t)/('2022'!Tau_j))),Resal+(Salim-Resal)*(1-EXP((Tnet-t)/(Tau_j))))*Salcycl</f>
        <v>4.0601317551998091E-2</v>
      </c>
      <c r="P232" s="169">
        <f>(INDEX(Models!$BJ232:$BT232,,T232)*(1-R232)+INDEX(Models!$BJ232:$BT232,,T232+1)*R232-ERP_i)*Q232*Ramure*Pc/MaxiM</f>
        <v>4.0810727817870932E-3</v>
      </c>
      <c r="Q232" s="305">
        <f t="shared" si="80"/>
        <v>0.8</v>
      </c>
      <c r="R232" s="177">
        <f t="shared" si="81"/>
        <v>0.1468573744357673</v>
      </c>
      <c r="S232" s="809">
        <f t="shared" si="82"/>
        <v>1</v>
      </c>
      <c r="T232" s="176">
        <f t="shared" si="83"/>
        <v>7</v>
      </c>
      <c r="U232" s="251">
        <f t="shared" si="84"/>
        <v>1.1468573744357673</v>
      </c>
      <c r="V232" s="383">
        <f t="shared" si="85"/>
        <v>49.674032457794873</v>
      </c>
      <c r="W232" s="402">
        <f t="shared" si="86"/>
        <v>44.042033575082975</v>
      </c>
      <c r="X232" s="157">
        <f t="shared" si="87"/>
        <v>45144</v>
      </c>
      <c r="Y232" s="385">
        <f t="shared" si="88"/>
        <v>38.978083281421782</v>
      </c>
      <c r="Z232" s="385">
        <f t="shared" si="89"/>
        <v>41.591110553869932</v>
      </c>
      <c r="AA232" s="386">
        <f t="shared" si="90"/>
        <v>48.637907605185461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0.14488281668112393</v>
      </c>
      <c r="AD232" s="231">
        <f>(INDEX(Models!$BJ232:$BT232,,AH232)*(1-AF232)+INDEX(Models!$BJ232:$BT232,,AH232+1)*AF232-ERP_i)*AE232*Ramure*Pc/MaxiM</f>
        <v>1.2467011780373582E-2</v>
      </c>
      <c r="AE232" s="305">
        <f t="shared" si="92"/>
        <v>0.8</v>
      </c>
      <c r="AF232" s="177">
        <f t="shared" si="93"/>
        <v>0.34757412160067069</v>
      </c>
      <c r="AG232" s="809">
        <f t="shared" si="99"/>
        <v>2</v>
      </c>
      <c r="AH232" s="176">
        <f t="shared" si="94"/>
        <v>8</v>
      </c>
      <c r="AI232" s="225">
        <f t="shared" si="95"/>
        <v>2.3475741216006707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1141">
        <f>IF(t&gt;Tmaj,'2022'!Wh/'2022'!Env_an*'2023'!Env_an,0.001*'[10]mon-tableau (1)'!$B$146)</f>
        <v>46.68051823149451</v>
      </c>
      <c r="C233" s="839"/>
      <c r="D233" s="393">
        <f t="shared" si="77"/>
        <v>49.811089497349386</v>
      </c>
      <c r="E233" s="385">
        <f t="shared" ref="E233:E296" si="100">Wh_pvt/(1-Psa)</f>
        <v>51.930194295532658</v>
      </c>
      <c r="F233" s="385">
        <f t="shared" si="78"/>
        <v>52.124409996744667</v>
      </c>
      <c r="G233" s="110">
        <f t="shared" ref="G233:G296" si="101">+Wh_hp/MaxiM</f>
        <v>0.94323514845383638</v>
      </c>
      <c r="H233" s="414" t="b">
        <f>Wh_hp&gt;='2022'!Maxi_hp</f>
        <v>0</v>
      </c>
      <c r="I233" s="390">
        <f>IF(H233,Wh_hp,'2022'!Maxi_hp)</f>
        <v>52.959519523212762</v>
      </c>
      <c r="J233" s="85">
        <f>IF(H233,An,'2022'!An_max)</f>
        <v>2020</v>
      </c>
      <c r="K233" s="197">
        <f t="shared" si="79"/>
        <v>45145</v>
      </c>
      <c r="L233" s="147">
        <f>IF(t&lt;Tvie,1-EXP((T0-t)*PertePVj)+'2022'!Pspv,1-EXP((T0-t)*PertePVj)+Pspv)</f>
        <v>6.2848881593354139E-2</v>
      </c>
      <c r="M233" s="843"/>
      <c r="N233" s="843"/>
      <c r="O233" s="48">
        <f>IF(t&lt;Tnet,'2022'!Resal+('2022'!Salim-'2022'!Resal)*(1-EXP(('2022'!Tnet-t)/('2022'!Tau_j))),Resal+(Salim-Resal)*(1-EXP((Tnet-t)/(Tau_j))))*Salcycl</f>
        <v>4.0806795101199306E-2</v>
      </c>
      <c r="P233" s="169">
        <f>(INDEX(Models!$BJ233:$BT233,,T233)*(1-R233)+INDEX(Models!$BJ233:$BT233,,T233+1)*R233-ERP_i)*Q233*Ramure*Pc/MaxiM</f>
        <v>4.052868357725759E-3</v>
      </c>
      <c r="Q233" s="305">
        <f t="shared" si="80"/>
        <v>0.8</v>
      </c>
      <c r="R233" s="177">
        <f t="shared" si="81"/>
        <v>0.14879972309124367</v>
      </c>
      <c r="S233" s="809">
        <f t="shared" si="82"/>
        <v>1</v>
      </c>
      <c r="T233" s="176">
        <f t="shared" si="83"/>
        <v>7</v>
      </c>
      <c r="U233" s="251">
        <f t="shared" si="84"/>
        <v>1.1487997230912437</v>
      </c>
      <c r="V233" s="383">
        <f t="shared" si="85"/>
        <v>49.473562337760079</v>
      </c>
      <c r="W233" s="402">
        <f t="shared" si="86"/>
        <v>46.68051823149451</v>
      </c>
      <c r="X233" s="157">
        <f t="shared" si="87"/>
        <v>45145</v>
      </c>
      <c r="Y233" s="385">
        <f t="shared" si="88"/>
        <v>41.279016626445149</v>
      </c>
      <c r="Z233" s="385">
        <f t="shared" si="89"/>
        <v>44.047342862513105</v>
      </c>
      <c r="AA233" s="386">
        <f t="shared" si="90"/>
        <v>51.513768173305074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0.14494038342668045</v>
      </c>
      <c r="AD233" s="231">
        <f>(INDEX(Models!$BJ233:$BT233,,AH233)*(1-AF233)+INDEX(Models!$BJ233:$BT233,,AH233+1)*AF233-ERP_i)*AE233*Ramure*Pc/MaxiM</f>
        <v>1.274279529758888E-2</v>
      </c>
      <c r="AE233" s="305">
        <f t="shared" si="92"/>
        <v>0.8</v>
      </c>
      <c r="AF233" s="177">
        <f t="shared" si="93"/>
        <v>0.34951647025614729</v>
      </c>
      <c r="AG233" s="809">
        <f t="shared" si="99"/>
        <v>2</v>
      </c>
      <c r="AH233" s="176">
        <f t="shared" si="94"/>
        <v>8</v>
      </c>
      <c r="AI233" s="225">
        <f t="shared" si="95"/>
        <v>2.3495164702561473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1141">
        <f>IF(t&gt;Tmaj,'2022'!Wh/'2022'!Env_an*'2023'!Env_an,0.001*'[10]mon-tableau (1)'!$B$147)</f>
        <v>46.317267576011879</v>
      </c>
      <c r="C234" s="839"/>
      <c r="D234" s="393">
        <f t="shared" si="77"/>
        <v>49.424653979556659</v>
      </c>
      <c r="E234" s="385">
        <f t="shared" si="100"/>
        <v>51.538338163740242</v>
      </c>
      <c r="F234" s="385">
        <f t="shared" si="78"/>
        <v>51.729280789890076</v>
      </c>
      <c r="G234" s="110">
        <f t="shared" si="101"/>
        <v>0.9397586923356126</v>
      </c>
      <c r="H234" s="414" t="b">
        <f>Wh_hp&gt;='2022'!Maxi_hp</f>
        <v>0</v>
      </c>
      <c r="I234" s="390">
        <f>IF(H234,Wh_hp,'2022'!Maxi_hp)</f>
        <v>52.507741008384137</v>
      </c>
      <c r="J234" s="85">
        <f>IF(H234,An,'2022'!An_max)</f>
        <v>2019</v>
      </c>
      <c r="K234" s="197">
        <f t="shared" si="79"/>
        <v>45146</v>
      </c>
      <c r="L234" s="147">
        <f>IF(t&lt;Tvie,1-EXP((T0-t)*PertePVj)+'2022'!Pspv,1-EXP((T0-t)*PertePVj)+Pspv)</f>
        <v>6.2871181755366018E-2</v>
      </c>
      <c r="M234" s="843"/>
      <c r="N234" s="843"/>
      <c r="O234" s="48">
        <f>IF(t&lt;Tnet,'2022'!Resal+('2022'!Salim-'2022'!Resal)*(1-EXP(('2022'!Tnet-t)/('2022'!Tau_j))),Resal+(Salim-Resal)*(1-EXP((Tnet-t)/(Tau_j))))*Salcycl</f>
        <v>4.1011880853982642E-2</v>
      </c>
      <c r="P234" s="169">
        <f>(INDEX(Models!$BJ234:$BT234,,T234)*(1-R234)+INDEX(Models!$BJ234:$BT234,,T234+1)*R234-ERP_i)*Q234*Ramure*Pc/MaxiM</f>
        <v>4.0367052427419383E-3</v>
      </c>
      <c r="Q234" s="305">
        <f t="shared" si="80"/>
        <v>0.8</v>
      </c>
      <c r="R234" s="177">
        <f t="shared" si="81"/>
        <v>0.1506768518107493</v>
      </c>
      <c r="S234" s="809">
        <f t="shared" si="82"/>
        <v>1</v>
      </c>
      <c r="T234" s="176">
        <f t="shared" si="83"/>
        <v>7</v>
      </c>
      <c r="U234" s="251">
        <f t="shared" si="84"/>
        <v>1.1506768518107493</v>
      </c>
      <c r="V234" s="383">
        <f t="shared" si="85"/>
        <v>49.269248969404259</v>
      </c>
      <c r="W234" s="402">
        <f t="shared" si="86"/>
        <v>46.317267576011879</v>
      </c>
      <c r="X234" s="157">
        <f t="shared" si="87"/>
        <v>45146</v>
      </c>
      <c r="Y234" s="385">
        <f t="shared" si="88"/>
        <v>40.952557072217722</v>
      </c>
      <c r="Z234" s="385">
        <f t="shared" si="89"/>
        <v>43.700029574298298</v>
      </c>
      <c r="AA234" s="386">
        <f t="shared" si="90"/>
        <v>51.110998123160776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0.14499753127505888</v>
      </c>
      <c r="AD234" s="231">
        <f>(INDEX(Models!$BJ234:$BT234,,AH234)*(1-AF234)+INDEX(Models!$BJ234:$BT234,,AH234+1)*AF234-ERP_i)*AE234*Ramure*Pc/MaxiM</f>
        <v>1.3071072356175424E-2</v>
      </c>
      <c r="AE234" s="305">
        <f t="shared" si="92"/>
        <v>0.8</v>
      </c>
      <c r="AF234" s="177">
        <f t="shared" si="93"/>
        <v>0.35139359897565292</v>
      </c>
      <c r="AG234" s="809">
        <f t="shared" si="99"/>
        <v>2</v>
      </c>
      <c r="AH234" s="176">
        <f t="shared" si="94"/>
        <v>8</v>
      </c>
      <c r="AI234" s="225">
        <f t="shared" si="95"/>
        <v>2.3513935989756529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1141">
        <f>IF(t&gt;Tmaj,'2022'!Wh/'2022'!Env_an*'2023'!Env_an,0.001*'[10]mon-tableau (1)'!$B$148)</f>
        <v>45.477785192470108</v>
      </c>
      <c r="C235" s="839"/>
      <c r="D235" s="393">
        <f t="shared" si="77"/>
        <v>48.53000623700224</v>
      </c>
      <c r="E235" s="385">
        <f t="shared" si="100"/>
        <v>50.616234022408015</v>
      </c>
      <c r="F235" s="385">
        <f t="shared" si="78"/>
        <v>50.799693042060845</v>
      </c>
      <c r="G235" s="110">
        <f t="shared" si="101"/>
        <v>0.92657222577828136</v>
      </c>
      <c r="H235" s="414" t="b">
        <f>Wh_hp&gt;='2022'!Maxi_hp</f>
        <v>0</v>
      </c>
      <c r="I235" s="390">
        <f>IF(H235,Wh_hp,'2022'!Maxi_hp)</f>
        <v>52.165063941951729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6.2893481398420575E-2</v>
      </c>
      <c r="M235" s="843"/>
      <c r="N235" s="843"/>
      <c r="O235" s="48">
        <f>IF(t&lt;Tnet,'2022'!Resal+('2022'!Salim-'2022'!Resal)*(1-EXP(('2022'!Tnet-t)/('2022'!Tau_j))),Resal+(Salim-Resal)*(1-EXP((Tnet-t)/(Tau_j))))*Salcycl</f>
        <v>4.121657459703916E-2</v>
      </c>
      <c r="P235" s="169">
        <f>(INDEX(Models!$BJ235:$BT235,,T235)*(1-R235)+INDEX(Models!$BJ235:$BT235,,T235+1)*R235-ERP_i)*Q235*Ramure*Pc/MaxiM</f>
        <v>4.032122171278768E-3</v>
      </c>
      <c r="Q235" s="305">
        <f t="shared" si="80"/>
        <v>0.8</v>
      </c>
      <c r="R235" s="177">
        <f t="shared" si="81"/>
        <v>0.15249048485310324</v>
      </c>
      <c r="S235" s="809">
        <f t="shared" si="82"/>
        <v>1</v>
      </c>
      <c r="T235" s="176">
        <f t="shared" si="83"/>
        <v>7</v>
      </c>
      <c r="U235" s="251">
        <f t="shared" si="84"/>
        <v>1.1524904848531032</v>
      </c>
      <c r="V235" s="383">
        <f t="shared" si="85"/>
        <v>49.061025111138761</v>
      </c>
      <c r="W235" s="402">
        <f t="shared" si="86"/>
        <v>45.477785192470108</v>
      </c>
      <c r="X235" s="157">
        <f t="shared" si="87"/>
        <v>45147</v>
      </c>
      <c r="Y235" s="385">
        <f t="shared" si="88"/>
        <v>40.209379629796658</v>
      </c>
      <c r="Z235" s="385">
        <f t="shared" si="89"/>
        <v>42.908014010829959</v>
      </c>
      <c r="AA235" s="386">
        <f t="shared" si="90"/>
        <v>50.187996894025204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0.14505426264704963</v>
      </c>
      <c r="AD235" s="231">
        <f>(INDEX(Models!$BJ235:$BT235,,AH235)*(1-AF235)+INDEX(Models!$BJ235:$BT235,,AH235+1)*AF235-ERP_i)*AE235*Ramure*Pc/MaxiM</f>
        <v>1.3444057453526833E-2</v>
      </c>
      <c r="AE235" s="305">
        <f t="shared" si="92"/>
        <v>0.8</v>
      </c>
      <c r="AF235" s="177">
        <f t="shared" si="93"/>
        <v>0.35320723201800686</v>
      </c>
      <c r="AG235" s="809">
        <f t="shared" si="99"/>
        <v>2</v>
      </c>
      <c r="AH235" s="176">
        <f t="shared" si="94"/>
        <v>8</v>
      </c>
      <c r="AI235" s="225">
        <f t="shared" si="95"/>
        <v>2.3532072320180069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1141">
        <f>IF(t&gt;Tmaj,'2022'!Wh/'2022'!Env_an*'2023'!Env_an,0.001*'[10]mon-tableau (1)'!$B$149)</f>
        <v>42.468872677502503</v>
      </c>
      <c r="C236" s="839"/>
      <c r="D236" s="393">
        <f t="shared" si="77"/>
        <v>45.32023034299273</v>
      </c>
      <c r="E236" s="385">
        <f t="shared" si="100"/>
        <v>47.278549241526996</v>
      </c>
      <c r="F236" s="385">
        <f t="shared" si="78"/>
        <v>47.434403609030809</v>
      </c>
      <c r="G236" s="110">
        <f t="shared" si="101"/>
        <v>0.86873718134727607</v>
      </c>
      <c r="H236" s="414" t="b">
        <f>Wh_hp&gt;='2022'!Maxi_hp</f>
        <v>0</v>
      </c>
      <c r="I236" s="390">
        <f>IF(H236,Wh_hp,'2022'!Maxi_hp)</f>
        <v>48.556121526495438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6.2915780522529802E-2</v>
      </c>
      <c r="M236" s="843"/>
      <c r="N236" s="843"/>
      <c r="O236" s="48">
        <f>IF(t&lt;Tnet,'2022'!Resal+('2022'!Salim-'2022'!Resal)*(1-EXP(('2022'!Tnet-t)/('2022'!Tau_j))),Resal+(Salim-Resal)*(1-EXP((Tnet-t)/(Tau_j))))*Salcycl</f>
        <v>4.1420875427670423E-2</v>
      </c>
      <c r="P236" s="169">
        <f>(INDEX(Models!$BJ236:$BT236,,T236)*(1-R236)+INDEX(Models!$BJ236:$BT236,,T236+1)*R236-ERP_i)*Q236*Ramure*Pc/MaxiM</f>
        <v>4.0393385483769619E-3</v>
      </c>
      <c r="Q236" s="305">
        <f t="shared" si="80"/>
        <v>0.8</v>
      </c>
      <c r="R236" s="177">
        <f t="shared" si="81"/>
        <v>0.1542423354121798</v>
      </c>
      <c r="S236" s="809">
        <f t="shared" si="82"/>
        <v>1</v>
      </c>
      <c r="T236" s="176">
        <f t="shared" si="83"/>
        <v>7</v>
      </c>
      <c r="U236" s="251">
        <f t="shared" si="84"/>
        <v>1.1542423354121798</v>
      </c>
      <c r="V236" s="383">
        <f t="shared" si="85"/>
        <v>48.848790099694789</v>
      </c>
      <c r="W236" s="402">
        <f t="shared" si="86"/>
        <v>42.468872677502503</v>
      </c>
      <c r="X236" s="157">
        <f t="shared" si="87"/>
        <v>45148</v>
      </c>
      <c r="Y236" s="385">
        <f t="shared" si="88"/>
        <v>37.571374300440247</v>
      </c>
      <c r="Z236" s="385">
        <f t="shared" si="89"/>
        <v>40.093914206975455</v>
      </c>
      <c r="AA236" s="386">
        <f t="shared" si="90"/>
        <v>46.899532443831738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0.14511057748831274</v>
      </c>
      <c r="AD236" s="231">
        <f>(INDEX(Models!$BJ236:$BT236,,AH236)*(1-AF236)+INDEX(Models!$BJ236:$BT236,,AH236+1)*AF236-ERP_i)*AE236*Ramure*Pc/MaxiM</f>
        <v>1.3862465008887579E-2</v>
      </c>
      <c r="AE236" s="305">
        <f t="shared" si="92"/>
        <v>0.8</v>
      </c>
      <c r="AF236" s="177">
        <f t="shared" si="93"/>
        <v>0.35495908257708342</v>
      </c>
      <c r="AG236" s="809">
        <f t="shared" si="99"/>
        <v>2</v>
      </c>
      <c r="AH236" s="176">
        <f t="shared" si="94"/>
        <v>8</v>
      </c>
      <c r="AI236" s="225">
        <f t="shared" si="95"/>
        <v>2.3549590825770834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1141">
        <f>IF(t&gt;Tmaj,'2022'!Wh/'2022'!Env_an*'2023'!Env_an,0.001*'[10]mon-tableau (1)'!$B$150)</f>
        <v>40.495090242086</v>
      </c>
      <c r="C237" s="839"/>
      <c r="D237" s="393">
        <f t="shared" si="77"/>
        <v>43.21495660008236</v>
      </c>
      <c r="E237" s="385">
        <f t="shared" si="100"/>
        <v>45.091896971796245</v>
      </c>
      <c r="F237" s="385">
        <f t="shared" si="78"/>
        <v>45.231591985549883</v>
      </c>
      <c r="G237" s="110">
        <f t="shared" si="101"/>
        <v>0.83186613012738331</v>
      </c>
      <c r="H237" s="414" t="b">
        <f>Wh_hp&gt;='2022'!Maxi_hp</f>
        <v>0</v>
      </c>
      <c r="I237" s="390">
        <f>IF(H237,Wh_hp,'2022'!Maxi_hp)</f>
        <v>47.670695144219835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6.2938079127705909E-2</v>
      </c>
      <c r="M237" s="843"/>
      <c r="N237" s="843"/>
      <c r="O237" s="48">
        <f>IF(t&lt;Tnet,'2022'!Resal+('2022'!Salim-'2022'!Resal)*(1-EXP(('2022'!Tnet-t)/('2022'!Tau_j))),Resal+(Salim-Resal)*(1-EXP((Tnet-t)/(Tau_j))))*Salcycl</f>
        <v>4.1624781784804089E-2</v>
      </c>
      <c r="P237" s="169">
        <f>(INDEX(Models!$BJ237:$BT237,,T237)*(1-R237)+INDEX(Models!$BJ237:$BT237,,T237+1)*R237-ERP_i)*Q237*Ramure*Pc/MaxiM</f>
        <v>4.0585750466267138E-3</v>
      </c>
      <c r="Q237" s="305">
        <f t="shared" si="80"/>
        <v>0.8</v>
      </c>
      <c r="R237" s="177">
        <f t="shared" si="81"/>
        <v>0.15593410273979091</v>
      </c>
      <c r="S237" s="809">
        <f t="shared" si="82"/>
        <v>1</v>
      </c>
      <c r="T237" s="176">
        <f t="shared" si="83"/>
        <v>7</v>
      </c>
      <c r="U237" s="251">
        <f t="shared" si="84"/>
        <v>1.1559341027397909</v>
      </c>
      <c r="V237" s="383">
        <f t="shared" si="85"/>
        <v>48.632443759363355</v>
      </c>
      <c r="W237" s="402">
        <f t="shared" si="86"/>
        <v>40.495090242086</v>
      </c>
      <c r="X237" s="157">
        <f t="shared" si="87"/>
        <v>45149</v>
      </c>
      <c r="Y237" s="385">
        <f t="shared" si="88"/>
        <v>35.83693541623505</v>
      </c>
      <c r="Z237" s="385">
        <f t="shared" si="89"/>
        <v>38.243935238425962</v>
      </c>
      <c r="AA237" s="386">
        <f t="shared" si="90"/>
        <v>44.738459653128643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0.14516647343374739</v>
      </c>
      <c r="AD237" s="231">
        <f>(INDEX(Models!$BJ237:$BT237,,AH237)*(1-AF237)+INDEX(Models!$BJ237:$BT237,,AH237+1)*AF237-ERP_i)*AE237*Ramure*Pc/MaxiM</f>
        <v>1.4327029471354974E-2</v>
      </c>
      <c r="AE237" s="305">
        <f t="shared" si="92"/>
        <v>0.8</v>
      </c>
      <c r="AF237" s="177">
        <f t="shared" si="93"/>
        <v>0.35665084990469431</v>
      </c>
      <c r="AG237" s="809">
        <f t="shared" si="99"/>
        <v>2</v>
      </c>
      <c r="AH237" s="176">
        <f t="shared" si="94"/>
        <v>8</v>
      </c>
      <c r="AI237" s="225">
        <f t="shared" si="95"/>
        <v>2.3566508499046943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1141">
        <f>IF(t&gt;Tmaj,'2022'!Wh/'2022'!Env_an*'2023'!Env_an,0.001*'[10]mon-tableau (1)'!$B$151)</f>
        <v>41.887079054985399</v>
      </c>
      <c r="C238" s="839"/>
      <c r="D238" s="393">
        <f t="shared" si="77"/>
        <v>44.701502515384853</v>
      </c>
      <c r="E238" s="385">
        <f t="shared" si="100"/>
        <v>46.652914209407747</v>
      </c>
      <c r="F238" s="385">
        <f t="shared" si="78"/>
        <v>46.807498843936095</v>
      </c>
      <c r="G238" s="110">
        <f t="shared" si="101"/>
        <v>0.86453941586395544</v>
      </c>
      <c r="H238" s="414" t="b">
        <f>Wh_hp&gt;='2022'!Maxi_hp</f>
        <v>0</v>
      </c>
      <c r="I238" s="390">
        <f>IF(H238,Wh_hp,'2022'!Maxi_hp)</f>
        <v>46.829298793552006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6.2960377213960889E-2</v>
      </c>
      <c r="M238" s="843"/>
      <c r="N238" s="843"/>
      <c r="O238" s="48">
        <f>IF(t&lt;Tnet,'2022'!Resal+('2022'!Salim-'2022'!Resal)*(1-EXP(('2022'!Tnet-t)/('2022'!Tau_j))),Resal+(Salim-Resal)*(1-EXP((Tnet-t)/(Tau_j))))*Salcycl</f>
        <v>4.1828291481722395E-2</v>
      </c>
      <c r="P238" s="169">
        <f>(INDEX(Models!$BJ238:$BT238,,T238)*(1-R238)+INDEX(Models!$BJ238:$BT238,,T238+1)*R238-ERP_i)*Q238*Ramure*Pc/MaxiM</f>
        <v>4.0900543485186541E-3</v>
      </c>
      <c r="Q238" s="305">
        <f t="shared" si="80"/>
        <v>0.8</v>
      </c>
      <c r="R238" s="177">
        <f t="shared" si="81"/>
        <v>0.15756746952487033</v>
      </c>
      <c r="S238" s="809">
        <f t="shared" si="82"/>
        <v>1</v>
      </c>
      <c r="T238" s="176">
        <f t="shared" si="83"/>
        <v>7</v>
      </c>
      <c r="U238" s="251">
        <f t="shared" si="84"/>
        <v>1.1575674695248703</v>
      </c>
      <c r="V238" s="383">
        <f t="shared" si="85"/>
        <v>48.41188638150151</v>
      </c>
      <c r="W238" s="402">
        <f t="shared" si="86"/>
        <v>41.887079054985399</v>
      </c>
      <c r="X238" s="157">
        <f t="shared" si="87"/>
        <v>45150</v>
      </c>
      <c r="Y238" s="385">
        <f t="shared" si="88"/>
        <v>37.041777647050225</v>
      </c>
      <c r="Z238" s="385">
        <f t="shared" si="89"/>
        <v>39.530641764023073</v>
      </c>
      <c r="AA238" s="386">
        <f t="shared" si="90"/>
        <v>46.246673715812307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0.1452219459730125</v>
      </c>
      <c r="AD238" s="231">
        <f>(INDEX(Models!$BJ238:$BT238,,AH238)*(1-AF238)+INDEX(Models!$BJ238:$BT238,,AH238+1)*AF238-ERP_i)*AE238*Ramure*Pc/MaxiM</f>
        <v>1.4838507468998575E-2</v>
      </c>
      <c r="AE238" s="305">
        <f t="shared" si="92"/>
        <v>0.8</v>
      </c>
      <c r="AF238" s="177">
        <f t="shared" si="93"/>
        <v>0.35828421668977395</v>
      </c>
      <c r="AG238" s="809">
        <f t="shared" si="99"/>
        <v>2</v>
      </c>
      <c r="AH238" s="176">
        <f t="shared" si="94"/>
        <v>8</v>
      </c>
      <c r="AI238" s="225">
        <f t="shared" si="95"/>
        <v>2.3582842166897739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1141">
        <f>IF(t&gt;Tmaj,'2022'!Wh/'2022'!Env_an*'2023'!Env_an,0.001*'[10]mon-tableau (1)'!$B$152)</f>
        <v>32.47853573333348</v>
      </c>
      <c r="C239" s="839"/>
      <c r="D239" s="393">
        <f t="shared" si="77"/>
        <v>34.661617089900894</v>
      </c>
      <c r="E239" s="385">
        <f t="shared" si="100"/>
        <v>36.182414697989294</v>
      </c>
      <c r="F239" s="385">
        <f t="shared" si="78"/>
        <v>36.262511246090632</v>
      </c>
      <c r="G239" s="110">
        <f t="shared" si="101"/>
        <v>0.67270958797697855</v>
      </c>
      <c r="H239" s="414" t="b">
        <f>Wh_hp&gt;='2022'!Maxi_hp</f>
        <v>0</v>
      </c>
      <c r="I239" s="390">
        <f>IF(H239,Wh_hp,'2022'!Maxi_hp)</f>
        <v>47.124763109850662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6.298267478130673E-2</v>
      </c>
      <c r="M239" s="843"/>
      <c r="N239" s="843"/>
      <c r="O239" s="48">
        <f>IF(t&lt;Tnet,'2022'!Resal+('2022'!Salim-'2022'!Resal)*(1-EXP(('2022'!Tnet-t)/('2022'!Tau_j))),Resal+(Salim-Resal)*(1-EXP((Tnet-t)/(Tau_j))))*Salcycl</f>
        <v>4.2031401739832309E-2</v>
      </c>
      <c r="P239" s="169">
        <f>(INDEX(Models!$BJ239:$BT239,,T239)*(1-R239)+INDEX(Models!$BJ239:$BT239,,T239+1)*R239-ERP_i)*Q239*Ramure*Pc/MaxiM</f>
        <v>4.1340018887335208E-3</v>
      </c>
      <c r="Q239" s="305">
        <f t="shared" si="80"/>
        <v>0.8</v>
      </c>
      <c r="R239" s="177">
        <f t="shared" si="81"/>
        <v>0.15914409951816255</v>
      </c>
      <c r="S239" s="809">
        <f t="shared" si="82"/>
        <v>1</v>
      </c>
      <c r="T239" s="176">
        <f t="shared" si="83"/>
        <v>7</v>
      </c>
      <c r="U239" s="251">
        <f t="shared" si="84"/>
        <v>1.1591440995181626</v>
      </c>
      <c r="V239" s="383">
        <f t="shared" si="85"/>
        <v>48.187018707086104</v>
      </c>
      <c r="W239" s="402">
        <f t="shared" si="86"/>
        <v>32.47853573333348</v>
      </c>
      <c r="X239" s="157">
        <f t="shared" si="87"/>
        <v>45151</v>
      </c>
      <c r="Y239" s="385">
        <f t="shared" si="88"/>
        <v>28.803362005978236</v>
      </c>
      <c r="Z239" s="385">
        <f t="shared" si="89"/>
        <v>30.739412421489362</v>
      </c>
      <c r="AA239" s="386">
        <f t="shared" si="90"/>
        <v>35.964180222168721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0.14527698861487612</v>
      </c>
      <c r="AD239" s="231">
        <f>(INDEX(Models!$BJ239:$BT239,,AH239)*(1-AF239)+INDEX(Models!$BJ239:$BT239,,AH239+1)*AF239-ERP_i)*AE239*Ramure*Pc/MaxiM</f>
        <v>1.5397679994906179E-2</v>
      </c>
      <c r="AE239" s="305">
        <f t="shared" si="92"/>
        <v>0.8</v>
      </c>
      <c r="AF239" s="177">
        <f t="shared" si="93"/>
        <v>0.35986084668306617</v>
      </c>
      <c r="AG239" s="809">
        <f t="shared" si="99"/>
        <v>2</v>
      </c>
      <c r="AH239" s="176">
        <f t="shared" si="94"/>
        <v>8</v>
      </c>
      <c r="AI239" s="225">
        <f t="shared" si="95"/>
        <v>2.3598608466830662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1141">
        <f>IF(t&gt;Tmaj,'2022'!Wh/'2022'!Env_an*'2023'!Env_an,0.001*'[10]mon-tableau (1)'!$B$153)</f>
        <v>29.382369418687759</v>
      </c>
      <c r="C240" s="839"/>
      <c r="D240" s="393">
        <f t="shared" si="77"/>
        <v>31.358084659280845</v>
      </c>
      <c r="E240" s="385">
        <f t="shared" si="100"/>
        <v>32.740865968650162</v>
      </c>
      <c r="F240" s="385">
        <f t="shared" si="78"/>
        <v>32.802508231958633</v>
      </c>
      <c r="G240" s="110">
        <f t="shared" si="101"/>
        <v>0.61125324952974169</v>
      </c>
      <c r="H240" s="414" t="b">
        <f>Wh_hp&gt;='2022'!Maxi_hp</f>
        <v>0</v>
      </c>
      <c r="I240" s="390">
        <f>IF(H240,Wh_hp,'2022'!Maxi_hp)</f>
        <v>53.688303667232056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6.3004971829755757E-2</v>
      </c>
      <c r="M240" s="843"/>
      <c r="N240" s="843"/>
      <c r="O240" s="48">
        <f>IF(t&lt;Tnet,'2022'!Resal+('2022'!Salim-'2022'!Resal)*(1-EXP(('2022'!Tnet-t)/('2022'!Tau_j))),Resal+(Salim-Resal)*(1-EXP((Tnet-t)/(Tau_j))))*Salcycl</f>
        <v>4.2234109222808756E-2</v>
      </c>
      <c r="P240" s="169">
        <f>(INDEX(Models!$BJ240:$BT240,,T240)*(1-R240)+INDEX(Models!$BJ240:$BT240,,T240+1)*R240-ERP_i)*Q240*Ramure*Pc/MaxiM</f>
        <v>4.2069421188763037E-3</v>
      </c>
      <c r="Q240" s="305">
        <f t="shared" si="80"/>
        <v>0.8</v>
      </c>
      <c r="R240" s="177">
        <f t="shared" si="81"/>
        <v>0.16066563539130119</v>
      </c>
      <c r="S240" s="809">
        <f t="shared" si="82"/>
        <v>1</v>
      </c>
      <c r="T240" s="176">
        <f t="shared" si="83"/>
        <v>7</v>
      </c>
      <c r="U240" s="251">
        <f t="shared" si="84"/>
        <v>1.1606656353913012</v>
      </c>
      <c r="V240" s="383">
        <f t="shared" si="85"/>
        <v>47.956957128903582</v>
      </c>
      <c r="W240" s="402">
        <f t="shared" si="86"/>
        <v>29.382369418687759</v>
      </c>
      <c r="X240" s="157">
        <f t="shared" si="87"/>
        <v>45152</v>
      </c>
      <c r="Y240" s="385">
        <f t="shared" si="88"/>
        <v>26.080858956113694</v>
      </c>
      <c r="Z240" s="385">
        <f t="shared" si="89"/>
        <v>27.834575608201643</v>
      </c>
      <c r="AA240" s="386">
        <f t="shared" si="90"/>
        <v>32.567689857021236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0.14533159304816898</v>
      </c>
      <c r="AD240" s="231">
        <f>(INDEX(Models!$BJ240:$BT240,,AH240)*(1-AF240)+INDEX(Models!$BJ240:$BT240,,AH240+1)*AF240-ERP_i)*AE240*Ramure*Pc/MaxiM</f>
        <v>1.602581181788711E-2</v>
      </c>
      <c r="AE240" s="305">
        <f t="shared" si="92"/>
        <v>0.8</v>
      </c>
      <c r="AF240" s="177">
        <f t="shared" si="93"/>
        <v>0.36138238255620481</v>
      </c>
      <c r="AG240" s="809">
        <f t="shared" si="99"/>
        <v>2</v>
      </c>
      <c r="AH240" s="176">
        <f t="shared" si="94"/>
        <v>8</v>
      </c>
      <c r="AI240" s="225">
        <f t="shared" si="95"/>
        <v>2.3613823825562048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1141">
        <f>IF(t&gt;Tmaj,'2022'!Wh/'2022'!Env_an*'2023'!Env_an,0.001*'[10]mon-tableau (1)'!$B$154)</f>
        <v>35.819858874538617</v>
      </c>
      <c r="C241" s="839"/>
      <c r="D241" s="393">
        <f t="shared" si="77"/>
        <v>38.229350401496191</v>
      </c>
      <c r="E241" s="385">
        <f t="shared" si="100"/>
        <v>39.92356309653448</v>
      </c>
      <c r="F241" s="385">
        <f t="shared" si="78"/>
        <v>40.034551702363096</v>
      </c>
      <c r="G241" s="110">
        <f t="shared" si="101"/>
        <v>0.74944359385737325</v>
      </c>
      <c r="H241" s="414" t="b">
        <f>Wh_hp&gt;='2022'!Maxi_hp</f>
        <v>0</v>
      </c>
      <c r="I241" s="390">
        <f>IF(H241,Wh_hp,'2022'!Maxi_hp)</f>
        <v>46.59214980096219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6.3027268359319849E-2</v>
      </c>
      <c r="M241" s="843"/>
      <c r="N241" s="843"/>
      <c r="O241" s="48">
        <f>IF(t&lt;Tnet,'2022'!Resal+('2022'!Salim-'2022'!Resal)*(1-EXP(('2022'!Tnet-t)/('2022'!Tau_j))),Resal+(Salim-Resal)*(1-EXP((Tnet-t)/(Tau_j))))*Salcycl</f>
        <v>4.2436410070456648E-2</v>
      </c>
      <c r="P241" s="169">
        <f>(INDEX(Models!$BJ241:$BT241,,T241)*(1-R241)+INDEX(Models!$BJ241:$BT241,,T241+1)*R241-ERP_i)*Q241*Ramure*Pc/MaxiM</f>
        <v>4.3067699603332055E-3</v>
      </c>
      <c r="Q241" s="305">
        <f t="shared" si="80"/>
        <v>0.8</v>
      </c>
      <c r="R241" s="177">
        <f t="shared" si="81"/>
        <v>0.16213369681894951</v>
      </c>
      <c r="S241" s="809">
        <f t="shared" si="82"/>
        <v>1</v>
      </c>
      <c r="T241" s="176">
        <f t="shared" si="83"/>
        <v>7</v>
      </c>
      <c r="U241" s="251">
        <f t="shared" si="84"/>
        <v>1.1621336968189495</v>
      </c>
      <c r="V241" s="383">
        <f t="shared" si="85"/>
        <v>47.72172662689907</v>
      </c>
      <c r="W241" s="402">
        <f t="shared" si="86"/>
        <v>35.819858874538617</v>
      </c>
      <c r="X241" s="157">
        <f t="shared" si="87"/>
        <v>45153</v>
      </c>
      <c r="Y241" s="385">
        <f t="shared" si="88"/>
        <v>31.712996533105049</v>
      </c>
      <c r="Z241" s="385">
        <f t="shared" si="89"/>
        <v>33.846232085723784</v>
      </c>
      <c r="AA241" s="386">
        <f t="shared" si="90"/>
        <v>39.604104492631073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0.1453857492972383</v>
      </c>
      <c r="AD241" s="231">
        <f>(INDEX(Models!$BJ241:$BT241,,AH241)*(1-AF241)+INDEX(Models!$BJ241:$BT241,,AH241+1)*AF241-ERP_i)*AE241*Ramure*Pc/MaxiM</f>
        <v>1.6702949807710105E-2</v>
      </c>
      <c r="AE241" s="305">
        <f t="shared" si="92"/>
        <v>0.8</v>
      </c>
      <c r="AF241" s="177">
        <f t="shared" si="93"/>
        <v>0.36285044398385313</v>
      </c>
      <c r="AG241" s="809">
        <f t="shared" si="99"/>
        <v>2</v>
      </c>
      <c r="AH241" s="176">
        <f t="shared" si="94"/>
        <v>8</v>
      </c>
      <c r="AI241" s="225">
        <f t="shared" si="95"/>
        <v>2.3628504439838531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1141">
        <f>IF(t&gt;Tmaj,'2022'!Wh/'2022'!Env_an*'2023'!Env_an,0.001*'[10]mon-tableau (1)'!$B$155)</f>
        <v>32.447056004676348</v>
      </c>
      <c r="C242" s="839"/>
      <c r="D242" s="393">
        <f t="shared" si="77"/>
        <v>34.630493536042295</v>
      </c>
      <c r="E242" s="385">
        <f t="shared" si="100"/>
        <v>36.172842023626131</v>
      </c>
      <c r="F242" s="385">
        <f t="shared" si="78"/>
        <v>36.260893609800377</v>
      </c>
      <c r="G242" s="110">
        <f t="shared" si="101"/>
        <v>0.68199203216891147</v>
      </c>
      <c r="H242" s="414" t="b">
        <f>Wh_hp&gt;='2022'!Maxi_hp</f>
        <v>0</v>
      </c>
      <c r="I242" s="390">
        <f>IF(H242,Wh_hp,'2022'!Maxi_hp)</f>
        <v>52.312778726424021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6.3049564370010996E-2</v>
      </c>
      <c r="M242" s="843"/>
      <c r="N242" s="843"/>
      <c r="O242" s="48">
        <f>IF(t&lt;Tnet,'2022'!Resal+('2022'!Salim-'2022'!Resal)*(1-EXP(('2022'!Tnet-t)/('2022'!Tau_j))),Resal+(Salim-Resal)*(1-EXP((Tnet-t)/(Tau_j))))*Salcycl</f>
        <v>4.2638299931657582E-2</v>
      </c>
      <c r="P242" s="169">
        <f>(INDEX(Models!$BJ242:$BT242,,T242)*(1-R242)+INDEX(Models!$BJ242:$BT242,,T242+1)*R242-ERP_i)*Q242*Ramure*Pc/MaxiM</f>
        <v>4.4338726559363974E-3</v>
      </c>
      <c r="Q242" s="305">
        <f t="shared" si="80"/>
        <v>0.8</v>
      </c>
      <c r="R242" s="177">
        <f t="shared" si="81"/>
        <v>0.16354987877257199</v>
      </c>
      <c r="S242" s="809">
        <f t="shared" si="82"/>
        <v>1</v>
      </c>
      <c r="T242" s="176">
        <f t="shared" si="83"/>
        <v>7</v>
      </c>
      <c r="U242" s="251">
        <f t="shared" si="84"/>
        <v>1.163549878772572</v>
      </c>
      <c r="V242" s="383">
        <f t="shared" si="85"/>
        <v>47.481232153492087</v>
      </c>
      <c r="W242" s="402">
        <f t="shared" si="86"/>
        <v>32.447056004676348</v>
      </c>
      <c r="X242" s="157">
        <f t="shared" si="87"/>
        <v>45154</v>
      </c>
      <c r="Y242" s="385">
        <f t="shared" si="88"/>
        <v>28.756258945690544</v>
      </c>
      <c r="Z242" s="385">
        <f t="shared" si="89"/>
        <v>30.691334196728707</v>
      </c>
      <c r="AA242" s="386">
        <f t="shared" si="90"/>
        <v>35.914756477348263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0.14543944586994517</v>
      </c>
      <c r="AD242" s="231">
        <f>(INDEX(Models!$BJ242:$BT242,,AH242)*(1-AF242)+INDEX(Models!$BJ242:$BT242,,AH242+1)*AF242-ERP_i)*AE242*Ramure*Pc/MaxiM</f>
        <v>1.7429873026325465E-2</v>
      </c>
      <c r="AE242" s="305">
        <f t="shared" si="92"/>
        <v>0.8</v>
      </c>
      <c r="AF242" s="177">
        <f t="shared" si="93"/>
        <v>0.36426662593747539</v>
      </c>
      <c r="AG242" s="809">
        <f t="shared" si="99"/>
        <v>2</v>
      </c>
      <c r="AH242" s="176">
        <f t="shared" si="94"/>
        <v>8</v>
      </c>
      <c r="AI242" s="225">
        <f t="shared" si="95"/>
        <v>2.3642666259374754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1141">
        <f>IF(t&gt;Tmaj,'2022'!Wh/'2022'!Env_an*'2023'!Env_an,0.001*'[10]mon-tableau (1)'!$B$156)</f>
        <v>25.886549195108003</v>
      </c>
      <c r="C243" s="839"/>
      <c r="D243" s="393">
        <f t="shared" si="77"/>
        <v>27.629172490529314</v>
      </c>
      <c r="E243" s="385">
        <f t="shared" si="100"/>
        <v>28.865775802104885</v>
      </c>
      <c r="F243" s="385">
        <f t="shared" si="78"/>
        <v>28.91278543491573</v>
      </c>
      <c r="G243" s="110">
        <f t="shared" si="101"/>
        <v>0.54640673236613702</v>
      </c>
      <c r="H243" s="414" t="b">
        <f>Wh_hp&gt;='2022'!Maxi_hp</f>
        <v>0</v>
      </c>
      <c r="I243" s="390">
        <f>IF(H243,Wh_hp,'2022'!Maxi_hp)</f>
        <v>51.695304108145685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6.3071859861841523E-2</v>
      </c>
      <c r="M243" s="843"/>
      <c r="N243" s="843"/>
      <c r="O243" s="48">
        <f>IF(t&lt;Tnet,'2022'!Resal+('2022'!Salim-'2022'!Resal)*(1-EXP(('2022'!Tnet-t)/('2022'!Tau_j))),Resal+(Salim-Resal)*(1-EXP((Tnet-t)/(Tau_j))))*Salcycl</f>
        <v>4.2839773995798698E-2</v>
      </c>
      <c r="P243" s="169">
        <f>(INDEX(Models!$BJ243:$BT243,,T243)*(1-R243)+INDEX(Models!$BJ243:$BT243,,T243+1)*R243-ERP_i)*Q243*Ramure*Pc/MaxiM</f>
        <v>4.5886549135833385E-3</v>
      </c>
      <c r="Q243" s="305">
        <f t="shared" si="80"/>
        <v>0.8</v>
      </c>
      <c r="R243" s="177">
        <f t="shared" si="81"/>
        <v>0.16491575001439518</v>
      </c>
      <c r="S243" s="809">
        <f t="shared" si="82"/>
        <v>1</v>
      </c>
      <c r="T243" s="176">
        <f t="shared" si="83"/>
        <v>7</v>
      </c>
      <c r="U243" s="251">
        <f t="shared" si="84"/>
        <v>1.1649157500143952</v>
      </c>
      <c r="V243" s="383">
        <f t="shared" si="85"/>
        <v>47.235379000061116</v>
      </c>
      <c r="W243" s="402">
        <f t="shared" si="86"/>
        <v>25.886549195108003</v>
      </c>
      <c r="X243" s="157">
        <f t="shared" si="87"/>
        <v>45155</v>
      </c>
      <c r="Y243" s="385">
        <f t="shared" si="88"/>
        <v>22.998583534340668</v>
      </c>
      <c r="Z243" s="385">
        <f t="shared" si="89"/>
        <v>24.546795585571076</v>
      </c>
      <c r="AA243" s="386">
        <f t="shared" si="90"/>
        <v>28.726255142358422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0.14549266989641499</v>
      </c>
      <c r="AD243" s="231">
        <f>(INDEX(Models!$BJ243:$BT243,,AH243)*(1-AF243)+INDEX(Models!$BJ243:$BT243,,AH243+1)*AF243-ERP_i)*AE243*Ramure*Pc/MaxiM</f>
        <v>1.8207399043494835E-2</v>
      </c>
      <c r="AE243" s="305">
        <f t="shared" si="92"/>
        <v>0.8</v>
      </c>
      <c r="AF243" s="177">
        <f t="shared" si="93"/>
        <v>0.3656324971792988</v>
      </c>
      <c r="AG243" s="809">
        <f t="shared" si="99"/>
        <v>2</v>
      </c>
      <c r="AH243" s="176">
        <f t="shared" si="94"/>
        <v>8</v>
      </c>
      <c r="AI243" s="225">
        <f t="shared" si="95"/>
        <v>2.3656324971792988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1141">
        <f>IF(t&gt;Tmaj,'2022'!Wh/'2022'!Env_an*'2023'!Env_an,0.001*'[10]mon-tableau (1)'!$B$157)</f>
        <v>34.915235528541061</v>
      </c>
      <c r="C244" s="839"/>
      <c r="D244" s="393">
        <f t="shared" si="77"/>
        <v>37.266536129236655</v>
      </c>
      <c r="E244" s="385">
        <f t="shared" si="100"/>
        <v>38.94266044106147</v>
      </c>
      <c r="F244" s="385">
        <f t="shared" si="78"/>
        <v>39.060646397159083</v>
      </c>
      <c r="G244" s="110">
        <f t="shared" si="101"/>
        <v>0.74182405186989553</v>
      </c>
      <c r="H244" s="414" t="b">
        <f>Wh_hp&gt;='2022'!Maxi_hp</f>
        <v>0</v>
      </c>
      <c r="I244" s="390">
        <f>IF(H244,Wh_hp,'2022'!Maxi_hp)</f>
        <v>51.933307624444232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6.3094154834823418E-2</v>
      </c>
      <c r="M244" s="843"/>
      <c r="N244" s="843"/>
      <c r="O244" s="48">
        <f>IF(t&lt;Tnet,'2022'!Resal+('2022'!Salim-'2022'!Resal)*(1-EXP(('2022'!Tnet-t)/('2022'!Tau_j))),Resal+(Salim-Resal)*(1-EXP((Tnet-t)/(Tau_j))))*Salcycl</f>
        <v>4.30408270221182E-2</v>
      </c>
      <c r="P244" s="169">
        <f>(INDEX(Models!$BJ244:$BT244,,T244)*(1-R244)+INDEX(Models!$BJ244:$BT244,,T244+1)*R244-ERP_i)*Q244*Ramure*Pc/MaxiM</f>
        <v>4.771540124281738E-3</v>
      </c>
      <c r="Q244" s="305">
        <f t="shared" si="80"/>
        <v>0.8</v>
      </c>
      <c r="R244" s="177">
        <f t="shared" si="81"/>
        <v>0.16623285178017166</v>
      </c>
      <c r="S244" s="809">
        <f t="shared" si="82"/>
        <v>1</v>
      </c>
      <c r="T244" s="176">
        <f t="shared" si="83"/>
        <v>7</v>
      </c>
      <c r="U244" s="251">
        <f t="shared" si="84"/>
        <v>1.1662328517801717</v>
      </c>
      <c r="V244" s="383">
        <f t="shared" si="85"/>
        <v>46.984072793981511</v>
      </c>
      <c r="W244" s="402">
        <f t="shared" si="86"/>
        <v>34.915235528541061</v>
      </c>
      <c r="X244" s="157">
        <f t="shared" si="87"/>
        <v>45156</v>
      </c>
      <c r="Y244" s="385">
        <f t="shared" si="88"/>
        <v>30.892920394503331</v>
      </c>
      <c r="Z244" s="385">
        <f t="shared" si="89"/>
        <v>32.973345778472442</v>
      </c>
      <c r="AA244" s="386">
        <f t="shared" si="90"/>
        <v>38.589933342880236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0.14554540725694307</v>
      </c>
      <c r="AD244" s="231">
        <f>(INDEX(Models!$BJ244:$BT244,,AH244)*(1-AF244)+INDEX(Models!$BJ244:$BT244,,AH244+1)*AF244-ERP_i)*AE244*Ramure*Pc/MaxiM</f>
        <v>1.9036386192069155E-2</v>
      </c>
      <c r="AE244" s="305">
        <f t="shared" si="92"/>
        <v>0.8</v>
      </c>
      <c r="AF244" s="177">
        <f t="shared" si="93"/>
        <v>0.36694959894507484</v>
      </c>
      <c r="AG244" s="809">
        <f t="shared" si="99"/>
        <v>2</v>
      </c>
      <c r="AH244" s="176">
        <f t="shared" si="94"/>
        <v>8</v>
      </c>
      <c r="AI244" s="225">
        <f t="shared" si="95"/>
        <v>2.3669495989450748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1141">
        <f>IF(t&gt;Tmaj,'2022'!Wh/'2022'!Env_an*'2023'!Env_an,0.001*'[10]mon-tableau (1)'!$B$158)</f>
        <v>36.231503839147322</v>
      </c>
      <c r="C245" s="839"/>
      <c r="D245" s="393">
        <f t="shared" si="77"/>
        <v>38.67236628463597</v>
      </c>
      <c r="E245" s="385">
        <f t="shared" si="100"/>
        <v>40.42019422842732</v>
      </c>
      <c r="F245" s="385">
        <f t="shared" si="78"/>
        <v>40.557441845707331</v>
      </c>
      <c r="G245" s="110">
        <f t="shared" si="101"/>
        <v>0.77413925892035806</v>
      </c>
      <c r="H245" s="414" t="b">
        <f>Wh_hp&gt;='2022'!Maxi_hp</f>
        <v>0</v>
      </c>
      <c r="I245" s="390">
        <f>IF(H245,Wh_hp,'2022'!Maxi_hp)</f>
        <v>43.525494254603814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6.3116449288968673E-2</v>
      </c>
      <c r="M245" s="843"/>
      <c r="N245" s="843"/>
      <c r="O245" s="48">
        <f>IF(t&lt;Tnet,'2022'!Resal+('2022'!Salim-'2022'!Resal)*(1-EXP(('2022'!Tnet-t)/('2022'!Tau_j))),Resal+(Salim-Resal)*(1-EXP((Tnet-t)/(Tau_j))))*Salcycl</f>
        <v>4.3241453366448974E-2</v>
      </c>
      <c r="P245" s="169">
        <f>(INDEX(Models!$BJ245:$BT245,,T245)*(1-R245)+INDEX(Models!$BJ245:$BT245,,T245+1)*R245-ERP_i)*Q245*Ramure*Pc/MaxiM</f>
        <v>4.9829716237492615E-3</v>
      </c>
      <c r="Q245" s="305">
        <f t="shared" si="80"/>
        <v>0.8</v>
      </c>
      <c r="R245" s="177">
        <f t="shared" si="81"/>
        <v>0.16750269663949879</v>
      </c>
      <c r="S245" s="809">
        <f t="shared" si="82"/>
        <v>1</v>
      </c>
      <c r="T245" s="176">
        <f t="shared" si="83"/>
        <v>7</v>
      </c>
      <c r="U245" s="251">
        <f t="shared" si="84"/>
        <v>1.1675026966394988</v>
      </c>
      <c r="V245" s="383">
        <f t="shared" si="85"/>
        <v>46.727219513509752</v>
      </c>
      <c r="W245" s="402">
        <f t="shared" si="86"/>
        <v>36.231503839147322</v>
      </c>
      <c r="X245" s="157">
        <f t="shared" si="87"/>
        <v>45157</v>
      </c>
      <c r="Y245" s="385">
        <f t="shared" si="88"/>
        <v>32.026097677963222</v>
      </c>
      <c r="Z245" s="385">
        <f t="shared" si="89"/>
        <v>34.183648174479714</v>
      </c>
      <c r="AA245" s="386">
        <f t="shared" si="90"/>
        <v>40.008841130085372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0.14559764269766121</v>
      </c>
      <c r="AD245" s="231">
        <f>(INDEX(Models!$BJ245:$BT245,,AH245)*(1-AF245)+INDEX(Models!$BJ245:$BT245,,AH245+1)*AF245-ERP_i)*AE245*Ramure*Pc/MaxiM</f>
        <v>1.9917735935156521E-2</v>
      </c>
      <c r="AE245" s="305">
        <f t="shared" si="92"/>
        <v>0.8</v>
      </c>
      <c r="AF245" s="177">
        <f t="shared" si="93"/>
        <v>0.36821944380440197</v>
      </c>
      <c r="AG245" s="809">
        <f t="shared" si="99"/>
        <v>2</v>
      </c>
      <c r="AH245" s="176">
        <f t="shared" si="94"/>
        <v>8</v>
      </c>
      <c r="AI245" s="225">
        <f t="shared" si="95"/>
        <v>2.368219443804402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1141">
        <f>IF(t&gt;Tmaj,'2022'!Wh/'2022'!Env_an*'2023'!Env_an,0.001*'[10]mon-tableau (1)'!$B$159)</f>
        <v>43.681941319229701</v>
      </c>
      <c r="C246" s="839"/>
      <c r="D246" s="393">
        <f t="shared" si="77"/>
        <v>46.625838141247186</v>
      </c>
      <c r="E246" s="385">
        <f t="shared" si="100"/>
        <v>48.74332861686463</v>
      </c>
      <c r="F246" s="385">
        <f t="shared" si="78"/>
        <v>48.977269117937247</v>
      </c>
      <c r="G246" s="110">
        <f t="shared" si="101"/>
        <v>0.93968759340290442</v>
      </c>
      <c r="H246" s="414" t="b">
        <f>Wh_hp&gt;='2022'!Maxi_hp</f>
        <v>0</v>
      </c>
      <c r="I246" s="390">
        <f>IF(H246,Wh_hp,'2022'!Maxi_hp)</f>
        <v>48.990722574028382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6.313874322428939E-2</v>
      </c>
      <c r="M246" s="843"/>
      <c r="N246" s="843"/>
      <c r="O246" s="48">
        <f>IF(t&lt;Tnet,'2022'!Resal+('2022'!Salim-'2022'!Resal)*(1-EXP(('2022'!Tnet-t)/('2022'!Tau_j))),Resal+(Salim-Resal)*(1-EXP((Tnet-t)/(Tau_j))))*Salcycl</f>
        <v>4.3441647004895279E-2</v>
      </c>
      <c r="P246" s="169">
        <f>(INDEX(Models!$BJ246:$BT246,,T246)*(1-R246)+INDEX(Models!$BJ246:$BT246,,T246+1)*R246-ERP_i)*Q246*Ramure*Pc/MaxiM</f>
        <v>5.2234140092872108E-3</v>
      </c>
      <c r="Q246" s="305">
        <f t="shared" si="80"/>
        <v>0.8</v>
      </c>
      <c r="R246" s="177">
        <f t="shared" si="81"/>
        <v>0.16872676752264093</v>
      </c>
      <c r="S246" s="809">
        <f t="shared" si="82"/>
        <v>1</v>
      </c>
      <c r="T246" s="176">
        <f t="shared" si="83"/>
        <v>7</v>
      </c>
      <c r="U246" s="251">
        <f t="shared" si="84"/>
        <v>1.1687267675226409</v>
      </c>
      <c r="V246" s="383">
        <f t="shared" si="85"/>
        <v>46.464725483985596</v>
      </c>
      <c r="W246" s="402">
        <f t="shared" si="86"/>
        <v>43.681941319229701</v>
      </c>
      <c r="X246" s="157">
        <f t="shared" si="87"/>
        <v>45158</v>
      </c>
      <c r="Y246" s="385">
        <f t="shared" si="88"/>
        <v>38.45428642035472</v>
      </c>
      <c r="Z246" s="385">
        <f t="shared" si="89"/>
        <v>41.045871138591522</v>
      </c>
      <c r="AA246" s="386">
        <f t="shared" si="90"/>
        <v>48.043355050758663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0.14564935993279765</v>
      </c>
      <c r="AD246" s="231">
        <f>(INDEX(Models!$BJ246:$BT246,,AH246)*(1-AF246)+INDEX(Models!$BJ246:$BT246,,AH246+1)*AF246-ERP_i)*AE246*Ramure*Pc/MaxiM</f>
        <v>2.0852395372346292E-2</v>
      </c>
      <c r="AE246" s="305">
        <f t="shared" si="92"/>
        <v>0.8</v>
      </c>
      <c r="AF246" s="177">
        <f t="shared" si="93"/>
        <v>0.36944351468754455</v>
      </c>
      <c r="AG246" s="809">
        <f t="shared" si="99"/>
        <v>2</v>
      </c>
      <c r="AH246" s="176">
        <f t="shared" si="94"/>
        <v>8</v>
      </c>
      <c r="AI246" s="225">
        <f t="shared" si="95"/>
        <v>2.3694435146875445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1141">
        <f>IF(t&gt;Tmaj,'2022'!Wh/'2022'!Env_an*'2023'!Env_an,0.001*'[10]mon-tableau (1)'!$B$160)</f>
        <v>28.091613055296254</v>
      </c>
      <c r="C247" s="839"/>
      <c r="D247" s="393">
        <f t="shared" si="77"/>
        <v>29.985530228769296</v>
      </c>
      <c r="E247" s="385">
        <f t="shared" si="100"/>
        <v>31.353856469209717</v>
      </c>
      <c r="F247" s="385">
        <f t="shared" si="78"/>
        <v>31.429844642577411</v>
      </c>
      <c r="G247" s="110">
        <f t="shared" si="101"/>
        <v>0.60620881143588645</v>
      </c>
      <c r="H247" s="414" t="b">
        <f>Wh_hp&gt;='2022'!Maxi_hp</f>
        <v>0</v>
      </c>
      <c r="I247" s="390">
        <f>IF(H247,Wh_hp,'2022'!Maxi_hp)</f>
        <v>48.833127388179392</v>
      </c>
      <c r="J247" s="85">
        <f>IF(H247,An,'2022'!An_max)</f>
        <v>2019</v>
      </c>
      <c r="K247" s="197">
        <f t="shared" si="79"/>
        <v>45159</v>
      </c>
      <c r="L247" s="147">
        <f>IF(t&lt;Tvie,1-EXP((T0-t)*PertePVj)+'2022'!Pspv,1-EXP((T0-t)*PertePVj)+Pspv)</f>
        <v>6.3161036640797669E-2</v>
      </c>
      <c r="M247" s="843"/>
      <c r="N247" s="843"/>
      <c r="O247" s="48">
        <f>IF(t&lt;Tnet,'2022'!Resal+('2022'!Salim-'2022'!Resal)*(1-EXP(('2022'!Tnet-t)/('2022'!Tau_j))),Resal+(Salim-Resal)*(1-EXP((Tnet-t)/(Tau_j))))*Salcycl</f>
        <v>4.3641401554037E-2</v>
      </c>
      <c r="P247" s="169">
        <f>(INDEX(Models!$BJ247:$BT247,,T247)*(1-R247)+INDEX(Models!$BJ247:$BT247,,T247+1)*R247-ERP_i)*Q247*Ramure*Pc/MaxiM</f>
        <v>5.4932995930021518E-3</v>
      </c>
      <c r="Q247" s="305">
        <f t="shared" si="80"/>
        <v>0.8</v>
      </c>
      <c r="R247" s="177">
        <f t="shared" si="81"/>
        <v>0.16990651690303826</v>
      </c>
      <c r="S247" s="809">
        <f t="shared" si="82"/>
        <v>1</v>
      </c>
      <c r="T247" s="176">
        <f t="shared" si="83"/>
        <v>7</v>
      </c>
      <c r="U247" s="251">
        <f t="shared" si="84"/>
        <v>1.1699065169030383</v>
      </c>
      <c r="V247" s="383">
        <f t="shared" si="85"/>
        <v>46.196961828730728</v>
      </c>
      <c r="W247" s="402">
        <f t="shared" si="86"/>
        <v>28.091613055296254</v>
      </c>
      <c r="X247" s="157">
        <f t="shared" si="87"/>
        <v>45159</v>
      </c>
      <c r="Y247" s="385">
        <f t="shared" si="88"/>
        <v>24.91279008084501</v>
      </c>
      <c r="Z247" s="385">
        <f t="shared" si="89"/>
        <v>26.592393202259416</v>
      </c>
      <c r="AA247" s="386">
        <f t="shared" si="90"/>
        <v>31.127718676295601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0.14570054173259825</v>
      </c>
      <c r="AD247" s="231">
        <f>(INDEX(Models!$BJ247:$BT247,,AH247)*(1-AF247)+INDEX(Models!$BJ247:$BT247,,AH247+1)*AF247-ERP_i)*AE247*Ramure*Pc/MaxiM</f>
        <v>2.1841141510013755E-2</v>
      </c>
      <c r="AE247" s="305">
        <f t="shared" si="92"/>
        <v>0.8</v>
      </c>
      <c r="AF247" s="177">
        <f t="shared" si="93"/>
        <v>0.37062326406794188</v>
      </c>
      <c r="AG247" s="809">
        <f t="shared" si="99"/>
        <v>2</v>
      </c>
      <c r="AH247" s="176">
        <f t="shared" si="94"/>
        <v>8</v>
      </c>
      <c r="AI247" s="225">
        <f t="shared" si="95"/>
        <v>2.3706232640679419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1141">
        <f>IF(t&gt;Tmaj,'2022'!Wh/'2022'!Env_an*'2023'!Env_an,0.001*'[10]mon-tableau (1)'!$B$161)</f>
        <v>24.671750396478227</v>
      </c>
      <c r="C248" s="839"/>
      <c r="D248" s="393">
        <f t="shared" si="77"/>
        <v>26.335729470232881</v>
      </c>
      <c r="E248" s="385">
        <f t="shared" si="100"/>
        <v>27.543244889820269</v>
      </c>
      <c r="F248" s="385">
        <f t="shared" si="78"/>
        <v>27.597476995250354</v>
      </c>
      <c r="G248" s="110">
        <f t="shared" si="101"/>
        <v>0.53516596147602646</v>
      </c>
      <c r="H248" s="414" t="b">
        <f>Wh_hp&gt;='2022'!Maxi_hp</f>
        <v>0</v>
      </c>
      <c r="I248" s="390">
        <f>IF(H248,Wh_hp,'2022'!Maxi_hp)</f>
        <v>52.442438256662555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6.31833295385055E-2</v>
      </c>
      <c r="M248" s="843"/>
      <c r="N248" s="843"/>
      <c r="O248" s="48">
        <f>IF(t&lt;Tnet,'2022'!Resal+('2022'!Salim-'2022'!Resal)*(1-EXP(('2022'!Tnet-t)/('2022'!Tau_j))),Resal+(Salim-Resal)*(1-EXP((Tnet-t)/(Tau_j))))*Salcycl</f>
        <v>4.3840710287322643E-2</v>
      </c>
      <c r="P248" s="169">
        <f>(INDEX(Models!$BJ248:$BT248,,T248)*(1-R248)+INDEX(Models!$BJ248:$BT248,,T248+1)*R248-ERP_i)*Q248*Ramure*Pc/MaxiM</f>
        <v>5.7985119397311272E-3</v>
      </c>
      <c r="Q248" s="305">
        <f t="shared" si="80"/>
        <v>0.8</v>
      </c>
      <c r="R248" s="177">
        <f t="shared" si="81"/>
        <v>0.17104336612498017</v>
      </c>
      <c r="S248" s="809">
        <f t="shared" si="82"/>
        <v>1</v>
      </c>
      <c r="T248" s="176">
        <f t="shared" si="83"/>
        <v>7</v>
      </c>
      <c r="U248" s="251">
        <f t="shared" si="84"/>
        <v>1.1710433661249802</v>
      </c>
      <c r="V248" s="383">
        <f t="shared" si="85"/>
        <v>45.924048303997367</v>
      </c>
      <c r="W248" s="402">
        <f t="shared" si="86"/>
        <v>24.671750396478227</v>
      </c>
      <c r="X248" s="157">
        <f t="shared" si="87"/>
        <v>45160</v>
      </c>
      <c r="Y248" s="385">
        <f t="shared" si="88"/>
        <v>21.914220057128627</v>
      </c>
      <c r="Z248" s="385">
        <f t="shared" si="89"/>
        <v>23.392218294250942</v>
      </c>
      <c r="AA248" s="386">
        <f t="shared" si="90"/>
        <v>27.383377620953315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0.14575116999622445</v>
      </c>
      <c r="AD248" s="231">
        <f>(INDEX(Models!$BJ248:$BT248,,AH248)*(1-AF248)+INDEX(Models!$BJ248:$BT248,,AH248+1)*AF248-ERP_i)*AE248*Ramure*Pc/MaxiM</f>
        <v>2.2891565214092538E-2</v>
      </c>
      <c r="AE248" s="305">
        <f t="shared" si="92"/>
        <v>0.8</v>
      </c>
      <c r="AF248" s="177">
        <f t="shared" si="93"/>
        <v>0.37176011328988379</v>
      </c>
      <c r="AG248" s="809">
        <f t="shared" si="99"/>
        <v>2</v>
      </c>
      <c r="AH248" s="176">
        <f t="shared" si="94"/>
        <v>8</v>
      </c>
      <c r="AI248" s="225">
        <f t="shared" si="95"/>
        <v>2.3717601132898838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1141">
        <f>IF(t&gt;Tmaj,'2022'!Wh/'2022'!Env_an*'2023'!Env_an,0.001*'[10]mon-tableau (1)'!$B$162)</f>
        <v>43.146402903207125</v>
      </c>
      <c r="C249" s="839"/>
      <c r="D249" s="393">
        <f t="shared" si="77"/>
        <v>46.057495553633579</v>
      </c>
      <c r="E249" s="385">
        <f t="shared" si="100"/>
        <v>48.179290609358439</v>
      </c>
      <c r="F249" s="385">
        <f t="shared" si="78"/>
        <v>48.453079764800307</v>
      </c>
      <c r="G249" s="110">
        <f t="shared" si="101"/>
        <v>0.94477685544790901</v>
      </c>
      <c r="H249" s="414" t="b">
        <f>Wh_hp&gt;='2022'!Maxi_hp</f>
        <v>0</v>
      </c>
      <c r="I249" s="390">
        <f>IF(H249,Wh_hp,'2022'!Maxi_hp)</f>
        <v>49.838510164075387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6.3205621917425209E-2</v>
      </c>
      <c r="M249" s="843"/>
      <c r="N249" s="843"/>
      <c r="O249" s="48">
        <f>IF(t&lt;Tnet,'2022'!Resal+('2022'!Salim-'2022'!Resal)*(1-EXP(('2022'!Tnet-t)/('2022'!Tau_j))),Resal+(Salim-Resal)*(1-EXP((Tnet-t)/(Tau_j))))*Salcycl</f>
        <v>4.4039566147383691E-2</v>
      </c>
      <c r="P249" s="169">
        <f>(INDEX(Models!$BJ249:$BT249,,T249)*(1-R249)+INDEX(Models!$BJ249:$BT249,,T249+1)*R249-ERP_i)*Q249*Ramure*Pc/MaxiM</f>
        <v>6.1302257535287303E-3</v>
      </c>
      <c r="Q249" s="305">
        <f t="shared" si="80"/>
        <v>0.8</v>
      </c>
      <c r="R249" s="177">
        <f t="shared" si="81"/>
        <v>0.17213870486624372</v>
      </c>
      <c r="S249" s="809">
        <f t="shared" si="82"/>
        <v>1</v>
      </c>
      <c r="T249" s="176">
        <f t="shared" si="83"/>
        <v>7</v>
      </c>
      <c r="U249" s="251">
        <f t="shared" si="84"/>
        <v>1.1721387048662437</v>
      </c>
      <c r="V249" s="383">
        <f t="shared" si="85"/>
        <v>45.646324942793896</v>
      </c>
      <c r="W249" s="402">
        <f t="shared" si="86"/>
        <v>43.146402903207125</v>
      </c>
      <c r="X249" s="157">
        <f t="shared" si="87"/>
        <v>45161</v>
      </c>
      <c r="Y249" s="385">
        <f t="shared" si="88"/>
        <v>37.915447937604064</v>
      </c>
      <c r="Z249" s="385">
        <f t="shared" si="89"/>
        <v>40.473607468918821</v>
      </c>
      <c r="AA249" s="386">
        <f t="shared" si="90"/>
        <v>47.381954519028966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0.14580122580919905</v>
      </c>
      <c r="AD249" s="231">
        <f>(INDEX(Models!$BJ249:$BT249,,AH249)*(1-AF249)+INDEX(Models!$BJ249:$BT249,,AH249+1)*AF249-ERP_i)*AE249*Ramure*Pc/MaxiM</f>
        <v>2.3982832907625627E-2</v>
      </c>
      <c r="AE249" s="305">
        <f t="shared" si="92"/>
        <v>0.8</v>
      </c>
      <c r="AF249" s="177">
        <f t="shared" si="93"/>
        <v>0.37285545203114712</v>
      </c>
      <c r="AG249" s="809">
        <f t="shared" si="99"/>
        <v>2</v>
      </c>
      <c r="AH249" s="176">
        <f t="shared" si="94"/>
        <v>8</v>
      </c>
      <c r="AI249" s="225">
        <f t="shared" si="95"/>
        <v>2.3728554520311471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1141">
        <f>IF(t&gt;Tmaj,'2022'!Wh/'2022'!Env_an*'2023'!Env_an,0.001*'[10]mon-tableau (1)'!$B$163)</f>
        <v>39.944682541048934</v>
      </c>
      <c r="C250" s="839"/>
      <c r="D250" s="393">
        <f t="shared" si="77"/>
        <v>42.640769434246664</v>
      </c>
      <c r="E250" s="385">
        <f t="shared" si="100"/>
        <v>44.614420460247445</v>
      </c>
      <c r="F250" s="385">
        <f t="shared" si="78"/>
        <v>44.855816304649409</v>
      </c>
      <c r="G250" s="110">
        <f t="shared" si="101"/>
        <v>0.87956257523134274</v>
      </c>
      <c r="H250" s="414" t="b">
        <f>Wh_hp&gt;='2022'!Maxi_hp</f>
        <v>0</v>
      </c>
      <c r="I250" s="390">
        <f>IF(H250,Wh_hp,'2022'!Maxi_hp)</f>
        <v>49.324626465187585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6.3227913777568562E-2</v>
      </c>
      <c r="M250" s="843"/>
      <c r="N250" s="843"/>
      <c r="O250" s="48">
        <f>IF(t&lt;Tnet,'2022'!Resal+('2022'!Salim-'2022'!Resal)*(1-EXP(('2022'!Tnet-t)/('2022'!Tau_j))),Resal+(Salim-Resal)*(1-EXP((Tnet-t)/(Tau_j))))*Salcycl</f>
        <v>4.4237961754078022E-2</v>
      </c>
      <c r="P250" s="169">
        <f>(INDEX(Models!$BJ250:$BT250,,T250)*(1-R250)+INDEX(Models!$BJ250:$BT250,,T250+1)*R250-ERP_i)*Q250*Ramure*Pc/MaxiM</f>
        <v>6.4889544505282535E-3</v>
      </c>
      <c r="Q250" s="305">
        <f t="shared" si="80"/>
        <v>0.8</v>
      </c>
      <c r="R250" s="177">
        <f t="shared" si="81"/>
        <v>0.17319389072584079</v>
      </c>
      <c r="S250" s="809">
        <f t="shared" si="82"/>
        <v>1</v>
      </c>
      <c r="T250" s="176">
        <f t="shared" si="83"/>
        <v>7</v>
      </c>
      <c r="U250" s="251">
        <f t="shared" si="84"/>
        <v>1.1731938907258408</v>
      </c>
      <c r="V250" s="383">
        <f t="shared" si="85"/>
        <v>45.36369692963877</v>
      </c>
      <c r="W250" s="402">
        <f t="shared" si="86"/>
        <v>39.944682541048934</v>
      </c>
      <c r="X250" s="157">
        <f t="shared" si="87"/>
        <v>45162</v>
      </c>
      <c r="Y250" s="385">
        <f t="shared" si="88"/>
        <v>35.143481430335349</v>
      </c>
      <c r="Z250" s="385">
        <f t="shared" si="89"/>
        <v>37.515508785122705</v>
      </c>
      <c r="AA250" s="386">
        <f t="shared" si="90"/>
        <v>43.921488109044176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0.14585068948523103</v>
      </c>
      <c r="AD250" s="231">
        <f>(INDEX(Models!$BJ250:$BT250,,AH250)*(1-AF250)+INDEX(Models!$BJ250:$BT250,,AH250+1)*AF250-ERP_i)*AE250*Ramure*Pc/MaxiM</f>
        <v>2.5115648192481344E-2</v>
      </c>
      <c r="AE250" s="305">
        <f t="shared" si="92"/>
        <v>0.8</v>
      </c>
      <c r="AF250" s="177">
        <f t="shared" si="93"/>
        <v>0.37391063789074419</v>
      </c>
      <c r="AG250" s="809">
        <f t="shared" si="99"/>
        <v>2</v>
      </c>
      <c r="AH250" s="176">
        <f t="shared" si="94"/>
        <v>8</v>
      </c>
      <c r="AI250" s="225">
        <f t="shared" si="95"/>
        <v>2.3739106378907442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1141">
        <f>IF(t&gt;Tmaj,'2022'!Wh/'2022'!Env_an*'2023'!Env_an,0.001*'[10]mon-tableau (1)'!$B$164)</f>
        <v>29.088326551167498</v>
      </c>
      <c r="C251" s="839"/>
      <c r="D251" s="393">
        <f t="shared" si="77"/>
        <v>31.052397032935684</v>
      </c>
      <c r="E251" s="385">
        <f t="shared" si="100"/>
        <v>32.49640363083823</v>
      </c>
      <c r="F251" s="385">
        <f t="shared" si="78"/>
        <v>32.606994034503103</v>
      </c>
      <c r="G251" s="110">
        <f t="shared" si="101"/>
        <v>0.64306070162712947</v>
      </c>
      <c r="H251" s="414" t="b">
        <f>Wh_hp&gt;='2022'!Maxi_hp</f>
        <v>0</v>
      </c>
      <c r="I251" s="390">
        <f>IF(H251,Wh_hp,'2022'!Maxi_hp)</f>
        <v>46.238410109379274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6.3250205118947772E-2</v>
      </c>
      <c r="M251" s="843"/>
      <c r="N251" s="843"/>
      <c r="O251" s="48">
        <f>IF(t&lt;Tnet,'2022'!Resal+('2022'!Salim-'2022'!Resal)*(1-EXP(('2022'!Tnet-t)/('2022'!Tau_j))),Resal+(Salim-Resal)*(1-EXP((Tnet-t)/(Tau_j))))*Salcycl</f>
        <v>4.4435889408150506E-2</v>
      </c>
      <c r="P251" s="169">
        <f>(INDEX(Models!$BJ251:$BT251,,T251)*(1-R251)+INDEX(Models!$BJ251:$BT251,,T251+1)*R251-ERP_i)*Q251*Ramure*Pc/MaxiM</f>
        <v>6.8752347173174745E-3</v>
      </c>
      <c r="Q251" s="305">
        <f t="shared" si="80"/>
        <v>0.8</v>
      </c>
      <c r="R251" s="177">
        <f t="shared" si="81"/>
        <v>0.17421024892739823</v>
      </c>
      <c r="S251" s="809">
        <f t="shared" si="82"/>
        <v>1</v>
      </c>
      <c r="T251" s="176">
        <f t="shared" si="83"/>
        <v>7</v>
      </c>
      <c r="U251" s="251">
        <f t="shared" si="84"/>
        <v>1.1742102489273982</v>
      </c>
      <c r="V251" s="383">
        <f t="shared" si="85"/>
        <v>45.076069784503332</v>
      </c>
      <c r="W251" s="402">
        <f t="shared" si="86"/>
        <v>29.088326551167498</v>
      </c>
      <c r="X251" s="157">
        <f t="shared" si="87"/>
        <v>45163</v>
      </c>
      <c r="Y251" s="385">
        <f t="shared" si="88"/>
        <v>25.749802838549051</v>
      </c>
      <c r="Z251" s="385">
        <f t="shared" si="89"/>
        <v>27.488453137925418</v>
      </c>
      <c r="AA251" s="386">
        <f t="shared" si="90"/>
        <v>32.184098293302519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0.14589954059251245</v>
      </c>
      <c r="AD251" s="231">
        <f>(INDEX(Models!$BJ251:$BT251,,AH251)*(1-AF251)+INDEX(Models!$BJ251:$BT251,,AH251+1)*AF251-ERP_i)*AE251*Ramure*Pc/MaxiM</f>
        <v>2.6290775558779796E-2</v>
      </c>
      <c r="AE251" s="305">
        <f t="shared" si="92"/>
        <v>0.8</v>
      </c>
      <c r="AF251" s="177">
        <f t="shared" si="93"/>
        <v>0.37492699609230185</v>
      </c>
      <c r="AG251" s="809">
        <f t="shared" si="99"/>
        <v>2</v>
      </c>
      <c r="AH251" s="176">
        <f t="shared" si="94"/>
        <v>8</v>
      </c>
      <c r="AI251" s="225">
        <f t="shared" si="95"/>
        <v>2.3749269960923018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1141">
        <f>IF(t&gt;Tmaj,'2022'!Wh/'2022'!Env_an*'2023'!Env_an,0.001*'[10]mon-tableau (1)'!$B$165)</f>
        <v>38.648158972063662</v>
      </c>
      <c r="C252" s="839"/>
      <c r="D252" s="393">
        <f t="shared" si="77"/>
        <v>41.258699893638564</v>
      </c>
      <c r="E252" s="385">
        <f t="shared" si="100"/>
        <v>43.186246357741105</v>
      </c>
      <c r="F252" s="385">
        <f t="shared" si="78"/>
        <v>43.440939215565827</v>
      </c>
      <c r="G252" s="110">
        <f t="shared" si="101"/>
        <v>0.86176439603904897</v>
      </c>
      <c r="H252" s="414" t="b">
        <f>Wh_hp&gt;='2022'!Maxi_hp</f>
        <v>0</v>
      </c>
      <c r="I252" s="390">
        <f>IF(H252,Wh_hp,'2022'!Maxi_hp)</f>
        <v>47.616086487227513</v>
      </c>
      <c r="J252" s="85">
        <f>IF(H252,An,'2022'!An_max)</f>
        <v>2021</v>
      </c>
      <c r="K252" s="197">
        <f t="shared" si="79"/>
        <v>45164</v>
      </c>
      <c r="L252" s="147">
        <f>IF(t&lt;Tvie,1-EXP((T0-t)*PertePVj)+'2022'!Pspv,1-EXP((T0-t)*PertePVj)+Pspv)</f>
        <v>6.3272495941574941E-2</v>
      </c>
      <c r="M252" s="843"/>
      <c r="N252" s="843"/>
      <c r="O252" s="48">
        <f>IF(t&lt;Tnet,'2022'!Resal+('2022'!Salim-'2022'!Resal)*(1-EXP(('2022'!Tnet-t)/('2022'!Tau_j))),Resal+(Salim-Resal)*(1-EXP((Tnet-t)/(Tau_j))))*Salcycl</f>
        <v>4.4633341090479603E-2</v>
      </c>
      <c r="P252" s="169">
        <f>(INDEX(Models!$BJ252:$BT252,,T252)*(1-R252)+INDEX(Models!$BJ252:$BT252,,T252+1)*R252-ERP_i)*Q252*Ramure*Pc/MaxiM</f>
        <v>7.2896217994692335E-3</v>
      </c>
      <c r="Q252" s="305">
        <f t="shared" si="80"/>
        <v>0.8</v>
      </c>
      <c r="R252" s="177">
        <f t="shared" si="81"/>
        <v>0.17518907212908275</v>
      </c>
      <c r="S252" s="809">
        <f t="shared" si="82"/>
        <v>1</v>
      </c>
      <c r="T252" s="176">
        <f t="shared" si="83"/>
        <v>7</v>
      </c>
      <c r="U252" s="251">
        <f t="shared" si="84"/>
        <v>1.1751890721290827</v>
      </c>
      <c r="V252" s="383">
        <f t="shared" si="85"/>
        <v>44.783349659731314</v>
      </c>
      <c r="W252" s="402">
        <f t="shared" si="86"/>
        <v>38.648158972063662</v>
      </c>
      <c r="X252" s="157">
        <f t="shared" si="87"/>
        <v>45164</v>
      </c>
      <c r="Y252" s="385">
        <f t="shared" si="88"/>
        <v>33.98444329084375</v>
      </c>
      <c r="Z252" s="385">
        <f t="shared" si="89"/>
        <v>36.279967379631984</v>
      </c>
      <c r="AA252" s="386">
        <f t="shared" si="90"/>
        <v>42.479798768724997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0.14594775796484064</v>
      </c>
      <c r="AD252" s="231">
        <f>(INDEX(Models!$BJ252:$BT252,,AH252)*(1-AF252)+INDEX(Models!$BJ252:$BT252,,AH252+1)*AF252-ERP_i)*AE252*Ramure*Pc/MaxiM</f>
        <v>2.7509017777264472E-2</v>
      </c>
      <c r="AE252" s="305">
        <f t="shared" si="92"/>
        <v>0.8</v>
      </c>
      <c r="AF252" s="177">
        <f t="shared" si="93"/>
        <v>0.37590581929398637</v>
      </c>
      <c r="AG252" s="809">
        <f t="shared" si="99"/>
        <v>2</v>
      </c>
      <c r="AH252" s="176">
        <f t="shared" si="94"/>
        <v>8</v>
      </c>
      <c r="AI252" s="225">
        <f t="shared" si="95"/>
        <v>2.3759058192939864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1141">
        <f>IF(t&gt;Tmaj,'2022'!Wh/'2022'!Env_an*'2023'!Env_an,0.001*'[10]mon-tableau (1)'!$B$166)</f>
        <v>41.657073249931322</v>
      </c>
      <c r="C253" s="839"/>
      <c r="D253" s="393">
        <f t="shared" si="77"/>
        <v>44.471913509437869</v>
      </c>
      <c r="E253" s="385">
        <f t="shared" si="100"/>
        <v>46.55917571839548</v>
      </c>
      <c r="F253" s="385">
        <f t="shared" si="78"/>
        <v>46.888820485982102</v>
      </c>
      <c r="G253" s="110">
        <f t="shared" si="101"/>
        <v>0.93575797975240782</v>
      </c>
      <c r="H253" s="414" t="b">
        <f>Wh_hp&gt;='2022'!Maxi_hp</f>
        <v>0</v>
      </c>
      <c r="I253" s="390">
        <f>IF(H253,Wh_hp,'2022'!Maxi_hp)</f>
        <v>46.908830165667723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6.3294786245462059E-2</v>
      </c>
      <c r="M253" s="843"/>
      <c r="N253" s="843"/>
      <c r="O253" s="48">
        <f>IF(t&lt;Tnet,'2022'!Resal+('2022'!Salim-'2022'!Resal)*(1-EXP(('2022'!Tnet-t)/('2022'!Tau_j))),Resal+(Salim-Resal)*(1-EXP((Tnet-t)/(Tau_j))))*Salcycl</f>
        <v>4.483030845696305E-2</v>
      </c>
      <c r="P253" s="169">
        <f>(INDEX(Models!$BJ253:$BT253,,T253)*(1-R253)+INDEX(Models!$BJ253:$BT253,,T253+1)*R253-ERP_i)*Q253*Ramure*Pc/MaxiM</f>
        <v>7.7326949175465006E-3</v>
      </c>
      <c r="Q253" s="305">
        <f t="shared" si="80"/>
        <v>0.8</v>
      </c>
      <c r="R253" s="177">
        <f t="shared" si="81"/>
        <v>0.17613162033137941</v>
      </c>
      <c r="S253" s="809">
        <f t="shared" si="82"/>
        <v>1</v>
      </c>
      <c r="T253" s="176">
        <f t="shared" si="83"/>
        <v>7</v>
      </c>
      <c r="U253" s="251">
        <f t="shared" si="84"/>
        <v>1.1761316203313794</v>
      </c>
      <c r="V253" s="383">
        <f t="shared" si="85"/>
        <v>44.485443162859681</v>
      </c>
      <c r="W253" s="402">
        <f t="shared" si="86"/>
        <v>41.657073249931322</v>
      </c>
      <c r="X253" s="157">
        <f t="shared" si="87"/>
        <v>45165</v>
      </c>
      <c r="Y253" s="385">
        <f t="shared" si="88"/>
        <v>36.527588270137542</v>
      </c>
      <c r="Z253" s="385">
        <f t="shared" si="89"/>
        <v>38.995820385931509</v>
      </c>
      <c r="AA253" s="386">
        <f t="shared" si="90"/>
        <v>45.662302895283339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0.14599531969817575</v>
      </c>
      <c r="AD253" s="231">
        <f>(INDEX(Models!$BJ253:$BT253,,AH253)*(1-AF253)+INDEX(Models!$BJ253:$BT253,,AH253+1)*AF253-ERP_i)*AE253*Ramure*Pc/MaxiM</f>
        <v>2.8771232770698554E-2</v>
      </c>
      <c r="AE253" s="305">
        <f t="shared" si="92"/>
        <v>0.8</v>
      </c>
      <c r="AF253" s="177">
        <f t="shared" si="93"/>
        <v>0.37684836749628303</v>
      </c>
      <c r="AG253" s="809">
        <f t="shared" si="99"/>
        <v>2</v>
      </c>
      <c r="AH253" s="176">
        <f t="shared" si="94"/>
        <v>8</v>
      </c>
      <c r="AI253" s="225">
        <f t="shared" si="95"/>
        <v>2.376848367496283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1141">
        <f>IF(t&gt;Tmaj,'2022'!Wh/'2022'!Env_an*'2023'!Env_an,0.001*'[10]mon-tableau (1)'!$B$167)</f>
        <v>40.420466905292173</v>
      </c>
      <c r="C254" s="839"/>
      <c r="D254" s="393">
        <f t="shared" si="77"/>
        <v>43.15277440310588</v>
      </c>
      <c r="E254" s="385">
        <f t="shared" si="100"/>
        <v>45.187418481692283</v>
      </c>
      <c r="F254" s="385">
        <f t="shared" si="78"/>
        <v>45.515278740529666</v>
      </c>
      <c r="G254" s="110">
        <f t="shared" si="101"/>
        <v>0.9139343257385073</v>
      </c>
      <c r="H254" s="414" t="b">
        <f>Wh_hp&gt;='2022'!Maxi_hp</f>
        <v>0</v>
      </c>
      <c r="I254" s="390">
        <f>IF(H254,Wh_hp,'2022'!Maxi_hp)</f>
        <v>48.563065558192143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6.3317076030621339E-2</v>
      </c>
      <c r="M254" s="843"/>
      <c r="N254" s="843"/>
      <c r="O254" s="48">
        <f>IF(t&lt;Tnet,'2022'!Resal+('2022'!Salim-'2022'!Resal)*(1-EXP(('2022'!Tnet-t)/('2022'!Tau_j))),Resal+(Salim-Resal)*(1-EXP((Tnet-t)/(Tau_j))))*Salcycl</f>
        <v>4.502678282917922E-2</v>
      </c>
      <c r="P254" s="169">
        <f>(INDEX(Models!$BJ254:$BT254,,T254)*(1-R254)+INDEX(Models!$BJ254:$BT254,,T254+1)*R254-ERP_i)*Q254*Ramure*Pc/MaxiM</f>
        <v>8.2008323070373208E-3</v>
      </c>
      <c r="Q254" s="305">
        <f t="shared" si="80"/>
        <v>0.8</v>
      </c>
      <c r="R254" s="177">
        <f t="shared" si="81"/>
        <v>0.17703912087445106</v>
      </c>
      <c r="S254" s="809">
        <f t="shared" si="82"/>
        <v>1</v>
      </c>
      <c r="T254" s="176">
        <f t="shared" si="83"/>
        <v>7</v>
      </c>
      <c r="U254" s="251">
        <f t="shared" si="84"/>
        <v>1.1770391208744511</v>
      </c>
      <c r="V254" s="383">
        <f t="shared" si="85"/>
        <v>44.182445656028229</v>
      </c>
      <c r="W254" s="402">
        <f t="shared" si="86"/>
        <v>40.420466905292173</v>
      </c>
      <c r="X254" s="157">
        <f t="shared" si="87"/>
        <v>45166</v>
      </c>
      <c r="Y254" s="385">
        <f t="shared" si="88"/>
        <v>35.445942749417618</v>
      </c>
      <c r="Z254" s="385">
        <f t="shared" si="89"/>
        <v>37.841986698346588</v>
      </c>
      <c r="AA254" s="386">
        <f t="shared" si="90"/>
        <v>44.313649734451808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0.14604220313349189</v>
      </c>
      <c r="AD254" s="231">
        <f>(INDEX(Models!$BJ254:$BT254,,AH254)*(1-AF254)+INDEX(Models!$BJ254:$BT254,,AH254+1)*AF254-ERP_i)*AE254*Ramure*Pc/MaxiM</f>
        <v>3.0056579620417221E-2</v>
      </c>
      <c r="AE254" s="305">
        <f t="shared" si="92"/>
        <v>0.8</v>
      </c>
      <c r="AF254" s="177">
        <f t="shared" si="93"/>
        <v>0.37775586803935468</v>
      </c>
      <c r="AG254" s="809">
        <f t="shared" si="99"/>
        <v>2</v>
      </c>
      <c r="AH254" s="176">
        <f t="shared" si="94"/>
        <v>8</v>
      </c>
      <c r="AI254" s="225">
        <f t="shared" si="95"/>
        <v>2.3777558680393547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1141">
        <f>IF(t&gt;Tmaj,'2022'!Wh/'2022'!Env_an*'2023'!Env_an,0.001*'[10]mon-tableau (1)'!$B$168)</f>
        <v>28.692446091788543</v>
      </c>
      <c r="C255" s="839"/>
      <c r="D255" s="393">
        <f t="shared" si="77"/>
        <v>30.632701993383588</v>
      </c>
      <c r="E255" s="385">
        <f t="shared" si="100"/>
        <v>32.083611292173337</v>
      </c>
      <c r="F255" s="385">
        <f t="shared" si="78"/>
        <v>32.224998588279227</v>
      </c>
      <c r="G255" s="110">
        <f t="shared" si="101"/>
        <v>0.65114073209508749</v>
      </c>
      <c r="H255" s="414" t="b">
        <f>Wh_hp&gt;='2022'!Maxi_hp</f>
        <v>0</v>
      </c>
      <c r="I255" s="390">
        <f>IF(H255,Wh_hp,'2022'!Maxi_hp)</f>
        <v>47.495208459406513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6.3339365297064659E-2</v>
      </c>
      <c r="M255" s="843"/>
      <c r="N255" s="843"/>
      <c r="O255" s="48">
        <f>IF(t&lt;Tnet,'2022'!Resal+('2022'!Salim-'2022'!Resal)*(1-EXP(('2022'!Tnet-t)/('2022'!Tau_j))),Resal+(Salim-Resal)*(1-EXP((Tnet-t)/(Tau_j))))*Salcycl</f>
        <v>4.5222755181044509E-2</v>
      </c>
      <c r="P255" s="169">
        <f>(INDEX(Models!$BJ255:$BT255,,T255)*(1-R255)+INDEX(Models!$BJ255:$BT255,,T255+1)*R255-ERP_i)*Q255*Ramure*Pc/MaxiM</f>
        <v>8.6768798868232314E-3</v>
      </c>
      <c r="Q255" s="305">
        <f t="shared" si="80"/>
        <v>0.8</v>
      </c>
      <c r="R255" s="177">
        <f t="shared" si="81"/>
        <v>0.17791276851720461</v>
      </c>
      <c r="S255" s="809">
        <f t="shared" si="82"/>
        <v>1</v>
      </c>
      <c r="T255" s="176">
        <f t="shared" si="83"/>
        <v>7</v>
      </c>
      <c r="U255" s="251">
        <f t="shared" si="84"/>
        <v>1.1779127685172046</v>
      </c>
      <c r="V255" s="383">
        <f t="shared" si="85"/>
        <v>43.875048239408549</v>
      </c>
      <c r="W255" s="402">
        <f t="shared" si="86"/>
        <v>28.692446091788543</v>
      </c>
      <c r="X255" s="157">
        <f t="shared" si="87"/>
        <v>45167</v>
      </c>
      <c r="Y255" s="385">
        <f t="shared" si="88"/>
        <v>25.36587157193825</v>
      </c>
      <c r="Z255" s="385">
        <f t="shared" si="89"/>
        <v>27.081176076096238</v>
      </c>
      <c r="AA255" s="386">
        <f t="shared" si="90"/>
        <v>31.714261282896679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0.14608838482701905</v>
      </c>
      <c r="AD255" s="231">
        <f>(INDEX(Models!$BJ255:$BT255,,AH255)*(1-AF255)+INDEX(Models!$BJ255:$BT255,,AH255+1)*AF255-ERP_i)*AE255*Ramure*Pc/MaxiM</f>
        <v>3.1343737199735398E-2</v>
      </c>
      <c r="AE255" s="305">
        <f t="shared" si="92"/>
        <v>0.8</v>
      </c>
      <c r="AF255" s="177">
        <f t="shared" si="93"/>
        <v>0.37862951568210823</v>
      </c>
      <c r="AG255" s="809">
        <f t="shared" si="99"/>
        <v>2</v>
      </c>
      <c r="AH255" s="176">
        <f t="shared" si="94"/>
        <v>8</v>
      </c>
      <c r="AI255" s="225">
        <f t="shared" si="95"/>
        <v>2.3786295156821082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1141">
        <f>IF(t&gt;Tmaj,'2022'!Wh/'2022'!Env_an*'2023'!Env_an,0.001*'[10]mon-tableau (1)'!$B$169)</f>
        <v>40.345303620901937</v>
      </c>
      <c r="C256" s="839"/>
      <c r="D256" s="393">
        <f t="shared" si="77"/>
        <v>43.074580274371833</v>
      </c>
      <c r="E256" s="385">
        <f t="shared" si="100"/>
        <v>45.124033374458911</v>
      </c>
      <c r="F256" s="385">
        <f t="shared" si="78"/>
        <v>45.496851226553623</v>
      </c>
      <c r="G256" s="110">
        <f t="shared" si="101"/>
        <v>0.92523088060263492</v>
      </c>
      <c r="H256" s="414" t="b">
        <f>Wh_hp&gt;='2022'!Maxi_hp</f>
        <v>0</v>
      </c>
      <c r="I256" s="390">
        <f>IF(H256,Wh_hp,'2022'!Maxi_hp)</f>
        <v>46.563941644559634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6.3361654044804233E-2</v>
      </c>
      <c r="M256" s="843"/>
      <c r="N256" s="843"/>
      <c r="O256" s="48">
        <f>IF(t&lt;Tnet,'2022'!Resal+('2022'!Salim-'2022'!Resal)*(1-EXP(('2022'!Tnet-t)/('2022'!Tau_j))),Resal+(Salim-Resal)*(1-EXP((Tnet-t)/(Tau_j))))*Salcycl</f>
        <v>4.5418216121768676E-2</v>
      </c>
      <c r="P256" s="169">
        <f>(INDEX(Models!$BJ256:$BT256,,T256)*(1-R256)+INDEX(Models!$BJ256:$BT256,,T256+1)*R256-ERP_i)*Q256*Ramure*Pc/MaxiM</f>
        <v>9.1610742753934302E-3</v>
      </c>
      <c r="Q256" s="305">
        <f t="shared" si="80"/>
        <v>0.8</v>
      </c>
      <c r="R256" s="177">
        <f t="shared" si="81"/>
        <v>0.17875372559061442</v>
      </c>
      <c r="S256" s="809">
        <f t="shared" si="82"/>
        <v>1</v>
      </c>
      <c r="T256" s="176">
        <f t="shared" si="83"/>
        <v>7</v>
      </c>
      <c r="U256" s="251">
        <f t="shared" si="84"/>
        <v>1.1787537255906144</v>
      </c>
      <c r="V256" s="383">
        <f t="shared" si="85"/>
        <v>43.563158223366152</v>
      </c>
      <c r="W256" s="402">
        <f t="shared" si="86"/>
        <v>40.345303620901937</v>
      </c>
      <c r="X256" s="157">
        <f t="shared" si="87"/>
        <v>45168</v>
      </c>
      <c r="Y256" s="385">
        <f t="shared" si="88"/>
        <v>35.324627098056652</v>
      </c>
      <c r="Z256" s="385">
        <f t="shared" si="89"/>
        <v>37.714265330480508</v>
      </c>
      <c r="AA256" s="386">
        <f t="shared" si="90"/>
        <v>44.16882541986574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0.14613384050919706</v>
      </c>
      <c r="AD256" s="231">
        <f>(INDEX(Models!$BJ256:$BT256,,AH256)*(1-AF256)+INDEX(Models!$BJ256:$BT256,,AH256+1)*AF256-ERP_i)*AE256*Ramure*Pc/MaxiM</f>
        <v>3.2632941224113199E-2</v>
      </c>
      <c r="AE256" s="305">
        <f t="shared" si="92"/>
        <v>0.8</v>
      </c>
      <c r="AF256" s="177">
        <f t="shared" si="93"/>
        <v>0.37947047275551782</v>
      </c>
      <c r="AG256" s="809">
        <f t="shared" si="99"/>
        <v>2</v>
      </c>
      <c r="AH256" s="176">
        <f t="shared" si="94"/>
        <v>8</v>
      </c>
      <c r="AI256" s="225">
        <f t="shared" si="95"/>
        <v>2.3794704727555178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1141">
        <f>IF(t&gt;Tmaj,'2022'!Wh/'2022'!Env_an*'2023'!Env_an,0.001*'[10]mon-tableau (1)'!$B$170)</f>
        <v>22.224077460509768</v>
      </c>
      <c r="C257" s="839"/>
      <c r="D257" s="393">
        <f t="shared" si="77"/>
        <v>23.728055137623684</v>
      </c>
      <c r="E257" s="385">
        <f t="shared" si="100"/>
        <v>24.862093692616011</v>
      </c>
      <c r="F257" s="385">
        <f t="shared" si="78"/>
        <v>24.935647849456934</v>
      </c>
      <c r="G257" s="110">
        <f t="shared" si="101"/>
        <v>0.51043564431448851</v>
      </c>
      <c r="H257" s="414" t="b">
        <f>Wh_hp&gt;='2022'!Maxi_hp</f>
        <v>0</v>
      </c>
      <c r="I257" s="390">
        <f>IF(H257,Wh_hp,'2022'!Maxi_hp)</f>
        <v>46.070387290584499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6.3383942273852051E-2</v>
      </c>
      <c r="M257" s="843"/>
      <c r="N257" s="843"/>
      <c r="O257" s="48">
        <f>IF(t&lt;Tnet,'2022'!Resal+('2022'!Salim-'2022'!Resal)*(1-EXP(('2022'!Tnet-t)/('2022'!Tau_j))),Resal+(Salim-Resal)*(1-EXP((Tnet-t)/(Tau_j))))*Salcycl</f>
        <v>4.5613155875489857E-2</v>
      </c>
      <c r="P257" s="169">
        <f>(INDEX(Models!$BJ257:$BT257,,T257)*(1-R257)+INDEX(Models!$BJ257:$BT257,,T257+1)*R257-ERP_i)*Q257*Ramure*Pc/MaxiM</f>
        <v>9.6536660355119631E-3</v>
      </c>
      <c r="Q257" s="305">
        <f t="shared" si="80"/>
        <v>0.8</v>
      </c>
      <c r="R257" s="177">
        <f t="shared" si="81"/>
        <v>0.17956312221825455</v>
      </c>
      <c r="S257" s="809">
        <f t="shared" si="82"/>
        <v>1</v>
      </c>
      <c r="T257" s="176">
        <f t="shared" si="83"/>
        <v>7</v>
      </c>
      <c r="U257" s="251">
        <f t="shared" si="84"/>
        <v>1.1795631222182545</v>
      </c>
      <c r="V257" s="383">
        <f t="shared" si="85"/>
        <v>43.246683068498278</v>
      </c>
      <c r="W257" s="402">
        <f t="shared" si="86"/>
        <v>22.224077460509768</v>
      </c>
      <c r="X257" s="157">
        <f t="shared" si="87"/>
        <v>45169</v>
      </c>
      <c r="Y257" s="385">
        <f t="shared" si="88"/>
        <v>19.734401907997917</v>
      </c>
      <c r="Z257" s="385">
        <f t="shared" si="89"/>
        <v>21.069894910736146</v>
      </c>
      <c r="AA257" s="386">
        <f t="shared" si="90"/>
        <v>24.677167326009705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0.14617854503387431</v>
      </c>
      <c r="AD257" s="231">
        <f>(INDEX(Models!$BJ257:$BT257,,AH257)*(1-AF257)+INDEX(Models!$BJ257:$BT257,,AH257+1)*AF257-ERP_i)*AE257*Ramure*Pc/MaxiM</f>
        <v>3.3924454540896459E-2</v>
      </c>
      <c r="AE257" s="305">
        <f t="shared" si="92"/>
        <v>0.8</v>
      </c>
      <c r="AF257" s="177">
        <f t="shared" si="93"/>
        <v>0.38027986938315816</v>
      </c>
      <c r="AG257" s="809">
        <f t="shared" si="99"/>
        <v>2</v>
      </c>
      <c r="AH257" s="176">
        <f t="shared" si="94"/>
        <v>8</v>
      </c>
      <c r="AI257" s="225">
        <f t="shared" si="95"/>
        <v>2.3802798693831582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1141">
        <f>IF(t&gt;Tmaj,'2022'!Wh/'2022'!Env_an*'2023'!Env_an,0.001*'[11]mon-tableau (3)'!$B$136)</f>
        <v>35.755446451949837</v>
      </c>
      <c r="C258" s="839"/>
      <c r="D258" s="393">
        <f t="shared" si="77"/>
        <v>38.176045577740098</v>
      </c>
      <c r="E258" s="385">
        <f t="shared" si="100"/>
        <v>40.008748914526301</v>
      </c>
      <c r="F258" s="385">
        <f t="shared" si="78"/>
        <v>40.320496213597252</v>
      </c>
      <c r="G258" s="110">
        <f t="shared" si="101"/>
        <v>0.8309304243165555</v>
      </c>
      <c r="H258" s="414" t="b">
        <f>Wh_hp&gt;='2022'!Maxi_hp</f>
        <v>0</v>
      </c>
      <c r="I258" s="390">
        <f>IF(H258,Wh_hp,'2022'!Maxi_hp)</f>
        <v>47.663426724874789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6.3406229984220214E-2</v>
      </c>
      <c r="M258" s="843"/>
      <c r="N258" s="843"/>
      <c r="O258" s="48">
        <f>IF(t&lt;Tnet,'2022'!Resal+('2022'!Salim-'2022'!Resal)*(1-EXP(('2022'!Tnet-t)/('2022'!Tau_j))),Resal+(Salim-Resal)*(1-EXP((Tnet-t)/(Tau_j))))*Salcycl</f>
        <v>4.5807564258046302E-2</v>
      </c>
      <c r="P258" s="169">
        <f>(INDEX(Models!$BJ258:$BT258,,T258)*(1-R258)+INDEX(Models!$BJ258:$BT258,,T258+1)*R258-ERP_i)*Q258*Ramure*Pc/MaxiM</f>
        <v>1.0154920381734541E-2</v>
      </c>
      <c r="Q258" s="305">
        <f t="shared" si="80"/>
        <v>0.8</v>
      </c>
      <c r="R258" s="177">
        <f t="shared" si="81"/>
        <v>0.18034205659740055</v>
      </c>
      <c r="S258" s="809">
        <f t="shared" si="82"/>
        <v>1</v>
      </c>
      <c r="T258" s="176">
        <f t="shared" si="83"/>
        <v>7</v>
      </c>
      <c r="U258" s="251">
        <f t="shared" si="84"/>
        <v>1.1803420565974005</v>
      </c>
      <c r="V258" s="383">
        <f t="shared" si="85"/>
        <v>42.925530389747237</v>
      </c>
      <c r="W258" s="402">
        <f t="shared" si="86"/>
        <v>35.755446451949837</v>
      </c>
      <c r="X258" s="157">
        <f t="shared" si="87"/>
        <v>45170</v>
      </c>
      <c r="Y258" s="385">
        <f t="shared" si="88"/>
        <v>31.377433568029815</v>
      </c>
      <c r="Z258" s="385">
        <f t="shared" si="89"/>
        <v>33.501646682425793</v>
      </c>
      <c r="AA258" s="386">
        <f t="shared" si="90"/>
        <v>39.239316562290284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0.14622247231947197</v>
      </c>
      <c r="AD258" s="231">
        <f>(INDEX(Models!$BJ258:$BT258,,AH258)*(1-AF258)+INDEX(Models!$BJ258:$BT258,,AH258+1)*AF258-ERP_i)*AE258*Ramure*Pc/MaxiM</f>
        <v>3.5218567442584343E-2</v>
      </c>
      <c r="AE258" s="305">
        <f t="shared" si="92"/>
        <v>0.8</v>
      </c>
      <c r="AF258" s="177">
        <f t="shared" si="93"/>
        <v>0.38105880376230417</v>
      </c>
      <c r="AG258" s="809">
        <f t="shared" si="99"/>
        <v>2</v>
      </c>
      <c r="AH258" s="176">
        <f t="shared" si="94"/>
        <v>8</v>
      </c>
      <c r="AI258" s="225">
        <f t="shared" si="95"/>
        <v>2.3810588037623042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1141">
        <f>IF(t&gt;Tmaj,'2022'!Wh/'2022'!Env_an*'2023'!Env_an,0.001*'[11]mon-tableau (3)'!$B$137)</f>
        <v>34.437187917765009</v>
      </c>
      <c r="C259" s="839"/>
      <c r="D259" s="393">
        <f t="shared" si="77"/>
        <v>36.769417550409777</v>
      </c>
      <c r="E259" s="385">
        <f t="shared" si="100"/>
        <v>38.542424204594802</v>
      </c>
      <c r="F259" s="385">
        <f t="shared" si="78"/>
        <v>38.843296725860348</v>
      </c>
      <c r="G259" s="110">
        <f t="shared" si="101"/>
        <v>0.8060137583875846</v>
      </c>
      <c r="H259" s="414" t="b">
        <f>Wh_hp&gt;='2022'!Maxi_hp</f>
        <v>0</v>
      </c>
      <c r="I259" s="390">
        <f>IF(H259,Wh_hp,'2022'!Maxi_hp)</f>
        <v>47.150040214573764</v>
      </c>
      <c r="J259" s="85">
        <f>IF(H259,An,'2022'!An_max)</f>
        <v>2020</v>
      </c>
      <c r="K259" s="197">
        <f t="shared" si="79"/>
        <v>45171</v>
      </c>
      <c r="L259" s="147">
        <f>IF(t&lt;Tvie,1-EXP((T0-t)*PertePVj)+'2022'!Pspv,1-EXP((T0-t)*PertePVj)+Pspv)</f>
        <v>6.3428517175920823E-2</v>
      </c>
      <c r="M259" s="843"/>
      <c r="N259" s="843"/>
      <c r="O259" s="48">
        <f>IF(t&lt;Tnet,'2022'!Resal+('2022'!Salim-'2022'!Resal)*(1-EXP(('2022'!Tnet-t)/('2022'!Tau_j))),Resal+(Salim-Resal)*(1-EXP((Tnet-t)/(Tau_j))))*Salcycl</f>
        <v>4.6001430651413384E-2</v>
      </c>
      <c r="P259" s="169">
        <f>(INDEX(Models!$BJ259:$BT259,,T259)*(1-R259)+INDEX(Models!$BJ259:$BT259,,T259+1)*R259-ERP_i)*Q259*Ramure*Pc/MaxiM</f>
        <v>1.0665117933438406E-2</v>
      </c>
      <c r="Q259" s="305">
        <f t="shared" si="80"/>
        <v>0.8</v>
      </c>
      <c r="R259" s="177">
        <f t="shared" si="81"/>
        <v>0.1810915953344483</v>
      </c>
      <c r="S259" s="809">
        <f t="shared" si="82"/>
        <v>1</v>
      </c>
      <c r="T259" s="176">
        <f t="shared" si="83"/>
        <v>7</v>
      </c>
      <c r="U259" s="251">
        <f t="shared" si="84"/>
        <v>1.1810915953344483</v>
      </c>
      <c r="V259" s="383">
        <f t="shared" si="85"/>
        <v>42.599607975909031</v>
      </c>
      <c r="W259" s="402">
        <f t="shared" si="86"/>
        <v>34.437187917765009</v>
      </c>
      <c r="X259" s="157">
        <f t="shared" si="87"/>
        <v>45171</v>
      </c>
      <c r="Y259" s="385">
        <f t="shared" si="88"/>
        <v>30.234770378270159</v>
      </c>
      <c r="Z259" s="385">
        <f t="shared" si="89"/>
        <v>32.282394812088576</v>
      </c>
      <c r="AA259" s="386">
        <f t="shared" si="90"/>
        <v>37.813159026697235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0.14626559528400612</v>
      </c>
      <c r="AD259" s="231">
        <f>(INDEX(Models!$BJ259:$BT259,,AH259)*(1-AF259)+INDEX(Models!$BJ259:$BT259,,AH259+1)*AF259-ERP_i)*AE259*Ramure*Pc/MaxiM</f>
        <v>3.651559804479107E-2</v>
      </c>
      <c r="AE259" s="305">
        <f t="shared" si="92"/>
        <v>0.8</v>
      </c>
      <c r="AF259" s="177">
        <f t="shared" si="93"/>
        <v>0.38180834249935192</v>
      </c>
      <c r="AG259" s="809">
        <f t="shared" si="99"/>
        <v>2</v>
      </c>
      <c r="AH259" s="176">
        <f t="shared" si="94"/>
        <v>8</v>
      </c>
      <c r="AI259" s="225">
        <f t="shared" si="95"/>
        <v>2.3818083424993519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1141">
        <f>IF(t&gt;Tmaj,'2022'!Wh/'2022'!Env_an*'2023'!Env_an,0.001*'[11]mon-tableau (3)'!$B$138)</f>
        <v>32.052792592932335</v>
      </c>
      <c r="C260" s="839"/>
      <c r="D260" s="393">
        <f t="shared" si="77"/>
        <v>34.224355457952143</v>
      </c>
      <c r="E260" s="385">
        <f t="shared" si="100"/>
        <v>35.881911157244993</v>
      </c>
      <c r="F260" s="385">
        <f t="shared" si="78"/>
        <v>36.146606180387941</v>
      </c>
      <c r="G260" s="110">
        <f t="shared" si="101"/>
        <v>0.75535813773555627</v>
      </c>
      <c r="H260" s="414" t="b">
        <f>Wh_hp&gt;='2022'!Maxi_hp</f>
        <v>0</v>
      </c>
      <c r="I260" s="390">
        <f>IF(H260,Wh_hp,'2022'!Maxi_hp)</f>
        <v>48.613808475226271</v>
      </c>
      <c r="J260" s="85">
        <f>IF(H260,An,'2022'!An_max)</f>
        <v>2019</v>
      </c>
      <c r="K260" s="197">
        <f t="shared" si="79"/>
        <v>45172</v>
      </c>
      <c r="L260" s="147">
        <f>IF(t&lt;Tvie,1-EXP((T0-t)*PertePVj)+'2022'!Pspv,1-EXP((T0-t)*PertePVj)+Pspv)</f>
        <v>6.3450803848965981E-2</v>
      </c>
      <c r="M260" s="843"/>
      <c r="N260" s="843"/>
      <c r="O260" s="48">
        <f>IF(t&lt;Tnet,'2022'!Resal+('2022'!Salim-'2022'!Resal)*(1-EXP(('2022'!Tnet-t)/('2022'!Tau_j))),Resal+(Salim-Resal)*(1-EXP((Tnet-t)/(Tau_j))))*Salcycl</f>
        <v>4.619474397639959E-2</v>
      </c>
      <c r="P260" s="169">
        <f>(INDEX(Models!$BJ260:$BT260,,T260)*(1-R260)+INDEX(Models!$BJ260:$BT260,,T260+1)*R260-ERP_i)*Q260*Ramure*Pc/MaxiM</f>
        <v>1.1184555525745234E-2</v>
      </c>
      <c r="Q260" s="305">
        <f t="shared" si="80"/>
        <v>0.8</v>
      </c>
      <c r="R260" s="177">
        <f t="shared" si="81"/>
        <v>0.1818127738287989</v>
      </c>
      <c r="S260" s="809">
        <f t="shared" si="82"/>
        <v>1</v>
      </c>
      <c r="T260" s="176">
        <f t="shared" si="83"/>
        <v>7</v>
      </c>
      <c r="U260" s="251">
        <f t="shared" si="84"/>
        <v>1.1818127738287989</v>
      </c>
      <c r="V260" s="383">
        <f t="shared" si="85"/>
        <v>42.268823792525588</v>
      </c>
      <c r="W260" s="402">
        <f t="shared" si="86"/>
        <v>32.052792592932335</v>
      </c>
      <c r="X260" s="157">
        <f t="shared" si="87"/>
        <v>45172</v>
      </c>
      <c r="Y260" s="385">
        <f t="shared" si="88"/>
        <v>28.184564204705996</v>
      </c>
      <c r="Z260" s="385">
        <f t="shared" si="89"/>
        <v>30.094056265850202</v>
      </c>
      <c r="AA260" s="386">
        <f t="shared" si="90"/>
        <v>35.251650758430301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0.14630788577600665</v>
      </c>
      <c r="AD260" s="231">
        <f>(INDEX(Models!$BJ260:$BT260,,AH260)*(1-AF260)+INDEX(Models!$BJ260:$BT260,,AH260+1)*AF260-ERP_i)*AE260*Ramure*Pc/MaxiM</f>
        <v>3.7815892762540444E-2</v>
      </c>
      <c r="AE260" s="305">
        <f t="shared" si="92"/>
        <v>0.8</v>
      </c>
      <c r="AF260" s="177">
        <f t="shared" si="93"/>
        <v>0.3825295209937023</v>
      </c>
      <c r="AG260" s="809">
        <f t="shared" si="99"/>
        <v>2</v>
      </c>
      <c r="AH260" s="176">
        <f t="shared" si="94"/>
        <v>8</v>
      </c>
      <c r="AI260" s="225">
        <f t="shared" si="95"/>
        <v>2.3825295209937023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1141">
        <f>IF(t&gt;Tmaj,'2022'!Wh/'2022'!Env_an*'2023'!Env_an,0.001*'[11]mon-tableau (3)'!$B$139)</f>
        <v>37.218165905725115</v>
      </c>
      <c r="C261" s="839"/>
      <c r="D261" s="393">
        <f t="shared" si="77"/>
        <v>39.74062625264974</v>
      </c>
      <c r="E261" s="385">
        <f t="shared" si="100"/>
        <v>41.673767853233464</v>
      </c>
      <c r="F261" s="385">
        <f t="shared" si="78"/>
        <v>42.087578723461789</v>
      </c>
      <c r="G261" s="110">
        <f t="shared" si="101"/>
        <v>0.88587821162155278</v>
      </c>
      <c r="H261" s="414" t="b">
        <f>Wh_hp&gt;='2022'!Maxi_hp</f>
        <v>0</v>
      </c>
      <c r="I261" s="390">
        <f>IF(H261,Wh_hp,'2022'!Maxi_hp)</f>
        <v>47.996366652785198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6.3473090003367566E-2</v>
      </c>
      <c r="M261" s="843"/>
      <c r="N261" s="843"/>
      <c r="O261" s="48">
        <f>IF(t&lt;Tnet,'2022'!Resal+('2022'!Salim-'2022'!Resal)*(1-EXP(('2022'!Tnet-t)/('2022'!Tau_j))),Resal+(Salim-Resal)*(1-EXP((Tnet-t)/(Tau_j))))*Salcycl</f>
        <v>4.6387492664254806E-2</v>
      </c>
      <c r="P261" s="169">
        <f>(INDEX(Models!$BJ261:$BT261,,T261)*(1-R261)+INDEX(Models!$BJ261:$BT261,,T261+1)*R261-ERP_i)*Q261*Ramure*Pc/MaxiM</f>
        <v>1.1713597290783459E-2</v>
      </c>
      <c r="Q261" s="305">
        <f t="shared" si="80"/>
        <v>0.8</v>
      </c>
      <c r="R261" s="177">
        <f t="shared" si="81"/>
        <v>0.18250659669971592</v>
      </c>
      <c r="S261" s="809">
        <f t="shared" si="82"/>
        <v>1</v>
      </c>
      <c r="T261" s="176">
        <f t="shared" si="83"/>
        <v>7</v>
      </c>
      <c r="U261" s="251">
        <f t="shared" si="84"/>
        <v>1.1825065966997159</v>
      </c>
      <c r="V261" s="383">
        <f t="shared" si="85"/>
        <v>41.932904113737614</v>
      </c>
      <c r="W261" s="402">
        <f t="shared" si="86"/>
        <v>37.218165905725115</v>
      </c>
      <c r="X261" s="157">
        <f t="shared" si="87"/>
        <v>45173</v>
      </c>
      <c r="Y261" s="385">
        <f t="shared" si="88"/>
        <v>32.542754364990948</v>
      </c>
      <c r="Z261" s="385">
        <f t="shared" si="89"/>
        <v>34.748338801186144</v>
      </c>
      <c r="AA261" s="386">
        <f t="shared" si="90"/>
        <v>40.705571250113344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0.14634931450349351</v>
      </c>
      <c r="AD261" s="231">
        <f>(INDEX(Models!$BJ261:$BT261,,AH261)*(1-AF261)+INDEX(Models!$BJ261:$BT261,,AH261+1)*AF261-ERP_i)*AE261*Ramure*Pc/MaxiM</f>
        <v>3.9119994568351309E-2</v>
      </c>
      <c r="AE261" s="305">
        <f t="shared" si="92"/>
        <v>0.8</v>
      </c>
      <c r="AF261" s="177">
        <f t="shared" si="93"/>
        <v>0.38322334386461954</v>
      </c>
      <c r="AG261" s="809">
        <f t="shared" si="99"/>
        <v>2</v>
      </c>
      <c r="AH261" s="176">
        <f t="shared" si="94"/>
        <v>8</v>
      </c>
      <c r="AI261" s="225">
        <f t="shared" si="95"/>
        <v>2.3832233438646195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1141">
        <f>IF(t&gt;Tmaj,'2022'!Wh/'2022'!Env_an*'2023'!Env_an,0.001*'[11]mon-tableau (3)'!$B$140)</f>
        <v>33.212756138477381</v>
      </c>
      <c r="C262" s="839"/>
      <c r="D262" s="393">
        <f t="shared" si="77"/>
        <v>35.464593846660549</v>
      </c>
      <c r="E262" s="385">
        <f t="shared" si="100"/>
        <v>37.197228264298857</v>
      </c>
      <c r="F262" s="385">
        <f t="shared" si="78"/>
        <v>37.524720475806014</v>
      </c>
      <c r="G262" s="110">
        <f t="shared" si="101"/>
        <v>0.79570165875193022</v>
      </c>
      <c r="H262" s="414" t="b">
        <f>Wh_hp&gt;='2022'!Maxi_hp</f>
        <v>0</v>
      </c>
      <c r="I262" s="390">
        <f>IF(H262,Wh_hp,'2022'!Maxi_hp)</f>
        <v>45.417444264252914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6.3495375639137902E-2</v>
      </c>
      <c r="M262" s="843"/>
      <c r="N262" s="843"/>
      <c r="O262" s="48">
        <f>IF(t&lt;Tnet,'2022'!Resal+('2022'!Salim-'2022'!Resal)*(1-EXP(('2022'!Tnet-t)/('2022'!Tau_j))),Resal+(Salim-Resal)*(1-EXP((Tnet-t)/(Tau_j))))*Salcycl</f>
        <v>4.6579664627895298E-2</v>
      </c>
      <c r="P262" s="169">
        <f>(INDEX(Models!$BJ262:$BT262,,T262)*(1-R262)+INDEX(Models!$BJ262:$BT262,,T262+1)*R262-ERP_i)*Q262*Ramure*Pc/MaxiM</f>
        <v>1.2254038361499672E-2</v>
      </c>
      <c r="Q262" s="305">
        <f t="shared" si="80"/>
        <v>0.8</v>
      </c>
      <c r="R262" s="177">
        <f t="shared" si="81"/>
        <v>0.18317403825104228</v>
      </c>
      <c r="S262" s="809">
        <f t="shared" si="82"/>
        <v>1</v>
      </c>
      <c r="T262" s="176">
        <f t="shared" si="83"/>
        <v>7</v>
      </c>
      <c r="U262" s="251">
        <f t="shared" si="84"/>
        <v>1.1831740382510423</v>
      </c>
      <c r="V262" s="383">
        <f t="shared" si="85"/>
        <v>41.591712471248862</v>
      </c>
      <c r="W262" s="402">
        <f t="shared" si="86"/>
        <v>33.212756138477381</v>
      </c>
      <c r="X262" s="157">
        <f t="shared" si="87"/>
        <v>45174</v>
      </c>
      <c r="Y262" s="385">
        <f t="shared" si="88"/>
        <v>29.134455294193678</v>
      </c>
      <c r="Z262" s="385">
        <f t="shared" si="89"/>
        <v>31.109782628224735</v>
      </c>
      <c r="AA262" s="386">
        <f t="shared" si="90"/>
        <v>36.444954014816837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0.14638985096326551</v>
      </c>
      <c r="AD262" s="231">
        <f>(INDEX(Models!$BJ262:$BT262,,AH262)*(1-AF262)+INDEX(Models!$BJ262:$BT262,,AH262+1)*AF262-ERP_i)*AE262*Ramure*Pc/MaxiM</f>
        <v>4.0402486439385446E-2</v>
      </c>
      <c r="AE262" s="305">
        <f t="shared" si="92"/>
        <v>0.8</v>
      </c>
      <c r="AF262" s="177">
        <f t="shared" si="93"/>
        <v>0.38389078541594568</v>
      </c>
      <c r="AG262" s="809">
        <f t="shared" si="99"/>
        <v>2</v>
      </c>
      <c r="AH262" s="176">
        <f t="shared" si="94"/>
        <v>8</v>
      </c>
      <c r="AI262" s="225">
        <f t="shared" si="95"/>
        <v>2.3838907854159457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1141">
        <f>IF(t&gt;Tmaj,'2022'!Wh/'2022'!Env_an*'2023'!Env_an,0.001*'[11]mon-tableau (3)'!$B$141)</f>
        <v>38.006939215423202</v>
      </c>
      <c r="C263" s="839"/>
      <c r="D263" s="393">
        <f t="shared" si="77"/>
        <v>40.584790147902872</v>
      </c>
      <c r="E263" s="385">
        <f t="shared" si="100"/>
        <v>42.576128793970774</v>
      </c>
      <c r="F263" s="385">
        <f t="shared" si="78"/>
        <v>43.065531519782105</v>
      </c>
      <c r="G263" s="110">
        <f t="shared" si="101"/>
        <v>0.92013778605981233</v>
      </c>
      <c r="H263" s="414" t="b">
        <f>Wh_hp&gt;='2022'!Maxi_hp</f>
        <v>0</v>
      </c>
      <c r="I263" s="390">
        <f>IF(H263,Wh_hp,'2022'!Maxi_hp)</f>
        <v>48.931389708757251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6.3517660756288868E-2</v>
      </c>
      <c r="M263" s="843"/>
      <c r="N263" s="843"/>
      <c r="O263" s="48">
        <f>IF(t&lt;Tnet,'2022'!Resal+('2022'!Salim-'2022'!Resal)*(1-EXP(('2022'!Tnet-t)/('2022'!Tau_j))),Resal+(Salim-Resal)*(1-EXP((Tnet-t)/(Tau_j))))*Salcycl</f>
        <v>4.6771247233494205E-2</v>
      </c>
      <c r="P263" s="169">
        <f>(INDEX(Models!$BJ263:$BT263,,T263)*(1-R263)+INDEX(Models!$BJ263:$BT263,,T263+1)*R263-ERP_i)*Q263*Ramure*Pc/MaxiM</f>
        <v>1.2800005982850589E-2</v>
      </c>
      <c r="Q263" s="305">
        <f t="shared" si="80"/>
        <v>0.8</v>
      </c>
      <c r="R263" s="177">
        <f t="shared" si="81"/>
        <v>0.18381604296900012</v>
      </c>
      <c r="S263" s="809">
        <f t="shared" si="82"/>
        <v>1</v>
      </c>
      <c r="T263" s="176">
        <f t="shared" si="83"/>
        <v>7</v>
      </c>
      <c r="U263" s="251">
        <f t="shared" si="84"/>
        <v>1.1838160429690001</v>
      </c>
      <c r="V263" s="383">
        <f t="shared" si="85"/>
        <v>41.245712993853111</v>
      </c>
      <c r="W263" s="402">
        <f t="shared" si="86"/>
        <v>38.006939215423202</v>
      </c>
      <c r="X263" s="157">
        <f t="shared" si="87"/>
        <v>45175</v>
      </c>
      <c r="Y263" s="385">
        <f t="shared" si="88"/>
        <v>33.151465367318231</v>
      </c>
      <c r="Z263" s="385">
        <f t="shared" si="89"/>
        <v>35.399989917685843</v>
      </c>
      <c r="AA263" s="386">
        <f t="shared" si="90"/>
        <v>41.472834872635715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0.14642946337282597</v>
      </c>
      <c r="AD263" s="231">
        <f>(INDEX(Models!$BJ263:$BT263,,AH263)*(1-AF263)+INDEX(Models!$BJ263:$BT263,,AH263+1)*AF263-ERP_i)*AE263*Ramure*Pc/MaxiM</f>
        <v>4.1655931888289456E-2</v>
      </c>
      <c r="AE263" s="305">
        <f t="shared" si="92"/>
        <v>0.8</v>
      </c>
      <c r="AF263" s="177">
        <f t="shared" si="93"/>
        <v>0.38453279013390373</v>
      </c>
      <c r="AG263" s="809">
        <f t="shared" si="99"/>
        <v>2</v>
      </c>
      <c r="AH263" s="176">
        <f t="shared" si="94"/>
        <v>8</v>
      </c>
      <c r="AI263" s="225">
        <f t="shared" si="95"/>
        <v>2.3845327901339037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1141">
        <f>IF(t&gt;Tmaj,'2022'!Wh/'2022'!Env_an*'2023'!Env_an,0.001*'[11]mon-tableau (3)'!$B$142)</f>
        <v>32.465709593029757</v>
      </c>
      <c r="C264" s="839"/>
      <c r="D264" s="393">
        <f t="shared" si="77"/>
        <v>34.668547186811175</v>
      </c>
      <c r="E264" s="385">
        <f t="shared" si="100"/>
        <v>36.376886812806418</v>
      </c>
      <c r="F264" s="385">
        <f t="shared" si="78"/>
        <v>36.722818762566575</v>
      </c>
      <c r="G264" s="110">
        <f t="shared" si="101"/>
        <v>0.79072664079687516</v>
      </c>
      <c r="H264" s="414" t="b">
        <f>Wh_hp&gt;='2022'!Maxi_hp</f>
        <v>0</v>
      </c>
      <c r="I264" s="390">
        <f>IF(H264,Wh_hp,'2022'!Maxi_hp)</f>
        <v>44.353228487080955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6.3539945354832678E-2</v>
      </c>
      <c r="M264" s="843"/>
      <c r="N264" s="843"/>
      <c r="O264" s="48">
        <f>IF(t&lt;Tnet,'2022'!Resal+('2022'!Salim-'2022'!Resal)*(1-EXP(('2022'!Tnet-t)/('2022'!Tau_j))),Resal+(Salim-Resal)*(1-EXP((Tnet-t)/(Tau_j))))*Salcycl</f>
        <v>4.6962227273220837E-2</v>
      </c>
      <c r="P264" s="169">
        <f>(INDEX(Models!$BJ264:$BT264,,T264)*(1-R264)+INDEX(Models!$BJ264:$BT264,,T264+1)*R264-ERP_i)*Q264*Ramure*Pc/MaxiM</f>
        <v>1.3351605464566924E-2</v>
      </c>
      <c r="Q264" s="305">
        <f t="shared" si="80"/>
        <v>0.8</v>
      </c>
      <c r="R264" s="177">
        <f t="shared" si="81"/>
        <v>0.18443352604864538</v>
      </c>
      <c r="S264" s="809">
        <f t="shared" si="82"/>
        <v>1</v>
      </c>
      <c r="T264" s="176">
        <f t="shared" si="83"/>
        <v>7</v>
      </c>
      <c r="U264" s="251">
        <f t="shared" si="84"/>
        <v>1.1844335260486454</v>
      </c>
      <c r="V264" s="383">
        <f t="shared" si="85"/>
        <v>40.895113939861886</v>
      </c>
      <c r="W264" s="402">
        <f t="shared" si="86"/>
        <v>32.465709593029757</v>
      </c>
      <c r="X264" s="157">
        <f t="shared" si="87"/>
        <v>45176</v>
      </c>
      <c r="Y264" s="385">
        <f t="shared" si="88"/>
        <v>28.464482129436554</v>
      </c>
      <c r="Z264" s="385">
        <f t="shared" si="89"/>
        <v>30.395831608879451</v>
      </c>
      <c r="AA264" s="386">
        <f t="shared" si="90"/>
        <v>35.611829237453961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0.14646811860730535</v>
      </c>
      <c r="AD264" s="231">
        <f>(INDEX(Models!$BJ264:$BT264,,AH264)*(1-AF264)+INDEX(Models!$BJ264:$BT264,,AH264+1)*AF264-ERP_i)*AE264*Ramure*Pc/MaxiM</f>
        <v>4.2879802876995152E-2</v>
      </c>
      <c r="AE264" s="305">
        <f t="shared" si="92"/>
        <v>0.8</v>
      </c>
      <c r="AF264" s="177">
        <f t="shared" si="93"/>
        <v>0.385150273213549</v>
      </c>
      <c r="AG264" s="809">
        <f t="shared" si="99"/>
        <v>2</v>
      </c>
      <c r="AH264" s="176">
        <f t="shared" si="94"/>
        <v>8</v>
      </c>
      <c r="AI264" s="225">
        <f t="shared" si="95"/>
        <v>2.385150273213549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1141">
        <f>IF(t&gt;Tmaj,'2022'!Wh/'2022'!Env_an*'2023'!Env_an,0.001*'[11]mon-tableau (3)'!$B$143)</f>
        <v>29.664958035261407</v>
      </c>
      <c r="C265" s="839"/>
      <c r="D265" s="393">
        <f t="shared" si="77"/>
        <v>31.678515078856883</v>
      </c>
      <c r="E265" s="385">
        <f t="shared" si="100"/>
        <v>33.246157545945564</v>
      </c>
      <c r="F265" s="385">
        <f t="shared" si="78"/>
        <v>33.533834278270689</v>
      </c>
      <c r="G265" s="110">
        <f t="shared" si="101"/>
        <v>0.72780904641794886</v>
      </c>
      <c r="H265" s="414" t="b">
        <f>Wh_hp&gt;='2022'!Maxi_hp</f>
        <v>0</v>
      </c>
      <c r="I265" s="390">
        <f>IF(H265,Wh_hp,'2022'!Maxi_hp)</f>
        <v>42.753480627950061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6.3562229434781209E-2</v>
      </c>
      <c r="M265" s="843"/>
      <c r="N265" s="843"/>
      <c r="O265" s="48">
        <f>IF(t&lt;Tnet,'2022'!Resal+('2022'!Salim-'2022'!Resal)*(1-EXP(('2022'!Tnet-t)/('2022'!Tau_j))),Resal+(Salim-Resal)*(1-EXP((Tnet-t)/(Tau_j))))*Salcycl</f>
        <v>4.7152590939937247E-2</v>
      </c>
      <c r="P265" s="169">
        <f>(INDEX(Models!$BJ265:$BT265,,T265)*(1-R265)+INDEX(Models!$BJ265:$BT265,,T265+1)*R265-ERP_i)*Q265*Ramure*Pc/MaxiM</f>
        <v>1.3908941927268737E-2</v>
      </c>
      <c r="Q265" s="305">
        <f t="shared" si="80"/>
        <v>0.8</v>
      </c>
      <c r="R265" s="177">
        <f t="shared" si="81"/>
        <v>0.18502737394486024</v>
      </c>
      <c r="S265" s="809">
        <f t="shared" si="82"/>
        <v>1</v>
      </c>
      <c r="T265" s="176">
        <f t="shared" si="83"/>
        <v>7</v>
      </c>
      <c r="U265" s="251">
        <f t="shared" si="84"/>
        <v>1.1850273739448602</v>
      </c>
      <c r="V265" s="383">
        <f t="shared" si="85"/>
        <v>40.540123249144081</v>
      </c>
      <c r="W265" s="402">
        <f t="shared" si="86"/>
        <v>29.664958035261407</v>
      </c>
      <c r="X265" s="157">
        <f t="shared" si="87"/>
        <v>45177</v>
      </c>
      <c r="Y265" s="385">
        <f t="shared" si="88"/>
        <v>26.07315902876427</v>
      </c>
      <c r="Z265" s="385">
        <f t="shared" si="89"/>
        <v>27.842916900956407</v>
      </c>
      <c r="AA265" s="386">
        <f t="shared" si="90"/>
        <v>32.622267753483371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0.14650578214375148</v>
      </c>
      <c r="AD265" s="231">
        <f>(INDEX(Models!$BJ265:$BT265,,AH265)*(1-AF265)+INDEX(Models!$BJ265:$BT265,,AH265+1)*AF265-ERP_i)*AE265*Ramure*Pc/MaxiM</f>
        <v>4.4073518750135189E-2</v>
      </c>
      <c r="AE265" s="305">
        <f t="shared" si="92"/>
        <v>0.8</v>
      </c>
      <c r="AF265" s="177">
        <f t="shared" si="93"/>
        <v>0.38574412110976386</v>
      </c>
      <c r="AG265" s="809">
        <f t="shared" si="99"/>
        <v>2</v>
      </c>
      <c r="AH265" s="176">
        <f t="shared" si="94"/>
        <v>8</v>
      </c>
      <c r="AI265" s="225">
        <f t="shared" si="95"/>
        <v>2.3857441211097639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1141">
        <f>IF(t&gt;Tmaj,'2022'!Wh/'2022'!Env_an*'2023'!Env_an,0.001*'[11]mon-tableau (3)'!$B$144)</f>
        <v>22.076517991121158</v>
      </c>
      <c r="C266" s="839"/>
      <c r="D266" s="393">
        <f t="shared" si="77"/>
        <v>23.575558389958914</v>
      </c>
      <c r="E266" s="385">
        <f t="shared" si="100"/>
        <v>24.747145778653476</v>
      </c>
      <c r="F266" s="385">
        <f t="shared" si="78"/>
        <v>24.875422810506596</v>
      </c>
      <c r="G266" s="110">
        <f t="shared" si="101"/>
        <v>0.54428286228162226</v>
      </c>
      <c r="H266" s="414" t="b">
        <f>Wh_hp&gt;='2022'!Maxi_hp</f>
        <v>0</v>
      </c>
      <c r="I266" s="390">
        <f>IF(H266,Wh_hp,'2022'!Maxi_hp)</f>
        <v>43.385482084784094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6.3584512996146675E-2</v>
      </c>
      <c r="M266" s="843"/>
      <c r="N266" s="843"/>
      <c r="O266" s="48">
        <f>IF(t&lt;Tnet,'2022'!Resal+('2022'!Salim-'2022'!Resal)*(1-EXP(('2022'!Tnet-t)/('2022'!Tau_j))),Resal+(Salim-Resal)*(1-EXP((Tnet-t)/(Tau_j))))*Salcycl</f>
        <v>4.7342323804677039E-2</v>
      </c>
      <c r="P266" s="169">
        <f>(INDEX(Models!$BJ266:$BT266,,T266)*(1-R266)+INDEX(Models!$BJ266:$BT266,,T266+1)*R266-ERP_i)*Q266*Ramure*Pc/MaxiM</f>
        <v>1.4472119596269675E-2</v>
      </c>
      <c r="Q266" s="305">
        <f t="shared" si="80"/>
        <v>0.8</v>
      </c>
      <c r="R266" s="177">
        <f t="shared" si="81"/>
        <v>0.18559844494408662</v>
      </c>
      <c r="S266" s="809">
        <f t="shared" si="82"/>
        <v>1</v>
      </c>
      <c r="T266" s="176">
        <f t="shared" si="83"/>
        <v>7</v>
      </c>
      <c r="U266" s="251">
        <f t="shared" si="84"/>
        <v>1.1855984449440866</v>
      </c>
      <c r="V266" s="383">
        <f t="shared" si="85"/>
        <v>40.18094856405628</v>
      </c>
      <c r="W266" s="402">
        <f t="shared" si="86"/>
        <v>22.076517991121158</v>
      </c>
      <c r="X266" s="157">
        <f t="shared" si="87"/>
        <v>45178</v>
      </c>
      <c r="Y266" s="385">
        <f t="shared" si="88"/>
        <v>19.55976481185462</v>
      </c>
      <c r="Z266" s="385">
        <f t="shared" si="89"/>
        <v>20.887912559453572</v>
      </c>
      <c r="AA266" s="386">
        <f t="shared" si="90"/>
        <v>24.474458954216669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0.14654241801513559</v>
      </c>
      <c r="AD266" s="231">
        <f>(INDEX(Models!$BJ266:$BT266,,AH266)*(1-AF266)+INDEX(Models!$BJ266:$BT266,,AH266+1)*AF266-ERP_i)*AE266*Ramure*Pc/MaxiM</f>
        <v>4.5236444889476743E-2</v>
      </c>
      <c r="AE266" s="305">
        <f t="shared" si="92"/>
        <v>0.8</v>
      </c>
      <c r="AF266" s="177">
        <f t="shared" si="93"/>
        <v>0.38631519210899024</v>
      </c>
      <c r="AG266" s="809">
        <f t="shared" si="99"/>
        <v>2</v>
      </c>
      <c r="AH266" s="176">
        <f t="shared" si="94"/>
        <v>8</v>
      </c>
      <c r="AI266" s="225">
        <f t="shared" si="95"/>
        <v>2.3863151921089902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1141">
        <f>IF(t&gt;Tmaj,'2022'!Wh/'2022'!Env_an*'2023'!Env_an,0.001*'[11]mon-tableau (3)'!$B$145)</f>
        <v>37.744310306456249</v>
      </c>
      <c r="C267" s="839"/>
      <c r="D267" s="393">
        <f t="shared" si="77"/>
        <v>40.308184795439736</v>
      </c>
      <c r="E267" s="385">
        <f t="shared" si="100"/>
        <v>42.319699833040872</v>
      </c>
      <c r="F267" s="385">
        <f t="shared" si="78"/>
        <v>42.917205771610966</v>
      </c>
      <c r="G267" s="110">
        <f t="shared" si="101"/>
        <v>0.94684996948655187</v>
      </c>
      <c r="H267" s="414" t="b">
        <f>Wh_hp&gt;='2022'!Maxi_hp</f>
        <v>0</v>
      </c>
      <c r="I267" s="390">
        <f>IF(H267,Wh_hp,'2022'!Maxi_hp)</f>
        <v>42.945778972423717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6.3606796038941177E-2</v>
      </c>
      <c r="M267" s="843"/>
      <c r="N267" s="843"/>
      <c r="O267" s="48">
        <f>IF(t&lt;Tnet,'2022'!Resal+('2022'!Salim-'2022'!Resal)*(1-EXP(('2022'!Tnet-t)/('2022'!Tau_j))),Resal+(Salim-Resal)*(1-EXP((Tnet-t)/(Tau_j))))*Salcycl</f>
        <v>4.7531410797735721E-2</v>
      </c>
      <c r="P267" s="169">
        <f>(INDEX(Models!$BJ267:$BT267,,T267)*(1-R267)+INDEX(Models!$BJ267:$BT267,,T267+1)*R267-ERP_i)*Q267*Ramure*Pc/MaxiM</f>
        <v>1.5041241073181277E-2</v>
      </c>
      <c r="Q267" s="305">
        <f t="shared" si="80"/>
        <v>0.8</v>
      </c>
      <c r="R267" s="177">
        <f t="shared" si="81"/>
        <v>0.18614756975328439</v>
      </c>
      <c r="S267" s="809">
        <f t="shared" si="82"/>
        <v>1</v>
      </c>
      <c r="T267" s="176">
        <f t="shared" si="83"/>
        <v>7</v>
      </c>
      <c r="U267" s="251">
        <f t="shared" si="84"/>
        <v>1.1861475697532844</v>
      </c>
      <c r="V267" s="383">
        <f t="shared" si="85"/>
        <v>39.817797249445363</v>
      </c>
      <c r="W267" s="402">
        <f t="shared" si="86"/>
        <v>37.744310306456249</v>
      </c>
      <c r="X267" s="157">
        <f t="shared" si="87"/>
        <v>45179</v>
      </c>
      <c r="Y267" s="385">
        <f t="shared" si="88"/>
        <v>32.824827781778602</v>
      </c>
      <c r="Z267" s="385">
        <f t="shared" si="89"/>
        <v>35.054534401708096</v>
      </c>
      <c r="AA267" s="386">
        <f t="shared" si="90"/>
        <v>41.075263985102936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0.14657798877636963</v>
      </c>
      <c r="AD267" s="231">
        <f>(INDEX(Models!$BJ267:$BT267,,AH267)*(1-AF267)+INDEX(Models!$BJ267:$BT267,,AH267+1)*AF267-ERP_i)*AE267*Ramure*Pc/MaxiM</f>
        <v>4.6367891371816586E-2</v>
      </c>
      <c r="AE267" s="305">
        <f t="shared" si="92"/>
        <v>0.8</v>
      </c>
      <c r="AF267" s="177">
        <f t="shared" si="93"/>
        <v>0.38686431691818779</v>
      </c>
      <c r="AG267" s="809">
        <f t="shared" si="99"/>
        <v>2</v>
      </c>
      <c r="AH267" s="176">
        <f t="shared" si="94"/>
        <v>8</v>
      </c>
      <c r="AI267" s="225">
        <f t="shared" si="95"/>
        <v>2.3868643169181878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1141">
        <f>IF(t&gt;Tmaj,'2022'!Wh/'2022'!Env_an*'2023'!Env_an,0.001*'[11]mon-tableau (3)'!$B$146)</f>
        <v>36.707447624291866</v>
      </c>
      <c r="C268" s="839"/>
      <c r="D268" s="393">
        <f t="shared" si="77"/>
        <v>39.201823533739997</v>
      </c>
      <c r="E268" s="385">
        <f t="shared" si="100"/>
        <v>41.166271254742192</v>
      </c>
      <c r="F268" s="385">
        <f t="shared" si="78"/>
        <v>41.753007317511099</v>
      </c>
      <c r="G268" s="110">
        <f t="shared" si="101"/>
        <v>0.9289837753060417</v>
      </c>
      <c r="H268" s="414" t="b">
        <f>Wh_hp&gt;='2022'!Maxi_hp</f>
        <v>0</v>
      </c>
      <c r="I268" s="390">
        <f>IF(H268,Wh_hp,'2022'!Maxi_hp)</f>
        <v>43.805127981597593</v>
      </c>
      <c r="J268" s="85">
        <f>IF(H268,An,'2022'!An_max)</f>
        <v>2019</v>
      </c>
      <c r="K268" s="197">
        <f t="shared" si="79"/>
        <v>45180</v>
      </c>
      <c r="L268" s="147">
        <f>IF(t&lt;Tvie,1-EXP((T0-t)*PertePVj)+'2022'!Pspv,1-EXP((T0-t)*PertePVj)+Pspv)</f>
        <v>6.3629078563176705E-2</v>
      </c>
      <c r="M268" s="843"/>
      <c r="N268" s="843"/>
      <c r="O268" s="48">
        <f>IF(t&lt;Tnet,'2022'!Resal+('2022'!Salim-'2022'!Resal)*(1-EXP(('2022'!Tnet-t)/('2022'!Tau_j))),Resal+(Salim-Resal)*(1-EXP((Tnet-t)/(Tau_j))))*Salcycl</f>
        <v>4.7719836194197417E-2</v>
      </c>
      <c r="P268" s="169">
        <f>(INDEX(Models!$BJ268:$BT268,,T268)*(1-R268)+INDEX(Models!$BJ268:$BT268,,T268+1)*R268-ERP_i)*Q268*Ramure*Pc/MaxiM</f>
        <v>1.560287372269115E-2</v>
      </c>
      <c r="Q268" s="305">
        <f t="shared" si="80"/>
        <v>0.8</v>
      </c>
      <c r="R268" s="177">
        <f t="shared" si="81"/>
        <v>0.18667555210288844</v>
      </c>
      <c r="S268" s="809">
        <f t="shared" si="82"/>
        <v>1</v>
      </c>
      <c r="T268" s="176">
        <f t="shared" si="83"/>
        <v>7</v>
      </c>
      <c r="U268" s="251">
        <f t="shared" si="84"/>
        <v>1.1866755521028884</v>
      </c>
      <c r="V268" s="383">
        <f t="shared" si="85"/>
        <v>39.451418767893081</v>
      </c>
      <c r="W268" s="402">
        <f t="shared" si="86"/>
        <v>36.707447624291866</v>
      </c>
      <c r="X268" s="157">
        <f t="shared" si="87"/>
        <v>45180</v>
      </c>
      <c r="Y268" s="385">
        <f t="shared" si="88"/>
        <v>31.939417674392569</v>
      </c>
      <c r="Z268" s="385">
        <f t="shared" si="89"/>
        <v>34.109792330354324</v>
      </c>
      <c r="AA268" s="386">
        <f t="shared" si="90"/>
        <v>39.96987365186083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0.14661245548454938</v>
      </c>
      <c r="AD268" s="231">
        <f>(INDEX(Models!$BJ268:$BT268,,AH268)*(1-AF268)+INDEX(Models!$BJ268:$BT268,,AH268+1)*AF268-ERP_i)*AE268*Ramure*Pc/MaxiM</f>
        <v>4.7418270635221735E-2</v>
      </c>
      <c r="AE268" s="305">
        <f t="shared" si="92"/>
        <v>0.8</v>
      </c>
      <c r="AF268" s="177">
        <f t="shared" si="93"/>
        <v>0.38739229926779206</v>
      </c>
      <c r="AG268" s="809">
        <f t="shared" si="99"/>
        <v>2</v>
      </c>
      <c r="AH268" s="176">
        <f t="shared" si="94"/>
        <v>8</v>
      </c>
      <c r="AI268" s="225">
        <f t="shared" si="95"/>
        <v>2.3873922992677921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1141">
        <f>IF(t&gt;Tmaj,'2022'!Wh/'2022'!Env_an*'2023'!Env_an,0.001*'[11]mon-tableau (3)'!$B$147)</f>
        <v>26.429499326495364</v>
      </c>
      <c r="C269" s="839"/>
      <c r="D269" s="393">
        <f t="shared" si="77"/>
        <v>28.226130966081424</v>
      </c>
      <c r="E269" s="385">
        <f t="shared" si="100"/>
        <v>29.646419276132931</v>
      </c>
      <c r="F269" s="385">
        <f t="shared" si="78"/>
        <v>29.906216544787185</v>
      </c>
      <c r="G269" s="110">
        <f t="shared" si="101"/>
        <v>0.67116155152909451</v>
      </c>
      <c r="H269" s="414" t="b">
        <f>Wh_hp&gt;='2022'!Maxi_hp</f>
        <v>0</v>
      </c>
      <c r="I269" s="390">
        <f>IF(H269,Wh_hp,'2022'!Maxi_hp)</f>
        <v>44.561569210056845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6.3651360568865251E-2</v>
      </c>
      <c r="M269" s="843"/>
      <c r="N269" s="843"/>
      <c r="O269" s="48">
        <f>IF(t&lt;Tnet,'2022'!Resal+('2022'!Salim-'2022'!Resal)*(1-EXP(('2022'!Tnet-t)/('2022'!Tau_j))),Resal+(Salim-Resal)*(1-EXP((Tnet-t)/(Tau_j))))*Salcycl</f>
        <v>4.7907583604706004E-2</v>
      </c>
      <c r="P269" s="169">
        <f>(INDEX(Models!$BJ269:$BT269,,T269)*(1-R269)+INDEX(Models!$BJ269:$BT269,,T269+1)*R269-ERP_i)*Q269*Ramure*Pc/MaxiM</f>
        <v>1.6161530341164233E-2</v>
      </c>
      <c r="Q269" s="305">
        <f t="shared" si="80"/>
        <v>0.8</v>
      </c>
      <c r="R269" s="177">
        <f t="shared" si="81"/>
        <v>0.18718316936079282</v>
      </c>
      <c r="S269" s="809">
        <f t="shared" si="82"/>
        <v>1</v>
      </c>
      <c r="T269" s="176">
        <f t="shared" si="83"/>
        <v>7</v>
      </c>
      <c r="U269" s="251">
        <f t="shared" si="84"/>
        <v>1.1871831693607928</v>
      </c>
      <c r="V269" s="383">
        <f t="shared" si="85"/>
        <v>39.081830257494573</v>
      </c>
      <c r="W269" s="402">
        <f t="shared" si="86"/>
        <v>26.429499326495364</v>
      </c>
      <c r="X269" s="157">
        <f t="shared" si="87"/>
        <v>45181</v>
      </c>
      <c r="Y269" s="385">
        <f t="shared" si="88"/>
        <v>23.274371691361786</v>
      </c>
      <c r="Z269" s="385">
        <f t="shared" si="89"/>
        <v>24.856523212872716</v>
      </c>
      <c r="AA269" s="386">
        <f t="shared" si="90"/>
        <v>29.128025107496303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0.14664577769552539</v>
      </c>
      <c r="AD269" s="231">
        <f>(INDEX(Models!$BJ269:$BT269,,AH269)*(1-AF269)+INDEX(Models!$BJ269:$BT269,,AH269+1)*AF269-ERP_i)*AE269*Ramure*Pc/MaxiM</f>
        <v>4.8409918203367916E-2</v>
      </c>
      <c r="AE269" s="305">
        <f t="shared" si="92"/>
        <v>0.8</v>
      </c>
      <c r="AF269" s="177">
        <f t="shared" si="93"/>
        <v>0.38789991652569622</v>
      </c>
      <c r="AG269" s="809">
        <f t="shared" si="99"/>
        <v>2</v>
      </c>
      <c r="AH269" s="176">
        <f t="shared" si="94"/>
        <v>8</v>
      </c>
      <c r="AI269" s="225">
        <f t="shared" si="95"/>
        <v>2.3878999165256962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1141">
        <f>IF(t&gt;Tmaj,'2022'!Wh/'2022'!Env_an*'2023'!Env_an,0.001*'[11]mon-tableau (3)'!$B$148)</f>
        <v>12.844292728931187</v>
      </c>
      <c r="C270" s="839"/>
      <c r="D270" s="393">
        <f t="shared" si="77"/>
        <v>13.717751956844562</v>
      </c>
      <c r="E270" s="385">
        <f t="shared" si="100"/>
        <v>14.410835861667492</v>
      </c>
      <c r="F270" s="385">
        <f t="shared" si="78"/>
        <v>14.421793289240361</v>
      </c>
      <c r="G270" s="110">
        <f t="shared" si="101"/>
        <v>0.32651577682511923</v>
      </c>
      <c r="H270" s="414" t="b">
        <f>Wh_hp&gt;='2022'!Maxi_hp</f>
        <v>0</v>
      </c>
      <c r="I270" s="390">
        <f>IF(H270,Wh_hp,'2022'!Maxi_hp)</f>
        <v>41.322642207532596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6.3673642056019136E-2</v>
      </c>
      <c r="M270" s="843"/>
      <c r="N270" s="843"/>
      <c r="O270" s="48">
        <f>IF(t&lt;Tnet,'2022'!Resal+('2022'!Salim-'2022'!Resal)*(1-EXP(('2022'!Tnet-t)/('2022'!Tau_j))),Resal+(Salim-Resal)*(1-EXP((Tnet-t)/(Tau_j))))*Salcycl</f>
        <v>4.8094635972262781E-2</v>
      </c>
      <c r="P270" s="169">
        <f>(INDEX(Models!$BJ270:$BT270,,T270)*(1-R270)+INDEX(Models!$BJ270:$BT270,,T270+1)*R270-ERP_i)*Q270*Ramure*Pc/MaxiM</f>
        <v>1.6717065731700301E-2</v>
      </c>
      <c r="Q270" s="305">
        <f t="shared" si="80"/>
        <v>0.8</v>
      </c>
      <c r="R270" s="177">
        <f t="shared" si="81"/>
        <v>0.18767117315464499</v>
      </c>
      <c r="S270" s="809">
        <f t="shared" si="82"/>
        <v>1</v>
      </c>
      <c r="T270" s="176">
        <f t="shared" si="83"/>
        <v>7</v>
      </c>
      <c r="U270" s="251">
        <f t="shared" si="84"/>
        <v>1.187671173154645</v>
      </c>
      <c r="V270" s="383">
        <f t="shared" si="85"/>
        <v>38.709237858703545</v>
      </c>
      <c r="W270" s="402">
        <f t="shared" si="86"/>
        <v>12.844292728931187</v>
      </c>
      <c r="X270" s="157">
        <f t="shared" si="87"/>
        <v>45182</v>
      </c>
      <c r="Y270" s="385">
        <f t="shared" si="88"/>
        <v>11.496998764213942</v>
      </c>
      <c r="Z270" s="385">
        <f t="shared" si="89"/>
        <v>12.278837038678976</v>
      </c>
      <c r="AA270" s="386">
        <f t="shared" si="90"/>
        <v>14.389451805632358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0.14667791347876374</v>
      </c>
      <c r="AD270" s="231">
        <f>(INDEX(Models!$BJ270:$BT270,,AH270)*(1-AF270)+INDEX(Models!$BJ270:$BT270,,AH270+1)*AF270-ERP_i)*AE270*Ramure*Pc/MaxiM</f>
        <v>4.9341390006024201E-2</v>
      </c>
      <c r="AE270" s="305">
        <f t="shared" si="92"/>
        <v>0.8</v>
      </c>
      <c r="AF270" s="177">
        <f t="shared" si="93"/>
        <v>0.38838792031954839</v>
      </c>
      <c r="AG270" s="809">
        <f t="shared" si="99"/>
        <v>2</v>
      </c>
      <c r="AH270" s="176">
        <f t="shared" si="94"/>
        <v>8</v>
      </c>
      <c r="AI270" s="225">
        <f t="shared" si="95"/>
        <v>2.3883879203195484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1141">
        <f>IF(t&gt;Tmaj,'2022'!Wh/'2022'!Env_an*'2023'!Env_an,0.001*'[11]mon-tableau (3)'!$B$149)</f>
        <v>29.073346120963151</v>
      </c>
      <c r="C271" s="839"/>
      <c r="D271" s="393">
        <f t="shared" ref="D271:D334" si="102">Wh/(1-Ppv)</f>
        <v>31.05117967111935</v>
      </c>
      <c r="E271" s="385">
        <f t="shared" si="100"/>
        <v>32.62641480756934</v>
      </c>
      <c r="F271" s="385">
        <f t="shared" ref="F271:F334" si="103">Wh_sa/(1-Pvg*MEDIAN((-Sdif+Wh/Env_an)/Csdif,0,1))</f>
        <v>32.999625879758732</v>
      </c>
      <c r="G271" s="110">
        <f t="shared" si="101"/>
        <v>0.753853206735418</v>
      </c>
      <c r="H271" s="414" t="b">
        <f>Wh_hp&gt;='2022'!Maxi_hp</f>
        <v>0</v>
      </c>
      <c r="I271" s="390">
        <f>IF(H271,Wh_hp,'2022'!Maxi_hp)</f>
        <v>40.506292806876168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6.3695923024650131E-2</v>
      </c>
      <c r="M271" s="843"/>
      <c r="N271" s="843"/>
      <c r="O271" s="48">
        <f>IF(t&lt;Tnet,'2022'!Resal+('2022'!Salim-'2022'!Resal)*(1-EXP(('2022'!Tnet-t)/('2022'!Tau_j))),Resal+(Salim-Resal)*(1-EXP((Tnet-t)/(Tau_j))))*Salcycl</f>
        <v>4.8280975575794381E-2</v>
      </c>
      <c r="P271" s="169">
        <f>(INDEX(Models!$BJ271:$BT271,,T271)*(1-R271)+INDEX(Models!$BJ271:$BT271,,T271+1)*R271-ERP_i)*Q271*Ramure*Pc/MaxiM</f>
        <v>1.7269322474991869E-2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0.18814028999996779</v>
      </c>
      <c r="S271" s="80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1.1881402899999678</v>
      </c>
      <c r="V271" s="383">
        <f t="shared" ref="V271:V334" si="110">MaxiM*(1-Ppv)*(1-Pvg)*(1-Psa)</f>
        <v>38.333847283612265</v>
      </c>
      <c r="W271" s="402">
        <f t="shared" ref="W271:W334" si="111">Wh*(A271&gt;Tmaj)</f>
        <v>29.073346120963151</v>
      </c>
      <c r="X271" s="157">
        <f t="shared" ref="X271:X334" si="112">t</f>
        <v>45183</v>
      </c>
      <c r="Y271" s="385">
        <f t="shared" ref="Y271:Y334" si="113">Wh_pvt_s*(1-Ppv)</f>
        <v>25.497772342068377</v>
      </c>
      <c r="Z271" s="385">
        <f t="shared" ref="Z271:Z334" si="114">Wh_sa_s*(1-Psa_s)</f>
        <v>27.232362828576743</v>
      </c>
      <c r="AA271" s="386">
        <f t="shared" ref="AA271:AA334" si="115">Wh_hp*(1-Pvg_s*MEDIAN((-Sdif+Wh/Env_an)/Csdif,0,1))</f>
        <v>31.914501695771531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0.14670881945229125</v>
      </c>
      <c r="AD271" s="231">
        <f>(INDEX(Models!$BJ271:$BT271,,AH271)*(1-AF271)+INDEX(Models!$BJ271:$BT271,,AH271+1)*AF271-ERP_i)*AE271*Ramure*Pc/MaxiM</f>
        <v>5.0211156246665993E-2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0.38885703716487097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2.388857037164871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1141">
        <f>IF(t&gt;Tmaj,'2022'!Wh/'2022'!Env_an*'2023'!Env_an,0.001*'[11]mon-tableau (3)'!$B$150)</f>
        <v>31.661957127018308</v>
      </c>
      <c r="C272" s="839"/>
      <c r="D272" s="393">
        <f t="shared" si="102"/>
        <v>33.816696260168214</v>
      </c>
      <c r="E272" s="385">
        <f t="shared" si="100"/>
        <v>35.539157840392626</v>
      </c>
      <c r="F272" s="385">
        <f t="shared" si="103"/>
        <v>36.029053009628434</v>
      </c>
      <c r="G272" s="110">
        <f t="shared" si="101"/>
        <v>0.8306087556913212</v>
      </c>
      <c r="H272" s="414" t="b">
        <f>Wh_hp&gt;='2022'!Maxi_hp</f>
        <v>0</v>
      </c>
      <c r="I272" s="390">
        <f>IF(H272,Wh_hp,'2022'!Maxi_hp)</f>
        <v>40.691044739305312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6.3718203474770446E-2</v>
      </c>
      <c r="M272" s="843"/>
      <c r="N272" s="843"/>
      <c r="O272" s="48">
        <f>IF(t&lt;Tnet,'2022'!Resal+('2022'!Salim-'2022'!Resal)*(1-EXP(('2022'!Tnet-t)/('2022'!Tau_j))),Resal+(Salim-Resal)*(1-EXP((Tnet-t)/(Tau_j))))*Salcycl</f>
        <v>4.8466584041187269E-2</v>
      </c>
      <c r="P272" s="169">
        <f>(INDEX(Models!$BJ272:$BT272,,T272)*(1-R272)+INDEX(Models!$BJ272:$BT272,,T272+1)*R272-ERP_i)*Q272*Ramure*Pc/MaxiM</f>
        <v>1.7818130115574704E-2</v>
      </c>
      <c r="Q272" s="305">
        <f t="shared" si="105"/>
        <v>0.8</v>
      </c>
      <c r="R272" s="177">
        <f t="shared" si="106"/>
        <v>0.1885912219318453</v>
      </c>
      <c r="S272" s="809">
        <f t="shared" si="107"/>
        <v>1</v>
      </c>
      <c r="T272" s="176">
        <f t="shared" si="108"/>
        <v>7</v>
      </c>
      <c r="U272" s="251">
        <f t="shared" si="109"/>
        <v>1.1885912219318453</v>
      </c>
      <c r="V272" s="383">
        <f t="shared" si="110"/>
        <v>37.955863827543332</v>
      </c>
      <c r="W272" s="402">
        <f t="shared" si="111"/>
        <v>31.661957127018308</v>
      </c>
      <c r="X272" s="157">
        <f t="shared" si="112"/>
        <v>45184</v>
      </c>
      <c r="Y272" s="385">
        <f t="shared" si="113"/>
        <v>27.662769543374072</v>
      </c>
      <c r="Z272" s="385">
        <f t="shared" si="114"/>
        <v>29.545345905514093</v>
      </c>
      <c r="AA272" s="386">
        <f t="shared" si="115"/>
        <v>34.626365074784964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0.14673845083932549</v>
      </c>
      <c r="AD272" s="231">
        <f>(INDEX(Models!$BJ272:$BT272,,AH272)*(1-AF272)+INDEX(Models!$BJ272:$BT272,,AH272+1)*AF272-ERP_i)*AE272*Ramure*Pc/MaxiM</f>
        <v>5.1017600711545916E-2</v>
      </c>
      <c r="AE272" s="305">
        <f t="shared" si="117"/>
        <v>0.8</v>
      </c>
      <c r="AF272" s="177">
        <f t="shared" si="118"/>
        <v>0.3893079690967487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2.3893079690967487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1141">
        <f>IF(t&gt;Tmaj,'2022'!Wh/'2022'!Env_an*'2023'!Env_an,0.001*'[11]mon-tableau (3)'!$B$151)</f>
        <v>29.272099266849008</v>
      </c>
      <c r="C273" s="839"/>
      <c r="D273" s="393">
        <f t="shared" si="102"/>
        <v>31.264941768869448</v>
      </c>
      <c r="E273" s="385">
        <f t="shared" si="100"/>
        <v>32.86381370718852</v>
      </c>
      <c r="F273" s="385">
        <f t="shared" si="103"/>
        <v>33.282045842784605</v>
      </c>
      <c r="G273" s="110">
        <f t="shared" si="101"/>
        <v>0.77444758247397594</v>
      </c>
      <c r="H273" s="414" t="b">
        <f>Wh_hp&gt;='2022'!Maxi_hp</f>
        <v>0</v>
      </c>
      <c r="I273" s="390">
        <f>IF(H273,Wh_hp,'2022'!Maxi_hp)</f>
        <v>39.509966115704373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6.3740483406392184E-2</v>
      </c>
      <c r="M273" s="843"/>
      <c r="N273" s="843"/>
      <c r="O273" s="48">
        <f>IF(t&lt;Tnet,'2022'!Resal+('2022'!Salim-'2022'!Resal)*(1-EXP(('2022'!Tnet-t)/('2022'!Tau_j))),Resal+(Salim-Resal)*(1-EXP((Tnet-t)/(Tau_j))))*Salcycl</f>
        <v>4.8651442360426331E-2</v>
      </c>
      <c r="P273" s="169">
        <f>(INDEX(Models!$BJ273:$BT273,,T273)*(1-R273)+INDEX(Models!$BJ273:$BT273,,T273+1)*R273-ERP_i)*Q273*Ramure*Pc/MaxiM</f>
        <v>1.8363304378292773E-2</v>
      </c>
      <c r="Q273" s="305">
        <f t="shared" si="105"/>
        <v>0.8</v>
      </c>
      <c r="R273" s="177">
        <f t="shared" si="106"/>
        <v>0.18902464713812006</v>
      </c>
      <c r="S273" s="809">
        <f t="shared" si="107"/>
        <v>1</v>
      </c>
      <c r="T273" s="176">
        <f t="shared" si="108"/>
        <v>7</v>
      </c>
      <c r="U273" s="251">
        <f t="shared" si="109"/>
        <v>1.1890246471381201</v>
      </c>
      <c r="V273" s="383">
        <f t="shared" si="110"/>
        <v>37.575492371878468</v>
      </c>
      <c r="W273" s="402">
        <f t="shared" si="111"/>
        <v>29.272099266849008</v>
      </c>
      <c r="X273" s="157">
        <f t="shared" si="112"/>
        <v>45185</v>
      </c>
      <c r="Y273" s="385">
        <f t="shared" si="113"/>
        <v>25.645578292591882</v>
      </c>
      <c r="Z273" s="385">
        <f t="shared" si="114"/>
        <v>27.391527496455435</v>
      </c>
      <c r="AA273" s="386">
        <f t="shared" si="115"/>
        <v>32.1032119495841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0.14676676154797347</v>
      </c>
      <c r="AD273" s="231">
        <f>(INDEX(Models!$BJ273:$BT273,,AH273)*(1-AF273)+INDEX(Models!$BJ273:$BT273,,AH273+1)*AF273-ERP_i)*AE273*Ramure*Pc/MaxiM</f>
        <v>5.1759020290098386E-2</v>
      </c>
      <c r="AE273" s="305">
        <f t="shared" si="117"/>
        <v>0.8</v>
      </c>
      <c r="AF273" s="177">
        <f t="shared" si="118"/>
        <v>0.38974139430302346</v>
      </c>
      <c r="AG273" s="809">
        <f t="shared" si="124"/>
        <v>2</v>
      </c>
      <c r="AH273" s="176">
        <f t="shared" si="119"/>
        <v>8</v>
      </c>
      <c r="AI273" s="225">
        <f t="shared" si="120"/>
        <v>2.3897413943030235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1141">
        <f>IF(t&gt;Tmaj,'2022'!Wh/'2022'!Env_an*'2023'!Env_an,0.001*'[11]mon-tableau (3)'!$B$152)</f>
        <v>36.850665950986894</v>
      </c>
      <c r="C274" s="839"/>
      <c r="D274" s="393">
        <f t="shared" si="102"/>
        <v>39.360393378460998</v>
      </c>
      <c r="E274" s="385">
        <f t="shared" si="100"/>
        <v>41.381269652037417</v>
      </c>
      <c r="F274" s="385">
        <f t="shared" si="103"/>
        <v>42.167959977037938</v>
      </c>
      <c r="G274" s="110">
        <f t="shared" si="101"/>
        <v>0.99054648248909616</v>
      </c>
      <c r="H274" s="414" t="b">
        <f>Wh_hp&gt;='2022'!Maxi_hp</f>
        <v>0</v>
      </c>
      <c r="I274" s="390">
        <f>IF(H274,Wh_hp,'2022'!Maxi_hp)</f>
        <v>42.174056181974457</v>
      </c>
      <c r="J274" s="85">
        <f>IF(H274,An,'2022'!An_max)</f>
        <v>2022</v>
      </c>
      <c r="K274" s="197">
        <f t="shared" si="104"/>
        <v>45186</v>
      </c>
      <c r="L274" s="147">
        <f>IF(t&lt;Tvie,1-EXP((T0-t)*PertePVj)+'2022'!Pspv,1-EXP((T0-t)*PertePVj)+Pspv)</f>
        <v>6.3762762819527335E-2</v>
      </c>
      <c r="M274" s="843"/>
      <c r="N274" s="843"/>
      <c r="O274" s="48">
        <f>IF(t&lt;Tnet,'2022'!Resal+('2022'!Salim-'2022'!Resal)*(1-EXP(('2022'!Tnet-t)/('2022'!Tau_j))),Resal+(Salim-Resal)*(1-EXP((Tnet-t)/(Tau_j))))*Salcycl</f>
        <v>4.8835530919407642E-2</v>
      </c>
      <c r="P274" s="169">
        <f>(INDEX(Models!$BJ274:$BT274,,T274)*(1-R274)+INDEX(Models!$BJ274:$BT274,,T274+1)*R274-ERP_i)*Q274*Ramure*Pc/MaxiM</f>
        <v>1.8904646416207881E-2</v>
      </c>
      <c r="Q274" s="305">
        <f t="shared" si="105"/>
        <v>0.8</v>
      </c>
      <c r="R274" s="177">
        <f t="shared" si="106"/>
        <v>0.18944122059223822</v>
      </c>
      <c r="S274" s="809">
        <f t="shared" si="107"/>
        <v>1</v>
      </c>
      <c r="T274" s="176">
        <f t="shared" si="108"/>
        <v>7</v>
      </c>
      <c r="U274" s="251">
        <f t="shared" si="109"/>
        <v>1.1894412205922382</v>
      </c>
      <c r="V274" s="383">
        <f t="shared" si="110"/>
        <v>37.192937389293981</v>
      </c>
      <c r="W274" s="402">
        <f t="shared" si="111"/>
        <v>36.850665950986894</v>
      </c>
      <c r="X274" s="157">
        <f t="shared" si="112"/>
        <v>45186</v>
      </c>
      <c r="Y274" s="385">
        <f t="shared" si="113"/>
        <v>31.940963569618315</v>
      </c>
      <c r="Z274" s="385">
        <f t="shared" si="114"/>
        <v>34.116314007986048</v>
      </c>
      <c r="AA274" s="386">
        <f t="shared" si="115"/>
        <v>39.986008283028269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0.14679370427514182</v>
      </c>
      <c r="AD274" s="231">
        <f>(INDEX(Models!$BJ274:$BT274,,AH274)*(1-AF274)+INDEX(Models!$BJ274:$BT274,,AH274+1)*AF274-ERP_i)*AE274*Ramure*Pc/MaxiM</f>
        <v>5.2433624720720086E-2</v>
      </c>
      <c r="AE274" s="305">
        <f t="shared" si="117"/>
        <v>0.8</v>
      </c>
      <c r="AF274" s="177">
        <f t="shared" si="118"/>
        <v>0.3901579677571414</v>
      </c>
      <c r="AG274" s="809">
        <f t="shared" si="124"/>
        <v>2</v>
      </c>
      <c r="AH274" s="176">
        <f t="shared" si="119"/>
        <v>8</v>
      </c>
      <c r="AI274" s="225">
        <f t="shared" si="120"/>
        <v>2.3901579677571414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1141">
        <f>IF(t&gt;Tmaj,'2022'!Wh/'2022'!Env_an*'2023'!Env_an,0.001*'[11]mon-tableau (3)'!$B$153)</f>
        <v>36.917735247259564</v>
      </c>
      <c r="C275" s="839"/>
      <c r="D275" s="393">
        <f t="shared" si="102"/>
        <v>39.432968807564329</v>
      </c>
      <c r="E275" s="385">
        <f t="shared" si="100"/>
        <v>41.465562129142285</v>
      </c>
      <c r="F275" s="385">
        <f t="shared" si="103"/>
        <v>42.28779075370737</v>
      </c>
      <c r="G275" s="110">
        <f t="shared" si="101"/>
        <v>1.0030596920998258</v>
      </c>
      <c r="H275" s="414" t="b">
        <f>Wh_hp&gt;='2022'!Maxi_hp</f>
        <v>1</v>
      </c>
      <c r="I275" s="390">
        <f>IF(H275,Wh_hp,'2022'!Maxi_hp)</f>
        <v>42.28779075370737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6.3785041714188001E-2</v>
      </c>
      <c r="M275" s="843"/>
      <c r="N275" s="843"/>
      <c r="O275" s="48">
        <f>IF(t&lt;Tnet,'2022'!Resal+('2022'!Salim-'2022'!Resal)*(1-EXP(('2022'!Tnet-t)/('2022'!Tau_j))),Resal+(Salim-Resal)*(1-EXP((Tnet-t)/(Tau_j))))*Salcycl</f>
        <v>4.9018829534917402E-2</v>
      </c>
      <c r="P275" s="169">
        <f>(INDEX(Models!$BJ275:$BT275,,T275)*(1-R275)+INDEX(Models!$BJ275:$BT275,,T275+1)*R275-ERP_i)*Q275*Ramure*Pc/MaxiM</f>
        <v>1.9443641058335515E-2</v>
      </c>
      <c r="Q275" s="305">
        <f t="shared" si="105"/>
        <v>0.8</v>
      </c>
      <c r="R275" s="177">
        <f t="shared" si="106"/>
        <v>0.18984157468406737</v>
      </c>
      <c r="S275" s="809">
        <f t="shared" si="107"/>
        <v>1</v>
      </c>
      <c r="T275" s="176">
        <f t="shared" si="108"/>
        <v>7</v>
      </c>
      <c r="U275" s="251">
        <f t="shared" si="109"/>
        <v>1.1898415746840674</v>
      </c>
      <c r="V275" s="383">
        <f t="shared" si="110"/>
        <v>36.805122903478676</v>
      </c>
      <c r="W275" s="402">
        <f t="shared" si="111"/>
        <v>36.917735247259564</v>
      </c>
      <c r="X275" s="157">
        <f t="shared" si="112"/>
        <v>45187</v>
      </c>
      <c r="Y275" s="385">
        <f t="shared" si="113"/>
        <v>31.986104514050375</v>
      </c>
      <c r="Z275" s="385">
        <f t="shared" si="114"/>
        <v>34.165342297687907</v>
      </c>
      <c r="AA275" s="386">
        <f t="shared" si="115"/>
        <v>40.044669927497374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0.14681923063554395</v>
      </c>
      <c r="AD275" s="231">
        <f>(INDEX(Models!$BJ275:$BT275,,AH275)*(1-AF275)+INDEX(Models!$BJ275:$BT275,,AH275+1)*AF275-ERP_i)*AE275*Ramure*Pc/MaxiM</f>
        <v>5.3044171526348827E-2</v>
      </c>
      <c r="AE275" s="305">
        <f t="shared" si="117"/>
        <v>0.8</v>
      </c>
      <c r="AF275" s="177">
        <f t="shared" si="118"/>
        <v>0.39055832184897099</v>
      </c>
      <c r="AG275" s="809">
        <f t="shared" si="124"/>
        <v>2</v>
      </c>
      <c r="AH275" s="176">
        <f t="shared" si="119"/>
        <v>8</v>
      </c>
      <c r="AI275" s="225">
        <f t="shared" si="120"/>
        <v>2.390558321848971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1141">
        <f>IF(t&gt;Tmaj,'2022'!Wh/'2022'!Env_an*'2023'!Env_an,0.001*'[11]mon-tableau (3)'!$B$154)</f>
        <v>35.278160357081802</v>
      </c>
      <c r="C276" s="839"/>
      <c r="D276" s="393">
        <f t="shared" si="102"/>
        <v>37.682585128189416</v>
      </c>
      <c r="E276" s="385">
        <f t="shared" si="100"/>
        <v>39.632559259710945</v>
      </c>
      <c r="F276" s="385">
        <f t="shared" si="103"/>
        <v>40.402868185025731</v>
      </c>
      <c r="G276" s="110">
        <f t="shared" si="101"/>
        <v>0.9680173074796985</v>
      </c>
      <c r="H276" s="414" t="b">
        <f>Wh_hp&gt;='2022'!Maxi_hp</f>
        <v>0</v>
      </c>
      <c r="I276" s="390">
        <f>IF(H276,Wh_hp,'2022'!Maxi_hp)</f>
        <v>40.423517538055499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6.3807320090386282E-2</v>
      </c>
      <c r="M276" s="843"/>
      <c r="N276" s="843"/>
      <c r="O276" s="48">
        <f>IF(t&lt;Tnet,'2022'!Resal+('2022'!Salim-'2022'!Resal)*(1-EXP(('2022'!Tnet-t)/('2022'!Tau_j))),Resal+(Salim-Resal)*(1-EXP((Tnet-t)/(Tau_j))))*Salcycl</f>
        <v>4.9201317501184082E-2</v>
      </c>
      <c r="P276" s="169">
        <f>(INDEX(Models!$BJ276:$BT276,,T276)*(1-R276)+INDEX(Models!$BJ276:$BT276,,T276+1)*R276-ERP_i)*Q276*Ramure*Pc/MaxiM</f>
        <v>1.995235086301371E-2</v>
      </c>
      <c r="Q276" s="305">
        <f t="shared" si="105"/>
        <v>0.8</v>
      </c>
      <c r="R276" s="177">
        <f t="shared" si="106"/>
        <v>0.19022631984718141</v>
      </c>
      <c r="S276" s="809">
        <f t="shared" si="107"/>
        <v>1</v>
      </c>
      <c r="T276" s="176">
        <f t="shared" si="108"/>
        <v>7</v>
      </c>
      <c r="U276" s="251">
        <f t="shared" si="109"/>
        <v>1.1902263198471814</v>
      </c>
      <c r="V276" s="383">
        <f t="shared" si="110"/>
        <v>36.410787993242046</v>
      </c>
      <c r="W276" s="402">
        <f t="shared" si="111"/>
        <v>35.278160357081802</v>
      </c>
      <c r="X276" s="157">
        <f t="shared" si="112"/>
        <v>45188</v>
      </c>
      <c r="Y276" s="385">
        <f t="shared" si="113"/>
        <v>30.619462579362231</v>
      </c>
      <c r="Z276" s="385">
        <f t="shared" si="114"/>
        <v>32.706368289825164</v>
      </c>
      <c r="AA276" s="386">
        <f t="shared" si="115"/>
        <v>38.335710142033278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0.14684329131641183</v>
      </c>
      <c r="AD276" s="231">
        <f>(INDEX(Models!$BJ276:$BT276,,AH276)*(1-AF276)+INDEX(Models!$BJ276:$BT276,,AH276+1)*AF276-ERP_i)*AE276*Ramure*Pc/MaxiM</f>
        <v>5.3543015286018819E-2</v>
      </c>
      <c r="AE276" s="305">
        <f t="shared" si="117"/>
        <v>0.8</v>
      </c>
      <c r="AF276" s="177">
        <f t="shared" si="118"/>
        <v>0.39094306701208481</v>
      </c>
      <c r="AG276" s="809">
        <f t="shared" si="124"/>
        <v>2</v>
      </c>
      <c r="AH276" s="176">
        <f t="shared" si="119"/>
        <v>8</v>
      </c>
      <c r="AI276" s="225">
        <f t="shared" si="120"/>
        <v>2.3909430670120848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1141">
        <f>IF(t&gt;Tmaj,'2022'!Wh/'2022'!Env_an*'2023'!Env_an,0.001*'[11]mon-tableau (3)'!$B$155)</f>
        <v>36.022143535960964</v>
      </c>
      <c r="C277" s="839"/>
      <c r="D277" s="393">
        <f t="shared" si="102"/>
        <v>38.478190997075828</v>
      </c>
      <c r="E277" s="385">
        <f t="shared" si="100"/>
        <v>40.477069030278201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Wh_hp&gt;='2022'!Maxi_hp</f>
        <v>1</v>
      </c>
      <c r="I277" s="390">
        <f>IF(H277,Wh_hp,'2022'!Maxi_hp)</f>
        <v>41.321180250587048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6.382959794813417E-2</v>
      </c>
      <c r="M277" s="843"/>
      <c r="N277" s="843"/>
      <c r="O277" s="48">
        <f>IF(t&lt;Tnet,'2022'!Resal+('2022'!Salim-'2022'!Resal)*(1-EXP(('2022'!Tnet-t)/('2022'!Tau_j))),Resal+(Salim-Resal)*(1-EXP((Tnet-t)/(Tau_j))))*Salcycl</f>
        <v>4.9382973646316691E-2</v>
      </c>
      <c r="P277" s="169">
        <f>(INDEX(Models!$BJ277:$BT277,,T277)*(1-R277)+INDEX(Models!$BJ277:$BT277,,T277+1)*R277-ERP_i)*Q277*Ramure*Pc/MaxiM</f>
        <v>2.0428052035054142E-2</v>
      </c>
      <c r="Q277" s="305">
        <f t="shared" si="105"/>
        <v>0.8</v>
      </c>
      <c r="R277" s="177">
        <f t="shared" si="106"/>
        <v>0.19059604518125184</v>
      </c>
      <c r="S277" s="809">
        <f t="shared" si="107"/>
        <v>1</v>
      </c>
      <c r="T277" s="176">
        <f t="shared" si="108"/>
        <v>7</v>
      </c>
      <c r="U277" s="251">
        <f t="shared" si="109"/>
        <v>1.1905960451812518</v>
      </c>
      <c r="V277" s="383">
        <f t="shared" si="110"/>
        <v>36.011274556246264</v>
      </c>
      <c r="W277" s="402">
        <f t="shared" si="111"/>
        <v>36.022143535960964</v>
      </c>
      <c r="X277" s="157">
        <f t="shared" si="112"/>
        <v>45189</v>
      </c>
      <c r="Y277" s="385">
        <f t="shared" si="113"/>
        <v>31.221722029918013</v>
      </c>
      <c r="Z277" s="385">
        <f t="shared" si="114"/>
        <v>33.35046906149492</v>
      </c>
      <c r="AA277" s="386">
        <f t="shared" si="115"/>
        <v>39.091705008298803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0.14686583625823113</v>
      </c>
      <c r="AD277" s="231">
        <f>(INDEX(Models!$BJ277:$BT277,,AH277)*(1-AF277)+INDEX(Models!$BJ277:$BT277,,AH277+1)*AF277-ERP_i)*AE277*Ramure*Pc/MaxiM</f>
        <v>5.3954781271199785E-2</v>
      </c>
      <c r="AE277" s="305">
        <f t="shared" si="117"/>
        <v>0.8</v>
      </c>
      <c r="AF277" s="177">
        <f t="shared" si="118"/>
        <v>0.39131279234615546</v>
      </c>
      <c r="AG277" s="809">
        <f t="shared" si="124"/>
        <v>2</v>
      </c>
      <c r="AH277" s="176">
        <f t="shared" si="119"/>
        <v>8</v>
      </c>
      <c r="AI277" s="225">
        <f t="shared" si="120"/>
        <v>2.3913127923461555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1141">
        <f>IF(t&gt;Tmaj,'2022'!Wh/'2022'!Env_an*'2023'!Env_an,0.001*'[11]mon-tableau (3)'!$B$156)</f>
        <v>35.055310185928512</v>
      </c>
      <c r="C278" s="839"/>
      <c r="D278" s="393">
        <f t="shared" si="102"/>
        <v>37.446328482142953</v>
      </c>
      <c r="E278" s="385">
        <f t="shared" si="100"/>
        <v>39.399096490936081</v>
      </c>
      <c r="F278" s="385">
        <f t="shared" si="103"/>
        <v>40.219850045077663</v>
      </c>
      <c r="G278" s="110">
        <f t="shared" si="101"/>
        <v>0.98401719271590793</v>
      </c>
      <c r="H278" s="414" t="b">
        <f>Wh_hp&gt;='2022'!Maxi_hp</f>
        <v>0</v>
      </c>
      <c r="I278" s="390">
        <f>IF(H278,Wh_hp,'2022'!Maxi_hp)</f>
        <v>40.230485089809569</v>
      </c>
      <c r="J278" s="85">
        <f>IF(H278,An,'2022'!An_max)</f>
        <v>2022</v>
      </c>
      <c r="K278" s="197">
        <f t="shared" si="104"/>
        <v>45190</v>
      </c>
      <c r="L278" s="147">
        <f>IF(t&lt;Tvie,1-EXP((T0-t)*PertePVj)+'2022'!Pspv,1-EXP((T0-t)*PertePVj)+Pspv)</f>
        <v>6.3851875287443655E-2</v>
      </c>
      <c r="M278" s="843"/>
      <c r="N278" s="843"/>
      <c r="O278" s="48">
        <f>IF(t&lt;Tnet,'2022'!Resal+('2022'!Salim-'2022'!Resal)*(1-EXP(('2022'!Tnet-t)/('2022'!Tau_j))),Resal+(Salim-Resal)*(1-EXP((Tnet-t)/(Tau_j))))*Salcycl</f>
        <v>4.9563776398841193E-2</v>
      </c>
      <c r="P278" s="169">
        <f>(INDEX(Models!$BJ278:$BT278,,T278)*(1-R278)+INDEX(Models!$BJ278:$BT278,,T278+1)*R278-ERP_i)*Q278*Ramure*Pc/MaxiM</f>
        <v>2.0869317391882723E-2</v>
      </c>
      <c r="Q278" s="305">
        <f t="shared" si="105"/>
        <v>0.8</v>
      </c>
      <c r="R278" s="177">
        <f t="shared" si="106"/>
        <v>0.19095131906835716</v>
      </c>
      <c r="S278" s="809">
        <f t="shared" si="107"/>
        <v>1</v>
      </c>
      <c r="T278" s="176">
        <f t="shared" si="108"/>
        <v>7</v>
      </c>
      <c r="U278" s="251">
        <f t="shared" si="109"/>
        <v>1.1909513190683572</v>
      </c>
      <c r="V278" s="383">
        <f t="shared" si="110"/>
        <v>35.607868085013088</v>
      </c>
      <c r="W278" s="402">
        <f t="shared" si="111"/>
        <v>35.055310185928512</v>
      </c>
      <c r="X278" s="157">
        <f t="shared" si="112"/>
        <v>45190</v>
      </c>
      <c r="Y278" s="385">
        <f t="shared" si="113"/>
        <v>30.416448649357825</v>
      </c>
      <c r="Z278" s="385">
        <f t="shared" si="114"/>
        <v>32.491064016922721</v>
      </c>
      <c r="AA278" s="386">
        <f t="shared" si="115"/>
        <v>38.085291123063001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0.1468868148615157</v>
      </c>
      <c r="AD278" s="231">
        <f>(INDEX(Models!$BJ278:$BT278,,AH278)*(1-AF278)+INDEX(Models!$BJ278:$BT278,,AH278+1)*AF278-ERP_i)*AE278*Ramure*Pc/MaxiM</f>
        <v>5.4275473326204603E-2</v>
      </c>
      <c r="AE278" s="305">
        <f t="shared" si="117"/>
        <v>0.8</v>
      </c>
      <c r="AF278" s="177">
        <f t="shared" si="118"/>
        <v>0.39166806623326078</v>
      </c>
      <c r="AG278" s="809">
        <f t="shared" si="124"/>
        <v>2</v>
      </c>
      <c r="AH278" s="176">
        <f t="shared" si="119"/>
        <v>8</v>
      </c>
      <c r="AI278" s="225">
        <f t="shared" si="120"/>
        <v>2.3916680662332608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1141">
        <f>IF(t&gt;Tmaj,'2022'!Wh/'2022'!Env_an*'2023'!Env_an,0.001*'[11]mon-tableau (3)'!$B$157)</f>
        <v>33.839027702139717</v>
      </c>
      <c r="C279" s="839"/>
      <c r="D279" s="393">
        <f t="shared" si="102"/>
        <v>36.147947178631391</v>
      </c>
      <c r="E279" s="385">
        <f t="shared" si="100"/>
        <v>38.040208021389134</v>
      </c>
      <c r="F279" s="385">
        <f t="shared" si="103"/>
        <v>38.820419221479447</v>
      </c>
      <c r="G279" s="110">
        <f t="shared" si="101"/>
        <v>0.96013116522909103</v>
      </c>
      <c r="H279" s="414" t="b">
        <f>Wh_hp&gt;='2022'!Maxi_hp</f>
        <v>0</v>
      </c>
      <c r="I279" s="390">
        <f>IF(H279,Wh_hp,'2022'!Maxi_hp)</f>
        <v>38.846406402200635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6.3874152108327059E-2</v>
      </c>
      <c r="M279" s="843"/>
      <c r="N279" s="843"/>
      <c r="O279" s="48">
        <f>IF(t&lt;Tnet,'2022'!Resal+('2022'!Salim-'2022'!Resal)*(1-EXP(('2022'!Tnet-t)/('2022'!Tau_j))),Resal+(Salim-Resal)*(1-EXP((Tnet-t)/(Tau_j))))*Salcycl</f>
        <v>4.9743703864441872E-2</v>
      </c>
      <c r="P279" s="169">
        <f>(INDEX(Models!$BJ279:$BT279,,T279)*(1-R279)+INDEX(Models!$BJ279:$BT279,,T279+1)*R279-ERP_i)*Q279*Ramure*Pc/MaxiM</f>
        <v>2.1274582321654911E-2</v>
      </c>
      <c r="Q279" s="305">
        <f t="shared" si="105"/>
        <v>0.8</v>
      </c>
      <c r="R279" s="177">
        <f t="shared" si="106"/>
        <v>0.19129268978212943</v>
      </c>
      <c r="S279" s="809">
        <f t="shared" si="107"/>
        <v>1</v>
      </c>
      <c r="T279" s="176">
        <f t="shared" si="108"/>
        <v>7</v>
      </c>
      <c r="U279" s="251">
        <f t="shared" si="109"/>
        <v>1.1912926897821294</v>
      </c>
      <c r="V279" s="383">
        <f t="shared" si="110"/>
        <v>35.201852115436942</v>
      </c>
      <c r="W279" s="402">
        <f t="shared" si="111"/>
        <v>33.839027702139717</v>
      </c>
      <c r="X279" s="157">
        <f t="shared" si="112"/>
        <v>45191</v>
      </c>
      <c r="Y279" s="385">
        <f t="shared" si="113"/>
        <v>29.405917460288538</v>
      </c>
      <c r="Z279" s="385">
        <f t="shared" si="114"/>
        <v>31.412355001751159</v>
      </c>
      <c r="AA279" s="386">
        <f t="shared" si="115"/>
        <v>36.821688454548273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0.14690617621932933</v>
      </c>
      <c r="AD279" s="231">
        <f>(INDEX(Models!$BJ279:$BT279,,AH279)*(1-AF279)+INDEX(Models!$BJ279:$BT279,,AH279+1)*AF279-ERP_i)*AE279*Ramure*Pc/MaxiM</f>
        <v>5.4500835459654298E-2</v>
      </c>
      <c r="AE279" s="305">
        <f t="shared" si="117"/>
        <v>0.8</v>
      </c>
      <c r="AF279" s="177">
        <f t="shared" si="118"/>
        <v>0.39200943694703305</v>
      </c>
      <c r="AG279" s="809">
        <f t="shared" si="124"/>
        <v>2</v>
      </c>
      <c r="AH279" s="176">
        <f t="shared" si="119"/>
        <v>8</v>
      </c>
      <c r="AI279" s="225">
        <f t="shared" si="120"/>
        <v>2.3920094369470331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1141">
        <f>IF(t&gt;Tmaj,'2022'!Wh/'2022'!Env_an*'2023'!Env_an,0.001*'[11]mon-tableau (3)'!$B$158)</f>
        <v>21.888750644895783</v>
      </c>
      <c r="C280" s="839"/>
      <c r="D280" s="393">
        <f t="shared" si="102"/>
        <v>23.382829965850576</v>
      </c>
      <c r="E280" s="385">
        <f t="shared" si="100"/>
        <v>24.611503506607384</v>
      </c>
      <c r="F280" s="385">
        <f t="shared" si="103"/>
        <v>24.864488150266947</v>
      </c>
      <c r="G280" s="110">
        <f t="shared" si="101"/>
        <v>0.62179809056736202</v>
      </c>
      <c r="H280" s="414" t="b">
        <f>Wh_hp&gt;='2022'!Maxi_hp</f>
        <v>0</v>
      </c>
      <c r="I280" s="390">
        <f>IF(H280,Wh_hp,'2022'!Maxi_hp)</f>
        <v>37.625376650076369</v>
      </c>
      <c r="J280" s="85">
        <f>IF(H280,An,'2022'!An_max)</f>
        <v>2019</v>
      </c>
      <c r="K280" s="197">
        <f t="shared" si="104"/>
        <v>45192</v>
      </c>
      <c r="L280" s="147">
        <f>IF(t&lt;Tvie,1-EXP((T0-t)*PertePVj)+'2022'!Pspv,1-EXP((T0-t)*PertePVj)+Pspv)</f>
        <v>6.3896428410796263E-2</v>
      </c>
      <c r="M280" s="843"/>
      <c r="N280" s="843"/>
      <c r="O280" s="48">
        <f>IF(t&lt;Tnet,'2022'!Resal+('2022'!Salim-'2022'!Resal)*(1-EXP(('2022'!Tnet-t)/('2022'!Tau_j))),Resal+(Salim-Resal)*(1-EXP((Tnet-t)/(Tau_j))))*Salcycl</f>
        <v>4.9922733912901779E-2</v>
      </c>
      <c r="P280" s="169">
        <f>(INDEX(Models!$BJ280:$BT280,,T280)*(1-R280)+INDEX(Models!$BJ280:$BT280,,T280+1)*R280-ERP_i)*Q280*Ramure*Pc/MaxiM</f>
        <v>2.1642264062538785E-2</v>
      </c>
      <c r="Q280" s="305">
        <f t="shared" si="105"/>
        <v>0.8</v>
      </c>
      <c r="R280" s="177">
        <f t="shared" si="106"/>
        <v>0.19162068608880745</v>
      </c>
      <c r="S280" s="809">
        <f t="shared" si="107"/>
        <v>1</v>
      </c>
      <c r="T280" s="176">
        <f t="shared" si="108"/>
        <v>7</v>
      </c>
      <c r="U280" s="251">
        <f t="shared" si="109"/>
        <v>1.1916206860888074</v>
      </c>
      <c r="V280" s="383">
        <f t="shared" si="110"/>
        <v>34.794504099376518</v>
      </c>
      <c r="W280" s="402">
        <f t="shared" si="111"/>
        <v>21.888750644895783</v>
      </c>
      <c r="X280" s="157">
        <f t="shared" si="112"/>
        <v>45192</v>
      </c>
      <c r="Y280" s="385">
        <f t="shared" si="113"/>
        <v>19.346048187055111</v>
      </c>
      <c r="Z280" s="385">
        <f t="shared" si="114"/>
        <v>20.666568074525902</v>
      </c>
      <c r="AA280" s="386">
        <f t="shared" si="115"/>
        <v>24.225936387861886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0.1469238693749465</v>
      </c>
      <c r="AD280" s="231">
        <f>(INDEX(Models!$BJ280:$BT280,,AH280)*(1-AF280)+INDEX(Models!$BJ280:$BT280,,AH280+1)*AF280-ERP_i)*AE280*Ramure*Pc/MaxiM</f>
        <v>5.4626658992656923E-2</v>
      </c>
      <c r="AE280" s="305">
        <f t="shared" si="117"/>
        <v>0.8</v>
      </c>
      <c r="AF280" s="177">
        <f t="shared" si="118"/>
        <v>0.39233743325371107</v>
      </c>
      <c r="AG280" s="809">
        <f t="shared" si="124"/>
        <v>2</v>
      </c>
      <c r="AH280" s="176">
        <f t="shared" si="119"/>
        <v>8</v>
      </c>
      <c r="AI280" s="225">
        <f t="shared" si="120"/>
        <v>2.3923374332537111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1141">
        <f>IF(t&gt;Tmaj,'2022'!Wh/'2022'!Env_an*'2023'!Env_an,0.001*'[11]mon-tableau (3)'!$B$159)</f>
        <v>15.948958206600722</v>
      </c>
      <c r="C281" s="839"/>
      <c r="D281" s="393">
        <f t="shared" si="102"/>
        <v>17.03800543614409</v>
      </c>
      <c r="E281" s="385">
        <f t="shared" si="100"/>
        <v>17.936646572911425</v>
      </c>
      <c r="F281" s="385">
        <f t="shared" si="103"/>
        <v>18.029341218368337</v>
      </c>
      <c r="G281" s="110">
        <f t="shared" si="101"/>
        <v>0.45596054819576176</v>
      </c>
      <c r="H281" s="414" t="b">
        <f>Wh_hp&gt;='2022'!Maxi_hp</f>
        <v>0</v>
      </c>
      <c r="I281" s="390">
        <f>IF(H281,Wh_hp,'2022'!Maxi_hp)</f>
        <v>36.227444973424483</v>
      </c>
      <c r="J281" s="85">
        <f>IF(H281,An,'2022'!An_max)</f>
        <v>2018</v>
      </c>
      <c r="K281" s="197">
        <f t="shared" si="104"/>
        <v>45193</v>
      </c>
      <c r="L281" s="147">
        <f>IF(t&lt;Tvie,1-EXP((T0-t)*PertePVj)+'2022'!Pspv,1-EXP((T0-t)*PertePVj)+Pspv)</f>
        <v>6.3918704194863368E-2</v>
      </c>
      <c r="M281" s="843"/>
      <c r="N281" s="843"/>
      <c r="O281" s="48">
        <f>IF(t&lt;Tnet,'2022'!Resal+('2022'!Salim-'2022'!Resal)*(1-EXP(('2022'!Tnet-t)/('2022'!Tau_j))),Resal+(Salim-Resal)*(1-EXP((Tnet-t)/(Tau_j))))*Salcycl</f>
        <v>5.0100844275121896E-2</v>
      </c>
      <c r="P281" s="169">
        <f>(INDEX(Models!$BJ281:$BT281,,T281)*(1-R281)+INDEX(Models!$BJ281:$BT281,,T281+1)*R281-ERP_i)*Q281*Ramure*Pc/MaxiM</f>
        <v>2.1970600506565876E-2</v>
      </c>
      <c r="Q281" s="305">
        <f t="shared" si="105"/>
        <v>0.8</v>
      </c>
      <c r="R281" s="177">
        <f t="shared" si="106"/>
        <v>0.19193581783937086</v>
      </c>
      <c r="S281" s="809">
        <f t="shared" si="107"/>
        <v>1</v>
      </c>
      <c r="T281" s="176">
        <f t="shared" si="108"/>
        <v>7</v>
      </c>
      <c r="U281" s="251">
        <f t="shared" si="109"/>
        <v>1.1919358178393709</v>
      </c>
      <c r="V281" s="383">
        <f t="shared" si="110"/>
        <v>34.387101461427633</v>
      </c>
      <c r="W281" s="402">
        <f t="shared" si="111"/>
        <v>15.948958206600722</v>
      </c>
      <c r="X281" s="157">
        <f t="shared" si="112"/>
        <v>45193</v>
      </c>
      <c r="Y281" s="385">
        <f t="shared" si="113"/>
        <v>14.212923327175078</v>
      </c>
      <c r="Z281" s="385">
        <f t="shared" si="114"/>
        <v>15.18342839544758</v>
      </c>
      <c r="AA281" s="386">
        <f t="shared" si="115"/>
        <v>17.798778059907967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0.14693984360373064</v>
      </c>
      <c r="AD281" s="231">
        <f>(INDEX(Models!$BJ281:$BT281,,AH281)*(1-AF281)+INDEX(Models!$BJ281:$BT281,,AH281+1)*AF281-ERP_i)*AE281*Ramure*Pc/MaxiM</f>
        <v>5.4648367455266127E-2</v>
      </c>
      <c r="AE281" s="305">
        <f t="shared" si="117"/>
        <v>0.8</v>
      </c>
      <c r="AF281" s="177">
        <f t="shared" si="118"/>
        <v>0.39265256500427448</v>
      </c>
      <c r="AG281" s="809">
        <f t="shared" si="124"/>
        <v>2</v>
      </c>
      <c r="AH281" s="176">
        <f t="shared" si="119"/>
        <v>8</v>
      </c>
      <c r="AI281" s="225">
        <f t="shared" si="120"/>
        <v>2.3926525650042745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1141">
        <f>IF(t&gt;Tmaj,'2022'!Wh/'2022'!Env_an*'2023'!Env_an,0.001*'[11]mon-tableau (3)'!$B$160)</f>
        <v>29.340292477133168</v>
      </c>
      <c r="C282" s="839"/>
      <c r="D282" s="393">
        <f t="shared" si="102"/>
        <v>31.344489859436514</v>
      </c>
      <c r="E282" s="385">
        <f t="shared" si="100"/>
        <v>33.003858262664963</v>
      </c>
      <c r="F282" s="385">
        <f t="shared" si="103"/>
        <v>33.605476771656342</v>
      </c>
      <c r="G282" s="110">
        <f t="shared" si="101"/>
        <v>0.85960524894762291</v>
      </c>
      <c r="H282" s="414" t="b">
        <f>Wh_hp&gt;='2022'!Maxi_hp</f>
        <v>0</v>
      </c>
      <c r="I282" s="390">
        <f>IF(H282,Wh_hp,'2022'!Maxi_hp)</f>
        <v>37.737616608562853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6.3940979460540365E-2</v>
      </c>
      <c r="M282" s="843"/>
      <c r="N282" s="843"/>
      <c r="O282" s="48">
        <f>IF(t&lt;Tnet,'2022'!Resal+('2022'!Salim-'2022'!Resal)*(1-EXP(('2022'!Tnet-t)/('2022'!Tau_j))),Resal+(Salim-Resal)*(1-EXP((Tnet-t)/(Tau_j))))*Salcycl</f>
        <v>5.0278012649980969E-2</v>
      </c>
      <c r="P282" s="169">
        <f>(INDEX(Models!$BJ282:$BT282,,T282)*(1-R282)+INDEX(Models!$BJ282:$BT282,,T282+1)*R282-ERP_i)*Q282*Ramure*Pc/MaxiM</f>
        <v>2.2242134705053283E-2</v>
      </c>
      <c r="Q282" s="305">
        <f t="shared" si="105"/>
        <v>0.8</v>
      </c>
      <c r="R282" s="177">
        <f t="shared" si="106"/>
        <v>0.19223857655203291</v>
      </c>
      <c r="S282" s="809">
        <f t="shared" si="107"/>
        <v>1</v>
      </c>
      <c r="T282" s="176">
        <f t="shared" si="108"/>
        <v>7</v>
      </c>
      <c r="U282" s="251">
        <f t="shared" si="109"/>
        <v>1.1922385765520329</v>
      </c>
      <c r="V282" s="383">
        <f t="shared" si="110"/>
        <v>33.981460933316981</v>
      </c>
      <c r="W282" s="402">
        <f t="shared" si="111"/>
        <v>29.340292477133168</v>
      </c>
      <c r="X282" s="157">
        <f t="shared" si="112"/>
        <v>45194</v>
      </c>
      <c r="Y282" s="385">
        <f t="shared" si="113"/>
        <v>25.655775756472583</v>
      </c>
      <c r="Z282" s="385">
        <f t="shared" si="114"/>
        <v>27.408288573178769</v>
      </c>
      <c r="AA282" s="386">
        <f t="shared" si="115"/>
        <v>32.129908748746701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0.14695404871799114</v>
      </c>
      <c r="AD282" s="231">
        <f>(INDEX(Models!$BJ282:$BT282,,AH282)*(1-AF282)+INDEX(Models!$BJ282:$BT282,,AH282+1)*AF282-ERP_i)*AE282*Ramure*Pc/MaxiM</f>
        <v>5.4552481749685876E-2</v>
      </c>
      <c r="AE282" s="305">
        <f t="shared" si="117"/>
        <v>0.8</v>
      </c>
      <c r="AF282" s="177">
        <f t="shared" si="118"/>
        <v>0.39295532371693653</v>
      </c>
      <c r="AG282" s="809">
        <f t="shared" si="124"/>
        <v>2</v>
      </c>
      <c r="AH282" s="176">
        <f t="shared" si="119"/>
        <v>8</v>
      </c>
      <c r="AI282" s="225">
        <f t="shared" si="120"/>
        <v>2.3929553237169365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1141">
        <f>IF(t&gt;Tmaj,'2022'!Wh/'2022'!Env_an*'2023'!Env_an,0.001*'[11]mon-tableau (3)'!$B$161)</f>
        <v>25.458021685305674</v>
      </c>
      <c r="C283" s="839"/>
      <c r="D283" s="393">
        <f t="shared" si="102"/>
        <v>27.197673381679849</v>
      </c>
      <c r="E283" s="385">
        <f t="shared" si="100"/>
        <v>28.642824667827075</v>
      </c>
      <c r="F283" s="385">
        <f t="shared" si="103"/>
        <v>29.070366595280774</v>
      </c>
      <c r="G283" s="110">
        <f t="shared" si="101"/>
        <v>0.75219506592761476</v>
      </c>
      <c r="H283" s="414" t="b">
        <f>Wh_hp&gt;='2022'!Maxi_hp</f>
        <v>0</v>
      </c>
      <c r="I283" s="390">
        <f>IF(H283,Wh_hp,'2022'!Maxi_hp)</f>
        <v>38.347746104915672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6.3963254207839465E-2</v>
      </c>
      <c r="M283" s="843"/>
      <c r="N283" s="843"/>
      <c r="O283" s="48">
        <f>IF(t&lt;Tnet,'2022'!Resal+('2022'!Salim-'2022'!Resal)*(1-EXP(('2022'!Tnet-t)/('2022'!Tau_j))),Resal+(Salim-Resal)*(1-EXP((Tnet-t)/(Tau_j))))*Salcycl</f>
        <v>5.0454216820678542E-2</v>
      </c>
      <c r="P283" s="169">
        <f>(INDEX(Models!$BJ283:$BT283,,T283)*(1-R283)+INDEX(Models!$BJ283:$BT283,,T283+1)*R283-ERP_i)*Q283*Ramure*Pc/MaxiM</f>
        <v>2.2469898680866743E-2</v>
      </c>
      <c r="Q283" s="305">
        <f t="shared" si="105"/>
        <v>0.8</v>
      </c>
      <c r="R283" s="177">
        <f t="shared" si="106"/>
        <v>0.19252943598448624</v>
      </c>
      <c r="S283" s="809">
        <f t="shared" si="107"/>
        <v>1</v>
      </c>
      <c r="T283" s="176">
        <f t="shared" si="108"/>
        <v>7</v>
      </c>
      <c r="U283" s="251">
        <f t="shared" si="109"/>
        <v>1.1925294359844862</v>
      </c>
      <c r="V283" s="383">
        <f t="shared" si="110"/>
        <v>33.578320909524876</v>
      </c>
      <c r="W283" s="402">
        <f t="shared" si="111"/>
        <v>25.458021685305674</v>
      </c>
      <c r="X283" s="157">
        <f t="shared" si="112"/>
        <v>45195</v>
      </c>
      <c r="Y283" s="385">
        <f t="shared" si="113"/>
        <v>22.385517170007649</v>
      </c>
      <c r="Z283" s="385">
        <f t="shared" si="114"/>
        <v>23.915211951495518</v>
      </c>
      <c r="AA283" s="386">
        <f t="shared" si="115"/>
        <v>28.035487633503841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0.14696643539327572</v>
      </c>
      <c r="AD283" s="231">
        <f>(INDEX(Models!$BJ283:$BT283,,AH283)*(1-AF283)+INDEX(Models!$BJ283:$BT283,,AH283+1)*AF283-ERP_i)*AE283*Ramure*Pc/MaxiM</f>
        <v>5.4389111160580643E-2</v>
      </c>
      <c r="AE283" s="305">
        <f t="shared" si="117"/>
        <v>0.8</v>
      </c>
      <c r="AF283" s="177">
        <f t="shared" si="118"/>
        <v>0.39324618314938986</v>
      </c>
      <c r="AG283" s="809">
        <f t="shared" si="124"/>
        <v>2</v>
      </c>
      <c r="AH283" s="176">
        <f t="shared" si="119"/>
        <v>8</v>
      </c>
      <c r="AI283" s="225">
        <f t="shared" si="120"/>
        <v>2.3932461831493899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1141">
        <f>IF(t&gt;Tmaj,'2022'!Wh/'2022'!Env_an*'2023'!Env_an,0.001*'[11]mon-tableau (3)'!$B$162)</f>
        <v>16.492522280880713</v>
      </c>
      <c r="C284" s="839"/>
      <c r="D284" s="393">
        <f t="shared" si="102"/>
        <v>17.619943688837136</v>
      </c>
      <c r="E284" s="385">
        <f t="shared" si="100"/>
        <v>18.55960605304379</v>
      </c>
      <c r="F284" s="385">
        <f t="shared" si="103"/>
        <v>18.67872703563636</v>
      </c>
      <c r="G284" s="110">
        <f t="shared" si="101"/>
        <v>0.48893626771440463</v>
      </c>
      <c r="H284" s="414" t="b">
        <f>Wh_hp&gt;='2022'!Maxi_hp</f>
        <v>0</v>
      </c>
      <c r="I284" s="390">
        <f>IF(H284,Wh_hp,'2022'!Maxi_hp)</f>
        <v>36.969576410748687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6.398552843677266E-2</v>
      </c>
      <c r="M284" s="843"/>
      <c r="N284" s="843"/>
      <c r="O284" s="48">
        <f>IF(t&lt;Tnet,'2022'!Resal+('2022'!Salim-'2022'!Resal)*(1-EXP(('2022'!Tnet-t)/('2022'!Tau_j))),Resal+(Salim-Resal)*(1-EXP((Tnet-t)/(Tau_j))))*Salcycl</f>
        <v>5.0629434780085025E-2</v>
      </c>
      <c r="P284" s="169">
        <f>(INDEX(Models!$BJ284:$BT284,,T284)*(1-R284)+INDEX(Models!$BJ284:$BT284,,T284+1)*R284-ERP_i)*Q284*Ramure*Pc/MaxiM</f>
        <v>2.2651725652972979E-2</v>
      </c>
      <c r="Q284" s="305">
        <f t="shared" si="105"/>
        <v>0.8</v>
      </c>
      <c r="R284" s="177">
        <f t="shared" si="106"/>
        <v>0.19280885269536929</v>
      </c>
      <c r="S284" s="809">
        <f t="shared" si="107"/>
        <v>1</v>
      </c>
      <c r="T284" s="176">
        <f t="shared" si="108"/>
        <v>7</v>
      </c>
      <c r="U284" s="251">
        <f t="shared" si="109"/>
        <v>1.1928088526953693</v>
      </c>
      <c r="V284" s="383">
        <f t="shared" si="110"/>
        <v>33.178954649330599</v>
      </c>
      <c r="W284" s="402">
        <f t="shared" si="111"/>
        <v>16.492522280880713</v>
      </c>
      <c r="X284" s="157">
        <f t="shared" si="112"/>
        <v>45196</v>
      </c>
      <c r="Y284" s="385">
        <f t="shared" si="113"/>
        <v>14.686492893479564</v>
      </c>
      <c r="Z284" s="385">
        <f t="shared" si="114"/>
        <v>15.690454944517914</v>
      </c>
      <c r="AA284" s="386">
        <f t="shared" si="115"/>
        <v>18.393940287952059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0.14697695551425247</v>
      </c>
      <c r="AD284" s="231">
        <f>(INDEX(Models!$BJ284:$BT284,,AH284)*(1-AF284)+INDEX(Models!$BJ284:$BT284,,AH284+1)*AF284-ERP_i)*AE284*Ramure*Pc/MaxiM</f>
        <v>5.415428195560907E-2</v>
      </c>
      <c r="AE284" s="305">
        <f t="shared" si="117"/>
        <v>0.8</v>
      </c>
      <c r="AF284" s="177">
        <f t="shared" si="118"/>
        <v>0.39352559986027291</v>
      </c>
      <c r="AG284" s="809">
        <f t="shared" si="124"/>
        <v>2</v>
      </c>
      <c r="AH284" s="176">
        <f t="shared" si="119"/>
        <v>8</v>
      </c>
      <c r="AI284" s="225">
        <f t="shared" si="120"/>
        <v>2.3935255998602729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1141">
        <f>IF(t&gt;Tmaj,'2022'!Wh/'2022'!Env_an*'2023'!Env_an,0.001*'[11]mon-tableau (3)'!$B$163)</f>
        <v>18.147811156540087</v>
      </c>
      <c r="C285" s="839"/>
      <c r="D285" s="393">
        <f t="shared" si="102"/>
        <v>19.38884875127674</v>
      </c>
      <c r="E285" s="385">
        <f t="shared" si="100"/>
        <v>20.426594188205684</v>
      </c>
      <c r="F285" s="385">
        <f t="shared" si="103"/>
        <v>20.596579011023987</v>
      </c>
      <c r="G285" s="110">
        <f t="shared" si="101"/>
        <v>0.54543501718473275</v>
      </c>
      <c r="H285" s="414" t="b">
        <f>Wh_hp&gt;='2022'!Maxi_hp</f>
        <v>0</v>
      </c>
      <c r="I285" s="390">
        <f>IF(H285,Wh_hp,'2022'!Maxi_hp)</f>
        <v>35.211477825551697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6.4007802147351939E-2</v>
      </c>
      <c r="M285" s="843"/>
      <c r="N285" s="843"/>
      <c r="O285" s="48">
        <f>IF(t&lt;Tnet,'2022'!Resal+('2022'!Salim-'2022'!Resal)*(1-EXP(('2022'!Tnet-t)/('2022'!Tau_j))),Resal+(Salim-Resal)*(1-EXP((Tnet-t)/(Tau_j))))*Salcycl</f>
        <v>5.0803644864504081E-2</v>
      </c>
      <c r="P285" s="169">
        <f>(INDEX(Models!$BJ285:$BT285,,T285)*(1-R285)+INDEX(Models!$BJ285:$BT285,,T285+1)*R285-ERP_i)*Q285*Ramure*Pc/MaxiM</f>
        <v>2.2785359606111527E-2</v>
      </c>
      <c r="Q285" s="305">
        <f t="shared" si="105"/>
        <v>0.8</v>
      </c>
      <c r="R285" s="177">
        <f t="shared" si="106"/>
        <v>0.1930772665945133</v>
      </c>
      <c r="S285" s="809">
        <f t="shared" si="107"/>
        <v>1</v>
      </c>
      <c r="T285" s="176">
        <f t="shared" si="108"/>
        <v>7</v>
      </c>
      <c r="U285" s="251">
        <f t="shared" si="109"/>
        <v>1.1930772665945133</v>
      </c>
      <c r="V285" s="383">
        <f t="shared" si="110"/>
        <v>32.784633355819878</v>
      </c>
      <c r="W285" s="402">
        <f t="shared" si="111"/>
        <v>18.147811156540087</v>
      </c>
      <c r="X285" s="157">
        <f t="shared" si="112"/>
        <v>45197</v>
      </c>
      <c r="Y285" s="385">
        <f t="shared" si="113"/>
        <v>16.123899414980972</v>
      </c>
      <c r="Z285" s="385">
        <f t="shared" si="114"/>
        <v>17.226531857821463</v>
      </c>
      <c r="AA285" s="386">
        <f t="shared" si="115"/>
        <v>20.194888974068331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0.14698556253804848</v>
      </c>
      <c r="AD285" s="231">
        <f>(INDEX(Models!$BJ285:$BT285,,AH285)*(1-AF285)+INDEX(Models!$BJ285:$BT285,,AH285+1)*AF285-ERP_i)*AE285*Ramure*Pc/MaxiM</f>
        <v>5.3843936126051185E-2</v>
      </c>
      <c r="AE285" s="305">
        <f t="shared" si="117"/>
        <v>0.8</v>
      </c>
      <c r="AF285" s="177">
        <f t="shared" si="118"/>
        <v>0.39379401375941692</v>
      </c>
      <c r="AG285" s="809">
        <f t="shared" si="124"/>
        <v>2</v>
      </c>
      <c r="AH285" s="176">
        <f t="shared" si="119"/>
        <v>8</v>
      </c>
      <c r="AI285" s="225">
        <f t="shared" si="120"/>
        <v>2.3937940137594169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1141">
        <f>IF(t&gt;Tmaj,'2022'!Wh/'2022'!Env_an*'2023'!Env_an,0.001*'[11]mon-tableau (3)'!$B$164)</f>
        <v>20.939485718404722</v>
      </c>
      <c r="C286" s="839"/>
      <c r="D286" s="393">
        <f t="shared" si="102"/>
        <v>22.371964276525237</v>
      </c>
      <c r="E286" s="385">
        <f t="shared" si="100"/>
        <v>23.573675424340319</v>
      </c>
      <c r="F286" s="385">
        <f t="shared" si="103"/>
        <v>23.843462274760462</v>
      </c>
      <c r="G286" s="110">
        <f t="shared" si="101"/>
        <v>0.63879465405781666</v>
      </c>
      <c r="H286" s="414" t="b">
        <f>Wh_hp&gt;='2022'!Maxi_hp</f>
        <v>0</v>
      </c>
      <c r="I286" s="390">
        <f>IF(H286,Wh_hp,'2022'!Maxi_hp)</f>
        <v>37.209601495836544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6.4030075339589515E-2</v>
      </c>
      <c r="M286" s="843"/>
      <c r="N286" s="843"/>
      <c r="O286" s="48">
        <f>IF(t&lt;Tnet,'2022'!Resal+('2022'!Salim-'2022'!Resal)*(1-EXP(('2022'!Tnet-t)/('2022'!Tau_j))),Resal+(Salim-Resal)*(1-EXP((Tnet-t)/(Tau_j))))*Salcycl</f>
        <v>5.097682589513762E-2</v>
      </c>
      <c r="P286" s="169">
        <f>(INDEX(Models!$BJ286:$BT286,,T286)*(1-R286)+INDEX(Models!$BJ286:$BT286,,T286+1)*R286-ERP_i)*Q286*Ramure*Pc/MaxiM</f>
        <v>2.2868472372419221E-2</v>
      </c>
      <c r="Q286" s="305">
        <f t="shared" si="105"/>
        <v>0.8</v>
      </c>
      <c r="R286" s="177">
        <f t="shared" si="106"/>
        <v>0.1933351014816056</v>
      </c>
      <c r="S286" s="809">
        <f t="shared" si="107"/>
        <v>1</v>
      </c>
      <c r="T286" s="176">
        <f t="shared" si="108"/>
        <v>7</v>
      </c>
      <c r="U286" s="251">
        <f t="shared" si="109"/>
        <v>1.1933351014816056</v>
      </c>
      <c r="V286" s="383">
        <f t="shared" si="110"/>
        <v>32.396626101765065</v>
      </c>
      <c r="W286" s="402">
        <f t="shared" si="111"/>
        <v>20.939485718404722</v>
      </c>
      <c r="X286" s="157">
        <f t="shared" si="112"/>
        <v>45198</v>
      </c>
      <c r="Y286" s="385">
        <f t="shared" si="113"/>
        <v>18.532897567568941</v>
      </c>
      <c r="Z286" s="385">
        <f t="shared" si="114"/>
        <v>19.800740471755077</v>
      </c>
      <c r="AA286" s="386">
        <f t="shared" si="115"/>
        <v>23.212848402268904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0.14699221187264183</v>
      </c>
      <c r="AD286" s="231">
        <f>(INDEX(Models!$BJ286:$BT286,,AH286)*(1-AF286)+INDEX(Models!$BJ286:$BT286,,AH286+1)*AF286-ERP_i)*AE286*Ramure*Pc/MaxiM</f>
        <v>5.3453961519174122E-2</v>
      </c>
      <c r="AE286" s="305">
        <f t="shared" si="117"/>
        <v>0.8</v>
      </c>
      <c r="AF286" s="177">
        <f t="shared" si="118"/>
        <v>0.39405184864650922</v>
      </c>
      <c r="AG286" s="809">
        <f t="shared" si="124"/>
        <v>2</v>
      </c>
      <c r="AH286" s="176">
        <f t="shared" si="119"/>
        <v>8</v>
      </c>
      <c r="AI286" s="225">
        <f t="shared" si="120"/>
        <v>2.3940518486465092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1141">
        <f>IF(t&gt;Tmaj,'2022'!Wh/'2022'!Env_an*'2023'!Env_an,0.001*'[11]mon-tableau (3)'!$B$165)</f>
        <v>22.458245243875094</v>
      </c>
      <c r="C287" s="839"/>
      <c r="D287" s="393">
        <f t="shared" si="102"/>
        <v>23.99519374423193</v>
      </c>
      <c r="E287" s="385">
        <f t="shared" si="100"/>
        <v>25.288683539431972</v>
      </c>
      <c r="F287" s="385">
        <f t="shared" si="103"/>
        <v>25.625216627368918</v>
      </c>
      <c r="G287" s="110">
        <f t="shared" si="101"/>
        <v>0.69452352523241301</v>
      </c>
      <c r="H287" s="414" t="b">
        <f>Wh_hp&gt;='2022'!Maxi_hp</f>
        <v>0</v>
      </c>
      <c r="I287" s="390">
        <f>IF(H287,Wh_hp,'2022'!Maxi_hp)</f>
        <v>35.36597547612849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6.4052348013497268E-2</v>
      </c>
      <c r="M287" s="843"/>
      <c r="N287" s="843"/>
      <c r="O287" s="48">
        <f>IF(t&lt;Tnet,'2022'!Resal+('2022'!Salim-'2022'!Resal)*(1-EXP(('2022'!Tnet-t)/('2022'!Tau_j))),Resal+(Salim-Resal)*(1-EXP((Tnet-t)/(Tau_j))))*Salcycl</f>
        <v>5.1148957326431731E-2</v>
      </c>
      <c r="P287" s="169">
        <f>(INDEX(Models!$BJ287:$BT287,,T287)*(1-R287)+INDEX(Models!$BJ287:$BT287,,T287+1)*R287-ERP_i)*Q287*Ramure*Pc/MaxiM</f>
        <v>2.2898683757569298E-2</v>
      </c>
      <c r="Q287" s="305">
        <f t="shared" si="105"/>
        <v>0.8</v>
      </c>
      <c r="R287" s="177">
        <f t="shared" si="106"/>
        <v>0.19358276557297649</v>
      </c>
      <c r="S287" s="809">
        <f t="shared" si="107"/>
        <v>1</v>
      </c>
      <c r="T287" s="176">
        <f t="shared" si="108"/>
        <v>7</v>
      </c>
      <c r="U287" s="251">
        <f t="shared" si="109"/>
        <v>1.1935827655729765</v>
      </c>
      <c r="V287" s="383">
        <f t="shared" si="110"/>
        <v>32.016199767412552</v>
      </c>
      <c r="W287" s="402">
        <f t="shared" si="111"/>
        <v>22.458245243875094</v>
      </c>
      <c r="X287" s="157">
        <f t="shared" si="112"/>
        <v>45199</v>
      </c>
      <c r="Y287" s="385">
        <f t="shared" si="113"/>
        <v>19.836677149718529</v>
      </c>
      <c r="Z287" s="385">
        <f t="shared" si="114"/>
        <v>21.194216479539385</v>
      </c>
      <c r="AA287" s="386">
        <f t="shared" si="115"/>
        <v>24.846586744142687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0.14699686126764716</v>
      </c>
      <c r="AD287" s="231">
        <f>(INDEX(Models!$BJ287:$BT287,,AH287)*(1-AF287)+INDEX(Models!$BJ287:$BT287,,AH287+1)*AF287-ERP_i)*AE287*Ramure*Pc/MaxiM</f>
        <v>5.2980227202893353E-2</v>
      </c>
      <c r="AE287" s="305">
        <f t="shared" si="117"/>
        <v>0.8</v>
      </c>
      <c r="AF287" s="177">
        <f t="shared" si="118"/>
        <v>0.39429951273787989</v>
      </c>
      <c r="AG287" s="809">
        <f t="shared" si="124"/>
        <v>2</v>
      </c>
      <c r="AH287" s="176">
        <f t="shared" si="119"/>
        <v>8</v>
      </c>
      <c r="AI287" s="225">
        <f t="shared" si="120"/>
        <v>2.3942995127378799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1141">
        <f>IF(t&gt;Tmaj,'2022'!Wh/'2022'!Env_an*'2023'!Env_an,0.001*'[12]mon-tableau (1)'!$B$140)</f>
        <v>28.504235552933416</v>
      </c>
      <c r="C288" s="839"/>
      <c r="D288" s="393">
        <f t="shared" si="102"/>
        <v>30.455671111390405</v>
      </c>
      <c r="E288" s="385">
        <f t="shared" si="100"/>
        <v>32.103208388713462</v>
      </c>
      <c r="F288" s="385">
        <f t="shared" si="103"/>
        <v>32.74603912604158</v>
      </c>
      <c r="G288" s="110">
        <f t="shared" si="101"/>
        <v>0.89778143372145613</v>
      </c>
      <c r="H288" s="414" t="b">
        <f>Wh_hp&gt;='2022'!Maxi_hp</f>
        <v>0</v>
      </c>
      <c r="I288" s="390">
        <f>IF(H288,Wh_hp,'2022'!Maxi_hp)</f>
        <v>35.633737494395717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6.407462016908741E-2</v>
      </c>
      <c r="M288" s="843"/>
      <c r="N288" s="843"/>
      <c r="O288" s="48">
        <f>IF(t&lt;Tnet,'2022'!Resal+('2022'!Salim-'2022'!Resal)*(1-EXP(('2022'!Tnet-t)/('2022'!Tau_j))),Resal+(Salim-Resal)*(1-EXP((Tnet-t)/(Tau_j))))*Salcycl</f>
        <v>5.1320019400375123E-2</v>
      </c>
      <c r="P288" s="169">
        <f>(INDEX(Models!$BJ288:$BT288,,T288)*(1-R288)+INDEX(Models!$BJ288:$BT288,,T288+1)*R288-ERP_i)*Q288*Ramure*Pc/MaxiM</f>
        <v>2.2873584984555943E-2</v>
      </c>
      <c r="Q288" s="305">
        <f t="shared" si="105"/>
        <v>0.8</v>
      </c>
      <c r="R288" s="177">
        <f t="shared" si="106"/>
        <v>0.19382065201627441</v>
      </c>
      <c r="S288" s="809">
        <f t="shared" si="107"/>
        <v>1</v>
      </c>
      <c r="T288" s="176">
        <f t="shared" si="108"/>
        <v>7</v>
      </c>
      <c r="U288" s="251">
        <f t="shared" si="109"/>
        <v>1.1938206520162744</v>
      </c>
      <c r="V288" s="383">
        <f t="shared" si="110"/>
        <v>31.644618974305413</v>
      </c>
      <c r="W288" s="402">
        <f t="shared" si="111"/>
        <v>28.504235552933416</v>
      </c>
      <c r="X288" s="157">
        <f t="shared" si="112"/>
        <v>45200</v>
      </c>
      <c r="Y288" s="385">
        <f t="shared" si="113"/>
        <v>24.966546950681909</v>
      </c>
      <c r="Z288" s="385">
        <f t="shared" si="114"/>
        <v>26.675787930008319</v>
      </c>
      <c r="AA288" s="386">
        <f t="shared" si="115"/>
        <v>31.272885572524224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0.1469994712146048</v>
      </c>
      <c r="AD288" s="231">
        <f>(INDEX(Models!$BJ288:$BT288,,AH288)*(1-AF288)+INDEX(Models!$BJ288:$BT288,,AH288+1)*AF288-ERP_i)*AE288*Ramure*Pc/MaxiM</f>
        <v>5.2418624444960538E-2</v>
      </c>
      <c r="AE288" s="305">
        <f t="shared" si="117"/>
        <v>0.8</v>
      </c>
      <c r="AF288" s="177">
        <f t="shared" si="118"/>
        <v>0.39453739918117803</v>
      </c>
      <c r="AG288" s="809">
        <f t="shared" si="124"/>
        <v>2</v>
      </c>
      <c r="AH288" s="176">
        <f t="shared" si="119"/>
        <v>8</v>
      </c>
      <c r="AI288" s="225">
        <f t="shared" si="120"/>
        <v>2.394537399181178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1141">
        <f>IF(t&gt;Tmaj,'2022'!Wh/'2022'!Env_an*'2023'!Env_an,0.001*'[12]mon-tableau (1)'!$B$141)</f>
        <v>30.401561316876727</v>
      </c>
      <c r="C289" s="839"/>
      <c r="D289" s="393">
        <f t="shared" si="102"/>
        <v>32.483663159912254</v>
      </c>
      <c r="E289" s="385">
        <f t="shared" si="100"/>
        <v>34.24704318420789</v>
      </c>
      <c r="F289" s="385">
        <f t="shared" si="103"/>
        <v>35.013083218230229</v>
      </c>
      <c r="G289" s="110">
        <f t="shared" si="101"/>
        <v>0.97101017543264467</v>
      </c>
      <c r="H289" s="414" t="b">
        <f>Wh_hp&gt;='2022'!Maxi_hp</f>
        <v>0</v>
      </c>
      <c r="I289" s="390">
        <f>IF(H289,Wh_hp,'2022'!Maxi_hp)</f>
        <v>36.768753531604595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6.4096891806371931E-2</v>
      </c>
      <c r="M289" s="843"/>
      <c r="N289" s="843"/>
      <c r="O289" s="48">
        <f>IF(t&lt;Tnet,'2022'!Resal+('2022'!Salim-'2022'!Resal)*(1-EXP(('2022'!Tnet-t)/('2022'!Tau_j))),Resal+(Salim-Resal)*(1-EXP((Tnet-t)/(Tau_j))))*Salcycl</f>
        <v>5.1489993305721994E-2</v>
      </c>
      <c r="P289" s="169">
        <f>(INDEX(Models!$BJ289:$BT289,,T289)*(1-R289)+INDEX(Models!$BJ289:$BT289,,T289+1)*R289-ERP_i)*Q289*Ramure*Pc/MaxiM</f>
        <v>2.2793047414668772E-2</v>
      </c>
      <c r="Q289" s="305">
        <f t="shared" si="105"/>
        <v>0.8</v>
      </c>
      <c r="R289" s="177">
        <f t="shared" si="106"/>
        <v>0.19404913939286206</v>
      </c>
      <c r="S289" s="809">
        <f t="shared" si="107"/>
        <v>1</v>
      </c>
      <c r="T289" s="176">
        <f t="shared" si="108"/>
        <v>7</v>
      </c>
      <c r="U289" s="251">
        <f t="shared" si="109"/>
        <v>1.1940491393928621</v>
      </c>
      <c r="V289" s="383">
        <f t="shared" si="110"/>
        <v>31.279941331235708</v>
      </c>
      <c r="W289" s="402">
        <f t="shared" si="111"/>
        <v>30.401561316876727</v>
      </c>
      <c r="X289" s="157">
        <f t="shared" si="112"/>
        <v>45201</v>
      </c>
      <c r="Y289" s="385">
        <f t="shared" si="113"/>
        <v>26.562808134482616</v>
      </c>
      <c r="Z289" s="385">
        <f t="shared" si="114"/>
        <v>28.382006536714123</v>
      </c>
      <c r="AA289" s="386">
        <f t="shared" si="115"/>
        <v>33.273161447652775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0.14700000535367508</v>
      </c>
      <c r="AD289" s="231">
        <f>(INDEX(Models!$BJ289:$BT289,,AH289)*(1-AF289)+INDEX(Models!$BJ289:$BT289,,AH289+1)*AF289-ERP_i)*AE289*Ramure*Pc/MaxiM</f>
        <v>5.177029613759046E-2</v>
      </c>
      <c r="AE289" s="305">
        <f t="shared" si="117"/>
        <v>0.8</v>
      </c>
      <c r="AF289" s="177">
        <f t="shared" si="118"/>
        <v>0.39476588655776546</v>
      </c>
      <c r="AG289" s="809">
        <f t="shared" si="124"/>
        <v>2</v>
      </c>
      <c r="AH289" s="176">
        <f t="shared" si="119"/>
        <v>8</v>
      </c>
      <c r="AI289" s="225">
        <f t="shared" si="120"/>
        <v>2.3947658865577655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1141">
        <f>IF(t&gt;Tmaj,'2022'!Wh/'2022'!Env_an*'2023'!Env_an,0.001*'[12]mon-tableau (1)'!$B$142)</f>
        <v>29.110013887352316</v>
      </c>
      <c r="C290" s="839"/>
      <c r="D290" s="393">
        <f t="shared" si="102"/>
        <v>31.104402114209304</v>
      </c>
      <c r="E290" s="385">
        <f t="shared" si="100"/>
        <v>32.798748094164722</v>
      </c>
      <c r="F290" s="385">
        <f t="shared" si="103"/>
        <v>33.494116144851134</v>
      </c>
      <c r="G290" s="110">
        <f t="shared" si="101"/>
        <v>0.93965786615326574</v>
      </c>
      <c r="H290" s="414" t="b">
        <f>Wh_hp&gt;='2022'!Maxi_hp</f>
        <v>0</v>
      </c>
      <c r="I290" s="390">
        <f>IF(H290,Wh_hp,'2022'!Maxi_hp)</f>
        <v>34.895336094635255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6.4119162925362932E-2</v>
      </c>
      <c r="M290" s="843"/>
      <c r="N290" s="843"/>
      <c r="O290" s="48">
        <f>IF(t&lt;Tnet,'2022'!Resal+('2022'!Salim-'2022'!Resal)*(1-EXP(('2022'!Tnet-t)/('2022'!Tau_j))),Resal+(Salim-Resal)*(1-EXP((Tnet-t)/(Tau_j))))*Salcycl</f>
        <v>5.1658861341017499E-2</v>
      </c>
      <c r="P290" s="169">
        <f>(INDEX(Models!$BJ290:$BT290,,T290)*(1-R290)+INDEX(Models!$BJ290:$BT290,,T290+1)*R290-ERP_i)*Q290*Ramure*Pc/MaxiM</f>
        <v>2.2654888529049299E-2</v>
      </c>
      <c r="Q290" s="305">
        <f t="shared" si="105"/>
        <v>0.8</v>
      </c>
      <c r="R290" s="177">
        <f t="shared" si="106"/>
        <v>0.19426859220780779</v>
      </c>
      <c r="S290" s="809">
        <f t="shared" si="107"/>
        <v>1</v>
      </c>
      <c r="T290" s="176">
        <f t="shared" si="108"/>
        <v>7</v>
      </c>
      <c r="U290" s="251">
        <f t="shared" si="109"/>
        <v>1.1942685922078078</v>
      </c>
      <c r="V290" s="383">
        <f t="shared" si="110"/>
        <v>30.919457017823611</v>
      </c>
      <c r="W290" s="402">
        <f t="shared" si="111"/>
        <v>29.110013887352316</v>
      </c>
      <c r="X290" s="157">
        <f t="shared" si="112"/>
        <v>45202</v>
      </c>
      <c r="Y290" s="385">
        <f t="shared" si="113"/>
        <v>25.487723079836353</v>
      </c>
      <c r="Z290" s="385">
        <f t="shared" si="114"/>
        <v>27.233940551134172</v>
      </c>
      <c r="AA290" s="386">
        <f t="shared" si="115"/>
        <v>31.92718693277488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0.14699843088345668</v>
      </c>
      <c r="AD290" s="231">
        <f>(INDEX(Models!$BJ290:$BT290,,AH290)*(1-AF290)+INDEX(Models!$BJ290:$BT290,,AH290+1)*AF290-ERP_i)*AE290*Ramure*Pc/MaxiM</f>
        <v>5.1050097279357422E-2</v>
      </c>
      <c r="AE290" s="305">
        <f t="shared" si="117"/>
        <v>0.8</v>
      </c>
      <c r="AF290" s="177">
        <f t="shared" si="118"/>
        <v>0.39498533937271141</v>
      </c>
      <c r="AG290" s="809">
        <f t="shared" si="124"/>
        <v>2</v>
      </c>
      <c r="AH290" s="176">
        <f t="shared" si="119"/>
        <v>8</v>
      </c>
      <c r="AI290" s="225">
        <f t="shared" si="120"/>
        <v>2.3949853393727114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1141">
        <f>IF(t&gt;Tmaj,'2022'!Wh/'2022'!Env_an*'2023'!Env_an,0.001*'[12]mon-tableau (1)'!$B$143)</f>
        <v>30.569779767081616</v>
      </c>
      <c r="C291" s="839"/>
      <c r="D291" s="393">
        <f t="shared" si="102"/>
        <v>32.664956930683047</v>
      </c>
      <c r="E291" s="385">
        <f t="shared" si="100"/>
        <v>34.450404508921586</v>
      </c>
      <c r="F291" s="385">
        <f t="shared" si="103"/>
        <v>35.243063599626083</v>
      </c>
      <c r="G291" s="110">
        <f t="shared" si="101"/>
        <v>1.0002513885874347</v>
      </c>
      <c r="H291" s="414" t="b">
        <f>Wh_hp&gt;='2022'!Maxi_hp</f>
        <v>1</v>
      </c>
      <c r="I291" s="390">
        <f>IF(H291,Wh_hp,'2022'!Maxi_hp)</f>
        <v>35.243063599626083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6.4141433526072517E-2</v>
      </c>
      <c r="M291" s="843"/>
      <c r="N291" s="843"/>
      <c r="O291" s="48">
        <f>IF(t&lt;Tnet,'2022'!Resal+('2022'!Salim-'2022'!Resal)*(1-EXP(('2022'!Tnet-t)/('2022'!Tau_j))),Resal+(Salim-Resal)*(1-EXP((Tnet-t)/(Tau_j))))*Salcycl</f>
        <v>5.1826607080220605E-2</v>
      </c>
      <c r="P291" s="169">
        <f>(INDEX(Models!$BJ291:$BT291,,T291)*(1-R291)+INDEX(Models!$BJ291:$BT291,,T291+1)*R291-ERP_i)*Q291*Ramure*Pc/MaxiM</f>
        <v>2.2491208474648802E-2</v>
      </c>
      <c r="Q291" s="305">
        <f t="shared" si="105"/>
        <v>0.8</v>
      </c>
      <c r="R291" s="177">
        <f t="shared" si="106"/>
        <v>0.19447936136740429</v>
      </c>
      <c r="S291" s="809">
        <f t="shared" si="107"/>
        <v>1</v>
      </c>
      <c r="T291" s="176">
        <f t="shared" si="108"/>
        <v>7</v>
      </c>
      <c r="U291" s="251">
        <f t="shared" si="109"/>
        <v>1.1944793613674043</v>
      </c>
      <c r="V291" s="383">
        <f t="shared" si="110"/>
        <v>30.562096804736832</v>
      </c>
      <c r="W291" s="402">
        <f t="shared" si="111"/>
        <v>30.569779767081616</v>
      </c>
      <c r="X291" s="157">
        <f t="shared" si="112"/>
        <v>45203</v>
      </c>
      <c r="Y291" s="385">
        <f t="shared" si="113"/>
        <v>26.718740772465356</v>
      </c>
      <c r="Z291" s="385">
        <f t="shared" si="114"/>
        <v>28.549977239760324</v>
      </c>
      <c r="AA291" s="386">
        <f t="shared" si="115"/>
        <v>33.46987161123203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0.14699471897049804</v>
      </c>
      <c r="AD291" s="231">
        <f>(INDEX(Models!$BJ291:$BT291,,AH291)*(1-AF291)+INDEX(Models!$BJ291:$BT291,,AH291+1)*AF291-ERP_i)*AE291*Ramure*Pc/MaxiM</f>
        <v>5.0313219319925051E-2</v>
      </c>
      <c r="AE291" s="305">
        <f t="shared" si="117"/>
        <v>0.8</v>
      </c>
      <c r="AF291" s="177">
        <f t="shared" si="118"/>
        <v>0.39519610853230791</v>
      </c>
      <c r="AG291" s="809">
        <f t="shared" si="124"/>
        <v>2</v>
      </c>
      <c r="AH291" s="176">
        <f t="shared" si="119"/>
        <v>8</v>
      </c>
      <c r="AI291" s="225">
        <f t="shared" si="120"/>
        <v>2.3951961085323079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1141">
        <f>IF(t&gt;Tmaj,'2022'!Wh/'2022'!Env_an*'2023'!Env_an,0.001*'[12]mon-tableau (1)'!$B$144)</f>
        <v>30.827444482625076</v>
      </c>
      <c r="C292" s="839"/>
      <c r="D292" s="393">
        <f t="shared" si="102"/>
        <v>32.941065228494907</v>
      </c>
      <c r="E292" s="385">
        <f t="shared" si="100"/>
        <v>34.747710426193116</v>
      </c>
      <c r="F292" s="385">
        <f t="shared" si="103"/>
        <v>35.540310062015898</v>
      </c>
      <c r="G292" s="110">
        <f t="shared" si="101"/>
        <v>1.020511066234328</v>
      </c>
      <c r="H292" s="414" t="b">
        <f>Wh_hp&gt;='2022'!Maxi_hp</f>
        <v>1</v>
      </c>
      <c r="I292" s="390">
        <f>IF(H292,Wh_hp,'2022'!Maxi_hp)</f>
        <v>35.540310062015898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6.4163703608512673E-2</v>
      </c>
      <c r="M292" s="843"/>
      <c r="N292" s="843"/>
      <c r="O292" s="48">
        <f>IF(t&lt;Tnet,'2022'!Resal+('2022'!Salim-'2022'!Resal)*(1-EXP(('2022'!Tnet-t)/('2022'!Tau_j))),Resal+(Salim-Resal)*(1-EXP((Tnet-t)/(Tau_j))))*Salcycl</f>
        <v>5.1993215539644526E-2</v>
      </c>
      <c r="P292" s="169">
        <f>(INDEX(Models!$BJ292:$BT292,,T292)*(1-R292)+INDEX(Models!$BJ292:$BT292,,T292+1)*R292-ERP_i)*Q292*Ramure*Pc/MaxiM</f>
        <v>2.2301427152428822E-2</v>
      </c>
      <c r="Q292" s="305">
        <f t="shared" si="105"/>
        <v>0.8</v>
      </c>
      <c r="R292" s="177">
        <f t="shared" si="106"/>
        <v>0.19468178464418218</v>
      </c>
      <c r="S292" s="809">
        <f t="shared" si="107"/>
        <v>1</v>
      </c>
      <c r="T292" s="176">
        <f t="shared" si="108"/>
        <v>7</v>
      </c>
      <c r="U292" s="251">
        <f t="shared" si="109"/>
        <v>1.1946817846441822</v>
      </c>
      <c r="V292" s="383">
        <f t="shared" si="110"/>
        <v>30.207849285140952</v>
      </c>
      <c r="W292" s="402">
        <f t="shared" si="111"/>
        <v>30.827444482625076</v>
      </c>
      <c r="X292" s="157">
        <f t="shared" si="112"/>
        <v>45204</v>
      </c>
      <c r="Y292" s="385">
        <f t="shared" si="113"/>
        <v>26.965018263839276</v>
      </c>
      <c r="Z292" s="385">
        <f t="shared" si="114"/>
        <v>28.813819647532704</v>
      </c>
      <c r="AA292" s="386">
        <f t="shared" si="115"/>
        <v>33.778948239858224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0.14698884515494789</v>
      </c>
      <c r="AD292" s="231">
        <f>(INDEX(Models!$BJ292:$BT292,,AH292)*(1-AF292)+INDEX(Models!$BJ292:$BT292,,AH292+1)*AF292-ERP_i)*AE292*Ramure*Pc/MaxiM</f>
        <v>4.9559551368128042E-2</v>
      </c>
      <c r="AE292" s="305">
        <f t="shared" si="117"/>
        <v>0.8</v>
      </c>
      <c r="AF292" s="177">
        <f t="shared" si="118"/>
        <v>0.3953985318090858</v>
      </c>
      <c r="AG292" s="809">
        <f t="shared" si="124"/>
        <v>2</v>
      </c>
      <c r="AH292" s="176">
        <f t="shared" si="119"/>
        <v>8</v>
      </c>
      <c r="AI292" s="225">
        <f t="shared" si="120"/>
        <v>2.3953985318090858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1141">
        <f>IF(t&gt;Tmaj,'2022'!Wh/'2022'!Env_an*'2023'!Env_an,0.001*'[12]mon-tableau (1)'!$B$145)</f>
        <v>11.245939260999879</v>
      </c>
      <c r="C293" s="839"/>
      <c r="D293" s="393">
        <f t="shared" si="102"/>
        <v>12.017280077674245</v>
      </c>
      <c r="E293" s="385">
        <f t="shared" si="100"/>
        <v>12.678577879783372</v>
      </c>
      <c r="F293" s="385">
        <f t="shared" si="103"/>
        <v>12.709318419578189</v>
      </c>
      <c r="G293" s="110">
        <f t="shared" si="101"/>
        <v>0.36923829248841694</v>
      </c>
      <c r="H293" s="414" t="b">
        <f>Wh_hp&gt;='2022'!Maxi_hp</f>
        <v>0</v>
      </c>
      <c r="I293" s="390">
        <f>IF(H293,Wh_hp,'2022'!Maxi_hp)</f>
        <v>31.212763298231373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6.4185973172695393E-2</v>
      </c>
      <c r="M293" s="843"/>
      <c r="N293" s="843"/>
      <c r="O293" s="48">
        <f>IF(t&lt;Tnet,'2022'!Resal+('2022'!Salim-'2022'!Resal)*(1-EXP(('2022'!Tnet-t)/('2022'!Tau_j))),Resal+(Salim-Resal)*(1-EXP((Tnet-t)/(Tau_j))))*Salcycl</f>
        <v>5.2158673344870912E-2</v>
      </c>
      <c r="P293" s="169">
        <f>(INDEX(Models!$BJ293:$BT293,,T293)*(1-R293)+INDEX(Models!$BJ293:$BT293,,T293+1)*R293-ERP_i)*Q293*Ramure*Pc/MaxiM</f>
        <v>2.2084972594384761E-2</v>
      </c>
      <c r="Q293" s="305">
        <f t="shared" si="105"/>
        <v>0.8</v>
      </c>
      <c r="R293" s="177">
        <f t="shared" si="106"/>
        <v>0.19487618712942911</v>
      </c>
      <c r="S293" s="809">
        <f t="shared" si="107"/>
        <v>1</v>
      </c>
      <c r="T293" s="176">
        <f t="shared" si="108"/>
        <v>7</v>
      </c>
      <c r="U293" s="251">
        <f t="shared" si="109"/>
        <v>1.1948761871294291</v>
      </c>
      <c r="V293" s="383">
        <f t="shared" si="110"/>
        <v>29.856702276878853</v>
      </c>
      <c r="W293" s="402">
        <f t="shared" si="111"/>
        <v>11.245939260999879</v>
      </c>
      <c r="X293" s="157">
        <f t="shared" si="112"/>
        <v>45205</v>
      </c>
      <c r="Y293" s="385">
        <f t="shared" si="113"/>
        <v>10.09122314174002</v>
      </c>
      <c r="Z293" s="385">
        <f t="shared" si="114"/>
        <v>10.783363844152186</v>
      </c>
      <c r="AA293" s="386">
        <f t="shared" si="115"/>
        <v>12.641407971311034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0.14698078974870316</v>
      </c>
      <c r="AD293" s="231">
        <f>(INDEX(Models!$BJ293:$BT293,,AH293)*(1-AF293)+INDEX(Models!$BJ293:$BT293,,AH293+1)*AF293-ERP_i)*AE293*Ramure*Pc/MaxiM</f>
        <v>4.8789006271951464E-2</v>
      </c>
      <c r="AE293" s="305">
        <f t="shared" si="117"/>
        <v>0.8</v>
      </c>
      <c r="AF293" s="177">
        <f t="shared" si="118"/>
        <v>0.39559293429433273</v>
      </c>
      <c r="AG293" s="809">
        <f t="shared" si="124"/>
        <v>2</v>
      </c>
      <c r="AH293" s="176">
        <f t="shared" si="119"/>
        <v>8</v>
      </c>
      <c r="AI293" s="225">
        <f t="shared" si="120"/>
        <v>2.3955929342943327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1141">
        <f>IF(t&gt;Tmaj,'2022'!Wh/'2022'!Env_an*'2023'!Env_an,0.001*'[12]mon-tableau (1)'!$B$146)</f>
        <v>22.684573736486961</v>
      </c>
      <c r="C294" s="839"/>
      <c r="D294" s="393">
        <f t="shared" si="102"/>
        <v>24.241048874237734</v>
      </c>
      <c r="E294" s="385">
        <f t="shared" si="100"/>
        <v>25.579441179453546</v>
      </c>
      <c r="F294" s="385">
        <f t="shared" si="103"/>
        <v>25.959110093267615</v>
      </c>
      <c r="G294" s="110">
        <f t="shared" si="101"/>
        <v>0.76311407734301551</v>
      </c>
      <c r="H294" s="414" t="b">
        <f>Wh_hp&gt;='2022'!Maxi_hp</f>
        <v>0</v>
      </c>
      <c r="I294" s="390">
        <f>IF(H294,Wh_hp,'2022'!Maxi_hp)</f>
        <v>34.247356004135384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6.4208242218632888E-2</v>
      </c>
      <c r="M294" s="843"/>
      <c r="N294" s="843"/>
      <c r="O294" s="48">
        <f>IF(t&lt;Tnet,'2022'!Resal+('2022'!Salim-'2022'!Resal)*(1-EXP(('2022'!Tnet-t)/('2022'!Tau_j))),Resal+(Salim-Resal)*(1-EXP((Tnet-t)/(Tau_j))))*Salcycl</f>
        <v>5.2322968896242494E-2</v>
      </c>
      <c r="P294" s="169">
        <f>(INDEX(Models!$BJ294:$BT294,,T294)*(1-R294)+INDEX(Models!$BJ294:$BT294,,T294+1)*R294-ERP_i)*Q294*Ramure*Pc/MaxiM</f>
        <v>2.1841282418922844E-2</v>
      </c>
      <c r="Q294" s="305">
        <f t="shared" si="105"/>
        <v>0.8</v>
      </c>
      <c r="R294" s="177">
        <f t="shared" si="106"/>
        <v>0.19506288167325669</v>
      </c>
      <c r="S294" s="809">
        <f t="shared" si="107"/>
        <v>1</v>
      </c>
      <c r="T294" s="176">
        <f t="shared" si="108"/>
        <v>7</v>
      </c>
      <c r="U294" s="251">
        <f t="shared" si="109"/>
        <v>1.1950628816732567</v>
      </c>
      <c r="V294" s="383">
        <f t="shared" si="110"/>
        <v>29.508642805356892</v>
      </c>
      <c r="W294" s="402">
        <f t="shared" si="111"/>
        <v>22.684573736486961</v>
      </c>
      <c r="X294" s="157">
        <f t="shared" si="112"/>
        <v>45206</v>
      </c>
      <c r="Y294" s="385">
        <f t="shared" si="113"/>
        <v>20.055987630574652</v>
      </c>
      <c r="Z294" s="385">
        <f t="shared" si="114"/>
        <v>21.432105448464974</v>
      </c>
      <c r="AA294" s="386">
        <f t="shared" si="115"/>
        <v>25.12469546339268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0.14697053822235992</v>
      </c>
      <c r="AD294" s="231">
        <f>(INDEX(Models!$BJ294:$BT294,,AH294)*(1-AF294)+INDEX(Models!$BJ294:$BT294,,AH294+1)*AF294-ERP_i)*AE294*Ramure*Pc/MaxiM</f>
        <v>4.800152164816026E-2</v>
      </c>
      <c r="AE294" s="305">
        <f t="shared" si="117"/>
        <v>0.8</v>
      </c>
      <c r="AF294" s="177">
        <f t="shared" si="118"/>
        <v>0.39577962883816031</v>
      </c>
      <c r="AG294" s="809">
        <f t="shared" si="124"/>
        <v>2</v>
      </c>
      <c r="AH294" s="176">
        <f t="shared" si="119"/>
        <v>8</v>
      </c>
      <c r="AI294" s="225">
        <f t="shared" si="120"/>
        <v>2.3957796288381603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1141">
        <f>IF(t&gt;Tmaj,'2022'!Wh/'2022'!Env_an*'2023'!Env_an,0.001*'[12]mon-tableau (1)'!$B$147)</f>
        <v>14.770128546961114</v>
      </c>
      <c r="C295" s="839"/>
      <c r="D295" s="393">
        <f t="shared" si="102"/>
        <v>15.783939011242239</v>
      </c>
      <c r="E295" s="385">
        <f t="shared" si="100"/>
        <v>16.658266318657653</v>
      </c>
      <c r="F295" s="385">
        <f t="shared" si="103"/>
        <v>16.764920674239772</v>
      </c>
      <c r="G295" s="110">
        <f t="shared" si="101"/>
        <v>0.49870513563314522</v>
      </c>
      <c r="H295" s="414" t="b">
        <f>Wh_hp&gt;='2022'!Maxi_hp</f>
        <v>0</v>
      </c>
      <c r="I295" s="390">
        <f>IF(H295,Wh_hp,'2022'!Maxi_hp)</f>
        <v>32.97035211319082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6.4230510746337149E-2</v>
      </c>
      <c r="M295" s="843"/>
      <c r="N295" s="843"/>
      <c r="O295" s="48">
        <f>IF(t&lt;Tnet,'2022'!Resal+('2022'!Salim-'2022'!Resal)*(1-EXP(('2022'!Tnet-t)/('2022'!Tau_j))),Resal+(Salim-Resal)*(1-EXP((Tnet-t)/(Tau_j))))*Salcycl</f>
        <v>5.24860925314986E-2</v>
      </c>
      <c r="P295" s="169">
        <f>(INDEX(Models!$BJ295:$BT295,,T295)*(1-R295)+INDEX(Models!$BJ295:$BT295,,T295+1)*R295-ERP_i)*Q295*Ramure*Pc/MaxiM</f>
        <v>2.1569805195342569E-2</v>
      </c>
      <c r="Q295" s="305">
        <f t="shared" si="105"/>
        <v>0.8</v>
      </c>
      <c r="R295" s="177">
        <f t="shared" si="106"/>
        <v>0.1952421693122901</v>
      </c>
      <c r="S295" s="809">
        <f t="shared" si="107"/>
        <v>1</v>
      </c>
      <c r="T295" s="176">
        <f t="shared" si="108"/>
        <v>7</v>
      </c>
      <c r="U295" s="251">
        <f t="shared" si="109"/>
        <v>1.1952421693122901</v>
      </c>
      <c r="V295" s="383">
        <f t="shared" si="110"/>
        <v>29.163657092747915</v>
      </c>
      <c r="W295" s="402">
        <f t="shared" si="111"/>
        <v>14.770128546961114</v>
      </c>
      <c r="X295" s="157">
        <f t="shared" si="112"/>
        <v>45207</v>
      </c>
      <c r="Y295" s="385">
        <f t="shared" si="113"/>
        <v>13.196319263224682</v>
      </c>
      <c r="Z295" s="385">
        <f t="shared" si="114"/>
        <v>14.102104647320363</v>
      </c>
      <c r="AA295" s="386">
        <f t="shared" si="115"/>
        <v>16.531549438267675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0.14695808157725174</v>
      </c>
      <c r="AD295" s="231">
        <f>(INDEX(Models!$BJ295:$BT295,,AH295)*(1-AF295)+INDEX(Models!$BJ295:$BT295,,AH295+1)*AF295-ERP_i)*AE295*Ramure*Pc/MaxiM</f>
        <v>4.7197060735496857E-2</v>
      </c>
      <c r="AE295" s="305">
        <f t="shared" si="117"/>
        <v>0.8</v>
      </c>
      <c r="AF295" s="177">
        <f t="shared" si="118"/>
        <v>0.3959589164771935</v>
      </c>
      <c r="AG295" s="809">
        <f t="shared" si="124"/>
        <v>2</v>
      </c>
      <c r="AH295" s="176">
        <f t="shared" si="119"/>
        <v>8</v>
      </c>
      <c r="AI295" s="225">
        <f t="shared" si="120"/>
        <v>2.3959589164771935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1141">
        <f>IF(t&gt;Tmaj,'2022'!Wh/'2022'!Env_an*'2023'!Env_an,0.001*'[12]mon-tableau (1)'!$B$148)</f>
        <v>28.254408100416619</v>
      </c>
      <c r="C296" s="839"/>
      <c r="D296" s="393">
        <f t="shared" si="102"/>
        <v>30.194487847742945</v>
      </c>
      <c r="E296" s="385">
        <f t="shared" si="100"/>
        <v>31.872513085903808</v>
      </c>
      <c r="F296" s="385">
        <f t="shared" si="103"/>
        <v>32.545403532011953</v>
      </c>
      <c r="G296" s="110">
        <f t="shared" si="101"/>
        <v>0.97972098939257657</v>
      </c>
      <c r="H296" s="414" t="b">
        <f>Wh_hp&gt;='2022'!Maxi_hp</f>
        <v>0</v>
      </c>
      <c r="I296" s="390">
        <f>IF(H296,Wh_hp,'2022'!Maxi_hp)</f>
        <v>32.555897741774473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6.4252778755820167E-2</v>
      </c>
      <c r="M296" s="843"/>
      <c r="N296" s="843"/>
      <c r="O296" s="48">
        <f>IF(t&lt;Tnet,'2022'!Resal+('2022'!Salim-'2022'!Resal)*(1-EXP(('2022'!Tnet-t)/('2022'!Tau_j))),Resal+(Salim-Resal)*(1-EXP((Tnet-t)/(Tau_j))))*Salcycl</f>
        <v>5.2648036684091876E-2</v>
      </c>
      <c r="P296" s="169">
        <f>(INDEX(Models!$BJ296:$BT296,,T296)*(1-R296)+INDEX(Models!$BJ296:$BT296,,T296+1)*R296-ERP_i)*Q296*Ramure*Pc/MaxiM</f>
        <v>2.1273536683825912E-2</v>
      </c>
      <c r="Q296" s="305">
        <f t="shared" si="105"/>
        <v>0.8</v>
      </c>
      <c r="R296" s="177">
        <f t="shared" si="106"/>
        <v>0.19541433968508515</v>
      </c>
      <c r="S296" s="809">
        <f t="shared" si="107"/>
        <v>1</v>
      </c>
      <c r="T296" s="176">
        <f t="shared" si="108"/>
        <v>7</v>
      </c>
      <c r="U296" s="251">
        <f t="shared" si="109"/>
        <v>1.1954143396850851</v>
      </c>
      <c r="V296" s="383">
        <f t="shared" si="110"/>
        <v>28.821626451897615</v>
      </c>
      <c r="W296" s="402">
        <f t="shared" si="111"/>
        <v>28.254408100416619</v>
      </c>
      <c r="X296" s="157">
        <f t="shared" si="112"/>
        <v>45208</v>
      </c>
      <c r="Y296" s="385">
        <f t="shared" si="113"/>
        <v>24.80764439203239</v>
      </c>
      <c r="Z296" s="385">
        <f t="shared" si="114"/>
        <v>26.511053229789848</v>
      </c>
      <c r="AA296" s="386">
        <f t="shared" si="115"/>
        <v>31.077719519142065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0.14694341669888025</v>
      </c>
      <c r="AD296" s="231">
        <f>(INDEX(Models!$BJ296:$BT296,,AH296)*(1-AF296)+INDEX(Models!$BJ296:$BT296,,AH296+1)*AF296-ERP_i)*AE296*Ramure*Pc/MaxiM</f>
        <v>4.6401059590961087E-2</v>
      </c>
      <c r="AE296" s="305">
        <f t="shared" si="117"/>
        <v>0.8</v>
      </c>
      <c r="AF296" s="177">
        <f t="shared" si="118"/>
        <v>0.39613108684998855</v>
      </c>
      <c r="AG296" s="809">
        <f t="shared" si="124"/>
        <v>2</v>
      </c>
      <c r="AH296" s="176">
        <f t="shared" si="119"/>
        <v>8</v>
      </c>
      <c r="AI296" s="225">
        <f t="shared" si="120"/>
        <v>2.3961310868499885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1141">
        <f>IF(t&gt;Tmaj,'2022'!Wh/'2022'!Env_an*'2023'!Env_an,0.001*'[12]mon-tableau (1)'!$B$149)</f>
        <v>23.60920121603127</v>
      </c>
      <c r="C297" s="839"/>
      <c r="D297" s="393">
        <f t="shared" si="102"/>
        <v>25.230919749806823</v>
      </c>
      <c r="E297" s="385">
        <f t="shared" ref="E297:E360" si="125">Wh_pvt/(1-Psa)</f>
        <v>26.637620413077734</v>
      </c>
      <c r="F297" s="385">
        <f t="shared" si="103"/>
        <v>27.06647630008089</v>
      </c>
      <c r="G297" s="110">
        <f t="shared" ref="G297:G360" si="126">+Wh_hp/MaxiM</f>
        <v>0.82459916227040864</v>
      </c>
      <c r="H297" s="414" t="b">
        <f>Wh_hp&gt;='2022'!Maxi_hp</f>
        <v>0</v>
      </c>
      <c r="I297" s="390">
        <f>IF(H297,Wh_hp,'2022'!Maxi_hp)</f>
        <v>27.381561766744639</v>
      </c>
      <c r="J297" s="85">
        <f>IF(H297,An,'2022'!An_max)</f>
        <v>2021</v>
      </c>
      <c r="K297" s="197">
        <f t="shared" si="104"/>
        <v>45209</v>
      </c>
      <c r="L297" s="147">
        <f>IF(t&lt;Tvie,1-EXP((T0-t)*PertePVj)+'2022'!Pspv,1-EXP((T0-t)*PertePVj)+Pspv)</f>
        <v>6.4275046247094153E-2</v>
      </c>
      <c r="M297" s="843"/>
      <c r="N297" s="843"/>
      <c r="O297" s="48">
        <f>IF(t&lt;Tnet,'2022'!Resal+('2022'!Salim-'2022'!Resal)*(1-EXP(('2022'!Tnet-t)/('2022'!Tau_j))),Resal+(Salim-Resal)*(1-EXP((Tnet-t)/(Tau_j))))*Salcycl</f>
        <v>5.2808796035710814E-2</v>
      </c>
      <c r="P297" s="169">
        <f>(INDEX(Models!$BJ297:$BT297,,T297)*(1-R297)+INDEX(Models!$BJ297:$BT297,,T297+1)*R297-ERP_i)*Q297*Ramure*Pc/MaxiM</f>
        <v>2.0969647146258288E-2</v>
      </c>
      <c r="Q297" s="305">
        <f t="shared" si="105"/>
        <v>0.8</v>
      </c>
      <c r="R297" s="177">
        <f t="shared" si="106"/>
        <v>0.19557967143539434</v>
      </c>
      <c r="S297" s="809">
        <f t="shared" si="107"/>
        <v>1</v>
      </c>
      <c r="T297" s="176">
        <f t="shared" si="108"/>
        <v>7</v>
      </c>
      <c r="U297" s="251">
        <f t="shared" si="109"/>
        <v>1.1955796714353943</v>
      </c>
      <c r="V297" s="383">
        <f t="shared" si="110"/>
        <v>28.482024446085024</v>
      </c>
      <c r="W297" s="402">
        <f t="shared" si="111"/>
        <v>23.60920121603127</v>
      </c>
      <c r="X297" s="157">
        <f t="shared" si="112"/>
        <v>45209</v>
      </c>
      <c r="Y297" s="385">
        <f t="shared" si="113"/>
        <v>20.860790931037453</v>
      </c>
      <c r="Z297" s="385">
        <f t="shared" si="114"/>
        <v>22.293720871043586</v>
      </c>
      <c r="AA297" s="386">
        <f t="shared" si="115"/>
        <v>26.13341299567135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0.1469265466880946</v>
      </c>
      <c r="AD297" s="231">
        <f>(INDEX(Models!$BJ297:$BT297,,AH297)*(1-AF297)+INDEX(Models!$BJ297:$BT297,,AH297+1)*AF297-ERP_i)*AE297*Ramure*Pc/MaxiM</f>
        <v>4.5623737137706101E-2</v>
      </c>
      <c r="AE297" s="305">
        <f t="shared" si="117"/>
        <v>0.8</v>
      </c>
      <c r="AF297" s="177">
        <f t="shared" si="118"/>
        <v>0.39629641860029796</v>
      </c>
      <c r="AG297" s="809">
        <f t="shared" si="124"/>
        <v>2</v>
      </c>
      <c r="AH297" s="176">
        <f t="shared" si="119"/>
        <v>8</v>
      </c>
      <c r="AI297" s="225">
        <f t="shared" si="120"/>
        <v>2.396296418600298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1141">
        <f>IF(t&gt;Tmaj,'2022'!Wh/'2022'!Env_an*'2023'!Env_an,0.001*'[12]mon-tableau (1)'!$B$150)</f>
        <v>19.088569181618126</v>
      </c>
      <c r="C298" s="839"/>
      <c r="D298" s="393">
        <f t="shared" si="102"/>
        <v>20.400250476260172</v>
      </c>
      <c r="E298" s="385">
        <f t="shared" si="125"/>
        <v>21.541255624045728</v>
      </c>
      <c r="F298" s="385">
        <f t="shared" si="103"/>
        <v>21.784414687760396</v>
      </c>
      <c r="G298" s="110">
        <f t="shared" si="126"/>
        <v>0.67171299719083422</v>
      </c>
      <c r="H298" s="414" t="b">
        <f>Wh_hp&gt;='2022'!Maxi_hp</f>
        <v>0</v>
      </c>
      <c r="I298" s="390">
        <f>IF(H298,Wh_hp,'2022'!Maxi_hp)</f>
        <v>33.346419914552634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6.4297313220171098E-2</v>
      </c>
      <c r="M298" s="843"/>
      <c r="N298" s="843"/>
      <c r="O298" s="48">
        <f>IF(t&lt;Tnet,'2022'!Resal+('2022'!Salim-'2022'!Resal)*(1-EXP(('2022'!Tnet-t)/('2022'!Tau_j))),Resal+(Salim-Resal)*(1-EXP((Tnet-t)/(Tau_j))))*Salcycl</f>
        <v>5.2968367661534697E-2</v>
      </c>
      <c r="P298" s="169">
        <f>(INDEX(Models!$BJ298:$BT298,,T298)*(1-R298)+INDEX(Models!$BJ298:$BT298,,T298+1)*R298-ERP_i)*Q298*Ramure*Pc/MaxiM</f>
        <v>2.0658130799351443E-2</v>
      </c>
      <c r="Q298" s="305">
        <f t="shared" si="105"/>
        <v>0.8</v>
      </c>
      <c r="R298" s="177">
        <f t="shared" si="106"/>
        <v>0.19573843260343393</v>
      </c>
      <c r="S298" s="809">
        <f t="shared" si="107"/>
        <v>1</v>
      </c>
      <c r="T298" s="176">
        <f t="shared" si="108"/>
        <v>7</v>
      </c>
      <c r="U298" s="251">
        <f t="shared" si="109"/>
        <v>1.1957384326034339</v>
      </c>
      <c r="V298" s="383">
        <f t="shared" si="110"/>
        <v>28.144842835889872</v>
      </c>
      <c r="W298" s="402">
        <f t="shared" si="111"/>
        <v>19.088569181618126</v>
      </c>
      <c r="X298" s="157">
        <f t="shared" si="112"/>
        <v>45210</v>
      </c>
      <c r="Y298" s="385">
        <f t="shared" si="113"/>
        <v>16.967660691589192</v>
      </c>
      <c r="Z298" s="385">
        <f t="shared" si="114"/>
        <v>18.133602618992679</v>
      </c>
      <c r="AA298" s="386">
        <f t="shared" si="115"/>
        <v>21.256314196480684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0.14690748116646771</v>
      </c>
      <c r="AD298" s="231">
        <f>(INDEX(Models!$BJ298:$BT298,,AH298)*(1-AF298)+INDEX(Models!$BJ298:$BT298,,AH298+1)*AF298-ERP_i)*AE298*Ramure*Pc/MaxiM</f>
        <v>4.4865977263589651E-2</v>
      </c>
      <c r="AE298" s="305">
        <f t="shared" si="117"/>
        <v>0.8</v>
      </c>
      <c r="AF298" s="177">
        <f t="shared" si="118"/>
        <v>0.39645517976833755</v>
      </c>
      <c r="AG298" s="809">
        <f t="shared" si="124"/>
        <v>2</v>
      </c>
      <c r="AH298" s="176">
        <f t="shared" si="119"/>
        <v>8</v>
      </c>
      <c r="AI298" s="225">
        <f t="shared" si="120"/>
        <v>2.3964551797683376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1141">
        <f>IF(t&gt;Tmaj,'2022'!Wh/'2022'!Env_an*'2023'!Env_an,0.001*'[12]mon-tableau (1)'!$B$151)</f>
        <v>22.135086120067122</v>
      </c>
      <c r="C299" s="839"/>
      <c r="D299" s="393">
        <f t="shared" si="102"/>
        <v>23.65667341032977</v>
      </c>
      <c r="E299" s="385">
        <f t="shared" si="125"/>
        <v>24.983991721679889</v>
      </c>
      <c r="F299" s="385">
        <f t="shared" si="103"/>
        <v>25.349270141583339</v>
      </c>
      <c r="G299" s="110">
        <f t="shared" si="126"/>
        <v>0.79114946752627879</v>
      </c>
      <c r="H299" s="414" t="b">
        <f>Wh_hp&gt;='2022'!Maxi_hp</f>
        <v>0</v>
      </c>
      <c r="I299" s="390">
        <f>IF(H299,Wh_hp,'2022'!Maxi_hp)</f>
        <v>31.597576410466939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6.4319579675062993E-2</v>
      </c>
      <c r="M299" s="843"/>
      <c r="N299" s="843"/>
      <c r="O299" s="48">
        <f>IF(t&lt;Tnet,'2022'!Resal+('2022'!Salim-'2022'!Resal)*(1-EXP(('2022'!Tnet-t)/('2022'!Tau_j))),Resal+(Salim-Resal)*(1-EXP((Tnet-t)/(Tau_j))))*Salcycl</f>
        <v>5.3126751166761597E-2</v>
      </c>
      <c r="P299" s="169">
        <f>(INDEX(Models!$BJ299:$BT299,,T299)*(1-R299)+INDEX(Models!$BJ299:$BT299,,T299+1)*R299-ERP_i)*Q299*Ramure*Pc/MaxiM</f>
        <v>2.0338993450003413E-2</v>
      </c>
      <c r="Q299" s="305">
        <f t="shared" si="105"/>
        <v>0.8</v>
      </c>
      <c r="R299" s="177">
        <f t="shared" si="106"/>
        <v>0.19589088100531571</v>
      </c>
      <c r="S299" s="809">
        <f t="shared" si="107"/>
        <v>1</v>
      </c>
      <c r="T299" s="176">
        <f t="shared" si="108"/>
        <v>7</v>
      </c>
      <c r="U299" s="251">
        <f t="shared" si="109"/>
        <v>1.1958908810053157</v>
      </c>
      <c r="V299" s="383">
        <f t="shared" si="110"/>
        <v>27.810073094369255</v>
      </c>
      <c r="W299" s="402">
        <f t="shared" si="111"/>
        <v>22.135086120067122</v>
      </c>
      <c r="X299" s="157">
        <f t="shared" si="112"/>
        <v>45211</v>
      </c>
      <c r="Y299" s="385">
        <f t="shared" si="113"/>
        <v>19.602217795999877</v>
      </c>
      <c r="Z299" s="385">
        <f t="shared" si="114"/>
        <v>20.949693260859885</v>
      </c>
      <c r="AA299" s="386">
        <f t="shared" si="115"/>
        <v>24.556740447134668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0.14688623655244365</v>
      </c>
      <c r="AD299" s="231">
        <f>(INDEX(Models!$BJ299:$BT299,,AH299)*(1-AF299)+INDEX(Models!$BJ299:$BT299,,AH299+1)*AF299-ERP_i)*AE299*Ramure*Pc/MaxiM</f>
        <v>4.4128684822348406E-2</v>
      </c>
      <c r="AE299" s="305">
        <f t="shared" si="117"/>
        <v>0.8</v>
      </c>
      <c r="AF299" s="177">
        <f t="shared" si="118"/>
        <v>0.39660762817021933</v>
      </c>
      <c r="AG299" s="809">
        <f t="shared" si="124"/>
        <v>2</v>
      </c>
      <c r="AH299" s="176">
        <f t="shared" si="119"/>
        <v>8</v>
      </c>
      <c r="AI299" s="225">
        <f t="shared" si="120"/>
        <v>2.3966076281702193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1141">
        <f>IF(t&gt;Tmaj,'2022'!Wh/'2022'!Env_an*'2023'!Env_an,0.001*'[12]mon-tableau (1)'!$B$152)</f>
        <v>19.374746940570478</v>
      </c>
      <c r="C300" s="839"/>
      <c r="D300" s="393">
        <f t="shared" si="102"/>
        <v>20.707078594573566</v>
      </c>
      <c r="E300" s="385">
        <f t="shared" si="125"/>
        <v>21.872533552811802</v>
      </c>
      <c r="F300" s="385">
        <f t="shared" si="103"/>
        <v>22.128820732026718</v>
      </c>
      <c r="G300" s="110">
        <f t="shared" si="126"/>
        <v>0.69909369378045849</v>
      </c>
      <c r="H300" s="414" t="b">
        <f>Wh_hp&gt;='2022'!Maxi_hp</f>
        <v>0</v>
      </c>
      <c r="I300" s="390">
        <f>IF(H300,Wh_hp,'2022'!Maxi_hp)</f>
        <v>31.501015093356781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6.434184561178205E-2</v>
      </c>
      <c r="M300" s="843"/>
      <c r="N300" s="843"/>
      <c r="O300" s="48">
        <f>IF(t&lt;Tnet,'2022'!Resal+('2022'!Salim-'2022'!Resal)*(1-EXP(('2022'!Tnet-t)/('2022'!Tau_j))),Resal+(Salim-Resal)*(1-EXP((Tnet-t)/(Tau_j))))*Salcycl</f>
        <v>5.3283948812981069E-2</v>
      </c>
      <c r="P300" s="169">
        <f>(INDEX(Models!$BJ300:$BT300,,T300)*(1-R300)+INDEX(Models!$BJ300:$BT300,,T300+1)*R300-ERP_i)*Q300*Ramure*Pc/MaxiM</f>
        <v>2.0012252533711267E-2</v>
      </c>
      <c r="Q300" s="305">
        <f t="shared" si="105"/>
        <v>0.8</v>
      </c>
      <c r="R300" s="177">
        <f t="shared" si="106"/>
        <v>0.19603726460082882</v>
      </c>
      <c r="S300" s="809">
        <f t="shared" si="107"/>
        <v>1</v>
      </c>
      <c r="T300" s="176">
        <f t="shared" si="108"/>
        <v>7</v>
      </c>
      <c r="U300" s="251">
        <f t="shared" si="109"/>
        <v>1.1960372646008288</v>
      </c>
      <c r="V300" s="383">
        <f t="shared" si="110"/>
        <v>27.477706425245543</v>
      </c>
      <c r="W300" s="402">
        <f t="shared" si="111"/>
        <v>19.374746940570478</v>
      </c>
      <c r="X300" s="157">
        <f t="shared" si="112"/>
        <v>45212</v>
      </c>
      <c r="Y300" s="385">
        <f t="shared" si="113"/>
        <v>17.220417580382026</v>
      </c>
      <c r="Z300" s="385">
        <f t="shared" si="114"/>
        <v>18.40460375364508</v>
      </c>
      <c r="AA300" s="386">
        <f t="shared" si="115"/>
        <v>21.572854327354843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0.14686283630499244</v>
      </c>
      <c r="AD300" s="231">
        <f>(INDEX(Models!$BJ300:$BT300,,AH300)*(1-AF300)+INDEX(Models!$BJ300:$BT300,,AH300+1)*AF300-ERP_i)*AE300*Ramure*Pc/MaxiM</f>
        <v>4.3412784535831438E-2</v>
      </c>
      <c r="AE300" s="305">
        <f t="shared" si="117"/>
        <v>0.8</v>
      </c>
      <c r="AF300" s="177">
        <f t="shared" si="118"/>
        <v>0.39675401176573244</v>
      </c>
      <c r="AG300" s="809">
        <f t="shared" si="124"/>
        <v>2</v>
      </c>
      <c r="AH300" s="176">
        <f t="shared" si="119"/>
        <v>8</v>
      </c>
      <c r="AI300" s="225">
        <f t="shared" si="120"/>
        <v>2.3967540117657324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1141">
        <f>IF(t&gt;Tmaj,'2022'!Wh/'2022'!Env_an*'2023'!Env_an,0.001*'[12]mon-tableau (1)'!$B$153)</f>
        <v>18.299392344502198</v>
      </c>
      <c r="C301" s="839"/>
      <c r="D301" s="393">
        <f t="shared" si="102"/>
        <v>19.55824114940037</v>
      </c>
      <c r="E301" s="385">
        <f t="shared" si="125"/>
        <v>20.662441302499978</v>
      </c>
      <c r="F301" s="385">
        <f t="shared" si="103"/>
        <v>20.882026777428372</v>
      </c>
      <c r="G301" s="110">
        <f t="shared" si="126"/>
        <v>0.66782531741750606</v>
      </c>
      <c r="H301" s="414" t="b">
        <f>Wh_hp&gt;='2022'!Maxi_hp</f>
        <v>0</v>
      </c>
      <c r="I301" s="390">
        <f>IF(H301,Wh_hp,'2022'!Maxi_hp)</f>
        <v>32.224976238135895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6.4364111030340149E-2</v>
      </c>
      <c r="M301" s="843"/>
      <c r="N301" s="843"/>
      <c r="O301" s="48">
        <f>IF(t&lt;Tnet,'2022'!Resal+('2022'!Salim-'2022'!Resal)*(1-EXP(('2022'!Tnet-t)/('2022'!Tau_j))),Resal+(Salim-Resal)*(1-EXP((Tnet-t)/(Tau_j))))*Salcycl</f>
        <v>5.343996563300623E-2</v>
      </c>
      <c r="P301" s="169">
        <f>(INDEX(Models!$BJ301:$BT301,,T301)*(1-R301)+INDEX(Models!$BJ301:$BT301,,T301+1)*R301-ERP_i)*Q301*Ramure*Pc/MaxiM</f>
        <v>1.9677937043939019E-2</v>
      </c>
      <c r="Q301" s="305">
        <f t="shared" si="105"/>
        <v>0.8</v>
      </c>
      <c r="R301" s="177">
        <f t="shared" si="106"/>
        <v>0.19617782184976562</v>
      </c>
      <c r="S301" s="809">
        <f t="shared" si="107"/>
        <v>1</v>
      </c>
      <c r="T301" s="176">
        <f t="shared" si="108"/>
        <v>7</v>
      </c>
      <c r="U301" s="251">
        <f t="shared" si="109"/>
        <v>1.1961778218497656</v>
      </c>
      <c r="V301" s="383">
        <f t="shared" si="110"/>
        <v>27.147733786208072</v>
      </c>
      <c r="W301" s="402">
        <f t="shared" si="111"/>
        <v>18.299392344502198</v>
      </c>
      <c r="X301" s="157">
        <f t="shared" si="112"/>
        <v>45213</v>
      </c>
      <c r="Y301" s="385">
        <f t="shared" si="113"/>
        <v>16.288542636678429</v>
      </c>
      <c r="Z301" s="385">
        <f t="shared" si="114"/>
        <v>17.409061397394325</v>
      </c>
      <c r="AA301" s="386">
        <f t="shared" si="115"/>
        <v>20.405324359047086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0.14683731113170514</v>
      </c>
      <c r="AD301" s="231">
        <f>(INDEX(Models!$BJ301:$BT301,,AH301)*(1-AF301)+INDEX(Models!$BJ301:$BT301,,AH301+1)*AF301-ERP_i)*AE301*Ramure*Pc/MaxiM</f>
        <v>4.2719219842111064E-2</v>
      </c>
      <c r="AE301" s="305">
        <f t="shared" si="117"/>
        <v>0.8</v>
      </c>
      <c r="AF301" s="177">
        <f t="shared" si="118"/>
        <v>0.39689456901466924</v>
      </c>
      <c r="AG301" s="809">
        <f t="shared" si="124"/>
        <v>2</v>
      </c>
      <c r="AH301" s="176">
        <f t="shared" si="119"/>
        <v>8</v>
      </c>
      <c r="AI301" s="225">
        <f t="shared" si="120"/>
        <v>2.3968945690146692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1141">
        <f>IF(t&gt;Tmaj,'2022'!Wh/'2022'!Env_an*'2023'!Env_an,0.001*'[12]mon-tableau (1)'!$B$154)</f>
        <v>26.438035373968653</v>
      </c>
      <c r="C302" s="839"/>
      <c r="D302" s="393">
        <f t="shared" si="102"/>
        <v>28.257428808039467</v>
      </c>
      <c r="E302" s="385">
        <f t="shared" si="125"/>
        <v>29.85764352591001</v>
      </c>
      <c r="F302" s="385">
        <f t="shared" si="103"/>
        <v>30.4341434658838</v>
      </c>
      <c r="G302" s="110">
        <f t="shared" si="126"/>
        <v>0.98535742155588801</v>
      </c>
      <c r="H302" s="414" t="b">
        <f>Wh_hp&gt;='2022'!Maxi_hp</f>
        <v>0</v>
      </c>
      <c r="I302" s="390">
        <f>IF(H302,Wh_hp,'2022'!Maxi_hp)</f>
        <v>30.440535467920558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6.438637593074939E-2</v>
      </c>
      <c r="M302" s="843"/>
      <c r="N302" s="843"/>
      <c r="O302" s="48">
        <f>IF(t&lt;Tnet,'2022'!Resal+('2022'!Salim-'2022'!Resal)*(1-EXP(('2022'!Tnet-t)/('2022'!Tau_j))),Resal+(Salim-Resal)*(1-EXP((Tnet-t)/(Tau_j))))*Salcycl</f>
        <v>5.3594809532838766E-2</v>
      </c>
      <c r="P302" s="169">
        <f>(INDEX(Models!$BJ302:$BT302,,T302)*(1-R302)+INDEX(Models!$BJ302:$BT302,,T302+1)*R302-ERP_i)*Q302*Ramure*Pc/MaxiM</f>
        <v>1.9336087348872485E-2</v>
      </c>
      <c r="Q302" s="305">
        <f t="shared" si="105"/>
        <v>0.8</v>
      </c>
      <c r="R302" s="177">
        <f t="shared" si="106"/>
        <v>0.19631278205700498</v>
      </c>
      <c r="S302" s="809">
        <f t="shared" si="107"/>
        <v>1</v>
      </c>
      <c r="T302" s="176">
        <f t="shared" si="108"/>
        <v>7</v>
      </c>
      <c r="U302" s="251">
        <f t="shared" si="109"/>
        <v>1.196312782057005</v>
      </c>
      <c r="V302" s="383">
        <f t="shared" si="110"/>
        <v>26.820145914904508</v>
      </c>
      <c r="W302" s="402">
        <f t="shared" si="111"/>
        <v>26.438035373968653</v>
      </c>
      <c r="X302" s="157">
        <f t="shared" si="112"/>
        <v>45214</v>
      </c>
      <c r="Y302" s="385">
        <f t="shared" si="113"/>
        <v>23.293495716836993</v>
      </c>
      <c r="Z302" s="385">
        <f t="shared" si="114"/>
        <v>24.896490514457167</v>
      </c>
      <c r="AA302" s="386">
        <f t="shared" si="115"/>
        <v>29.180465940484218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0.14680969915848993</v>
      </c>
      <c r="AD302" s="231">
        <f>(INDEX(Models!$BJ302:$BT302,,AH302)*(1-AF302)+INDEX(Models!$BJ302:$BT302,,AH302+1)*AF302-ERP_i)*AE302*Ramure*Pc/MaxiM</f>
        <v>4.2048951712894862E-2</v>
      </c>
      <c r="AE302" s="305">
        <f t="shared" si="117"/>
        <v>0.8</v>
      </c>
      <c r="AF302" s="177">
        <f t="shared" si="118"/>
        <v>0.39702952922190837</v>
      </c>
      <c r="AG302" s="809">
        <f t="shared" si="124"/>
        <v>2</v>
      </c>
      <c r="AH302" s="176">
        <f t="shared" si="119"/>
        <v>8</v>
      </c>
      <c r="AI302" s="225">
        <f t="shared" si="120"/>
        <v>2.3970295292219084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1141">
        <f>IF(t&gt;Tmaj,'2022'!Wh/'2022'!Env_an*'2023'!Env_an,0.001*'[12]mon-tableau (1)'!$B$155)</f>
        <v>24.893555402023051</v>
      </c>
      <c r="C303" s="839"/>
      <c r="D303" s="393">
        <f t="shared" si="102"/>
        <v>26.607295101946768</v>
      </c>
      <c r="E303" s="385">
        <f t="shared" si="125"/>
        <v>28.118628989809253</v>
      </c>
      <c r="F303" s="385">
        <f t="shared" si="103"/>
        <v>28.61504400589417</v>
      </c>
      <c r="G303" s="110">
        <f t="shared" si="126"/>
        <v>0.93800703895044379</v>
      </c>
      <c r="H303" s="414" t="b">
        <f>Wh_hp&gt;='2022'!Maxi_hp</f>
        <v>0</v>
      </c>
      <c r="I303" s="390">
        <f>IF(H303,Wh_hp,'2022'!Maxi_hp)</f>
        <v>30.080595648759999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6.4408640313021875E-2</v>
      </c>
      <c r="M303" s="843"/>
      <c r="N303" s="843"/>
      <c r="O303" s="48">
        <f>IF(t&lt;Tnet,'2022'!Resal+('2022'!Salim-'2022'!Resal)*(1-EXP(('2022'!Tnet-t)/('2022'!Tau_j))),Resal+(Salim-Resal)*(1-EXP((Tnet-t)/(Tau_j))))*Salcycl</f>
        <v>5.3748491379512868E-2</v>
      </c>
      <c r="P303" s="169">
        <f>(INDEX(Models!$BJ303:$BT303,,T303)*(1-R303)+INDEX(Models!$BJ303:$BT303,,T303+1)*R303-ERP_i)*Q303*Ramure*Pc/MaxiM</f>
        <v>1.8987054472738539E-2</v>
      </c>
      <c r="Q303" s="305">
        <f t="shared" si="105"/>
        <v>0.8</v>
      </c>
      <c r="R303" s="177">
        <f t="shared" si="106"/>
        <v>0.19644236570656459</v>
      </c>
      <c r="S303" s="809">
        <f t="shared" si="107"/>
        <v>1</v>
      </c>
      <c r="T303" s="176">
        <f t="shared" si="108"/>
        <v>7</v>
      </c>
      <c r="U303" s="251">
        <f t="shared" si="109"/>
        <v>1.1964423657065646</v>
      </c>
      <c r="V303" s="383">
        <f t="shared" si="110"/>
        <v>26.49450722511504</v>
      </c>
      <c r="W303" s="402">
        <f t="shared" si="111"/>
        <v>24.893555402023051</v>
      </c>
      <c r="X303" s="157">
        <f t="shared" si="112"/>
        <v>45215</v>
      </c>
      <c r="Y303" s="385">
        <f t="shared" si="113"/>
        <v>21.978276935108511</v>
      </c>
      <c r="Z303" s="385">
        <f t="shared" si="114"/>
        <v>23.491320978489806</v>
      </c>
      <c r="AA303" s="386">
        <f t="shared" si="115"/>
        <v>27.53254992451188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0.1467800460582919</v>
      </c>
      <c r="AD303" s="231">
        <f>(INDEX(Models!$BJ303:$BT303,,AH303)*(1-AF303)+INDEX(Models!$BJ303:$BT303,,AH303+1)*AF303-ERP_i)*AE303*Ramure*Pc/MaxiM</f>
        <v>4.1403610736277026E-2</v>
      </c>
      <c r="AE303" s="305">
        <f t="shared" si="117"/>
        <v>0.8</v>
      </c>
      <c r="AF303" s="177">
        <f t="shared" si="118"/>
        <v>0.39715911287146799</v>
      </c>
      <c r="AG303" s="809">
        <f t="shared" si="124"/>
        <v>2</v>
      </c>
      <c r="AH303" s="176">
        <f t="shared" si="119"/>
        <v>8</v>
      </c>
      <c r="AI303" s="225">
        <f t="shared" si="120"/>
        <v>2.397159112871468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1141">
        <f>IF(t&gt;Tmaj,'2022'!Wh/'2022'!Env_an*'2023'!Env_an,0.001*'[12]mon-tableau (1)'!$B$156)</f>
        <v>16.567520897389297</v>
      </c>
      <c r="C304" s="839"/>
      <c r="D304" s="393">
        <f t="shared" si="102"/>
        <v>17.708495258512372</v>
      </c>
      <c r="E304" s="385">
        <f t="shared" si="125"/>
        <v>18.71738129712158</v>
      </c>
      <c r="F304" s="385">
        <f t="shared" si="103"/>
        <v>18.8848792951874</v>
      </c>
      <c r="G304" s="110">
        <f t="shared" si="126"/>
        <v>0.62682556556332381</v>
      </c>
      <c r="H304" s="414" t="b">
        <f>Wh_hp&gt;='2022'!Maxi_hp</f>
        <v>0</v>
      </c>
      <c r="I304" s="390">
        <f>IF(H304,Wh_hp,'2022'!Maxi_hp)</f>
        <v>27.817595190845999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6.4430904177169707E-2</v>
      </c>
      <c r="M304" s="843"/>
      <c r="N304" s="843"/>
      <c r="O304" s="48">
        <f>IF(t&lt;Tnet,'2022'!Resal+('2022'!Salim-'2022'!Resal)*(1-EXP(('2022'!Tnet-t)/('2022'!Tau_j))),Resal+(Salim-Resal)*(1-EXP((Tnet-t)/(Tau_j))))*Salcycl</f>
        <v>5.390102507364946E-2</v>
      </c>
      <c r="P304" s="169">
        <f>(INDEX(Models!$BJ304:$BT304,,T304)*(1-R304)+INDEX(Models!$BJ304:$BT304,,T304+1)*R304-ERP_i)*Q304*Ramure*Pc/MaxiM</f>
        <v>1.8640695696784705E-2</v>
      </c>
      <c r="Q304" s="305">
        <f t="shared" si="105"/>
        <v>0.8</v>
      </c>
      <c r="R304" s="177">
        <f t="shared" si="106"/>
        <v>0.19656678478485823</v>
      </c>
      <c r="S304" s="809">
        <f t="shared" si="107"/>
        <v>1</v>
      </c>
      <c r="T304" s="176">
        <f t="shared" si="108"/>
        <v>7</v>
      </c>
      <c r="U304" s="251">
        <f t="shared" si="109"/>
        <v>1.1965667847848582</v>
      </c>
      <c r="V304" s="383">
        <f t="shared" si="110"/>
        <v>26.170257508804347</v>
      </c>
      <c r="W304" s="402">
        <f t="shared" si="111"/>
        <v>16.567520897389297</v>
      </c>
      <c r="X304" s="157">
        <f t="shared" si="112"/>
        <v>45216</v>
      </c>
      <c r="Y304" s="385">
        <f t="shared" si="113"/>
        <v>14.782575243834291</v>
      </c>
      <c r="Z304" s="385">
        <f t="shared" si="114"/>
        <v>15.800623716448285</v>
      </c>
      <c r="AA304" s="386">
        <f t="shared" si="115"/>
        <v>18.518129718792839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0.14674840513654749</v>
      </c>
      <c r="AD304" s="231">
        <f>(INDEX(Models!$BJ304:$BT304,,AH304)*(1-AF304)+INDEX(Models!$BJ304:$BT304,,AH304+1)*AF304-ERP_i)*AE304*Ramure*Pc/MaxiM</f>
        <v>4.0815217670895493E-2</v>
      </c>
      <c r="AE304" s="305">
        <f t="shared" si="117"/>
        <v>0.8</v>
      </c>
      <c r="AF304" s="177">
        <f t="shared" si="118"/>
        <v>0.39728353194976185</v>
      </c>
      <c r="AG304" s="809">
        <f t="shared" si="124"/>
        <v>2</v>
      </c>
      <c r="AH304" s="176">
        <f t="shared" si="119"/>
        <v>8</v>
      </c>
      <c r="AI304" s="225">
        <f t="shared" si="120"/>
        <v>2.3972835319497618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1141">
        <f>IF(t&gt;Tmaj,'2022'!Wh/'2022'!Env_an*'2023'!Env_an,0.001*'[12]mon-tableau (1)'!$B$157)</f>
        <v>24.622450288825057</v>
      </c>
      <c r="C305" s="839"/>
      <c r="D305" s="393">
        <f t="shared" si="102"/>
        <v>26.318778958012004</v>
      </c>
      <c r="E305" s="385">
        <f t="shared" si="125"/>
        <v>27.822661346225399</v>
      </c>
      <c r="F305" s="385">
        <f t="shared" si="103"/>
        <v>28.305587488684424</v>
      </c>
      <c r="G305" s="110">
        <f t="shared" si="126"/>
        <v>0.95140362156955549</v>
      </c>
      <c r="H305" s="414" t="b">
        <f>Wh_hp&gt;='2022'!Maxi_hp</f>
        <v>0</v>
      </c>
      <c r="I305" s="390">
        <f>IF(H305,Wh_hp,'2022'!Maxi_hp)</f>
        <v>30.068535736268366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6.4453167523204874E-2</v>
      </c>
      <c r="M305" s="843"/>
      <c r="N305" s="843"/>
      <c r="O305" s="48">
        <f>IF(t&lt;Tnet,'2022'!Resal+('2022'!Salim-'2022'!Resal)*(1-EXP(('2022'!Tnet-t)/('2022'!Tau_j))),Resal+(Salim-Resal)*(1-EXP((Tnet-t)/(Tau_j))))*Salcycl</f>
        <v>5.4052427605651064E-2</v>
      </c>
      <c r="P305" s="169">
        <f>(INDEX(Models!$BJ305:$BT305,,T305)*(1-R305)+INDEX(Models!$BJ305:$BT305,,T305+1)*R305-ERP_i)*Q305*Ramure*Pc/MaxiM</f>
        <v>1.8300230068797947E-2</v>
      </c>
      <c r="Q305" s="305">
        <f t="shared" si="105"/>
        <v>0.8</v>
      </c>
      <c r="R305" s="177">
        <f t="shared" si="106"/>
        <v>0.19668624309338689</v>
      </c>
      <c r="S305" s="809">
        <f t="shared" si="107"/>
        <v>1</v>
      </c>
      <c r="T305" s="176">
        <f t="shared" si="108"/>
        <v>7</v>
      </c>
      <c r="U305" s="251">
        <f t="shared" si="109"/>
        <v>1.1966862430933869</v>
      </c>
      <c r="V305" s="383">
        <f t="shared" si="110"/>
        <v>25.847507014411086</v>
      </c>
      <c r="W305" s="402">
        <f t="shared" si="111"/>
        <v>24.622450288825057</v>
      </c>
      <c r="X305" s="157">
        <f t="shared" si="112"/>
        <v>45217</v>
      </c>
      <c r="Y305" s="385">
        <f t="shared" si="113"/>
        <v>21.747659525722575</v>
      </c>
      <c r="Z305" s="385">
        <f t="shared" si="114"/>
        <v>23.245933576780075</v>
      </c>
      <c r="AA305" s="386">
        <f t="shared" si="115"/>
        <v>27.242866271305445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0.14671483737139979</v>
      </c>
      <c r="AD305" s="231">
        <f>(INDEX(Models!$BJ305:$BT305,,AH305)*(1-AF305)+INDEX(Models!$BJ305:$BT305,,AH305+1)*AF305-ERP_i)*AE305*Ramure*Pc/MaxiM</f>
        <v>4.0271256962814993E-2</v>
      </c>
      <c r="AE305" s="305">
        <f t="shared" si="117"/>
        <v>0.8</v>
      </c>
      <c r="AF305" s="177">
        <f t="shared" si="118"/>
        <v>0.39740299025829051</v>
      </c>
      <c r="AG305" s="809">
        <f t="shared" si="124"/>
        <v>2</v>
      </c>
      <c r="AH305" s="176">
        <f t="shared" si="119"/>
        <v>8</v>
      </c>
      <c r="AI305" s="225">
        <f t="shared" si="120"/>
        <v>2.3974029902582905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1141">
        <f>IF(t&gt;Tmaj,'2022'!Wh/'2022'!Env_an*'2023'!Env_an,0.001*'[12]mon-tableau (1)'!$B$158)</f>
        <v>12.963911002139126</v>
      </c>
      <c r="C306" s="839"/>
      <c r="D306" s="393">
        <f t="shared" si="102"/>
        <v>13.85737095820476</v>
      </c>
      <c r="E306" s="385">
        <f t="shared" si="125"/>
        <v>14.651523363377569</v>
      </c>
      <c r="F306" s="385">
        <f t="shared" si="103"/>
        <v>14.73010683815134</v>
      </c>
      <c r="G306" s="110">
        <f t="shared" si="126"/>
        <v>0.50141271377144681</v>
      </c>
      <c r="H306" s="414" t="b">
        <f>Wh_hp&gt;='2022'!Maxi_hp</f>
        <v>0</v>
      </c>
      <c r="I306" s="390">
        <f>IF(H306,Wh_hp,'2022'!Maxi_hp)</f>
        <v>28.870083274747984</v>
      </c>
      <c r="J306" s="85">
        <f>IF(H306,An,'2022'!An_max)</f>
        <v>2021</v>
      </c>
      <c r="K306" s="197">
        <f t="shared" si="104"/>
        <v>45218</v>
      </c>
      <c r="L306" s="147">
        <f>IF(t&lt;Tvie,1-EXP((T0-t)*PertePVj)+'2022'!Pspv,1-EXP((T0-t)*PertePVj)+Pspv)</f>
        <v>6.4475430351139479E-2</v>
      </c>
      <c r="M306" s="843"/>
      <c r="N306" s="843"/>
      <c r="O306" s="48">
        <f>IF(t&lt;Tnet,'2022'!Resal+('2022'!Salim-'2022'!Resal)*(1-EXP(('2022'!Tnet-t)/('2022'!Tau_j))),Resal+(Salim-Resal)*(1-EXP((Tnet-t)/(Tau_j))))*Salcycl</f>
        <v>5.4202719094578473E-2</v>
      </c>
      <c r="P306" s="169">
        <f>(INDEX(Models!$BJ306:$BT306,,T306)*(1-R306)+INDEX(Models!$BJ306:$BT306,,T306+1)*R306-ERP_i)*Q306*Ramure*Pc/MaxiM</f>
        <v>1.7965877785849124E-2</v>
      </c>
      <c r="Q306" s="305">
        <f t="shared" si="105"/>
        <v>0.8</v>
      </c>
      <c r="R306" s="177">
        <f t="shared" si="106"/>
        <v>0.19680093655110298</v>
      </c>
      <c r="S306" s="809">
        <f t="shared" si="107"/>
        <v>1</v>
      </c>
      <c r="T306" s="176">
        <f t="shared" si="108"/>
        <v>7</v>
      </c>
      <c r="U306" s="251">
        <f t="shared" si="109"/>
        <v>1.196800936551103</v>
      </c>
      <c r="V306" s="383">
        <f t="shared" si="110"/>
        <v>25.52644831229955</v>
      </c>
      <c r="W306" s="402">
        <f t="shared" si="111"/>
        <v>12.963911002139126</v>
      </c>
      <c r="X306" s="157">
        <f t="shared" si="112"/>
        <v>45218</v>
      </c>
      <c r="Y306" s="385">
        <f t="shared" si="113"/>
        <v>11.620200336282933</v>
      </c>
      <c r="Z306" s="385">
        <f t="shared" si="114"/>
        <v>12.421053078963446</v>
      </c>
      <c r="AA306" s="386">
        <f t="shared" si="115"/>
        <v>14.556138976377616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0.14667941140704185</v>
      </c>
      <c r="AD306" s="231">
        <f>(INDEX(Models!$BJ306:$BT306,,AH306)*(1-AF306)+INDEX(Models!$BJ306:$BT306,,AH306+1)*AF306-ERP_i)*AE306*Ramure*Pc/MaxiM</f>
        <v>3.9772806589298618E-2</v>
      </c>
      <c r="AE306" s="305">
        <f t="shared" si="117"/>
        <v>0.8</v>
      </c>
      <c r="AF306" s="177">
        <f t="shared" si="118"/>
        <v>0.3975176837160066</v>
      </c>
      <c r="AG306" s="809">
        <f t="shared" si="124"/>
        <v>2</v>
      </c>
      <c r="AH306" s="176">
        <f t="shared" si="119"/>
        <v>8</v>
      </c>
      <c r="AI306" s="225">
        <f t="shared" si="120"/>
        <v>2.3975176837160066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1141">
        <f>IF(t&gt;Tmaj,'2022'!Wh/'2022'!Env_an*'2023'!Env_an,0.001*'[12]mon-tableau (1)'!$B$159)</f>
        <v>5.7672249398372859</v>
      </c>
      <c r="C307" s="839"/>
      <c r="D307" s="393">
        <f t="shared" si="102"/>
        <v>6.1648430950874342</v>
      </c>
      <c r="E307" s="385">
        <f t="shared" si="125"/>
        <v>6.5191726645275478</v>
      </c>
      <c r="F307" s="385">
        <f t="shared" si="103"/>
        <v>6.5191726645275478</v>
      </c>
      <c r="G307" s="110">
        <f t="shared" si="126"/>
        <v>0.22475668644902799</v>
      </c>
      <c r="H307" s="414" t="b">
        <f>Wh_hp&gt;='2022'!Maxi_hp</f>
        <v>0</v>
      </c>
      <c r="I307" s="390">
        <f>IF(H307,Wh_hp,'2022'!Maxi_hp)</f>
        <v>24.548923439144371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6.4497692660985623E-2</v>
      </c>
      <c r="M307" s="843"/>
      <c r="N307" s="843"/>
      <c r="O307" s="48">
        <f>IF(t&lt;Tnet,'2022'!Resal+('2022'!Salim-'2022'!Resal)*(1-EXP(('2022'!Tnet-t)/('2022'!Tau_j))),Resal+(Salim-Resal)*(1-EXP((Tnet-t)/(Tau_j))))*Salcycl</f>
        <v>5.4351922808872549E-2</v>
      </c>
      <c r="P307" s="169">
        <f>(INDEX(Models!$BJ307:$BT307,,T307)*(1-R307)+INDEX(Models!$BJ307:$BT307,,T307+1)*R307-ERP_i)*Q307*Ramure*Pc/MaxiM</f>
        <v>1.7637868550622628E-2</v>
      </c>
      <c r="Q307" s="305">
        <f t="shared" si="105"/>
        <v>0.8</v>
      </c>
      <c r="R307" s="177">
        <f t="shared" si="106"/>
        <v>0.19691105348669513</v>
      </c>
      <c r="S307" s="809">
        <f t="shared" si="107"/>
        <v>1</v>
      </c>
      <c r="T307" s="176">
        <f t="shared" si="108"/>
        <v>7</v>
      </c>
      <c r="U307" s="251">
        <f t="shared" si="109"/>
        <v>1.1969110534866951</v>
      </c>
      <c r="V307" s="383">
        <f t="shared" si="110"/>
        <v>25.207274025778219</v>
      </c>
      <c r="W307" s="402">
        <f t="shared" si="111"/>
        <v>5.7672249398372859</v>
      </c>
      <c r="X307" s="157">
        <f t="shared" si="112"/>
        <v>45219</v>
      </c>
      <c r="Y307" s="385">
        <f t="shared" si="113"/>
        <v>5.2043741062786006</v>
      </c>
      <c r="Z307" s="385">
        <f t="shared" si="114"/>
        <v>5.5631868200113379</v>
      </c>
      <c r="AA307" s="386">
        <f t="shared" si="115"/>
        <v>6.5191726645275478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0.14664220349891469</v>
      </c>
      <c r="AD307" s="231">
        <f>(INDEX(Models!$BJ307:$BT307,,AH307)*(1-AF307)+INDEX(Models!$BJ307:$BT307,,AH307+1)*AF307-ERP_i)*AE307*Ramure*Pc/MaxiM</f>
        <v>3.9320958328657632E-2</v>
      </c>
      <c r="AE307" s="305">
        <f t="shared" si="117"/>
        <v>0.8</v>
      </c>
      <c r="AF307" s="177">
        <f t="shared" si="118"/>
        <v>0.39762780065159875</v>
      </c>
      <c r="AG307" s="809">
        <f t="shared" si="124"/>
        <v>2</v>
      </c>
      <c r="AH307" s="176">
        <f t="shared" si="119"/>
        <v>8</v>
      </c>
      <c r="AI307" s="225">
        <f t="shared" si="120"/>
        <v>2.3976278006515988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1141">
        <f>IF(t&gt;Tmaj,'2022'!Wh/'2022'!Env_an*'2023'!Env_an,0.001*'[12]mon-tableau (1)'!$B$160)</f>
        <v>13.483535117167047</v>
      </c>
      <c r="C308" s="839"/>
      <c r="D308" s="393">
        <f t="shared" si="102"/>
        <v>14.413493031034497</v>
      </c>
      <c r="E308" s="385">
        <f t="shared" si="125"/>
        <v>15.244308857196108</v>
      </c>
      <c r="F308" s="385">
        <f t="shared" si="103"/>
        <v>15.336012734102678</v>
      </c>
      <c r="G308" s="110">
        <f t="shared" si="126"/>
        <v>0.53554281804340931</v>
      </c>
      <c r="H308" s="414" t="b">
        <f>Wh_hp&gt;='2022'!Maxi_hp</f>
        <v>0</v>
      </c>
      <c r="I308" s="390">
        <f>IF(H308,Wh_hp,'2022'!Maxi_hp)</f>
        <v>22.767117495614556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6.4519954452755185E-2</v>
      </c>
      <c r="M308" s="843"/>
      <c r="N308" s="843"/>
      <c r="O308" s="48">
        <f>IF(t&lt;Tnet,'2022'!Resal+('2022'!Salim-'2022'!Resal)*(1-EXP(('2022'!Tnet-t)/('2022'!Tau_j))),Resal+(Salim-Resal)*(1-EXP((Tnet-t)/(Tau_j))))*Salcycl</f>
        <v>5.4500065168216656E-2</v>
      </c>
      <c r="P308" s="169">
        <f>(INDEX(Models!$BJ308:$BT308,,T308)*(1-R308)+INDEX(Models!$BJ308:$BT308,,T308+1)*R308-ERP_i)*Q308*Ramure*Pc/MaxiM</f>
        <v>1.7316440794399771E-2</v>
      </c>
      <c r="Q308" s="305">
        <f t="shared" si="105"/>
        <v>0.8</v>
      </c>
      <c r="R308" s="177">
        <f t="shared" si="106"/>
        <v>0.19701677492103764</v>
      </c>
      <c r="S308" s="809">
        <f t="shared" si="107"/>
        <v>1</v>
      </c>
      <c r="T308" s="176">
        <f t="shared" si="108"/>
        <v>7</v>
      </c>
      <c r="U308" s="251">
        <f t="shared" si="109"/>
        <v>1.1970167749210376</v>
      </c>
      <c r="V308" s="383">
        <f t="shared" si="110"/>
        <v>24.890176855479428</v>
      </c>
      <c r="W308" s="402">
        <f t="shared" si="111"/>
        <v>13.483535117167047</v>
      </c>
      <c r="X308" s="157">
        <f t="shared" si="112"/>
        <v>45220</v>
      </c>
      <c r="Y308" s="385">
        <f t="shared" si="113"/>
        <v>12.078752163806481</v>
      </c>
      <c r="Z308" s="385">
        <f t="shared" si="114"/>
        <v>12.911822353987843</v>
      </c>
      <c r="AA308" s="386">
        <f t="shared" si="115"/>
        <v>15.129918260522118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0.14660329740986519</v>
      </c>
      <c r="AD308" s="231">
        <f>(INDEX(Models!$BJ308:$BT308,,AH308)*(1-AF308)+INDEX(Models!$BJ308:$BT308,,AH308+1)*AF308-ERP_i)*AE308*Ramure*Pc/MaxiM</f>
        <v>3.8916814317968444E-2</v>
      </c>
      <c r="AE308" s="305">
        <f t="shared" si="117"/>
        <v>0.8</v>
      </c>
      <c r="AF308" s="177">
        <f t="shared" si="118"/>
        <v>0.39773352208594126</v>
      </c>
      <c r="AG308" s="809">
        <f t="shared" si="124"/>
        <v>2</v>
      </c>
      <c r="AH308" s="176">
        <f t="shared" si="119"/>
        <v>8</v>
      </c>
      <c r="AI308" s="225">
        <f t="shared" si="120"/>
        <v>2.3977335220859413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1141">
        <f>IF(t&gt;Tmaj,'2022'!Wh/'2022'!Env_an*'2023'!Env_an,0.001*'[12]mon-tableau (1)'!$B$161)</f>
        <v>23.506135561673378</v>
      </c>
      <c r="C309" s="839"/>
      <c r="D309" s="393">
        <f t="shared" si="102"/>
        <v>25.127949071403407</v>
      </c>
      <c r="E309" s="385">
        <f t="shared" si="125"/>
        <v>26.580498229008043</v>
      </c>
      <c r="F309" s="385">
        <f t="shared" si="103"/>
        <v>27.011194801947639</v>
      </c>
      <c r="G309" s="110">
        <f t="shared" si="126"/>
        <v>0.95546528856957813</v>
      </c>
      <c r="H309" s="414" t="b">
        <f>Wh_hp&gt;='2022'!Maxi_hp</f>
        <v>0</v>
      </c>
      <c r="I309" s="390">
        <f>IF(H309,Wh_hp,'2022'!Maxi_hp)</f>
        <v>27.02636286510641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6.4542215726460378E-2</v>
      </c>
      <c r="M309" s="843"/>
      <c r="N309" s="843"/>
      <c r="O309" s="48">
        <f>IF(t&lt;Tnet,'2022'!Resal+('2022'!Salim-'2022'!Resal)*(1-EXP(('2022'!Tnet-t)/('2022'!Tau_j))),Resal+(Salim-Resal)*(1-EXP((Tnet-t)/(Tau_j))))*Salcycl</f>
        <v>5.4647175725977576E-2</v>
      </c>
      <c r="P309" s="169">
        <f>(INDEX(Models!$BJ309:$BT309,,T309)*(1-R309)+INDEX(Models!$BJ309:$BT309,,T309+1)*R309-ERP_i)*Q309*Ramure*Pc/MaxiM</f>
        <v>1.700184085164954E-2</v>
      </c>
      <c r="Q309" s="305">
        <f t="shared" si="105"/>
        <v>0.8</v>
      </c>
      <c r="R309" s="177">
        <f t="shared" si="106"/>
        <v>0.19711827484005262</v>
      </c>
      <c r="S309" s="809">
        <f t="shared" si="107"/>
        <v>1</v>
      </c>
      <c r="T309" s="176">
        <f t="shared" si="108"/>
        <v>7</v>
      </c>
      <c r="U309" s="251">
        <f t="shared" si="109"/>
        <v>1.1971182748400526</v>
      </c>
      <c r="V309" s="383">
        <f t="shared" si="110"/>
        <v>24.575349606073466</v>
      </c>
      <c r="W309" s="402">
        <f t="shared" si="111"/>
        <v>23.506135561673378</v>
      </c>
      <c r="X309" s="157">
        <f t="shared" si="112"/>
        <v>45221</v>
      </c>
      <c r="Y309" s="385">
        <f t="shared" si="113"/>
        <v>20.784633610766498</v>
      </c>
      <c r="Z309" s="385">
        <f t="shared" si="114"/>
        <v>22.218676203445657</v>
      </c>
      <c r="AA309" s="386">
        <f t="shared" si="115"/>
        <v>26.03434182805816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0.14656278425676267</v>
      </c>
      <c r="AD309" s="231">
        <f>(INDEX(Models!$BJ309:$BT309,,AH309)*(1-AF309)+INDEX(Models!$BJ309:$BT309,,AH309+1)*AF309-ERP_i)*AE309*Ramure*Pc/MaxiM</f>
        <v>3.8561483515353295E-2</v>
      </c>
      <c r="AE309" s="305">
        <f t="shared" si="117"/>
        <v>0.8</v>
      </c>
      <c r="AF309" s="177">
        <f t="shared" si="118"/>
        <v>0.39783502200495624</v>
      </c>
      <c r="AG309" s="809">
        <f t="shared" si="124"/>
        <v>2</v>
      </c>
      <c r="AH309" s="176">
        <f t="shared" si="119"/>
        <v>8</v>
      </c>
      <c r="AI309" s="225">
        <f t="shared" si="120"/>
        <v>2.3978350220049562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1141">
        <f>IF(t&gt;Tmaj,'2022'!Wh/'2022'!Env_an*'2023'!Env_an,0.001*'[12]mon-tableau (1)'!$B$162)</f>
        <v>14.58420544988553</v>
      </c>
      <c r="C310" s="839"/>
      <c r="D310" s="393">
        <f t="shared" si="102"/>
        <v>15.59081848317968</v>
      </c>
      <c r="E310" s="385">
        <f t="shared" si="125"/>
        <v>16.494612523296645</v>
      </c>
      <c r="F310" s="385">
        <f t="shared" si="103"/>
        <v>16.613991740405449</v>
      </c>
      <c r="G310" s="110">
        <f t="shared" si="126"/>
        <v>0.59533163305645542</v>
      </c>
      <c r="H310" s="414" t="b">
        <f>Wh_hp&gt;='2022'!Maxi_hp</f>
        <v>0</v>
      </c>
      <c r="I310" s="390">
        <f>IF(H310,Wh_hp,'2022'!Maxi_hp)</f>
        <v>29.192406870940115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6.4564476482113192E-2</v>
      </c>
      <c r="M310" s="843"/>
      <c r="N310" s="843"/>
      <c r="O310" s="48">
        <f>IF(t&lt;Tnet,'2022'!Resal+('2022'!Salim-'2022'!Resal)*(1-EXP(('2022'!Tnet-t)/('2022'!Tau_j))),Resal+(Salim-Resal)*(1-EXP((Tnet-t)/(Tau_j))))*Salcycl</f>
        <v>5.4793287131811419E-2</v>
      </c>
      <c r="P310" s="169">
        <f>(INDEX(Models!$BJ310:$BT310,,T310)*(1-R310)+INDEX(Models!$BJ310:$BT310,,T310+1)*R310-ERP_i)*Q310*Ramure*Pc/MaxiM</f>
        <v>1.6705091937660198E-2</v>
      </c>
      <c r="Q310" s="305">
        <f t="shared" si="105"/>
        <v>0.8</v>
      </c>
      <c r="R310" s="177">
        <f t="shared" si="106"/>
        <v>0.19721572045823876</v>
      </c>
      <c r="S310" s="809">
        <f t="shared" si="107"/>
        <v>1</v>
      </c>
      <c r="T310" s="176">
        <f t="shared" si="108"/>
        <v>7</v>
      </c>
      <c r="U310" s="251">
        <f t="shared" si="109"/>
        <v>1.1972157204582388</v>
      </c>
      <c r="V310" s="383">
        <f t="shared" si="110"/>
        <v>24.262719458943334</v>
      </c>
      <c r="W310" s="402">
        <f t="shared" si="111"/>
        <v>14.58420544988553</v>
      </c>
      <c r="X310" s="157">
        <f t="shared" si="112"/>
        <v>45222</v>
      </c>
      <c r="Y310" s="385">
        <f t="shared" si="113"/>
        <v>13.045782647308981</v>
      </c>
      <c r="Z310" s="385">
        <f t="shared" si="114"/>
        <v>13.946212560164257</v>
      </c>
      <c r="AA310" s="386">
        <f t="shared" si="115"/>
        <v>16.340423930955094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0.14652076230747435</v>
      </c>
      <c r="AD310" s="231">
        <f>(INDEX(Models!$BJ310:$BT310,,AH310)*(1-AF310)+INDEX(Models!$BJ310:$BT310,,AH310+1)*AF310-ERP_i)*AE310*Ramure*Pc/MaxiM</f>
        <v>3.8281164165177739E-2</v>
      </c>
      <c r="AE310" s="305">
        <f t="shared" si="117"/>
        <v>0.8</v>
      </c>
      <c r="AF310" s="177">
        <f t="shared" si="118"/>
        <v>0.39793246762314238</v>
      </c>
      <c r="AG310" s="809">
        <f t="shared" si="124"/>
        <v>2</v>
      </c>
      <c r="AH310" s="176">
        <f t="shared" si="119"/>
        <v>8</v>
      </c>
      <c r="AI310" s="225">
        <f t="shared" si="120"/>
        <v>2.3979324676231424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1141">
        <f>IF(t&gt;Tmaj,'2022'!Wh/'2022'!Env_an*'2023'!Env_an,0.001*'[12]mon-tableau (1)'!$B$163)</f>
        <v>17.496931977644614</v>
      </c>
      <c r="C311" s="839"/>
      <c r="D311" s="393">
        <f t="shared" si="102"/>
        <v>18.705028744500574</v>
      </c>
      <c r="E311" s="385">
        <f t="shared" si="125"/>
        <v>19.792391774993771</v>
      </c>
      <c r="F311" s="385">
        <f t="shared" si="103"/>
        <v>19.994327979241042</v>
      </c>
      <c r="G311" s="110">
        <f t="shared" si="126"/>
        <v>0.72581612142395535</v>
      </c>
      <c r="H311" s="414" t="b">
        <f>Wh_hp&gt;='2022'!Maxi_hp</f>
        <v>0</v>
      </c>
      <c r="I311" s="390">
        <f>IF(H311,Wh_hp,'2022'!Maxi_hp)</f>
        <v>28.410947539123171</v>
      </c>
      <c r="J311" s="85">
        <f>IF(H311,An,'2022'!An_max)</f>
        <v>2018</v>
      </c>
      <c r="K311" s="197">
        <f t="shared" si="104"/>
        <v>45223</v>
      </c>
      <c r="L311" s="147">
        <f>IF(t&lt;Tvie,1-EXP((T0-t)*PertePVj)+'2022'!Pspv,1-EXP((T0-t)*PertePVj)+Pspv)</f>
        <v>6.4586736719725729E-2</v>
      </c>
      <c r="M311" s="843"/>
      <c r="N311" s="843"/>
      <c r="O311" s="48">
        <f>IF(t&lt;Tnet,'2022'!Resal+('2022'!Salim-'2022'!Resal)*(1-EXP(('2022'!Tnet-t)/('2022'!Tau_j))),Resal+(Salim-Resal)*(1-EXP((Tnet-t)/(Tau_j))))*Salcycl</f>
        <v>5.4938435074178289E-2</v>
      </c>
      <c r="P311" s="169">
        <f>(INDEX(Models!$BJ311:$BT311,,T311)*(1-R311)+INDEX(Models!$BJ311:$BT311,,T311+1)*R311-ERP_i)*Q311*Ramure*Pc/MaxiM</f>
        <v>1.6422911678375396E-2</v>
      </c>
      <c r="Q311" s="305">
        <f t="shared" si="105"/>
        <v>0.8</v>
      </c>
      <c r="R311" s="177">
        <f t="shared" si="106"/>
        <v>0.19730927247311003</v>
      </c>
      <c r="S311" s="809">
        <f t="shared" si="107"/>
        <v>1</v>
      </c>
      <c r="T311" s="176">
        <f t="shared" si="108"/>
        <v>7</v>
      </c>
      <c r="U311" s="251">
        <f t="shared" si="109"/>
        <v>1.19730927247311</v>
      </c>
      <c r="V311" s="383">
        <f t="shared" si="110"/>
        <v>23.952576159154184</v>
      </c>
      <c r="W311" s="402">
        <f t="shared" si="111"/>
        <v>17.496931977644614</v>
      </c>
      <c r="X311" s="157">
        <f t="shared" si="112"/>
        <v>45223</v>
      </c>
      <c r="Y311" s="385">
        <f t="shared" si="113"/>
        <v>15.589865307917851</v>
      </c>
      <c r="Z311" s="385">
        <f t="shared" si="114"/>
        <v>16.666286356949719</v>
      </c>
      <c r="AA311" s="386">
        <f t="shared" si="115"/>
        <v>19.526471966273423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0.14647733672851307</v>
      </c>
      <c r="AD311" s="231">
        <f>(INDEX(Models!$BJ311:$BT311,,AH311)*(1-AF311)+INDEX(Models!$BJ311:$BT311,,AH311+1)*AF311-ERP_i)*AE311*Ramure*Pc/MaxiM</f>
        <v>3.8049432531451925E-2</v>
      </c>
      <c r="AE311" s="305">
        <f t="shared" si="117"/>
        <v>0.8</v>
      </c>
      <c r="AF311" s="177">
        <f t="shared" si="118"/>
        <v>0.39802601963801365</v>
      </c>
      <c r="AG311" s="809">
        <f t="shared" si="124"/>
        <v>2</v>
      </c>
      <c r="AH311" s="176">
        <f t="shared" si="119"/>
        <v>8</v>
      </c>
      <c r="AI311" s="225">
        <f t="shared" si="120"/>
        <v>2.3980260196380137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1141">
        <f>IF(t&gt;Tmaj,'2022'!Wh/'2022'!Env_an*'2023'!Env_an,0.001*'[12]mon-tableau (1)'!$B$164)</f>
        <v>17.582341475364526</v>
      </c>
      <c r="C312" s="839"/>
      <c r="D312" s="393">
        <f t="shared" si="102"/>
        <v>18.796782744793362</v>
      </c>
      <c r="E312" s="385">
        <f t="shared" si="125"/>
        <v>19.892515369693562</v>
      </c>
      <c r="F312" s="385">
        <f t="shared" si="103"/>
        <v>20.098282013340789</v>
      </c>
      <c r="G312" s="110">
        <f t="shared" si="126"/>
        <v>0.73914706978888867</v>
      </c>
      <c r="H312" s="414" t="b">
        <f>Wh_hp&gt;='2022'!Maxi_hp</f>
        <v>0</v>
      </c>
      <c r="I312" s="390">
        <f>IF(H312,Wh_hp,'2022'!Maxi_hp)</f>
        <v>27.544324929727701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6.4608996439309979E-2</v>
      </c>
      <c r="M312" s="843"/>
      <c r="N312" s="843"/>
      <c r="O312" s="48">
        <f>IF(t&lt;Tnet,'2022'!Resal+('2022'!Salim-'2022'!Resal)*(1-EXP(('2022'!Tnet-t)/('2022'!Tau_j))),Resal+(Salim-Resal)*(1-EXP((Tnet-t)/(Tau_j))))*Salcycl</f>
        <v>5.5082658202670554E-2</v>
      </c>
      <c r="P312" s="169">
        <f>(INDEX(Models!$BJ312:$BT312,,T312)*(1-R312)+INDEX(Models!$BJ312:$BT312,,T312+1)*R312-ERP_i)*Q312*Ramure*Pc/MaxiM</f>
        <v>1.6155833286873741E-2</v>
      </c>
      <c r="Q312" s="305">
        <f t="shared" si="105"/>
        <v>0.8</v>
      </c>
      <c r="R312" s="177">
        <f t="shared" si="106"/>
        <v>0.19739908531079986</v>
      </c>
      <c r="S312" s="809">
        <f t="shared" si="107"/>
        <v>1</v>
      </c>
      <c r="T312" s="176">
        <f t="shared" si="108"/>
        <v>7</v>
      </c>
      <c r="U312" s="251">
        <f t="shared" si="109"/>
        <v>1.1973990853107999</v>
      </c>
      <c r="V312" s="383">
        <f t="shared" si="110"/>
        <v>23.645113303749003</v>
      </c>
      <c r="W312" s="402">
        <f t="shared" si="111"/>
        <v>17.582341475364526</v>
      </c>
      <c r="X312" s="157">
        <f t="shared" si="112"/>
        <v>45224</v>
      </c>
      <c r="Y312" s="385">
        <f t="shared" si="113"/>
        <v>15.661780834450436</v>
      </c>
      <c r="Z312" s="385">
        <f t="shared" si="114"/>
        <v>16.743565818819924</v>
      </c>
      <c r="AA312" s="386">
        <f t="shared" si="115"/>
        <v>19.615986033553064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0.14643261928408174</v>
      </c>
      <c r="AD312" s="231">
        <f>(INDEX(Models!$BJ312:$BT312,,AH312)*(1-AF312)+INDEX(Models!$BJ312:$BT312,,AH312+1)*AF312-ERP_i)*AE312*Ramure*Pc/MaxiM</f>
        <v>3.7867621817939824E-2</v>
      </c>
      <c r="AE312" s="305">
        <f t="shared" si="117"/>
        <v>0.8</v>
      </c>
      <c r="AF312" s="177">
        <f t="shared" si="118"/>
        <v>0.39811583247570326</v>
      </c>
      <c r="AG312" s="809">
        <f t="shared" si="124"/>
        <v>2</v>
      </c>
      <c r="AH312" s="176">
        <f t="shared" si="119"/>
        <v>8</v>
      </c>
      <c r="AI312" s="225">
        <f t="shared" si="120"/>
        <v>2.3981158324757033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1141">
        <f>IF(t&gt;Tmaj,'2022'!Wh/'2022'!Env_an*'2023'!Env_an,0.001*'[12]mon-tableau (1)'!$B$165)</f>
        <v>11.454977698210209</v>
      </c>
      <c r="C313" s="839"/>
      <c r="D313" s="393">
        <f t="shared" si="102"/>
        <v>12.24648329045751</v>
      </c>
      <c r="E313" s="385">
        <f t="shared" si="125"/>
        <v>12.962341538743246</v>
      </c>
      <c r="F313" s="385">
        <f t="shared" si="103"/>
        <v>13.018771481567157</v>
      </c>
      <c r="G313" s="110">
        <f t="shared" si="126"/>
        <v>0.48507340749094457</v>
      </c>
      <c r="H313" s="414" t="b">
        <f>Wh_hp&gt;='2022'!Maxi_hp</f>
        <v>0</v>
      </c>
      <c r="I313" s="390">
        <f>IF(H313,Wh_hp,'2022'!Maxi_hp)</f>
        <v>27.696361546697236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6.4631255640878044E-2</v>
      </c>
      <c r="M313" s="843"/>
      <c r="N313" s="843"/>
      <c r="O313" s="48">
        <f>IF(t&lt;Tnet,'2022'!Resal+('2022'!Salim-'2022'!Resal)*(1-EXP(('2022'!Tnet-t)/('2022'!Tau_j))),Resal+(Salim-Resal)*(1-EXP((Tnet-t)/(Tau_j))))*Salcycl</f>
        <v>5.5225998030224911E-2</v>
      </c>
      <c r="P313" s="169">
        <f>(INDEX(Models!$BJ313:$BT313,,T313)*(1-R313)+INDEX(Models!$BJ313:$BT313,,T313+1)*R313-ERP_i)*Q313*Ramure*Pc/MaxiM</f>
        <v>1.5904252479345495E-2</v>
      </c>
      <c r="Q313" s="305">
        <f t="shared" si="105"/>
        <v>0.8</v>
      </c>
      <c r="R313" s="177">
        <f t="shared" si="106"/>
        <v>0.19748530736307535</v>
      </c>
      <c r="S313" s="809">
        <f t="shared" si="107"/>
        <v>1</v>
      </c>
      <c r="T313" s="176">
        <f t="shared" si="108"/>
        <v>7</v>
      </c>
      <c r="U313" s="251">
        <f t="shared" si="109"/>
        <v>1.1974853073630753</v>
      </c>
      <c r="V313" s="383">
        <f t="shared" si="110"/>
        <v>23.340528211142445</v>
      </c>
      <c r="W313" s="402">
        <f t="shared" si="111"/>
        <v>11.454977698210209</v>
      </c>
      <c r="X313" s="157">
        <f t="shared" si="112"/>
        <v>45225</v>
      </c>
      <c r="Y313" s="385">
        <f t="shared" si="113"/>
        <v>10.287842558387485</v>
      </c>
      <c r="Z313" s="385">
        <f t="shared" si="114"/>
        <v>10.998702512169478</v>
      </c>
      <c r="AA313" s="386">
        <f t="shared" si="115"/>
        <v>12.884877581906215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0.14638672798765484</v>
      </c>
      <c r="AD313" s="231">
        <f>(INDEX(Models!$BJ313:$BT313,,AH313)*(1-AF313)+INDEX(Models!$BJ313:$BT313,,AH313+1)*AF313-ERP_i)*AE313*Ramure*Pc/MaxiM</f>
        <v>3.7736745406544508E-2</v>
      </c>
      <c r="AE313" s="305">
        <f t="shared" si="117"/>
        <v>0.8</v>
      </c>
      <c r="AF313" s="177">
        <f t="shared" si="118"/>
        <v>0.39820205452797897</v>
      </c>
      <c r="AG313" s="809">
        <f t="shared" si="124"/>
        <v>2</v>
      </c>
      <c r="AH313" s="176">
        <f t="shared" si="119"/>
        <v>8</v>
      </c>
      <c r="AI313" s="225">
        <f t="shared" si="120"/>
        <v>2.398202054527979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1141">
        <f>IF(t&gt;Tmaj,'2022'!Wh/'2022'!Env_an*'2023'!Env_an,0.001*'[12]mon-tableau (1)'!$B$166)</f>
        <v>11.055535936378215</v>
      </c>
      <c r="C314" s="839"/>
      <c r="D314" s="393">
        <f t="shared" si="102"/>
        <v>11.81972253671676</v>
      </c>
      <c r="E314" s="385">
        <f t="shared" si="125"/>
        <v>12.512522101893847</v>
      </c>
      <c r="F314" s="385">
        <f t="shared" si="103"/>
        <v>12.563100617099167</v>
      </c>
      <c r="G314" s="110">
        <f t="shared" si="126"/>
        <v>0.47425199134774554</v>
      </c>
      <c r="H314" s="414" t="b">
        <f>Wh_hp&gt;='2022'!Maxi_hp</f>
        <v>0</v>
      </c>
      <c r="I314" s="390">
        <f>IF(H314,Wh_hp,'2022'!Maxi_hp)</f>
        <v>24.453755622088135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6.4653514324441913E-2</v>
      </c>
      <c r="M314" s="843"/>
      <c r="N314" s="843"/>
      <c r="O314" s="48">
        <f>IF(t&lt;Tnet,'2022'!Resal+('2022'!Salim-'2022'!Resal)*(1-EXP(('2022'!Tnet-t)/('2022'!Tau_j))),Resal+(Salim-Resal)*(1-EXP((Tnet-t)/(Tau_j))))*Salcycl</f>
        <v>5.5368498815456774E-2</v>
      </c>
      <c r="P314" s="169">
        <f>(INDEX(Models!$BJ314:$BT314,,T314)*(1-R314)+INDEX(Models!$BJ314:$BT314,,T314+1)*R314-ERP_i)*Q314*Ramure*Pc/MaxiM</f>
        <v>1.5668566891461004E-2</v>
      </c>
      <c r="Q314" s="305">
        <f t="shared" si="105"/>
        <v>0.8</v>
      </c>
      <c r="R314" s="177">
        <f t="shared" si="106"/>
        <v>0.19756808121600811</v>
      </c>
      <c r="S314" s="809">
        <f t="shared" si="107"/>
        <v>1</v>
      </c>
      <c r="T314" s="176">
        <f t="shared" si="108"/>
        <v>7</v>
      </c>
      <c r="U314" s="251">
        <f t="shared" si="109"/>
        <v>1.1975680812160081</v>
      </c>
      <c r="V314" s="383">
        <f t="shared" si="110"/>
        <v>23.039018406914259</v>
      </c>
      <c r="W314" s="402">
        <f t="shared" si="111"/>
        <v>11.055535936378215</v>
      </c>
      <c r="X314" s="157">
        <f t="shared" si="112"/>
        <v>45226</v>
      </c>
      <c r="Y314" s="385">
        <f t="shared" si="113"/>
        <v>9.9341727872746883</v>
      </c>
      <c r="Z314" s="385">
        <f t="shared" si="114"/>
        <v>10.620847931127564</v>
      </c>
      <c r="AA314" s="386">
        <f t="shared" si="115"/>
        <v>12.441540282363142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0.14633978670764375</v>
      </c>
      <c r="AD314" s="231">
        <f>(INDEX(Models!$BJ314:$BT314,,AH314)*(1-AF314)+INDEX(Models!$BJ314:$BT314,,AH314+1)*AF314-ERP_i)*AE314*Ramure*Pc/MaxiM</f>
        <v>3.7657812381953676E-2</v>
      </c>
      <c r="AE314" s="305">
        <f t="shared" si="117"/>
        <v>0.8</v>
      </c>
      <c r="AF314" s="177">
        <f t="shared" si="118"/>
        <v>0.39828482838091173</v>
      </c>
      <c r="AG314" s="809">
        <f t="shared" si="124"/>
        <v>2</v>
      </c>
      <c r="AH314" s="176">
        <f t="shared" si="119"/>
        <v>8</v>
      </c>
      <c r="AI314" s="225">
        <f t="shared" si="120"/>
        <v>2.3982848283809117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1141">
        <f>IF(t&gt;Tmaj,'2022'!Wh/'2022'!Env_an*'2023'!Env_an,0.001*'[12]mon-tableau (1)'!$B$167)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Wh_hp&gt;='2022'!Maxi_hp</f>
        <v>0</v>
      </c>
      <c r="I315" s="390">
        <f>IF(H315,Wh_hp,'2022'!Maxi_hp)</f>
        <v>25.702565660135079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6.46757724900138E-2</v>
      </c>
      <c r="M315" s="843"/>
      <c r="N315" s="843"/>
      <c r="O315" s="48">
        <f>IF(t&lt;Tnet,'2022'!Resal+('2022'!Salim-'2022'!Resal)*(1-EXP(('2022'!Tnet-t)/('2022'!Tau_j))),Resal+(Salim-Resal)*(1-EXP((Tnet-t)/(Tau_j))))*Salcycl</f>
        <v>5.5510207425523234E-2</v>
      </c>
      <c r="P315" s="169">
        <f>(INDEX(Models!$BJ315:$BT315,,T315)*(1-R315)+INDEX(Models!$BJ315:$BT315,,T315+1)*R315-ERP_i)*Q315*Ramure*Pc/MaxiM</f>
        <v>1.5449174773528586E-2</v>
      </c>
      <c r="Q315" s="305">
        <f t="shared" si="105"/>
        <v>0.8</v>
      </c>
      <c r="R315" s="177">
        <f t="shared" si="106"/>
        <v>0.1976475438705465</v>
      </c>
      <c r="S315" s="809">
        <f t="shared" si="107"/>
        <v>1</v>
      </c>
      <c r="T315" s="176">
        <f t="shared" si="108"/>
        <v>7</v>
      </c>
      <c r="U315" s="251">
        <f t="shared" si="109"/>
        <v>1.1976475438705465</v>
      </c>
      <c r="V315" s="383">
        <f t="shared" si="110"/>
        <v>22.740781615117722</v>
      </c>
      <c r="W315" s="402">
        <f t="shared" si="111"/>
        <v>0</v>
      </c>
      <c r="X315" s="157">
        <f t="shared" si="112"/>
        <v>45227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0.14629192472909566</v>
      </c>
      <c r="AD315" s="231">
        <f>(INDEX(Models!$BJ315:$BT315,,AH315)*(1-AF315)+INDEX(Models!$BJ315:$BT315,,AH315+1)*AF315-ERP_i)*AE315*Ramure*Pc/MaxiM</f>
        <v>3.7631823837273752E-2</v>
      </c>
      <c r="AE315" s="305">
        <f t="shared" si="117"/>
        <v>0.8</v>
      </c>
      <c r="AF315" s="177">
        <f t="shared" si="118"/>
        <v>0.3983642910354499</v>
      </c>
      <c r="AG315" s="809">
        <f t="shared" si="124"/>
        <v>2</v>
      </c>
      <c r="AH315" s="176">
        <f t="shared" si="119"/>
        <v>8</v>
      </c>
      <c r="AI315" s="225">
        <f t="shared" si="120"/>
        <v>2.3983642910354499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1141">
        <f>IF(t&gt;Tmaj,'2022'!Wh/'2022'!Env_an*'2023'!Env_an,0.001*'[12]mon-tableau (1)'!$B$168)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Wh_hp&gt;='2022'!Maxi_hp</f>
        <v>0</v>
      </c>
      <c r="I316" s="390">
        <f>IF(H316,Wh_hp,'2022'!Maxi_hp)</f>
        <v>24.397649963595786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6.4698030137605583E-2</v>
      </c>
      <c r="M316" s="843"/>
      <c r="N316" s="843"/>
      <c r="O316" s="48">
        <f>IF(t&lt;Tnet,'2022'!Resal+('2022'!Salim-'2022'!Resal)*(1-EXP(('2022'!Tnet-t)/('2022'!Tau_j))),Resal+(Salim-Resal)*(1-EXP((Tnet-t)/(Tau_j))))*Salcycl</f>
        <v>5.5651173180088949E-2</v>
      </c>
      <c r="P316" s="169">
        <f>(INDEX(Models!$BJ316:$BT316,,T316)*(1-R316)+INDEX(Models!$BJ316:$BT316,,T316+1)*R316-ERP_i)*Q316*Ramure*Pc/MaxiM</f>
        <v>1.524647364684645E-2</v>
      </c>
      <c r="Q316" s="305">
        <f t="shared" si="105"/>
        <v>0.8</v>
      </c>
      <c r="R316" s="177">
        <f t="shared" si="106"/>
        <v>0.19772382695522994</v>
      </c>
      <c r="S316" s="809">
        <f t="shared" si="107"/>
        <v>1</v>
      </c>
      <c r="T316" s="176">
        <f t="shared" si="108"/>
        <v>7</v>
      </c>
      <c r="U316" s="251">
        <f t="shared" si="109"/>
        <v>1.1977238269552299</v>
      </c>
      <c r="V316" s="383">
        <f t="shared" si="110"/>
        <v>22.44601575444419</v>
      </c>
      <c r="W316" s="402">
        <f t="shared" si="111"/>
        <v>0</v>
      </c>
      <c r="X316" s="157">
        <f t="shared" si="112"/>
        <v>45228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0.14624327627376157</v>
      </c>
      <c r="AD316" s="231">
        <f>(INDEX(Models!$BJ316:$BT316,,AH316)*(1-AF316)+INDEX(Models!$BJ316:$BT316,,AH316+1)*AF316-ERP_i)*AE316*Ramure*Pc/MaxiM</f>
        <v>3.7659769021630554E-2</v>
      </c>
      <c r="AE316" s="305">
        <f t="shared" si="117"/>
        <v>0.8</v>
      </c>
      <c r="AF316" s="177">
        <f t="shared" si="118"/>
        <v>0.39844057412013356</v>
      </c>
      <c r="AG316" s="809">
        <f t="shared" si="124"/>
        <v>2</v>
      </c>
      <c r="AH316" s="176">
        <f t="shared" si="119"/>
        <v>8</v>
      </c>
      <c r="AI316" s="225">
        <f t="shared" si="120"/>
        <v>2.3984405741201336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1141">
        <f>IF(t&gt;Tmaj,'2022'!Wh/'2022'!Env_an*'2023'!Env_an,0.001*'[12]mon-tableau (1)'!$B$169)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Wh_hp&gt;='2022'!Maxi_hp</f>
        <v>0</v>
      </c>
      <c r="I317" s="390">
        <f>IF(H317,Wh_hp,'2022'!Maxi_hp)</f>
        <v>23.315037308519852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6.4720287267229476E-2</v>
      </c>
      <c r="M317" s="843"/>
      <c r="N317" s="843"/>
      <c r="O317" s="48">
        <f>IF(t&lt;Tnet,'2022'!Resal+('2022'!Salim-'2022'!Resal)*(1-EXP(('2022'!Tnet-t)/('2022'!Tau_j))),Resal+(Salim-Resal)*(1-EXP((Tnet-t)/(Tau_j))))*Salcycl</f>
        <v>5.579144767713478E-2</v>
      </c>
      <c r="P317" s="169">
        <f>(INDEX(Models!$BJ317:$BT317,,T317)*(1-R317)+INDEX(Models!$BJ317:$BT317,,T317+1)*R317-ERP_i)*Q317*Ramure*Pc/MaxiM</f>
        <v>1.5062183577418384E-2</v>
      </c>
      <c r="Q317" s="305">
        <f t="shared" si="105"/>
        <v>0.8</v>
      </c>
      <c r="R317" s="177">
        <f t="shared" si="106"/>
        <v>0.19779705693128102</v>
      </c>
      <c r="S317" s="809">
        <f t="shared" si="107"/>
        <v>1</v>
      </c>
      <c r="T317" s="176">
        <f t="shared" si="108"/>
        <v>7</v>
      </c>
      <c r="U317" s="251">
        <f t="shared" si="109"/>
        <v>1.197797056931281</v>
      </c>
      <c r="V317" s="383">
        <f t="shared" si="110"/>
        <v>22.15294070838171</v>
      </c>
      <c r="W317" s="402">
        <f t="shared" si="111"/>
        <v>0</v>
      </c>
      <c r="X317" s="157">
        <f t="shared" si="112"/>
        <v>45229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0.14619397998124453</v>
      </c>
      <c r="AD317" s="231">
        <f>(INDEX(Models!$BJ317:$BT317,,AH317)*(1-AF317)+INDEX(Models!$BJ317:$BT317,,AH317+1)*AF317-ERP_i)*AE317*Ramure*Pc/MaxiM</f>
        <v>3.7745940909296678E-2</v>
      </c>
      <c r="AE317" s="305">
        <f t="shared" si="117"/>
        <v>0.8</v>
      </c>
      <c r="AF317" s="177">
        <f t="shared" si="118"/>
        <v>0.39851380409618464</v>
      </c>
      <c r="AG317" s="809">
        <f t="shared" si="124"/>
        <v>2</v>
      </c>
      <c r="AH317" s="176">
        <f t="shared" si="119"/>
        <v>8</v>
      </c>
      <c r="AI317" s="225">
        <f t="shared" si="120"/>
        <v>2.3985138040961846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1141">
        <f>IF(t&gt;Tmaj,'2022'!Wh/'2022'!Env_an*'2023'!Env_an,0.001*'[12]mon-tableau (1)'!$B$170)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Wh_hp&gt;='2022'!Maxi_hp</f>
        <v>0</v>
      </c>
      <c r="I318" s="390">
        <f>IF(H318,Wh_hp,'2022'!Maxi_hp)</f>
        <v>25.066473522391494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6.4742543878897357E-2</v>
      </c>
      <c r="M318" s="843"/>
      <c r="N318" s="843"/>
      <c r="O318" s="48">
        <f>IF(t&lt;Tnet,'2022'!Resal+('2022'!Salim-'2022'!Resal)*(1-EXP(('2022'!Tnet-t)/('2022'!Tau_j))),Resal+(Salim-Resal)*(1-EXP((Tnet-t)/(Tau_j))))*Salcycl</f>
        <v>5.5931084601509425E-2</v>
      </c>
      <c r="P318" s="169">
        <f>(INDEX(Models!$BJ318:$BT318,,T318)*(1-R318)+INDEX(Models!$BJ318:$BT318,,T318+1)*R318-ERP_i)*Q318*Ramure*Pc/MaxiM</f>
        <v>1.4913182295152708E-2</v>
      </c>
      <c r="Q318" s="305">
        <f t="shared" si="105"/>
        <v>0.8</v>
      </c>
      <c r="R318" s="177">
        <f t="shared" si="106"/>
        <v>0.19786735529031407</v>
      </c>
      <c r="S318" s="809">
        <f t="shared" si="107"/>
        <v>1</v>
      </c>
      <c r="T318" s="176">
        <f t="shared" si="108"/>
        <v>7</v>
      </c>
      <c r="U318" s="251">
        <f t="shared" si="109"/>
        <v>1.1978673552903141</v>
      </c>
      <c r="V318" s="383">
        <f t="shared" si="110"/>
        <v>21.859763749966657</v>
      </c>
      <c r="W318" s="402">
        <f t="shared" si="111"/>
        <v>0</v>
      </c>
      <c r="X318" s="157">
        <f t="shared" si="112"/>
        <v>45230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0.14614417835428922</v>
      </c>
      <c r="AD318" s="231">
        <f>(INDEX(Models!$BJ318:$BT318,,AH318)*(1-AF318)+INDEX(Models!$BJ318:$BT318,,AH318+1)*AF318-ERP_i)*AE318*Ramure*Pc/MaxiM</f>
        <v>3.7903084307549267E-2</v>
      </c>
      <c r="AE318" s="305">
        <f t="shared" si="117"/>
        <v>0.8</v>
      </c>
      <c r="AF318" s="177">
        <f t="shared" si="118"/>
        <v>0.39858410245521769</v>
      </c>
      <c r="AG318" s="809">
        <f t="shared" si="124"/>
        <v>2</v>
      </c>
      <c r="AH318" s="176">
        <f t="shared" si="119"/>
        <v>8</v>
      </c>
      <c r="AI318" s="225">
        <f t="shared" si="120"/>
        <v>2.3985841024552177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1141">
        <f>IF(t&gt;Tmaj,'2022'!Wh/'2022'!Env_an*'2023'!Env_an,0.001*'[13]mon-tableau (3)'!$B$136)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Wh_hp&gt;='2022'!Maxi_hp</f>
        <v>0</v>
      </c>
      <c r="I319" s="390">
        <f>IF(H319,Wh_hp,'2022'!Maxi_hp)</f>
        <v>24.353652394890183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6.476479997262144E-2</v>
      </c>
      <c r="M319" s="843"/>
      <c r="N319" s="843"/>
      <c r="O319" s="48">
        <f>IF(t&lt;Tnet,'2022'!Resal+('2022'!Salim-'2022'!Resal)*(1-EXP(('2022'!Tnet-t)/('2022'!Tau_j))),Resal+(Salim-Resal)*(1-EXP((Tnet-t)/(Tau_j))))*Salcycl</f>
        <v>5.6070139517280904E-2</v>
      </c>
      <c r="P319" s="169">
        <f>(INDEX(Models!$BJ319:$BT319,,T319)*(1-R319)+INDEX(Models!$BJ319:$BT319,,T319+1)*R319-ERP_i)*Q319*Ramure*Pc/MaxiM</f>
        <v>1.47891964374493E-2</v>
      </c>
      <c r="Q319" s="305">
        <f t="shared" si="105"/>
        <v>0.8</v>
      </c>
      <c r="R319" s="177">
        <f t="shared" si="106"/>
        <v>0.19793483874488427</v>
      </c>
      <c r="S319" s="809">
        <f t="shared" si="107"/>
        <v>1</v>
      </c>
      <c r="T319" s="176">
        <f t="shared" si="108"/>
        <v>7</v>
      </c>
      <c r="U319" s="251">
        <f t="shared" si="109"/>
        <v>1.1979348387448843</v>
      </c>
      <c r="V319" s="383">
        <f t="shared" si="110"/>
        <v>21.567416045478215</v>
      </c>
      <c r="W319" s="402">
        <f t="shared" si="111"/>
        <v>0</v>
      </c>
      <c r="X319" s="157">
        <f t="shared" si="112"/>
        <v>45231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0.14609401717160778</v>
      </c>
      <c r="AD319" s="231">
        <f>(INDEX(Models!$BJ319:$BT319,,AH319)*(1-AF319)+INDEX(Models!$BJ319:$BT319,,AH319+1)*AF319-ERP_i)*AE319*Ramure*Pc/MaxiM</f>
        <v>3.8097928169751091E-2</v>
      </c>
      <c r="AE319" s="305">
        <f t="shared" si="117"/>
        <v>0.8</v>
      </c>
      <c r="AF319" s="177">
        <f t="shared" si="118"/>
        <v>0.39865158590978744</v>
      </c>
      <c r="AG319" s="809">
        <f t="shared" si="124"/>
        <v>2</v>
      </c>
      <c r="AH319" s="176">
        <f t="shared" si="119"/>
        <v>8</v>
      </c>
      <c r="AI319" s="225">
        <f t="shared" si="120"/>
        <v>2.3986515859097874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1141">
        <f>IF(t&gt;Tmaj,'2022'!Wh/'2022'!Env_an*'2023'!Env_an,0.001*'[13]mon-tableau (3)'!$B$137)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Wh_hp&gt;='2022'!Maxi_hp</f>
        <v>0</v>
      </c>
      <c r="I320" s="390">
        <f>IF(H320,Wh_hp,'2022'!Maxi_hp)</f>
        <v>23.216009548028094</v>
      </c>
      <c r="J320" s="85">
        <f>IF(H320,An,'2022'!An_max)</f>
        <v>2021</v>
      </c>
      <c r="K320" s="197">
        <f t="shared" si="104"/>
        <v>45232</v>
      </c>
      <c r="L320" s="147">
        <f>IF(t&lt;Tvie,1-EXP((T0-t)*PertePVj)+'2022'!Pspv,1-EXP((T0-t)*PertePVj)+Pspv)</f>
        <v>6.4787055548413602E-2</v>
      </c>
      <c r="M320" s="843"/>
      <c r="N320" s="843"/>
      <c r="O320" s="48">
        <f>IF(t&lt;Tnet,'2022'!Resal+('2022'!Salim-'2022'!Resal)*(1-EXP(('2022'!Tnet-t)/('2022'!Tau_j))),Resal+(Salim-Resal)*(1-EXP((Tnet-t)/(Tau_j))))*Salcycl</f>
        <v>5.6208669645092572E-2</v>
      </c>
      <c r="P320" s="169">
        <f>(INDEX(Models!$BJ320:$BT320,,T320)*(1-R320)+INDEX(Models!$BJ320:$BT320,,T320+1)*R320-ERP_i)*Q320*Ramure*Pc/MaxiM</f>
        <v>1.4690411205065722E-2</v>
      </c>
      <c r="Q320" s="305">
        <f t="shared" si="105"/>
        <v>0.8</v>
      </c>
      <c r="R320" s="177">
        <f t="shared" si="106"/>
        <v>0.19799961941210897</v>
      </c>
      <c r="S320" s="809">
        <f t="shared" si="107"/>
        <v>1</v>
      </c>
      <c r="T320" s="176">
        <f t="shared" si="108"/>
        <v>7</v>
      </c>
      <c r="U320" s="251">
        <f t="shared" si="109"/>
        <v>1.197999619412109</v>
      </c>
      <c r="V320" s="383">
        <f t="shared" si="110"/>
        <v>21.276590316909445</v>
      </c>
      <c r="W320" s="402">
        <f t="shared" si="111"/>
        <v>0</v>
      </c>
      <c r="X320" s="157">
        <f t="shared" si="112"/>
        <v>45232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0.14604364487193761</v>
      </c>
      <c r="AD320" s="231">
        <f>(INDEX(Models!$BJ320:$BT320,,AH320)*(1-AF320)+INDEX(Models!$BJ320:$BT320,,AH320+1)*AF320-ERP_i)*AE320*Ramure*Pc/MaxiM</f>
        <v>3.8330393512593548E-2</v>
      </c>
      <c r="AE320" s="305">
        <f t="shared" si="117"/>
        <v>0.8</v>
      </c>
      <c r="AF320" s="177">
        <f t="shared" si="118"/>
        <v>0.39871636657701259</v>
      </c>
      <c r="AG320" s="809">
        <f t="shared" si="124"/>
        <v>2</v>
      </c>
      <c r="AH320" s="176">
        <f t="shared" si="119"/>
        <v>8</v>
      </c>
      <c r="AI320" s="225">
        <f t="shared" si="120"/>
        <v>2.3987163665770126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1141">
        <f>IF(t&gt;Tmaj,'2022'!Wh/'2022'!Env_an*'2023'!Env_an,0.001*'[13]mon-tableau (3)'!$B$138)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Wh_hp&gt;='2022'!Maxi_hp</f>
        <v>0</v>
      </c>
      <c r="I321" s="390">
        <f>IF(H321,Wh_hp,'2022'!Maxi_hp)</f>
        <v>24.561857270116509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6.4809310606286169E-2</v>
      </c>
      <c r="M321" s="843"/>
      <c r="N321" s="843"/>
      <c r="O321" s="48">
        <f>IF(t&lt;Tnet,'2022'!Resal+('2022'!Salim-'2022'!Resal)*(1-EXP(('2022'!Tnet-t)/('2022'!Tau_j))),Resal+(Salim-Resal)*(1-EXP((Tnet-t)/(Tau_j))))*Salcycl</f>
        <v>5.6346733625868749E-2</v>
      </c>
      <c r="P321" s="169">
        <f>(INDEX(Models!$BJ321:$BT321,,T321)*(1-R321)+INDEX(Models!$BJ321:$BT321,,T321+1)*R321-ERP_i)*Q321*Ramure*Pc/MaxiM</f>
        <v>1.4617013416673107E-2</v>
      </c>
      <c r="Q321" s="305">
        <f t="shared" si="105"/>
        <v>0.8</v>
      </c>
      <c r="R321" s="177">
        <f t="shared" si="106"/>
        <v>0.1980618049905809</v>
      </c>
      <c r="S321" s="809">
        <f t="shared" si="107"/>
        <v>1</v>
      </c>
      <c r="T321" s="176">
        <f t="shared" si="108"/>
        <v>7</v>
      </c>
      <c r="U321" s="251">
        <f t="shared" si="109"/>
        <v>1.1980618049905809</v>
      </c>
      <c r="V321" s="383">
        <f t="shared" si="110"/>
        <v>20.987979031082393</v>
      </c>
      <c r="W321" s="402">
        <f t="shared" si="111"/>
        <v>0</v>
      </c>
      <c r="X321" s="157">
        <f t="shared" si="112"/>
        <v>45233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0.14599321191330494</v>
      </c>
      <c r="AD321" s="231">
        <f>(INDEX(Models!$BJ321:$BT321,,AH321)*(1-AF321)+INDEX(Models!$BJ321:$BT321,,AH321+1)*AF321-ERP_i)*AE321*Ramure*Pc/MaxiM</f>
        <v>3.8600351201464204E-2</v>
      </c>
      <c r="AE321" s="305">
        <f t="shared" si="117"/>
        <v>0.8</v>
      </c>
      <c r="AF321" s="177">
        <f t="shared" si="118"/>
        <v>0.39877855215548452</v>
      </c>
      <c r="AG321" s="809">
        <f t="shared" si="124"/>
        <v>2</v>
      </c>
      <c r="AH321" s="176">
        <f t="shared" si="119"/>
        <v>8</v>
      </c>
      <c r="AI321" s="225">
        <f t="shared" si="120"/>
        <v>2.3987785521554845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1141">
        <f>IF(t&gt;Tmaj,'2022'!Wh/'2022'!Env_an*'2023'!Env_an,0.001*'[13]mon-tableau (3)'!$B$139)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Wh_hp&gt;='2022'!Maxi_hp</f>
        <v>0</v>
      </c>
      <c r="I322" s="390">
        <f>IF(H322,Wh_hp,'2022'!Maxi_hp)</f>
        <v>20.723995905929119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6.4831565146250908E-2</v>
      </c>
      <c r="M322" s="843"/>
      <c r="N322" s="843"/>
      <c r="O322" s="48">
        <f>IF(t&lt;Tnet,'2022'!Resal+('2022'!Salim-'2022'!Resal)*(1-EXP(('2022'!Tnet-t)/('2022'!Tau_j))),Resal+(Salim-Resal)*(1-EXP((Tnet-t)/(Tau_j))))*Salcycl</f>
        <v>5.6484391272345114E-2</v>
      </c>
      <c r="P322" s="169">
        <f>(INDEX(Models!$BJ322:$BT322,,T322)*(1-R322)+INDEX(Models!$BJ322:$BT322,,T322+1)*R322-ERP_i)*Q322*Ramure*Pc/MaxiM</f>
        <v>1.456918506517659E-2</v>
      </c>
      <c r="Q322" s="305">
        <f t="shared" si="105"/>
        <v>0.8</v>
      </c>
      <c r="R322" s="177">
        <f t="shared" si="106"/>
        <v>0.19812149893078779</v>
      </c>
      <c r="S322" s="809">
        <f t="shared" si="107"/>
        <v>1</v>
      </c>
      <c r="T322" s="176">
        <f t="shared" si="108"/>
        <v>7</v>
      </c>
      <c r="U322" s="251">
        <f t="shared" si="109"/>
        <v>1.1981214989307878</v>
      </c>
      <c r="V322" s="383">
        <f t="shared" si="110"/>
        <v>20.702274375350218</v>
      </c>
      <c r="W322" s="402">
        <f t="shared" si="111"/>
        <v>0</v>
      </c>
      <c r="X322" s="157">
        <f t="shared" si="112"/>
        <v>45234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0.14594287011170995</v>
      </c>
      <c r="AD322" s="231">
        <f>(INDEX(Models!$BJ322:$BT322,,AH322)*(1-AF322)+INDEX(Models!$BJ322:$BT322,,AH322+1)*AF322-ERP_i)*AE322*Ramure*Pc/MaxiM</f>
        <v>3.8907607998119098E-2</v>
      </c>
      <c r="AE322" s="305">
        <f t="shared" si="117"/>
        <v>0.8</v>
      </c>
      <c r="AF322" s="177">
        <f t="shared" si="118"/>
        <v>0.39883824609569141</v>
      </c>
      <c r="AG322" s="809">
        <f t="shared" si="124"/>
        <v>2</v>
      </c>
      <c r="AH322" s="176">
        <f t="shared" si="119"/>
        <v>8</v>
      </c>
      <c r="AI322" s="225">
        <f t="shared" si="120"/>
        <v>2.3988382460956914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1141">
        <f>IF(t&gt;Tmaj,'2022'!Wh/'2022'!Env_an*'2023'!Env_an,0.001*'[13]mon-tableau (3)'!$B$140)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Wh_hp&gt;='2022'!Maxi_hp</f>
        <v>0</v>
      </c>
      <c r="I323" s="390">
        <f>IF(H323,Wh_hp,'2022'!Maxi_hp)</f>
        <v>15.637654954165301</v>
      </c>
      <c r="J323" s="85">
        <f>IF(H323,An,'2022'!An_max)</f>
        <v>2020</v>
      </c>
      <c r="K323" s="197">
        <f t="shared" si="104"/>
        <v>45235</v>
      </c>
      <c r="L323" s="147">
        <f>IF(t&lt;Tvie,1-EXP((T0-t)*PertePVj)+'2022'!Pspv,1-EXP((T0-t)*PertePVj)+Pspv)</f>
        <v>6.4853819168320032E-2</v>
      </c>
      <c r="M323" s="843"/>
      <c r="N323" s="843"/>
      <c r="O323" s="48">
        <f>IF(t&lt;Tnet,'2022'!Resal+('2022'!Salim-'2022'!Resal)*(1-EXP(('2022'!Tnet-t)/('2022'!Tau_j))),Resal+(Salim-Resal)*(1-EXP((Tnet-t)/(Tau_j))))*Salcycl</f>
        <v>5.662170331001698E-2</v>
      </c>
      <c r="P323" s="169">
        <f>(INDEX(Models!$BJ323:$BT323,,T323)*(1-R323)+INDEX(Models!$BJ323:$BT323,,T323+1)*R323-ERP_i)*Q323*Ramure*Pc/MaxiM</f>
        <v>1.4547096316321373E-2</v>
      </c>
      <c r="Q323" s="305">
        <f t="shared" si="105"/>
        <v>0.8</v>
      </c>
      <c r="R323" s="177">
        <f t="shared" si="106"/>
        <v>0.19817880059925508</v>
      </c>
      <c r="S323" s="809">
        <f t="shared" si="107"/>
        <v>1</v>
      </c>
      <c r="T323" s="176">
        <f t="shared" si="108"/>
        <v>7</v>
      </c>
      <c r="U323" s="251">
        <f t="shared" si="109"/>
        <v>1.1981788005992551</v>
      </c>
      <c r="V323" s="383">
        <f t="shared" si="110"/>
        <v>20.420168213930459</v>
      </c>
      <c r="W323" s="402">
        <f t="shared" si="111"/>
        <v>0</v>
      </c>
      <c r="X323" s="157">
        <f t="shared" si="112"/>
        <v>45235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0.14589277196365735</v>
      </c>
      <c r="AD323" s="231">
        <f>(INDEX(Models!$BJ323:$BT323,,AH323)*(1-AF323)+INDEX(Models!$BJ323:$BT323,,AH323+1)*AF323-ERP_i)*AE323*Ramure*Pc/MaxiM</f>
        <v>3.9251891716097435E-2</v>
      </c>
      <c r="AE323" s="305">
        <f t="shared" si="117"/>
        <v>0.8</v>
      </c>
      <c r="AF323" s="177">
        <f t="shared" si="118"/>
        <v>0.39889554776415848</v>
      </c>
      <c r="AG323" s="809">
        <f t="shared" si="124"/>
        <v>2</v>
      </c>
      <c r="AH323" s="176">
        <f t="shared" si="119"/>
        <v>8</v>
      </c>
      <c r="AI323" s="225">
        <f t="shared" si="120"/>
        <v>2.3988955477641585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1141">
        <f>IF(t&gt;Tmaj,'2022'!Wh/'2022'!Env_an*'2023'!Env_an,0.001*'[13]mon-tableau (3)'!$B$141)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Wh_hp&gt;='2022'!Maxi_hp</f>
        <v>0</v>
      </c>
      <c r="I324" s="390">
        <f>IF(H324,Wh_hp,'2022'!Maxi_hp)</f>
        <v>19.931335355516538</v>
      </c>
      <c r="J324" s="85">
        <f>IF(H324,An,'2022'!An_max)</f>
        <v>2020</v>
      </c>
      <c r="K324" s="197">
        <f t="shared" si="104"/>
        <v>45236</v>
      </c>
      <c r="L324" s="147">
        <f>IF(t&lt;Tvie,1-EXP((T0-t)*PertePVj)+'2022'!Pspv,1-EXP((T0-t)*PertePVj)+Pspv)</f>
        <v>6.487607267250553E-2</v>
      </c>
      <c r="M324" s="843"/>
      <c r="N324" s="843"/>
      <c r="O324" s="48">
        <f>IF(t&lt;Tnet,'2022'!Resal+('2022'!Salim-'2022'!Resal)*(1-EXP(('2022'!Tnet-t)/('2022'!Tau_j))),Resal+(Salim-Resal)*(1-EXP((Tnet-t)/(Tau_j))))*Salcycl</f>
        <v>5.6758731109206477E-2</v>
      </c>
      <c r="P324" s="169">
        <f>(INDEX(Models!$BJ324:$BT324,,T324)*(1-R324)+INDEX(Models!$BJ324:$BT324,,T324+1)*R324-ERP_i)*Q324*Ramure*Pc/MaxiM</f>
        <v>1.4566706108499404E-2</v>
      </c>
      <c r="Q324" s="305">
        <f t="shared" si="105"/>
        <v>0.8</v>
      </c>
      <c r="R324" s="177">
        <f t="shared" si="106"/>
        <v>0.19823380543661817</v>
      </c>
      <c r="S324" s="809">
        <f t="shared" si="107"/>
        <v>1</v>
      </c>
      <c r="T324" s="176">
        <f t="shared" si="108"/>
        <v>7</v>
      </c>
      <c r="U324" s="251">
        <f t="shared" si="109"/>
        <v>1.1982338054366182</v>
      </c>
      <c r="V324" s="383">
        <f t="shared" si="110"/>
        <v>20.142028944055813</v>
      </c>
      <c r="W324" s="402">
        <f t="shared" si="111"/>
        <v>0</v>
      </c>
      <c r="X324" s="157">
        <f t="shared" si="112"/>
        <v>45236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0.14584306995713237</v>
      </c>
      <c r="AD324" s="231">
        <f>(INDEX(Models!$BJ324:$BT324,,AH324)*(1-AF324)+INDEX(Models!$BJ324:$BT324,,AH324+1)*AF324-ERP_i)*AE324*Ramure*Pc/MaxiM</f>
        <v>3.9626695732087852E-2</v>
      </c>
      <c r="AE324" s="305">
        <f t="shared" si="117"/>
        <v>0.8</v>
      </c>
      <c r="AF324" s="177">
        <f t="shared" si="118"/>
        <v>0.39895055260152157</v>
      </c>
      <c r="AG324" s="809">
        <f t="shared" si="124"/>
        <v>2</v>
      </c>
      <c r="AH324" s="176">
        <f t="shared" si="119"/>
        <v>8</v>
      </c>
      <c r="AI324" s="225">
        <f t="shared" si="120"/>
        <v>2.3989505526015216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1141">
        <f>IF(t&gt;Tmaj,'2022'!Wh/'2022'!Env_an*'2023'!Env_an,0.001*'[13]mon-tableau (3)'!$B$142)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Wh_hp&gt;='2022'!Maxi_hp</f>
        <v>0</v>
      </c>
      <c r="I325" s="390">
        <f>IF(H325,Wh_hp,'2022'!Maxi_hp)</f>
        <v>13.60303974842923</v>
      </c>
      <c r="J325" s="85">
        <f>IF(H325,An,'2022'!An_max)</f>
        <v>2020</v>
      </c>
      <c r="K325" s="197">
        <f t="shared" si="104"/>
        <v>45237</v>
      </c>
      <c r="L325" s="147">
        <f>IF(t&lt;Tvie,1-EXP((T0-t)*PertePVj)+'2022'!Pspv,1-EXP((T0-t)*PertePVj)+Pspv)</f>
        <v>6.4898325658819395E-2</v>
      </c>
      <c r="M325" s="843"/>
      <c r="N325" s="843"/>
      <c r="O325" s="48">
        <f>IF(t&lt;Tnet,'2022'!Resal+('2022'!Salim-'2022'!Resal)*(1-EXP(('2022'!Tnet-t)/('2022'!Tau_j))),Resal+(Salim-Resal)*(1-EXP((Tnet-t)/(Tau_j))))*Salcycl</f>
        <v>5.6895536410039985E-2</v>
      </c>
      <c r="P325" s="169">
        <f>(INDEX(Models!$BJ325:$BT325,,T325)*(1-R325)+INDEX(Models!$BJ325:$BT325,,T325+1)*R325-ERP_i)*Q325*Ramure*Pc/MaxiM</f>
        <v>1.4616521131579048E-2</v>
      </c>
      <c r="Q325" s="305">
        <f t="shared" si="105"/>
        <v>0.8</v>
      </c>
      <c r="R325" s="177">
        <f t="shared" si="106"/>
        <v>0.19828660510982354</v>
      </c>
      <c r="S325" s="809">
        <f t="shared" si="107"/>
        <v>1</v>
      </c>
      <c r="T325" s="176">
        <f t="shared" si="108"/>
        <v>7</v>
      </c>
      <c r="U325" s="251">
        <f t="shared" si="109"/>
        <v>1.1982866051098235</v>
      </c>
      <c r="V325" s="383">
        <f t="shared" si="110"/>
        <v>19.868795018929521</v>
      </c>
      <c r="W325" s="402">
        <f t="shared" si="111"/>
        <v>0</v>
      </c>
      <c r="X325" s="157">
        <f t="shared" si="112"/>
        <v>45237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0.14579391587575163</v>
      </c>
      <c r="AD325" s="231">
        <f>(INDEX(Models!$BJ325:$BT325,,AH325)*(1-AF325)+INDEX(Models!$BJ325:$BT325,,AH325+1)*AF325-ERP_i)*AE325*Ramure*Pc/MaxiM</f>
        <v>4.0003768693784816E-2</v>
      </c>
      <c r="AE325" s="305">
        <f t="shared" si="117"/>
        <v>0.8</v>
      </c>
      <c r="AF325" s="177">
        <f t="shared" si="118"/>
        <v>0.39900335227472716</v>
      </c>
      <c r="AG325" s="809">
        <f t="shared" si="124"/>
        <v>2</v>
      </c>
      <c r="AH325" s="176">
        <f t="shared" si="119"/>
        <v>8</v>
      </c>
      <c r="AI325" s="225">
        <f t="shared" si="120"/>
        <v>2.3990033522747272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1141">
        <f>IF(t&gt;Tmaj,'2022'!Wh/'2022'!Env_an*'2023'!Env_an,0.001*'[13]mon-tableau (3)'!$B$143)</f>
        <v>0.97714835832452429</v>
      </c>
      <c r="C326" s="839"/>
      <c r="D326" s="393">
        <f t="shared" si="102"/>
        <v>1.0449896933541161</v>
      </c>
      <c r="E326" s="385">
        <f t="shared" si="125"/>
        <v>1.1081923182798348</v>
      </c>
      <c r="F326" s="385">
        <f t="shared" si="103"/>
        <v>1.1081923182798348</v>
      </c>
      <c r="G326" s="110">
        <f t="shared" si="126"/>
        <v>4.9118907331394082E-2</v>
      </c>
      <c r="H326" s="414" t="b">
        <f>Wh_hp&gt;='2022'!Maxi_hp</f>
        <v>0</v>
      </c>
      <c r="I326" s="390">
        <f>IF(H326,Wh_hp,'2022'!Maxi_hp)</f>
        <v>20.0155602932596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6.4920578127273837E-2</v>
      </c>
      <c r="M326" s="843"/>
      <c r="N326" s="843"/>
      <c r="O326" s="48">
        <f>IF(t&lt;Tnet,'2022'!Resal+('2022'!Salim-'2022'!Resal)*(1-EXP(('2022'!Tnet-t)/('2022'!Tau_j))),Resal+(Salim-Resal)*(1-EXP((Tnet-t)/(Tau_j))))*Salcycl</f>
        <v>5.7032181042207072E-2</v>
      </c>
      <c r="P326" s="169">
        <f>(INDEX(Models!$BJ326:$BT326,,T326)*(1-R326)+INDEX(Models!$BJ326:$BT326,,T326+1)*R326-ERP_i)*Q326*Ramure*Pc/MaxiM</f>
        <v>1.4696690431798489E-2</v>
      </c>
      <c r="Q326" s="305">
        <f t="shared" si="105"/>
        <v>0.8</v>
      </c>
      <c r="R326" s="177">
        <f t="shared" si="106"/>
        <v>0.19833728765866265</v>
      </c>
      <c r="S326" s="809">
        <f t="shared" si="107"/>
        <v>1</v>
      </c>
      <c r="T326" s="176">
        <f t="shared" si="108"/>
        <v>7</v>
      </c>
      <c r="U326" s="251">
        <f t="shared" si="109"/>
        <v>1.1983372876586627</v>
      </c>
      <c r="V326" s="383">
        <f t="shared" si="110"/>
        <v>19.601158977348181</v>
      </c>
      <c r="W326" s="402">
        <f t="shared" si="111"/>
        <v>0.97714835832452429</v>
      </c>
      <c r="X326" s="157">
        <f t="shared" si="112"/>
        <v>45238</v>
      </c>
      <c r="Y326" s="385">
        <f t="shared" si="113"/>
        <v>0.88521941520363001</v>
      </c>
      <c r="Z326" s="385">
        <f t="shared" si="114"/>
        <v>0.94667831897183741</v>
      </c>
      <c r="AA326" s="386">
        <f t="shared" si="115"/>
        <v>1.1081923182798348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0.14574546010091796</v>
      </c>
      <c r="AD326" s="231">
        <f>(INDEX(Models!$BJ326:$BT326,,AH326)*(1-AF326)+INDEX(Models!$BJ326:$BT326,,AH326+1)*AF326-ERP_i)*AE326*Ramure*Pc/MaxiM</f>
        <v>4.0381872669746709E-2</v>
      </c>
      <c r="AE326" s="305">
        <f t="shared" si="117"/>
        <v>0.8</v>
      </c>
      <c r="AF326" s="177">
        <f t="shared" si="118"/>
        <v>0.39905403482356627</v>
      </c>
      <c r="AG326" s="809">
        <f t="shared" si="124"/>
        <v>2</v>
      </c>
      <c r="AH326" s="176">
        <f t="shared" si="119"/>
        <v>8</v>
      </c>
      <c r="AI326" s="225">
        <f t="shared" si="120"/>
        <v>2.3990540348235663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1141">
        <f>IF(t&gt;Tmaj,'2022'!Wh/'2022'!Env_an*'2023'!Env_an,0.001*'[13]mon-tableau (3)'!$B$144)</f>
        <v>7.7619721903571595</v>
      </c>
      <c r="C327" s="839"/>
      <c r="D327" s="393">
        <f t="shared" si="102"/>
        <v>8.3010669721977042</v>
      </c>
      <c r="E327" s="385">
        <f t="shared" si="125"/>
        <v>8.8044035096836932</v>
      </c>
      <c r="F327" s="385">
        <f t="shared" si="103"/>
        <v>8.8233191157323638</v>
      </c>
      <c r="G327" s="110">
        <f t="shared" si="126"/>
        <v>0.39625343866497231</v>
      </c>
      <c r="H327" s="414" t="b">
        <f>Wh_hp&gt;='2022'!Maxi_hp</f>
        <v>0</v>
      </c>
      <c r="I327" s="390">
        <f>IF(H327,Wh_hp,'2022'!Maxi_hp)</f>
        <v>17.157196529957051</v>
      </c>
      <c r="J327" s="85">
        <f>IF(H327,An,'2022'!An_max)</f>
        <v>2021</v>
      </c>
      <c r="K327" s="197">
        <f t="shared" si="104"/>
        <v>45239</v>
      </c>
      <c r="L327" s="147">
        <f>IF(t&lt;Tvie,1-EXP((T0-t)*PertePVj)+'2022'!Pspv,1-EXP((T0-t)*PertePVj)+Pspv)</f>
        <v>6.4942830077880848E-2</v>
      </c>
      <c r="M327" s="843"/>
      <c r="N327" s="843"/>
      <c r="O327" s="48">
        <f>IF(t&lt;Tnet,'2022'!Resal+('2022'!Salim-'2022'!Resal)*(1-EXP(('2022'!Tnet-t)/('2022'!Tau_j))),Resal+(Salim-Resal)*(1-EXP((Tnet-t)/(Tau_j))))*Salcycl</f>
        <v>5.7168726641433944E-2</v>
      </c>
      <c r="P327" s="169">
        <f>(INDEX(Models!$BJ327:$BT327,,T327)*(1-R327)+INDEX(Models!$BJ327:$BT327,,T327+1)*R327-ERP_i)*Q327*Ramure*Pc/MaxiM</f>
        <v>1.4807312076856734E-2</v>
      </c>
      <c r="Q327" s="305">
        <f t="shared" si="105"/>
        <v>0.8</v>
      </c>
      <c r="R327" s="177">
        <f t="shared" si="106"/>
        <v>0.19838593763682599</v>
      </c>
      <c r="S327" s="809">
        <f t="shared" si="107"/>
        <v>1</v>
      </c>
      <c r="T327" s="176">
        <f t="shared" si="108"/>
        <v>7</v>
      </c>
      <c r="U327" s="251">
        <f t="shared" si="109"/>
        <v>1.198385937636826</v>
      </c>
      <c r="V327" s="383">
        <f t="shared" si="110"/>
        <v>19.339812834151218</v>
      </c>
      <c r="W327" s="402">
        <f t="shared" si="111"/>
        <v>7.7619721903571595</v>
      </c>
      <c r="X327" s="157">
        <f t="shared" si="112"/>
        <v>45239</v>
      </c>
      <c r="Y327" s="385">
        <f t="shared" si="113"/>
        <v>7.0066623141419218</v>
      </c>
      <c r="Z327" s="385">
        <f t="shared" si="114"/>
        <v>7.4932983132202562</v>
      </c>
      <c r="AA327" s="386">
        <f t="shared" si="115"/>
        <v>8.7712506883685801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0.14569785091685911</v>
      </c>
      <c r="AD327" s="231">
        <f>(INDEX(Models!$BJ327:$BT327,,AH327)*(1-AF327)+INDEX(Models!$BJ327:$BT327,,AH327+1)*AF327-ERP_i)*AE327*Ramure*Pc/MaxiM</f>
        <v>4.0759648479827305E-2</v>
      </c>
      <c r="AE327" s="305">
        <f t="shared" si="117"/>
        <v>0.8</v>
      </c>
      <c r="AF327" s="177">
        <f t="shared" si="118"/>
        <v>0.39910268480172961</v>
      </c>
      <c r="AG327" s="809">
        <f t="shared" si="124"/>
        <v>2</v>
      </c>
      <c r="AH327" s="176">
        <f t="shared" si="119"/>
        <v>8</v>
      </c>
      <c r="AI327" s="225">
        <f t="shared" si="120"/>
        <v>2.3991026848017296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1141">
        <f>IF(t&gt;Tmaj,'2022'!Wh/'2022'!Env_an*'2023'!Env_an,0.001*'[13]mon-tableau (3)'!$B$145)</f>
        <v>17.367954381215363</v>
      </c>
      <c r="C328" s="839"/>
      <c r="D328" s="393">
        <f t="shared" si="102"/>
        <v>18.574658590585276</v>
      </c>
      <c r="E328" s="385">
        <f t="shared" si="125"/>
        <v>19.703788827199521</v>
      </c>
      <c r="F328" s="385">
        <f t="shared" si="103"/>
        <v>19.96385196520195</v>
      </c>
      <c r="G328" s="110">
        <f t="shared" si="126"/>
        <v>0.90823843902414936</v>
      </c>
      <c r="H328" s="414" t="b">
        <f>Wh_hp&gt;='2022'!Maxi_hp</f>
        <v>0</v>
      </c>
      <c r="I328" s="390">
        <f>IF(H328,Wh_hp,'2022'!Maxi_hp)</f>
        <v>19.985849148012122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6.4965081510652528E-2</v>
      </c>
      <c r="M328" s="843"/>
      <c r="N328" s="843"/>
      <c r="O328" s="48">
        <f>IF(t&lt;Tnet,'2022'!Resal+('2022'!Salim-'2022'!Resal)*(1-EXP(('2022'!Tnet-t)/('2022'!Tau_j))),Resal+(Salim-Resal)*(1-EXP((Tnet-t)/(Tau_j))))*Salcycl</f>
        <v>5.7305234364650209E-2</v>
      </c>
      <c r="P328" s="169">
        <f>(INDEX(Models!$BJ328:$BT328,,T328)*(1-R328)+INDEX(Models!$BJ328:$BT328,,T328+1)*R328-ERP_i)*Q328*Ramure*Pc/MaxiM</f>
        <v>1.4948421177557687E-2</v>
      </c>
      <c r="Q328" s="305">
        <f t="shared" si="105"/>
        <v>0.8</v>
      </c>
      <c r="R328" s="177">
        <f t="shared" si="106"/>
        <v>0.19843263624766827</v>
      </c>
      <c r="S328" s="809">
        <f t="shared" si="107"/>
        <v>1</v>
      </c>
      <c r="T328" s="176">
        <f t="shared" si="108"/>
        <v>7</v>
      </c>
      <c r="U328" s="251">
        <f t="shared" si="109"/>
        <v>1.1984326362476683</v>
      </c>
      <c r="V328" s="383">
        <f t="shared" si="110"/>
        <v>19.085448019491768</v>
      </c>
      <c r="W328" s="402">
        <f t="shared" si="111"/>
        <v>17.367954381215363</v>
      </c>
      <c r="X328" s="157">
        <f t="shared" si="112"/>
        <v>45240</v>
      </c>
      <c r="Y328" s="385">
        <f t="shared" si="113"/>
        <v>15.376346808729494</v>
      </c>
      <c r="Z328" s="385">
        <f t="shared" si="114"/>
        <v>16.444676561995873</v>
      </c>
      <c r="AA328" s="386">
        <f t="shared" si="115"/>
        <v>19.248200750134249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0.14565123382344305</v>
      </c>
      <c r="AD328" s="231">
        <f>(INDEX(Models!$BJ328:$BT328,,AH328)*(1-AF328)+INDEX(Models!$BJ328:$BT328,,AH328+1)*AF328-ERP_i)*AE328*Ramure*Pc/MaxiM</f>
        <v>4.1135609841649372E-2</v>
      </c>
      <c r="AE328" s="305">
        <f t="shared" si="117"/>
        <v>0.8</v>
      </c>
      <c r="AF328" s="177">
        <f t="shared" si="118"/>
        <v>0.39914938341257189</v>
      </c>
      <c r="AG328" s="809">
        <f t="shared" si="124"/>
        <v>2</v>
      </c>
      <c r="AH328" s="176">
        <f t="shared" si="119"/>
        <v>8</v>
      </c>
      <c r="AI328" s="225">
        <f t="shared" si="120"/>
        <v>2.3991493834125719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1141">
        <f>IF(t&gt;Tmaj,'2022'!Wh/'2022'!Env_an*'2023'!Env_an,0.001*'[13]mon-tableau (3)'!$B$146)</f>
        <v>18.798953522784846</v>
      </c>
      <c r="C329" s="839"/>
      <c r="D329" s="393">
        <f t="shared" si="102"/>
        <v>20.105560250379181</v>
      </c>
      <c r="E329" s="385">
        <f t="shared" si="125"/>
        <v>21.330841422197974</v>
      </c>
      <c r="F329" s="385">
        <f t="shared" si="103"/>
        <v>21.657311126345981</v>
      </c>
      <c r="G329" s="110">
        <f t="shared" si="126"/>
        <v>0.99784100111873975</v>
      </c>
      <c r="H329" s="414" t="b">
        <f>Wh_hp&gt;='2022'!Maxi_hp</f>
        <v>0</v>
      </c>
      <c r="I329" s="390">
        <f>IF(H329,Wh_hp,'2022'!Maxi_hp)</f>
        <v>21.657878919803085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6.4987332425600758E-2</v>
      </c>
      <c r="M329" s="843"/>
      <c r="N329" s="843"/>
      <c r="O329" s="48">
        <f>IF(t&lt;Tnet,'2022'!Resal+('2022'!Salim-'2022'!Resal)*(1-EXP(('2022'!Tnet-t)/('2022'!Tau_j))),Resal+(Salim-Resal)*(1-EXP((Tnet-t)/(Tau_j))))*Salcycl</f>
        <v>5.7441764605858536E-2</v>
      </c>
      <c r="P329" s="169">
        <f>(INDEX(Models!$BJ329:$BT329,,T329)*(1-R329)+INDEX(Models!$BJ329:$BT329,,T329+1)*R329-ERP_i)*Q329*Ramure*Pc/MaxiM</f>
        <v>1.5119977117438675E-2</v>
      </c>
      <c r="Q329" s="305">
        <f t="shared" si="105"/>
        <v>0.8</v>
      </c>
      <c r="R329" s="177">
        <f t="shared" si="106"/>
        <v>0.198477461474865</v>
      </c>
      <c r="S329" s="809">
        <f t="shared" si="107"/>
        <v>1</v>
      </c>
      <c r="T329" s="176">
        <f t="shared" si="108"/>
        <v>7</v>
      </c>
      <c r="U329" s="251">
        <f t="shared" si="109"/>
        <v>1.198477461474865</v>
      </c>
      <c r="V329" s="383">
        <f t="shared" si="110"/>
        <v>18.838755342634705</v>
      </c>
      <c r="W329" s="402">
        <f t="shared" si="111"/>
        <v>18.798953522784846</v>
      </c>
      <c r="X329" s="157">
        <f t="shared" si="112"/>
        <v>45241</v>
      </c>
      <c r="Y329" s="385">
        <f t="shared" si="113"/>
        <v>16.585384256238964</v>
      </c>
      <c r="Z329" s="385">
        <f t="shared" si="114"/>
        <v>17.738138563688775</v>
      </c>
      <c r="AA329" s="386">
        <f t="shared" si="115"/>
        <v>20.761069707078736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0.14560575086163577</v>
      </c>
      <c r="AD329" s="231">
        <f>(INDEX(Models!$BJ329:$BT329,,AH329)*(1-AF329)+INDEX(Models!$BJ329:$BT329,,AH329+1)*AF329-ERP_i)*AE329*Ramure*Pc/MaxiM</f>
        <v>4.1508138669057136E-2</v>
      </c>
      <c r="AE329" s="305">
        <f t="shared" si="117"/>
        <v>0.8</v>
      </c>
      <c r="AF329" s="177">
        <f t="shared" si="118"/>
        <v>0.39919420863976818</v>
      </c>
      <c r="AG329" s="809">
        <f t="shared" si="124"/>
        <v>2</v>
      </c>
      <c r="AH329" s="176">
        <f t="shared" si="119"/>
        <v>8</v>
      </c>
      <c r="AI329" s="225">
        <f t="shared" si="120"/>
        <v>2.3991942086397682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1141">
        <f>IF(t&gt;Tmaj,'2022'!Wh/'2022'!Env_an*'2023'!Env_an,0.001*'[13]mon-tableau (3)'!$B$147)</f>
        <v>19.012177443654991</v>
      </c>
      <c r="C330" s="839"/>
      <c r="D330" s="393">
        <f t="shared" si="102"/>
        <v>20.334088023118767</v>
      </c>
      <c r="E330" s="385">
        <f t="shared" si="125"/>
        <v>21.576423461331824</v>
      </c>
      <c r="F330" s="385">
        <f t="shared" si="103"/>
        <v>21.912158265711366</v>
      </c>
      <c r="G330" s="110">
        <f t="shared" si="126"/>
        <v>1.0221367254498741</v>
      </c>
      <c r="H330" s="414" t="b">
        <f>Wh_hp&gt;='2022'!Maxi_hp</f>
        <v>1</v>
      </c>
      <c r="I330" s="390">
        <f>IF(H330,Wh_hp,'2022'!Maxi_hp)</f>
        <v>21.912158265711366</v>
      </c>
      <c r="J330" s="85">
        <f>IF(H330,An,'2022'!An_max)</f>
        <v>2023</v>
      </c>
      <c r="K330" s="197">
        <f t="shared" si="104"/>
        <v>45242</v>
      </c>
      <c r="L330" s="147">
        <f>IF(t&lt;Tvie,1-EXP((T0-t)*PertePVj)+'2022'!Pspv,1-EXP((T0-t)*PertePVj)+Pspv)</f>
        <v>6.5009582822737638E-2</v>
      </c>
      <c r="M330" s="843"/>
      <c r="N330" s="843"/>
      <c r="O330" s="48">
        <f>IF(t&lt;Tnet,'2022'!Resal+('2022'!Salim-'2022'!Resal)*(1-EXP(('2022'!Tnet-t)/('2022'!Tau_j))),Resal+(Salim-Resal)*(1-EXP((Tnet-t)/(Tau_j))))*Salcycl</f>
        <v>5.7578376714727861E-2</v>
      </c>
      <c r="P330" s="169">
        <f>(INDEX(Models!$BJ330:$BT330,,T330)*(1-R330)+INDEX(Models!$BJ330:$BT330,,T330+1)*R330-ERP_i)*Q330*Ramure*Pc/MaxiM</f>
        <v>1.5321850102958849E-2</v>
      </c>
      <c r="Q330" s="305">
        <f t="shared" si="105"/>
        <v>0.8</v>
      </c>
      <c r="R330" s="177">
        <f t="shared" si="106"/>
        <v>0.19852048820814083</v>
      </c>
      <c r="S330" s="809">
        <f t="shared" si="107"/>
        <v>1</v>
      </c>
      <c r="T330" s="176">
        <f t="shared" si="108"/>
        <v>7</v>
      </c>
      <c r="U330" s="251">
        <f t="shared" si="109"/>
        <v>1.1985204882081408</v>
      </c>
      <c r="V330" s="383">
        <f t="shared" si="110"/>
        <v>18.600424943431264</v>
      </c>
      <c r="W330" s="402">
        <f t="shared" si="111"/>
        <v>19.012177443654991</v>
      </c>
      <c r="X330" s="157">
        <f t="shared" si="112"/>
        <v>45242</v>
      </c>
      <c r="Y330" s="385">
        <f t="shared" si="113"/>
        <v>16.772394089909657</v>
      </c>
      <c r="Z330" s="385">
        <f t="shared" si="114"/>
        <v>17.938573253558623</v>
      </c>
      <c r="AA330" s="386">
        <f t="shared" si="115"/>
        <v>20.994576078238687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0.14556153995639257</v>
      </c>
      <c r="AD330" s="231">
        <f>(INDEX(Models!$BJ330:$BT330,,AH330)*(1-AF330)+INDEX(Models!$BJ330:$BT330,,AH330+1)*AF330-ERP_i)*AE330*Ramure*Pc/MaxiM</f>
        <v>4.1875481928611791E-2</v>
      </c>
      <c r="AE330" s="305">
        <f t="shared" si="117"/>
        <v>0.8</v>
      </c>
      <c r="AF330" s="177">
        <f t="shared" si="118"/>
        <v>0.39923723537304401</v>
      </c>
      <c r="AG330" s="809">
        <f t="shared" si="124"/>
        <v>2</v>
      </c>
      <c r="AH330" s="176">
        <f t="shared" si="119"/>
        <v>8</v>
      </c>
      <c r="AI330" s="225">
        <f t="shared" si="120"/>
        <v>2.399237235373044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1141">
        <f>IF(t&gt;Tmaj,'2022'!Wh/'2022'!Env_an*'2023'!Env_an,0.001*'[13]mon-tableau (3)'!$B$148)</f>
        <v>18.320496506188679</v>
      </c>
      <c r="C331" s="839"/>
      <c r="D331" s="393">
        <f t="shared" si="102"/>
        <v>19.594781027823924</v>
      </c>
      <c r="E331" s="385">
        <f t="shared" si="125"/>
        <v>20.79496511623374</v>
      </c>
      <c r="F331" s="385">
        <f t="shared" si="103"/>
        <v>21.122285914611158</v>
      </c>
      <c r="G331" s="110">
        <f t="shared" si="126"/>
        <v>0.99728774441510304</v>
      </c>
      <c r="H331" s="414" t="b">
        <f>Wh_hp&gt;='2022'!Maxi_hp</f>
        <v>0</v>
      </c>
      <c r="I331" s="390">
        <f>IF(H331,Wh_hp,'2022'!Maxi_hp)</f>
        <v>21.123000933531273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6.5031832702075382E-2</v>
      </c>
      <c r="M331" s="843"/>
      <c r="N331" s="843"/>
      <c r="O331" s="48">
        <f>IF(t&lt;Tnet,'2022'!Resal+('2022'!Salim-'2022'!Resal)*(1-EXP(('2022'!Tnet-t)/('2022'!Tau_j))),Resal+(Salim-Resal)*(1-EXP((Tnet-t)/(Tau_j))))*Salcycl</f>
        <v>5.771512871992681E-2</v>
      </c>
      <c r="P331" s="169">
        <f>(INDEX(Models!$BJ331:$BT331,,T331)*(1-R331)+INDEX(Models!$BJ331:$BT331,,T331+1)*R331-ERP_i)*Q331*Ramure*Pc/MaxiM</f>
        <v>1.5555411435103519E-2</v>
      </c>
      <c r="Q331" s="305">
        <f t="shared" si="105"/>
        <v>0.8</v>
      </c>
      <c r="R331" s="177">
        <f t="shared" si="106"/>
        <v>0.19856178836424165</v>
      </c>
      <c r="S331" s="809">
        <f t="shared" si="107"/>
        <v>1</v>
      </c>
      <c r="T331" s="176">
        <f t="shared" si="108"/>
        <v>7</v>
      </c>
      <c r="U331" s="251">
        <f t="shared" si="109"/>
        <v>1.1985617883642417</v>
      </c>
      <c r="V331" s="383">
        <f t="shared" si="110"/>
        <v>18.369221633650454</v>
      </c>
      <c r="W331" s="402">
        <f t="shared" si="111"/>
        <v>18.320496506188679</v>
      </c>
      <c r="X331" s="157">
        <f t="shared" si="112"/>
        <v>45243</v>
      </c>
      <c r="Y331" s="385">
        <f t="shared" si="113"/>
        <v>16.164769187711485</v>
      </c>
      <c r="Z331" s="385">
        <f t="shared" si="114"/>
        <v>17.289111814820359</v>
      </c>
      <c r="AA331" s="386">
        <f t="shared" si="115"/>
        <v>20.233459185656884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0.14551873428166542</v>
      </c>
      <c r="AD331" s="231">
        <f>(INDEX(Models!$BJ331:$BT331,,AH331)*(1-AF331)+INDEX(Models!$BJ331:$BT331,,AH331+1)*AF331-ERP_i)*AE331*Ramure*Pc/MaxiM</f>
        <v>4.2240106745245171E-2</v>
      </c>
      <c r="AE331" s="305">
        <f t="shared" si="117"/>
        <v>0.8</v>
      </c>
      <c r="AF331" s="177">
        <f t="shared" si="118"/>
        <v>0.39927853552914527</v>
      </c>
      <c r="AG331" s="809">
        <f t="shared" si="124"/>
        <v>2</v>
      </c>
      <c r="AH331" s="176">
        <f t="shared" si="119"/>
        <v>8</v>
      </c>
      <c r="AI331" s="225">
        <f t="shared" si="120"/>
        <v>2.3992785355291453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1141">
        <f>IF(t&gt;Tmaj,'2022'!Wh/'2022'!Env_an*'2023'!Env_an,0.001*'[13]mon-tableau (3)'!$B$149)</f>
        <v>7.5755639751694357</v>
      </c>
      <c r="C332" s="839"/>
      <c r="D332" s="393">
        <f t="shared" si="102"/>
        <v>8.1026761332787327</v>
      </c>
      <c r="E332" s="385">
        <f t="shared" si="125"/>
        <v>8.6002165222496441</v>
      </c>
      <c r="F332" s="385">
        <f t="shared" si="103"/>
        <v>8.6231153844349109</v>
      </c>
      <c r="G332" s="110">
        <f t="shared" si="126"/>
        <v>0.41202323600811841</v>
      </c>
      <c r="H332" s="414" t="b">
        <f>Wh_hp&gt;='2022'!Maxi_hp</f>
        <v>0</v>
      </c>
      <c r="I332" s="390">
        <f>IF(H332,Wh_hp,'2022'!Maxi_hp)</f>
        <v>16.142697199455277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6.5054082063625868E-2</v>
      </c>
      <c r="M332" s="843"/>
      <c r="N332" s="843"/>
      <c r="O332" s="48">
        <f>IF(t&lt;Tnet,'2022'!Resal+('2022'!Salim-'2022'!Resal)*(1-EXP(('2022'!Tnet-t)/('2022'!Tau_j))),Resal+(Salim-Resal)*(1-EXP((Tnet-t)/(Tau_j))))*Salcycl</f>
        <v>5.7852077059190724E-2</v>
      </c>
      <c r="P332" s="169">
        <f>(INDEX(Models!$BJ332:$BT332,,T332)*(1-R332)+INDEX(Models!$BJ332:$BT332,,T332+1)*R332-ERP_i)*Q332*Ramure*Pc/MaxiM</f>
        <v>1.5815724835271289E-2</v>
      </c>
      <c r="Q332" s="305">
        <f t="shared" si="105"/>
        <v>0.8</v>
      </c>
      <c r="R332" s="177">
        <f t="shared" si="106"/>
        <v>0.19860143100331573</v>
      </c>
      <c r="S332" s="809">
        <f t="shared" si="107"/>
        <v>1</v>
      </c>
      <c r="T332" s="176">
        <f t="shared" si="108"/>
        <v>7</v>
      </c>
      <c r="U332" s="251">
        <f t="shared" si="109"/>
        <v>1.1986014310033157</v>
      </c>
      <c r="V332" s="383">
        <f t="shared" si="110"/>
        <v>18.143643136028022</v>
      </c>
      <c r="W332" s="402">
        <f t="shared" si="111"/>
        <v>7.5755639751694357</v>
      </c>
      <c r="X332" s="157">
        <f t="shared" si="112"/>
        <v>45244</v>
      </c>
      <c r="Y332" s="385">
        <f t="shared" si="113"/>
        <v>6.840026757792339</v>
      </c>
      <c r="Z332" s="385">
        <f t="shared" si="114"/>
        <v>7.3159598074824936</v>
      </c>
      <c r="AA332" s="386">
        <f t="shared" si="115"/>
        <v>8.5614591531154751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0.1454774616520538</v>
      </c>
      <c r="AD332" s="231">
        <f>(INDEX(Models!$BJ332:$BT332,,AH332)*(1-AF332)+INDEX(Models!$BJ332:$BT332,,AH332+1)*AF332-ERP_i)*AE332*Ramure*Pc/MaxiM</f>
        <v>4.2584560797761677E-2</v>
      </c>
      <c r="AE332" s="305">
        <f t="shared" si="117"/>
        <v>0.8</v>
      </c>
      <c r="AF332" s="177">
        <f t="shared" si="118"/>
        <v>0.39931817816821891</v>
      </c>
      <c r="AG332" s="809">
        <f t="shared" si="124"/>
        <v>2</v>
      </c>
      <c r="AH332" s="176">
        <f t="shared" si="119"/>
        <v>8</v>
      </c>
      <c r="AI332" s="225">
        <f t="shared" si="120"/>
        <v>2.3993181781682189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1141">
        <f>IF(t&gt;Tmaj,'2022'!Wh/'2022'!Env_an*'2023'!Env_an,0.001*'[13]mon-tableau (3)'!$B$150)</f>
        <v>10.339832540978035</v>
      </c>
      <c r="C333" s="839"/>
      <c r="D333" s="393">
        <f t="shared" si="102"/>
        <v>11.059547300811715</v>
      </c>
      <c r="E333" s="385">
        <f t="shared" si="125"/>
        <v>11.740362421336989</v>
      </c>
      <c r="F333" s="385">
        <f t="shared" si="103"/>
        <v>11.815539014421899</v>
      </c>
      <c r="G333" s="110">
        <f t="shared" si="126"/>
        <v>0.57122249345926213</v>
      </c>
      <c r="H333" s="414" t="b">
        <f>Wh_hp&gt;='2022'!Maxi_hp</f>
        <v>0</v>
      </c>
      <c r="I333" s="390">
        <f>IF(H333,Wh_hp,'2022'!Maxi_hp)</f>
        <v>20.45344773267831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6.5076330907401309E-2</v>
      </c>
      <c r="M333" s="843"/>
      <c r="N333" s="843"/>
      <c r="O333" s="48">
        <f>IF(t&lt;Tnet,'2022'!Resal+('2022'!Salim-'2022'!Resal)*(1-EXP(('2022'!Tnet-t)/('2022'!Tau_j))),Resal+(Salim-Resal)*(1-EXP((Tnet-t)/(Tau_j))))*Salcycl</f>
        <v>5.7989276318076606E-2</v>
      </c>
      <c r="P333" s="169">
        <f>(INDEX(Models!$BJ333:$BT333,,T333)*(1-R333)+INDEX(Models!$BJ333:$BT333,,T333+1)*R333-ERP_i)*Q333*Ramure*Pc/MaxiM</f>
        <v>1.6086250247796929E-2</v>
      </c>
      <c r="Q333" s="305">
        <f t="shared" si="105"/>
        <v>0.8</v>
      </c>
      <c r="R333" s="177">
        <f t="shared" si="106"/>
        <v>0.19863948244086971</v>
      </c>
      <c r="S333" s="809">
        <f t="shared" si="107"/>
        <v>1</v>
      </c>
      <c r="T333" s="176">
        <f t="shared" si="108"/>
        <v>7</v>
      </c>
      <c r="U333" s="251">
        <f t="shared" si="109"/>
        <v>1.1986394824408697</v>
      </c>
      <c r="V333" s="383">
        <f t="shared" si="110"/>
        <v>17.924096323015146</v>
      </c>
      <c r="W333" s="402">
        <f t="shared" si="111"/>
        <v>10.339832540978035</v>
      </c>
      <c r="X333" s="157">
        <f t="shared" si="112"/>
        <v>45245</v>
      </c>
      <c r="Y333" s="385">
        <f t="shared" si="113"/>
        <v>9.279855472026151</v>
      </c>
      <c r="Z333" s="385">
        <f t="shared" si="114"/>
        <v>9.9257894294545181</v>
      </c>
      <c r="AA333" s="386">
        <f t="shared" si="115"/>
        <v>11.615058494142762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0.1454378439454358</v>
      </c>
      <c r="AD333" s="231">
        <f>(INDEX(Models!$BJ333:$BT333,,AH333)*(1-AF333)+INDEX(Models!$BJ333:$BT333,,AH333+1)*AF333-ERP_i)*AE333*Ramure*Pc/MaxiM</f>
        <v>4.2898722683219211E-2</v>
      </c>
      <c r="AE333" s="305">
        <f t="shared" si="117"/>
        <v>0.8</v>
      </c>
      <c r="AF333" s="177">
        <f t="shared" si="118"/>
        <v>0.39935622960577311</v>
      </c>
      <c r="AG333" s="809">
        <f t="shared" si="124"/>
        <v>2</v>
      </c>
      <c r="AH333" s="176">
        <f t="shared" si="119"/>
        <v>8</v>
      </c>
      <c r="AI333" s="225">
        <f t="shared" si="120"/>
        <v>2.3993562296057731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1141">
        <f>IF(t&gt;Tmaj,'2022'!Wh/'2022'!Env_an*'2023'!Env_an,0.001*'[13]mon-tableau (3)'!$B$151)</f>
        <v>18.520272700377753</v>
      </c>
      <c r="C334" s="839"/>
      <c r="D334" s="393">
        <f t="shared" si="102"/>
        <v>19.809866889700281</v>
      </c>
      <c r="E334" s="385">
        <f t="shared" si="125"/>
        <v>21.032413330779846</v>
      </c>
      <c r="F334" s="385">
        <f t="shared" si="103"/>
        <v>21.38237855654209</v>
      </c>
      <c r="G334" s="110">
        <f t="shared" si="126"/>
        <v>1.0457124086047511</v>
      </c>
      <c r="H334" s="414" t="b">
        <f>Wh_hp&gt;='2022'!Maxi_hp</f>
        <v>1</v>
      </c>
      <c r="I334" s="390">
        <f>IF(H334,Wh_hp,'2022'!Maxi_hp)</f>
        <v>21.38237855654209</v>
      </c>
      <c r="J334" s="85">
        <f>IF(H334,An,'2022'!An_max)</f>
        <v>2023</v>
      </c>
      <c r="K334" s="197">
        <f t="shared" si="104"/>
        <v>45246</v>
      </c>
      <c r="L334" s="147">
        <f>IF(t&lt;Tvie,1-EXP((T0-t)*PertePVj)+'2022'!Pspv,1-EXP((T0-t)*PertePVj)+Pspv)</f>
        <v>6.5098579233413473E-2</v>
      </c>
      <c r="M334" s="843"/>
      <c r="N334" s="843"/>
      <c r="O334" s="48">
        <f>IF(t&lt;Tnet,'2022'!Resal+('2022'!Salim-'2022'!Resal)*(1-EXP(('2022'!Tnet-t)/('2022'!Tau_j))),Resal+(Salim-Resal)*(1-EXP((Tnet-t)/(Tau_j))))*Salcycl</f>
        <v>5.8126778979301935E-2</v>
      </c>
      <c r="P334" s="169">
        <f>(INDEX(Models!$BJ334:$BT334,,T334)*(1-R334)+INDEX(Models!$BJ334:$BT334,,T334+1)*R334-ERP_i)*Q334*Ramure*Pc/MaxiM</f>
        <v>1.6366992326733901E-2</v>
      </c>
      <c r="Q334" s="305">
        <f t="shared" si="105"/>
        <v>0.8</v>
      </c>
      <c r="R334" s="177">
        <f t="shared" si="106"/>
        <v>0.19867600635545735</v>
      </c>
      <c r="S334" s="809">
        <f t="shared" si="107"/>
        <v>1</v>
      </c>
      <c r="T334" s="176">
        <f t="shared" si="108"/>
        <v>7</v>
      </c>
      <c r="U334" s="251">
        <f t="shared" si="109"/>
        <v>1.1986760063554573</v>
      </c>
      <c r="V334" s="383">
        <f t="shared" si="110"/>
        <v>17.710675084260071</v>
      </c>
      <c r="W334" s="402">
        <f t="shared" si="111"/>
        <v>18.520272700377753</v>
      </c>
      <c r="X334" s="157">
        <f t="shared" si="112"/>
        <v>45246</v>
      </c>
      <c r="Y334" s="385">
        <f t="shared" si="113"/>
        <v>16.346097771973756</v>
      </c>
      <c r="Z334" s="385">
        <f t="shared" si="114"/>
        <v>17.484300920807808</v>
      </c>
      <c r="AA334" s="386">
        <f t="shared" si="115"/>
        <v>20.459046162465189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0.14539999656068722</v>
      </c>
      <c r="AD334" s="231">
        <f>(INDEX(Models!$BJ334:$BT334,,AH334)*(1-AF334)+INDEX(Models!$BJ334:$BT334,,AH334+1)*AF334-ERP_i)*AE334*Ramure*Pc/MaxiM</f>
        <v>4.3181930936041793E-2</v>
      </c>
      <c r="AE334" s="305">
        <f t="shared" si="117"/>
        <v>0.8</v>
      </c>
      <c r="AF334" s="177">
        <f t="shared" si="118"/>
        <v>0.39939275352036052</v>
      </c>
      <c r="AG334" s="809">
        <f t="shared" si="124"/>
        <v>2</v>
      </c>
      <c r="AH334" s="176">
        <f t="shared" si="119"/>
        <v>8</v>
      </c>
      <c r="AI334" s="225">
        <f t="shared" si="120"/>
        <v>2.3993927535203605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1141">
        <f>IF(t&gt;Tmaj,'2022'!Wh/'2022'!Env_an*'2023'!Env_an,0.001*'[13]mon-tableau (3)'!$B$152)</f>
        <v>10.834491565444091</v>
      </c>
      <c r="C335" s="839"/>
      <c r="D335" s="393">
        <f t="shared" ref="D335:D379" si="127">Wh/(1-Ppv)</f>
        <v>11.589189147469719</v>
      </c>
      <c r="E335" s="385">
        <f t="shared" si="125"/>
        <v>12.306205735132504</v>
      </c>
      <c r="F335" s="385">
        <f t="shared" ref="F335:F379" si="128">Wh_sa/(1-Pvg*MEDIAN((-Sdif+Wh/Env_an)/Csdif,0,1))</f>
        <v>12.400337234121105</v>
      </c>
      <c r="G335" s="110">
        <f t="shared" si="126"/>
        <v>0.61333570026133599</v>
      </c>
      <c r="H335" s="414" t="b">
        <f>Wh_hp&gt;='2022'!Maxi_hp</f>
        <v>0</v>
      </c>
      <c r="I335" s="390">
        <f>IF(H335,Wh_hp,'2022'!Maxi_hp)</f>
        <v>19.633088626435899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6.5120827041674684E-2</v>
      </c>
      <c r="M335" s="843"/>
      <c r="N335" s="843"/>
      <c r="O335" s="48">
        <f>IF(t&lt;Tnet,'2022'!Resal+('2022'!Salim-'2022'!Resal)*(1-EXP(('2022'!Tnet-t)/('2022'!Tau_j))),Resal+(Salim-Resal)*(1-EXP((Tnet-t)/(Tau_j))))*Salcycl</f>
        <v>5.826463518449089E-2</v>
      </c>
      <c r="P335" s="169">
        <f>(INDEX(Models!$BJ335:$BT335,,T335)*(1-R335)+INDEX(Models!$BJ335:$BT335,,T335+1)*R335-ERP_i)*Q335*Ramure*Pc/MaxiM</f>
        <v>1.6657934582201325E-2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0.19871106389225024</v>
      </c>
      <c r="S335" s="809">
        <f t="shared" ref="S335:S379" si="132">INDEX(Echel_vg,T335)</f>
        <v>1</v>
      </c>
      <c r="T335" s="176">
        <f t="shared" ref="T335:T379" si="133">MIN(MATCH(Hp_vg,Echel_vg),10)</f>
        <v>7</v>
      </c>
      <c r="U335" s="251">
        <f t="shared" ref="U335:U379" si="134">IF(OR(t&lt;Ttai,Notai),Hdd+PousH*Croivg,Hdtf+PousH*(Croivg-Croi_tai))</f>
        <v>1.1987110638922502</v>
      </c>
      <c r="V335" s="383">
        <f t="shared" ref="V335:V379" si="135">MaxiM*(1-Ppv)*(1-Pvg)*(1-Psa)</f>
        <v>17.503473210936985</v>
      </c>
      <c r="W335" s="402">
        <f t="shared" ref="W335:W379" si="136">Wh*(A335&gt;Tmaj)</f>
        <v>10.834491565444091</v>
      </c>
      <c r="X335" s="157">
        <f t="shared" ref="X335:X379" si="137">t</f>
        <v>45247</v>
      </c>
      <c r="Y335" s="385">
        <f t="shared" ref="Y335:Y379" si="138">Wh_pvt_s*(1-Ppv)</f>
        <v>9.7115394385828822</v>
      </c>
      <c r="Z335" s="385">
        <f t="shared" ref="Z335:Z379" si="139">Wh_sa_s*(1-Psa_s)</f>
        <v>10.388015606179087</v>
      </c>
      <c r="AA335" s="386">
        <f t="shared" ref="AA335:AA379" si="140">Wh_hp*(1-Pvg_s*MEDIAN((-Sdif+Wh/Env_an)/Csdif,0,1))</f>
        <v>12.15490097009137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0.1453640279143304</v>
      </c>
      <c r="AD335" s="231">
        <f>(INDEX(Models!$BJ335:$BT335,,AH335)*(1-AF335)+INDEX(Models!$BJ335:$BT335,,AH335+1)*AF335-ERP_i)*AE335*Ramure*Pc/MaxiM</f>
        <v>4.3433508169272071E-2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0.39942781105715364</v>
      </c>
      <c r="AG335" s="809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2.3994278110571536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1141">
        <f>IF(t&gt;Tmaj,'2022'!Wh/'2022'!Env_an*'2023'!Env_an,0.001*'[13]mon-tableau (3)'!$B$153)</f>
        <v>11.228588568311164</v>
      </c>
      <c r="C336" s="839"/>
      <c r="D336" s="393">
        <f t="shared" si="127"/>
        <v>12.011023569505211</v>
      </c>
      <c r="E336" s="385">
        <f t="shared" si="125"/>
        <v>12.756011540353573</v>
      </c>
      <c r="F336" s="385">
        <f t="shared" si="128"/>
        <v>12.864772735064456</v>
      </c>
      <c r="G336" s="110">
        <f t="shared" si="126"/>
        <v>0.6433880978439257</v>
      </c>
      <c r="H336" s="414" t="b">
        <f>Wh_hp&gt;='2022'!Maxi_hp</f>
        <v>0</v>
      </c>
      <c r="I336" s="390">
        <f>IF(H336,Wh_hp,'2022'!Maxi_hp)</f>
        <v>18.436950655926712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6.5143074332196932E-2</v>
      </c>
      <c r="M336" s="843"/>
      <c r="N336" s="843"/>
      <c r="O336" s="48">
        <f>IF(t&lt;Tnet,'2022'!Resal+('2022'!Salim-'2022'!Resal)*(1-EXP(('2022'!Tnet-t)/('2022'!Tau_j))),Resal+(Salim-Resal)*(1-EXP((Tnet-t)/(Tau_j))))*Salcycl</f>
        <v>5.8402892510060637E-2</v>
      </c>
      <c r="P336" s="169">
        <f>(INDEX(Models!$BJ336:$BT336,,T336)*(1-R336)+INDEX(Models!$BJ336:$BT336,,T336+1)*R336-ERP_i)*Q336*Ramure*Pc/MaxiM</f>
        <v>1.6959037153899872E-2</v>
      </c>
      <c r="Q336" s="305">
        <f t="shared" si="130"/>
        <v>0.8</v>
      </c>
      <c r="R336" s="177">
        <f t="shared" si="131"/>
        <v>0.19874471376264635</v>
      </c>
      <c r="S336" s="809">
        <f t="shared" si="132"/>
        <v>1</v>
      </c>
      <c r="T336" s="176">
        <f t="shared" si="133"/>
        <v>7</v>
      </c>
      <c r="U336" s="251">
        <f t="shared" si="134"/>
        <v>1.1987447137626464</v>
      </c>
      <c r="V336" s="383">
        <f t="shared" si="135"/>
        <v>17.302584405177907</v>
      </c>
      <c r="W336" s="402">
        <f t="shared" si="136"/>
        <v>11.228588568311164</v>
      </c>
      <c r="X336" s="157">
        <f t="shared" si="137"/>
        <v>45248</v>
      </c>
      <c r="Y336" s="385">
        <f t="shared" si="138"/>
        <v>10.055197452722211</v>
      </c>
      <c r="Z336" s="385">
        <f t="shared" si="139"/>
        <v>10.75586774472405</v>
      </c>
      <c r="AA336" s="386">
        <f t="shared" si="140"/>
        <v>12.584820147280279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0.1453300389796581</v>
      </c>
      <c r="AD336" s="231">
        <f>(INDEX(Models!$BJ336:$BT336,,AH336)*(1-AF336)+INDEX(Models!$BJ336:$BT336,,AH336+1)*AF336-ERP_i)*AE336*Ramure*Pc/MaxiM</f>
        <v>4.3652760069278443E-2</v>
      </c>
      <c r="AE336" s="305">
        <f t="shared" si="142"/>
        <v>0.8</v>
      </c>
      <c r="AF336" s="177">
        <f t="shared" si="143"/>
        <v>0.39946146092754997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2.39946146092755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1141">
        <f>IF(t&gt;Tmaj,'2022'!Wh/'2022'!Env_an*'2023'!Env_an,0.001*'[13]mon-tableau (3)'!$B$154)</f>
        <v>7.3640077145678848</v>
      </c>
      <c r="C337" s="839"/>
      <c r="D337" s="393">
        <f t="shared" si="127"/>
        <v>7.8773369033252818</v>
      </c>
      <c r="E337" s="385">
        <f t="shared" si="125"/>
        <v>8.3671640380914276</v>
      </c>
      <c r="F337" s="385">
        <f t="shared" si="128"/>
        <v>8.3941780080872128</v>
      </c>
      <c r="G337" s="110">
        <f t="shared" si="126"/>
        <v>0.42437168426498656</v>
      </c>
      <c r="H337" s="414" t="b">
        <f>Wh_hp&gt;='2022'!Maxi_hp</f>
        <v>0</v>
      </c>
      <c r="I337" s="390">
        <f>IF(H337,Wh_hp,'2022'!Maxi_hp)</f>
        <v>19.188007096665945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6.5165321104992208E-2</v>
      </c>
      <c r="M337" s="843"/>
      <c r="N337" s="843"/>
      <c r="O337" s="48">
        <f>IF(t&lt;Tnet,'2022'!Resal+('2022'!Salim-'2022'!Resal)*(1-EXP(('2022'!Tnet-t)/('2022'!Tau_j))),Resal+(Salim-Resal)*(1-EXP((Tnet-t)/(Tau_j))))*Salcycl</f>
        <v>5.8541595758875187E-2</v>
      </c>
      <c r="P337" s="169">
        <f>(INDEX(Models!$BJ337:$BT337,,T337)*(1-R337)+INDEX(Models!$BJ337:$BT337,,T337+1)*R337-ERP_i)*Q337*Ramure*Pc/MaxiM</f>
        <v>1.7270234489317696E-2</v>
      </c>
      <c r="Q337" s="305">
        <f t="shared" si="130"/>
        <v>0.8</v>
      </c>
      <c r="R337" s="177">
        <f t="shared" si="131"/>
        <v>0.19877701234005096</v>
      </c>
      <c r="S337" s="809">
        <f t="shared" si="132"/>
        <v>1</v>
      </c>
      <c r="T337" s="176">
        <f t="shared" si="133"/>
        <v>7</v>
      </c>
      <c r="U337" s="251">
        <f t="shared" si="134"/>
        <v>1.198777012340051</v>
      </c>
      <c r="V337" s="383">
        <f t="shared" si="135"/>
        <v>17.10810228499691</v>
      </c>
      <c r="W337" s="402">
        <f t="shared" si="136"/>
        <v>7.3640077145678848</v>
      </c>
      <c r="X337" s="157">
        <f t="shared" si="137"/>
        <v>45249</v>
      </c>
      <c r="Y337" s="385">
        <f t="shared" si="138"/>
        <v>6.6521999792089685</v>
      </c>
      <c r="Z337" s="385">
        <f t="shared" si="139"/>
        <v>7.1159105769075595</v>
      </c>
      <c r="AA337" s="386">
        <f t="shared" si="140"/>
        <v>8.3256054155572183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0.14529812287154811</v>
      </c>
      <c r="AD337" s="231">
        <f>(INDEX(Models!$BJ337:$BT337,,AH337)*(1-AF337)+INDEX(Models!$BJ337:$BT337,,AH337+1)*AF337-ERP_i)*AE337*Ramure*Pc/MaxiM</f>
        <v>4.383897489773679E-2</v>
      </c>
      <c r="AE337" s="305">
        <f t="shared" si="142"/>
        <v>0.8</v>
      </c>
      <c r="AF337" s="177">
        <f t="shared" si="143"/>
        <v>0.39949375950495458</v>
      </c>
      <c r="AG337" s="809">
        <f t="shared" si="149"/>
        <v>2</v>
      </c>
      <c r="AH337" s="176">
        <f t="shared" si="144"/>
        <v>8</v>
      </c>
      <c r="AI337" s="225">
        <f t="shared" si="145"/>
        <v>2.3994937595049546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1141">
        <f>IF(t&gt;Tmaj,'2022'!Wh/'2022'!Env_an*'2023'!Env_an,0.001*'[13]mon-tableau (3)'!$B$155)</f>
        <v>11.719546657946877</v>
      </c>
      <c r="C338" s="839"/>
      <c r="D338" s="393">
        <f t="shared" si="127"/>
        <v>12.536789465722725</v>
      </c>
      <c r="E338" s="385">
        <f t="shared" si="125"/>
        <v>13.318318897044028</v>
      </c>
      <c r="F338" s="385">
        <f t="shared" si="128"/>
        <v>13.450897563535021</v>
      </c>
      <c r="G338" s="110">
        <f t="shared" si="126"/>
        <v>0.68722881411226622</v>
      </c>
      <c r="H338" s="414" t="b">
        <f>Wh_hp&gt;='2022'!Maxi_hp</f>
        <v>0</v>
      </c>
      <c r="I338" s="390">
        <f>IF(H338,Wh_hp,'2022'!Maxi_hp)</f>
        <v>20.296414509075642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6.5187567360072612E-2</v>
      </c>
      <c r="M338" s="843"/>
      <c r="N338" s="843"/>
      <c r="O338" s="48">
        <f>IF(t&lt;Tnet,'2022'!Resal+('2022'!Salim-'2022'!Resal)*(1-EXP(('2022'!Tnet-t)/('2022'!Tau_j))),Resal+(Salim-Resal)*(1-EXP((Tnet-t)/(Tau_j))))*Salcycl</f>
        <v>5.8680786769174119E-2</v>
      </c>
      <c r="P338" s="169">
        <f>(INDEX(Models!$BJ338:$BT338,,T338)*(1-R338)+INDEX(Models!$BJ338:$BT338,,T338+1)*R338-ERP_i)*Q338*Ramure*Pc/MaxiM</f>
        <v>1.7572792397700637E-2</v>
      </c>
      <c r="Q338" s="305">
        <f t="shared" si="130"/>
        <v>0.8</v>
      </c>
      <c r="R338" s="177">
        <f t="shared" si="131"/>
        <v>0.19880801375197787</v>
      </c>
      <c r="S338" s="809">
        <f t="shared" si="132"/>
        <v>1</v>
      </c>
      <c r="T338" s="176">
        <f t="shared" si="133"/>
        <v>7</v>
      </c>
      <c r="U338" s="251">
        <f t="shared" si="134"/>
        <v>1.1988080137519779</v>
      </c>
      <c r="V338" s="383">
        <f t="shared" si="135"/>
        <v>16.920441442361586</v>
      </c>
      <c r="W338" s="402">
        <f t="shared" si="136"/>
        <v>11.719546657946877</v>
      </c>
      <c r="X338" s="157">
        <f t="shared" si="137"/>
        <v>45250</v>
      </c>
      <c r="Y338" s="385">
        <f t="shared" si="138"/>
        <v>10.482380561219276</v>
      </c>
      <c r="Z338" s="385">
        <f t="shared" si="139"/>
        <v>11.213351679135076</v>
      </c>
      <c r="AA338" s="386">
        <f t="shared" si="140"/>
        <v>13.119148997346816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0.14526836447982741</v>
      </c>
      <c r="AD338" s="231">
        <f>(INDEX(Models!$BJ338:$BT338,,AH338)*(1-AF338)+INDEX(Models!$BJ338:$BT338,,AH338+1)*AF338-ERP_i)*AE338*Ramure*Pc/MaxiM</f>
        <v>4.3971996673056561E-2</v>
      </c>
      <c r="AE338" s="305">
        <f t="shared" si="142"/>
        <v>0.8</v>
      </c>
      <c r="AF338" s="177">
        <f t="shared" si="143"/>
        <v>0.39952476091688105</v>
      </c>
      <c r="AG338" s="809">
        <f t="shared" si="149"/>
        <v>2</v>
      </c>
      <c r="AH338" s="176">
        <f t="shared" si="144"/>
        <v>8</v>
      </c>
      <c r="AI338" s="225">
        <f t="shared" si="145"/>
        <v>2.399524760916881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1141">
        <f>IF(t&gt;Tmaj,'2022'!Wh/'2022'!Env_an*'2023'!Env_an,0.001*'[13]mon-tableau (3)'!$B$156)</f>
        <v>3.1848885246709857</v>
      </c>
      <c r="C339" s="839"/>
      <c r="D339" s="393">
        <f t="shared" si="127"/>
        <v>3.4070624288688687</v>
      </c>
      <c r="E339" s="385">
        <f t="shared" si="125"/>
        <v>3.6199921951396323</v>
      </c>
      <c r="F339" s="385">
        <f t="shared" si="128"/>
        <v>3.6199921951396323</v>
      </c>
      <c r="G339" s="110">
        <f t="shared" si="126"/>
        <v>0.18686046790888455</v>
      </c>
      <c r="H339" s="414" t="b">
        <f>Wh_hp&gt;='2022'!Maxi_hp</f>
        <v>0</v>
      </c>
      <c r="I339" s="390">
        <f>IF(H339,Wh_hp,'2022'!Maxi_hp)</f>
        <v>20.252187824566644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6.5209813097450026E-2</v>
      </c>
      <c r="M339" s="843"/>
      <c r="N339" s="843"/>
      <c r="O339" s="48">
        <f>IF(t&lt;Tnet,'2022'!Resal+('2022'!Salim-'2022'!Resal)*(1-EXP(('2022'!Tnet-t)/('2022'!Tau_j))),Resal+(Salim-Resal)*(1-EXP((Tnet-t)/(Tau_j))))*Salcycl</f>
        <v>5.8820504242150851E-2</v>
      </c>
      <c r="P339" s="169">
        <f>(INDEX(Models!$BJ339:$BT339,,T339)*(1-R339)+INDEX(Models!$BJ339:$BT339,,T339+1)*R339-ERP_i)*Q339*Ramure*Pc/MaxiM</f>
        <v>1.784928175400035E-2</v>
      </c>
      <c r="Q339" s="305">
        <f t="shared" si="130"/>
        <v>0.8</v>
      </c>
      <c r="R339" s="177">
        <f t="shared" si="131"/>
        <v>0.19883776996859992</v>
      </c>
      <c r="S339" s="809">
        <f t="shared" si="132"/>
        <v>1</v>
      </c>
      <c r="T339" s="176">
        <f t="shared" si="133"/>
        <v>7</v>
      </c>
      <c r="U339" s="251">
        <f t="shared" si="134"/>
        <v>1.1988377699685999</v>
      </c>
      <c r="V339" s="383">
        <f t="shared" si="135"/>
        <v>16.739980302116773</v>
      </c>
      <c r="W339" s="402">
        <f t="shared" si="136"/>
        <v>3.1848885246709857</v>
      </c>
      <c r="X339" s="157">
        <f t="shared" si="137"/>
        <v>45251</v>
      </c>
      <c r="Y339" s="385">
        <f t="shared" si="138"/>
        <v>2.8924478824944706</v>
      </c>
      <c r="Z339" s="385">
        <f t="shared" si="139"/>
        <v>3.0942214873678413</v>
      </c>
      <c r="AA339" s="386">
        <f t="shared" si="140"/>
        <v>3.6199921951396323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0.1452408401536652</v>
      </c>
      <c r="AD339" s="231">
        <f>(INDEX(Models!$BJ339:$BT339,,AH339)*(1-AF339)+INDEX(Models!$BJ339:$BT339,,AH339+1)*AF339-ERP_i)*AE339*Ramure*Pc/MaxiM</f>
        <v>4.4057481646131456E-2</v>
      </c>
      <c r="AE339" s="305">
        <f t="shared" si="142"/>
        <v>0.8</v>
      </c>
      <c r="AF339" s="177">
        <f t="shared" si="143"/>
        <v>0.39955451713350332</v>
      </c>
      <c r="AG339" s="809">
        <f t="shared" si="149"/>
        <v>2</v>
      </c>
      <c r="AH339" s="176">
        <f t="shared" si="144"/>
        <v>8</v>
      </c>
      <c r="AI339" s="225">
        <f t="shared" si="145"/>
        <v>2.3995545171335033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1141">
        <f>IF(t&gt;Tmaj,'2022'!Wh/'2022'!Env_an*'2023'!Env_an,0.001*'[13]mon-tableau (3)'!$B$157)</f>
        <v>7.0982794889566936</v>
      </c>
      <c r="C340" s="839"/>
      <c r="D340" s="393">
        <f t="shared" si="127"/>
        <v>7.5936274367493359</v>
      </c>
      <c r="E340" s="385">
        <f t="shared" si="125"/>
        <v>8.0694059337013897</v>
      </c>
      <c r="F340" s="385">
        <f t="shared" si="128"/>
        <v>8.0962982239254782</v>
      </c>
      <c r="G340" s="110">
        <f t="shared" si="126"/>
        <v>0.42211133544366397</v>
      </c>
      <c r="H340" s="414" t="b">
        <f>Wh_hp&gt;='2022'!Maxi_hp</f>
        <v>0</v>
      </c>
      <c r="I340" s="390">
        <f>IF(H340,Wh_hp,'2022'!Maxi_hp)</f>
        <v>19.238098983375799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6.5232058317136771E-2</v>
      </c>
      <c r="M340" s="843"/>
      <c r="N340" s="843"/>
      <c r="O340" s="48">
        <f>IF(t&lt;Tnet,'2022'!Resal+('2022'!Salim-'2022'!Resal)*(1-EXP(('2022'!Tnet-t)/('2022'!Tau_j))),Resal+(Salim-Resal)*(1-EXP((Tnet-t)/(Tau_j))))*Salcycl</f>
        <v>5.8960783589408101E-2</v>
      </c>
      <c r="P340" s="169">
        <f>(INDEX(Models!$BJ340:$BT340,,T340)*(1-R340)+INDEX(Models!$BJ340:$BT340,,T340+1)*R340-ERP_i)*Q340*Ramure*Pc/MaxiM</f>
        <v>1.8099124647710567E-2</v>
      </c>
      <c r="Q340" s="305">
        <f t="shared" si="130"/>
        <v>0.8</v>
      </c>
      <c r="R340" s="177">
        <f t="shared" si="131"/>
        <v>0.19886633088788219</v>
      </c>
      <c r="S340" s="809">
        <f t="shared" si="132"/>
        <v>1</v>
      </c>
      <c r="T340" s="176">
        <f t="shared" si="133"/>
        <v>7</v>
      </c>
      <c r="U340" s="251">
        <f t="shared" si="134"/>
        <v>1.1988663308878822</v>
      </c>
      <c r="V340" s="383">
        <f t="shared" si="135"/>
        <v>16.566801213781275</v>
      </c>
      <c r="W340" s="402">
        <f t="shared" si="136"/>
        <v>7.0982794889566936</v>
      </c>
      <c r="X340" s="157">
        <f t="shared" si="137"/>
        <v>45252</v>
      </c>
      <c r="Y340" s="385">
        <f t="shared" si="138"/>
        <v>6.4167951690096707</v>
      </c>
      <c r="Z340" s="385">
        <f t="shared" si="139"/>
        <v>6.8645862602621035</v>
      </c>
      <c r="AA340" s="386">
        <f t="shared" si="140"/>
        <v>8.0307810955738823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0.14521561743907085</v>
      </c>
      <c r="AD340" s="231">
        <f>(INDEX(Models!$BJ340:$BT340,,AH340)*(1-AF340)+INDEX(Models!$BJ340:$BT340,,AH340+1)*AF340-ERP_i)*AE340*Ramure*Pc/MaxiM</f>
        <v>4.4094521616214445E-2</v>
      </c>
      <c r="AE340" s="305">
        <f t="shared" si="142"/>
        <v>0.8</v>
      </c>
      <c r="AF340" s="177">
        <f t="shared" si="143"/>
        <v>0.39958307805278581</v>
      </c>
      <c r="AG340" s="809">
        <f t="shared" si="149"/>
        <v>2</v>
      </c>
      <c r="AH340" s="176">
        <f t="shared" si="144"/>
        <v>8</v>
      </c>
      <c r="AI340" s="225">
        <f t="shared" si="145"/>
        <v>2.3995830780527858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1141">
        <f>IF(t&gt;Tmaj,'2022'!Wh/'2022'!Env_an*'2023'!Env_an,0.001*'[13]mon-tableau (3)'!$B$158)</f>
        <v>9.7460572916181132</v>
      </c>
      <c r="C341" s="839"/>
      <c r="D341" s="393">
        <f t="shared" si="127"/>
        <v>10.426426484868562</v>
      </c>
      <c r="E341" s="385">
        <f t="shared" si="125"/>
        <v>11.081352794631703</v>
      </c>
      <c r="F341" s="385">
        <f t="shared" si="128"/>
        <v>11.167355490658393</v>
      </c>
      <c r="G341" s="110">
        <f t="shared" si="126"/>
        <v>0.58787596433698186</v>
      </c>
      <c r="H341" s="414" t="b">
        <f>Wh_hp&gt;='2022'!Maxi_hp</f>
        <v>0</v>
      </c>
      <c r="I341" s="390">
        <f>IF(H341,Wh_hp,'2022'!Maxi_hp)</f>
        <v>18.879598059880493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6.5254303019144727E-2</v>
      </c>
      <c r="M341" s="843"/>
      <c r="N341" s="843"/>
      <c r="O341" s="48">
        <f>IF(t&lt;Tnet,'2022'!Resal+('2022'!Salim-'2022'!Resal)*(1-EXP(('2022'!Tnet-t)/('2022'!Tau_j))),Resal+(Salim-Resal)*(1-EXP((Tnet-t)/(Tau_j))))*Salcycl</f>
        <v>5.9101656801362389E-2</v>
      </c>
      <c r="P341" s="169">
        <f>(INDEX(Models!$BJ341:$BT341,,T341)*(1-R341)+INDEX(Models!$BJ341:$BT341,,T341+1)*R341-ERP_i)*Q341*Ramure*Pc/MaxiM</f>
        <v>1.8321626796073277E-2</v>
      </c>
      <c r="Q341" s="305">
        <f t="shared" si="130"/>
        <v>0.8</v>
      </c>
      <c r="R341" s="177">
        <f t="shared" si="131"/>
        <v>0.19889374441742191</v>
      </c>
      <c r="S341" s="809">
        <f t="shared" si="132"/>
        <v>1</v>
      </c>
      <c r="T341" s="176">
        <f t="shared" si="133"/>
        <v>7</v>
      </c>
      <c r="U341" s="251">
        <f t="shared" si="134"/>
        <v>1.1988937444174219</v>
      </c>
      <c r="V341" s="383">
        <f t="shared" si="135"/>
        <v>16.400989059139377</v>
      </c>
      <c r="W341" s="402">
        <f t="shared" si="136"/>
        <v>9.7460572916181132</v>
      </c>
      <c r="X341" s="157">
        <f t="shared" si="137"/>
        <v>45253</v>
      </c>
      <c r="Y341" s="385">
        <f t="shared" si="138"/>
        <v>8.7576858478857211</v>
      </c>
      <c r="Z341" s="385">
        <f t="shared" si="139"/>
        <v>9.3690571416078843</v>
      </c>
      <c r="AA341" s="386">
        <f t="shared" si="140"/>
        <v>10.960432536104285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0.14519275487115316</v>
      </c>
      <c r="AD341" s="231">
        <f>(INDEX(Models!$BJ341:$BT341,,AH341)*(1-AF341)+INDEX(Models!$BJ341:$BT341,,AH341+1)*AF341-ERP_i)*AE341*Ramure*Pc/MaxiM</f>
        <v>4.4081933753619663E-2</v>
      </c>
      <c r="AE341" s="305">
        <f t="shared" si="142"/>
        <v>0.8</v>
      </c>
      <c r="AF341" s="177">
        <f t="shared" si="143"/>
        <v>0.39961049158232553</v>
      </c>
      <c r="AG341" s="809">
        <f t="shared" si="149"/>
        <v>2</v>
      </c>
      <c r="AH341" s="176">
        <f t="shared" si="144"/>
        <v>8</v>
      </c>
      <c r="AI341" s="225">
        <f t="shared" si="145"/>
        <v>2.3996104915823255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1141">
        <f>IF(t&gt;Tmaj,'2022'!Wh/'2022'!Env_an*'2023'!Env_an,0.001*'[13]mon-tableau (3)'!$B$159)</f>
        <v>10.814594061619708</v>
      </c>
      <c r="C342" s="839"/>
      <c r="D342" s="393">
        <f t="shared" si="127"/>
        <v>11.569832798422365</v>
      </c>
      <c r="E342" s="385">
        <f t="shared" si="125"/>
        <v>12.298430595716606</v>
      </c>
      <c r="F342" s="385">
        <f t="shared" si="128"/>
        <v>12.418598289846821</v>
      </c>
      <c r="G342" s="110">
        <f t="shared" si="126"/>
        <v>0.65987238934748793</v>
      </c>
      <c r="H342" s="414" t="b">
        <f>Wh_hp&gt;='2022'!Maxi_hp</f>
        <v>0</v>
      </c>
      <c r="I342" s="390">
        <f>IF(H342,Wh_hp,'2022'!Maxi_hp)</f>
        <v>17.858943426555001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6.5276547203485885E-2</v>
      </c>
      <c r="M342" s="843"/>
      <c r="N342" s="843"/>
      <c r="O342" s="48">
        <f>IF(t&lt;Tnet,'2022'!Resal+('2022'!Salim-'2022'!Resal)*(1-EXP(('2022'!Tnet-t)/('2022'!Tau_j))),Resal+(Salim-Resal)*(1-EXP((Tnet-t)/(Tau_j))))*Salcycl</f>
        <v>5.9243152337502512E-2</v>
      </c>
      <c r="P342" s="169">
        <f>(INDEX(Models!$BJ342:$BT342,,T342)*(1-R342)+INDEX(Models!$BJ342:$BT342,,T342+1)*R342-ERP_i)*Q342*Ramure*Pc/MaxiM</f>
        <v>1.8516165286997462E-2</v>
      </c>
      <c r="Q342" s="305">
        <f t="shared" si="130"/>
        <v>0.8</v>
      </c>
      <c r="R342" s="177">
        <f t="shared" si="131"/>
        <v>0.19892005655311951</v>
      </c>
      <c r="S342" s="809">
        <f t="shared" si="132"/>
        <v>1</v>
      </c>
      <c r="T342" s="176">
        <f t="shared" si="133"/>
        <v>7</v>
      </c>
      <c r="U342" s="251">
        <f t="shared" si="134"/>
        <v>1.1989200565531195</v>
      </c>
      <c r="V342" s="383">
        <f t="shared" si="135"/>
        <v>16.242628114061144</v>
      </c>
      <c r="W342" s="402">
        <f t="shared" si="136"/>
        <v>10.814594061619708</v>
      </c>
      <c r="X342" s="157">
        <f t="shared" si="137"/>
        <v>45254</v>
      </c>
      <c r="Y342" s="385">
        <f t="shared" si="138"/>
        <v>9.6945383418827671</v>
      </c>
      <c r="Z342" s="385">
        <f t="shared" si="139"/>
        <v>10.371557825877332</v>
      </c>
      <c r="AA342" s="386">
        <f t="shared" si="140"/>
        <v>12.132922047317773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0.14517230182236482</v>
      </c>
      <c r="AD342" s="231">
        <f>(INDEX(Models!$BJ342:$BT342,,AH342)*(1-AF342)+INDEX(Models!$BJ342:$BT342,,AH342+1)*AF342-ERP_i)*AE342*Ramure*Pc/MaxiM</f>
        <v>4.4018723697106167E-2</v>
      </c>
      <c r="AE342" s="305">
        <f t="shared" si="142"/>
        <v>0.8</v>
      </c>
      <c r="AF342" s="177">
        <f t="shared" si="143"/>
        <v>0.3996368037180229</v>
      </c>
      <c r="AG342" s="809">
        <f t="shared" si="149"/>
        <v>2</v>
      </c>
      <c r="AH342" s="176">
        <f t="shared" si="144"/>
        <v>8</v>
      </c>
      <c r="AI342" s="225">
        <f t="shared" si="145"/>
        <v>2.3996368037180229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1141">
        <f>IF(t&gt;Tmaj,'2022'!Wh/'2022'!Env_an*'2023'!Env_an,0.001*'[13]mon-tableau (3)'!$B$160)</f>
        <v>5.2042358743145565</v>
      </c>
      <c r="C343" s="839"/>
      <c r="D343" s="393">
        <f t="shared" si="127"/>
        <v>5.5678069349664252</v>
      </c>
      <c r="E343" s="385">
        <f t="shared" si="125"/>
        <v>5.9193279730818711</v>
      </c>
      <c r="F343" s="385">
        <f t="shared" si="128"/>
        <v>5.9230284672033422</v>
      </c>
      <c r="G343" s="110">
        <f t="shared" si="126"/>
        <v>0.31756555127562941</v>
      </c>
      <c r="H343" s="414" t="b">
        <f>Wh_hp&gt;='2022'!Maxi_hp</f>
        <v>0</v>
      </c>
      <c r="I343" s="390">
        <f>IF(H343,Wh_hp,'2022'!Maxi_hp)</f>
        <v>17.941310299000229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6.5298790870172457E-2</v>
      </c>
      <c r="M343" s="843"/>
      <c r="N343" s="843"/>
      <c r="O343" s="48">
        <f>IF(t&lt;Tnet,'2022'!Resal+('2022'!Salim-'2022'!Resal)*(1-EXP(('2022'!Tnet-t)/('2022'!Tau_j))),Resal+(Salim-Resal)*(1-EXP((Tnet-t)/(Tau_j))))*Salcycl</f>
        <v>5.938529503923199E-2</v>
      </c>
      <c r="P343" s="169">
        <f>(INDEX(Models!$BJ343:$BT343,,T343)*(1-R343)+INDEX(Models!$BJ343:$BT343,,T343+1)*R343-ERP_i)*Q343*Ramure*Pc/MaxiM</f>
        <v>1.8682214450117831E-2</v>
      </c>
      <c r="Q343" s="305">
        <f t="shared" si="130"/>
        <v>0.8</v>
      </c>
      <c r="R343" s="177">
        <f t="shared" si="131"/>
        <v>0.19894531145479633</v>
      </c>
      <c r="S343" s="809">
        <f t="shared" si="132"/>
        <v>1</v>
      </c>
      <c r="T343" s="176">
        <f t="shared" si="133"/>
        <v>7</v>
      </c>
      <c r="U343" s="251">
        <f t="shared" si="134"/>
        <v>1.1989453114547963</v>
      </c>
      <c r="V343" s="383">
        <f t="shared" si="135"/>
        <v>16.091801747982043</v>
      </c>
      <c r="W343" s="402">
        <f t="shared" si="136"/>
        <v>5.2042358743145565</v>
      </c>
      <c r="X343" s="157">
        <f t="shared" si="137"/>
        <v>45255</v>
      </c>
      <c r="Y343" s="385">
        <f t="shared" si="138"/>
        <v>4.7257010621919209</v>
      </c>
      <c r="Z343" s="385">
        <f t="shared" si="139"/>
        <v>5.0558413919153633</v>
      </c>
      <c r="AA343" s="386">
        <f t="shared" si="140"/>
        <v>5.9143321215710145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0.14515429840751184</v>
      </c>
      <c r="AD343" s="231">
        <f>(INDEX(Models!$BJ343:$BT343,,AH343)*(1-AF343)+INDEX(Models!$BJ343:$BT343,,AH343+1)*AF343-ERP_i)*AE343*Ramure*Pc/MaxiM</f>
        <v>4.3904135151252785E-2</v>
      </c>
      <c r="AE343" s="305">
        <f t="shared" si="142"/>
        <v>0.8</v>
      </c>
      <c r="AF343" s="177">
        <f t="shared" si="143"/>
        <v>0.39966205861969994</v>
      </c>
      <c r="AG343" s="809">
        <f t="shared" si="149"/>
        <v>2</v>
      </c>
      <c r="AH343" s="176">
        <f t="shared" si="144"/>
        <v>8</v>
      </c>
      <c r="AI343" s="225">
        <f t="shared" si="145"/>
        <v>2.3996620586196999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1141">
        <f>IF(t&gt;Tmaj,'2022'!Wh/'2022'!Env_an*'2023'!Env_an,0.001*'[13]mon-tableau (3)'!$B$161)</f>
        <v>9.9638634476182268</v>
      </c>
      <c r="C344" s="839"/>
      <c r="D344" s="393">
        <f t="shared" si="127"/>
        <v>10.660198646026959</v>
      </c>
      <c r="E344" s="385">
        <f t="shared" si="125"/>
        <v>11.334946546284888</v>
      </c>
      <c r="F344" s="385">
        <f t="shared" si="128"/>
        <v>11.434780826717279</v>
      </c>
      <c r="G344" s="110">
        <f t="shared" si="126"/>
        <v>0.61839041418013929</v>
      </c>
      <c r="H344" s="414" t="b">
        <f>Wh_hp&gt;='2022'!Maxi_hp</f>
        <v>0</v>
      </c>
      <c r="I344" s="390">
        <f>IF(H344,Wh_hp,'2022'!Maxi_hp)</f>
        <v>17.978894299225775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6.5321034019216434E-2</v>
      </c>
      <c r="M344" s="843"/>
      <c r="N344" s="843"/>
      <c r="O344" s="48">
        <f>IF(t&lt;Tnet,'2022'!Resal+('2022'!Salim-'2022'!Resal)*(1-EXP(('2022'!Tnet-t)/('2022'!Tau_j))),Resal+(Salim-Resal)*(1-EXP((Tnet-t)/(Tau_j))))*Salcycl</f>
        <v>5.952810606584491E-2</v>
      </c>
      <c r="P344" s="169">
        <f>(INDEX(Models!$BJ344:$BT344,,T344)*(1-R344)+INDEX(Models!$BJ344:$BT344,,T344+1)*R344-ERP_i)*Q344*Ramure*Pc/MaxiM</f>
        <v>1.8819256433595145E-2</v>
      </c>
      <c r="Q344" s="305">
        <f t="shared" si="130"/>
        <v>0.8</v>
      </c>
      <c r="R344" s="177">
        <f t="shared" si="131"/>
        <v>0.1989695515188743</v>
      </c>
      <c r="S344" s="809">
        <f t="shared" si="132"/>
        <v>1</v>
      </c>
      <c r="T344" s="176">
        <f t="shared" si="133"/>
        <v>7</v>
      </c>
      <c r="U344" s="251">
        <f t="shared" si="134"/>
        <v>1.1989695515188743</v>
      </c>
      <c r="V344" s="383">
        <f t="shared" si="135"/>
        <v>15.948594012422626</v>
      </c>
      <c r="W344" s="402">
        <f t="shared" si="136"/>
        <v>9.9638634476182268</v>
      </c>
      <c r="X344" s="157">
        <f t="shared" si="137"/>
        <v>45256</v>
      </c>
      <c r="Y344" s="385">
        <f t="shared" si="138"/>
        <v>8.9512368173957189</v>
      </c>
      <c r="Z344" s="385">
        <f t="shared" si="139"/>
        <v>9.5768035263347855</v>
      </c>
      <c r="AA344" s="386">
        <f t="shared" si="140"/>
        <v>11.202758121740322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0.14513877544585849</v>
      </c>
      <c r="AD344" s="231">
        <f>(INDEX(Models!$BJ344:$BT344,,AH344)*(1-AF344)+INDEX(Models!$BJ344:$BT344,,AH344+1)*AF344-ERP_i)*AE344*Ramure*Pc/MaxiM</f>
        <v>4.3737429312517395E-2</v>
      </c>
      <c r="AE344" s="305">
        <f t="shared" si="142"/>
        <v>0.8</v>
      </c>
      <c r="AF344" s="177">
        <f t="shared" si="143"/>
        <v>0.3996862986837777</v>
      </c>
      <c r="AG344" s="809">
        <f t="shared" si="149"/>
        <v>2</v>
      </c>
      <c r="AH344" s="176">
        <f t="shared" si="144"/>
        <v>8</v>
      </c>
      <c r="AI344" s="225">
        <f t="shared" si="145"/>
        <v>2.3996862986837777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1141">
        <f>IF(t&gt;Tmaj,'2022'!Wh/'2022'!Env_an*'2023'!Env_an,0.001*'[13]mon-tableau (3)'!$B$162)</f>
        <v>11.230438308314341</v>
      </c>
      <c r="C345" s="839"/>
      <c r="D345" s="393">
        <f t="shared" si="127"/>
        <v>12.015575374100697</v>
      </c>
      <c r="E345" s="385">
        <f t="shared" si="125"/>
        <v>12.778062866727476</v>
      </c>
      <c r="F345" s="385">
        <f t="shared" si="128"/>
        <v>12.921407029889988</v>
      </c>
      <c r="G345" s="110">
        <f t="shared" si="126"/>
        <v>0.70463020041827429</v>
      </c>
      <c r="H345" s="414" t="b">
        <f>Wh_hp&gt;='2022'!Maxi_hp</f>
        <v>0</v>
      </c>
      <c r="I345" s="390">
        <f>IF(H345,Wh_hp,'2022'!Maxi_hp)</f>
        <v>16.263070033899286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6.5343276650629806E-2</v>
      </c>
      <c r="M345" s="843"/>
      <c r="N345" s="843"/>
      <c r="O345" s="48">
        <f>IF(t&lt;Tnet,'2022'!Resal+('2022'!Salim-'2022'!Resal)*(1-EXP(('2022'!Tnet-t)/('2022'!Tau_j))),Resal+(Salim-Resal)*(1-EXP((Tnet-t)/(Tau_j))))*Salcycl</f>
        <v>5.9671602853997814E-2</v>
      </c>
      <c r="P345" s="169">
        <f>(INDEX(Models!$BJ345:$BT345,,T345)*(1-R345)+INDEX(Models!$BJ345:$BT345,,T345+1)*R345-ERP_i)*Q345*Ramure*Pc/MaxiM</f>
        <v>1.8928312542924604E-2</v>
      </c>
      <c r="Q345" s="305">
        <f t="shared" si="130"/>
        <v>0.8</v>
      </c>
      <c r="R345" s="177">
        <f t="shared" si="131"/>
        <v>0.19899281744822694</v>
      </c>
      <c r="S345" s="809">
        <f t="shared" si="132"/>
        <v>1</v>
      </c>
      <c r="T345" s="176">
        <f t="shared" si="133"/>
        <v>7</v>
      </c>
      <c r="U345" s="251">
        <f t="shared" si="134"/>
        <v>1.1989928174482269</v>
      </c>
      <c r="V345" s="383">
        <f t="shared" si="135"/>
        <v>15.811787998468461</v>
      </c>
      <c r="W345" s="402">
        <f t="shared" si="136"/>
        <v>11.230438308314341</v>
      </c>
      <c r="X345" s="157">
        <f t="shared" si="137"/>
        <v>45257</v>
      </c>
      <c r="Y345" s="385">
        <f t="shared" si="138"/>
        <v>10.061039418633698</v>
      </c>
      <c r="Z345" s="385">
        <f t="shared" si="139"/>
        <v>10.764422024997224</v>
      </c>
      <c r="AA345" s="386">
        <f t="shared" si="140"/>
        <v>12.591819301389872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0.14512575448020781</v>
      </c>
      <c r="AD345" s="231">
        <f>(INDEX(Models!$BJ345:$BT345,,AH345)*(1-AF345)+INDEX(Models!$BJ345:$BT345,,AH345+1)*AF345-ERP_i)*AE345*Ramure*Pc/MaxiM</f>
        <v>4.3521406088156959E-2</v>
      </c>
      <c r="AE345" s="305">
        <f t="shared" si="142"/>
        <v>0.8</v>
      </c>
      <c r="AF345" s="177">
        <f t="shared" si="143"/>
        <v>0.39970956461313056</v>
      </c>
      <c r="AG345" s="809">
        <f t="shared" si="149"/>
        <v>2</v>
      </c>
      <c r="AH345" s="176">
        <f t="shared" si="144"/>
        <v>8</v>
      </c>
      <c r="AI345" s="225">
        <f t="shared" si="145"/>
        <v>2.3997095646131306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1141">
        <f>IF(t&gt;Tmaj,'2022'!Wh/'2022'!Env_an*'2023'!Env_an,0.001*'[13]mon-tableau (3)'!$B$163)</f>
        <v>9.5541863447168982</v>
      </c>
      <c r="C346" s="839"/>
      <c r="D346" s="393">
        <f t="shared" si="127"/>
        <v>10.222377342730155</v>
      </c>
      <c r="E346" s="385">
        <f t="shared" si="125"/>
        <v>10.872738908986069</v>
      </c>
      <c r="F346" s="385">
        <f t="shared" si="128"/>
        <v>10.96482540791451</v>
      </c>
      <c r="G346" s="110">
        <f t="shared" si="126"/>
        <v>0.60278583130829189</v>
      </c>
      <c r="H346" s="414" t="b">
        <f>Wh_hp&gt;='2022'!Maxi_hp</f>
        <v>0</v>
      </c>
      <c r="I346" s="390">
        <f>IF(H346,Wh_hp,'2022'!Maxi_hp)</f>
        <v>12.704962668086491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6.5365518764424674E-2</v>
      </c>
      <c r="M346" s="843"/>
      <c r="N346" s="843"/>
      <c r="O346" s="48">
        <f>IF(t&lt;Tnet,'2022'!Resal+('2022'!Salim-'2022'!Resal)*(1-EXP(('2022'!Tnet-t)/('2022'!Tau_j))),Resal+(Salim-Resal)*(1-EXP((Tnet-t)/(Tau_j))))*Salcycl</f>
        <v>5.9815799100850699E-2</v>
      </c>
      <c r="P346" s="169">
        <f>(INDEX(Models!$BJ346:$BT346,,T346)*(1-R346)+INDEX(Models!$BJ346:$BT346,,T346+1)*R346-ERP_i)*Q346*Ramure*Pc/MaxiM</f>
        <v>1.9006684132531999E-2</v>
      </c>
      <c r="Q346" s="305">
        <f t="shared" si="130"/>
        <v>0.8</v>
      </c>
      <c r="R346" s="177">
        <f t="shared" si="131"/>
        <v>0.19901514831930855</v>
      </c>
      <c r="S346" s="809">
        <f t="shared" si="132"/>
        <v>1</v>
      </c>
      <c r="T346" s="176">
        <f t="shared" si="133"/>
        <v>7</v>
      </c>
      <c r="U346" s="251">
        <f t="shared" si="134"/>
        <v>1.1990151483193086</v>
      </c>
      <c r="V346" s="383">
        <f t="shared" si="135"/>
        <v>15.680484654720027</v>
      </c>
      <c r="W346" s="402">
        <f t="shared" si="136"/>
        <v>9.5541863447168982</v>
      </c>
      <c r="X346" s="157">
        <f t="shared" si="137"/>
        <v>45258</v>
      </c>
      <c r="Y346" s="385">
        <f t="shared" si="138"/>
        <v>8.5934706693544989</v>
      </c>
      <c r="Z346" s="385">
        <f t="shared" si="139"/>
        <v>9.1944721084910501</v>
      </c>
      <c r="AA346" s="386">
        <f t="shared" si="140"/>
        <v>10.755218274034036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0.14511524785238822</v>
      </c>
      <c r="AD346" s="231">
        <f>(INDEX(Models!$BJ346:$BT346,,AH346)*(1-AF346)+INDEX(Models!$BJ346:$BT346,,AH346+1)*AF346-ERP_i)*AE346*Ramure*Pc/MaxiM</f>
        <v>4.3262982434454082E-2</v>
      </c>
      <c r="AE346" s="305">
        <f t="shared" si="142"/>
        <v>0.8</v>
      </c>
      <c r="AF346" s="177">
        <f t="shared" si="143"/>
        <v>0.39973189548421217</v>
      </c>
      <c r="AG346" s="809">
        <f t="shared" si="149"/>
        <v>2</v>
      </c>
      <c r="AH346" s="176">
        <f t="shared" si="144"/>
        <v>8</v>
      </c>
      <c r="AI346" s="225">
        <f t="shared" si="145"/>
        <v>2.3997318954842122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1141">
        <f>IF(t&gt;Tmaj,'2022'!Wh/'2022'!Env_an*'2023'!Env_an,0.001*'[13]mon-tableau (3)'!$B$164)</f>
        <v>12.746162059771848</v>
      </c>
      <c r="C347" s="839"/>
      <c r="D347" s="393">
        <f t="shared" si="127"/>
        <v>13.637914762051325</v>
      </c>
      <c r="E347" s="385">
        <f t="shared" si="125"/>
        <v>14.50781348318743</v>
      </c>
      <c r="F347" s="385">
        <f t="shared" si="128"/>
        <v>14.715949843868618</v>
      </c>
      <c r="G347" s="110">
        <f t="shared" si="126"/>
        <v>0.81533595715325979</v>
      </c>
      <c r="H347" s="414" t="b">
        <f>Wh_hp&gt;='2022'!Maxi_hp</f>
        <v>0</v>
      </c>
      <c r="I347" s="390">
        <f>IF(H347,Wh_hp,'2022'!Maxi_hp)</f>
        <v>18.062192612165116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6.5387760360612918E-2</v>
      </c>
      <c r="M347" s="843"/>
      <c r="N347" s="843"/>
      <c r="O347" s="48">
        <f>IF(t&lt;Tnet,'2022'!Resal+('2022'!Salim-'2022'!Resal)*(1-EXP(('2022'!Tnet-t)/('2022'!Tau_j))),Resal+(Salim-Resal)*(1-EXP((Tnet-t)/(Tau_j))))*Salcycl</f>
        <v>5.9960704770860081E-2</v>
      </c>
      <c r="P347" s="169">
        <f>(INDEX(Models!$BJ347:$BT347,,T347)*(1-R347)+INDEX(Models!$BJ347:$BT347,,T347+1)*R347-ERP_i)*Q347*Ramure*Pc/MaxiM</f>
        <v>1.9060602619512576E-2</v>
      </c>
      <c r="Q347" s="305">
        <f t="shared" si="130"/>
        <v>0.8</v>
      </c>
      <c r="R347" s="177">
        <f t="shared" si="131"/>
        <v>0.19903658164666371</v>
      </c>
      <c r="S347" s="809">
        <f t="shared" si="132"/>
        <v>1</v>
      </c>
      <c r="T347" s="176">
        <f t="shared" si="133"/>
        <v>7</v>
      </c>
      <c r="U347" s="251">
        <f t="shared" si="134"/>
        <v>1.1990365816466637</v>
      </c>
      <c r="V347" s="383">
        <f t="shared" si="135"/>
        <v>15.555047915710619</v>
      </c>
      <c r="W347" s="402">
        <f t="shared" si="136"/>
        <v>12.746162059771848</v>
      </c>
      <c r="X347" s="157">
        <f t="shared" si="137"/>
        <v>45259</v>
      </c>
      <c r="Y347" s="385">
        <f t="shared" si="138"/>
        <v>11.382928581208322</v>
      </c>
      <c r="Z347" s="385">
        <f t="shared" si="139"/>
        <v>12.17930613192091</v>
      </c>
      <c r="AA347" s="386">
        <f t="shared" si="140"/>
        <v>14.246589712893455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0.1451072588341342</v>
      </c>
      <c r="AD347" s="231">
        <f>(INDEX(Models!$BJ347:$BT347,,AH347)*(1-AF347)+INDEX(Models!$BJ347:$BT347,,AH347+1)*AF347-ERP_i)*AE347*Ramure*Pc/MaxiM</f>
        <v>4.2982816230093528E-2</v>
      </c>
      <c r="AE347" s="305">
        <f t="shared" si="142"/>
        <v>0.8</v>
      </c>
      <c r="AF347" s="177">
        <f t="shared" si="143"/>
        <v>0.39975332881156733</v>
      </c>
      <c r="AG347" s="809">
        <f t="shared" si="149"/>
        <v>2</v>
      </c>
      <c r="AH347" s="176">
        <f t="shared" si="144"/>
        <v>8</v>
      </c>
      <c r="AI347" s="225">
        <f t="shared" si="145"/>
        <v>2.3997533288115673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1141">
        <f>IF(t&gt;Tmaj,'2022'!Wh/'2022'!Env_an*'2023'!Env_an,0.001*'[13]mon-tableau (3)'!$B$165)</f>
        <v>3.8178973378625058</v>
      </c>
      <c r="C348" s="839"/>
      <c r="D348" s="393">
        <f t="shared" si="127"/>
        <v>4.085103996128586</v>
      </c>
      <c r="E348" s="385">
        <f t="shared" si="125"/>
        <v>4.346346942937604</v>
      </c>
      <c r="F348" s="385">
        <f t="shared" si="128"/>
        <v>4.346346942937604</v>
      </c>
      <c r="G348" s="110">
        <f t="shared" si="126"/>
        <v>0.24261642608838815</v>
      </c>
      <c r="H348" s="414" t="b">
        <f>Wh_hp&gt;='2022'!Maxi_hp</f>
        <v>0</v>
      </c>
      <c r="I348" s="390">
        <f>IF(H348,Wh_hp,'2022'!Maxi_hp)</f>
        <v>16.943177507664462</v>
      </c>
      <c r="J348" s="85">
        <f>IF(H348,An,'2022'!An_max)</f>
        <v>2021</v>
      </c>
      <c r="K348" s="197">
        <f t="shared" si="129"/>
        <v>45260</v>
      </c>
      <c r="L348" s="147">
        <f>IF(t&lt;Tvie,1-EXP((T0-t)*PertePVj)+'2022'!Pspv,1-EXP((T0-t)*PertePVj)+Pspv)</f>
        <v>6.5410001439206861E-2</v>
      </c>
      <c r="M348" s="843"/>
      <c r="N348" s="843"/>
      <c r="O348" s="48">
        <f>IF(t&lt;Tnet,'2022'!Resal+('2022'!Salim-'2022'!Resal)*(1-EXP(('2022'!Tnet-t)/('2022'!Tau_j))),Resal+(Salim-Resal)*(1-EXP((Tnet-t)/(Tau_j))))*Salcycl</f>
        <v>6.0106326126015401E-2</v>
      </c>
      <c r="P348" s="169">
        <f>(INDEX(Models!$BJ348:$BT348,,T348)*(1-R348)+INDEX(Models!$BJ348:$BT348,,T348+1)*R348-ERP_i)*Q348*Ramure*Pc/MaxiM</f>
        <v>1.9089209121912965E-2</v>
      </c>
      <c r="Q348" s="305">
        <f t="shared" si="130"/>
        <v>0.8</v>
      </c>
      <c r="R348" s="177">
        <f t="shared" si="131"/>
        <v>0.19905715344491459</v>
      </c>
      <c r="S348" s="809">
        <f t="shared" si="132"/>
        <v>1</v>
      </c>
      <c r="T348" s="176">
        <f t="shared" si="133"/>
        <v>7</v>
      </c>
      <c r="U348" s="251">
        <f t="shared" si="134"/>
        <v>1.1990571534449146</v>
      </c>
      <c r="V348" s="383">
        <f t="shared" si="135"/>
        <v>15.435956903469091</v>
      </c>
      <c r="W348" s="402">
        <f t="shared" si="136"/>
        <v>3.8178973378625058</v>
      </c>
      <c r="X348" s="157">
        <f t="shared" si="137"/>
        <v>45260</v>
      </c>
      <c r="Y348" s="385">
        <f t="shared" si="138"/>
        <v>3.4726413445371134</v>
      </c>
      <c r="Z348" s="385">
        <f t="shared" si="139"/>
        <v>3.7156842571445785</v>
      </c>
      <c r="AA348" s="386">
        <f t="shared" si="140"/>
        <v>4.346346942937604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0.14510178181191724</v>
      </c>
      <c r="AD348" s="231">
        <f>(INDEX(Models!$BJ348:$BT348,,AH348)*(1-AF348)+INDEX(Models!$BJ348:$BT348,,AH348+1)*AF348-ERP_i)*AE348*Ramure*Pc/MaxiM</f>
        <v>4.2679413222905589E-2</v>
      </c>
      <c r="AE348" s="305">
        <f t="shared" si="142"/>
        <v>0.8</v>
      </c>
      <c r="AF348" s="177">
        <f t="shared" si="143"/>
        <v>0.39977390060981799</v>
      </c>
      <c r="AG348" s="809">
        <f t="shared" si="149"/>
        <v>2</v>
      </c>
      <c r="AH348" s="176">
        <f t="shared" si="144"/>
        <v>8</v>
      </c>
      <c r="AI348" s="225">
        <f t="shared" si="145"/>
        <v>2.399773900609818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1141">
        <f>IF(t&gt;Tmaj,'2022'!Wh/'2022'!Env_an*'2023'!Env_an,0.001*'[14]mon-tableau (2)'!$B$140)</f>
        <v>3.4186027423440746</v>
      </c>
      <c r="C349" s="839"/>
      <c r="D349" s="393">
        <f t="shared" si="127"/>
        <v>3.6579506548147718</v>
      </c>
      <c r="E349" s="385">
        <f t="shared" si="125"/>
        <v>3.8924831405321192</v>
      </c>
      <c r="F349" s="385">
        <f t="shared" si="128"/>
        <v>3.8924831405321192</v>
      </c>
      <c r="G349" s="110">
        <f t="shared" si="126"/>
        <v>0.21883344057886062</v>
      </c>
      <c r="H349" s="414" t="b">
        <f>Wh_hp&gt;='2022'!Maxi_hp</f>
        <v>0</v>
      </c>
      <c r="I349" s="390">
        <f>IF(H349,Wh_hp,'2022'!Maxi_hp)</f>
        <v>17.003353982063814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6.5432242000218382E-2</v>
      </c>
      <c r="M349" s="843"/>
      <c r="N349" s="843"/>
      <c r="O349" s="48">
        <f>IF(t&lt;Tnet,'2022'!Resal+('2022'!Salim-'2022'!Resal)*(1-EXP(('2022'!Tnet-t)/('2022'!Tau_j))),Resal+(Salim-Resal)*(1-EXP((Tnet-t)/(Tau_j))))*Salcycl</f>
        <v>6.0252665779121549E-2</v>
      </c>
      <c r="P349" s="169">
        <f>(INDEX(Models!$BJ349:$BT349,,T349)*(1-R349)+INDEX(Models!$BJ349:$BT349,,T349+1)*R349-ERP_i)*Q349*Ramure*Pc/MaxiM</f>
        <v>1.9091627241861323E-2</v>
      </c>
      <c r="Q349" s="305">
        <f t="shared" si="130"/>
        <v>0.8</v>
      </c>
      <c r="R349" s="177">
        <f t="shared" si="131"/>
        <v>0.19907689828832531</v>
      </c>
      <c r="S349" s="809">
        <f t="shared" si="132"/>
        <v>1</v>
      </c>
      <c r="T349" s="176">
        <f t="shared" si="133"/>
        <v>7</v>
      </c>
      <c r="U349" s="251">
        <f t="shared" si="134"/>
        <v>1.1990768982883253</v>
      </c>
      <c r="V349" s="383">
        <f t="shared" si="135"/>
        <v>15.323691133443569</v>
      </c>
      <c r="W349" s="402">
        <f t="shared" si="136"/>
        <v>3.4186027423440746</v>
      </c>
      <c r="X349" s="157">
        <f t="shared" si="137"/>
        <v>45261</v>
      </c>
      <c r="Y349" s="385">
        <f t="shared" si="138"/>
        <v>3.1099503788943283</v>
      </c>
      <c r="Z349" s="385">
        <f t="shared" si="139"/>
        <v>3.3276884979965837</v>
      </c>
      <c r="AA349" s="386">
        <f t="shared" si="140"/>
        <v>3.8924831405321192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0.1450988025238629</v>
      </c>
      <c r="AD349" s="231">
        <f>(INDEX(Models!$BJ349:$BT349,,AH349)*(1-AF349)+INDEX(Models!$BJ349:$BT349,,AH349+1)*AF349-ERP_i)*AE349*Ramure*Pc/MaxiM</f>
        <v>4.2351266573921097E-2</v>
      </c>
      <c r="AE349" s="305">
        <f t="shared" si="142"/>
        <v>0.8</v>
      </c>
      <c r="AF349" s="177">
        <f t="shared" si="143"/>
        <v>0.39979364545322849</v>
      </c>
      <c r="AG349" s="809">
        <f t="shared" si="149"/>
        <v>2</v>
      </c>
      <c r="AH349" s="176">
        <f t="shared" si="144"/>
        <v>8</v>
      </c>
      <c r="AI349" s="225">
        <f t="shared" si="145"/>
        <v>2.3997936454532285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1141">
        <f>IF(t&gt;Tmaj,'2022'!Wh/'2022'!Env_an*'2023'!Env_an,0.001*'[14]mon-tableau (2)'!$B$141)</f>
        <v>5.7078458644329411</v>
      </c>
      <c r="C350" s="839"/>
      <c r="D350" s="393">
        <f t="shared" si="127"/>
        <v>6.1076167556983529</v>
      </c>
      <c r="E350" s="385">
        <f t="shared" si="125"/>
        <v>6.5002287714314342</v>
      </c>
      <c r="F350" s="385">
        <f t="shared" si="128"/>
        <v>6.5135448099220579</v>
      </c>
      <c r="G350" s="110">
        <f t="shared" si="126"/>
        <v>0.36865652999630821</v>
      </c>
      <c r="H350" s="414" t="b">
        <f>Wh_hp&gt;='2022'!Maxi_hp</f>
        <v>0</v>
      </c>
      <c r="I350" s="390">
        <f>IF(H350,Wh_hp,'2022'!Maxi_hp)</f>
        <v>9.0516021673760747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6.5454482043659584E-2</v>
      </c>
      <c r="M350" s="843"/>
      <c r="N350" s="843"/>
      <c r="O350" s="48">
        <f>IF(t&lt;Tnet,'2022'!Resal+('2022'!Salim-'2022'!Resal)*(1-EXP(('2022'!Tnet-t)/('2022'!Tau_j))),Resal+(Salim-Resal)*(1-EXP((Tnet-t)/(Tau_j))))*Salcycl</f>
        <v>6.0399722769545423E-2</v>
      </c>
      <c r="P350" s="169">
        <f>(INDEX(Models!$BJ350:$BT350,,T350)*(1-R350)+INDEX(Models!$BJ350:$BT350,,T350+1)*R350-ERP_i)*Q350*Ramure*Pc/MaxiM</f>
        <v>1.9066974547420932E-2</v>
      </c>
      <c r="Q350" s="305">
        <f t="shared" si="130"/>
        <v>0.8</v>
      </c>
      <c r="R350" s="177">
        <f t="shared" si="131"/>
        <v>0.19909584936803149</v>
      </c>
      <c r="S350" s="809">
        <f t="shared" si="132"/>
        <v>1</v>
      </c>
      <c r="T350" s="176">
        <f t="shared" si="133"/>
        <v>7</v>
      </c>
      <c r="U350" s="251">
        <f t="shared" si="134"/>
        <v>1.1990958493680315</v>
      </c>
      <c r="V350" s="383">
        <f t="shared" si="135"/>
        <v>15.218730479037982</v>
      </c>
      <c r="W350" s="402">
        <f t="shared" si="136"/>
        <v>5.7078458644329411</v>
      </c>
      <c r="X350" s="157">
        <f t="shared" si="137"/>
        <v>45262</v>
      </c>
      <c r="Y350" s="385">
        <f t="shared" si="138"/>
        <v>5.1805282065995062</v>
      </c>
      <c r="Z350" s="385">
        <f t="shared" si="139"/>
        <v>5.543366381905356</v>
      </c>
      <c r="AA350" s="386">
        <f t="shared" si="140"/>
        <v>6.4842149351014884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0.1450982983464916</v>
      </c>
      <c r="AD350" s="231">
        <f>(INDEX(Models!$BJ350:$BT350,,AH350)*(1-AF350)+INDEX(Models!$BJ350:$BT350,,AH350+1)*AF350-ERP_i)*AE350*Ramure*Pc/MaxiM</f>
        <v>4.199687294960823E-2</v>
      </c>
      <c r="AE350" s="305">
        <f t="shared" si="142"/>
        <v>0.8</v>
      </c>
      <c r="AF350" s="177">
        <f t="shared" si="143"/>
        <v>0.39981259653293488</v>
      </c>
      <c r="AG350" s="809">
        <f t="shared" si="149"/>
        <v>2</v>
      </c>
      <c r="AH350" s="176">
        <f t="shared" si="144"/>
        <v>8</v>
      </c>
      <c r="AI350" s="225">
        <f t="shared" si="145"/>
        <v>2.3998125965329349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1141">
        <f>IF(t&gt;Tmaj,'2022'!Wh/'2022'!Env_an*'2023'!Env_an,0.001*'[14]mon-tableau (2)'!$B$142)</f>
        <v>6.4103392427051649</v>
      </c>
      <c r="C351" s="839"/>
      <c r="D351" s="393">
        <f t="shared" si="127"/>
        <v>6.8594751898223469</v>
      </c>
      <c r="E351" s="385">
        <f t="shared" si="125"/>
        <v>7.3015667489667653</v>
      </c>
      <c r="F351" s="385">
        <f t="shared" si="128"/>
        <v>7.3262275998562574</v>
      </c>
      <c r="G351" s="110">
        <f t="shared" si="126"/>
        <v>0.4172646039402193</v>
      </c>
      <c r="H351" s="414" t="b">
        <f>Wh_hp&gt;='2022'!Maxi_hp</f>
        <v>0</v>
      </c>
      <c r="I351" s="390">
        <f>IF(H351,Wh_hp,'2022'!Maxi_hp)</f>
        <v>12.664538267846305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6.5476721569542456E-2</v>
      </c>
      <c r="M351" s="843"/>
      <c r="N351" s="843"/>
      <c r="O351" s="48">
        <f>IF(t&lt;Tnet,'2022'!Resal+('2022'!Salim-'2022'!Resal)*(1-EXP(('2022'!Tnet-t)/('2022'!Tau_j))),Resal+(Salim-Resal)*(1-EXP((Tnet-t)/(Tau_j))))*Salcycl</f>
        <v>6.0547492660664601E-2</v>
      </c>
      <c r="P351" s="169">
        <f>(INDEX(Models!$BJ351:$BT351,,T351)*(1-R351)+INDEX(Models!$BJ351:$BT351,,T351+1)*R351-ERP_i)*Q351*Ramure*Pc/MaxiM</f>
        <v>1.9014375469163403E-2</v>
      </c>
      <c r="Q351" s="305">
        <f t="shared" si="130"/>
        <v>0.8</v>
      </c>
      <c r="R351" s="177">
        <f t="shared" si="131"/>
        <v>0.19911403854702669</v>
      </c>
      <c r="S351" s="809">
        <f t="shared" si="132"/>
        <v>1</v>
      </c>
      <c r="T351" s="176">
        <f t="shared" si="133"/>
        <v>7</v>
      </c>
      <c r="U351" s="251">
        <f t="shared" si="134"/>
        <v>1.1991140385470267</v>
      </c>
      <c r="V351" s="383">
        <f t="shared" si="135"/>
        <v>15.121555156133887</v>
      </c>
      <c r="W351" s="402">
        <f t="shared" si="136"/>
        <v>6.4103392427051649</v>
      </c>
      <c r="X351" s="157">
        <f t="shared" si="137"/>
        <v>45263</v>
      </c>
      <c r="Y351" s="385">
        <f t="shared" si="138"/>
        <v>5.8099770787355842</v>
      </c>
      <c r="Z351" s="385">
        <f t="shared" si="139"/>
        <v>6.2170490696534673</v>
      </c>
      <c r="AA351" s="386">
        <f t="shared" si="140"/>
        <v>7.2722550064589795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0.14510023862863899</v>
      </c>
      <c r="AD351" s="231">
        <f>(INDEX(Models!$BJ351:$BT351,,AH351)*(1-AF351)+INDEX(Models!$BJ351:$BT351,,AH351+1)*AF351-ERP_i)*AE351*Ramure*Pc/MaxiM</f>
        <v>4.1614750460115799E-2</v>
      </c>
      <c r="AE351" s="305">
        <f t="shared" si="142"/>
        <v>0.8</v>
      </c>
      <c r="AF351" s="177">
        <f t="shared" si="143"/>
        <v>0.39983078571192987</v>
      </c>
      <c r="AG351" s="809">
        <f t="shared" si="149"/>
        <v>2</v>
      </c>
      <c r="AH351" s="176">
        <f t="shared" si="144"/>
        <v>8</v>
      </c>
      <c r="AI351" s="225">
        <f t="shared" si="145"/>
        <v>2.3998307857119299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1141">
        <f>IF(t&gt;Tmaj,'2022'!Wh/'2022'!Env_an*'2023'!Env_an,0.001*'[14]mon-tableau (2)'!$B$143)</f>
        <v>12.499854754930201</v>
      </c>
      <c r="C352" s="839"/>
      <c r="D352" s="393">
        <f t="shared" si="127"/>
        <v>13.375966668437194</v>
      </c>
      <c r="E352" s="385">
        <f t="shared" si="125"/>
        <v>14.240295163098157</v>
      </c>
      <c r="F352" s="385">
        <f t="shared" si="128"/>
        <v>14.448052613037406</v>
      </c>
      <c r="G352" s="110">
        <f t="shared" si="126"/>
        <v>0.82767253942215235</v>
      </c>
      <c r="H352" s="414" t="b">
        <f>Wh_hp&gt;='2022'!Maxi_hp</f>
        <v>0</v>
      </c>
      <c r="I352" s="390">
        <f>IF(H352,Wh_hp,'2022'!Maxi_hp)</f>
        <v>14.483247185091793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6.5498960577879101E-2</v>
      </c>
      <c r="M352" s="843"/>
      <c r="N352" s="843"/>
      <c r="O352" s="48">
        <f>IF(t&lt;Tnet,'2022'!Resal+('2022'!Salim-'2022'!Resal)*(1-EXP(('2022'!Tnet-t)/('2022'!Tau_j))),Resal+(Salim-Resal)*(1-EXP((Tnet-t)/(Tau_j))))*Salcycl</f>
        <v>6.0695967658083119E-2</v>
      </c>
      <c r="P352" s="169">
        <f>(INDEX(Models!$BJ352:$BT352,,T352)*(1-R352)+INDEX(Models!$BJ352:$BT352,,T352+1)*R352-ERP_i)*Q352*Ramure*Pc/MaxiM</f>
        <v>1.89377064387765E-2</v>
      </c>
      <c r="Q352" s="305">
        <f t="shared" si="130"/>
        <v>0.8</v>
      </c>
      <c r="R352" s="177">
        <f t="shared" si="131"/>
        <v>0.19913149641298844</v>
      </c>
      <c r="S352" s="809">
        <f t="shared" si="132"/>
        <v>1</v>
      </c>
      <c r="T352" s="176">
        <f t="shared" si="133"/>
        <v>7</v>
      </c>
      <c r="U352" s="251">
        <f t="shared" si="134"/>
        <v>1.1991314964129884</v>
      </c>
      <c r="V352" s="383">
        <f t="shared" si="135"/>
        <v>15.032573218105012</v>
      </c>
      <c r="W352" s="402">
        <f t="shared" si="136"/>
        <v>12.499854754930201</v>
      </c>
      <c r="X352" s="157">
        <f t="shared" si="137"/>
        <v>45264</v>
      </c>
      <c r="Y352" s="385">
        <f t="shared" si="138"/>
        <v>11.181302803375706</v>
      </c>
      <c r="Z352" s="385">
        <f t="shared" si="139"/>
        <v>11.964997717166829</v>
      </c>
      <c r="AA352" s="386">
        <f t="shared" si="140"/>
        <v>13.995861374622482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0.14510458506955826</v>
      </c>
      <c r="AD352" s="231">
        <f>(INDEX(Models!$BJ352:$BT352,,AH352)*(1-AF352)+INDEX(Models!$BJ352:$BT352,,AH352+1)*AF352-ERP_i)*AE352*Ramure*Pc/MaxiM</f>
        <v>4.1218569682062861E-2</v>
      </c>
      <c r="AE352" s="305">
        <f t="shared" si="142"/>
        <v>0.8</v>
      </c>
      <c r="AF352" s="177">
        <f t="shared" si="143"/>
        <v>0.39984824357789206</v>
      </c>
      <c r="AG352" s="809">
        <f t="shared" si="149"/>
        <v>2</v>
      </c>
      <c r="AH352" s="176">
        <f t="shared" si="144"/>
        <v>8</v>
      </c>
      <c r="AI352" s="225">
        <f t="shared" si="145"/>
        <v>2.3998482435778921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1141">
        <f>IF(t&gt;Tmaj,'2022'!Wh/'2022'!Env_an*'2023'!Env_an,0.001*'[14]mon-tableau (2)'!$B$144)</f>
        <v>15.639072086861987</v>
      </c>
      <c r="C353" s="839"/>
      <c r="D353" s="393">
        <f t="shared" si="127"/>
        <v>16.735609273614131</v>
      </c>
      <c r="E353" s="385">
        <f t="shared" si="125"/>
        <v>17.819861162892057</v>
      </c>
      <c r="F353" s="385">
        <f t="shared" si="128"/>
        <v>18.162323905204577</v>
      </c>
      <c r="G353" s="110">
        <f t="shared" si="126"/>
        <v>1.0459540036296506</v>
      </c>
      <c r="H353" s="414" t="b">
        <f>Wh_hp&gt;='2022'!Maxi_hp</f>
        <v>1</v>
      </c>
      <c r="I353" s="390">
        <f>IF(H353,Wh_hp,'2022'!Maxi_hp)</f>
        <v>18.162323905204577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6.5521199068681507E-2</v>
      </c>
      <c r="M353" s="843"/>
      <c r="N353" s="843"/>
      <c r="O353" s="48">
        <f>IF(t&lt;Tnet,'2022'!Resal+('2022'!Salim-'2022'!Resal)*(1-EXP(('2022'!Tnet-t)/('2022'!Tau_j))),Resal+(Salim-Resal)*(1-EXP((Tnet-t)/(Tau_j))))*Salcycl</f>
        <v>6.0845136747516453E-2</v>
      </c>
      <c r="P353" s="169">
        <f>(INDEX(Models!$BJ353:$BT353,,T353)*(1-R353)+INDEX(Models!$BJ353:$BT353,,T353+1)*R353-ERP_i)*Q353*Ramure*Pc/MaxiM</f>
        <v>1.8855667595179443E-2</v>
      </c>
      <c r="Q353" s="305">
        <f t="shared" si="130"/>
        <v>0.8</v>
      </c>
      <c r="R353" s="177">
        <f t="shared" si="131"/>
        <v>0.19914825232903133</v>
      </c>
      <c r="S353" s="809">
        <f t="shared" si="132"/>
        <v>1</v>
      </c>
      <c r="T353" s="176">
        <f t="shared" si="133"/>
        <v>7</v>
      </c>
      <c r="U353" s="251">
        <f t="shared" si="134"/>
        <v>1.1991482523290313</v>
      </c>
      <c r="V353" s="383">
        <f t="shared" si="135"/>
        <v>14.951969238218476</v>
      </c>
      <c r="W353" s="402">
        <f t="shared" si="136"/>
        <v>15.639072086861987</v>
      </c>
      <c r="X353" s="157">
        <f t="shared" si="137"/>
        <v>45265</v>
      </c>
      <c r="Y353" s="385">
        <f t="shared" si="138"/>
        <v>13.917051747409305</v>
      </c>
      <c r="Z353" s="385">
        <f t="shared" si="139"/>
        <v>14.892849076447019</v>
      </c>
      <c r="AA353" s="386">
        <f t="shared" si="140"/>
        <v>17.420804532195298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0.14511129213787896</v>
      </c>
      <c r="AD353" s="231">
        <f>(INDEX(Models!$BJ353:$BT353,,AH353)*(1-AF353)+INDEX(Models!$BJ353:$BT353,,AH353+1)*AF353-ERP_i)*AE353*Ramure*Pc/MaxiM</f>
        <v>4.0827339985759672E-2</v>
      </c>
      <c r="AE353" s="305">
        <f t="shared" si="142"/>
        <v>0.8</v>
      </c>
      <c r="AF353" s="177">
        <f t="shared" si="143"/>
        <v>0.39986499949393473</v>
      </c>
      <c r="AG353" s="809">
        <f t="shared" si="149"/>
        <v>2</v>
      </c>
      <c r="AH353" s="176">
        <f t="shared" si="144"/>
        <v>8</v>
      </c>
      <c r="AI353" s="225">
        <f t="shared" si="145"/>
        <v>2.3998649994939347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1141">
        <f>IF(t&gt;Tmaj,'2022'!Wh/'2022'!Env_an*'2023'!Env_an,0.001*'[14]mon-tableau (2)'!$B$145)</f>
        <v>8.7147014648469412</v>
      </c>
      <c r="C354" s="839"/>
      <c r="D354" s="393">
        <f t="shared" si="127"/>
        <v>9.3259567221192228</v>
      </c>
      <c r="E354" s="385">
        <f t="shared" si="125"/>
        <v>9.9317432618526063</v>
      </c>
      <c r="F354" s="385">
        <f t="shared" si="128"/>
        <v>10.008394391798495</v>
      </c>
      <c r="G354" s="110">
        <f t="shared" si="126"/>
        <v>0.57910022714140807</v>
      </c>
      <c r="H354" s="414" t="b">
        <f>Wh_hp&gt;='2022'!Maxi_hp</f>
        <v>0</v>
      </c>
      <c r="I354" s="390">
        <f>IF(H354,Wh_hp,'2022'!Maxi_hp)</f>
        <v>13.343805020579753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6.5543437041961777E-2</v>
      </c>
      <c r="M354" s="843"/>
      <c r="N354" s="843"/>
      <c r="O354" s="48">
        <f>IF(t&lt;Tnet,'2022'!Resal+('2022'!Salim-'2022'!Resal)*(1-EXP(('2022'!Tnet-t)/('2022'!Tau_j))),Resal+(Salim-Resal)*(1-EXP((Tnet-t)/(Tau_j))))*Salcycl</f>
        <v>6.0994985851092497E-2</v>
      </c>
      <c r="P354" s="169">
        <f>(INDEX(Models!$BJ354:$BT354,,T354)*(1-R354)+INDEX(Models!$BJ354:$BT354,,T354+1)*R354-ERP_i)*Q354*Ramure*Pc/MaxiM</f>
        <v>1.8767575926500479E-2</v>
      </c>
      <c r="Q354" s="305">
        <f t="shared" si="130"/>
        <v>0.8</v>
      </c>
      <c r="R354" s="177">
        <f t="shared" si="131"/>
        <v>0.19916433448245874</v>
      </c>
      <c r="S354" s="809">
        <f t="shared" si="132"/>
        <v>1</v>
      </c>
      <c r="T354" s="176">
        <f t="shared" si="133"/>
        <v>7</v>
      </c>
      <c r="U354" s="251">
        <f t="shared" si="134"/>
        <v>1.1991643344824587</v>
      </c>
      <c r="V354" s="383">
        <f t="shared" si="135"/>
        <v>14.880228360326633</v>
      </c>
      <c r="W354" s="402">
        <f t="shared" si="136"/>
        <v>8.7147014648469412</v>
      </c>
      <c r="X354" s="157">
        <f t="shared" si="137"/>
        <v>45266</v>
      </c>
      <c r="Y354" s="385">
        <f t="shared" si="138"/>
        <v>7.8632428459887871</v>
      </c>
      <c r="Z354" s="385">
        <f t="shared" si="139"/>
        <v>8.4147762000809934</v>
      </c>
      <c r="AA354" s="386">
        <f t="shared" si="140"/>
        <v>9.8432285550573528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0.14512030752780139</v>
      </c>
      <c r="AD354" s="231">
        <f>(INDEX(Models!$BJ354:$BT354,,AH354)*(1-AF354)+INDEX(Models!$BJ354:$BT354,,AH354+1)*AF354-ERP_i)*AE354*Ramure*Pc/MaxiM</f>
        <v>4.043987849483241E-2</v>
      </c>
      <c r="AE354" s="305">
        <f t="shared" si="142"/>
        <v>0.8</v>
      </c>
      <c r="AF354" s="177">
        <f t="shared" si="143"/>
        <v>0.39988108164736236</v>
      </c>
      <c r="AG354" s="809">
        <f t="shared" si="149"/>
        <v>2</v>
      </c>
      <c r="AH354" s="176">
        <f t="shared" si="144"/>
        <v>8</v>
      </c>
      <c r="AI354" s="225">
        <f t="shared" si="145"/>
        <v>2.3998810816473624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1141">
        <f>IF(t&gt;Tmaj,'2022'!Wh/'2022'!Env_an*'2023'!Env_an,0.001*'[14]mon-tableau (2)'!$B$146)</f>
        <v>13.910574288473173</v>
      </c>
      <c r="C355" s="839"/>
      <c r="D355" s="393">
        <f t="shared" si="127"/>
        <v>14.886625960573628</v>
      </c>
      <c r="E355" s="385">
        <f t="shared" si="125"/>
        <v>15.856158679403459</v>
      </c>
      <c r="F355" s="385">
        <f t="shared" si="128"/>
        <v>16.131023063954746</v>
      </c>
      <c r="G355" s="110">
        <f t="shared" si="126"/>
        <v>0.93721250473117323</v>
      </c>
      <c r="H355" s="414" t="b">
        <f>Wh_hp&gt;='2022'!Maxi_hp</f>
        <v>0</v>
      </c>
      <c r="I355" s="390">
        <f>IF(H355,Wh_hp,'2022'!Maxi_hp)</f>
        <v>16.145056868445899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6.5565674497731902E-2</v>
      </c>
      <c r="M355" s="843"/>
      <c r="N355" s="843"/>
      <c r="O355" s="48">
        <f>IF(t&lt;Tnet,'2022'!Resal+('2022'!Salim-'2022'!Resal)*(1-EXP(('2022'!Tnet-t)/('2022'!Tau_j))),Resal+(Salim-Resal)*(1-EXP((Tnet-t)/(Tau_j))))*Salcycl</f>
        <v>6.1145498000673773E-2</v>
      </c>
      <c r="P355" s="169">
        <f>(INDEX(Models!$BJ355:$BT355,,T355)*(1-R355)+INDEX(Models!$BJ355:$BT355,,T355+1)*R355-ERP_i)*Q355*Ramure*Pc/MaxiM</f>
        <v>1.8672758789313543E-2</v>
      </c>
      <c r="Q355" s="305">
        <f t="shared" si="130"/>
        <v>0.8</v>
      </c>
      <c r="R355" s="177">
        <f t="shared" si="131"/>
        <v>0.19917976993160091</v>
      </c>
      <c r="S355" s="809">
        <f t="shared" si="132"/>
        <v>1</v>
      </c>
      <c r="T355" s="176">
        <f t="shared" si="133"/>
        <v>7</v>
      </c>
      <c r="U355" s="251">
        <f t="shared" si="134"/>
        <v>1.1991797699316009</v>
      </c>
      <c r="V355" s="383">
        <f t="shared" si="135"/>
        <v>14.81783549567192</v>
      </c>
      <c r="W355" s="402">
        <f t="shared" si="136"/>
        <v>13.910574288473173</v>
      </c>
      <c r="X355" s="157">
        <f t="shared" si="137"/>
        <v>45267</v>
      </c>
      <c r="Y355" s="385">
        <f t="shared" si="138"/>
        <v>12.414764462500317</v>
      </c>
      <c r="Z355" s="385">
        <f t="shared" si="139"/>
        <v>13.285860893249241</v>
      </c>
      <c r="AA355" s="386">
        <f t="shared" si="140"/>
        <v>15.541410196201582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0.14513157264863968</v>
      </c>
      <c r="AD355" s="231">
        <f>(INDEX(Models!$BJ355:$BT355,,AH355)*(1-AF355)+INDEX(Models!$BJ355:$BT355,,AH355+1)*AF355-ERP_i)*AE355*Ramure*Pc/MaxiM</f>
        <v>4.0055021594024805E-2</v>
      </c>
      <c r="AE355" s="305">
        <f t="shared" si="142"/>
        <v>0.8</v>
      </c>
      <c r="AF355" s="177">
        <f t="shared" si="143"/>
        <v>0.39989651709650431</v>
      </c>
      <c r="AG355" s="809">
        <f t="shared" si="149"/>
        <v>2</v>
      </c>
      <c r="AH355" s="176">
        <f t="shared" si="144"/>
        <v>8</v>
      </c>
      <c r="AI355" s="225">
        <f t="shared" si="145"/>
        <v>2.3998965170965043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1141">
        <f>IF(t&gt;Tmaj,'2022'!Wh/'2022'!Env_an*'2023'!Env_an,0.001*'[14]mon-tableau (2)'!$B$147)</f>
        <v>4.087028656936071</v>
      </c>
      <c r="C356" s="839"/>
      <c r="D356" s="393">
        <f t="shared" si="127"/>
        <v>4.3739038770538743</v>
      </c>
      <c r="E356" s="385">
        <f t="shared" si="125"/>
        <v>4.6595166550609237</v>
      </c>
      <c r="F356" s="385">
        <f t="shared" si="128"/>
        <v>4.6595166550609237</v>
      </c>
      <c r="G356" s="110">
        <f t="shared" si="126"/>
        <v>0.27165969862903266</v>
      </c>
      <c r="H356" s="414" t="b">
        <f>Wh_hp&gt;='2022'!Maxi_hp</f>
        <v>0</v>
      </c>
      <c r="I356" s="390">
        <f>IF(H356,Wh_hp,'2022'!Maxi_hp)</f>
        <v>13.163873636421526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6.5587911436003871E-2</v>
      </c>
      <c r="M356" s="843"/>
      <c r="N356" s="843"/>
      <c r="O356" s="48">
        <f>IF(t&lt;Tnet,'2022'!Resal+('2022'!Salim-'2022'!Resal)*(1-EXP(('2022'!Tnet-t)/('2022'!Tau_j))),Resal+(Salim-Resal)*(1-EXP((Tnet-t)/(Tau_j))))*Salcycl</f>
        <v>6.1296653526676799E-2</v>
      </c>
      <c r="P356" s="169">
        <f>(INDEX(Models!$BJ356:$BT356,,T356)*(1-R356)+INDEX(Models!$BJ356:$BT356,,T356+1)*R356-ERP_i)*Q356*Ramure*Pc/MaxiM</f>
        <v>1.8570561561849799E-2</v>
      </c>
      <c r="Q356" s="305">
        <f t="shared" si="130"/>
        <v>0.8</v>
      </c>
      <c r="R356" s="177">
        <f t="shared" si="131"/>
        <v>0.19919458465080186</v>
      </c>
      <c r="S356" s="809">
        <f t="shared" si="132"/>
        <v>1</v>
      </c>
      <c r="T356" s="176">
        <f t="shared" si="133"/>
        <v>7</v>
      </c>
      <c r="U356" s="251">
        <f t="shared" si="134"/>
        <v>1.1991945846508019</v>
      </c>
      <c r="V356" s="383">
        <f t="shared" si="135"/>
        <v>14.765275305465277</v>
      </c>
      <c r="W356" s="402">
        <f t="shared" si="136"/>
        <v>4.087028656936071</v>
      </c>
      <c r="X356" s="157">
        <f t="shared" si="137"/>
        <v>45268</v>
      </c>
      <c r="Y356" s="385">
        <f t="shared" si="138"/>
        <v>3.7219605118727563</v>
      </c>
      <c r="Z356" s="385">
        <f t="shared" si="139"/>
        <v>3.9832110023241061</v>
      </c>
      <c r="AA356" s="386">
        <f t="shared" si="140"/>
        <v>4.6595166550609237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0.14514502314360225</v>
      </c>
      <c r="AD356" s="231">
        <f>(INDEX(Models!$BJ356:$BT356,,AH356)*(1-AF356)+INDEX(Models!$BJ356:$BT356,,AH356+1)*AF356-ERP_i)*AE356*Ramure*Pc/MaxiM</f>
        <v>3.967163409692824E-2</v>
      </c>
      <c r="AE356" s="305">
        <f t="shared" si="142"/>
        <v>0.8</v>
      </c>
      <c r="AF356" s="177">
        <f t="shared" si="143"/>
        <v>0.39991133181570504</v>
      </c>
      <c r="AG356" s="809">
        <f t="shared" si="149"/>
        <v>2</v>
      </c>
      <c r="AH356" s="176">
        <f t="shared" si="144"/>
        <v>8</v>
      </c>
      <c r="AI356" s="225">
        <f t="shared" si="145"/>
        <v>2.399911331815705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1141">
        <f>IF(t&gt;Tmaj,'2022'!Wh/'2022'!Env_an*'2023'!Env_an,0.001*'[14]mon-tableau (2)'!$B$148)</f>
        <v>4.8346341285966918</v>
      </c>
      <c r="C357" s="839"/>
      <c r="D357" s="393">
        <f t="shared" si="127"/>
        <v>5.1741081278948942</v>
      </c>
      <c r="E357" s="385">
        <f t="shared" si="125"/>
        <v>5.5128650302426774</v>
      </c>
      <c r="F357" s="385">
        <f t="shared" si="128"/>
        <v>5.5169930058479064</v>
      </c>
      <c r="G357" s="110">
        <f t="shared" si="126"/>
        <v>0.32255165248776674</v>
      </c>
      <c r="H357" s="414" t="b">
        <f>Wh_hp&gt;='2022'!Maxi_hp</f>
        <v>0</v>
      </c>
      <c r="I357" s="390">
        <f>IF(H357,Wh_hp,'2022'!Maxi_hp)</f>
        <v>9.5730272396475531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6.5610147856789897E-2</v>
      </c>
      <c r="M357" s="843"/>
      <c r="N357" s="843"/>
      <c r="O357" s="48">
        <f>IF(t&lt;Tnet,'2022'!Resal+('2022'!Salim-'2022'!Resal)*(1-EXP(('2022'!Tnet-t)/('2022'!Tau_j))),Resal+(Salim-Resal)*(1-EXP((Tnet-t)/(Tau_j))))*Salcycl</f>
        <v>6.1448430260748019E-2</v>
      </c>
      <c r="P357" s="169">
        <f>(INDEX(Models!$BJ357:$BT357,,T357)*(1-R357)+INDEX(Models!$BJ357:$BT357,,T357+1)*R357-ERP_i)*Q357*Ramure*Pc/MaxiM</f>
        <v>1.8460355765466906E-2</v>
      </c>
      <c r="Q357" s="305">
        <f t="shared" si="130"/>
        <v>0.8</v>
      </c>
      <c r="R357" s="177">
        <f t="shared" si="131"/>
        <v>0.19920880357363391</v>
      </c>
      <c r="S357" s="809">
        <f t="shared" si="132"/>
        <v>1</v>
      </c>
      <c r="T357" s="176">
        <f t="shared" si="133"/>
        <v>7</v>
      </c>
      <c r="U357" s="251">
        <f t="shared" si="134"/>
        <v>1.1992088035736339</v>
      </c>
      <c r="V357" s="383">
        <f t="shared" si="135"/>
        <v>14.723032173612429</v>
      </c>
      <c r="W357" s="402">
        <f t="shared" si="136"/>
        <v>4.8346341285966918</v>
      </c>
      <c r="X357" s="157">
        <f t="shared" si="137"/>
        <v>45269</v>
      </c>
      <c r="Y357" s="385">
        <f t="shared" si="138"/>
        <v>4.3996988026405353</v>
      </c>
      <c r="Z357" s="385">
        <f t="shared" si="139"/>
        <v>4.7086329036525232</v>
      </c>
      <c r="AA357" s="386">
        <f t="shared" si="140"/>
        <v>5.5082075597475564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0.1451605894335031</v>
      </c>
      <c r="AD357" s="231">
        <f>(INDEX(Models!$BJ357:$BT357,,AH357)*(1-AF357)+INDEX(Models!$BJ357:$BT357,,AH357+1)*AF357-ERP_i)*AE357*Ramure*Pc/MaxiM</f>
        <v>3.9288618945655884E-2</v>
      </c>
      <c r="AE357" s="305">
        <f t="shared" si="142"/>
        <v>0.8</v>
      </c>
      <c r="AF357" s="177">
        <f t="shared" si="143"/>
        <v>0.39992555073853753</v>
      </c>
      <c r="AG357" s="809">
        <f t="shared" si="149"/>
        <v>2</v>
      </c>
      <c r="AH357" s="176">
        <f t="shared" si="144"/>
        <v>8</v>
      </c>
      <c r="AI357" s="225">
        <f t="shared" si="145"/>
        <v>2.3999255507385375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1141">
        <f>IF(t&gt;Tmaj,'2022'!Wh/'2022'!Env_an*'2023'!Env_an,0.001*'[14]mon-tableau (2)'!$B$149)</f>
        <v>9.8545296601132364</v>
      </c>
      <c r="C358" s="839"/>
      <c r="D358" s="393">
        <f t="shared" si="127"/>
        <v>10.546737160872551</v>
      </c>
      <c r="E358" s="385">
        <f t="shared" si="125"/>
        <v>11.239073097062876</v>
      </c>
      <c r="F358" s="385">
        <f t="shared" si="128"/>
        <v>11.349328752590777</v>
      </c>
      <c r="G358" s="110">
        <f t="shared" si="126"/>
        <v>0.66491661698701721</v>
      </c>
      <c r="H358" s="414" t="b">
        <f>Wh_hp&gt;='2022'!Maxi_hp</f>
        <v>0</v>
      </c>
      <c r="I358" s="390">
        <f>IF(H358,Wh_hp,'2022'!Maxi_hp)</f>
        <v>15.549770066457318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6.5632383760101859E-2</v>
      </c>
      <c r="M358" s="843"/>
      <c r="N358" s="843"/>
      <c r="O358" s="48">
        <f>IF(t&lt;Tnet,'2022'!Resal+('2022'!Salim-'2022'!Resal)*(1-EXP(('2022'!Tnet-t)/('2022'!Tau_j))),Resal+(Salim-Resal)*(1-EXP((Tnet-t)/(Tau_j))))*Salcycl</f>
        <v>6.1600803750556057E-2</v>
      </c>
      <c r="P358" s="169">
        <f>(INDEX(Models!$BJ358:$BT358,,T358)*(1-R358)+INDEX(Models!$BJ358:$BT358,,T358+1)*R358-ERP_i)*Q358*Ramure*Pc/MaxiM</f>
        <v>1.8341547510960367E-2</v>
      </c>
      <c r="Q358" s="305">
        <f t="shared" si="130"/>
        <v>0.8</v>
      </c>
      <c r="R358" s="177">
        <f t="shared" si="131"/>
        <v>0.19922245063440736</v>
      </c>
      <c r="S358" s="809">
        <f t="shared" si="132"/>
        <v>1</v>
      </c>
      <c r="T358" s="176">
        <f t="shared" si="133"/>
        <v>7</v>
      </c>
      <c r="U358" s="251">
        <f t="shared" si="134"/>
        <v>1.1992224506344074</v>
      </c>
      <c r="V358" s="383">
        <f t="shared" si="135"/>
        <v>14.691590180215654</v>
      </c>
      <c r="W358" s="402">
        <f t="shared" si="136"/>
        <v>9.8545296601132364</v>
      </c>
      <c r="X358" s="157">
        <f t="shared" si="137"/>
        <v>45270</v>
      </c>
      <c r="Y358" s="385">
        <f t="shared" si="138"/>
        <v>8.8781170270615828</v>
      </c>
      <c r="Z358" s="385">
        <f t="shared" si="139"/>
        <v>9.5017387939760667</v>
      </c>
      <c r="AA358" s="386">
        <f t="shared" si="140"/>
        <v>11.115461449102673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0.14517819728094855</v>
      </c>
      <c r="AD358" s="231">
        <f>(INDEX(Models!$BJ358:$BT358,,AH358)*(1-AF358)+INDEX(Models!$BJ358:$BT358,,AH358+1)*AF358-ERP_i)*AE358*Ramure*Pc/MaxiM</f>
        <v>3.8904927258827264E-2</v>
      </c>
      <c r="AE358" s="305">
        <f t="shared" si="142"/>
        <v>0.8</v>
      </c>
      <c r="AF358" s="177">
        <f t="shared" si="143"/>
        <v>0.39993919779931097</v>
      </c>
      <c r="AG358" s="809">
        <f t="shared" si="149"/>
        <v>2</v>
      </c>
      <c r="AH358" s="176">
        <f t="shared" si="144"/>
        <v>8</v>
      </c>
      <c r="AI358" s="225">
        <f t="shared" si="145"/>
        <v>2.399939197799311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1141">
        <f>IF(t&gt;Tmaj,'2022'!Wh/'2022'!Env_an*'2023'!Env_an,0.001*'[14]mon-tableau (2)'!$B$150)</f>
        <v>11.985393966185473</v>
      </c>
      <c r="C359" s="839"/>
      <c r="D359" s="393">
        <f t="shared" si="127"/>
        <v>12.827584115875974</v>
      </c>
      <c r="E359" s="385">
        <f t="shared" si="125"/>
        <v>13.67187354224917</v>
      </c>
      <c r="F359" s="385">
        <f t="shared" si="128"/>
        <v>13.85824654307469</v>
      </c>
      <c r="G359" s="110">
        <f t="shared" si="126"/>
        <v>0.81294141974678957</v>
      </c>
      <c r="H359" s="414" t="b">
        <f>Wh_hp&gt;='2022'!Maxi_hp</f>
        <v>0</v>
      </c>
      <c r="I359" s="390">
        <f>IF(H359,Wh_hp,'2022'!Maxi_hp)</f>
        <v>14.841331638958879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6.565461914595197E-2</v>
      </c>
      <c r="M359" s="843"/>
      <c r="N359" s="843"/>
      <c r="O359" s="48">
        <f>IF(t&lt;Tnet,'2022'!Resal+('2022'!Salim-'2022'!Resal)*(1-EXP(('2022'!Tnet-t)/('2022'!Tau_j))),Resal+(Salim-Resal)*(1-EXP((Tnet-t)/(Tau_j))))*Salcycl</f>
        <v>6.1753747484874881E-2</v>
      </c>
      <c r="P359" s="169">
        <f>(INDEX(Models!$BJ359:$BT359,,T359)*(1-R359)+INDEX(Models!$BJ359:$BT359,,T359+1)*R359-ERP_i)*Q359*Ramure*Pc/MaxiM</f>
        <v>1.8212839875729744E-2</v>
      </c>
      <c r="Q359" s="305">
        <f t="shared" si="130"/>
        <v>0.8</v>
      </c>
      <c r="R359" s="177">
        <f t="shared" si="131"/>
        <v>0.19923554880803707</v>
      </c>
      <c r="S359" s="809">
        <f t="shared" si="132"/>
        <v>1</v>
      </c>
      <c r="T359" s="176">
        <f t="shared" si="133"/>
        <v>7</v>
      </c>
      <c r="U359" s="251">
        <f t="shared" si="134"/>
        <v>1.1992355488080371</v>
      </c>
      <c r="V359" s="383">
        <f t="shared" si="135"/>
        <v>14.672045364472414</v>
      </c>
      <c r="W359" s="402">
        <f t="shared" si="136"/>
        <v>11.985393966185473</v>
      </c>
      <c r="X359" s="157">
        <f t="shared" si="137"/>
        <v>45271</v>
      </c>
      <c r="Y359" s="385">
        <f t="shared" si="138"/>
        <v>10.753506206782962</v>
      </c>
      <c r="Z359" s="385">
        <f t="shared" si="139"/>
        <v>11.509134017394732</v>
      </c>
      <c r="AA359" s="386">
        <f t="shared" si="140"/>
        <v>13.464089811106422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0.14519776837042955</v>
      </c>
      <c r="AD359" s="231">
        <f>(INDEX(Models!$BJ359:$BT359,,AH359)*(1-AF359)+INDEX(Models!$BJ359:$BT359,,AH359+1)*AF359-ERP_i)*AE359*Ramure*Pc/MaxiM</f>
        <v>3.8517990339167196E-2</v>
      </c>
      <c r="AE359" s="305">
        <f t="shared" si="142"/>
        <v>0.8</v>
      </c>
      <c r="AF359" s="177">
        <f t="shared" si="143"/>
        <v>0.39995229597294024</v>
      </c>
      <c r="AG359" s="809">
        <f t="shared" si="149"/>
        <v>2</v>
      </c>
      <c r="AH359" s="176">
        <f t="shared" si="144"/>
        <v>8</v>
      </c>
      <c r="AI359" s="225">
        <f t="shared" si="145"/>
        <v>2.3999522959729402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1141">
        <f>IF(t&gt;Tmaj,'2022'!Wh/'2022'!Env_an*'2023'!Env_an,0.001*'[14]mon-tableau (2)'!$B$151)</f>
        <v>4.0031640065555605</v>
      </c>
      <c r="C360" s="839"/>
      <c r="D360" s="393">
        <f t="shared" si="127"/>
        <v>4.2845604582903611</v>
      </c>
      <c r="E360" s="385">
        <f t="shared" si="125"/>
        <v>4.5673099821168375</v>
      </c>
      <c r="F360" s="385">
        <f t="shared" si="128"/>
        <v>4.5673099821168375</v>
      </c>
      <c r="G360" s="110">
        <f t="shared" si="126"/>
        <v>0.26804747370121351</v>
      </c>
      <c r="H360" s="414" t="b">
        <f>Wh_hp&gt;='2022'!Maxi_hp</f>
        <v>0</v>
      </c>
      <c r="I360" s="390">
        <f>IF(H360,Wh_hp,'2022'!Maxi_hp)</f>
        <v>16.842886191960798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6.5676854014351999E-2</v>
      </c>
      <c r="M360" s="843"/>
      <c r="N360" s="843"/>
      <c r="O360" s="48">
        <f>IF(t&lt;Tnet,'2022'!Resal+('2022'!Salim-'2022'!Resal)*(1-EXP(('2022'!Tnet-t)/('2022'!Tau_j))),Resal+(Salim-Resal)*(1-EXP((Tnet-t)/(Tau_j))))*Salcycl</f>
        <v>6.1907233127064573E-2</v>
      </c>
      <c r="P360" s="169">
        <f>(INDEX(Models!$BJ360:$BT360,,T360)*(1-R360)+INDEX(Models!$BJ360:$BT360,,T360+1)*R360-ERP_i)*Q360*Ramure*Pc/MaxiM</f>
        <v>1.8074082924169094E-2</v>
      </c>
      <c r="Q360" s="305">
        <f t="shared" si="130"/>
        <v>0.8</v>
      </c>
      <c r="R360" s="177">
        <f t="shared" si="131"/>
        <v>0.19924812014833471</v>
      </c>
      <c r="S360" s="809">
        <f t="shared" si="132"/>
        <v>1</v>
      </c>
      <c r="T360" s="176">
        <f t="shared" si="133"/>
        <v>7</v>
      </c>
      <c r="U360" s="251">
        <f t="shared" si="134"/>
        <v>1.1992481201483347</v>
      </c>
      <c r="V360" s="383">
        <f t="shared" si="135"/>
        <v>14.664605616554368</v>
      </c>
      <c r="W360" s="402">
        <f t="shared" si="136"/>
        <v>4.0031640065555605</v>
      </c>
      <c r="X360" s="157">
        <f t="shared" si="137"/>
        <v>45272</v>
      </c>
      <c r="Y360" s="385">
        <f t="shared" si="138"/>
        <v>3.6476431427952964</v>
      </c>
      <c r="Z360" s="385">
        <f t="shared" si="139"/>
        <v>3.9040487849065095</v>
      </c>
      <c r="AA360" s="386">
        <f t="shared" si="140"/>
        <v>4.5673099821168375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0.14521922089967762</v>
      </c>
      <c r="AD360" s="231">
        <f>(INDEX(Models!$BJ360:$BT360,,AH360)*(1-AF360)+INDEX(Models!$BJ360:$BT360,,AH360+1)*AF360-ERP_i)*AE360*Ramure*Pc/MaxiM</f>
        <v>3.8127634346364181E-2</v>
      </c>
      <c r="AE360" s="305">
        <f t="shared" si="142"/>
        <v>0.8</v>
      </c>
      <c r="AF360" s="177">
        <f t="shared" si="143"/>
        <v>0.39996486731323788</v>
      </c>
      <c r="AG360" s="809">
        <f t="shared" si="149"/>
        <v>2</v>
      </c>
      <c r="AH360" s="176">
        <f t="shared" si="144"/>
        <v>8</v>
      </c>
      <c r="AI360" s="225">
        <f t="shared" si="145"/>
        <v>2.3999648673132379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1141">
        <f>IF(t&gt;Tmaj,'2022'!Wh/'2022'!Env_an*'2023'!Env_an,0.001*'[14]mon-tableau (2)'!$B$152)</f>
        <v>5.1989914665397263</v>
      </c>
      <c r="C361" s="839"/>
      <c r="D361" s="393">
        <f t="shared" si="127"/>
        <v>5.5645792504294871</v>
      </c>
      <c r="E361" s="385">
        <f t="shared" ref="E361:E379" si="150">Wh_pvt/(1-Psa)</f>
        <v>5.9327745401853527</v>
      </c>
      <c r="F361" s="385">
        <f t="shared" si="128"/>
        <v>5.9410608944322103</v>
      </c>
      <c r="G361" s="110">
        <f t="shared" ref="G361:G379" si="151">+Wh_hp/MaxiM</f>
        <v>0.34856666605836301</v>
      </c>
      <c r="H361" s="414" t="b">
        <f>Wh_hp&gt;='2022'!Maxi_hp</f>
        <v>0</v>
      </c>
      <c r="I361" s="390">
        <f>IF(H361,Wh_hp,'2022'!Maxi_hp)</f>
        <v>17.504311781575961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6.5699088365314268E-2</v>
      </c>
      <c r="M361" s="843"/>
      <c r="N361" s="843"/>
      <c r="O361" s="48">
        <f>IF(t&lt;Tnet,'2022'!Resal+('2022'!Salim-'2022'!Resal)*(1-EXP(('2022'!Tnet-t)/('2022'!Tau_j))),Resal+(Salim-Resal)*(1-EXP((Tnet-t)/(Tau_j))))*Salcycl</f>
        <v>6.2061230755005671E-2</v>
      </c>
      <c r="P361" s="169">
        <f>(INDEX(Models!$BJ361:$BT361,,T361)*(1-R361)+INDEX(Models!$BJ361:$BT361,,T361+1)*R361-ERP_i)*Q361*Ramure*Pc/MaxiM</f>
        <v>1.7934974633084737E-2</v>
      </c>
      <c r="Q361" s="305">
        <f t="shared" si="130"/>
        <v>0.8</v>
      </c>
      <c r="R361" s="177">
        <f t="shared" si="131"/>
        <v>0.19926018582478555</v>
      </c>
      <c r="S361" s="809">
        <f t="shared" si="132"/>
        <v>1</v>
      </c>
      <c r="T361" s="176">
        <f t="shared" si="133"/>
        <v>7</v>
      </c>
      <c r="U361" s="251">
        <f t="shared" si="134"/>
        <v>1.1992601858247856</v>
      </c>
      <c r="V361" s="383">
        <f t="shared" si="135"/>
        <v>14.668295690547247</v>
      </c>
      <c r="W361" s="402">
        <f t="shared" si="136"/>
        <v>5.1989914665397263</v>
      </c>
      <c r="X361" s="157">
        <f t="shared" si="137"/>
        <v>45273</v>
      </c>
      <c r="Y361" s="385">
        <f t="shared" si="138"/>
        <v>4.7306082448263496</v>
      </c>
      <c r="Z361" s="385">
        <f t="shared" si="139"/>
        <v>5.0632597976914218</v>
      </c>
      <c r="AA361" s="386">
        <f t="shared" si="140"/>
        <v>5.923621168617883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0.14524247017761321</v>
      </c>
      <c r="AD361" s="231">
        <f>(INDEX(Models!$BJ361:$BT361,,AH361)*(1-AF361)+INDEX(Models!$BJ361:$BT361,,AH361+1)*AF361-ERP_i)*AE361*Ramure*Pc/MaxiM</f>
        <v>3.7746520456388398E-2</v>
      </c>
      <c r="AE361" s="305">
        <f t="shared" si="142"/>
        <v>0.8</v>
      </c>
      <c r="AF361" s="177">
        <f t="shared" si="143"/>
        <v>0.39997693298968917</v>
      </c>
      <c r="AG361" s="809">
        <f t="shared" si="149"/>
        <v>2</v>
      </c>
      <c r="AH361" s="176">
        <f t="shared" si="144"/>
        <v>8</v>
      </c>
      <c r="AI361" s="225">
        <f t="shared" si="145"/>
        <v>2.3999769329896892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1141">
        <f>IF(t&gt;Tmaj,'2022'!Wh/'2022'!Env_an*'2023'!Env_an,0.001*'[14]mon-tableau (2)'!$B$153)</f>
        <v>13.87237807883486</v>
      </c>
      <c r="C362" s="839"/>
      <c r="D362" s="393">
        <f t="shared" si="127"/>
        <v>14.848222921541874</v>
      </c>
      <c r="E362" s="385">
        <f t="shared" si="150"/>
        <v>15.833303101483112</v>
      </c>
      <c r="F362" s="385">
        <f t="shared" si="128"/>
        <v>16.097204106319914</v>
      </c>
      <c r="G362" s="110">
        <f t="shared" si="151"/>
        <v>0.9434917043705231</v>
      </c>
      <c r="H362" s="414" t="b">
        <f>Wh_hp&gt;='2022'!Maxi_hp</f>
        <v>0</v>
      </c>
      <c r="I362" s="390">
        <f>IF(H362,Wh_hp,'2022'!Maxi_hp)</f>
        <v>17.825188760800483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6.5721322198850768E-2</v>
      </c>
      <c r="M362" s="843"/>
      <c r="N362" s="843"/>
      <c r="O362" s="48">
        <f>IF(t&lt;Tnet,'2022'!Resal+('2022'!Salim-'2022'!Resal)*(1-EXP(('2022'!Tnet-t)/('2022'!Tau_j))),Resal+(Salim-Resal)*(1-EXP((Tnet-t)/(Tau_j))))*Salcycl</f>
        <v>6.221570910550981E-2</v>
      </c>
      <c r="P362" s="169">
        <f>(INDEX(Models!$BJ362:$BT362,,T362)*(1-R362)+INDEX(Models!$BJ362:$BT362,,T362+1)*R362-ERP_i)*Q362*Ramure*Pc/MaxiM</f>
        <v>1.7796616783821058E-2</v>
      </c>
      <c r="Q362" s="305">
        <f t="shared" si="130"/>
        <v>0.8</v>
      </c>
      <c r="R362" s="177">
        <f t="shared" si="131"/>
        <v>0.1992717661578689</v>
      </c>
      <c r="S362" s="809">
        <f t="shared" si="132"/>
        <v>1</v>
      </c>
      <c r="T362" s="176">
        <f t="shared" si="133"/>
        <v>7</v>
      </c>
      <c r="U362" s="251">
        <f t="shared" si="134"/>
        <v>1.1992717661578689</v>
      </c>
      <c r="V362" s="383">
        <f t="shared" si="135"/>
        <v>14.682269159956357</v>
      </c>
      <c r="W362" s="402">
        <f t="shared" si="136"/>
        <v>13.87237807883486</v>
      </c>
      <c r="X362" s="157">
        <f t="shared" si="137"/>
        <v>45274</v>
      </c>
      <c r="Y362" s="385">
        <f t="shared" si="138"/>
        <v>12.411953923309067</v>
      </c>
      <c r="Z362" s="385">
        <f t="shared" si="139"/>
        <v>13.285066028180097</v>
      </c>
      <c r="AA362" s="386">
        <f t="shared" si="140"/>
        <v>15.542950488153551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0.14526742922422328</v>
      </c>
      <c r="AD362" s="231">
        <f>(INDEX(Models!$BJ362:$BT362,,AH362)*(1-AF362)+INDEX(Models!$BJ362:$BT362,,AH362+1)*AF362-ERP_i)*AE362*Ramure*Pc/MaxiM</f>
        <v>3.7377043144087164E-2</v>
      </c>
      <c r="AE362" s="305">
        <f t="shared" si="142"/>
        <v>0.8</v>
      </c>
      <c r="AF362" s="177">
        <f t="shared" si="143"/>
        <v>0.3999885133227723</v>
      </c>
      <c r="AG362" s="809">
        <f t="shared" si="149"/>
        <v>2</v>
      </c>
      <c r="AH362" s="176">
        <f t="shared" si="144"/>
        <v>8</v>
      </c>
      <c r="AI362" s="225">
        <f t="shared" si="145"/>
        <v>2.3999885133227723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1141">
        <f>IF(t&gt;Tmaj,'2022'!Wh/'2022'!Env_an*'2023'!Env_an,0.001*'[14]mon-tableau (2)'!$B$154)</f>
        <v>5.4419402667956946</v>
      </c>
      <c r="C363" s="839"/>
      <c r="D363" s="393">
        <f t="shared" si="127"/>
        <v>5.8248891928118915</v>
      </c>
      <c r="E363" s="385">
        <f t="shared" si="150"/>
        <v>6.212357905315355</v>
      </c>
      <c r="F363" s="385">
        <f t="shared" si="128"/>
        <v>6.2233573601049814</v>
      </c>
      <c r="G363" s="110">
        <f t="shared" si="151"/>
        <v>0.36416543315608302</v>
      </c>
      <c r="H363" s="414" t="b">
        <f>Wh_hp&gt;='2022'!Maxi_hp</f>
        <v>0</v>
      </c>
      <c r="I363" s="390">
        <f>IF(H363,Wh_hp,'2022'!Maxi_hp)</f>
        <v>16.523910631894243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6.5743555514973379E-2</v>
      </c>
      <c r="M363" s="843"/>
      <c r="N363" s="843"/>
      <c r="O363" s="48">
        <f>IF(t&lt;Tnet,'2022'!Resal+('2022'!Salim-'2022'!Resal)*(1-EXP(('2022'!Tnet-t)/('2022'!Tau_j))),Resal+(Salim-Resal)*(1-EXP((Tnet-t)/(Tau_j))))*Salcycl</f>
        <v>6.2370635821213979E-2</v>
      </c>
      <c r="P363" s="169">
        <f>(INDEX(Models!$BJ363:$BT363,,T363)*(1-R363)+INDEX(Models!$BJ363:$BT363,,T363+1)*R363-ERP_i)*Q363*Ramure*Pc/MaxiM</f>
        <v>1.7660083377106381E-2</v>
      </c>
      <c r="Q363" s="305">
        <f t="shared" si="130"/>
        <v>0.8</v>
      </c>
      <c r="R363" s="177">
        <f t="shared" si="131"/>
        <v>0.19928288065297672</v>
      </c>
      <c r="S363" s="809">
        <f t="shared" si="132"/>
        <v>1</v>
      </c>
      <c r="T363" s="176">
        <f t="shared" si="133"/>
        <v>7</v>
      </c>
      <c r="U363" s="251">
        <f t="shared" si="134"/>
        <v>1.1992828806529767</v>
      </c>
      <c r="V363" s="383">
        <f t="shared" si="135"/>
        <v>14.705680084776183</v>
      </c>
      <c r="W363" s="402">
        <f t="shared" si="136"/>
        <v>5.4419402667956946</v>
      </c>
      <c r="X363" s="157">
        <f t="shared" si="137"/>
        <v>45275</v>
      </c>
      <c r="Y363" s="385">
        <f t="shared" si="138"/>
        <v>4.9510289868700683</v>
      </c>
      <c r="Z363" s="385">
        <f t="shared" si="139"/>
        <v>5.2994325231538912</v>
      </c>
      <c r="AA363" s="386">
        <f t="shared" si="140"/>
        <v>6.2002987942482957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0.14529400936775702</v>
      </c>
      <c r="AD363" s="231">
        <f>(INDEX(Models!$BJ363:$BT363,,AH363)*(1-AF363)+INDEX(Models!$BJ363:$BT363,,AH363+1)*AF363-ERP_i)*AE363*Ramure*Pc/MaxiM</f>
        <v>3.7021489098678251E-2</v>
      </c>
      <c r="AE363" s="305">
        <f t="shared" si="142"/>
        <v>0.8</v>
      </c>
      <c r="AF363" s="177">
        <f t="shared" si="143"/>
        <v>0.39999962781788012</v>
      </c>
      <c r="AG363" s="809">
        <f t="shared" si="149"/>
        <v>2</v>
      </c>
      <c r="AH363" s="176">
        <f t="shared" si="144"/>
        <v>8</v>
      </c>
      <c r="AI363" s="225">
        <f t="shared" si="145"/>
        <v>2.3999996278178801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1141">
        <f>IF(t&gt;Tmaj,'2022'!Wh/'2022'!Env_an*'2023'!Env_an,0.001*'[14]mon-tableau (2)'!$B$155)</f>
        <v>4.5989987745628564</v>
      </c>
      <c r="C364" s="839"/>
      <c r="D364" s="393">
        <f t="shared" si="127"/>
        <v>4.922747119548962</v>
      </c>
      <c r="E364" s="385">
        <f t="shared" si="150"/>
        <v>5.251075765769829</v>
      </c>
      <c r="F364" s="385">
        <f t="shared" si="128"/>
        <v>5.2526614536246319</v>
      </c>
      <c r="G364" s="110">
        <f t="shared" si="151"/>
        <v>0.30668044979806419</v>
      </c>
      <c r="H364" s="414" t="b">
        <f>Wh_hp&gt;='2022'!Maxi_hp</f>
        <v>0</v>
      </c>
      <c r="I364" s="390">
        <f>IF(H364,Wh_hp,'2022'!Maxi_hp)</f>
        <v>16.953885897183909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6.5765788313694312E-2</v>
      </c>
      <c r="M364" s="843"/>
      <c r="N364" s="843"/>
      <c r="O364" s="48">
        <f>IF(t&lt;Tnet,'2022'!Resal+('2022'!Salim-'2022'!Resal)*(1-EXP(('2022'!Tnet-t)/('2022'!Tau_j))),Resal+(Salim-Resal)*(1-EXP((Tnet-t)/(Tau_j))))*Salcycl</f>
        <v>6.2525977697968457E-2</v>
      </c>
      <c r="P364" s="169">
        <f>(INDEX(Models!$BJ364:$BT364,,T364)*(1-R364)+INDEX(Models!$BJ364:$BT364,,T364+1)*R364-ERP_i)*Q364*Ramure*Pc/MaxiM</f>
        <v>1.7526414740932444E-2</v>
      </c>
      <c r="Q364" s="305">
        <f t="shared" si="130"/>
        <v>0.8</v>
      </c>
      <c r="R364" s="177">
        <f t="shared" si="131"/>
        <v>0.19929354803299093</v>
      </c>
      <c r="S364" s="809">
        <f t="shared" si="132"/>
        <v>1</v>
      </c>
      <c r="T364" s="176">
        <f t="shared" si="133"/>
        <v>7</v>
      </c>
      <c r="U364" s="251">
        <f t="shared" si="134"/>
        <v>1.1992935480329909</v>
      </c>
      <c r="V364" s="383">
        <f t="shared" si="135"/>
        <v>14.737683001801116</v>
      </c>
      <c r="W364" s="402">
        <f t="shared" si="136"/>
        <v>4.5989987745628564</v>
      </c>
      <c r="X364" s="157">
        <f t="shared" si="137"/>
        <v>45276</v>
      </c>
      <c r="Y364" s="385">
        <f t="shared" si="138"/>
        <v>4.1914390501423657</v>
      </c>
      <c r="Z364" s="385">
        <f t="shared" si="139"/>
        <v>4.4864970664869572</v>
      </c>
      <c r="AA364" s="386">
        <f t="shared" si="140"/>
        <v>5.2493426773472551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0.14532212083471763</v>
      </c>
      <c r="AD364" s="231">
        <f>(INDEX(Models!$BJ364:$BT364,,AH364)*(1-AF364)+INDEX(Models!$BJ364:$BT364,,AH364+1)*AF364-ERP_i)*AE364*Ramure*Pc/MaxiM</f>
        <v>3.6682030005779194E-2</v>
      </c>
      <c r="AE364" s="305">
        <f t="shared" si="142"/>
        <v>0.8</v>
      </c>
      <c r="AF364" s="177">
        <f t="shared" si="143"/>
        <v>0.40001029519789455</v>
      </c>
      <c r="AG364" s="809">
        <f t="shared" si="149"/>
        <v>2</v>
      </c>
      <c r="AH364" s="176">
        <f t="shared" si="144"/>
        <v>8</v>
      </c>
      <c r="AI364" s="225">
        <f t="shared" si="145"/>
        <v>2.4000102951978945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1141">
        <f>IF(t&gt;Tmaj,'2022'!Wh/'2022'!Env_an*'2023'!Env_an,0.001*'[14]mon-tableau (2)'!$B$156)</f>
        <v>3.4178281672403648</v>
      </c>
      <c r="C365" s="839"/>
      <c r="D365" s="393">
        <f t="shared" si="127"/>
        <v>3.6585146011692915</v>
      </c>
      <c r="E365" s="385">
        <f t="shared" si="150"/>
        <v>3.9031720652441804</v>
      </c>
      <c r="F365" s="385">
        <f t="shared" si="128"/>
        <v>3.9031720652441804</v>
      </c>
      <c r="G365" s="110">
        <f t="shared" si="151"/>
        <v>0.22726339213359503</v>
      </c>
      <c r="H365" s="414" t="b">
        <f>Wh_hp&gt;='2022'!Maxi_hp</f>
        <v>0</v>
      </c>
      <c r="I365" s="390">
        <f>IF(H365,Wh_hp,'2022'!Maxi_hp)</f>
        <v>16.997202859341002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6.5788020595025448E-2</v>
      </c>
      <c r="M365" s="843"/>
      <c r="N365" s="843"/>
      <c r="O365" s="48">
        <f>IF(t&lt;Tnet,'2022'!Resal+('2022'!Salim-'2022'!Resal)*(1-EXP(('2022'!Tnet-t)/('2022'!Tau_j))),Resal+(Salim-Resal)*(1-EXP((Tnet-t)/(Tau_j))))*Salcycl</f>
        <v>6.2681700930748804E-2</v>
      </c>
      <c r="P365" s="169">
        <f>(INDEX(Models!$BJ365:$BT365,,T365)*(1-R365)+INDEX(Models!$BJ365:$BT365,,T365+1)*R365-ERP_i)*Q365*Ramure*Pc/MaxiM</f>
        <v>1.7396613118560656E-2</v>
      </c>
      <c r="Q365" s="305">
        <f t="shared" si="130"/>
        <v>0.8</v>
      </c>
      <c r="R365" s="177">
        <f t="shared" si="131"/>
        <v>0.19930378626956591</v>
      </c>
      <c r="S365" s="809">
        <f t="shared" si="132"/>
        <v>1</v>
      </c>
      <c r="T365" s="176">
        <f t="shared" si="133"/>
        <v>7</v>
      </c>
      <c r="U365" s="251">
        <f t="shared" si="134"/>
        <v>1.1993037862695659</v>
      </c>
      <c r="V365" s="383">
        <f t="shared" si="135"/>
        <v>14.777432922126646</v>
      </c>
      <c r="W365" s="402">
        <f t="shared" si="136"/>
        <v>3.4178281672403648</v>
      </c>
      <c r="X365" s="157">
        <f t="shared" si="137"/>
        <v>45277</v>
      </c>
      <c r="Y365" s="385">
        <f t="shared" si="138"/>
        <v>3.1163811982376646</v>
      </c>
      <c r="Z365" s="385">
        <f t="shared" si="139"/>
        <v>3.3358394742728237</v>
      </c>
      <c r="AA365" s="386">
        <f t="shared" si="140"/>
        <v>3.9031720652441804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0.14535167332825857</v>
      </c>
      <c r="AD365" s="231">
        <f>(INDEX(Models!$BJ365:$BT365,,AH365)*(1-AF365)+INDEX(Models!$BJ365:$BT365,,AH365+1)*AF365-ERP_i)*AE365*Ramure*Pc/MaxiM</f>
        <v>3.6360718798318876E-2</v>
      </c>
      <c r="AE365" s="305">
        <f t="shared" si="142"/>
        <v>0.8</v>
      </c>
      <c r="AF365" s="177">
        <f t="shared" si="143"/>
        <v>0.40002053343446953</v>
      </c>
      <c r="AG365" s="809">
        <f t="shared" si="149"/>
        <v>2</v>
      </c>
      <c r="AH365" s="176">
        <f t="shared" si="144"/>
        <v>8</v>
      </c>
      <c r="AI365" s="225">
        <f t="shared" si="145"/>
        <v>2.4000205334344695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1141">
        <f>IF(t&gt;Tmaj,'2022'!Wh/'2022'!Env_an*'2023'!Env_an,0.001*'[14]mon-tableau (2)'!$B$157)</f>
        <v>13.736134764562843</v>
      </c>
      <c r="C366" s="839"/>
      <c r="D366" s="393">
        <f t="shared" si="127"/>
        <v>14.703795239937911</v>
      </c>
      <c r="E366" s="385">
        <f t="shared" si="150"/>
        <v>15.689701089656225</v>
      </c>
      <c r="F366" s="385">
        <f t="shared" si="128"/>
        <v>15.936158632394193</v>
      </c>
      <c r="G366" s="110">
        <f t="shared" si="151"/>
        <v>0.92490920304387192</v>
      </c>
      <c r="H366" s="414" t="b">
        <f>Wh_hp&gt;='2022'!Maxi_hp</f>
        <v>0</v>
      </c>
      <c r="I366" s="390">
        <f>IF(H366,Wh_hp,'2022'!Maxi_hp)</f>
        <v>17.776988276378741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6.5810252358978999E-2</v>
      </c>
      <c r="M366" s="843"/>
      <c r="N366" s="843"/>
      <c r="O366" s="48">
        <f>IF(t&lt;Tnet,'2022'!Resal+('2022'!Salim-'2022'!Resal)*(1-EXP(('2022'!Tnet-t)/('2022'!Tau_j))),Resal+(Salim-Resal)*(1-EXP((Tnet-t)/(Tau_j))))*Salcycl</f>
        <v>6.283777135616013E-2</v>
      </c>
      <c r="P366" s="169">
        <f>(INDEX(Models!$BJ366:$BT366,,T366)*(1-R366)+INDEX(Models!$BJ366:$BT366,,T366+1)*R366-ERP_i)*Q366*Ramure*Pc/MaxiM</f>
        <v>1.7276529435886055E-2</v>
      </c>
      <c r="Q366" s="305">
        <f t="shared" si="130"/>
        <v>0.8</v>
      </c>
      <c r="R366" s="177">
        <f t="shared" si="131"/>
        <v>0.19931361261316916</v>
      </c>
      <c r="S366" s="809">
        <f t="shared" si="132"/>
        <v>1</v>
      </c>
      <c r="T366" s="176">
        <f t="shared" si="133"/>
        <v>7</v>
      </c>
      <c r="U366" s="251">
        <f t="shared" si="134"/>
        <v>1.1993136126131692</v>
      </c>
      <c r="V366" s="383">
        <f t="shared" si="135"/>
        <v>14.824011565789268</v>
      </c>
      <c r="W366" s="402">
        <f t="shared" si="136"/>
        <v>13.736134764562843</v>
      </c>
      <c r="X366" s="157">
        <f t="shared" si="137"/>
        <v>45278</v>
      </c>
      <c r="Y366" s="385">
        <f t="shared" si="138"/>
        <v>12.312173226918894</v>
      </c>
      <c r="Z366" s="385">
        <f t="shared" si="139"/>
        <v>13.179520817916389</v>
      </c>
      <c r="AA366" s="386">
        <f t="shared" si="140"/>
        <v>15.421544725054412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0.14538257659075804</v>
      </c>
      <c r="AD366" s="231">
        <f>(INDEX(Models!$BJ366:$BT366,,AH366)*(1-AF366)+INDEX(Models!$BJ366:$BT366,,AH366+1)*AF366-ERP_i)*AE366*Ramure*Pc/MaxiM</f>
        <v>3.6074133578961436E-2</v>
      </c>
      <c r="AE366" s="305">
        <f t="shared" si="142"/>
        <v>0.8</v>
      </c>
      <c r="AF366" s="177">
        <f t="shared" si="143"/>
        <v>0.40003035977807233</v>
      </c>
      <c r="AG366" s="809">
        <f t="shared" si="149"/>
        <v>2</v>
      </c>
      <c r="AH366" s="176">
        <f t="shared" si="144"/>
        <v>8</v>
      </c>
      <c r="AI366" s="225">
        <f t="shared" si="145"/>
        <v>2.4000303597780723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1141">
        <f>IF(t&gt;Tmaj,'2022'!Wh/'2022'!Env_an*'2023'!Env_an,0.001*'[14]mon-tableau (2)'!$B$158)</f>
        <v>11.428162101119579</v>
      </c>
      <c r="C367" s="839"/>
      <c r="D367" s="393">
        <f t="shared" si="127"/>
        <v>12.233525465784094</v>
      </c>
      <c r="E367" s="385">
        <f t="shared" si="150"/>
        <v>13.055975613185492</v>
      </c>
      <c r="F367" s="385">
        <f t="shared" si="128"/>
        <v>13.207586447359528</v>
      </c>
      <c r="G367" s="110">
        <f t="shared" si="151"/>
        <v>0.76377824964808361</v>
      </c>
      <c r="H367" s="414" t="b">
        <f>Wh_hp&gt;='2022'!Maxi_hp</f>
        <v>0</v>
      </c>
      <c r="I367" s="390">
        <f>IF(H367,Wh_hp,'2022'!Maxi_hp)</f>
        <v>17.087258276429306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6.5832483605566844E-2</v>
      </c>
      <c r="M367" s="843"/>
      <c r="N367" s="843"/>
      <c r="O367" s="48">
        <f>IF(t&lt;Tnet,'2022'!Resal+('2022'!Salim-'2022'!Resal)*(1-EXP(('2022'!Tnet-t)/('2022'!Tau_j))),Resal+(Salim-Resal)*(1-EXP((Tnet-t)/(Tau_j))))*Salcycl</f>
        <v>6.2994154689657106E-2</v>
      </c>
      <c r="P367" s="169">
        <f>(INDEX(Models!$BJ367:$BT367,,T367)*(1-R367)+INDEX(Models!$BJ367:$BT367,,T367+1)*R367-ERP_i)*Q367*Ramure*Pc/MaxiM</f>
        <v>1.7162406218812008E-2</v>
      </c>
      <c r="Q367" s="305">
        <f t="shared" si="130"/>
        <v>0.8</v>
      </c>
      <c r="R367" s="177">
        <f t="shared" si="131"/>
        <v>0.19932304362192843</v>
      </c>
      <c r="S367" s="809">
        <f t="shared" si="132"/>
        <v>1</v>
      </c>
      <c r="T367" s="176">
        <f t="shared" si="133"/>
        <v>7</v>
      </c>
      <c r="U367" s="251">
        <f t="shared" si="134"/>
        <v>1.1993230436219284</v>
      </c>
      <c r="V367" s="383">
        <f t="shared" si="135"/>
        <v>14.876644910966952</v>
      </c>
      <c r="W367" s="402">
        <f t="shared" si="136"/>
        <v>11.428162101119579</v>
      </c>
      <c r="X367" s="157">
        <f t="shared" si="137"/>
        <v>45279</v>
      </c>
      <c r="Y367" s="385">
        <f t="shared" si="138"/>
        <v>10.291419018977955</v>
      </c>
      <c r="Z367" s="385">
        <f t="shared" si="139"/>
        <v>11.016674031547693</v>
      </c>
      <c r="AA367" s="386">
        <f t="shared" si="140"/>
        <v>12.891252118893165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0.14541474094654686</v>
      </c>
      <c r="AD367" s="231">
        <f>(INDEX(Models!$BJ367:$BT367,,AH367)*(1-AF367)+INDEX(Models!$BJ367:$BT367,,AH367+1)*AF367-ERP_i)*AE367*Ramure*Pc/MaxiM</f>
        <v>3.5809170734214829E-2</v>
      </c>
      <c r="AE367" s="305">
        <f t="shared" si="142"/>
        <v>0.8</v>
      </c>
      <c r="AF367" s="177">
        <f t="shared" si="143"/>
        <v>0.40003979078683205</v>
      </c>
      <c r="AG367" s="809">
        <f t="shared" si="149"/>
        <v>2</v>
      </c>
      <c r="AH367" s="176">
        <f t="shared" si="144"/>
        <v>8</v>
      </c>
      <c r="AI367" s="225">
        <f t="shared" si="145"/>
        <v>2.4000397907868321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1141">
        <f>IF(t&gt;Tmaj,'2022'!Wh/'2022'!Env_an*'2023'!Env_an,0.001*'[14]mon-tableau (2)'!$B$159)</f>
        <v>4.6208339764370576</v>
      </c>
      <c r="C368" s="839"/>
      <c r="D368" s="393">
        <f t="shared" si="127"/>
        <v>4.9465902652889708</v>
      </c>
      <c r="E368" s="385">
        <f t="shared" si="150"/>
        <v>5.2800283693036274</v>
      </c>
      <c r="F368" s="385">
        <f t="shared" si="128"/>
        <v>5.2812387963886991</v>
      </c>
      <c r="G368" s="110">
        <f t="shared" si="151"/>
        <v>0.30419964581941333</v>
      </c>
      <c r="H368" s="414" t="b">
        <f>Wh_hp&gt;='2022'!Maxi_hp</f>
        <v>0</v>
      </c>
      <c r="I368" s="390">
        <f>IF(H368,Wh_hp,'2022'!Maxi_hp)</f>
        <v>17.638070585315422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6.5854714334801195E-2</v>
      </c>
      <c r="M368" s="843"/>
      <c r="N368" s="843"/>
      <c r="O368" s="48">
        <f>IF(t&lt;Tnet,'2022'!Resal+('2022'!Salim-'2022'!Resal)*(1-EXP(('2022'!Tnet-t)/('2022'!Tau_j))),Resal+(Salim-Resal)*(1-EXP((Tnet-t)/(Tau_j))))*Salcycl</f>
        <v>6.3150816755674577E-2</v>
      </c>
      <c r="P368" s="169">
        <f>(INDEX(Models!$BJ368:$BT368,,T368)*(1-R368)+INDEX(Models!$BJ368:$BT368,,T368+1)*R368-ERP_i)*Q368*Ramure*Pc/MaxiM</f>
        <v>1.7055112602639561E-2</v>
      </c>
      <c r="Q368" s="305">
        <f t="shared" si="130"/>
        <v>0.8</v>
      </c>
      <c r="R368" s="177">
        <f t="shared" si="131"/>
        <v>0.19933209518933448</v>
      </c>
      <c r="S368" s="809">
        <f t="shared" si="132"/>
        <v>1</v>
      </c>
      <c r="T368" s="176">
        <f t="shared" si="133"/>
        <v>7</v>
      </c>
      <c r="U368" s="251">
        <f t="shared" si="134"/>
        <v>1.1993320951893345</v>
      </c>
      <c r="V368" s="383">
        <f t="shared" si="135"/>
        <v>14.934489364609732</v>
      </c>
      <c r="W368" s="402">
        <f t="shared" si="136"/>
        <v>4.6208339764370576</v>
      </c>
      <c r="X368" s="157">
        <f t="shared" si="137"/>
        <v>45280</v>
      </c>
      <c r="Y368" s="385">
        <f t="shared" si="138"/>
        <v>4.2138692578499795</v>
      </c>
      <c r="Z368" s="385">
        <f t="shared" si="139"/>
        <v>4.5109356355091066</v>
      </c>
      <c r="AA368" s="386">
        <f t="shared" si="140"/>
        <v>5.2787145150955723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0.14544807782100042</v>
      </c>
      <c r="AD368" s="231">
        <f>(INDEX(Models!$BJ368:$BT368,,AH368)*(1-AF368)+INDEX(Models!$BJ368:$BT368,,AH368+1)*AF368-ERP_i)*AE368*Ramure*Pc/MaxiM</f>
        <v>3.5567530028022883E-2</v>
      </c>
      <c r="AE368" s="305">
        <f t="shared" si="142"/>
        <v>0.8</v>
      </c>
      <c r="AF368" s="177">
        <f t="shared" si="143"/>
        <v>0.40004884235423788</v>
      </c>
      <c r="AG368" s="809">
        <f t="shared" si="149"/>
        <v>2</v>
      </c>
      <c r="AH368" s="176">
        <f t="shared" si="144"/>
        <v>8</v>
      </c>
      <c r="AI368" s="225">
        <f t="shared" si="145"/>
        <v>2.4000488423542379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1141">
        <f>IF(t&gt;Tmaj,'2022'!Wh/'2022'!Env_an*'2023'!Env_an,0.001*'[14]mon-tableau (2)'!$B$160)</f>
        <v>14.529243004582131</v>
      </c>
      <c r="C369" s="839"/>
      <c r="D369" s="393">
        <f t="shared" si="127"/>
        <v>15.553885454129446</v>
      </c>
      <c r="E369" s="385">
        <f t="shared" si="150"/>
        <v>16.605117654772393</v>
      </c>
      <c r="F369" s="385">
        <f t="shared" si="128"/>
        <v>16.878557972121232</v>
      </c>
      <c r="G369" s="110">
        <f t="shared" si="151"/>
        <v>0.96808569346656603</v>
      </c>
      <c r="H369" s="414" t="b">
        <f>Wh_hp&gt;='2022'!Maxi_hp</f>
        <v>0</v>
      </c>
      <c r="I369" s="390">
        <f>IF(H369,Wh_hp,'2022'!Maxi_hp)</f>
        <v>16.885283849711772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6.5876944546693933E-2</v>
      </c>
      <c r="M369" s="843"/>
      <c r="N369" s="843"/>
      <c r="O369" s="48">
        <f>IF(t&lt;Tnet,'2022'!Resal+('2022'!Salim-'2022'!Resal)*(1-EXP(('2022'!Tnet-t)/('2022'!Tau_j))),Resal+(Salim-Resal)*(1-EXP((Tnet-t)/(Tau_j))))*Salcycl</f>
        <v>6.3307723708950603E-2</v>
      </c>
      <c r="P369" s="169">
        <f>(INDEX(Models!$BJ369:$BT369,,T369)*(1-R369)+INDEX(Models!$BJ369:$BT369,,T369+1)*R369-ERP_i)*Q369*Ramure*Pc/MaxiM</f>
        <v>1.6955476808896097E-2</v>
      </c>
      <c r="Q369" s="305">
        <f t="shared" si="130"/>
        <v>0.8</v>
      </c>
      <c r="R369" s="177">
        <f t="shared" si="131"/>
        <v>0.19934078257083865</v>
      </c>
      <c r="S369" s="809">
        <f t="shared" si="132"/>
        <v>1</v>
      </c>
      <c r="T369" s="176">
        <f t="shared" si="133"/>
        <v>7</v>
      </c>
      <c r="U369" s="251">
        <f t="shared" si="134"/>
        <v>1.1993407825708386</v>
      </c>
      <c r="V369" s="383">
        <f t="shared" si="135"/>
        <v>14.99670180240226</v>
      </c>
      <c r="W369" s="402">
        <f t="shared" si="136"/>
        <v>14.529243004582131</v>
      </c>
      <c r="X369" s="157">
        <f t="shared" si="137"/>
        <v>45281</v>
      </c>
      <c r="Y369" s="385">
        <f t="shared" si="138"/>
        <v>13.017809749036852</v>
      </c>
      <c r="Z369" s="385">
        <f t="shared" si="139"/>
        <v>13.935861740099799</v>
      </c>
      <c r="AA369" s="386">
        <f t="shared" si="140"/>
        <v>16.308456812050107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0.14548250023246997</v>
      </c>
      <c r="AD369" s="231">
        <f>(INDEX(Models!$BJ369:$BT369,,AH369)*(1-AF369)+INDEX(Models!$BJ369:$BT369,,AH369+1)*AF369-ERP_i)*AE369*Ramure*Pc/MaxiM</f>
        <v>3.5350811072893042E-2</v>
      </c>
      <c r="AE369" s="305">
        <f t="shared" si="142"/>
        <v>0.8</v>
      </c>
      <c r="AF369" s="177">
        <f t="shared" si="143"/>
        <v>0.40005752973574227</v>
      </c>
      <c r="AG369" s="809">
        <f t="shared" si="149"/>
        <v>2</v>
      </c>
      <c r="AH369" s="176">
        <f t="shared" si="144"/>
        <v>8</v>
      </c>
      <c r="AI369" s="225">
        <f t="shared" si="145"/>
        <v>2.4000575297357423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1141">
        <f>IF(t&gt;Tmaj,'2022'!Wh/'2022'!Env_an*'2023'!Env_an,0.001*'[14]mon-tableau (2)'!$B$161)</f>
        <v>10.726019784830079</v>
      </c>
      <c r="C370" s="839"/>
      <c r="D370" s="393">
        <f t="shared" si="127"/>
        <v>11.482721660285062</v>
      </c>
      <c r="E370" s="385">
        <f t="shared" si="150"/>
        <v>12.26085488110869</v>
      </c>
      <c r="F370" s="385">
        <f t="shared" si="128"/>
        <v>12.383805487033866</v>
      </c>
      <c r="G370" s="110">
        <f t="shared" si="151"/>
        <v>0.70711511034435148</v>
      </c>
      <c r="H370" s="414" t="b">
        <f>Wh_hp&gt;='2022'!Maxi_hp</f>
        <v>0</v>
      </c>
      <c r="I370" s="390">
        <f>IF(H370,Wh_hp,'2022'!Maxi_hp)</f>
        <v>16.570747847760565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6.5899174241257158E-2</v>
      </c>
      <c r="M370" s="843"/>
      <c r="N370" s="843"/>
      <c r="O370" s="48">
        <f>IF(t&lt;Tnet,'2022'!Resal+('2022'!Salim-'2022'!Resal)*(1-EXP(('2022'!Tnet-t)/('2022'!Tau_j))),Resal+(Salim-Resal)*(1-EXP((Tnet-t)/(Tau_j))))*Salcycl</f>
        <v>6.3464842245426312E-2</v>
      </c>
      <c r="P370" s="169">
        <f>(INDEX(Models!$BJ370:$BT370,,T370)*(1-R370)+INDEX(Models!$BJ370:$BT370,,T370+1)*R370-ERP_i)*Q370*Ramure*Pc/MaxiM</f>
        <v>1.6864288342132498E-2</v>
      </c>
      <c r="Q370" s="305">
        <f t="shared" si="130"/>
        <v>0.8</v>
      </c>
      <c r="R370" s="177">
        <f t="shared" si="131"/>
        <v>0.19934912040939556</v>
      </c>
      <c r="S370" s="809">
        <f t="shared" si="132"/>
        <v>1</v>
      </c>
      <c r="T370" s="176">
        <f t="shared" si="133"/>
        <v>7</v>
      </c>
      <c r="U370" s="251">
        <f t="shared" si="134"/>
        <v>1.1993491204093956</v>
      </c>
      <c r="V370" s="383">
        <f t="shared" si="135"/>
        <v>15.062439567372211</v>
      </c>
      <c r="W370" s="402">
        <f t="shared" si="136"/>
        <v>10.726019784830079</v>
      </c>
      <c r="X370" s="157">
        <f t="shared" si="137"/>
        <v>45282</v>
      </c>
      <c r="Y370" s="385">
        <f t="shared" si="138"/>
        <v>9.6798076428808884</v>
      </c>
      <c r="Z370" s="385">
        <f t="shared" si="139"/>
        <v>10.36270108745302</v>
      </c>
      <c r="AA370" s="386">
        <f t="shared" si="140"/>
        <v>12.127464541928884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0.14551792325382271</v>
      </c>
      <c r="AD370" s="231">
        <f>(INDEX(Models!$BJ370:$BT370,,AH370)*(1-AF370)+INDEX(Models!$BJ370:$BT370,,AH370+1)*AF370-ERP_i)*AE370*Ramure*Pc/MaxiM</f>
        <v>3.5160523037812502E-2</v>
      </c>
      <c r="AE370" s="305">
        <f t="shared" si="142"/>
        <v>0.8</v>
      </c>
      <c r="AF370" s="177">
        <f t="shared" si="143"/>
        <v>0.40006586757429918</v>
      </c>
      <c r="AG370" s="809">
        <f t="shared" si="149"/>
        <v>2</v>
      </c>
      <c r="AH370" s="176">
        <f t="shared" si="144"/>
        <v>8</v>
      </c>
      <c r="AI370" s="225">
        <f t="shared" si="145"/>
        <v>2.4000658675742992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1141">
        <f>IF(t&gt;Tmaj,'2022'!Wh/'2022'!Env_an*'2023'!Env_an,0.001*'[14]mon-tableau (2)'!$B$162)</f>
        <v>11.528797285391668</v>
      </c>
      <c r="C371" s="839"/>
      <c r="D371" s="393">
        <f t="shared" si="127"/>
        <v>12.342427422686157</v>
      </c>
      <c r="E371" s="385">
        <f t="shared" si="150"/>
        <v>13.181032943331292</v>
      </c>
      <c r="F371" s="385">
        <f t="shared" si="128"/>
        <v>13.328644811201375</v>
      </c>
      <c r="G371" s="110">
        <f t="shared" si="151"/>
        <v>0.7575418210473932</v>
      </c>
      <c r="H371" s="414" t="b">
        <f>Wh_hp&gt;='2022'!Maxi_hp</f>
        <v>0</v>
      </c>
      <c r="I371" s="390">
        <f>IF(H371,Wh_hp,'2022'!Maxi_hp)</f>
        <v>14.372652723691925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6.5921403418502972E-2</v>
      </c>
      <c r="M371" s="843"/>
      <c r="N371" s="843"/>
      <c r="O371" s="48">
        <f>IF(t&lt;Tnet,'2022'!Resal+('2022'!Salim-'2022'!Resal)*(1-EXP(('2022'!Tnet-t)/('2022'!Tau_j))),Resal+(Salim-Resal)*(1-EXP((Tnet-t)/(Tau_j))))*Salcycl</f>
        <v>6.362213980122193E-2</v>
      </c>
      <c r="P371" s="169">
        <f>(INDEX(Models!$BJ371:$BT371,,T371)*(1-R371)+INDEX(Models!$BJ371:$BT371,,T371+1)*R371-ERP_i)*Q371*Ramure*Pc/MaxiM</f>
        <v>1.678218447879418E-2</v>
      </c>
      <c r="Q371" s="305">
        <f t="shared" si="130"/>
        <v>0.8</v>
      </c>
      <c r="R371" s="177">
        <f t="shared" si="131"/>
        <v>0.19934912040939556</v>
      </c>
      <c r="S371" s="809">
        <f t="shared" si="132"/>
        <v>1</v>
      </c>
      <c r="T371" s="176">
        <f t="shared" si="133"/>
        <v>7</v>
      </c>
      <c r="U371" s="251">
        <f t="shared" si="134"/>
        <v>1.1993491204093956</v>
      </c>
      <c r="V371" s="383">
        <f t="shared" si="135"/>
        <v>15.130862261391933</v>
      </c>
      <c r="W371" s="402">
        <f t="shared" si="136"/>
        <v>11.528797285391668</v>
      </c>
      <c r="X371" s="157">
        <f t="shared" si="137"/>
        <v>45283</v>
      </c>
      <c r="Y371" s="385">
        <f t="shared" si="138"/>
        <v>10.392162904587638</v>
      </c>
      <c r="Z371" s="385">
        <f t="shared" si="139"/>
        <v>11.125576522811308</v>
      </c>
      <c r="AA371" s="386">
        <f t="shared" si="140"/>
        <v>13.020811105726304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0.14555426444067754</v>
      </c>
      <c r="AD371" s="231">
        <f>(INDEX(Models!$BJ371:$BT371,,AH371)*(1-AF371)+INDEX(Models!$BJ371:$BT371,,AH371+1)*AF371-ERP_i)*AE371*Ramure*Pc/MaxiM</f>
        <v>3.4998012752066147E-2</v>
      </c>
      <c r="AE371" s="305">
        <f t="shared" si="142"/>
        <v>0.8</v>
      </c>
      <c r="AF371" s="177">
        <f t="shared" si="143"/>
        <v>0.40006586757429918</v>
      </c>
      <c r="AG371" s="809">
        <f t="shared" si="149"/>
        <v>2</v>
      </c>
      <c r="AH371" s="176">
        <f t="shared" si="144"/>
        <v>8</v>
      </c>
      <c r="AI371" s="225">
        <f t="shared" si="145"/>
        <v>2.4000658675742992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1141">
        <f>IF(t&gt;Tmaj,'2022'!Wh/'2022'!Env_an*'2023'!Env_an,0.001*'[14]mon-tableau (2)'!$B$163)</f>
        <v>15.324814946037261</v>
      </c>
      <c r="C372" s="839"/>
      <c r="D372" s="393">
        <f t="shared" si="127"/>
        <v>16.406734617245561</v>
      </c>
      <c r="E372" s="385">
        <f t="shared" si="150"/>
        <v>17.524435859113069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Wh_hp&gt;='2022'!Maxi_hp</f>
        <v>1</v>
      </c>
      <c r="I372" s="390">
        <f>IF(H372,Wh_hp,'2022'!Maxi_hp)</f>
        <v>17.822245305266634</v>
      </c>
      <c r="J372" s="85">
        <f>IF(H372,An,'2022'!An_max)</f>
        <v>2023</v>
      </c>
      <c r="K372" s="197">
        <f t="shared" si="129"/>
        <v>45284</v>
      </c>
      <c r="L372" s="147">
        <f>IF(t&lt;Tvie,1-EXP((T0-t)*PertePVj)+'2022'!Pspv,1-EXP((T0-t)*PertePVj)+Pspv)</f>
        <v>6.5943632078443365E-2</v>
      </c>
      <c r="M372" s="843"/>
      <c r="N372" s="843"/>
      <c r="O372" s="48">
        <f>IF(t&lt;Tnet,'2022'!Resal+('2022'!Salim-'2022'!Resal)*(1-EXP(('2022'!Tnet-t)/('2022'!Tau_j))),Resal+(Salim-Resal)*(1-EXP((Tnet-t)/(Tau_j))))*Salcycl</f>
        <v>6.3779584738317283E-2</v>
      </c>
      <c r="P372" s="169">
        <f>(INDEX(Models!$BJ372:$BT372,,T372)*(1-R372)+INDEX(Models!$BJ372:$BT372,,T372+1)*R372-ERP_i)*Q372*Ramure*Pc/MaxiM</f>
        <v>1.6709984687819274E-2</v>
      </c>
      <c r="Q372" s="305">
        <f t="shared" si="130"/>
        <v>0.8</v>
      </c>
      <c r="R372" s="177">
        <f t="shared" si="131"/>
        <v>0.19934912040939556</v>
      </c>
      <c r="S372" s="809">
        <f t="shared" si="132"/>
        <v>1</v>
      </c>
      <c r="T372" s="176">
        <f t="shared" si="133"/>
        <v>7</v>
      </c>
      <c r="U372" s="251">
        <f t="shared" si="134"/>
        <v>1.1993491204093956</v>
      </c>
      <c r="V372" s="383">
        <f t="shared" si="135"/>
        <v>15.201126675209785</v>
      </c>
      <c r="W372" s="402">
        <f t="shared" si="136"/>
        <v>15.324814946037261</v>
      </c>
      <c r="X372" s="157">
        <f t="shared" si="137"/>
        <v>45284</v>
      </c>
      <c r="Y372" s="385">
        <f t="shared" si="138"/>
        <v>13.727431993106158</v>
      </c>
      <c r="Z372" s="385">
        <f t="shared" si="139"/>
        <v>14.696577706174374</v>
      </c>
      <c r="AA372" s="386">
        <f t="shared" si="140"/>
        <v>17.200878440200597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0.1455914442237648</v>
      </c>
      <c r="AD372" s="231">
        <f>(INDEX(Models!$BJ372:$BT372,,AH372)*(1-AF372)+INDEX(Models!$BJ372:$BT372,,AH372+1)*AF372-ERP_i)*AE372*Ramure*Pc/MaxiM</f>
        <v>3.4864679192941984E-2</v>
      </c>
      <c r="AE372" s="305">
        <f t="shared" si="142"/>
        <v>0.8</v>
      </c>
      <c r="AF372" s="177">
        <f t="shared" si="143"/>
        <v>0.40006586757429918</v>
      </c>
      <c r="AG372" s="809">
        <f t="shared" si="149"/>
        <v>2</v>
      </c>
      <c r="AH372" s="176">
        <f t="shared" si="144"/>
        <v>8</v>
      </c>
      <c r="AI372" s="225">
        <f t="shared" si="145"/>
        <v>2.4000658675742992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1141">
        <f>IF(t&gt;Tmaj,'2022'!Wh/'2022'!Env_an*'2023'!Env_an,0.001*'[14]mon-tableau (2)'!$B$164)</f>
        <v>9.1995718112524933</v>
      </c>
      <c r="C373" s="839"/>
      <c r="D373" s="393">
        <f t="shared" si="127"/>
        <v>9.8492886067634267</v>
      </c>
      <c r="E373" s="385">
        <f t="shared" si="150"/>
        <v>10.522037670976406</v>
      </c>
      <c r="F373" s="385">
        <f t="shared" si="128"/>
        <v>10.59823179539282</v>
      </c>
      <c r="G373" s="110">
        <f t="shared" si="151"/>
        <v>0.59657392496717065</v>
      </c>
      <c r="H373" s="414" t="b">
        <f>Wh_hp&gt;='2022'!Maxi_hp</f>
        <v>0</v>
      </c>
      <c r="I373" s="390">
        <f>IF(H373,Wh_hp,'2022'!Maxi_hp)</f>
        <v>13.575447760552157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6.5965860221090328E-2</v>
      </c>
      <c r="M373" s="843"/>
      <c r="N373" s="843"/>
      <c r="O373" s="48">
        <f>IF(t&lt;Tnet,'2022'!Resal+('2022'!Salim-'2022'!Resal)*(1-EXP(('2022'!Tnet-t)/('2022'!Tau_j))),Resal+(Salim-Resal)*(1-EXP((Tnet-t)/(Tau_j))))*Salcycl</f>
        <v>6.3937146515704327E-2</v>
      </c>
      <c r="P373" s="169">
        <f>(INDEX(Models!$BJ373:$BT373,,T373)*(1-R373)+INDEX(Models!$BJ373:$BT373,,T373+1)*R373-ERP_i)*Q373*Ramure*Pc/MaxiM</f>
        <v>1.66468240562254E-2</v>
      </c>
      <c r="Q373" s="305">
        <f t="shared" si="130"/>
        <v>0.8</v>
      </c>
      <c r="R373" s="177">
        <f t="shared" si="131"/>
        <v>0.19934912040939556</v>
      </c>
      <c r="S373" s="809">
        <f t="shared" si="132"/>
        <v>1</v>
      </c>
      <c r="T373" s="176">
        <f t="shared" si="133"/>
        <v>7</v>
      </c>
      <c r="U373" s="251">
        <f t="shared" si="134"/>
        <v>1.1993491204093956</v>
      </c>
      <c r="V373" s="383">
        <f t="shared" si="135"/>
        <v>15.273776550710823</v>
      </c>
      <c r="W373" s="402">
        <f t="shared" si="136"/>
        <v>9.1995718112524933</v>
      </c>
      <c r="X373" s="157">
        <f t="shared" si="137"/>
        <v>45285</v>
      </c>
      <c r="Y373" s="385">
        <f t="shared" si="138"/>
        <v>8.3305506464427967</v>
      </c>
      <c r="Z373" s="385">
        <f t="shared" si="139"/>
        <v>8.9188931021457929</v>
      </c>
      <c r="AA373" s="386">
        <f t="shared" si="140"/>
        <v>10.439138423940841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0.14562938626319569</v>
      </c>
      <c r="AD373" s="231">
        <f>(INDEX(Models!$BJ373:$BT373,,AH373)*(1-AF373)+INDEX(Models!$BJ373:$BT373,,AH373+1)*AF373-ERP_i)*AE373*Ramure*Pc/MaxiM</f>
        <v>3.4758577296575104E-2</v>
      </c>
      <c r="AE373" s="305">
        <f t="shared" si="142"/>
        <v>0.8</v>
      </c>
      <c r="AF373" s="177">
        <f t="shared" si="143"/>
        <v>0.40006586757429918</v>
      </c>
      <c r="AG373" s="809">
        <f t="shared" si="149"/>
        <v>2</v>
      </c>
      <c r="AH373" s="176">
        <f t="shared" si="144"/>
        <v>8</v>
      </c>
      <c r="AI373" s="225">
        <f t="shared" si="145"/>
        <v>2.4000658675742992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1141">
        <f>IF(t&gt;Tmaj,'2022'!Wh/'2022'!Env_an*'2023'!Env_an,0.001*'[14]mon-tableau (2)'!$B$165)</f>
        <v>15.119464598526038</v>
      </c>
      <c r="C374" s="839"/>
      <c r="D374" s="393">
        <f t="shared" si="127"/>
        <v>16.187657139902214</v>
      </c>
      <c r="E374" s="385">
        <f t="shared" si="150"/>
        <v>17.296257214977572</v>
      </c>
      <c r="F374" s="385">
        <f t="shared" si="128"/>
        <v>17.581694266592173</v>
      </c>
      <c r="G374" s="110">
        <f t="shared" si="151"/>
        <v>0.98461696265898468</v>
      </c>
      <c r="H374" s="414" t="b">
        <f>Wh_hp&gt;='2022'!Maxi_hp</f>
        <v>0</v>
      </c>
      <c r="I374" s="390">
        <f>IF(H374,Wh_hp,'2022'!Maxi_hp)</f>
        <v>17.584999794203402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6.5988087846455962E-2</v>
      </c>
      <c r="M374" s="843"/>
      <c r="N374" s="843"/>
      <c r="O374" s="48">
        <f>IF(t&lt;Tnet,'2022'!Resal+('2022'!Salim-'2022'!Resal)*(1-EXP(('2022'!Tnet-t)/('2022'!Tau_j))),Resal+(Salim-Resal)*(1-EXP((Tnet-t)/(Tau_j))))*Salcycl</f>
        <v>6.4094795844928346E-2</v>
      </c>
      <c r="P374" s="169">
        <f>(INDEX(Models!$BJ374:$BT374,,T374)*(1-R374)+INDEX(Models!$BJ374:$BT374,,T374+1)*R374-ERP_i)*Q374*Ramure*Pc/MaxiM</f>
        <v>1.6591049597992905E-2</v>
      </c>
      <c r="Q374" s="305">
        <f t="shared" si="130"/>
        <v>0.8</v>
      </c>
      <c r="R374" s="177">
        <f t="shared" si="131"/>
        <v>0.19934912040939556</v>
      </c>
      <c r="S374" s="809">
        <f t="shared" si="132"/>
        <v>1</v>
      </c>
      <c r="T374" s="176">
        <f t="shared" si="133"/>
        <v>7</v>
      </c>
      <c r="U374" s="251">
        <f t="shared" si="134"/>
        <v>1.1993491204093956</v>
      </c>
      <c r="V374" s="383">
        <f t="shared" si="135"/>
        <v>15.350122452860662</v>
      </c>
      <c r="W374" s="402">
        <f t="shared" si="136"/>
        <v>15.119464598526038</v>
      </c>
      <c r="X374" s="157">
        <f t="shared" si="137"/>
        <v>45286</v>
      </c>
      <c r="Y374" s="385">
        <f t="shared" si="138"/>
        <v>13.553380057171879</v>
      </c>
      <c r="Z374" s="385">
        <f t="shared" si="139"/>
        <v>14.51092848047511</v>
      </c>
      <c r="AA374" s="386">
        <f t="shared" si="140"/>
        <v>16.985116772142867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0.14566801776280103</v>
      </c>
      <c r="AD374" s="231">
        <f>(INDEX(Models!$BJ374:$BT374,,AH374)*(1-AF374)+INDEX(Models!$BJ374:$BT374,,AH374+1)*AF374-ERP_i)*AE374*Ramure*Pc/MaxiM</f>
        <v>3.4676110699247864E-2</v>
      </c>
      <c r="AE374" s="305">
        <f t="shared" si="142"/>
        <v>0.8</v>
      </c>
      <c r="AF374" s="177">
        <f t="shared" si="143"/>
        <v>0.40006586757429918</v>
      </c>
      <c r="AG374" s="809">
        <f t="shared" si="149"/>
        <v>2</v>
      </c>
      <c r="AH374" s="176">
        <f t="shared" si="144"/>
        <v>8</v>
      </c>
      <c r="AI374" s="225">
        <f t="shared" si="145"/>
        <v>2.4000658675742992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1141">
        <f>IF(t&gt;Tmaj,'2022'!Wh/'2022'!Env_an*'2023'!Env_an,0.001*'[14]mon-tableau (2)'!$B$166)</f>
        <v>6.7313069426861976</v>
      </c>
      <c r="C375" s="839"/>
      <c r="D375" s="393">
        <f t="shared" si="127"/>
        <v>7.2070463415863673</v>
      </c>
      <c r="E375" s="385">
        <f t="shared" si="150"/>
        <v>7.7019135811526311</v>
      </c>
      <c r="F375" s="385">
        <f t="shared" si="128"/>
        <v>7.7267965305324759</v>
      </c>
      <c r="G375" s="110">
        <f t="shared" si="151"/>
        <v>0.43040442268016249</v>
      </c>
      <c r="H375" s="414" t="b">
        <f>Wh_hp&gt;='2022'!Maxi_hp</f>
        <v>0</v>
      </c>
      <c r="I375" s="390">
        <f>IF(H375,Wh_hp,'2022'!Maxi_hp)</f>
        <v>16.697654329104385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6.6010314954552257E-2</v>
      </c>
      <c r="M375" s="843"/>
      <c r="N375" s="843"/>
      <c r="O375" s="48">
        <f>IF(t&lt;Tnet,'2022'!Resal+('2022'!Salim-'2022'!Resal)*(1-EXP(('2022'!Tnet-t)/('2022'!Tau_j))),Resal+(Salim-Resal)*(1-EXP((Tnet-t)/(Tau_j))))*Salcycl</f>
        <v>6.4252504829092769E-2</v>
      </c>
      <c r="P375" s="169">
        <f>(INDEX(Models!$BJ375:$BT375,,T375)*(1-R375)+INDEX(Models!$BJ375:$BT375,,T375+1)*R375-ERP_i)*Q375*Ramure*Pc/MaxiM</f>
        <v>1.6546521922489489E-2</v>
      </c>
      <c r="Q375" s="305">
        <f t="shared" si="130"/>
        <v>0.8</v>
      </c>
      <c r="R375" s="177">
        <f t="shared" si="131"/>
        <v>0.19934912040939556</v>
      </c>
      <c r="S375" s="809">
        <f t="shared" si="132"/>
        <v>1</v>
      </c>
      <c r="T375" s="176">
        <f t="shared" si="133"/>
        <v>7</v>
      </c>
      <c r="U375" s="251">
        <f t="shared" si="134"/>
        <v>1.1993491204093956</v>
      </c>
      <c r="V375" s="383">
        <f t="shared" si="135"/>
        <v>15.430404981686863</v>
      </c>
      <c r="W375" s="402">
        <f t="shared" si="136"/>
        <v>6.7313069426861976</v>
      </c>
      <c r="X375" s="157">
        <f t="shared" si="137"/>
        <v>45287</v>
      </c>
      <c r="Y375" s="385">
        <f t="shared" si="138"/>
        <v>6.123663073080448</v>
      </c>
      <c r="Z375" s="385">
        <f t="shared" si="139"/>
        <v>6.5564568550695199</v>
      </c>
      <c r="AA375" s="386">
        <f t="shared" si="140"/>
        <v>7.6747192418432117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0.14570726974308476</v>
      </c>
      <c r="AD375" s="231">
        <f>(INDEX(Models!$BJ375:$BT375,,AH375)*(1-AF375)+INDEX(Models!$BJ375:$BT375,,AH375+1)*AF375-ERP_i)*AE375*Ramure*Pc/MaxiM</f>
        <v>3.4630058752547759E-2</v>
      </c>
      <c r="AE375" s="305">
        <f t="shared" si="142"/>
        <v>0.8</v>
      </c>
      <c r="AF375" s="177">
        <f t="shared" si="143"/>
        <v>0.40006586757429918</v>
      </c>
      <c r="AG375" s="809">
        <f t="shared" si="149"/>
        <v>2</v>
      </c>
      <c r="AH375" s="176">
        <f t="shared" si="144"/>
        <v>8</v>
      </c>
      <c r="AI375" s="225">
        <f t="shared" si="145"/>
        <v>2.4000658675742992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1141">
        <f>IF(t&gt;Tmaj,'2022'!Wh/'2022'!Env_an*'2023'!Env_an,0.001*'[14]mon-tableau (2)'!$B$167)</f>
        <v>14.200974597963596</v>
      </c>
      <c r="C376" s="839"/>
      <c r="D376" s="393">
        <f t="shared" si="127"/>
        <v>15.204999349186391</v>
      </c>
      <c r="E376" s="385">
        <f t="shared" si="150"/>
        <v>16.251780549974395</v>
      </c>
      <c r="F376" s="385">
        <f t="shared" si="128"/>
        <v>16.49107706938744</v>
      </c>
      <c r="G376" s="110">
        <f t="shared" si="151"/>
        <v>0.91345064907200424</v>
      </c>
      <c r="H376" s="414" t="b">
        <f>Wh_hp&gt;='2022'!Maxi_hp</f>
        <v>0</v>
      </c>
      <c r="I376" s="390">
        <f>IF(H376,Wh_hp,'2022'!Maxi_hp)</f>
        <v>16.508460643102687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6.6032541545391205E-2</v>
      </c>
      <c r="M376" s="843"/>
      <c r="N376" s="843"/>
      <c r="O376" s="48">
        <f>IF(t&lt;Tnet,'2022'!Resal+('2022'!Salim-'2022'!Resal)*(1-EXP(('2022'!Tnet-t)/('2022'!Tau_j))),Resal+(Salim-Resal)*(1-EXP((Tnet-t)/(Tau_j))))*Salcycl</f>
        <v>6.4410247084566663E-2</v>
      </c>
      <c r="P376" s="169">
        <f>(INDEX(Models!$BJ376:$BT376,,T376)*(1-R376)+INDEX(Models!$BJ376:$BT376,,T376+1)*R376-ERP_i)*Q376*Ramure*Pc/MaxiM</f>
        <v>1.6507999067836308E-2</v>
      </c>
      <c r="Q376" s="305">
        <f t="shared" si="130"/>
        <v>0.8</v>
      </c>
      <c r="R376" s="177">
        <f t="shared" si="131"/>
        <v>0.19934912040939556</v>
      </c>
      <c r="S376" s="809">
        <f t="shared" si="132"/>
        <v>1</v>
      </c>
      <c r="T376" s="176">
        <f t="shared" si="133"/>
        <v>7</v>
      </c>
      <c r="U376" s="251">
        <f t="shared" si="134"/>
        <v>1.1993491204093956</v>
      </c>
      <c r="V376" s="383">
        <f t="shared" si="135"/>
        <v>15.515006641408512</v>
      </c>
      <c r="W376" s="402">
        <f t="shared" si="136"/>
        <v>14.200974597963596</v>
      </c>
      <c r="X376" s="157">
        <f t="shared" si="137"/>
        <v>45288</v>
      </c>
      <c r="Y376" s="385">
        <f t="shared" si="138"/>
        <v>12.757093502390161</v>
      </c>
      <c r="Z376" s="385">
        <f t="shared" si="139"/>
        <v>13.65903424890061</v>
      </c>
      <c r="AA376" s="386">
        <f t="shared" si="140"/>
        <v>15.989449828602334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0.14574707727172806</v>
      </c>
      <c r="AD376" s="231">
        <f>(INDEX(Models!$BJ376:$BT376,,AH376)*(1-AF376)+INDEX(Models!$BJ376:$BT376,,AH376+1)*AF376-ERP_i)*AE376*Ramure*Pc/MaxiM</f>
        <v>3.4605024943920544E-2</v>
      </c>
      <c r="AE376" s="305">
        <f t="shared" si="142"/>
        <v>0.8</v>
      </c>
      <c r="AF376" s="177">
        <f t="shared" si="143"/>
        <v>0.40006586757429918</v>
      </c>
      <c r="AG376" s="809">
        <f t="shared" si="149"/>
        <v>2</v>
      </c>
      <c r="AH376" s="176">
        <f t="shared" si="144"/>
        <v>8</v>
      </c>
      <c r="AI376" s="225">
        <f t="shared" si="145"/>
        <v>2.4000658675742992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1141">
        <f>IF(t&gt;Tmaj,'2022'!Wh/'2022'!Env_an*'2023'!Env_an,0.001*'[14]mon-tableau (2)'!$B$168)</f>
        <v>8.3227085061225701</v>
      </c>
      <c r="C377" s="839"/>
      <c r="D377" s="393">
        <f t="shared" si="127"/>
        <v>8.9113453525583317</v>
      </c>
      <c r="E377" s="385">
        <f t="shared" si="150"/>
        <v>9.526449097344285</v>
      </c>
      <c r="F377" s="385">
        <f t="shared" si="128"/>
        <v>9.5790604783796773</v>
      </c>
      <c r="G377" s="110">
        <f t="shared" si="151"/>
        <v>0.52747204483898746</v>
      </c>
      <c r="H377" s="414" t="b">
        <f>Wh_hp&gt;='2022'!Maxi_hp</f>
        <v>0</v>
      </c>
      <c r="I377" s="390">
        <f>IF(H377,Wh_hp,'2022'!Maxi_hp)</f>
        <v>18.884024419131489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6.6054767618985016E-2</v>
      </c>
      <c r="M377" s="843"/>
      <c r="N377" s="843"/>
      <c r="O377" s="48">
        <f>IF(t&lt;Tnet,'2022'!Resal+('2022'!Salim-'2022'!Resal)*(1-EXP(('2022'!Tnet-t)/('2022'!Tau_j))),Resal+(Salim-Resal)*(1-EXP((Tnet-t)/(Tau_j))))*Salcycl</f>
        <v>6.456799784480316E-2</v>
      </c>
      <c r="P377" s="169">
        <f>(INDEX(Models!$BJ377:$BT377,,T377)*(1-R377)+INDEX(Models!$BJ377:$BT377,,T377+1)*R377-ERP_i)*Q377*Ramure*Pc/MaxiM</f>
        <v>1.6474964023069975E-2</v>
      </c>
      <c r="Q377" s="305">
        <f t="shared" si="130"/>
        <v>0.8</v>
      </c>
      <c r="R377" s="177">
        <f t="shared" si="131"/>
        <v>0.19934912040939556</v>
      </c>
      <c r="S377" s="809">
        <f t="shared" si="132"/>
        <v>1</v>
      </c>
      <c r="T377" s="176">
        <f t="shared" si="133"/>
        <v>7</v>
      </c>
      <c r="U377" s="251">
        <f t="shared" si="134"/>
        <v>1.1993491204093956</v>
      </c>
      <c r="V377" s="383">
        <f t="shared" si="135"/>
        <v>15.604236360519026</v>
      </c>
      <c r="W377" s="402">
        <f t="shared" si="136"/>
        <v>8.3227085061225701</v>
      </c>
      <c r="X377" s="157">
        <f t="shared" si="137"/>
        <v>45289</v>
      </c>
      <c r="Y377" s="385">
        <f t="shared" si="138"/>
        <v>7.5539090202195149</v>
      </c>
      <c r="Z377" s="385">
        <f t="shared" si="139"/>
        <v>8.0881712956138312</v>
      </c>
      <c r="AA377" s="386">
        <f t="shared" si="140"/>
        <v>9.4685691863333599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0.14578737965097743</v>
      </c>
      <c r="AD377" s="231">
        <f>(INDEX(Models!$BJ377:$BT377,,AH377)*(1-AF377)+INDEX(Models!$BJ377:$BT377,,AH377+1)*AF377-ERP_i)*AE377*Ramure*Pc/MaxiM</f>
        <v>3.4599739172424336E-2</v>
      </c>
      <c r="AE377" s="305">
        <f t="shared" si="142"/>
        <v>0.8</v>
      </c>
      <c r="AF377" s="177">
        <f t="shared" si="143"/>
        <v>0.40006586757429918</v>
      </c>
      <c r="AG377" s="809">
        <f t="shared" si="149"/>
        <v>2</v>
      </c>
      <c r="AH377" s="176">
        <f t="shared" si="144"/>
        <v>8</v>
      </c>
      <c r="AI377" s="225">
        <f t="shared" si="145"/>
        <v>2.4000658675742992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1141">
        <f>IF(t&gt;Tmaj,'2022'!Wh/'2022'!Env_an*'2023'!Env_an,0.001*'[14]mon-tableau (2)'!$B$169)</f>
        <v>10.808126756942283</v>
      </c>
      <c r="C378" s="839"/>
      <c r="D378" s="393">
        <f t="shared" si="127"/>
        <v>11.57282418139585</v>
      </c>
      <c r="E378" s="385">
        <f t="shared" si="150"/>
        <v>12.373722449841473</v>
      </c>
      <c r="F378" s="385">
        <f t="shared" si="128"/>
        <v>12.487706514870151</v>
      </c>
      <c r="G378" s="110">
        <f t="shared" si="151"/>
        <v>0.68340017185061663</v>
      </c>
      <c r="H378" s="414" t="b">
        <f>Wh_hp&gt;='2022'!Maxi_hp</f>
        <v>0</v>
      </c>
      <c r="I378" s="390">
        <f>IF(H378,Wh_hp,'2022'!Maxi_hp)</f>
        <v>17.411891706814348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6.6076993175345572E-2</v>
      </c>
      <c r="M378" s="843"/>
      <c r="N378" s="843"/>
      <c r="O378" s="48">
        <f>IF(t&lt;Tnet,'2022'!Resal+('2022'!Salim-'2022'!Resal)*(1-EXP(('2022'!Tnet-t)/('2022'!Tau_j))),Resal+(Salim-Resal)*(1-EXP((Tnet-t)/(Tau_j))))*Salcycl</f>
        <v>6.4725734045851691E-2</v>
      </c>
      <c r="P378" s="169">
        <f>(INDEX(Models!$BJ378:$BT378,,T378)*(1-R378)+INDEX(Models!$BJ378:$BT378,,T378+1)*R378-ERP_i)*Q378*Ramure*Pc/MaxiM</f>
        <v>1.6446912770923059E-2</v>
      </c>
      <c r="Q378" s="305">
        <f t="shared" si="130"/>
        <v>0.8</v>
      </c>
      <c r="R378" s="177">
        <f t="shared" si="131"/>
        <v>0.19934912040939556</v>
      </c>
      <c r="S378" s="809">
        <f t="shared" si="132"/>
        <v>1</v>
      </c>
      <c r="T378" s="176">
        <f t="shared" si="133"/>
        <v>7</v>
      </c>
      <c r="U378" s="251">
        <f t="shared" si="134"/>
        <v>1.1993491204093956</v>
      </c>
      <c r="V378" s="383">
        <f t="shared" si="135"/>
        <v>15.698402672333579</v>
      </c>
      <c r="W378" s="402">
        <f t="shared" si="136"/>
        <v>10.808126756942283</v>
      </c>
      <c r="X378" s="157">
        <f t="shared" si="137"/>
        <v>45290</v>
      </c>
      <c r="Y378" s="385">
        <f t="shared" si="138"/>
        <v>9.7704661969892896</v>
      </c>
      <c r="Z378" s="385">
        <f t="shared" si="139"/>
        <v>10.46174698084476</v>
      </c>
      <c r="AA378" s="386">
        <f t="shared" si="140"/>
        <v>12.247824158907816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0.14582812056164646</v>
      </c>
      <c r="AD378" s="231">
        <f>(INDEX(Models!$BJ378:$BT378,,AH378)*(1-AF378)+INDEX(Models!$BJ378:$BT378,,AH378+1)*AF378-ERP_i)*AE378*Ramure*Pc/MaxiM</f>
        <v>3.4612945088450753E-2</v>
      </c>
      <c r="AE378" s="305">
        <f t="shared" si="142"/>
        <v>0.8</v>
      </c>
      <c r="AF378" s="177">
        <f t="shared" si="143"/>
        <v>0.40006586757429918</v>
      </c>
      <c r="AG378" s="809">
        <f t="shared" si="149"/>
        <v>2</v>
      </c>
      <c r="AH378" s="176">
        <f t="shared" si="144"/>
        <v>8</v>
      </c>
      <c r="AI378" s="225">
        <f t="shared" si="145"/>
        <v>2.4000658675742992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1141">
        <f>IF(t&gt;Tmaj,'2022'!Wh/'2022'!Env_an*'2023'!Env_an,0.001*'[14]mon-tableau (2)'!$B$170)</f>
        <v>8.871223615022382</v>
      </c>
      <c r="C379" s="839"/>
      <c r="D379" s="393">
        <f t="shared" si="127"/>
        <v>9.4991071728857364</v>
      </c>
      <c r="E379" s="385">
        <f t="shared" si="150"/>
        <v>10.158206497735343</v>
      </c>
      <c r="F379" s="385">
        <f t="shared" si="128"/>
        <v>10.220926307248211</v>
      </c>
      <c r="G379" s="110">
        <f t="shared" si="151"/>
        <v>0.55573527755803942</v>
      </c>
      <c r="H379" s="414" t="b">
        <f>Wh_hp&gt;='2022'!Maxi_hp</f>
        <v>0</v>
      </c>
      <c r="I379" s="390">
        <f>IF(H379,Wh_hp,'2022'!Maxi_hp)</f>
        <v>17.60535838608622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6.6099218214485084E-2</v>
      </c>
      <c r="M379" s="843"/>
      <c r="N379" s="843"/>
      <c r="O379" s="48">
        <f>IF(t&lt;Tnet,'2022'!Resal+('2022'!Salim-'2022'!Resal)*(1-EXP(('2022'!Tnet-t)/('2022'!Tau_j))),Resal+(Salim-Resal)*(1-EXP((Tnet-t)/(Tau_j))))*Salcycl</f>
        <v>6.4883434393319839E-2</v>
      </c>
      <c r="P379" s="169">
        <f>(INDEX(Models!$BJ379:$BT379,,T379)*(1-R379)+INDEX(Models!$BJ379:$BT379,,T379+1)*R379-ERP_i)*Q379*Ramure*Pc/MaxiM</f>
        <v>1.6423354035852305E-2</v>
      </c>
      <c r="Q379" s="306">
        <f t="shared" si="130"/>
        <v>0.8</v>
      </c>
      <c r="R379" s="177">
        <f t="shared" si="131"/>
        <v>0.19934912040939556</v>
      </c>
      <c r="S379" s="809">
        <f t="shared" si="132"/>
        <v>1</v>
      </c>
      <c r="T379" s="176">
        <f t="shared" si="133"/>
        <v>7</v>
      </c>
      <c r="U379" s="307">
        <f t="shared" si="134"/>
        <v>1.1993491204093956</v>
      </c>
      <c r="V379" s="383">
        <f t="shared" si="135"/>
        <v>15.797813723590405</v>
      </c>
      <c r="W379" s="402">
        <f t="shared" si="136"/>
        <v>8.871223615022382</v>
      </c>
      <c r="X379" s="157">
        <f t="shared" si="137"/>
        <v>45291</v>
      </c>
      <c r="Y379" s="385">
        <f t="shared" si="138"/>
        <v>8.04742775916983</v>
      </c>
      <c r="Z379" s="385">
        <f t="shared" si="139"/>
        <v>8.6170050567727756</v>
      </c>
      <c r="AA379" s="386">
        <f t="shared" si="140"/>
        <v>10.088625234776487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0.14586924816385188</v>
      </c>
      <c r="AD379" s="231">
        <f>(INDEX(Models!$BJ379:$BT379,,AH379)*(1-AF379)+INDEX(Models!$BJ379:$BT379,,AH379+1)*AF379-ERP_i)*AE379*Ramure*Pc/MaxiM</f>
        <v>3.4643398463769896E-2</v>
      </c>
      <c r="AE379" s="306">
        <f t="shared" si="142"/>
        <v>0.8</v>
      </c>
      <c r="AF379" s="177">
        <f t="shared" si="143"/>
        <v>0.40006586757429918</v>
      </c>
      <c r="AG379" s="809">
        <f t="shared" si="149"/>
        <v>2</v>
      </c>
      <c r="AH379" s="176">
        <f t="shared" si="144"/>
        <v>8</v>
      </c>
      <c r="AI379" s="222">
        <f t="shared" si="145"/>
        <v>2.4000658675742992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11.335499542840072</v>
      </c>
      <c r="J380" s="85">
        <f>IF(H380,An,'2022'!An_max)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83">
        <f>(V379+V15)/2</f>
        <v>15.496519150249938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9.0516021673760747</v>
      </c>
      <c r="J381" s="57">
        <f>MIN(J15:J380)</f>
        <v>2018</v>
      </c>
      <c r="K381" s="200" t="s">
        <v>7</v>
      </c>
      <c r="L381" s="146">
        <f t="shared" ref="L381:T381" si="152">MIN(L15:L380)</f>
        <v>5.797503707559673E-2</v>
      </c>
      <c r="M381" s="845"/>
      <c r="N381" s="845"/>
      <c r="O381" s="47">
        <f t="shared" si="152"/>
        <v>1.8199148020337074E-2</v>
      </c>
      <c r="P381" s="168">
        <f t="shared" si="152"/>
        <v>1.3714069735903495E-3</v>
      </c>
      <c r="Q381" s="310">
        <f t="shared" si="152"/>
        <v>0.8</v>
      </c>
      <c r="R381" s="311">
        <f t="shared" si="152"/>
        <v>5.375401888623621E-3</v>
      </c>
      <c r="S381" s="809">
        <f t="shared" si="152"/>
        <v>0</v>
      </c>
      <c r="T381" s="176">
        <f t="shared" si="152"/>
        <v>6</v>
      </c>
      <c r="U381" s="252">
        <f>+MIN(U15:U380)</f>
        <v>0.59935064805280081</v>
      </c>
      <c r="V381" s="57">
        <f>MIN(V15:V380)</f>
        <v>14.664605616554368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0.13331824930371641</v>
      </c>
      <c r="AD381" s="168">
        <f t="shared" si="153"/>
        <v>5.7650038004418546E-3</v>
      </c>
      <c r="AE381" s="310">
        <f t="shared" si="153"/>
        <v>0.8</v>
      </c>
      <c r="AF381" s="311">
        <f t="shared" si="153"/>
        <v>4.3597111595867766E-3</v>
      </c>
      <c r="AG381" s="809">
        <f t="shared" si="153"/>
        <v>1</v>
      </c>
      <c r="AH381" s="176">
        <f t="shared" si="153"/>
        <v>7</v>
      </c>
      <c r="AI381" s="226">
        <f>MIN(AI15:AI380)</f>
        <v>1.8000673952177042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25.749116716697014</v>
      </c>
      <c r="C382" s="375"/>
      <c r="D382" s="375">
        <f>AVERAGE(D15:D380)</f>
        <v>27.448396151628707</v>
      </c>
      <c r="E382" s="375">
        <f>AVERAGE(E15:E380)</f>
        <v>29.246831182557443</v>
      </c>
      <c r="F382" s="376">
        <f>AVERAGE(F15:F380)</f>
        <v>29.3950520701773</v>
      </c>
      <c r="G382" s="126">
        <f>AVERAGE(G15:G380)</f>
        <v>0.67652532264933529</v>
      </c>
      <c r="H382" s="94"/>
      <c r="I382" s="376">
        <f>AVERAGE(I15:I380)</f>
        <v>39.040629979717743</v>
      </c>
      <c r="J382" s="59">
        <f>AVERAGE(J15:J380)</f>
        <v>2020.2868852459017</v>
      </c>
      <c r="K382" s="200" t="s">
        <v>8</v>
      </c>
      <c r="L382" s="147">
        <f t="shared" ref="L382:V382" si="154">AVERAGE(L15:L380)</f>
        <v>6.2042846817052216E-2</v>
      </c>
      <c r="M382" s="843"/>
      <c r="N382" s="843"/>
      <c r="O382" s="48">
        <f t="shared" si="154"/>
        <v>7.113237566514477E-2</v>
      </c>
      <c r="P382" s="169">
        <f t="shared" si="154"/>
        <v>8.9443615981807997E-3</v>
      </c>
      <c r="Q382" s="312">
        <f t="shared" si="154"/>
        <v>0.80000000000000548</v>
      </c>
      <c r="R382" s="177">
        <f t="shared" si="154"/>
        <v>0.42288219732848592</v>
      </c>
      <c r="S382" s="809">
        <f t="shared" si="154"/>
        <v>0.51232876712328768</v>
      </c>
      <c r="T382" s="176">
        <f t="shared" si="154"/>
        <v>6.5123287671232877</v>
      </c>
      <c r="U382" s="251">
        <f t="shared" si="154"/>
        <v>0.93521096445177387</v>
      </c>
      <c r="V382" s="59">
        <f t="shared" si="154"/>
        <v>36.023654640543889</v>
      </c>
      <c r="X382" s="112" t="s">
        <v>8</v>
      </c>
      <c r="Y382" s="375">
        <f>AVERAGE(Y15:Y380)</f>
        <v>23.202878941457808</v>
      </c>
      <c r="Z382" s="375">
        <f>AVERAGE(Z15:Z380)</f>
        <v>24.732958409395849</v>
      </c>
      <c r="AA382" s="375">
        <f>AVERAGE(AA15:AA380)</f>
        <v>28.971984633327743</v>
      </c>
      <c r="AB382" s="200" t="s">
        <v>8</v>
      </c>
      <c r="AC382" s="48">
        <f t="shared" ref="AC382:AH382" si="155">AVERAGE(AC15:AC380)</f>
        <v>0.14780786474782906</v>
      </c>
      <c r="AD382" s="169">
        <f t="shared" si="155"/>
        <v>2.4592727060314734E-2</v>
      </c>
      <c r="AE382" s="312">
        <f t="shared" si="155"/>
        <v>0.80000000000000548</v>
      </c>
      <c r="AF382" s="177">
        <f t="shared" si="155"/>
        <v>0.5304482595618828</v>
      </c>
      <c r="AG382" s="809">
        <f t="shared" si="155"/>
        <v>1.6054794520547946</v>
      </c>
      <c r="AH382" s="176">
        <f t="shared" si="155"/>
        <v>7.6054794520547944</v>
      </c>
      <c r="AI382" s="225">
        <f>AVERAGE(AI15:AI380)</f>
        <v>2.1359277116166777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55.951125712258673</v>
      </c>
      <c r="C383" s="377"/>
      <c r="D383" s="377">
        <f>MAX(D15:D380)</f>
        <v>59.646618409359455</v>
      </c>
      <c r="E383" s="377">
        <f>MAX(E15:E380)</f>
        <v>61.63183135816373</v>
      </c>
      <c r="F383" s="378">
        <f>MAX(F15:F380)</f>
        <v>61.907521444604455</v>
      </c>
      <c r="G383" s="127">
        <f>+MAX(G15:G380)</f>
        <v>1.0459540036296506</v>
      </c>
      <c r="H383" s="94"/>
      <c r="I383" s="378">
        <f>MAX(I15:I380)</f>
        <v>64.737412852018437</v>
      </c>
      <c r="J383" s="60">
        <f>MAX(J15:J380)</f>
        <v>2023</v>
      </c>
      <c r="K383" s="200" t="s">
        <v>9</v>
      </c>
      <c r="L383" s="148">
        <f t="shared" ref="L383:T383" si="156">MAX(L15:L380)</f>
        <v>6.6099218214485084E-2</v>
      </c>
      <c r="M383" s="846"/>
      <c r="N383" s="846"/>
      <c r="O383" s="49">
        <f t="shared" si="156"/>
        <v>0.13317606880789065</v>
      </c>
      <c r="P383" s="170">
        <f t="shared" si="156"/>
        <v>2.2898683757569298E-2</v>
      </c>
      <c r="Q383" s="313">
        <f t="shared" si="156"/>
        <v>0.8</v>
      </c>
      <c r="R383" s="314">
        <f t="shared" si="156"/>
        <v>0.99993486645162832</v>
      </c>
      <c r="S383" s="810">
        <f t="shared" si="156"/>
        <v>1</v>
      </c>
      <c r="T383" s="233">
        <f t="shared" si="156"/>
        <v>7</v>
      </c>
      <c r="U383" s="253">
        <f>+MAX(U15:U380)</f>
        <v>1.1993491204093956</v>
      </c>
      <c r="V383" s="60">
        <f>MAX(V15:V380)</f>
        <v>56.862051018796684</v>
      </c>
      <c r="X383" s="112" t="s">
        <v>9</v>
      </c>
      <c r="Y383" s="377">
        <f>MAX(Y15:Y380)</f>
        <v>49.231158690963305</v>
      </c>
      <c r="Z383" s="377">
        <f>MAX(Z15:Z380)</f>
        <v>52.482807073301458</v>
      </c>
      <c r="AA383" s="377">
        <f>MAX(AA15:AA380)</f>
        <v>61.165370874289941</v>
      </c>
      <c r="AB383" s="200" t="s">
        <v>9</v>
      </c>
      <c r="AC383" s="49">
        <f t="shared" ref="AC383:AH383" si="157">MAX(AC15:AC380)</f>
        <v>0.15942943352365418</v>
      </c>
      <c r="AD383" s="170">
        <f t="shared" si="157"/>
        <v>5.4648367455266127E-2</v>
      </c>
      <c r="AE383" s="313">
        <f t="shared" si="157"/>
        <v>0.8</v>
      </c>
      <c r="AF383" s="314">
        <f t="shared" si="157"/>
        <v>0.99884359265832634</v>
      </c>
      <c r="AG383" s="810">
        <f t="shared" si="157"/>
        <v>2</v>
      </c>
      <c r="AH383" s="233">
        <f t="shared" si="157"/>
        <v>8</v>
      </c>
      <c r="AI383" s="227">
        <f>MAX(AI15:AI380)</f>
        <v>2.4000658675742992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  <row r="385" spans="1:30" s="1291" customFormat="1" ht="11.25" x14ac:dyDescent="0.2">
      <c r="A385" s="6"/>
      <c r="B385" s="598" t="s">
        <v>398</v>
      </c>
      <c r="C385" s="8"/>
      <c r="D385" s="8"/>
      <c r="E385" s="25"/>
      <c r="F385" s="26"/>
      <c r="G385" s="6"/>
      <c r="H385" s="75"/>
      <c r="I385" s="6"/>
      <c r="J385" s="8"/>
      <c r="K385" s="8"/>
      <c r="L385" s="10"/>
      <c r="M385" s="10"/>
      <c r="N385" s="10"/>
      <c r="O385" s="1290"/>
      <c r="P385" s="1290"/>
      <c r="Q385" s="1290"/>
      <c r="AC385" s="1292"/>
      <c r="AD385" s="129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0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'2023'!An+1</f>
        <v>2024</v>
      </c>
      <c r="K1" s="1275"/>
      <c r="L1" s="113" t="str">
        <f>"Calcul pertes et enveloppes en "&amp;TEXT(An,0)</f>
        <v>Calcul pertes et enveloppes en 2024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630.56535204016348</v>
      </c>
      <c r="AK4" s="832">
        <f>AM12-AK12</f>
        <v>85.250292153599759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630.56535204016348</v>
      </c>
      <c r="AA5" s="237">
        <f>Wh_Pvg_s-Wh_Pvg</f>
        <v>85.250292153599759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8972.382489387699</v>
      </c>
      <c r="AK6" s="515">
        <f>SUMIF(AK15:AK380,"FAUX",Wh)</f>
        <v>8972.382489387699</v>
      </c>
      <c r="AL6" s="515">
        <f>SUMIF(AJ15:AJ380,"FAUX",Wh_s)</f>
        <v>8233.3520218315789</v>
      </c>
      <c r="AM6" s="515">
        <f>SUMIF(AK15:AK380,"FAUX",Wh_s)</f>
        <v>8233.3520218315789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9647.2715120322755</v>
      </c>
      <c r="AK8" s="515">
        <f>SUMIF(AK15:AK380,"FAUX",Wh_sa)</f>
        <v>10623.046023313935</v>
      </c>
      <c r="AL8" s="515">
        <f>SUMIF(AJ15:AJ380,"FAUX",Wh_pvt_s)</f>
        <v>8852.7145731594028</v>
      </c>
      <c r="AM8" s="515">
        <f>SUMIF(AK15:AK380,"FAUX",Wh_sa_s)</f>
        <v>10506.496242102345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9647.2715120322755</v>
      </c>
      <c r="E9" s="184">
        <f>SUM(E$15:E$380)</f>
        <v>10623.046023313935</v>
      </c>
      <c r="F9" s="184">
        <f>SUM(F$15:F$380)</f>
        <v>10722.818769885815</v>
      </c>
      <c r="H9" s="1276">
        <f>+SUM(Wh)</f>
        <v>8972.382489387699</v>
      </c>
      <c r="I9" s="1277"/>
      <c r="J9" s="1278"/>
      <c r="K9" s="191"/>
      <c r="L9" s="232"/>
      <c r="M9" s="232"/>
      <c r="N9" s="232"/>
      <c r="O9" s="223">
        <f>Tnet_2024</f>
        <v>45046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8233.3520218315789</v>
      </c>
      <c r="Y9" s="1271"/>
      <c r="Z9" s="515">
        <f>SUM(Z$15:Z$380)</f>
        <v>8852.7145731594028</v>
      </c>
      <c r="AA9" s="515">
        <f>SUM(AA$15:AA$380)</f>
        <v>10506.496242102345</v>
      </c>
      <c r="AB9" s="515">
        <f>F9</f>
        <v>10722.818769885815</v>
      </c>
      <c r="AC9" s="325">
        <f>IF(An_Tnet,Tnet,'2023'!Tnet_s)</f>
        <v>45046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1.7999999999999999E-2</v>
      </c>
      <c r="P10" s="420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IF(OR(Inflex,GainD),'2023'!Resal_s+('2023'!Salim-'2023'!Resal_s)*(1-EXP(('2023'!Tnet_s-Tnet)/('2023'!Tau_j))),IF(Acti_net,'2023'!Resal+('2023'!Salim-'2023'!Resal)*(1-EXP(('2023'!Tnet-Tnet)/'2023'!Tau_j)),'2023'!Resal_s))</f>
        <v>0.13185938620781923</v>
      </c>
      <c r="AD10" s="427"/>
      <c r="AE10" s="427"/>
      <c r="AF10" s="260"/>
      <c r="AG10" s="261"/>
      <c r="AH10" s="262"/>
      <c r="AI10" s="472"/>
      <c r="AJ10" s="515">
        <f>SUMIF(AJ15:AJ380,"FAUX",Wh_sa)</f>
        <v>10623.046023313935</v>
      </c>
      <c r="AK10" s="515">
        <f>SUMIF(AK15:AK380,"FAUX",Wh_hp)</f>
        <v>10722.818769885815</v>
      </c>
      <c r="AL10" s="515">
        <f>SUMIF(AJ15:AJ380,"FAUX",Wh_sa_s)</f>
        <v>10506.496242102345</v>
      </c>
      <c r="AM10" s="515">
        <f>SUMIF(AK15:AK380,"FAUX",Wh_hp)</f>
        <v>10722.818769885815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674.88902264457647</v>
      </c>
      <c r="E11" s="51">
        <f>(E$9-D$9)*Prod_an/D$9</f>
        <v>907.51277474620213</v>
      </c>
      <c r="F11" s="186">
        <f>(F$9-E$9)*Prod_an/E$9</f>
        <v>84.269543998491315</v>
      </c>
      <c r="G11" s="185" t="s">
        <v>6</v>
      </c>
      <c r="K11" s="194"/>
      <c r="L11" s="211">
        <f>Tvie_2024</f>
        <v>44743</v>
      </c>
      <c r="M11" s="842"/>
      <c r="N11" s="842"/>
      <c r="O11" s="202">
        <f>IF(An_Tnet,Salim_2024,'2023'!Salim)</f>
        <v>0.18000000000000002</v>
      </c>
      <c r="P11" s="256">
        <f>Ttai_2024</f>
        <v>44576</v>
      </c>
      <c r="Q11" s="272">
        <f>Dens_2024</f>
        <v>0.8</v>
      </c>
      <c r="R11" s="277"/>
      <c r="S11" s="230"/>
      <c r="T11" s="230"/>
      <c r="U11" s="266">
        <f>Htf_2024</f>
        <v>1.7993491204093957</v>
      </c>
      <c r="V11" s="427"/>
      <c r="W11" s="518"/>
      <c r="X11" s="525" t="s">
        <v>43</v>
      </c>
      <c r="Y11" s="50">
        <f>Z$9-Prod_an_s</f>
        <v>619.36255132782389</v>
      </c>
      <c r="Z11" s="51">
        <f>(AA$9-Z$9)*Prod_an_s/Z$9</f>
        <v>1538.0781267863656</v>
      </c>
      <c r="AA11" s="186">
        <f>(AB$9-AA$9)*Prod_an_s/AA$9</f>
        <v>169.51983615209107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4.5954003629650186E-2</v>
      </c>
      <c r="K12" s="191"/>
      <c r="L12" s="212">
        <f>Pspv_2024</f>
        <v>2.1111111111111112E-2</v>
      </c>
      <c r="M12" s="212"/>
      <c r="N12" s="212"/>
      <c r="O12" s="205">
        <f>IF(An_Tnet,Tau_2024*365,'2023'!Tau_j)</f>
        <v>717.83333333333337</v>
      </c>
      <c r="P12" s="281">
        <f>INDEX(Croivg,MIN(MAX(Ttai-$A$15,0)+1,366))</f>
        <v>2.3909964587625958E-6</v>
      </c>
      <c r="Q12" s="280">
        <f>'2023'!Df</f>
        <v>0.8</v>
      </c>
      <c r="R12" s="278"/>
      <c r="S12" s="279"/>
      <c r="T12" s="279"/>
      <c r="U12" s="267">
        <f>'2023'!Hdf</f>
        <v>1.1993491204093956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'2023'!Df_s</f>
        <v>0.8</v>
      </c>
      <c r="AF12" s="203"/>
      <c r="AG12" s="203"/>
      <c r="AH12" s="203"/>
      <c r="AI12" s="297">
        <f>'2023'!Hdf_s</f>
        <v>2.4000658675742992</v>
      </c>
      <c r="AJ12" s="831">
        <f>IF($AJ8=0,0,($AJ10-$AJ8)*$AJ6/$AJ8)</f>
        <v>907.51277474620213</v>
      </c>
      <c r="AK12" s="832">
        <f>IF($AK8=0,0,($AK10-$AK8)*$AK6/$AK8)</f>
        <v>84.269543998491315</v>
      </c>
      <c r="AL12" s="831">
        <f>IF($AL8=0,0,($AL10-$AL8)*$AL6/$AL8)</f>
        <v>1538.0781267863656</v>
      </c>
      <c r="AM12" s="832">
        <f>IF($AM8=0,0,($AM10-$AM8)*$AM6/$AM8)</f>
        <v>169.51983615209107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907.51277474620213</v>
      </c>
      <c r="AK13" s="73">
        <f>+AK11+AK12</f>
        <v>84.269543998491315</v>
      </c>
      <c r="AL13" s="73">
        <f>+AL11+AL12</f>
        <v>1538.0781267863656</v>
      </c>
      <c r="AM13" s="73">
        <f>+AM11+AM12</f>
        <v>169.51983615209107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93" t="s">
        <v>400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2024</v>
      </c>
      <c r="W14" s="836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IF(t&gt;Tmaj,'2023'!Wh/'2023'!Env_an*'2024'!Env_an,0.001*'[3]mon-tableau (2)'!$B$140)</f>
        <v>6.0700719256667357</v>
      </c>
      <c r="C15" s="839"/>
      <c r="D15" s="393">
        <f t="shared" ref="D15:D78" si="0">Wh/(1-Ppv)</f>
        <v>6.4998514833160197</v>
      </c>
      <c r="E15" s="400">
        <f t="shared" ref="E15:E79" si="1">Wh_pvt/(1-Psa)</f>
        <v>6.9520182546836589</v>
      </c>
      <c r="F15" s="400">
        <f t="shared" ref="F15:F78" si="2">Wh_sa/(1-Pvg*MEDIAN((-Sdif+Wh/Env_an)/Csdif,0,1))</f>
        <v>6.9653536678832904</v>
      </c>
      <c r="G15" s="123">
        <f>+Wh_hp/MaxiM</f>
        <v>0.37615770970056761</v>
      </c>
      <c r="H15" s="414" t="b">
        <f>Wh_hp&gt;='2023'!Maxi_hp</f>
        <v>0</v>
      </c>
      <c r="I15" s="396">
        <f>IF(H15,Wh_hp,'2023'!Maxi_hp)</f>
        <v>18.425979166910196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6.612144273641532E-2</v>
      </c>
      <c r="M15" s="843"/>
      <c r="N15" s="843"/>
      <c r="O15" s="48">
        <f>IF(t&lt;Tnet,'2023'!Resal+('2023'!Salim-'2023'!Resal)*(1-EXP(('2023'!Tnet-t)/('2023'!Tau_j))),Resal+(Salim-Resal)*(1-EXP((Tnet-t)/(Tau_j))))*Salcycl</f>
        <v>6.504107941071767E-2</v>
      </c>
      <c r="P15" s="302">
        <f>(INDEX(Models!$BJ15:$BT15,,T15)*(1-R15)+INDEX(Models!$BJ15:$BT15,,T15+1)*R15-ERP_i)*Q15*Ramure*Pc/MaxiM</f>
        <v>1.6403831972567236E-2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0.19935055500727072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1.1993505550072707</v>
      </c>
      <c r="V15" s="382">
        <f t="shared" ref="V15:V78" si="9">MaxiM*(1-Ppv)*(1-Pvg)*(1-Psa)</f>
        <v>15.902776915258512</v>
      </c>
      <c r="W15" s="402">
        <f t="shared" ref="W15:W78" si="10">Wh*(A15&gt;Tmaj)</f>
        <v>6.0700719256667357</v>
      </c>
      <c r="X15" s="156">
        <f t="shared" ref="X15:X78" si="11">t</f>
        <v>45292</v>
      </c>
      <c r="Y15" s="385">
        <f t="shared" ref="Y15:Y78" si="12">Wh_pvt_s*(1-Ppv)</f>
        <v>5.5331816912585552</v>
      </c>
      <c r="Z15" s="385">
        <f>Wh_sa_s*(1-Psa_s)</f>
        <v>5.9249477870780893</v>
      </c>
      <c r="AA15" s="386">
        <f t="shared" ref="AA15:AA78" si="13">Wh_hp*(1-Pvg_s*MEDIAN((-Sdif+Wh/Env_an)/Csdif,0,1))</f>
        <v>6.9371526984480267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0.14591071515499246</v>
      </c>
      <c r="AD15" s="231">
        <f>(INDEX(Models!$BJ15:$BT15,,AH15)*(1-AF15)+INDEX(Models!$BJ15:$BT15,,AH15+1)*AF15-ERP_i)*AE15*Ramure*Pc/MaxiM</f>
        <v>3.4689886031604701E-2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0.40006730217217434</v>
      </c>
      <c r="AG15" s="808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2.4000673021721743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IF(t&gt;Tmaj,'2023'!Wh/'2023'!Env_an*'2024'!Env_an,0.001*'[3]mon-tableau (2)'!$B$141)</f>
        <v>1.863817778823432</v>
      </c>
      <c r="C16" s="839"/>
      <c r="D16" s="393">
        <f t="shared" si="0"/>
        <v>1.9958292431549089</v>
      </c>
      <c r="E16" s="385">
        <f t="shared" si="1"/>
        <v>2.1350303423202011</v>
      </c>
      <c r="F16" s="385">
        <f t="shared" si="2"/>
        <v>2.1350303423202011</v>
      </c>
      <c r="G16" s="110">
        <f t="shared" ref="G16:G79" si="21">+Wh_hp/MaxiM</f>
        <v>0.1144823023939756</v>
      </c>
      <c r="H16" s="414" t="b">
        <f>Wh_hp&gt;='2023'!Maxi_hp</f>
        <v>0</v>
      </c>
      <c r="I16" s="390">
        <f>IF(H16,Wh_hp,'2023'!Maxi_hp)</f>
        <v>16.317377222864518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6.6143666741148494E-2</v>
      </c>
      <c r="M16" s="843"/>
      <c r="N16" s="843"/>
      <c r="O16" s="48">
        <f>IF(t&lt;Tnet,'2023'!Resal+('2023'!Salim-'2023'!Resal)*(1-EXP(('2023'!Tnet-t)/('2023'!Tau_j))),Resal+(Salim-Resal)*(1-EXP((Tnet-t)/(Tau_j))))*Salcycl</f>
        <v>6.519865146928927E-2</v>
      </c>
      <c r="P16" s="169">
        <f>(INDEX(Models!$BJ16:$BT16,,T16)*(1-R16)+INDEX(Models!$BJ16:$BT16,,T16+1)*R16-ERP_i)*Q16*Ramure*Pc/MaxiM</f>
        <v>1.6380735466750895E-2</v>
      </c>
      <c r="Q16" s="305">
        <f t="shared" si="4"/>
        <v>0.8</v>
      </c>
      <c r="R16" s="177">
        <f t="shared" si="5"/>
        <v>0.19938561254406384</v>
      </c>
      <c r="S16" s="809">
        <f t="shared" si="6"/>
        <v>1</v>
      </c>
      <c r="T16" s="176">
        <f t="shared" si="7"/>
        <v>7</v>
      </c>
      <c r="U16" s="251">
        <f t="shared" si="8"/>
        <v>1.1993856125440638</v>
      </c>
      <c r="V16" s="383">
        <f t="shared" si="9"/>
        <v>16.013715958657826</v>
      </c>
      <c r="W16" s="402">
        <f t="shared" si="10"/>
        <v>1.863817778823432</v>
      </c>
      <c r="X16" s="157">
        <f t="shared" si="11"/>
        <v>45293</v>
      </c>
      <c r="Y16" s="385">
        <f t="shared" si="12"/>
        <v>1.7028098606200504</v>
      </c>
      <c r="Z16" s="385">
        <f t="shared" ref="Z16:Z78" si="22">Wh_sa_s*(1-Psa_s)</f>
        <v>1.8234173715755655</v>
      </c>
      <c r="AA16" s="386">
        <f t="shared" si="13"/>
        <v>2.1350303423202011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0.14595247878585021</v>
      </c>
      <c r="AD16" s="231">
        <f>(INDEX(Models!$BJ16:$BT16,,AH16)*(1-AF16)+INDEX(Models!$BJ16:$BT16,,AH16+1)*AF16-ERP_i)*AE16*Ramure*Pc/MaxiM</f>
        <v>3.4742555594937073E-2</v>
      </c>
      <c r="AE16" s="305">
        <f t="shared" si="15"/>
        <v>0.8</v>
      </c>
      <c r="AF16" s="177">
        <f t="shared" ref="AF16:AF78" si="23">(Hp_vg_s-AG16)/(INDEX(Echel_vg,AH16+1)-AG16)</f>
        <v>0.40010235970896746</v>
      </c>
      <c r="AG16" s="809">
        <f t="shared" ref="AG16:AG79" si="24">INDEX(Echel_vg,AH16)</f>
        <v>2</v>
      </c>
      <c r="AH16" s="176">
        <f t="shared" si="16"/>
        <v>8</v>
      </c>
      <c r="AI16" s="225">
        <f t="shared" si="17"/>
        <v>2.4001023597089675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IF(t&gt;Tmaj,'2023'!Wh/'2023'!Env_an*'2024'!Env_an,0.001*'[3]mon-tableau (2)'!$B$142)</f>
        <v>13.34523140704243</v>
      </c>
      <c r="C17" s="839"/>
      <c r="D17" s="393">
        <f t="shared" si="0"/>
        <v>14.290794550555329</v>
      </c>
      <c r="E17" s="385">
        <f t="shared" si="1"/>
        <v>15.290096134629106</v>
      </c>
      <c r="F17" s="385">
        <f t="shared" si="2"/>
        <v>15.48080151798399</v>
      </c>
      <c r="G17" s="110">
        <f t="shared" si="21"/>
        <v>0.82392683919680021</v>
      </c>
      <c r="H17" s="414" t="b">
        <f>Wh_hp&gt;='2023'!Maxi_hp</f>
        <v>0</v>
      </c>
      <c r="I17" s="390">
        <f>IF(H17,Wh_hp,'2023'!Maxi_hp)</f>
        <v>18.889891187353829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6.6165890228696594E-2</v>
      </c>
      <c r="M17" s="843"/>
      <c r="N17" s="843"/>
      <c r="O17" s="48">
        <f>IF(t&lt;Tnet,'2023'!Resal+('2023'!Salim-'2023'!Resal)*(1-EXP(('2023'!Tnet-t)/('2023'!Tau_j))),Resal+(Salim-Resal)*(1-EXP((Tnet-t)/(Tau_j))))*Salcycl</f>
        <v>6.5356134799607488E-2</v>
      </c>
      <c r="P17" s="169">
        <f>(INDEX(Models!$BJ17:$BT17,,T17)*(1-R17)+INDEX(Models!$BJ17:$BT17,,T17+1)*R17-ERP_i)*Q17*Ramure*Pc/MaxiM</f>
        <v>1.635327285590096E-2</v>
      </c>
      <c r="Q17" s="305">
        <f t="shared" si="4"/>
        <v>0.8</v>
      </c>
      <c r="R17" s="177">
        <f t="shared" si="5"/>
        <v>0.19942213645865148</v>
      </c>
      <c r="S17" s="809">
        <f t="shared" si="6"/>
        <v>1</v>
      </c>
      <c r="T17" s="176">
        <f t="shared" si="7"/>
        <v>7</v>
      </c>
      <c r="U17" s="251">
        <f t="shared" si="8"/>
        <v>1.1994221364586515</v>
      </c>
      <c r="V17" s="383">
        <f t="shared" si="9"/>
        <v>16.130945970434084</v>
      </c>
      <c r="W17" s="402">
        <f t="shared" si="10"/>
        <v>13.34523140704243</v>
      </c>
      <c r="X17" s="157">
        <f t="shared" si="11"/>
        <v>45294</v>
      </c>
      <c r="Y17" s="385">
        <f t="shared" si="12"/>
        <v>12.022287069701514</v>
      </c>
      <c r="Z17" s="385">
        <f t="shared" si="22"/>
        <v>12.874114303498487</v>
      </c>
      <c r="AA17" s="386">
        <f t="shared" si="13"/>
        <v>15.074978224498587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0.14599450083605692</v>
      </c>
      <c r="AD17" s="231">
        <f>(INDEX(Models!$BJ17:$BT17,,AH17)*(1-AF17)+INDEX(Models!$BJ17:$BT17,,AH17+1)*AF17-ERP_i)*AE17*Ramure*Pc/MaxiM</f>
        <v>3.479995652402345E-2</v>
      </c>
      <c r="AE17" s="305">
        <f t="shared" si="15"/>
        <v>0.8</v>
      </c>
      <c r="AF17" s="177">
        <f>(Hp_vg_s-AG17)/(INDEX(Echel_vg,AH17+1)-AG17)</f>
        <v>0.40013888362355488</v>
      </c>
      <c r="AG17" s="809">
        <f>INDEX(Echel_vg,AH17)</f>
        <v>2</v>
      </c>
      <c r="AH17" s="176">
        <f t="shared" si="16"/>
        <v>8</v>
      </c>
      <c r="AI17" s="225">
        <f t="shared" si="17"/>
        <v>2.4001388836235549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IF(t&gt;Tmaj,'2023'!Wh/'2023'!Env_an*'2024'!Env_an,0.001*'[3]mon-tableau (2)'!$B$143)</f>
        <v>11.250655375737542</v>
      </c>
      <c r="C18" s="839"/>
      <c r="D18" s="393">
        <f t="shared" si="0"/>
        <v>12.048096125955588</v>
      </c>
      <c r="E18" s="385">
        <f t="shared" si="1"/>
        <v>12.892745187442044</v>
      </c>
      <c r="F18" s="385">
        <f t="shared" si="2"/>
        <v>13.011714409360328</v>
      </c>
      <c r="G18" s="110">
        <f t="shared" si="21"/>
        <v>0.687130678376075</v>
      </c>
      <c r="H18" s="414" t="b">
        <f>Wh_hp&gt;='2023'!Maxi_hp</f>
        <v>0</v>
      </c>
      <c r="I18" s="390">
        <f>IF(H18,Wh_hp,'2023'!Maxi_hp)</f>
        <v>18.708529066845525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6.6188113199071724E-2</v>
      </c>
      <c r="M18" s="843"/>
      <c r="N18" s="843"/>
      <c r="O18" s="48">
        <f>IF(t&lt;Tnet,'2023'!Resal+('2023'!Salim-'2023'!Resal)*(1-EXP(('2023'!Tnet-t)/('2023'!Tau_j))),Resal+(Salim-Resal)*(1-EXP((Tnet-t)/(Tau_j))))*Salcycl</f>
        <v>6.551351548537318E-2</v>
      </c>
      <c r="P18" s="169">
        <f>(INDEX(Models!$BJ18:$BT18,,T18)*(1-R18)+INDEX(Models!$BJ18:$BT18,,T18+1)*R18-ERP_i)*Q18*Ramure*Pc/MaxiM</f>
        <v>1.632118871951661E-2</v>
      </c>
      <c r="Q18" s="305">
        <f t="shared" si="4"/>
        <v>0.8</v>
      </c>
      <c r="R18" s="177">
        <f t="shared" si="5"/>
        <v>0.19946018789620545</v>
      </c>
      <c r="S18" s="809">
        <f t="shared" si="6"/>
        <v>1</v>
      </c>
      <c r="T18" s="176">
        <f t="shared" si="7"/>
        <v>7</v>
      </c>
      <c r="U18" s="251">
        <f t="shared" si="8"/>
        <v>1.1994601878962055</v>
      </c>
      <c r="V18" s="383">
        <f t="shared" si="9"/>
        <v>16.254773515763439</v>
      </c>
      <c r="W18" s="402">
        <f t="shared" si="10"/>
        <v>11.250655375737542</v>
      </c>
      <c r="X18" s="157">
        <f t="shared" si="11"/>
        <v>45295</v>
      </c>
      <c r="Y18" s="385">
        <f t="shared" si="12"/>
        <v>10.173436227776417</v>
      </c>
      <c r="Z18" s="385">
        <f>Wh_sa_s*(1-Psa_s)</f>
        <v>10.894524230815675</v>
      </c>
      <c r="AA18" s="386">
        <f t="shared" si="13"/>
        <v>12.757603093067582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0.14603674755050927</v>
      </c>
      <c r="AD18" s="231">
        <f>(INDEX(Models!$BJ18:$BT18,,AH18)*(1-AF18)+INDEX(Models!$BJ18:$BT18,,AH18+1)*AF18-ERP_i)*AE18*Ramure*Pc/MaxiM</f>
        <v>3.486110678127647E-2</v>
      </c>
      <c r="AE18" s="305">
        <f t="shared" si="15"/>
        <v>0.8</v>
      </c>
      <c r="AF18" s="177">
        <f t="shared" si="23"/>
        <v>0.40017693506110907</v>
      </c>
      <c r="AG18" s="809">
        <f t="shared" si="24"/>
        <v>2</v>
      </c>
      <c r="AH18" s="176">
        <f t="shared" si="16"/>
        <v>8</v>
      </c>
      <c r="AI18" s="225">
        <f t="shared" si="17"/>
        <v>2.4001769350611091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IF(t&gt;Tmaj,'2023'!Wh/'2023'!Env_an*'2024'!Env_an,0.001*'[3]mon-tableau (2)'!$B$144)</f>
        <v>11.236417995915955</v>
      </c>
      <c r="C19" s="839"/>
      <c r="D19" s="393">
        <f t="shared" si="0"/>
        <v>12.03313596725768</v>
      </c>
      <c r="E19" s="385">
        <f t="shared" si="1"/>
        <v>12.878903632922386</v>
      </c>
      <c r="F19" s="385">
        <f t="shared" si="2"/>
        <v>12.995523763844682</v>
      </c>
      <c r="G19" s="110">
        <f t="shared" si="21"/>
        <v>0.68069502752327604</v>
      </c>
      <c r="H19" s="414" t="b">
        <f>Wh_hp&gt;='2023'!Maxi_hp</f>
        <v>0</v>
      </c>
      <c r="I19" s="390">
        <f>IF(H19,Wh_hp,'2023'!Maxi_hp)</f>
        <v>18.453425057954192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6.6210335652285873E-2</v>
      </c>
      <c r="M19" s="843"/>
      <c r="N19" s="843"/>
      <c r="O19" s="48">
        <f>IF(t&lt;Tnet,'2023'!Resal+('2023'!Salim-'2023'!Resal)*(1-EXP(('2023'!Tnet-t)/('2023'!Tau_j))),Resal+(Salim-Resal)*(1-EXP((Tnet-t)/(Tau_j))))*Salcycl</f>
        <v>6.5670781440018464E-2</v>
      </c>
      <c r="P19" s="169">
        <f>(INDEX(Models!$BJ19:$BT19,,T19)*(1-R19)+INDEX(Models!$BJ19:$BT19,,T19+1)*R19-ERP_i)*Q19*Ramure*Pc/MaxiM</f>
        <v>1.628425342045085E-2</v>
      </c>
      <c r="Q19" s="305">
        <f t="shared" si="4"/>
        <v>0.8</v>
      </c>
      <c r="R19" s="177">
        <f t="shared" si="5"/>
        <v>0.19949983053527953</v>
      </c>
      <c r="S19" s="809">
        <f t="shared" si="6"/>
        <v>1</v>
      </c>
      <c r="T19" s="176">
        <f t="shared" si="7"/>
        <v>7</v>
      </c>
      <c r="U19" s="251">
        <f t="shared" si="8"/>
        <v>1.1994998305352795</v>
      </c>
      <c r="V19" s="383">
        <f t="shared" si="9"/>
        <v>16.385504816881983</v>
      </c>
      <c r="W19" s="402">
        <f t="shared" si="10"/>
        <v>11.236417995915955</v>
      </c>
      <c r="X19" s="157">
        <f t="shared" si="11"/>
        <v>45296</v>
      </c>
      <c r="Y19" s="385">
        <f t="shared" si="12"/>
        <v>10.162963605151164</v>
      </c>
      <c r="Z19" s="385">
        <f t="shared" si="22"/>
        <v>10.883568316479881</v>
      </c>
      <c r="AA19" s="386">
        <f t="shared" si="13"/>
        <v>12.745407048458794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0.14607918953863866</v>
      </c>
      <c r="AD19" s="231">
        <f>(INDEX(Models!$BJ19:$BT19,,AH19)*(1-AF19)+INDEX(Models!$BJ19:$BT19,,AH19+1)*AF19-ERP_i)*AE19*Ramure*Pc/MaxiM</f>
        <v>3.4925050639398915E-2</v>
      </c>
      <c r="AE19" s="305">
        <f t="shared" si="15"/>
        <v>0.8</v>
      </c>
      <c r="AF19" s="177">
        <f t="shared" si="23"/>
        <v>0.40021657770018315</v>
      </c>
      <c r="AG19" s="809">
        <f t="shared" si="24"/>
        <v>2</v>
      </c>
      <c r="AH19" s="176">
        <f t="shared" si="16"/>
        <v>8</v>
      </c>
      <c r="AI19" s="225">
        <f t="shared" si="17"/>
        <v>2.4002165777001832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IF(t&gt;Tmaj,'2023'!Wh/'2023'!Env_an*'2024'!Env_an,0.001*'[3]mon-tableau (2)'!$B$145)</f>
        <v>4.9069664096359142</v>
      </c>
      <c r="C20" s="839"/>
      <c r="D20" s="393">
        <f t="shared" si="0"/>
        <v>5.2550198119594436</v>
      </c>
      <c r="E20" s="385">
        <f t="shared" si="1"/>
        <v>5.6253231473946732</v>
      </c>
      <c r="F20" s="385">
        <f t="shared" si="2"/>
        <v>5.6253231473946732</v>
      </c>
      <c r="G20" s="110">
        <f t="shared" si="21"/>
        <v>0.29214645874440232</v>
      </c>
      <c r="H20" s="414" t="b">
        <f>Wh_hp&gt;='2023'!Maxi_hp</f>
        <v>0</v>
      </c>
      <c r="I20" s="390">
        <f>IF(H20,Wh_hp,'2023'!Maxi_hp)</f>
        <v>17.976062678070381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6.6232557588351032E-2</v>
      </c>
      <c r="M20" s="843"/>
      <c r="N20" s="843"/>
      <c r="O20" s="48">
        <f>IF(t&lt;Tnet,'2023'!Resal+('2023'!Salim-'2023'!Resal)*(1-EXP(('2023'!Tnet-t)/('2023'!Tau_j))),Resal+(Salim-Resal)*(1-EXP((Tnet-t)/(Tau_j))))*Salcycl</f>
        <v>6.5827922366865771E-2</v>
      </c>
      <c r="P20" s="169">
        <f>(INDEX(Models!$BJ20:$BT20,,T20)*(1-R20)+INDEX(Models!$BJ20:$BT20,,T20+1)*R20-ERP_i)*Q20*Ramure*Pc/MaxiM</f>
        <v>1.6242263845718287E-2</v>
      </c>
      <c r="Q20" s="305">
        <f t="shared" si="4"/>
        <v>0.8</v>
      </c>
      <c r="R20" s="177">
        <f t="shared" si="5"/>
        <v>0.19954113069138035</v>
      </c>
      <c r="S20" s="809">
        <f t="shared" si="6"/>
        <v>1</v>
      </c>
      <c r="T20" s="176">
        <f t="shared" si="7"/>
        <v>7</v>
      </c>
      <c r="U20" s="251">
        <f t="shared" si="8"/>
        <v>1.1995411306913804</v>
      </c>
      <c r="V20" s="383">
        <f t="shared" si="9"/>
        <v>16.523445765097861</v>
      </c>
      <c r="W20" s="402">
        <f t="shared" si="10"/>
        <v>4.9069664096359142</v>
      </c>
      <c r="X20" s="157">
        <f t="shared" si="11"/>
        <v>45297</v>
      </c>
      <c r="Y20" s="385">
        <f t="shared" si="12"/>
        <v>4.4852032485224802</v>
      </c>
      <c r="Z20" s="385">
        <f t="shared" si="22"/>
        <v>4.8033407942972488</v>
      </c>
      <c r="AA20" s="386">
        <f t="shared" si="13"/>
        <v>5.6253231473946732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0.14612180163874133</v>
      </c>
      <c r="AD20" s="231">
        <f>(INDEX(Models!$BJ20:$BT20,,AH20)*(1-AF20)+INDEX(Models!$BJ20:$BT20,,AH20+1)*AF20-ERP_i)*AE20*Ramure*Pc/MaxiM</f>
        <v>3.4990860248878937E-2</v>
      </c>
      <c r="AE20" s="305">
        <f t="shared" si="15"/>
        <v>0.8</v>
      </c>
      <c r="AF20" s="177">
        <f t="shared" si="23"/>
        <v>0.40025787785628397</v>
      </c>
      <c r="AG20" s="809">
        <f t="shared" si="24"/>
        <v>2</v>
      </c>
      <c r="AH20" s="176">
        <f t="shared" si="16"/>
        <v>8</v>
      </c>
      <c r="AI20" s="225">
        <f t="shared" si="17"/>
        <v>2.400257877856284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IF(t&gt;Tmaj,'2023'!Wh/'2023'!Env_an*'2024'!Env_an,0.001*'[3]mon-tableau (2)'!$B$146)</f>
        <v>11.286470542635779</v>
      </c>
      <c r="C21" s="839"/>
      <c r="D21" s="393">
        <f t="shared" si="0"/>
        <v>12.087312779642881</v>
      </c>
      <c r="E21" s="385">
        <f t="shared" si="1"/>
        <v>12.941239562450372</v>
      </c>
      <c r="F21" s="385">
        <f t="shared" si="2"/>
        <v>13.055138359367767</v>
      </c>
      <c r="G21" s="110">
        <f t="shared" si="21"/>
        <v>0.6719945789973425</v>
      </c>
      <c r="H21" s="414" t="b">
        <f>Wh_hp&gt;='2023'!Maxi_hp</f>
        <v>0</v>
      </c>
      <c r="I21" s="390">
        <f>IF(H21,Wh_hp,'2023'!Maxi_hp)</f>
        <v>13.106878010800106</v>
      </c>
      <c r="J21" s="85">
        <f>IF(H21,An,'2023'!An_max)</f>
        <v>2023</v>
      </c>
      <c r="K21" s="197">
        <f t="shared" si="3"/>
        <v>45298</v>
      </c>
      <c r="L21" s="147">
        <f>IF(t&lt;Tvie,1-EXP((T0-t)*PertePVj)+'2023'!Pspv,1-EXP((T0-t)*PertePVj)+Pspv)</f>
        <v>6.6254779007279302E-2</v>
      </c>
      <c r="M21" s="843"/>
      <c r="N21" s="843"/>
      <c r="O21" s="48">
        <f>IF(t&lt;Tnet,'2023'!Resal+('2023'!Salim-'2023'!Resal)*(1-EXP(('2023'!Tnet-t)/('2023'!Tau_j))),Resal+(Salim-Resal)*(1-EXP((Tnet-t)/(Tau_j))))*Salcycl</f>
        <v>6.5984929703735748E-2</v>
      </c>
      <c r="P21" s="169">
        <f>(INDEX(Models!$BJ21:$BT21,,T21)*(1-R21)+INDEX(Models!$BJ21:$BT21,,T21+1)*R21-ERP_i)*Q21*Ramure*Pc/MaxiM</f>
        <v>1.6195044003462448E-2</v>
      </c>
      <c r="Q21" s="305">
        <f t="shared" si="4"/>
        <v>0.8</v>
      </c>
      <c r="R21" s="177">
        <f t="shared" si="5"/>
        <v>0.19958415742465618</v>
      </c>
      <c r="S21" s="809">
        <f t="shared" si="6"/>
        <v>1</v>
      </c>
      <c r="T21" s="176">
        <f t="shared" si="7"/>
        <v>7</v>
      </c>
      <c r="U21" s="251">
        <f t="shared" si="8"/>
        <v>1.1995841574246562</v>
      </c>
      <c r="V21" s="383">
        <f t="shared" si="9"/>
        <v>16.668901910971144</v>
      </c>
      <c r="W21" s="402">
        <f t="shared" si="10"/>
        <v>11.286470542635779</v>
      </c>
      <c r="X21" s="157">
        <f t="shared" si="11"/>
        <v>45298</v>
      </c>
      <c r="Y21" s="385">
        <f t="shared" si="12"/>
        <v>10.211829485095885</v>
      </c>
      <c r="Z21" s="385">
        <f t="shared" si="22"/>
        <v>10.936419545193575</v>
      </c>
      <c r="AA21" s="386">
        <f t="shared" si="13"/>
        <v>12.808580047245639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0.14616456274984635</v>
      </c>
      <c r="AD21" s="231">
        <f>(INDEX(Models!$BJ21:$BT21,,AH21)*(1-AF21)+INDEX(Models!$BJ21:$BT21,,AH21+1)*AF21-ERP_i)*AE21*Ramure*Pc/MaxiM</f>
        <v>3.5057637326347299E-2</v>
      </c>
      <c r="AE21" s="305">
        <f t="shared" si="15"/>
        <v>0.8</v>
      </c>
      <c r="AF21" s="177">
        <f t="shared" si="23"/>
        <v>0.4003009045895598</v>
      </c>
      <c r="AG21" s="809">
        <f t="shared" si="24"/>
        <v>2</v>
      </c>
      <c r="AH21" s="176">
        <f t="shared" si="16"/>
        <v>8</v>
      </c>
      <c r="AI21" s="225">
        <f t="shared" si="17"/>
        <v>2.4003009045895598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IF(t&gt;Tmaj,'2023'!Wh/'2023'!Env_an*'2024'!Env_an,0.001*'[3]mon-tableau (2)'!$B$147)</f>
        <v>5.7004851519494943</v>
      </c>
      <c r="C22" s="839"/>
      <c r="D22" s="393">
        <f t="shared" si="0"/>
        <v>6.1051137772063377</v>
      </c>
      <c r="E22" s="385">
        <f t="shared" si="1"/>
        <v>6.5375168892575957</v>
      </c>
      <c r="F22" s="385">
        <f t="shared" si="2"/>
        <v>6.5433817434298911</v>
      </c>
      <c r="G22" s="110">
        <f t="shared" si="21"/>
        <v>0.33369618454193029</v>
      </c>
      <c r="H22" s="414" t="b">
        <f>Wh_hp&gt;='2023'!Maxi_hp</f>
        <v>0</v>
      </c>
      <c r="I22" s="390">
        <f>IF(H22,Wh_hp,'2023'!Maxi_hp)</f>
        <v>14.204515850119641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6.6276999909082673E-2</v>
      </c>
      <c r="M22" s="843"/>
      <c r="N22" s="843"/>
      <c r="O22" s="48">
        <f>IF(t&lt;Tnet,'2023'!Resal+('2023'!Salim-'2023'!Resal)*(1-EXP(('2023'!Tnet-t)/('2023'!Tau_j))),Resal+(Salim-Resal)*(1-EXP((Tnet-t)/(Tau_j))))*Salcycl</f>
        <v>6.6141796553027696E-2</v>
      </c>
      <c r="P22" s="169">
        <f>(INDEX(Models!$BJ22:$BT22,,T22)*(1-R22)+INDEX(Models!$BJ22:$BT22,,T22+1)*R22-ERP_i)*Q22*Ramure*Pc/MaxiM</f>
        <v>1.6142445410775228E-2</v>
      </c>
      <c r="Q22" s="305">
        <f t="shared" si="4"/>
        <v>0.8</v>
      </c>
      <c r="R22" s="177">
        <f t="shared" si="5"/>
        <v>0.19962898265185292</v>
      </c>
      <c r="S22" s="809">
        <f t="shared" si="6"/>
        <v>1</v>
      </c>
      <c r="T22" s="176">
        <f t="shared" si="7"/>
        <v>7</v>
      </c>
      <c r="U22" s="251">
        <f t="shared" si="8"/>
        <v>1.1996289826518529</v>
      </c>
      <c r="V22" s="383">
        <f t="shared" si="9"/>
        <v>16.822178487149706</v>
      </c>
      <c r="W22" s="402">
        <f t="shared" si="10"/>
        <v>5.7004851519494943</v>
      </c>
      <c r="X22" s="157">
        <f t="shared" si="11"/>
        <v>45299</v>
      </c>
      <c r="Y22" s="385">
        <f t="shared" si="12"/>
        <v>5.2062479995498379</v>
      </c>
      <c r="Z22" s="385">
        <f t="shared" si="22"/>
        <v>5.5757949617208755</v>
      </c>
      <c r="AA22" s="386">
        <f t="shared" si="13"/>
        <v>6.5306203462578525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0.14620745563384452</v>
      </c>
      <c r="AD22" s="231">
        <f>(INDEX(Models!$BJ22:$BT22,,AH22)*(1-AF22)+INDEX(Models!$BJ22:$BT22,,AH22+1)*AF22-ERP_i)*AE22*Ramure*Pc/MaxiM</f>
        <v>3.5124514806860421E-2</v>
      </c>
      <c r="AE22" s="305">
        <f t="shared" si="15"/>
        <v>0.8</v>
      </c>
      <c r="AF22" s="177">
        <f t="shared" si="23"/>
        <v>0.40034572981675653</v>
      </c>
      <c r="AG22" s="809">
        <f t="shared" si="24"/>
        <v>2</v>
      </c>
      <c r="AH22" s="176">
        <f t="shared" si="16"/>
        <v>8</v>
      </c>
      <c r="AI22" s="225">
        <f t="shared" si="17"/>
        <v>2.4003457298167565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IF(t&gt;Tmaj,'2023'!Wh/'2023'!Env_an*'2024'!Env_an,0.001*'[3]mon-tableau (2)'!$B$148)</f>
        <v>7.0946600343468216</v>
      </c>
      <c r="C23" s="839"/>
      <c r="D23" s="393">
        <f t="shared" si="0"/>
        <v>7.5984300201388253</v>
      </c>
      <c r="E23" s="385">
        <f t="shared" si="1"/>
        <v>8.1379650384562225</v>
      </c>
      <c r="F23" s="385">
        <f t="shared" si="2"/>
        <v>8.1600369395530468</v>
      </c>
      <c r="G23" s="110">
        <f t="shared" si="21"/>
        <v>0.41211803369839378</v>
      </c>
      <c r="H23" s="414" t="b">
        <f>Wh_hp&gt;='2023'!Maxi_hp</f>
        <v>0</v>
      </c>
      <c r="I23" s="390">
        <f>IF(H23,Wh_hp,'2023'!Maxi_hp)</f>
        <v>18.029266819342844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6.6299220293773248E-2</v>
      </c>
      <c r="M23" s="843"/>
      <c r="N23" s="843"/>
      <c r="O23" s="48">
        <f>IF(t&lt;Tnet,'2023'!Resal+('2023'!Salim-'2023'!Resal)*(1-EXP(('2023'!Tnet-t)/('2023'!Tau_j))),Resal+(Salim-Resal)*(1-EXP((Tnet-t)/(Tau_j))))*Salcycl</f>
        <v>6.6298517598417608E-2</v>
      </c>
      <c r="P23" s="169">
        <f>(INDEX(Models!$BJ23:$BT23,,T23)*(1-R23)+INDEX(Models!$BJ23:$BT23,,T23+1)*R23-ERP_i)*Q23*Ramure*Pc/MaxiM</f>
        <v>1.6083795742308768E-2</v>
      </c>
      <c r="Q23" s="305">
        <f t="shared" si="4"/>
        <v>0.8</v>
      </c>
      <c r="R23" s="177">
        <f t="shared" si="5"/>
        <v>0.19967568126269497</v>
      </c>
      <c r="S23" s="809">
        <f t="shared" si="6"/>
        <v>1</v>
      </c>
      <c r="T23" s="176">
        <f t="shared" si="7"/>
        <v>7</v>
      </c>
      <c r="U23" s="251">
        <f t="shared" si="8"/>
        <v>1.199675681262695</v>
      </c>
      <c r="V23" s="383">
        <f t="shared" si="9"/>
        <v>16.984172362876194</v>
      </c>
      <c r="W23" s="402">
        <f t="shared" si="10"/>
        <v>7.0946600343468216</v>
      </c>
      <c r="X23" s="157">
        <f t="shared" si="11"/>
        <v>45300</v>
      </c>
      <c r="Y23" s="385">
        <f t="shared" si="12"/>
        <v>6.4662509578354284</v>
      </c>
      <c r="Z23" s="385">
        <f t="shared" si="22"/>
        <v>6.9253995480971167</v>
      </c>
      <c r="AA23" s="386">
        <f t="shared" si="13"/>
        <v>8.1117462181839901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0.14625046669081643</v>
      </c>
      <c r="AD23" s="231">
        <f>(INDEX(Models!$BJ23:$BT23,,AH23)*(1-AF23)+INDEX(Models!$BJ23:$BT23,,AH23+1)*AF23-ERP_i)*AE23*Ramure*Pc/MaxiM</f>
        <v>3.5189451753224951E-2</v>
      </c>
      <c r="AE23" s="305">
        <f t="shared" si="15"/>
        <v>0.8</v>
      </c>
      <c r="AF23" s="177">
        <f t="shared" si="23"/>
        <v>0.40039242842759837</v>
      </c>
      <c r="AG23" s="809">
        <f t="shared" si="24"/>
        <v>2</v>
      </c>
      <c r="AH23" s="176">
        <f t="shared" si="16"/>
        <v>8</v>
      </c>
      <c r="AI23" s="225">
        <f t="shared" si="17"/>
        <v>2.4003924284275984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IF(t&gt;Tmaj,'2023'!Wh/'2023'!Env_an*'2024'!Env_an,0.001*'[3]mon-tableau (2)'!$B$149)</f>
        <v>15.298628453979859</v>
      </c>
      <c r="C24" s="839"/>
      <c r="D24" s="393">
        <f t="shared" si="0"/>
        <v>16.385326933740284</v>
      </c>
      <c r="E24" s="385">
        <f t="shared" si="1"/>
        <v>17.551728621554965</v>
      </c>
      <c r="F24" s="385">
        <f t="shared" si="2"/>
        <v>17.792432873427902</v>
      </c>
      <c r="G24" s="110">
        <f t="shared" si="21"/>
        <v>0.88952954396466299</v>
      </c>
      <c r="H24" s="414" t="b">
        <f>Wh_hp&gt;='2023'!Maxi_hp</f>
        <v>0</v>
      </c>
      <c r="I24" s="390">
        <f>IF(H24,Wh_hp,'2023'!Maxi_hp)</f>
        <v>17.81595985452303</v>
      </c>
      <c r="J24" s="85">
        <f>IF(H24,An,'2023'!An_max)</f>
        <v>2023</v>
      </c>
      <c r="K24" s="197">
        <f t="shared" si="3"/>
        <v>45301</v>
      </c>
      <c r="L24" s="147">
        <f>IF(t&lt;Tvie,1-EXP((T0-t)*PertePVj)+'2023'!Pspv,1-EXP((T0-t)*PertePVj)+Pspv)</f>
        <v>6.6321440161362905E-2</v>
      </c>
      <c r="M24" s="843"/>
      <c r="N24" s="843"/>
      <c r="O24" s="48">
        <f>IF(t&lt;Tnet,'2023'!Resal+('2023'!Salim-'2023'!Resal)*(1-EXP(('2023'!Tnet-t)/('2023'!Tau_j))),Resal+(Salim-Resal)*(1-EXP((Tnet-t)/(Tau_j))))*Salcycl</f>
        <v>6.6455089009423388E-2</v>
      </c>
      <c r="P24" s="169">
        <f>(INDEX(Models!$BJ24:$BT24,,T24)*(1-R24)+INDEX(Models!$BJ24:$BT24,,T24+1)*R24-ERP_i)*Q24*Ramure*Pc/MaxiM</f>
        <v>1.6002808376096009E-2</v>
      </c>
      <c r="Q24" s="305">
        <f t="shared" si="4"/>
        <v>0.8</v>
      </c>
      <c r="R24" s="177">
        <f t="shared" si="5"/>
        <v>0.19972433124085831</v>
      </c>
      <c r="S24" s="809">
        <f t="shared" si="6"/>
        <v>1</v>
      </c>
      <c r="T24" s="176">
        <f t="shared" si="7"/>
        <v>7</v>
      </c>
      <c r="U24" s="251">
        <f t="shared" si="8"/>
        <v>1.1997243312408583</v>
      </c>
      <c r="V24" s="383">
        <f t="shared" si="9"/>
        <v>17.155422572128096</v>
      </c>
      <c r="W24" s="402">
        <f t="shared" si="10"/>
        <v>15.298628453979859</v>
      </c>
      <c r="X24" s="157">
        <f t="shared" si="11"/>
        <v>45301</v>
      </c>
      <c r="Y24" s="385">
        <f t="shared" si="12"/>
        <v>13.759682969634646</v>
      </c>
      <c r="Z24" s="385">
        <f t="shared" si="22"/>
        <v>14.737066439667053</v>
      </c>
      <c r="AA24" s="386">
        <f t="shared" si="13"/>
        <v>17.262452516460392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0.14629358571067988</v>
      </c>
      <c r="AD24" s="231">
        <f>(INDEX(Models!$BJ24:$BT24,,AH24)*(1-AF24)+INDEX(Models!$BJ24:$BT24,,AH24+1)*AF24-ERP_i)*AE24*Ramure*Pc/MaxiM</f>
        <v>3.5234832910733448E-2</v>
      </c>
      <c r="AE24" s="305">
        <f t="shared" si="15"/>
        <v>0.8</v>
      </c>
      <c r="AF24" s="177">
        <f t="shared" si="23"/>
        <v>0.40044107840576215</v>
      </c>
      <c r="AG24" s="809">
        <f t="shared" si="24"/>
        <v>2</v>
      </c>
      <c r="AH24" s="176">
        <f t="shared" si="16"/>
        <v>8</v>
      </c>
      <c r="AI24" s="225">
        <f t="shared" si="17"/>
        <v>2.4004410784057622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IF(t&gt;Tmaj,'2023'!Wh/'2023'!Env_an*'2024'!Env_an,0.001*'[3]mon-tableau (2)'!$B$150)</f>
        <v>4.2615266730810832</v>
      </c>
      <c r="C25" s="839"/>
      <c r="D25" s="393">
        <f t="shared" si="0"/>
        <v>4.5643418121629882</v>
      </c>
      <c r="E25" s="385">
        <f t="shared" si="1"/>
        <v>4.8900772324950124</v>
      </c>
      <c r="F25" s="385">
        <f t="shared" si="2"/>
        <v>4.8900772324950124</v>
      </c>
      <c r="G25" s="110">
        <f t="shared" si="21"/>
        <v>0.24192091387711115</v>
      </c>
      <c r="H25" s="414" t="b">
        <f>Wh_hp&gt;='2023'!Maxi_hp</f>
        <v>0</v>
      </c>
      <c r="I25" s="390">
        <f>IF(H25,Wh_hp,'2023'!Maxi_hp)</f>
        <v>20.883768698219409</v>
      </c>
      <c r="J25" s="85">
        <f>IF(H25,An,'2023'!An_max)</f>
        <v>2022</v>
      </c>
      <c r="K25" s="197">
        <f t="shared" si="3"/>
        <v>45302</v>
      </c>
      <c r="L25" s="147">
        <f>IF(t&lt;Tvie,1-EXP((T0-t)*PertePVj)+'2023'!Pspv,1-EXP((T0-t)*PertePVj)+Pspv)</f>
        <v>6.6343659511863856E-2</v>
      </c>
      <c r="M25" s="843"/>
      <c r="N25" s="843"/>
      <c r="O25" s="48">
        <f>IF(t&lt;Tnet,'2023'!Resal+('2023'!Salim-'2023'!Resal)*(1-EXP(('2023'!Tnet-t)/('2023'!Tau_j))),Resal+(Salim-Resal)*(1-EXP((Tnet-t)/(Tau_j))))*Salcycl</f>
        <v>6.6611508335181716E-2</v>
      </c>
      <c r="P25" s="169">
        <f>(INDEX(Models!$BJ25:$BT25,,T25)*(1-R25)+INDEX(Models!$BJ25:$BT25,,T25+1)*R25-ERP_i)*Q25*Ramure*Pc/MaxiM</f>
        <v>1.5896902057769363E-2</v>
      </c>
      <c r="Q25" s="305">
        <f t="shared" si="4"/>
        <v>0.8</v>
      </c>
      <c r="R25" s="177">
        <f t="shared" si="5"/>
        <v>0.19977501378969764</v>
      </c>
      <c r="S25" s="809">
        <f t="shared" si="6"/>
        <v>1</v>
      </c>
      <c r="T25" s="176">
        <f t="shared" si="7"/>
        <v>7</v>
      </c>
      <c r="U25" s="251">
        <f t="shared" si="8"/>
        <v>1.1997750137896976</v>
      </c>
      <c r="V25" s="383">
        <f t="shared" si="9"/>
        <v>17.33534126393414</v>
      </c>
      <c r="W25" s="402">
        <f t="shared" si="10"/>
        <v>4.2615266730810832</v>
      </c>
      <c r="X25" s="157">
        <f t="shared" si="11"/>
        <v>45302</v>
      </c>
      <c r="Y25" s="385">
        <f t="shared" si="12"/>
        <v>3.8975287409593515</v>
      </c>
      <c r="Z25" s="385">
        <f t="shared" si="22"/>
        <v>4.1744789511327447</v>
      </c>
      <c r="AA25" s="386">
        <f t="shared" si="13"/>
        <v>4.8900772324950124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0.14633680560442916</v>
      </c>
      <c r="AD25" s="231">
        <f>(INDEX(Models!$BJ25:$BT25,,AH25)*(1-AF25)+INDEX(Models!$BJ25:$BT25,,AH25+1)*AF25-ERP_i)*AE25*Ramure*Pc/MaxiM</f>
        <v>3.5249879250790407E-2</v>
      </c>
      <c r="AE25" s="305">
        <f t="shared" si="15"/>
        <v>0.8</v>
      </c>
      <c r="AF25" s="177">
        <f t="shared" si="23"/>
        <v>0.40049176095460126</v>
      </c>
      <c r="AG25" s="809">
        <f t="shared" si="24"/>
        <v>2</v>
      </c>
      <c r="AH25" s="176">
        <f t="shared" si="16"/>
        <v>8</v>
      </c>
      <c r="AI25" s="225">
        <f t="shared" si="17"/>
        <v>2.4004917609546013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IF(t&gt;Tmaj,'2023'!Wh/'2023'!Env_an*'2024'!Env_an,0.001*'[3]mon-tableau (2)'!$B$151)</f>
        <v>14.7717655083023</v>
      </c>
      <c r="C26" s="839"/>
      <c r="D26" s="393">
        <f t="shared" si="0"/>
        <v>15.821792676259294</v>
      </c>
      <c r="E26" s="385">
        <f t="shared" si="1"/>
        <v>16.953757320047703</v>
      </c>
      <c r="F26" s="385">
        <f t="shared" si="2"/>
        <v>17.163680200431429</v>
      </c>
      <c r="G26" s="110">
        <f t="shared" si="21"/>
        <v>0.83996142447719402</v>
      </c>
      <c r="H26" s="414" t="b">
        <f>Wh_hp&gt;='2023'!Maxi_hp</f>
        <v>0</v>
      </c>
      <c r="I26" s="390">
        <f>IF(H26,Wh_hp,'2023'!Maxi_hp)</f>
        <v>19.450333694535168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6.6365878345288093E-2</v>
      </c>
      <c r="M26" s="843"/>
      <c r="N26" s="843"/>
      <c r="O26" s="48">
        <f>IF(t&lt;Tnet,'2023'!Resal+('2023'!Salim-'2023'!Resal)*(1-EXP(('2023'!Tnet-t)/('2023'!Tau_j))),Resal+(Salim-Resal)*(1-EXP((Tnet-t)/(Tau_j))))*Salcycl</f>
        <v>6.6767774388858836E-2</v>
      </c>
      <c r="P26" s="169">
        <f>(INDEX(Models!$BJ26:$BT26,,T26)*(1-R26)+INDEX(Models!$BJ26:$BT26,,T26+1)*R26-ERP_i)*Q26*Ramure*Pc/MaxiM</f>
        <v>1.5767530417637024E-2</v>
      </c>
      <c r="Q26" s="305">
        <f t="shared" si="4"/>
        <v>0.8</v>
      </c>
      <c r="R26" s="177">
        <f t="shared" si="5"/>
        <v>0.19982781346290301</v>
      </c>
      <c r="S26" s="809">
        <f t="shared" si="6"/>
        <v>1</v>
      </c>
      <c r="T26" s="176">
        <f t="shared" si="7"/>
        <v>7</v>
      </c>
      <c r="U26" s="251">
        <f t="shared" si="8"/>
        <v>1.199827813462903</v>
      </c>
      <c r="V26" s="383">
        <f t="shared" si="9"/>
        <v>17.52327204942392</v>
      </c>
      <c r="W26" s="402">
        <f t="shared" si="10"/>
        <v>14.7717655083023</v>
      </c>
      <c r="X26" s="157">
        <f t="shared" si="11"/>
        <v>45303</v>
      </c>
      <c r="Y26" s="385">
        <f t="shared" si="12"/>
        <v>13.305034651891665</v>
      </c>
      <c r="Z26" s="385">
        <f t="shared" si="22"/>
        <v>14.250801618422743</v>
      </c>
      <c r="AA26" s="386">
        <f t="shared" si="13"/>
        <v>16.694552209570951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0.14638012211835244</v>
      </c>
      <c r="AD26" s="231">
        <f>(INDEX(Models!$BJ26:$BT26,,AH26)*(1-AF26)+INDEX(Models!$BJ26:$BT26,,AH26+1)*AF26-ERP_i)*AE26*Ramure*Pc/MaxiM</f>
        <v>3.52367014597759E-2</v>
      </c>
      <c r="AE26" s="305">
        <f t="shared" si="15"/>
        <v>0.8</v>
      </c>
      <c r="AF26" s="177">
        <f t="shared" si="23"/>
        <v>0.40054456062780641</v>
      </c>
      <c r="AG26" s="809">
        <f t="shared" si="24"/>
        <v>2</v>
      </c>
      <c r="AH26" s="176">
        <f t="shared" si="16"/>
        <v>8</v>
      </c>
      <c r="AI26" s="225">
        <f t="shared" si="17"/>
        <v>2.4005445606278064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IF(t&gt;Tmaj,'2023'!Wh/'2023'!Env_an*'2024'!Env_an,0.001*'[3]mon-tableau (2)'!$B$152)</f>
        <v>10.137847814501614</v>
      </c>
      <c r="C27" s="839"/>
      <c r="D27" s="393">
        <f t="shared" si="0"/>
        <v>10.858738816687444</v>
      </c>
      <c r="E27" s="385">
        <f t="shared" si="1"/>
        <v>11.637570254820801</v>
      </c>
      <c r="F27" s="385">
        <f t="shared" si="2"/>
        <v>11.708659958055561</v>
      </c>
      <c r="G27" s="110">
        <f t="shared" si="21"/>
        <v>0.56666545004135738</v>
      </c>
      <c r="H27" s="414" t="b">
        <f>Wh_hp&gt;='2023'!Maxi_hp</f>
        <v>0</v>
      </c>
      <c r="I27" s="390">
        <f>IF(H27,Wh_hp,'2023'!Maxi_hp)</f>
        <v>13.955743056810109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6.6388096661647494E-2</v>
      </c>
      <c r="M27" s="843"/>
      <c r="N27" s="843"/>
      <c r="O27" s="48">
        <f>IF(t&lt;Tnet,'2023'!Resal+('2023'!Salim-'2023'!Resal)*(1-EXP(('2023'!Tnet-t)/('2023'!Tau_j))),Resal+(Salim-Resal)*(1-EXP((Tnet-t)/(Tau_j))))*Salcycl</f>
        <v>6.692388712418125E-2</v>
      </c>
      <c r="P27" s="169">
        <f>(INDEX(Models!$BJ27:$BT27,,T27)*(1-R27)+INDEX(Models!$BJ27:$BT27,,T27+1)*R27-ERP_i)*Q27*Ramure*Pc/MaxiM</f>
        <v>1.561613343124001E-2</v>
      </c>
      <c r="Q27" s="305">
        <f t="shared" si="4"/>
        <v>0.8</v>
      </c>
      <c r="R27" s="177">
        <f t="shared" si="5"/>
        <v>0.19988281830026589</v>
      </c>
      <c r="S27" s="809">
        <f t="shared" si="6"/>
        <v>1</v>
      </c>
      <c r="T27" s="176">
        <f t="shared" si="7"/>
        <v>7</v>
      </c>
      <c r="U27" s="251">
        <f t="shared" si="8"/>
        <v>1.1998828183002659</v>
      </c>
      <c r="V27" s="383">
        <f t="shared" si="9"/>
        <v>17.718558963867448</v>
      </c>
      <c r="W27" s="402">
        <f t="shared" si="10"/>
        <v>10.137847814501614</v>
      </c>
      <c r="X27" s="157">
        <f t="shared" si="11"/>
        <v>45304</v>
      </c>
      <c r="Y27" s="385">
        <f t="shared" si="12"/>
        <v>9.2030495151661356</v>
      </c>
      <c r="Z27" s="385">
        <f t="shared" si="22"/>
        <v>9.8574680573999025</v>
      </c>
      <c r="AA27" s="386">
        <f t="shared" si="13"/>
        <v>11.548429982166814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0.14642353353469767</v>
      </c>
      <c r="AD27" s="231">
        <f>(INDEX(Models!$BJ27:$BT27,,AH27)*(1-AF27)+INDEX(Models!$BJ27:$BT27,,AH27+1)*AF27-ERP_i)*AE27*Ramure*Pc/MaxiM</f>
        <v>3.5197399472890113E-2</v>
      </c>
      <c r="AE27" s="305">
        <f t="shared" si="15"/>
        <v>0.8</v>
      </c>
      <c r="AF27" s="177">
        <f t="shared" si="23"/>
        <v>0.4005995654651695</v>
      </c>
      <c r="AG27" s="809">
        <f t="shared" si="24"/>
        <v>2</v>
      </c>
      <c r="AH27" s="176">
        <f t="shared" si="16"/>
        <v>8</v>
      </c>
      <c r="AI27" s="225">
        <f t="shared" si="17"/>
        <v>2.4005995654651695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IF(t&gt;Tmaj,'2023'!Wh/'2023'!Env_an*'2024'!Env_an,0.001*'[3]mon-tableau (2)'!$B$153)</f>
        <v>12.83444084945058</v>
      </c>
      <c r="C28" s="839"/>
      <c r="D28" s="393">
        <f t="shared" si="0"/>
        <v>13.747410718275125</v>
      </c>
      <c r="E28" s="385">
        <f t="shared" si="1"/>
        <v>14.735892114151691</v>
      </c>
      <c r="F28" s="385">
        <f t="shared" si="2"/>
        <v>14.872455786848246</v>
      </c>
      <c r="G28" s="110">
        <f t="shared" si="21"/>
        <v>0.71165962204680255</v>
      </c>
      <c r="H28" s="414" t="b">
        <f>Wh_hp&gt;='2023'!Maxi_hp</f>
        <v>0</v>
      </c>
      <c r="I28" s="390">
        <f>IF(H28,Wh_hp,'2023'!Maxi_hp)</f>
        <v>21.54879733993512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6.6410314460954384E-2</v>
      </c>
      <c r="M28" s="843"/>
      <c r="N28" s="843"/>
      <c r="O28" s="48">
        <f>IF(t&lt;Tnet,'2023'!Resal+('2023'!Salim-'2023'!Resal)*(1-EXP(('2023'!Tnet-t)/('2023'!Tau_j))),Resal+(Salim-Resal)*(1-EXP((Tnet-t)/(Tau_j))))*Salcycl</f>
        <v>6.7079847505620085E-2</v>
      </c>
      <c r="P28" s="169">
        <f>(INDEX(Models!$BJ28:$BT28,,T28)*(1-R28)+INDEX(Models!$BJ28:$BT28,,T28+1)*R28-ERP_i)*Q28*Ramure*Pc/MaxiM</f>
        <v>1.5444124233972338E-2</v>
      </c>
      <c r="Q28" s="305">
        <f t="shared" si="4"/>
        <v>0.8</v>
      </c>
      <c r="R28" s="177">
        <f t="shared" si="5"/>
        <v>0.1999401199687334</v>
      </c>
      <c r="S28" s="809">
        <f t="shared" si="6"/>
        <v>1</v>
      </c>
      <c r="T28" s="176">
        <f t="shared" si="7"/>
        <v>7</v>
      </c>
      <c r="U28" s="251">
        <f t="shared" si="8"/>
        <v>1.1999401199687334</v>
      </c>
      <c r="V28" s="383">
        <f t="shared" si="9"/>
        <v>17.920546462521258</v>
      </c>
      <c r="W28" s="402">
        <f t="shared" si="10"/>
        <v>12.83444084945058</v>
      </c>
      <c r="X28" s="157">
        <f t="shared" si="11"/>
        <v>45305</v>
      </c>
      <c r="Y28" s="385">
        <f t="shared" si="12"/>
        <v>11.603552287726719</v>
      </c>
      <c r="Z28" s="385">
        <f t="shared" si="22"/>
        <v>12.428963673722402</v>
      </c>
      <c r="AA28" s="386">
        <f t="shared" si="13"/>
        <v>14.56178526368585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0.14646704036230196</v>
      </c>
      <c r="AD28" s="231">
        <f>(INDEX(Models!$BJ28:$BT28,,AH28)*(1-AF28)+INDEX(Models!$BJ28:$BT28,,AH28+1)*AF28-ERP_i)*AE28*Ramure*Pc/MaxiM</f>
        <v>3.5134044514271635E-2</v>
      </c>
      <c r="AE28" s="305">
        <f t="shared" si="15"/>
        <v>0.8</v>
      </c>
      <c r="AF28" s="177">
        <f t="shared" si="23"/>
        <v>0.40065686713363702</v>
      </c>
      <c r="AG28" s="809">
        <f t="shared" si="24"/>
        <v>2</v>
      </c>
      <c r="AH28" s="176">
        <f t="shared" si="16"/>
        <v>8</v>
      </c>
      <c r="AI28" s="225">
        <f t="shared" si="17"/>
        <v>2.400656867133637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IF(t&gt;Tmaj,'2023'!Wh/'2023'!Env_an*'2024'!Env_an,0.001*'[3]mon-tableau (2)'!$B$154)</f>
        <v>6.6327519144792619</v>
      </c>
      <c r="C29" s="839"/>
      <c r="D29" s="393">
        <f t="shared" si="0"/>
        <v>7.1047376220857252</v>
      </c>
      <c r="E29" s="385">
        <f t="shared" si="1"/>
        <v>7.6168623707058636</v>
      </c>
      <c r="F29" s="385">
        <f t="shared" si="2"/>
        <v>7.6278109810212564</v>
      </c>
      <c r="G29" s="110">
        <f t="shared" si="21"/>
        <v>0.360809957375896</v>
      </c>
      <c r="H29" s="414" t="b">
        <f>Wh_hp&gt;='2023'!Maxi_hp</f>
        <v>0</v>
      </c>
      <c r="I29" s="390">
        <f>IF(H29,Wh_hp,'2023'!Maxi_hp)</f>
        <v>20.889632657989388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6.643253174322053E-2</v>
      </c>
      <c r="M29" s="843"/>
      <c r="N29" s="843"/>
      <c r="O29" s="48">
        <f>IF(t&lt;Tnet,'2023'!Resal+('2023'!Salim-'2023'!Resal)*(1-EXP(('2023'!Tnet-t)/('2023'!Tau_j))),Resal+(Salim-Resal)*(1-EXP((Tnet-t)/(Tau_j))))*Salcycl</f>
        <v>6.7235657373795873E-2</v>
      </c>
      <c r="P29" s="169">
        <f>(INDEX(Models!$BJ29:$BT29,,T29)*(1-R29)+INDEX(Models!$BJ29:$BT29,,T29+1)*R29-ERP_i)*Q29*Ramure*Pc/MaxiM</f>
        <v>1.5252877857296947E-2</v>
      </c>
      <c r="Q29" s="305">
        <f t="shared" si="4"/>
        <v>0.8</v>
      </c>
      <c r="R29" s="177">
        <f t="shared" si="5"/>
        <v>0.19999981390894006</v>
      </c>
      <c r="S29" s="809">
        <f t="shared" si="6"/>
        <v>1</v>
      </c>
      <c r="T29" s="176">
        <f t="shared" si="7"/>
        <v>7</v>
      </c>
      <c r="U29" s="251">
        <f t="shared" si="8"/>
        <v>1.1999998139089401</v>
      </c>
      <c r="V29" s="383">
        <f t="shared" si="9"/>
        <v>18.128579429041633</v>
      </c>
      <c r="W29" s="402">
        <f t="shared" si="10"/>
        <v>6.6327519144792619</v>
      </c>
      <c r="X29" s="157">
        <f t="shared" si="11"/>
        <v>45306</v>
      </c>
      <c r="Y29" s="385">
        <f t="shared" si="12"/>
        <v>6.0577169623514404</v>
      </c>
      <c r="Z29" s="385">
        <f t="shared" si="22"/>
        <v>6.4887832624061126</v>
      </c>
      <c r="AA29" s="386">
        <f t="shared" si="13"/>
        <v>7.602652832809599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0.14651064502071323</v>
      </c>
      <c r="AD29" s="231">
        <f>(INDEX(Models!$BJ29:$BT29,,AH29)*(1-AF29)+INDEX(Models!$BJ29:$BT29,,AH29+1)*AF29-ERP_i)*AE29*Ramure*Pc/MaxiM</f>
        <v>3.5048663778699071E-2</v>
      </c>
      <c r="AE29" s="305">
        <f t="shared" si="15"/>
        <v>0.8</v>
      </c>
      <c r="AF29" s="177">
        <f t="shared" si="23"/>
        <v>0.40071656107384346</v>
      </c>
      <c r="AG29" s="809">
        <f t="shared" si="24"/>
        <v>2</v>
      </c>
      <c r="AH29" s="176">
        <f t="shared" si="16"/>
        <v>8</v>
      </c>
      <c r="AI29" s="225">
        <f t="shared" si="17"/>
        <v>2.4007165610738435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IF(t&gt;Tmaj,'2023'!Wh/'2023'!Env_an*'2024'!Env_an,0.001*'[3]mon-tableau (2)'!$B$155)</f>
        <v>3.5544140699264259</v>
      </c>
      <c r="C30" s="839"/>
      <c r="D30" s="393">
        <f t="shared" si="0"/>
        <v>3.8074362911144104</v>
      </c>
      <c r="E30" s="385">
        <f t="shared" si="1"/>
        <v>4.0825657855639879</v>
      </c>
      <c r="F30" s="385">
        <f t="shared" si="2"/>
        <v>4.0825657855639879</v>
      </c>
      <c r="G30" s="110">
        <f t="shared" si="21"/>
        <v>0.19087023498764055</v>
      </c>
      <c r="H30" s="414" t="b">
        <f>Wh_hp&gt;='2023'!Maxi_hp</f>
        <v>0</v>
      </c>
      <c r="I30" s="390">
        <f>IF(H30,Wh_hp,'2023'!Maxi_hp)</f>
        <v>20.57239192220748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6.6454748508458034E-2</v>
      </c>
      <c r="M30" s="843"/>
      <c r="N30" s="843"/>
      <c r="O30" s="48">
        <f>IF(t&lt;Tnet,'2023'!Resal+('2023'!Salim-'2023'!Resal)*(1-EXP(('2023'!Tnet-t)/('2023'!Tau_j))),Resal+(Salim-Resal)*(1-EXP((Tnet-t)/(Tau_j))))*Salcycl</f>
        <v>6.7391319307686326E-2</v>
      </c>
      <c r="P30" s="169">
        <f>(INDEX(Models!$BJ30:$BT30,,T30)*(1-R30)+INDEX(Models!$BJ30:$BT30,,T30+1)*R30-ERP_i)*Q30*Ramure*Pc/MaxiM</f>
        <v>1.5038070017559337E-2</v>
      </c>
      <c r="Q30" s="305">
        <f t="shared" si="4"/>
        <v>0.8</v>
      </c>
      <c r="R30" s="177">
        <f t="shared" si="5"/>
        <v>0.20006199948741199</v>
      </c>
      <c r="S30" s="809">
        <f t="shared" si="6"/>
        <v>1</v>
      </c>
      <c r="T30" s="176">
        <f t="shared" si="7"/>
        <v>7</v>
      </c>
      <c r="U30" s="251">
        <f t="shared" si="8"/>
        <v>1.200061999487412</v>
      </c>
      <c r="V30" s="383">
        <f t="shared" si="9"/>
        <v>18.342108409402716</v>
      </c>
      <c r="W30" s="402">
        <f t="shared" si="10"/>
        <v>3.5544140699264259</v>
      </c>
      <c r="X30" s="157">
        <f t="shared" si="11"/>
        <v>45307</v>
      </c>
      <c r="Y30" s="385">
        <f t="shared" si="12"/>
        <v>3.2527031794495489</v>
      </c>
      <c r="Z30" s="385">
        <f t="shared" si="22"/>
        <v>3.4842480043175699</v>
      </c>
      <c r="AA30" s="386">
        <f t="shared" si="13"/>
        <v>4.0825657855639879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0.14655435152131002</v>
      </c>
      <c r="AD30" s="231">
        <f>(INDEX(Models!$BJ30:$BT30,,AH30)*(1-AF30)+INDEX(Models!$BJ30:$BT30,,AH30+1)*AF30-ERP_i)*AE30*Ramure*Pc/MaxiM</f>
        <v>3.4925565922561116E-2</v>
      </c>
      <c r="AE30" s="305">
        <f t="shared" si="15"/>
        <v>0.8</v>
      </c>
      <c r="AF30" s="177">
        <f t="shared" si="23"/>
        <v>0.40077874665231583</v>
      </c>
      <c r="AG30" s="809">
        <f t="shared" si="24"/>
        <v>2</v>
      </c>
      <c r="AH30" s="176">
        <f t="shared" si="16"/>
        <v>8</v>
      </c>
      <c r="AI30" s="225">
        <f t="shared" si="17"/>
        <v>2.4007787466523158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IF(t&gt;Tmaj,'2023'!Wh/'2023'!Env_an*'2024'!Env_an,0.001*'[3]mon-tableau (2)'!$B$156)</f>
        <v>5.7815897106397047</v>
      </c>
      <c r="C31" s="839"/>
      <c r="D31" s="393">
        <f t="shared" si="0"/>
        <v>6.1933016030319425</v>
      </c>
      <c r="E31" s="385">
        <f t="shared" si="1"/>
        <v>6.6419439017043675</v>
      </c>
      <c r="F31" s="385">
        <f t="shared" si="2"/>
        <v>6.6435597871569749</v>
      </c>
      <c r="G31" s="110">
        <f t="shared" si="21"/>
        <v>0.30696412209071328</v>
      </c>
      <c r="H31" s="414" t="b">
        <f>Wh_hp&gt;='2023'!Maxi_hp</f>
        <v>0</v>
      </c>
      <c r="I31" s="390">
        <f>IF(H31,Wh_hp,'2023'!Maxi_hp)</f>
        <v>13.681968685413491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6.6476964756678997E-2</v>
      </c>
      <c r="M31" s="843"/>
      <c r="N31" s="843"/>
      <c r="O31" s="48">
        <f>IF(t&lt;Tnet,'2023'!Resal+('2023'!Salim-'2023'!Resal)*(1-EXP(('2023'!Tnet-t)/('2023'!Tau_j))),Resal+(Salim-Resal)*(1-EXP((Tnet-t)/(Tau_j))))*Salcycl</f>
        <v>6.7546836485219378E-2</v>
      </c>
      <c r="P31" s="169">
        <f>(INDEX(Models!$BJ31:$BT31,,T31)*(1-R31)+INDEX(Models!$BJ31:$BT31,,T31+1)*R31-ERP_i)*Q31*Ramure*Pc/MaxiM</f>
        <v>1.4803905528499113E-2</v>
      </c>
      <c r="Q31" s="305">
        <f t="shared" si="4"/>
        <v>0.8</v>
      </c>
      <c r="R31" s="177">
        <f t="shared" si="5"/>
        <v>0.20012678015463692</v>
      </c>
      <c r="S31" s="809">
        <f t="shared" si="6"/>
        <v>1</v>
      </c>
      <c r="T31" s="176">
        <f t="shared" si="7"/>
        <v>7</v>
      </c>
      <c r="U31" s="251">
        <f t="shared" si="8"/>
        <v>1.2001267801546369</v>
      </c>
      <c r="V31" s="383">
        <f t="shared" si="9"/>
        <v>18.560427568308555</v>
      </c>
      <c r="W31" s="402">
        <f t="shared" si="10"/>
        <v>5.7815897106397047</v>
      </c>
      <c r="X31" s="157">
        <f t="shared" si="11"/>
        <v>45308</v>
      </c>
      <c r="Y31" s="385">
        <f t="shared" si="12"/>
        <v>5.2897035866567181</v>
      </c>
      <c r="Z31" s="385">
        <f t="shared" si="22"/>
        <v>5.666387852205454</v>
      </c>
      <c r="AA31" s="386">
        <f t="shared" si="13"/>
        <v>6.6397652557120495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0.1465981651488687</v>
      </c>
      <c r="AD31" s="231">
        <f>(INDEX(Models!$BJ31:$BT31,,AH31)*(1-AF31)+INDEX(Models!$BJ31:$BT31,,AH31+1)*AF31-ERP_i)*AE31*Ramure*Pc/MaxiM</f>
        <v>3.4763531625933229E-2</v>
      </c>
      <c r="AE31" s="305">
        <f t="shared" si="15"/>
        <v>0.8</v>
      </c>
      <c r="AF31" s="177">
        <f t="shared" si="23"/>
        <v>0.40084352731954054</v>
      </c>
      <c r="AG31" s="809">
        <f t="shared" si="24"/>
        <v>2</v>
      </c>
      <c r="AH31" s="176">
        <f t="shared" si="16"/>
        <v>8</v>
      </c>
      <c r="AI31" s="225">
        <f t="shared" si="17"/>
        <v>2.4008435273195405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IF(t&gt;Tmaj,'2023'!Wh/'2023'!Env_an*'2024'!Env_an,0.001*'[3]mon-tableau (2)'!$B$157)</f>
        <v>14.199825999414241</v>
      </c>
      <c r="C32" s="839"/>
      <c r="D32" s="393">
        <f t="shared" si="0"/>
        <v>15.211369612761345</v>
      </c>
      <c r="E32" s="385">
        <f t="shared" si="1"/>
        <v>16.3159988336627</v>
      </c>
      <c r="F32" s="385">
        <f t="shared" si="2"/>
        <v>16.472144055249267</v>
      </c>
      <c r="G32" s="110">
        <f t="shared" si="21"/>
        <v>0.75212683106626166</v>
      </c>
      <c r="H32" s="414" t="b">
        <f>Wh_hp&gt;='2023'!Maxi_hp</f>
        <v>0</v>
      </c>
      <c r="I32" s="390">
        <f>IF(H32,Wh_hp,'2023'!Maxi_hp)</f>
        <v>21.36929658640063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6.649918048789541E-2</v>
      </c>
      <c r="M32" s="843"/>
      <c r="N32" s="843"/>
      <c r="O32" s="48">
        <f>IF(t&lt;Tnet,'2023'!Resal+('2023'!Salim-'2023'!Resal)*(1-EXP(('2023'!Tnet-t)/('2023'!Tau_j))),Resal+(Salim-Resal)*(1-EXP((Tnet-t)/(Tau_j))))*Salcycl</f>
        <v>6.7702212543820209E-2</v>
      </c>
      <c r="P32" s="169">
        <f>(INDEX(Models!$BJ32:$BT32,,T32)*(1-R32)+INDEX(Models!$BJ32:$BT32,,T32+1)*R32-ERP_i)*Q32*Ramure*Pc/MaxiM</f>
        <v>1.4551691160292004E-2</v>
      </c>
      <c r="Q32" s="305">
        <f t="shared" si="4"/>
        <v>0.8</v>
      </c>
      <c r="R32" s="177">
        <f t="shared" si="5"/>
        <v>0.20019426360920689</v>
      </c>
      <c r="S32" s="809">
        <f t="shared" si="6"/>
        <v>1</v>
      </c>
      <c r="T32" s="176">
        <f t="shared" si="7"/>
        <v>7</v>
      </c>
      <c r="U32" s="251">
        <f t="shared" si="8"/>
        <v>1.2001942636092069</v>
      </c>
      <c r="V32" s="383">
        <f t="shared" si="9"/>
        <v>18.782883098019628</v>
      </c>
      <c r="W32" s="402">
        <f t="shared" si="10"/>
        <v>14.199825999414241</v>
      </c>
      <c r="X32" s="157">
        <f t="shared" si="11"/>
        <v>45309</v>
      </c>
      <c r="Y32" s="385">
        <f t="shared" si="12"/>
        <v>12.82641926264351</v>
      </c>
      <c r="Z32" s="385">
        <f t="shared" si="22"/>
        <v>13.740126408616604</v>
      </c>
      <c r="AA32" s="386">
        <f t="shared" si="13"/>
        <v>16.101246947116259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0.14664209214693985</v>
      </c>
      <c r="AD32" s="231">
        <f>(INDEX(Models!$BJ32:$BT32,,AH32)*(1-AF32)+INDEX(Models!$BJ32:$BT32,,AH32+1)*AF32-ERP_i)*AE32*Ramure*Pc/MaxiM</f>
        <v>3.4565131836614159E-2</v>
      </c>
      <c r="AE32" s="305">
        <f t="shared" si="15"/>
        <v>0.8</v>
      </c>
      <c r="AF32" s="177">
        <f t="shared" si="23"/>
        <v>0.40091101077411073</v>
      </c>
      <c r="AG32" s="809">
        <f t="shared" si="24"/>
        <v>2</v>
      </c>
      <c r="AH32" s="176">
        <f t="shared" si="16"/>
        <v>8</v>
      </c>
      <c r="AI32" s="225">
        <f t="shared" si="17"/>
        <v>2.4009110107741107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IF(t&gt;Tmaj,'2023'!Wh/'2023'!Env_an*'2024'!Env_an,0.001*'[3]mon-tableau (2)'!$B$158)</f>
        <v>7.6191546528917931</v>
      </c>
      <c r="C33" s="839"/>
      <c r="D33" s="393">
        <f t="shared" si="0"/>
        <v>8.162109573601386</v>
      </c>
      <c r="E33" s="385">
        <f t="shared" si="1"/>
        <v>8.7562890313631545</v>
      </c>
      <c r="F33" s="385">
        <f t="shared" si="2"/>
        <v>8.7743391938365392</v>
      </c>
      <c r="G33" s="110">
        <f t="shared" si="21"/>
        <v>0.39591168364928003</v>
      </c>
      <c r="H33" s="414" t="b">
        <f>Wh_hp&gt;='2023'!Maxi_hp</f>
        <v>0</v>
      </c>
      <c r="I33" s="390">
        <f>IF(H33,Wh_hp,'2023'!Maxi_hp)</f>
        <v>22.802724307103638</v>
      </c>
      <c r="J33" s="85">
        <f>IF(H33,An,'2023'!An_max)</f>
        <v>2020</v>
      </c>
      <c r="K33" s="197">
        <f t="shared" si="3"/>
        <v>45310</v>
      </c>
      <c r="L33" s="147">
        <f>IF(t&lt;Tvie,1-EXP((T0-t)*PertePVj)+'2023'!Pspv,1-EXP((T0-t)*PertePVj)+Pspv)</f>
        <v>6.6521395702119263E-2</v>
      </c>
      <c r="M33" s="843"/>
      <c r="N33" s="843"/>
      <c r="O33" s="48">
        <f>IF(t&lt;Tnet,'2023'!Resal+('2023'!Salim-'2023'!Resal)*(1-EXP(('2023'!Tnet-t)/('2023'!Tau_j))),Resal+(Salim-Resal)*(1-EXP((Tnet-t)/(Tau_j))))*Salcycl</f>
        <v>6.7857451442448327E-2</v>
      </c>
      <c r="P33" s="169">
        <f>(INDEX(Models!$BJ33:$BT33,,T33)*(1-R33)+INDEX(Models!$BJ33:$BT33,,T33+1)*R33-ERP_i)*Q33*Ramure*Pc/MaxiM</f>
        <v>1.4282665253291997E-2</v>
      </c>
      <c r="Q33" s="305">
        <f t="shared" si="4"/>
        <v>0.8</v>
      </c>
      <c r="R33" s="177">
        <f t="shared" si="5"/>
        <v>0.20026456196823994</v>
      </c>
      <c r="S33" s="809">
        <f t="shared" si="6"/>
        <v>1</v>
      </c>
      <c r="T33" s="176">
        <f t="shared" si="7"/>
        <v>7</v>
      </c>
      <c r="U33" s="251">
        <f t="shared" si="8"/>
        <v>1.2002645619682399</v>
      </c>
      <c r="V33" s="383">
        <f t="shared" si="9"/>
        <v>19.00882162354662</v>
      </c>
      <c r="W33" s="402">
        <f t="shared" si="10"/>
        <v>7.6191546528917931</v>
      </c>
      <c r="X33" s="157">
        <f t="shared" si="11"/>
        <v>45310</v>
      </c>
      <c r="Y33" s="385">
        <f t="shared" si="12"/>
        <v>6.9546402427207203</v>
      </c>
      <c r="Z33" s="385">
        <f t="shared" si="22"/>
        <v>7.450240649009495</v>
      </c>
      <c r="AA33" s="386">
        <f t="shared" si="13"/>
        <v>8.7309499975315532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0.1466861394102755</v>
      </c>
      <c r="AD33" s="231">
        <f>(INDEX(Models!$BJ33:$BT33,,AH33)*(1-AF33)+INDEX(Models!$BJ33:$BT33,,AH33+1)*AF33-ERP_i)*AE33*Ramure*Pc/MaxiM</f>
        <v>3.433284145487684E-2</v>
      </c>
      <c r="AE33" s="305">
        <f t="shared" si="15"/>
        <v>0.8</v>
      </c>
      <c r="AF33" s="177">
        <f t="shared" si="23"/>
        <v>0.40098130913314378</v>
      </c>
      <c r="AG33" s="809">
        <f t="shared" si="24"/>
        <v>2</v>
      </c>
      <c r="AH33" s="176">
        <f t="shared" si="16"/>
        <v>8</v>
      </c>
      <c r="AI33" s="225">
        <f t="shared" si="17"/>
        <v>2.4009813091331438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IF(t&gt;Tmaj,'2023'!Wh/'2023'!Env_an*'2024'!Env_an,0.001*'[3]mon-tableau (2)'!$B$159)</f>
        <v>15.264293543392338</v>
      </c>
      <c r="C34" s="839"/>
      <c r="D34" s="393">
        <f t="shared" si="0"/>
        <v>16.352444220691332</v>
      </c>
      <c r="E34" s="385">
        <f t="shared" si="1"/>
        <v>17.545777412820861</v>
      </c>
      <c r="F34" s="385">
        <f t="shared" si="2"/>
        <v>17.720642560396801</v>
      </c>
      <c r="G34" s="110">
        <f t="shared" si="21"/>
        <v>0.7901520821622271</v>
      </c>
      <c r="H34" s="414" t="b">
        <f>Wh_hp&gt;='2023'!Maxi_hp</f>
        <v>0</v>
      </c>
      <c r="I34" s="390">
        <f>IF(H34,Wh_hp,'2023'!Maxi_hp)</f>
        <v>17.761021939938079</v>
      </c>
      <c r="J34" s="85">
        <f>IF(H34,An,'2023'!An_max)</f>
        <v>2023</v>
      </c>
      <c r="K34" s="197">
        <f t="shared" si="3"/>
        <v>45311</v>
      </c>
      <c r="L34" s="147">
        <f>IF(t&lt;Tvie,1-EXP((T0-t)*PertePVj)+'2023'!Pspv,1-EXP((T0-t)*PertePVj)+Pspv)</f>
        <v>6.6543610399362657E-2</v>
      </c>
      <c r="M34" s="843"/>
      <c r="N34" s="843"/>
      <c r="O34" s="48">
        <f>IF(t&lt;Tnet,'2023'!Resal+('2023'!Salim-'2023'!Resal)*(1-EXP(('2023'!Tnet-t)/('2023'!Tau_j))),Resal+(Salim-Resal)*(1-EXP((Tnet-t)/(Tau_j))))*Salcycl</f>
        <v>6.8012557326616291E-2</v>
      </c>
      <c r="P34" s="169">
        <f>(INDEX(Models!$BJ34:$BT34,,T34)*(1-R34)+INDEX(Models!$BJ34:$BT34,,T34+1)*R34-ERP_i)*Q34*Ramure*Pc/MaxiM</f>
        <v>1.3998071644239959E-2</v>
      </c>
      <c r="Q34" s="305">
        <f t="shared" si="4"/>
        <v>0.8</v>
      </c>
      <c r="R34" s="177">
        <f t="shared" si="5"/>
        <v>0.20033779194429124</v>
      </c>
      <c r="S34" s="809">
        <f t="shared" si="6"/>
        <v>1</v>
      </c>
      <c r="T34" s="176">
        <f t="shared" si="7"/>
        <v>7</v>
      </c>
      <c r="U34" s="251">
        <f t="shared" si="8"/>
        <v>1.2003377919442912</v>
      </c>
      <c r="V34" s="383">
        <f t="shared" si="9"/>
        <v>19.237588674962129</v>
      </c>
      <c r="W34" s="402">
        <f t="shared" si="10"/>
        <v>15.264293543392338</v>
      </c>
      <c r="X34" s="157">
        <f t="shared" si="11"/>
        <v>45311</v>
      </c>
      <c r="Y34" s="385">
        <f t="shared" si="12"/>
        <v>13.775332581052929</v>
      </c>
      <c r="Z34" s="385">
        <f t="shared" si="22"/>
        <v>14.757339212115157</v>
      </c>
      <c r="AA34" s="386">
        <f t="shared" si="13"/>
        <v>17.295046873792558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0.14673031418740046</v>
      </c>
      <c r="AD34" s="231">
        <f>(INDEX(Models!$BJ34:$BT34,,AH34)*(1-AF34)+INDEX(Models!$BJ34:$BT34,,AH34+1)*AF34-ERP_i)*AE34*Ramure*Pc/MaxiM</f>
        <v>3.4069218452913948E-2</v>
      </c>
      <c r="AE34" s="305">
        <f t="shared" si="15"/>
        <v>0.8</v>
      </c>
      <c r="AF34" s="177">
        <f t="shared" si="23"/>
        <v>0.40105453910919486</v>
      </c>
      <c r="AG34" s="809">
        <f t="shared" si="24"/>
        <v>2</v>
      </c>
      <c r="AH34" s="176">
        <f t="shared" si="16"/>
        <v>8</v>
      </c>
      <c r="AI34" s="225">
        <f t="shared" si="17"/>
        <v>2.4010545391091949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IF(t&gt;Tmaj,'2023'!Wh/'2023'!Env_an*'2024'!Env_an,0.001*'[3]mon-tableau (2)'!$B$160)</f>
        <v>5.8518681296659203</v>
      </c>
      <c r="C35" s="839"/>
      <c r="D35" s="393">
        <f t="shared" si="0"/>
        <v>6.2691813560721537</v>
      </c>
      <c r="E35" s="385">
        <f t="shared" si="1"/>
        <v>6.7277988130847337</v>
      </c>
      <c r="F35" s="385">
        <f t="shared" si="2"/>
        <v>6.727875297483493</v>
      </c>
      <c r="G35" s="110">
        <f t="shared" si="21"/>
        <v>0.29646657967658208</v>
      </c>
      <c r="H35" s="414" t="b">
        <f>Wh_hp&gt;='2023'!Maxi_hp</f>
        <v>0</v>
      </c>
      <c r="I35" s="390">
        <f>IF(H35,Wh_hp,'2023'!Maxi_hp)</f>
        <v>16.083260697407649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6.6565824579637584E-2</v>
      </c>
      <c r="M35" s="843"/>
      <c r="N35" s="843"/>
      <c r="O35" s="48">
        <f>IF(t&lt;Tnet,'2023'!Resal+('2023'!Salim-'2023'!Resal)*(1-EXP(('2023'!Tnet-t)/('2023'!Tau_j))),Resal+(Salim-Resal)*(1-EXP((Tnet-t)/(Tau_j))))*Salcycl</f>
        <v>6.8167534397822097E-2</v>
      </c>
      <c r="P35" s="169">
        <f>(INDEX(Models!$BJ35:$BT35,,T35)*(1-R35)+INDEX(Models!$BJ35:$BT35,,T35+1)*R35-ERP_i)*Q35*Ramure*Pc/MaxiM</f>
        <v>1.3699106544775765E-2</v>
      </c>
      <c r="Q35" s="305">
        <f t="shared" si="4"/>
        <v>0.8</v>
      </c>
      <c r="R35" s="177">
        <f t="shared" si="5"/>
        <v>0.20041407502897468</v>
      </c>
      <c r="S35" s="809">
        <f t="shared" si="6"/>
        <v>1</v>
      </c>
      <c r="T35" s="176">
        <f t="shared" si="7"/>
        <v>7</v>
      </c>
      <c r="U35" s="251">
        <f t="shared" si="8"/>
        <v>1.2004140750289747</v>
      </c>
      <c r="V35" s="383">
        <f t="shared" si="9"/>
        <v>19.468529593020801</v>
      </c>
      <c r="W35" s="402">
        <f t="shared" si="10"/>
        <v>5.8518681296659203</v>
      </c>
      <c r="X35" s="157">
        <f t="shared" si="11"/>
        <v>45312</v>
      </c>
      <c r="Y35" s="385">
        <f t="shared" si="12"/>
        <v>5.3581296844166841</v>
      </c>
      <c r="Z35" s="385">
        <f t="shared" si="22"/>
        <v>5.7402330292906898</v>
      </c>
      <c r="AA35" s="386">
        <f t="shared" si="13"/>
        <v>6.7276867160592717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0.14677462379624301</v>
      </c>
      <c r="AD35" s="231">
        <f>(INDEX(Models!$BJ35:$BT35,,AH35)*(1-AF35)+INDEX(Models!$BJ35:$BT35,,AH35+1)*AF35-ERP_i)*AE35*Ramure*Pc/MaxiM</f>
        <v>3.3776784085126757E-2</v>
      </c>
      <c r="AE35" s="305">
        <f t="shared" si="15"/>
        <v>0.8</v>
      </c>
      <c r="AF35" s="177">
        <f t="shared" si="23"/>
        <v>0.40113082219387808</v>
      </c>
      <c r="AG35" s="809">
        <f t="shared" si="24"/>
        <v>2</v>
      </c>
      <c r="AH35" s="176">
        <f t="shared" si="16"/>
        <v>8</v>
      </c>
      <c r="AI35" s="225">
        <f t="shared" si="17"/>
        <v>2.4011308221938781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IF(t&gt;Tmaj,'2023'!Wh/'2023'!Env_an*'2024'!Env_an,0.001*'[3]mon-tableau (2)'!$B$161)</f>
        <v>18.944588717479295</v>
      </c>
      <c r="C36" s="839"/>
      <c r="D36" s="393">
        <f t="shared" si="0"/>
        <v>20.296063789260014</v>
      </c>
      <c r="E36" s="385">
        <f t="shared" si="1"/>
        <v>21.784427898084655</v>
      </c>
      <c r="F36" s="385">
        <f t="shared" si="2"/>
        <v>22.063588997989619</v>
      </c>
      <c r="G36" s="110">
        <f t="shared" si="21"/>
        <v>0.9608907479579103</v>
      </c>
      <c r="H36" s="414" t="b">
        <f>Wh_hp&gt;='2023'!Maxi_hp</f>
        <v>0</v>
      </c>
      <c r="I36" s="390">
        <f>IF(H36,Wh_hp,'2023'!Maxi_hp)</f>
        <v>22.080002975196251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6.6588038242956032E-2</v>
      </c>
      <c r="M36" s="843"/>
      <c r="N36" s="843"/>
      <c r="O36" s="48">
        <f>IF(t&lt;Tnet,'2023'!Resal+('2023'!Salim-'2023'!Resal)*(1-EXP(('2023'!Tnet-t)/('2023'!Tau_j))),Resal+(Salim-Resal)*(1-EXP((Tnet-t)/(Tau_j))))*Salcycl</f>
        <v>6.8322386788752895E-2</v>
      </c>
      <c r="P36" s="169">
        <f>(INDEX(Models!$BJ36:$BT36,,T36)*(1-R36)+INDEX(Models!$BJ36:$BT36,,T36+1)*R36-ERP_i)*Q36*Ramure*Pc/MaxiM</f>
        <v>1.3386820545197487E-2</v>
      </c>
      <c r="Q36" s="305">
        <f t="shared" si="4"/>
        <v>0.8</v>
      </c>
      <c r="R36" s="177">
        <f t="shared" si="5"/>
        <v>0.20049353768351308</v>
      </c>
      <c r="S36" s="809">
        <f t="shared" si="6"/>
        <v>1</v>
      </c>
      <c r="T36" s="176">
        <f t="shared" si="7"/>
        <v>7</v>
      </c>
      <c r="U36" s="251">
        <f t="shared" si="8"/>
        <v>1.2004935376835131</v>
      </c>
      <c r="V36" s="383">
        <f t="shared" si="9"/>
        <v>19.700991424658511</v>
      </c>
      <c r="W36" s="402">
        <f t="shared" si="10"/>
        <v>18.944588717479295</v>
      </c>
      <c r="X36" s="157">
        <f t="shared" si="11"/>
        <v>45313</v>
      </c>
      <c r="Y36" s="385">
        <f t="shared" si="12"/>
        <v>17.015130114112008</v>
      </c>
      <c r="Z36" s="385">
        <f t="shared" si="22"/>
        <v>18.228960856772098</v>
      </c>
      <c r="AA36" s="386">
        <f t="shared" si="13"/>
        <v>21.365879534131079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0.14681907535554009</v>
      </c>
      <c r="AD36" s="231">
        <f>(INDEX(Models!$BJ36:$BT36,,AH36)*(1-AF36)+INDEX(Models!$BJ36:$BT36,,AH36+1)*AF36-ERP_i)*AE36*Ramure*Pc/MaxiM</f>
        <v>3.3457782579807874E-2</v>
      </c>
      <c r="AE36" s="305">
        <f t="shared" si="15"/>
        <v>0.8</v>
      </c>
      <c r="AF36" s="177">
        <f t="shared" si="23"/>
        <v>0.4012102848484167</v>
      </c>
      <c r="AG36" s="809">
        <f t="shared" si="24"/>
        <v>2</v>
      </c>
      <c r="AH36" s="176">
        <f t="shared" si="16"/>
        <v>8</v>
      </c>
      <c r="AI36" s="225">
        <f t="shared" si="17"/>
        <v>2.4012102848484167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IF(t&gt;Tmaj,'2023'!Wh/'2023'!Env_an*'2024'!Env_an,0.001*'[3]mon-tableau (2)'!$B$162)</f>
        <v>19.221394131880416</v>
      </c>
      <c r="C37" s="839"/>
      <c r="D37" s="393">
        <f t="shared" si="0"/>
        <v>20.593106106523067</v>
      </c>
      <c r="E37" s="385">
        <f t="shared" si="1"/>
        <v>22.106924600884287</v>
      </c>
      <c r="F37" s="385">
        <f t="shared" si="2"/>
        <v>22.38430455439844</v>
      </c>
      <c r="G37" s="110">
        <f t="shared" si="21"/>
        <v>0.96348398295466975</v>
      </c>
      <c r="H37" s="414" t="b">
        <f>Wh_hp&gt;='2023'!Maxi_hp</f>
        <v>0</v>
      </c>
      <c r="I37" s="390">
        <f>IF(H37,Wh_hp,'2023'!Maxi_hp)</f>
        <v>22.39947454636982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6.6610251389330105E-2</v>
      </c>
      <c r="M37" s="843"/>
      <c r="N37" s="843"/>
      <c r="O37" s="48">
        <f>IF(t&lt;Tnet,'2023'!Resal+('2023'!Salim-'2023'!Resal)*(1-EXP(('2023'!Tnet-t)/('2023'!Tau_j))),Resal+(Salim-Resal)*(1-EXP((Tnet-t)/(Tau_j))))*Salcycl</f>
        <v>6.84771184455331E-2</v>
      </c>
      <c r="P37" s="169">
        <f>(INDEX(Models!$BJ37:$BT37,,T37)*(1-R37)+INDEX(Models!$BJ37:$BT37,,T37+1)*R37-ERP_i)*Q37*Ramure*Pc/MaxiM</f>
        <v>1.3060857290674957E-2</v>
      </c>
      <c r="Q37" s="305">
        <f t="shared" si="4"/>
        <v>0.8</v>
      </c>
      <c r="R37" s="177">
        <f t="shared" si="5"/>
        <v>0.20057631153644584</v>
      </c>
      <c r="S37" s="809">
        <f t="shared" si="6"/>
        <v>1</v>
      </c>
      <c r="T37" s="176">
        <f t="shared" si="7"/>
        <v>7</v>
      </c>
      <c r="U37" s="251">
        <f t="shared" si="8"/>
        <v>1.2005763115364458</v>
      </c>
      <c r="V37" s="383">
        <f t="shared" si="9"/>
        <v>19.936367672751498</v>
      </c>
      <c r="W37" s="402">
        <f t="shared" si="10"/>
        <v>19.221394131880416</v>
      </c>
      <c r="X37" s="157">
        <f t="shared" si="11"/>
        <v>45314</v>
      </c>
      <c r="Y37" s="385">
        <f t="shared" si="12"/>
        <v>17.264856743901223</v>
      </c>
      <c r="Z37" s="385">
        <f t="shared" si="22"/>
        <v>18.496942750442226</v>
      </c>
      <c r="AA37" s="386">
        <f t="shared" si="13"/>
        <v>21.681110298557403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0.14686367553450624</v>
      </c>
      <c r="AD37" s="231">
        <f>(INDEX(Models!$BJ37:$BT37,,AH37)*(1-AF37)+INDEX(Models!$BJ37:$BT37,,AH37+1)*AF37-ERP_i)*AE37*Ramure*Pc/MaxiM</f>
        <v>3.3110971816114013E-2</v>
      </c>
      <c r="AE37" s="305">
        <f t="shared" si="15"/>
        <v>0.8</v>
      </c>
      <c r="AF37" s="177">
        <f t="shared" si="23"/>
        <v>0.40129305870134946</v>
      </c>
      <c r="AG37" s="809">
        <f t="shared" si="24"/>
        <v>2</v>
      </c>
      <c r="AH37" s="176">
        <f t="shared" si="16"/>
        <v>8</v>
      </c>
      <c r="AI37" s="225">
        <f t="shared" si="17"/>
        <v>2.4012930587013495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IF(t&gt;Tmaj,'2023'!Wh/'2023'!Env_an*'2024'!Env_an,0.001*'[3]mon-tableau (2)'!$B$163)</f>
        <v>19.338734931494557</v>
      </c>
      <c r="C38" s="839"/>
      <c r="D38" s="393">
        <f t="shared" si="0"/>
        <v>20.719313867247571</v>
      </c>
      <c r="E38" s="385">
        <f t="shared" si="1"/>
        <v>22.2461024299127</v>
      </c>
      <c r="F38" s="385">
        <f t="shared" si="2"/>
        <v>22.515806164762317</v>
      </c>
      <c r="G38" s="110">
        <f t="shared" si="21"/>
        <v>0.95776484639404569</v>
      </c>
      <c r="H38" s="414" t="b">
        <f>Wh_hp&gt;='2023'!Maxi_hp</f>
        <v>0</v>
      </c>
      <c r="I38" s="390">
        <f>IF(H38,Wh_hp,'2023'!Maxi_hp)</f>
        <v>22.533015476555242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6.6632464018771903E-2</v>
      </c>
      <c r="M38" s="843"/>
      <c r="N38" s="843"/>
      <c r="O38" s="48">
        <f>IF(t&lt;Tnet,'2023'!Resal+('2023'!Salim-'2023'!Resal)*(1-EXP(('2023'!Tnet-t)/('2023'!Tau_j))),Resal+(Salim-Resal)*(1-EXP((Tnet-t)/(Tau_j))))*Salcycl</f>
        <v>6.8631733018192351E-2</v>
      </c>
      <c r="P38" s="169">
        <f>(INDEX(Models!$BJ38:$BT38,,T38)*(1-R38)+INDEX(Models!$BJ38:$BT38,,T38+1)*R38-ERP_i)*Q38*Ramure*Pc/MaxiM</f>
        <v>1.2733375248107427E-2</v>
      </c>
      <c r="Q38" s="305">
        <f t="shared" si="4"/>
        <v>0.8</v>
      </c>
      <c r="R38" s="177">
        <f t="shared" si="5"/>
        <v>0.20066253358872133</v>
      </c>
      <c r="S38" s="809">
        <f t="shared" si="6"/>
        <v>1</v>
      </c>
      <c r="T38" s="176">
        <f t="shared" si="7"/>
        <v>7</v>
      </c>
      <c r="U38" s="251">
        <f t="shared" si="8"/>
        <v>1.2006625335887213</v>
      </c>
      <c r="V38" s="383">
        <f t="shared" si="9"/>
        <v>20.176098631502679</v>
      </c>
      <c r="W38" s="402">
        <f t="shared" si="10"/>
        <v>19.338734931494557</v>
      </c>
      <c r="X38" s="157">
        <f t="shared" si="11"/>
        <v>45315</v>
      </c>
      <c r="Y38" s="385">
        <f t="shared" si="12"/>
        <v>17.376169133173548</v>
      </c>
      <c r="Z38" s="385">
        <f t="shared" si="22"/>
        <v>18.616641851493554</v>
      </c>
      <c r="AA38" s="386">
        <f t="shared" si="13"/>
        <v>21.822559867216228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0.14690843032301112</v>
      </c>
      <c r="AD38" s="231">
        <f>(INDEX(Models!$BJ38:$BT38,,AH38)*(1-AF38)+INDEX(Models!$BJ38:$BT38,,AH38+1)*AF38-ERP_i)*AE38*Ramure*Pc/MaxiM</f>
        <v>3.2729859120925707E-2</v>
      </c>
      <c r="AE38" s="305">
        <f t="shared" si="15"/>
        <v>0.8</v>
      </c>
      <c r="AF38" s="177">
        <f t="shared" si="23"/>
        <v>0.40137928075362472</v>
      </c>
      <c r="AG38" s="809">
        <f t="shared" si="24"/>
        <v>2</v>
      </c>
      <c r="AH38" s="176">
        <f t="shared" si="16"/>
        <v>8</v>
      </c>
      <c r="AI38" s="225">
        <f t="shared" si="17"/>
        <v>2.4013792807536247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IF(t&gt;Tmaj,'2023'!Wh/'2023'!Env_an*'2024'!Env_an,0.001*'[3]mon-tableau (2)'!$B$164)</f>
        <v>19.370709596448361</v>
      </c>
      <c r="C39" s="839"/>
      <c r="D39" s="393">
        <f t="shared" si="0"/>
        <v>20.754065082960903</v>
      </c>
      <c r="E39" s="385">
        <f t="shared" si="1"/>
        <v>22.287111547727459</v>
      </c>
      <c r="F39" s="385">
        <f t="shared" si="2"/>
        <v>22.546556533752852</v>
      </c>
      <c r="G39" s="110">
        <f t="shared" si="21"/>
        <v>0.94775364221211</v>
      </c>
      <c r="H39" s="414" t="b">
        <f>Wh_hp&gt;='2023'!Maxi_hp</f>
        <v>0</v>
      </c>
      <c r="I39" s="390">
        <f>IF(H39,Wh_hp,'2023'!Maxi_hp)</f>
        <v>22.567351646183756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6.6654676131293306E-2</v>
      </c>
      <c r="M39" s="843"/>
      <c r="N39" s="843"/>
      <c r="O39" s="48">
        <f>IF(t&lt;Tnet,'2023'!Resal+('2023'!Salim-'2023'!Resal)*(1-EXP(('2023'!Tnet-t)/('2023'!Tau_j))),Resal+(Salim-Resal)*(1-EXP((Tnet-t)/(Tau_j))))*Salcycl</f>
        <v>6.8786233760420867E-2</v>
      </c>
      <c r="P39" s="169">
        <f>(INDEX(Models!$BJ39:$BT39,,T39)*(1-R39)+INDEX(Models!$BJ39:$BT39,,T39+1)*R39-ERP_i)*Q39*Ramure*Pc/MaxiM</f>
        <v>1.2418445504997724E-2</v>
      </c>
      <c r="Q39" s="305">
        <f t="shared" si="4"/>
        <v>0.8</v>
      </c>
      <c r="R39" s="177">
        <f t="shared" si="5"/>
        <v>0.20075234642641115</v>
      </c>
      <c r="S39" s="809">
        <f t="shared" si="6"/>
        <v>1</v>
      </c>
      <c r="T39" s="176">
        <f t="shared" si="7"/>
        <v>7</v>
      </c>
      <c r="U39" s="251">
        <f t="shared" si="8"/>
        <v>1.2007523464264112</v>
      </c>
      <c r="V39" s="383">
        <f t="shared" si="9"/>
        <v>20.419705492576892</v>
      </c>
      <c r="W39" s="402">
        <f t="shared" si="10"/>
        <v>19.370709596448361</v>
      </c>
      <c r="X39" s="157">
        <f t="shared" si="11"/>
        <v>45316</v>
      </c>
      <c r="Y39" s="385">
        <f t="shared" si="12"/>
        <v>17.413496585761404</v>
      </c>
      <c r="Z39" s="385">
        <f t="shared" si="22"/>
        <v>18.657078082935737</v>
      </c>
      <c r="AA39" s="386">
        <f t="shared" si="13"/>
        <v>21.871110999306168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0.14695334482424749</v>
      </c>
      <c r="AD39" s="231">
        <f>(INDEX(Models!$BJ39:$BT39,,AH39)*(1-AF39)+INDEX(Models!$BJ39:$BT39,,AH39+1)*AF39-ERP_i)*AE39*Ramure*Pc/MaxiM</f>
        <v>3.2330490134425863E-2</v>
      </c>
      <c r="AE39" s="305">
        <f t="shared" si="15"/>
        <v>0.8</v>
      </c>
      <c r="AF39" s="177">
        <f t="shared" si="23"/>
        <v>0.40146909359131477</v>
      </c>
      <c r="AG39" s="809">
        <f t="shared" si="24"/>
        <v>2</v>
      </c>
      <c r="AH39" s="176">
        <f t="shared" si="16"/>
        <v>8</v>
      </c>
      <c r="AI39" s="225">
        <f t="shared" si="17"/>
        <v>2.4014690935913148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IF(t&gt;Tmaj,'2023'!Wh/'2023'!Env_an*'2024'!Env_an,0.001*'[3]mon-tableau (2)'!$B$165)</f>
        <v>19.640700922136158</v>
      </c>
      <c r="C40" s="839"/>
      <c r="D40" s="393">
        <f t="shared" si="0"/>
        <v>21.043838584797868</v>
      </c>
      <c r="E40" s="385">
        <f t="shared" si="1"/>
        <v>22.602037114473859</v>
      </c>
      <c r="F40" s="385">
        <f t="shared" si="2"/>
        <v>22.859351746380227</v>
      </c>
      <c r="G40" s="110">
        <f t="shared" si="21"/>
        <v>0.94951537363871696</v>
      </c>
      <c r="H40" s="414" t="b">
        <f>Wh_hp&gt;='2023'!Maxi_hp</f>
        <v>0</v>
      </c>
      <c r="I40" s="390">
        <f>IF(H40,Wh_hp,'2023'!Maxi_hp)</f>
        <v>22.879228367903401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6.6676887726906414E-2</v>
      </c>
      <c r="M40" s="843"/>
      <c r="N40" s="843"/>
      <c r="O40" s="48">
        <f>IF(t&lt;Tnet,'2023'!Resal+('2023'!Salim-'2023'!Resal)*(1-EXP(('2023'!Tnet-t)/('2023'!Tau_j))),Resal+(Salim-Resal)*(1-EXP((Tnet-t)/(Tau_j))))*Salcycl</f>
        <v>6.8940623439563975E-2</v>
      </c>
      <c r="P40" s="169">
        <f>(INDEX(Models!$BJ40:$BT40,,T40)*(1-R40)+INDEX(Models!$BJ40:$BT40,,T40+1)*R40-ERP_i)*Q40*Ramure*Pc/MaxiM</f>
        <v>1.2115940756007155E-2</v>
      </c>
      <c r="Q40" s="305">
        <f t="shared" si="4"/>
        <v>0.8</v>
      </c>
      <c r="R40" s="177">
        <f t="shared" si="5"/>
        <v>0.20084589844128242</v>
      </c>
      <c r="S40" s="809">
        <f t="shared" si="6"/>
        <v>1</v>
      </c>
      <c r="T40" s="176">
        <f t="shared" si="7"/>
        <v>7</v>
      </c>
      <c r="U40" s="251">
        <f t="shared" si="8"/>
        <v>1.2008458984412824</v>
      </c>
      <c r="V40" s="383">
        <f t="shared" si="9"/>
        <v>20.66699269208635</v>
      </c>
      <c r="W40" s="402">
        <f t="shared" si="10"/>
        <v>19.640700922136158</v>
      </c>
      <c r="X40" s="157">
        <f t="shared" si="11"/>
        <v>45317</v>
      </c>
      <c r="Y40" s="385">
        <f t="shared" si="12"/>
        <v>17.659326604698702</v>
      </c>
      <c r="Z40" s="385">
        <f t="shared" si="22"/>
        <v>18.920914281967896</v>
      </c>
      <c r="AA40" s="386">
        <f t="shared" si="13"/>
        <v>22.181570109284799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0.14699842307159544</v>
      </c>
      <c r="AD40" s="231">
        <f>(INDEX(Models!$BJ40:$BT40,,AH40)*(1-AF40)+INDEX(Models!$BJ40:$BT40,,AH40+1)*AF40-ERP_i)*AE40*Ramure*Pc/MaxiM</f>
        <v>3.1914089376564821E-2</v>
      </c>
      <c r="AE40" s="305">
        <f t="shared" si="15"/>
        <v>0.8</v>
      </c>
      <c r="AF40" s="177">
        <f t="shared" si="23"/>
        <v>0.40156264560618604</v>
      </c>
      <c r="AG40" s="809">
        <f t="shared" si="24"/>
        <v>2</v>
      </c>
      <c r="AH40" s="176">
        <f t="shared" si="16"/>
        <v>8</v>
      </c>
      <c r="AI40" s="225">
        <f t="shared" si="17"/>
        <v>2.401562645606186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IF(t&gt;Tmaj,'2023'!Wh/'2023'!Env_an*'2024'!Env_an,0.001*'[3]mon-tableau (2)'!$B$166)</f>
        <v>20.557774538778951</v>
      </c>
      <c r="C41" s="839"/>
      <c r="D41" s="393">
        <f t="shared" si="0"/>
        <v>22.026952414243326</v>
      </c>
      <c r="E41" s="385">
        <f t="shared" si="1"/>
        <v>23.661866837970955</v>
      </c>
      <c r="F41" s="385">
        <f t="shared" si="2"/>
        <v>23.937990884569018</v>
      </c>
      <c r="G41" s="110">
        <f t="shared" si="21"/>
        <v>0.98250113901432012</v>
      </c>
      <c r="H41" s="414" t="b">
        <f>Wh_hp&gt;='2023'!Maxi_hp</f>
        <v>0</v>
      </c>
      <c r="I41" s="390">
        <f>IF(H41,Wh_hp,'2023'!Maxi_hp)</f>
        <v>23.945029081134049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6.6699098805623219E-2</v>
      </c>
      <c r="M41" s="843"/>
      <c r="N41" s="843"/>
      <c r="O41" s="48">
        <f>IF(t&lt;Tnet,'2023'!Resal+('2023'!Salim-'2023'!Resal)*(1-EXP(('2023'!Tnet-t)/('2023'!Tau_j))),Resal+(Salim-Resal)*(1-EXP((Tnet-t)/(Tau_j))))*Salcycl</f>
        <v>6.9094904257682305E-2</v>
      </c>
      <c r="P41" s="169">
        <f>(INDEX(Models!$BJ41:$BT41,,T41)*(1-R41)+INDEX(Models!$BJ41:$BT41,,T41+1)*R41-ERP_i)*Q41*Ramure*Pc/MaxiM</f>
        <v>1.1825711689162632E-2</v>
      </c>
      <c r="Q41" s="305">
        <f t="shared" si="4"/>
        <v>0.8</v>
      </c>
      <c r="R41" s="177">
        <f t="shared" si="5"/>
        <v>0.20094334405946834</v>
      </c>
      <c r="S41" s="809">
        <f t="shared" si="6"/>
        <v>1</v>
      </c>
      <c r="T41" s="176">
        <f t="shared" si="7"/>
        <v>7</v>
      </c>
      <c r="U41" s="251">
        <f t="shared" si="8"/>
        <v>1.2009433440594683</v>
      </c>
      <c r="V41" s="383">
        <f t="shared" si="9"/>
        <v>20.917764882034273</v>
      </c>
      <c r="W41" s="402">
        <f t="shared" si="10"/>
        <v>20.557774538778951</v>
      </c>
      <c r="X41" s="157">
        <f t="shared" si="11"/>
        <v>45318</v>
      </c>
      <c r="Y41" s="385">
        <f t="shared" si="12"/>
        <v>18.471020237186934</v>
      </c>
      <c r="Z41" s="385">
        <f t="shared" si="22"/>
        <v>19.791066539793267</v>
      </c>
      <c r="AA41" s="386">
        <f t="shared" si="13"/>
        <v>23.202907105920165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0.14704366787109943</v>
      </c>
      <c r="AD41" s="231">
        <f>(INDEX(Models!$BJ41:$BT41,,AH41)*(1-AF41)+INDEX(Models!$BJ41:$BT41,,AH41+1)*AF41-ERP_i)*AE41*Ramure*Pc/MaxiM</f>
        <v>3.1481824711685459E-2</v>
      </c>
      <c r="AE41" s="305">
        <f t="shared" si="15"/>
        <v>0.8</v>
      </c>
      <c r="AF41" s="177">
        <f t="shared" si="23"/>
        <v>0.40166009122437218</v>
      </c>
      <c r="AG41" s="809">
        <f t="shared" si="24"/>
        <v>2</v>
      </c>
      <c r="AH41" s="176">
        <f t="shared" si="16"/>
        <v>8</v>
      </c>
      <c r="AI41" s="225">
        <f t="shared" si="17"/>
        <v>2.4016600912243722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IF(t&gt;Tmaj,'2023'!Wh/'2023'!Env_an*'2024'!Env_an,0.001*'[3]mon-tableau (2)'!$B$167)</f>
        <v>4.0895869386644277</v>
      </c>
      <c r="C42" s="839"/>
      <c r="D42" s="393">
        <f t="shared" si="0"/>
        <v>4.38195683637933</v>
      </c>
      <c r="E42" s="385">
        <f t="shared" si="1"/>
        <v>4.7079801177614806</v>
      </c>
      <c r="F42" s="385">
        <f t="shared" si="2"/>
        <v>4.7079801177614806</v>
      </c>
      <c r="G42" s="110">
        <f t="shared" si="21"/>
        <v>0.19093118789736785</v>
      </c>
      <c r="H42" s="414" t="b">
        <f>Wh_hp&gt;='2023'!Maxi_hp</f>
        <v>0</v>
      </c>
      <c r="I42" s="390">
        <f>IF(H42,Wh_hp,'2023'!Maxi_hp)</f>
        <v>16.864393920494742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6.6721309367455711E-2</v>
      </c>
      <c r="M42" s="843"/>
      <c r="N42" s="843"/>
      <c r="O42" s="48">
        <f>IF(t&lt;Tnet,'2023'!Resal+('2023'!Salim-'2023'!Resal)*(1-EXP(('2023'!Tnet-t)/('2023'!Tau_j))),Resal+(Salim-Resal)*(1-EXP((Tnet-t)/(Tau_j))))*Salcycl</f>
        <v>6.9249077784373864E-2</v>
      </c>
      <c r="P42" s="169">
        <f>(INDEX(Models!$BJ42:$BT42,,T42)*(1-R42)+INDEX(Models!$BJ42:$BT42,,T42+1)*R42-ERP_i)*Q42*Ramure*Pc/MaxiM</f>
        <v>1.1547589655582374E-2</v>
      </c>
      <c r="Q42" s="305">
        <f t="shared" si="4"/>
        <v>0.8</v>
      </c>
      <c r="R42" s="177">
        <f t="shared" si="5"/>
        <v>0.20104484397848355</v>
      </c>
      <c r="S42" s="809">
        <f t="shared" si="6"/>
        <v>1</v>
      </c>
      <c r="T42" s="176">
        <f t="shared" si="7"/>
        <v>7</v>
      </c>
      <c r="U42" s="251">
        <f t="shared" si="8"/>
        <v>1.2010448439784835</v>
      </c>
      <c r="V42" s="383">
        <f t="shared" si="9"/>
        <v>21.171826935936796</v>
      </c>
      <c r="W42" s="402">
        <f t="shared" si="10"/>
        <v>4.0895869386644277</v>
      </c>
      <c r="X42" s="157">
        <f t="shared" si="11"/>
        <v>45319</v>
      </c>
      <c r="Y42" s="385">
        <f t="shared" si="12"/>
        <v>3.7475690566389681</v>
      </c>
      <c r="Z42" s="385">
        <f t="shared" si="22"/>
        <v>4.015487650424113</v>
      </c>
      <c r="AA42" s="386">
        <f t="shared" si="13"/>
        <v>4.7079801177614806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0.14708908067067827</v>
      </c>
      <c r="AD42" s="231">
        <f>(INDEX(Models!$BJ42:$BT42,,AH42)*(1-AF42)+INDEX(Models!$BJ42:$BT42,,AH42+1)*AF42-ERP_i)*AE42*Ramure*Pc/MaxiM</f>
        <v>3.1034806408271814E-2</v>
      </c>
      <c r="AE42" s="305">
        <f t="shared" si="15"/>
        <v>0.8</v>
      </c>
      <c r="AF42" s="177">
        <f t="shared" si="23"/>
        <v>0.40176159114338716</v>
      </c>
      <c r="AG42" s="809">
        <f t="shared" si="24"/>
        <v>2</v>
      </c>
      <c r="AH42" s="176">
        <f t="shared" si="16"/>
        <v>8</v>
      </c>
      <c r="AI42" s="225">
        <f t="shared" si="17"/>
        <v>2.4017615911433872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IF(t&gt;Tmaj,'2023'!Wh/'2023'!Env_an*'2024'!Env_an,0.001*'[3]mon-tableau (2)'!$B$168)</f>
        <v>8.1157220349470123</v>
      </c>
      <c r="C43" s="839"/>
      <c r="D43" s="393">
        <f t="shared" si="0"/>
        <v>8.6961325249381662</v>
      </c>
      <c r="E43" s="385">
        <f t="shared" si="1"/>
        <v>9.3446829067798944</v>
      </c>
      <c r="F43" s="385">
        <f t="shared" si="2"/>
        <v>9.3565542783561302</v>
      </c>
      <c r="G43" s="110">
        <f t="shared" si="21"/>
        <v>0.37492954572888304</v>
      </c>
      <c r="H43" s="414" t="b">
        <f>Wh_hp&gt;='2023'!Maxi_hp</f>
        <v>0</v>
      </c>
      <c r="I43" s="390">
        <f>IF(H43,Wh_hp,'2023'!Maxi_hp)</f>
        <v>15.521194705525005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6.6743519412416102E-2</v>
      </c>
      <c r="M43" s="843"/>
      <c r="N43" s="843"/>
      <c r="O43" s="48">
        <f>IF(t&lt;Tnet,'2023'!Resal+('2023'!Salim-'2023'!Resal)*(1-EXP(('2023'!Tnet-t)/('2023'!Tau_j))),Resal+(Salim-Resal)*(1-EXP((Tnet-t)/(Tau_j))))*Salcycl</f>
        <v>6.9403144901918706E-2</v>
      </c>
      <c r="P43" s="169">
        <f>(INDEX(Models!$BJ43:$BT43,,T43)*(1-R43)+INDEX(Models!$BJ43:$BT43,,T43+1)*R43-ERP_i)*Q43*Ramure*Pc/MaxiM</f>
        <v>1.1281389201355249E-2</v>
      </c>
      <c r="Q43" s="305">
        <f t="shared" si="4"/>
        <v>0.8</v>
      </c>
      <c r="R43" s="177">
        <f t="shared" si="5"/>
        <v>0.20115056541282583</v>
      </c>
      <c r="S43" s="809">
        <f t="shared" si="6"/>
        <v>1</v>
      </c>
      <c r="T43" s="176">
        <f t="shared" si="7"/>
        <v>7</v>
      </c>
      <c r="U43" s="251">
        <f t="shared" si="8"/>
        <v>1.2011505654128258</v>
      </c>
      <c r="V43" s="383">
        <f t="shared" si="9"/>
        <v>21.428983951128625</v>
      </c>
      <c r="W43" s="402">
        <f t="shared" si="10"/>
        <v>8.1157220349470123</v>
      </c>
      <c r="X43" s="157">
        <f t="shared" si="11"/>
        <v>45320</v>
      </c>
      <c r="Y43" s="385">
        <f t="shared" si="12"/>
        <v>7.4216676408732205</v>
      </c>
      <c r="Z43" s="385">
        <f t="shared" si="22"/>
        <v>7.9524415798329029</v>
      </c>
      <c r="AA43" s="386">
        <f t="shared" si="13"/>
        <v>9.3243812597865272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0.14713466145688611</v>
      </c>
      <c r="AD43" s="231">
        <f>(INDEX(Models!$BJ43:$BT43,,AH43)*(1-AF43)+INDEX(Models!$BJ43:$BT43,,AH43+1)*AF43-ERP_i)*AE43*Ramure*Pc/MaxiM</f>
        <v>3.0574086737598528E-2</v>
      </c>
      <c r="AE43" s="305">
        <f t="shared" si="15"/>
        <v>0.8</v>
      </c>
      <c r="AF43" s="177">
        <f t="shared" si="23"/>
        <v>0.40186731257772967</v>
      </c>
      <c r="AG43" s="809">
        <f t="shared" si="24"/>
        <v>2</v>
      </c>
      <c r="AH43" s="176">
        <f t="shared" si="16"/>
        <v>8</v>
      </c>
      <c r="AI43" s="225">
        <f t="shared" si="17"/>
        <v>2.4018673125777297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IF(t&gt;Tmaj,'2023'!Wh/'2023'!Env_an*'2024'!Env_an,0.001*'[3]mon-tableau (2)'!$B$169)</f>
        <v>4.2742511202180395</v>
      </c>
      <c r="C44" s="839"/>
      <c r="D44" s="393">
        <f t="shared" si="0"/>
        <v>4.5800408887315731</v>
      </c>
      <c r="E44" s="385">
        <f t="shared" si="1"/>
        <v>4.9224309381052436</v>
      </c>
      <c r="F44" s="385">
        <f t="shared" si="2"/>
        <v>4.9224309381052436</v>
      </c>
      <c r="G44" s="110">
        <f t="shared" si="21"/>
        <v>0.19489655113132626</v>
      </c>
      <c r="H44" s="414" t="b">
        <f>Wh_hp&gt;='2023'!Maxi_hp</f>
        <v>0</v>
      </c>
      <c r="I44" s="390">
        <f>IF(H44,Wh_hp,'2023'!Maxi_hp)</f>
        <v>11.334187659797209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6.6765728940516272E-2</v>
      </c>
      <c r="M44" s="843"/>
      <c r="N44" s="843"/>
      <c r="O44" s="48">
        <f>IF(t&lt;Tnet,'2023'!Resal+('2023'!Salim-'2023'!Resal)*(1-EXP(('2023'!Tnet-t)/('2023'!Tau_j))),Resal+(Salim-Resal)*(1-EXP((Tnet-t)/(Tau_j))))*Salcycl</f>
        <v>6.9557105763166691E-2</v>
      </c>
      <c r="P44" s="169">
        <f>(INDEX(Models!$BJ44:$BT44,,T44)*(1-R44)+INDEX(Models!$BJ44:$BT44,,T44+1)*R44-ERP_i)*Q44*Ramure*Pc/MaxiM</f>
        <v>1.1038800676529922E-2</v>
      </c>
      <c r="Q44" s="305">
        <f t="shared" si="4"/>
        <v>0.8</v>
      </c>
      <c r="R44" s="177">
        <f t="shared" si="5"/>
        <v>0.20126068234841799</v>
      </c>
      <c r="S44" s="809">
        <f t="shared" si="6"/>
        <v>1</v>
      </c>
      <c r="T44" s="176">
        <f t="shared" si="7"/>
        <v>7</v>
      </c>
      <c r="U44" s="251">
        <f t="shared" si="8"/>
        <v>1.201260682348418</v>
      </c>
      <c r="V44" s="383">
        <f t="shared" si="9"/>
        <v>21.688780481355014</v>
      </c>
      <c r="W44" s="402">
        <f t="shared" si="10"/>
        <v>4.2742511202180395</v>
      </c>
      <c r="X44" s="157">
        <f t="shared" si="11"/>
        <v>45321</v>
      </c>
      <c r="Y44" s="385">
        <f t="shared" si="12"/>
        <v>3.9176666468438683</v>
      </c>
      <c r="Z44" s="385">
        <f t="shared" si="22"/>
        <v>4.1979455409371251</v>
      </c>
      <c r="AA44" s="386">
        <f t="shared" si="13"/>
        <v>4.9224309381052436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0.14718040867973853</v>
      </c>
      <c r="AD44" s="231">
        <f>(INDEX(Models!$BJ44:$BT44,,AH44)*(1-AF44)+INDEX(Models!$BJ44:$BT44,,AH44+1)*AF44-ERP_i)*AE44*Ramure*Pc/MaxiM</f>
        <v>3.0107424519146424E-2</v>
      </c>
      <c r="AE44" s="305">
        <f t="shared" si="15"/>
        <v>0.8</v>
      </c>
      <c r="AF44" s="177">
        <f t="shared" si="23"/>
        <v>0.40197742951332183</v>
      </c>
      <c r="AG44" s="809">
        <f t="shared" si="24"/>
        <v>2</v>
      </c>
      <c r="AH44" s="176">
        <f t="shared" si="16"/>
        <v>8</v>
      </c>
      <c r="AI44" s="225">
        <f t="shared" si="17"/>
        <v>2.4019774295133218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IF(t&gt;Tmaj,'2023'!Wh/'2023'!Env_an*'2024'!Env_an,0.001*'[3]mon-tableau (2)'!$B$170)</f>
        <v>8.8251151498463773</v>
      </c>
      <c r="C45" s="839"/>
      <c r="D45" s="393">
        <f t="shared" si="0"/>
        <v>9.456709261212124</v>
      </c>
      <c r="E45" s="385">
        <f t="shared" si="1"/>
        <v>10.165345233775232</v>
      </c>
      <c r="F45" s="385">
        <f t="shared" si="2"/>
        <v>10.181409437434397</v>
      </c>
      <c r="G45" s="110">
        <f t="shared" si="21"/>
        <v>0.39831538849494241</v>
      </c>
      <c r="H45" s="414" t="b">
        <f>Wh_hp&gt;='2023'!Maxi_hp</f>
        <v>0</v>
      </c>
      <c r="I45" s="390">
        <f>IF(H45,Wh_hp,'2023'!Maxi_hp)</f>
        <v>19.643738017718885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6.6787937951768211E-2</v>
      </c>
      <c r="M45" s="843"/>
      <c r="N45" s="843"/>
      <c r="O45" s="48">
        <f>IF(t&lt;Tnet,'2023'!Resal+('2023'!Salim-'2023'!Resal)*(1-EXP(('2023'!Tnet-t)/('2023'!Tau_j))),Resal+(Salim-Resal)*(1-EXP((Tnet-t)/(Tau_j))))*Salcycl</f>
        <v>6.9710959762449037E-2</v>
      </c>
      <c r="P45" s="169">
        <f>(INDEX(Models!$BJ45:$BT45,,T45)*(1-R45)+INDEX(Models!$BJ45:$BT45,,T45+1)*R45-ERP_i)*Q45*Ramure*Pc/MaxiM</f>
        <v>1.0823930544055829E-2</v>
      </c>
      <c r="Q45" s="305">
        <f t="shared" si="4"/>
        <v>0.8</v>
      </c>
      <c r="R45" s="177">
        <f t="shared" si="5"/>
        <v>0.20137537580613407</v>
      </c>
      <c r="S45" s="809">
        <f t="shared" si="6"/>
        <v>1</v>
      </c>
      <c r="T45" s="176">
        <f t="shared" si="7"/>
        <v>7</v>
      </c>
      <c r="U45" s="251">
        <f t="shared" si="8"/>
        <v>1.2013753758061341</v>
      </c>
      <c r="V45" s="383">
        <f t="shared" si="9"/>
        <v>21.950916951327947</v>
      </c>
      <c r="W45" s="402">
        <f t="shared" si="10"/>
        <v>8.8251151498463773</v>
      </c>
      <c r="X45" s="157">
        <f t="shared" si="11"/>
        <v>45322</v>
      </c>
      <c r="Y45" s="385">
        <f t="shared" si="12"/>
        <v>8.0675357790619628</v>
      </c>
      <c r="Z45" s="385">
        <f t="shared" si="22"/>
        <v>8.6449115985011815</v>
      </c>
      <c r="AA45" s="386">
        <f t="shared" si="13"/>
        <v>10.13740432332551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0.14722631920581475</v>
      </c>
      <c r="AD45" s="231">
        <f>(INDEX(Models!$BJ45:$BT45,,AH45)*(1-AF45)+INDEX(Models!$BJ45:$BT45,,AH45+1)*AF45-ERP_i)*AE45*Ramure*Pc/MaxiM</f>
        <v>2.965029009863826E-2</v>
      </c>
      <c r="AE45" s="305">
        <f t="shared" si="15"/>
        <v>0.8</v>
      </c>
      <c r="AF45" s="177">
        <f t="shared" si="23"/>
        <v>0.40209212297103791</v>
      </c>
      <c r="AG45" s="809">
        <f t="shared" si="24"/>
        <v>2</v>
      </c>
      <c r="AH45" s="176">
        <f t="shared" si="16"/>
        <v>8</v>
      </c>
      <c r="AI45" s="225">
        <f t="shared" si="17"/>
        <v>2.4020921229710379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IF(t&gt;Tmaj,'2023'!Wh/'2023'!Env_an*'2024'!Env_an,0.001*'[4]mon-tableau'!$B$128)</f>
        <v>8.6427523380139366</v>
      </c>
      <c r="C46" s="839"/>
      <c r="D46" s="393">
        <f t="shared" si="0"/>
        <v>9.2615155480958293</v>
      </c>
      <c r="E46" s="385">
        <f t="shared" si="1"/>
        <v>9.9571703203350488</v>
      </c>
      <c r="F46" s="385">
        <f t="shared" si="2"/>
        <v>9.9706606231092536</v>
      </c>
      <c r="G46" s="110">
        <f t="shared" si="21"/>
        <v>0.38543040140295781</v>
      </c>
      <c r="H46" s="414" t="b">
        <f>Wh_hp&gt;='2023'!Maxi_hp</f>
        <v>0</v>
      </c>
      <c r="I46" s="390">
        <f>IF(H46,Wh_hp,'2023'!Maxi_hp)</f>
        <v>19.85137426834298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6.6810146446184021E-2</v>
      </c>
      <c r="M46" s="843"/>
      <c r="N46" s="843"/>
      <c r="O46" s="48">
        <f>IF(t&lt;Tnet,'2023'!Resal+('2023'!Salim-'2023'!Resal)*(1-EXP(('2023'!Tnet-t)/('2023'!Tau_j))),Resal+(Salim-Resal)*(1-EXP((Tnet-t)/(Tau_j))))*Salcycl</f>
        <v>6.9864705519651349E-2</v>
      </c>
      <c r="P46" s="169">
        <f>(INDEX(Models!$BJ46:$BT46,,T46)*(1-R46)+INDEX(Models!$BJ46:$BT46,,T46+1)*R46-ERP_i)*Q46*Ramure*Pc/MaxiM</f>
        <v>1.0635978449880535E-2</v>
      </c>
      <c r="Q46" s="305">
        <f t="shared" si="4"/>
        <v>0.8</v>
      </c>
      <c r="R46" s="177">
        <f t="shared" si="5"/>
        <v>0.20149483411466274</v>
      </c>
      <c r="S46" s="809">
        <f t="shared" si="6"/>
        <v>1</v>
      </c>
      <c r="T46" s="176">
        <f t="shared" si="7"/>
        <v>7</v>
      </c>
      <c r="U46" s="251">
        <f t="shared" si="8"/>
        <v>1.2014948341146627</v>
      </c>
      <c r="V46" s="383">
        <f t="shared" si="9"/>
        <v>22.215199224891162</v>
      </c>
      <c r="W46" s="402">
        <f t="shared" si="10"/>
        <v>8.6427523380139366</v>
      </c>
      <c r="X46" s="157">
        <f t="shared" si="11"/>
        <v>45323</v>
      </c>
      <c r="Y46" s="385">
        <f t="shared" si="12"/>
        <v>7.904745867241747</v>
      </c>
      <c r="Z46" s="385">
        <f t="shared" si="22"/>
        <v>8.4706727544652729</v>
      </c>
      <c r="AA46" s="386">
        <f t="shared" si="13"/>
        <v>9.9336208165859947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0.14727238829954767</v>
      </c>
      <c r="AD46" s="231">
        <f>(INDEX(Models!$BJ46:$BT46,,AH46)*(1-AF46)+INDEX(Models!$BJ46:$BT46,,AH46+1)*AF46-ERP_i)*AE46*Ramure*Pc/MaxiM</f>
        <v>2.9202797784672888E-2</v>
      </c>
      <c r="AE46" s="305">
        <f t="shared" si="15"/>
        <v>0.8</v>
      </c>
      <c r="AF46" s="177">
        <f t="shared" si="23"/>
        <v>0.40221158127956613</v>
      </c>
      <c r="AG46" s="809">
        <f t="shared" si="24"/>
        <v>2</v>
      </c>
      <c r="AH46" s="176">
        <f t="shared" si="16"/>
        <v>8</v>
      </c>
      <c r="AI46" s="225">
        <f t="shared" si="17"/>
        <v>2.4022115812795661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IF(t&gt;Tmaj,'2023'!Wh/'2023'!Env_an*'2024'!Env_an,0.001*'[4]mon-tableau'!$B$129)</f>
        <v>5.1882174576900351</v>
      </c>
      <c r="C47" s="839"/>
      <c r="D47" s="393">
        <f t="shared" si="0"/>
        <v>5.5597914075625168</v>
      </c>
      <c r="E47" s="385">
        <f t="shared" si="1"/>
        <v>5.9783882327402331</v>
      </c>
      <c r="F47" s="385">
        <f t="shared" si="2"/>
        <v>5.9783882327402331</v>
      </c>
      <c r="G47" s="110">
        <f t="shared" si="21"/>
        <v>0.22836067379395392</v>
      </c>
      <c r="H47" s="414" t="b">
        <f>Wh_hp&gt;='2023'!Maxi_hp</f>
        <v>0</v>
      </c>
      <c r="I47" s="390">
        <f>IF(H47,Wh_hp,'2023'!Maxi_hp)</f>
        <v>23.358776993635303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6.6832354423775803E-2</v>
      </c>
      <c r="M47" s="843"/>
      <c r="N47" s="843"/>
      <c r="O47" s="48">
        <f>IF(t&lt;Tnet,'2023'!Resal+('2023'!Salim-'2023'!Resal)*(1-EXP(('2023'!Tnet-t)/('2023'!Tau_j))),Resal+(Salim-Resal)*(1-EXP((Tnet-t)/(Tau_j))))*Salcycl</f>
        <v>7.0018340877445684E-2</v>
      </c>
      <c r="P47" s="169">
        <f>(INDEX(Models!$BJ47:$BT47,,T47)*(1-R47)+INDEX(Models!$BJ47:$BT47,,T47+1)*R47-ERP_i)*Q47*Ramure*Pc/MaxiM</f>
        <v>1.0474153909751037E-2</v>
      </c>
      <c r="Q47" s="305">
        <f t="shared" si="4"/>
        <v>0.8</v>
      </c>
      <c r="R47" s="177">
        <f t="shared" si="5"/>
        <v>0.20161925319295659</v>
      </c>
      <c r="S47" s="809">
        <f t="shared" si="6"/>
        <v>1</v>
      </c>
      <c r="T47" s="176">
        <f t="shared" si="7"/>
        <v>7</v>
      </c>
      <c r="U47" s="251">
        <f t="shared" si="8"/>
        <v>1.2016192531929566</v>
      </c>
      <c r="V47" s="383">
        <f t="shared" si="9"/>
        <v>22.481433358149683</v>
      </c>
      <c r="W47" s="402">
        <f t="shared" si="10"/>
        <v>5.1882174576900351</v>
      </c>
      <c r="X47" s="157">
        <f t="shared" si="11"/>
        <v>45324</v>
      </c>
      <c r="Y47" s="385">
        <f t="shared" si="12"/>
        <v>4.7569717445040576</v>
      </c>
      <c r="Z47" s="385">
        <f t="shared" si="22"/>
        <v>5.0976603904507023</v>
      </c>
      <c r="AA47" s="386">
        <f t="shared" si="13"/>
        <v>5.9783882327402331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0.14731860963232282</v>
      </c>
      <c r="AD47" s="231">
        <f>(INDEX(Models!$BJ47:$BT47,,AH47)*(1-AF47)+INDEX(Models!$BJ47:$BT47,,AH47+1)*AF47-ERP_i)*AE47*Ramure*Pc/MaxiM</f>
        <v>2.8765029438715249E-2</v>
      </c>
      <c r="AE47" s="305">
        <f t="shared" si="15"/>
        <v>0.8</v>
      </c>
      <c r="AF47" s="177">
        <f t="shared" si="23"/>
        <v>0.40233600035785999</v>
      </c>
      <c r="AG47" s="809">
        <f t="shared" si="24"/>
        <v>2</v>
      </c>
      <c r="AH47" s="176">
        <f t="shared" si="16"/>
        <v>8</v>
      </c>
      <c r="AI47" s="225">
        <f t="shared" si="17"/>
        <v>2.40233600035786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IF(t&gt;Tmaj,'2023'!Wh/'2023'!Env_an*'2024'!Env_an,0.001*'[4]mon-tableau'!$B$130)</f>
        <v>9.4572210856341314</v>
      </c>
      <c r="C48" s="839"/>
      <c r="D48" s="393">
        <f t="shared" si="0"/>
        <v>10.134777173356472</v>
      </c>
      <c r="E48" s="385">
        <f t="shared" si="1"/>
        <v>10.899624101601376</v>
      </c>
      <c r="F48" s="385">
        <f t="shared" si="2"/>
        <v>10.918281868650435</v>
      </c>
      <c r="G48" s="110">
        <f t="shared" si="21"/>
        <v>0.41211927154506428</v>
      </c>
      <c r="H48" s="414" t="b">
        <f>Wh_hp&gt;='2023'!Maxi_hp</f>
        <v>0</v>
      </c>
      <c r="I48" s="390">
        <f>IF(H48,Wh_hp,'2023'!Maxi_hp)</f>
        <v>21.831324615372054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6.6854561884555436E-2</v>
      </c>
      <c r="M48" s="843"/>
      <c r="N48" s="843"/>
      <c r="O48" s="48">
        <f>IF(t&lt;Tnet,'2023'!Resal+('2023'!Salim-'2023'!Resal)*(1-EXP(('2023'!Tnet-t)/('2023'!Tau_j))),Resal+(Salim-Resal)*(1-EXP((Tnet-t)/(Tau_j))))*Salcycl</f>
        <v>7.0171862911541344E-2</v>
      </c>
      <c r="P48" s="169">
        <f>(INDEX(Models!$BJ48:$BT48,,T48)*(1-R48)+INDEX(Models!$BJ48:$BT48,,T48+1)*R48-ERP_i)*Q48*Ramure*Pc/MaxiM</f>
        <v>1.0337679074198516E-2</v>
      </c>
      <c r="Q48" s="305">
        <f t="shared" si="4"/>
        <v>0.8</v>
      </c>
      <c r="R48" s="177">
        <f t="shared" si="5"/>
        <v>0.20174883684251621</v>
      </c>
      <c r="S48" s="809">
        <f t="shared" si="6"/>
        <v>1</v>
      </c>
      <c r="T48" s="176">
        <f t="shared" si="7"/>
        <v>7</v>
      </c>
      <c r="U48" s="251">
        <f t="shared" si="8"/>
        <v>1.2017488368425162</v>
      </c>
      <c r="V48" s="383">
        <f t="shared" si="9"/>
        <v>22.749425596580892</v>
      </c>
      <c r="W48" s="402">
        <f t="shared" si="10"/>
        <v>9.4572210856341314</v>
      </c>
      <c r="X48" s="157">
        <f t="shared" si="11"/>
        <v>45325</v>
      </c>
      <c r="Y48" s="385">
        <f t="shared" si="12"/>
        <v>8.6462482328029484</v>
      </c>
      <c r="Z48" s="385">
        <f t="shared" si="22"/>
        <v>9.2657027293244649</v>
      </c>
      <c r="AA48" s="386">
        <f t="shared" si="13"/>
        <v>10.867138296116892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0.14736497531872406</v>
      </c>
      <c r="AD48" s="231">
        <f>(INDEX(Models!$BJ48:$BT48,,AH48)*(1-AF48)+INDEX(Models!$BJ48:$BT48,,AH48+1)*AF48-ERP_i)*AE48*Ramure*Pc/MaxiM</f>
        <v>2.8337037233316643E-2</v>
      </c>
      <c r="AE48" s="305">
        <f t="shared" si="15"/>
        <v>0.8</v>
      </c>
      <c r="AF48" s="177">
        <f t="shared" si="23"/>
        <v>0.40246558400741961</v>
      </c>
      <c r="AG48" s="809">
        <f t="shared" si="24"/>
        <v>2</v>
      </c>
      <c r="AH48" s="176">
        <f t="shared" si="16"/>
        <v>8</v>
      </c>
      <c r="AI48" s="225">
        <f t="shared" si="17"/>
        <v>2.4024655840074196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IF(t&gt;Tmaj,'2023'!Wh/'2023'!Env_an*'2024'!Env_an,0.001*'[4]mon-tableau'!$B$131)</f>
        <v>8.6015423855023574</v>
      </c>
      <c r="C49" s="839"/>
      <c r="D49" s="393">
        <f t="shared" si="0"/>
        <v>9.2180133321766924</v>
      </c>
      <c r="E49" s="385">
        <f t="shared" si="1"/>
        <v>9.9153101772345451</v>
      </c>
      <c r="F49" s="385">
        <f t="shared" si="2"/>
        <v>9.9259926931547504</v>
      </c>
      <c r="G49" s="110">
        <f t="shared" si="21"/>
        <v>0.37024908416871893</v>
      </c>
      <c r="H49" s="414" t="b">
        <f>Wh_hp&gt;='2023'!Maxi_hp</f>
        <v>0</v>
      </c>
      <c r="I49" s="390">
        <f>IF(H49,Wh_hp,'2023'!Maxi_hp)</f>
        <v>19.89663781404116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6.6876768828535021E-2</v>
      </c>
      <c r="M49" s="843"/>
      <c r="N49" s="843"/>
      <c r="O49" s="48">
        <f>IF(t&lt;Tnet,'2023'!Resal+('2023'!Salim-'2023'!Resal)*(1-EXP(('2023'!Tnet-t)/('2023'!Tau_j))),Resal+(Salim-Resal)*(1-EXP((Tnet-t)/(Tau_j))))*Salcycl</f>
        <v>7.032526795367823E-2</v>
      </c>
      <c r="P49" s="169">
        <f>(INDEX(Models!$BJ49:$BT49,,T49)*(1-R49)+INDEX(Models!$BJ49:$BT49,,T49+1)*R49-ERP_i)*Q49*Ramure*Pc/MaxiM</f>
        <v>1.022579112728669E-2</v>
      </c>
      <c r="Q49" s="305">
        <f t="shared" si="4"/>
        <v>0.8</v>
      </c>
      <c r="R49" s="177">
        <f t="shared" si="5"/>
        <v>0.20188379704975534</v>
      </c>
      <c r="S49" s="809">
        <f t="shared" si="6"/>
        <v>1</v>
      </c>
      <c r="T49" s="176">
        <f t="shared" si="7"/>
        <v>7</v>
      </c>
      <c r="U49" s="251">
        <f t="shared" si="8"/>
        <v>1.2018837970497553</v>
      </c>
      <c r="V49" s="383">
        <f t="shared" si="9"/>
        <v>23.018982368761232</v>
      </c>
      <c r="W49" s="402">
        <f t="shared" si="10"/>
        <v>8.6015423855023574</v>
      </c>
      <c r="X49" s="157">
        <f t="shared" si="11"/>
        <v>45326</v>
      </c>
      <c r="Y49" s="385">
        <f t="shared" si="12"/>
        <v>7.8736201279656992</v>
      </c>
      <c r="Z49" s="385">
        <f t="shared" si="22"/>
        <v>8.4379210215149936</v>
      </c>
      <c r="AA49" s="386">
        <f t="shared" si="13"/>
        <v>9.8968268793014094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0.14741147597899543</v>
      </c>
      <c r="AD49" s="231">
        <f>(INDEX(Models!$BJ49:$BT49,,AH49)*(1-AF49)+INDEX(Models!$BJ49:$BT49,,AH49+1)*AF49-ERP_i)*AE49*Ramure*Pc/MaxiM</f>
        <v>2.7918846341948234E-2</v>
      </c>
      <c r="AE49" s="305">
        <f t="shared" si="15"/>
        <v>0.8</v>
      </c>
      <c r="AF49" s="177">
        <f t="shared" si="23"/>
        <v>0.40260054421465874</v>
      </c>
      <c r="AG49" s="809">
        <f t="shared" si="24"/>
        <v>2</v>
      </c>
      <c r="AH49" s="176">
        <f t="shared" si="16"/>
        <v>8</v>
      </c>
      <c r="AI49" s="225">
        <f t="shared" si="17"/>
        <v>2.4026005442146587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IF(t&gt;Tmaj,'2023'!Wh/'2023'!Env_an*'2024'!Env_an,0.001*'[4]mon-tableau'!$B$132)</f>
        <v>8.9248615970845879</v>
      </c>
      <c r="C50" s="839"/>
      <c r="D50" s="393">
        <f t="shared" si="0"/>
        <v>9.5647323927551628</v>
      </c>
      <c r="E50" s="385">
        <f t="shared" si="1"/>
        <v>10.289953405052128</v>
      </c>
      <c r="F50" s="385">
        <f t="shared" si="2"/>
        <v>10.302368251047044</v>
      </c>
      <c r="G50" s="110">
        <f t="shared" si="21"/>
        <v>0.37978000865957756</v>
      </c>
      <c r="H50" s="414" t="b">
        <f>Wh_hp&gt;='2023'!Maxi_hp</f>
        <v>0</v>
      </c>
      <c r="I50" s="390">
        <f>IF(H50,Wh_hp,'2023'!Maxi_hp)</f>
        <v>27.074904186376749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6.6898975255726661E-2</v>
      </c>
      <c r="M50" s="843"/>
      <c r="N50" s="843"/>
      <c r="O50" s="48">
        <f>IF(t&lt;Tnet,'2023'!Resal+('2023'!Salim-'2023'!Resal)*(1-EXP(('2023'!Tnet-t)/('2023'!Tau_j))),Resal+(Salim-Resal)*(1-EXP((Tnet-t)/(Tau_j))))*Salcycl</f>
        <v>7.0478551626958652E-2</v>
      </c>
      <c r="P50" s="169">
        <f>(INDEX(Models!$BJ50:$BT50,,T50)*(1-R50)+INDEX(Models!$BJ50:$BT50,,T50+1)*R50-ERP_i)*Q50*Ramure*Pc/MaxiM</f>
        <v>1.0137744343407725E-2</v>
      </c>
      <c r="Q50" s="305">
        <f t="shared" si="4"/>
        <v>0.8</v>
      </c>
      <c r="R50" s="177">
        <f t="shared" si="5"/>
        <v>0.20202435429869237</v>
      </c>
      <c r="S50" s="809">
        <f t="shared" si="6"/>
        <v>1</v>
      </c>
      <c r="T50" s="176">
        <f t="shared" si="7"/>
        <v>7</v>
      </c>
      <c r="U50" s="251">
        <f t="shared" si="8"/>
        <v>1.2020243542986924</v>
      </c>
      <c r="V50" s="383">
        <f t="shared" si="9"/>
        <v>23.289910287169402</v>
      </c>
      <c r="W50" s="402">
        <f t="shared" si="10"/>
        <v>8.9248615970845879</v>
      </c>
      <c r="X50" s="157">
        <f t="shared" si="11"/>
        <v>45327</v>
      </c>
      <c r="Y50" s="385">
        <f t="shared" si="12"/>
        <v>8.1688130176258902</v>
      </c>
      <c r="Z50" s="385">
        <f t="shared" si="22"/>
        <v>8.7544786695145298</v>
      </c>
      <c r="AA50" s="386">
        <f t="shared" si="13"/>
        <v>10.268678498971086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0.1474581008265356</v>
      </c>
      <c r="AD50" s="231">
        <f>(INDEX(Models!$BJ50:$BT50,,AH50)*(1-AF50)+INDEX(Models!$BJ50:$BT50,,AH50+1)*AF50-ERP_i)*AE50*Ramure*Pc/MaxiM</f>
        <v>2.7510457534366973E-2</v>
      </c>
      <c r="AE50" s="305">
        <f t="shared" si="15"/>
        <v>0.8</v>
      </c>
      <c r="AF50" s="177">
        <f t="shared" si="23"/>
        <v>0.40274110146359599</v>
      </c>
      <c r="AG50" s="809">
        <f t="shared" si="24"/>
        <v>2</v>
      </c>
      <c r="AH50" s="176">
        <f t="shared" si="16"/>
        <v>8</v>
      </c>
      <c r="AI50" s="225">
        <f t="shared" si="17"/>
        <v>2.402741101463596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IF(t&gt;Tmaj,'2023'!Wh/'2023'!Env_an*'2024'!Env_an,0.001*'[4]mon-tableau'!$B$133)</f>
        <v>15.47100361570098</v>
      </c>
      <c r="C51" s="839"/>
      <c r="D51" s="393">
        <f t="shared" si="0"/>
        <v>16.580596733549598</v>
      </c>
      <c r="E51" s="385">
        <f t="shared" si="1"/>
        <v>17.840717067934122</v>
      </c>
      <c r="F51" s="385">
        <f t="shared" si="2"/>
        <v>17.932742670307704</v>
      </c>
      <c r="G51" s="110">
        <f t="shared" si="21"/>
        <v>0.65335639427086745</v>
      </c>
      <c r="H51" s="414" t="b">
        <f>Wh_hp&gt;='2023'!Maxi_hp</f>
        <v>0</v>
      </c>
      <c r="I51" s="390">
        <f>IF(H51,Wh_hp,'2023'!Maxi_hp)</f>
        <v>27.752705659425114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6.6921181166142235E-2</v>
      </c>
      <c r="M51" s="843"/>
      <c r="N51" s="843"/>
      <c r="O51" s="48">
        <f>IF(t&lt;Tnet,'2023'!Resal+('2023'!Salim-'2023'!Resal)*(1-EXP(('2023'!Tnet-t)/('2023'!Tau_j))),Resal+(Salim-Resal)*(1-EXP((Tnet-t)/(Tau_j))))*Salcycl</f>
        <v>7.0631708892990169E-2</v>
      </c>
      <c r="P51" s="169">
        <f>(INDEX(Models!$BJ51:$BT51,,T51)*(1-R51)+INDEX(Models!$BJ51:$BT51,,T51+1)*R51-ERP_i)*Q51*Ramure*Pc/MaxiM</f>
        <v>1.0072961309811578E-2</v>
      </c>
      <c r="Q51" s="305">
        <f t="shared" si="4"/>
        <v>0.8</v>
      </c>
      <c r="R51" s="177">
        <f t="shared" si="5"/>
        <v>0.20217073789420525</v>
      </c>
      <c r="S51" s="809">
        <f t="shared" si="6"/>
        <v>1</v>
      </c>
      <c r="T51" s="176">
        <f t="shared" si="7"/>
        <v>7</v>
      </c>
      <c r="U51" s="251">
        <f t="shared" si="8"/>
        <v>1.2021707378942053</v>
      </c>
      <c r="V51" s="383">
        <f t="shared" si="9"/>
        <v>23.561662949807381</v>
      </c>
      <c r="W51" s="402">
        <f t="shared" si="10"/>
        <v>15.47100361570098</v>
      </c>
      <c r="X51" s="157">
        <f t="shared" si="11"/>
        <v>45328</v>
      </c>
      <c r="Y51" s="385">
        <f t="shared" si="12"/>
        <v>14.067485975715075</v>
      </c>
      <c r="Z51" s="385">
        <f t="shared" si="22"/>
        <v>15.076417652794136</v>
      </c>
      <c r="AA51" s="386">
        <f t="shared" si="13"/>
        <v>17.685047752664897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0.14750483777900317</v>
      </c>
      <c r="AD51" s="231">
        <f>(INDEX(Models!$BJ51:$BT51,,AH51)*(1-AF51)+INDEX(Models!$BJ51:$BT51,,AH51+1)*AF51-ERP_i)*AE51*Ramure*Pc/MaxiM</f>
        <v>2.7112252000528553E-2</v>
      </c>
      <c r="AE51" s="305">
        <f t="shared" si="15"/>
        <v>0.8</v>
      </c>
      <c r="AF51" s="177">
        <f t="shared" si="23"/>
        <v>0.4028874850591091</v>
      </c>
      <c r="AG51" s="809">
        <f t="shared" si="24"/>
        <v>2</v>
      </c>
      <c r="AH51" s="176">
        <f t="shared" si="16"/>
        <v>8</v>
      </c>
      <c r="AI51" s="225">
        <f t="shared" si="17"/>
        <v>2.4028874850591091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IF(t&gt;Tmaj,'2023'!Wh/'2023'!Env_an*'2024'!Env_an,0.001*'[4]mon-tableau'!$B$134)</f>
        <v>8.9243770339867972</v>
      </c>
      <c r="C52" s="839"/>
      <c r="D52" s="393">
        <f t="shared" si="0"/>
        <v>9.5646683228388092</v>
      </c>
      <c r="E52" s="385">
        <f t="shared" si="1"/>
        <v>10.293275061166602</v>
      </c>
      <c r="F52" s="385">
        <f t="shared" si="2"/>
        <v>10.304275556313113</v>
      </c>
      <c r="G52" s="110">
        <f t="shared" si="21"/>
        <v>0.37107793405098743</v>
      </c>
      <c r="H52" s="414" t="b">
        <f>Wh_hp&gt;='2023'!Maxi_hp</f>
        <v>0</v>
      </c>
      <c r="I52" s="390">
        <f>IF(H52,Wh_hp,'2023'!Maxi_hp)</f>
        <v>19.538155508149512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6.6943386559793733E-2</v>
      </c>
      <c r="M52" s="843"/>
      <c r="N52" s="843"/>
      <c r="O52" s="48">
        <f>IF(t&lt;Tnet,'2023'!Resal+('2023'!Salim-'2023'!Resal)*(1-EXP(('2023'!Tnet-t)/('2023'!Tau_j))),Resal+(Salim-Resal)*(1-EXP((Tnet-t)/(Tau_j))))*Salcycl</f>
        <v>7.0784734110196257E-2</v>
      </c>
      <c r="P52" s="169">
        <f>(INDEX(Models!$BJ52:$BT52,,T52)*(1-R52)+INDEX(Models!$BJ52:$BT52,,T52+1)*R52-ERP_i)*Q52*Ramure*Pc/MaxiM</f>
        <v>1.0038809822793577E-2</v>
      </c>
      <c r="Q52" s="305">
        <f t="shared" si="4"/>
        <v>0.8</v>
      </c>
      <c r="R52" s="177">
        <f t="shared" si="5"/>
        <v>0.20232318629608703</v>
      </c>
      <c r="S52" s="809">
        <f t="shared" si="6"/>
        <v>1</v>
      </c>
      <c r="T52" s="176">
        <f t="shared" si="7"/>
        <v>7</v>
      </c>
      <c r="U52" s="251">
        <f t="shared" si="8"/>
        <v>1.202323186296087</v>
      </c>
      <c r="V52" s="383">
        <f t="shared" si="9"/>
        <v>23.833884737499691</v>
      </c>
      <c r="W52" s="402">
        <f t="shared" si="10"/>
        <v>8.9243770339867972</v>
      </c>
      <c r="X52" s="157">
        <f t="shared" si="11"/>
        <v>45329</v>
      </c>
      <c r="Y52" s="385">
        <f t="shared" si="12"/>
        <v>8.1725326534521496</v>
      </c>
      <c r="Z52" s="385">
        <f t="shared" si="22"/>
        <v>8.7588818681856715</v>
      </c>
      <c r="AA52" s="386">
        <f t="shared" si="13"/>
        <v>10.274971041455565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0.14755167359139554</v>
      </c>
      <c r="AD52" s="231">
        <f>(INDEX(Models!$BJ52:$BT52,,AH52)*(1-AF52)+INDEX(Models!$BJ52:$BT52,,AH52+1)*AF52-ERP_i)*AE52*Ramure*Pc/MaxiM</f>
        <v>2.6742655461051718E-2</v>
      </c>
      <c r="AE52" s="305">
        <f t="shared" si="15"/>
        <v>0.8</v>
      </c>
      <c r="AF52" s="177">
        <f t="shared" si="23"/>
        <v>0.40303993346099087</v>
      </c>
      <c r="AG52" s="809">
        <f t="shared" si="24"/>
        <v>2</v>
      </c>
      <c r="AH52" s="176">
        <f t="shared" si="16"/>
        <v>8</v>
      </c>
      <c r="AI52" s="225">
        <f t="shared" si="17"/>
        <v>2.4030399334609909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IF(t&gt;Tmaj,'2023'!Wh/'2023'!Env_an*'2024'!Env_an,0.001*'[4]mon-tableau'!$B$135)</f>
        <v>24.329585349441331</v>
      </c>
      <c r="C53" s="839"/>
      <c r="D53" s="393">
        <f t="shared" si="0"/>
        <v>26.075764329961</v>
      </c>
      <c r="E53" s="385">
        <f t="shared" si="1"/>
        <v>28.066753021369664</v>
      </c>
      <c r="F53" s="385">
        <f t="shared" si="2"/>
        <v>28.35093087832141</v>
      </c>
      <c r="G53" s="110">
        <f t="shared" si="21"/>
        <v>1.009224158935293</v>
      </c>
      <c r="H53" s="414" t="b">
        <f>Wh_hp&gt;='2023'!Maxi_hp</f>
        <v>1</v>
      </c>
      <c r="I53" s="390">
        <f>IF(H53,Wh_hp,'2023'!Maxi_hp)</f>
        <v>28.35093087832141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6.6965591436693367E-2</v>
      </c>
      <c r="M53" s="843"/>
      <c r="N53" s="843"/>
      <c r="O53" s="48">
        <f>IF(t&lt;Tnet,'2023'!Resal+('2023'!Salim-'2023'!Resal)*(1-EXP(('2023'!Tnet-t)/('2023'!Tau_j))),Resal+(Salim-Resal)*(1-EXP((Tnet-t)/(Tau_j))))*Salcycl</f>
        <v>7.0937621102546117E-2</v>
      </c>
      <c r="P53" s="169">
        <f>(INDEX(Models!$BJ53:$BT53,,T53)*(1-R53)+INDEX(Models!$BJ53:$BT53,,T53+1)*R53-ERP_i)*Q53*Ramure*Pc/MaxiM</f>
        <v>1.0023581171687102E-2</v>
      </c>
      <c r="Q53" s="305">
        <f t="shared" si="4"/>
        <v>0.8</v>
      </c>
      <c r="R53" s="177">
        <f t="shared" si="5"/>
        <v>0.20248194746412662</v>
      </c>
      <c r="S53" s="809">
        <f t="shared" si="6"/>
        <v>1</v>
      </c>
      <c r="T53" s="176">
        <f t="shared" si="7"/>
        <v>7</v>
      </c>
      <c r="U53" s="251">
        <f t="shared" si="8"/>
        <v>1.2024819474641266</v>
      </c>
      <c r="V53" s="383">
        <f t="shared" si="9"/>
        <v>24.107216552473787</v>
      </c>
      <c r="W53" s="402">
        <f t="shared" si="10"/>
        <v>24.329585349441331</v>
      </c>
      <c r="X53" s="157">
        <f t="shared" si="11"/>
        <v>45330</v>
      </c>
      <c r="Y53" s="385">
        <f t="shared" si="12"/>
        <v>21.952688628718658</v>
      </c>
      <c r="Z53" s="385">
        <f t="shared" si="22"/>
        <v>23.528273370455405</v>
      </c>
      <c r="AA53" s="386">
        <f t="shared" si="13"/>
        <v>27.602339936439833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0.1475985940092695</v>
      </c>
      <c r="AD53" s="231">
        <f>(INDEX(Models!$BJ53:$BT53,,AH53)*(1-AF53)+INDEX(Models!$BJ53:$BT53,,AH53+1)*AF53-ERP_i)*AE53*Ramure*Pc/MaxiM</f>
        <v>2.6404457232619111E-2</v>
      </c>
      <c r="AE53" s="305">
        <f t="shared" si="15"/>
        <v>0.8</v>
      </c>
      <c r="AF53" s="177">
        <f t="shared" si="23"/>
        <v>0.40319869462903002</v>
      </c>
      <c r="AG53" s="809">
        <f t="shared" si="24"/>
        <v>2</v>
      </c>
      <c r="AH53" s="176">
        <f t="shared" si="16"/>
        <v>8</v>
      </c>
      <c r="AI53" s="225">
        <f t="shared" si="17"/>
        <v>2.40319869462903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IF(t&gt;Tmaj,'2023'!Wh/'2023'!Env_an*'2024'!Env_an,0.001*'[4]mon-tableau'!$B$136)</f>
        <v>24.072978000465188</v>
      </c>
      <c r="C54" s="839"/>
      <c r="D54" s="393">
        <f t="shared" si="0"/>
        <v>25.801353821545213</v>
      </c>
      <c r="E54" s="385">
        <f t="shared" si="1"/>
        <v>27.775956670532342</v>
      </c>
      <c r="F54" s="385">
        <f t="shared" si="2"/>
        <v>28.052127814735595</v>
      </c>
      <c r="G54" s="110">
        <f t="shared" si="21"/>
        <v>0.98714303901716816</v>
      </c>
      <c r="H54" s="414" t="b">
        <f>Wh_hp&gt;='2023'!Maxi_hp</f>
        <v>0</v>
      </c>
      <c r="I54" s="390">
        <f>IF(H54,Wh_hp,'2023'!Maxi_hp)</f>
        <v>28.057262374648079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6.6987795796853128E-2</v>
      </c>
      <c r="M54" s="843"/>
      <c r="N54" s="843"/>
      <c r="O54" s="48">
        <f>IF(t&lt;Tnet,'2023'!Resal+('2023'!Salim-'2023'!Resal)*(1-EXP(('2023'!Tnet-t)/('2023'!Tau_j))),Resal+(Salim-Resal)*(1-EXP((Tnet-t)/(Tau_j))))*Salcycl</f>
        <v>7.1090363237857168E-2</v>
      </c>
      <c r="P54" s="169">
        <f>(INDEX(Models!$BJ54:$BT54,,T54)*(1-R54)+INDEX(Models!$BJ54:$BT54,,T54+1)*R54-ERP_i)*Q54*Ramure*Pc/MaxiM</f>
        <v>1.0026490997902067E-2</v>
      </c>
      <c r="Q54" s="305">
        <f t="shared" si="4"/>
        <v>0.8</v>
      </c>
      <c r="R54" s="177">
        <f t="shared" si="5"/>
        <v>0.20264727921443604</v>
      </c>
      <c r="S54" s="809">
        <f t="shared" si="6"/>
        <v>1</v>
      </c>
      <c r="T54" s="176">
        <f t="shared" si="7"/>
        <v>7</v>
      </c>
      <c r="U54" s="251">
        <f t="shared" si="8"/>
        <v>1.202647279214436</v>
      </c>
      <c r="V54" s="383">
        <f t="shared" si="9"/>
        <v>24.382042722915035</v>
      </c>
      <c r="W54" s="402">
        <f t="shared" si="10"/>
        <v>24.072978000465188</v>
      </c>
      <c r="X54" s="157">
        <f t="shared" si="11"/>
        <v>45331</v>
      </c>
      <c r="Y54" s="385">
        <f t="shared" si="12"/>
        <v>21.737023345506309</v>
      </c>
      <c r="Z54" s="385">
        <f t="shared" si="22"/>
        <v>23.297683832625896</v>
      </c>
      <c r="AA54" s="386">
        <f t="shared" si="13"/>
        <v>27.333329180509093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0.14764558394009844</v>
      </c>
      <c r="AD54" s="231">
        <f>(INDEX(Models!$BJ54:$BT54,,AH54)*(1-AF54)+INDEX(Models!$BJ54:$BT54,,AH54+1)*AF54-ERP_i)*AE54*Ramure*Pc/MaxiM</f>
        <v>2.6096238461727501E-2</v>
      </c>
      <c r="AE54" s="305">
        <f t="shared" si="15"/>
        <v>0.8</v>
      </c>
      <c r="AF54" s="177">
        <f t="shared" si="23"/>
        <v>0.40336402637933944</v>
      </c>
      <c r="AG54" s="809">
        <f t="shared" si="24"/>
        <v>2</v>
      </c>
      <c r="AH54" s="176">
        <f t="shared" si="16"/>
        <v>8</v>
      </c>
      <c r="AI54" s="225">
        <f t="shared" si="17"/>
        <v>2.4033640263793394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IF(t&gt;Tmaj,'2023'!Wh/'2023'!Env_an*'2024'!Env_an,0.001*'[4]mon-tableau'!$B$137)</f>
        <v>22.497360700951276</v>
      </c>
      <c r="C55" s="839"/>
      <c r="D55" s="393">
        <f t="shared" si="0"/>
        <v>24.113185234865753</v>
      </c>
      <c r="E55" s="385">
        <f t="shared" si="1"/>
        <v>25.962855760953204</v>
      </c>
      <c r="F55" s="385">
        <f t="shared" si="2"/>
        <v>26.193060140482856</v>
      </c>
      <c r="G55" s="110">
        <f t="shared" si="21"/>
        <v>0.91119014224716155</v>
      </c>
      <c r="H55" s="414" t="b">
        <f>Wh_hp&gt;='2023'!Maxi_hp</f>
        <v>0</v>
      </c>
      <c r="I55" s="390">
        <f>IF(H55,Wh_hp,'2023'!Maxi_hp)</f>
        <v>26.226274713136441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6.7009999640284895E-2</v>
      </c>
      <c r="M55" s="843"/>
      <c r="N55" s="843"/>
      <c r="O55" s="48">
        <f>IF(t&lt;Tnet,'2023'!Resal+('2023'!Salim-'2023'!Resal)*(1-EXP(('2023'!Tnet-t)/('2023'!Tau_j))),Resal+(Salim-Resal)*(1-EXP((Tnet-t)/(Tau_j))))*Salcycl</f>
        <v>7.1242953514738583E-2</v>
      </c>
      <c r="P55" s="169">
        <f>(INDEX(Models!$BJ55:$BT55,,T55)*(1-R55)+INDEX(Models!$BJ55:$BT55,,T55+1)*R55-ERP_i)*Q55*Ramure*Pc/MaxiM</f>
        <v>1.0046782996950861E-2</v>
      </c>
      <c r="Q55" s="305">
        <f t="shared" si="4"/>
        <v>0.8</v>
      </c>
      <c r="R55" s="177">
        <f t="shared" si="5"/>
        <v>0.20281944958723086</v>
      </c>
      <c r="S55" s="809">
        <f t="shared" si="6"/>
        <v>1</v>
      </c>
      <c r="T55" s="176">
        <f t="shared" si="7"/>
        <v>7</v>
      </c>
      <c r="U55" s="251">
        <f t="shared" si="8"/>
        <v>1.2028194495872309</v>
      </c>
      <c r="V55" s="383">
        <f t="shared" si="9"/>
        <v>24.658747273943739</v>
      </c>
      <c r="W55" s="402">
        <f t="shared" si="10"/>
        <v>22.497360700951276</v>
      </c>
      <c r="X55" s="157">
        <f t="shared" si="11"/>
        <v>45332</v>
      </c>
      <c r="Y55" s="385">
        <f t="shared" si="12"/>
        <v>20.358179253235345</v>
      </c>
      <c r="Z55" s="385">
        <f t="shared" si="22"/>
        <v>21.820361681675294</v>
      </c>
      <c r="AA55" s="386">
        <f t="shared" si="13"/>
        <v>25.601516998816336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0.14769262764061442</v>
      </c>
      <c r="AD55" s="231">
        <f>(INDEX(Models!$BJ55:$BT55,,AH55)*(1-AF55)+INDEX(Models!$BJ55:$BT55,,AH55+1)*AF55-ERP_i)*AE55*Ramure*Pc/MaxiM</f>
        <v>2.581664862241477E-2</v>
      </c>
      <c r="AE55" s="305">
        <f t="shared" si="15"/>
        <v>0.8</v>
      </c>
      <c r="AF55" s="177">
        <f t="shared" si="23"/>
        <v>0.40353619675213448</v>
      </c>
      <c r="AG55" s="809">
        <f t="shared" si="24"/>
        <v>2</v>
      </c>
      <c r="AH55" s="176">
        <f t="shared" si="16"/>
        <v>8</v>
      </c>
      <c r="AI55" s="225">
        <f t="shared" si="17"/>
        <v>2.4035361967521345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IF(t&gt;Tmaj,'2023'!Wh/'2023'!Env_an*'2024'!Env_an,0.001*'[4]mon-tableau'!$B$138)</f>
        <v>14.87128104491147</v>
      </c>
      <c r="C56" s="839"/>
      <c r="D56" s="393">
        <f t="shared" si="0"/>
        <v>15.939758148357045</v>
      </c>
      <c r="E56" s="385">
        <f t="shared" si="1"/>
        <v>17.165279910300946</v>
      </c>
      <c r="F56" s="385">
        <f t="shared" si="2"/>
        <v>17.238869708752304</v>
      </c>
      <c r="G56" s="110">
        <f t="shared" si="21"/>
        <v>0.59285447768970134</v>
      </c>
      <c r="H56" s="414" t="b">
        <f>Wh_hp&gt;='2023'!Maxi_hp</f>
        <v>0</v>
      </c>
      <c r="I56" s="390">
        <f>IF(H56,Wh_hp,'2023'!Maxi_hp)</f>
        <v>22.96810519767752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6.7032202967000881E-2</v>
      </c>
      <c r="M56" s="843"/>
      <c r="N56" s="843"/>
      <c r="O56" s="48">
        <f>IF(t&lt;Tnet,'2023'!Resal+('2023'!Salim-'2023'!Resal)*(1-EXP(('2023'!Tnet-t)/('2023'!Tau_j))),Resal+(Salim-Resal)*(1-EXP((Tnet-t)/(Tau_j))))*Salcycl</f>
        <v>7.1395384657168423E-2</v>
      </c>
      <c r="P56" s="169">
        <f>(INDEX(Models!$BJ56:$BT56,,T56)*(1-R56)+INDEX(Models!$BJ56:$BT56,,T56+1)*R56-ERP_i)*Q56*Ramure*Pc/MaxiM</f>
        <v>1.0083725474146732E-2</v>
      </c>
      <c r="Q56" s="305">
        <f t="shared" si="4"/>
        <v>0.8</v>
      </c>
      <c r="R56" s="177">
        <f t="shared" si="5"/>
        <v>0.20299873722626449</v>
      </c>
      <c r="S56" s="809">
        <f t="shared" si="6"/>
        <v>1</v>
      </c>
      <c r="T56" s="176">
        <f t="shared" si="7"/>
        <v>7</v>
      </c>
      <c r="U56" s="251">
        <f t="shared" si="8"/>
        <v>1.2029987372262645</v>
      </c>
      <c r="V56" s="383">
        <f t="shared" si="9"/>
        <v>24.937713928263655</v>
      </c>
      <c r="W56" s="402">
        <f t="shared" si="10"/>
        <v>14.87128104491147</v>
      </c>
      <c r="X56" s="157">
        <f t="shared" si="11"/>
        <v>45333</v>
      </c>
      <c r="Y56" s="385">
        <f t="shared" si="12"/>
        <v>13.558822336433394</v>
      </c>
      <c r="Z56" s="385">
        <f t="shared" si="22"/>
        <v>14.533001438584291</v>
      </c>
      <c r="AA56" s="386">
        <f t="shared" si="13"/>
        <v>17.052303845027609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0.14773970891786203</v>
      </c>
      <c r="AD56" s="231">
        <f>(INDEX(Models!$BJ56:$BT56,,AH56)*(1-AF56)+INDEX(Models!$BJ56:$BT56,,AH56+1)*AF56-ERP_i)*AE56*Ramure*Pc/MaxiM</f>
        <v>2.5564398765005523E-2</v>
      </c>
      <c r="AE56" s="305">
        <f t="shared" si="15"/>
        <v>0.8</v>
      </c>
      <c r="AF56" s="177">
        <f t="shared" si="23"/>
        <v>0.40371548439116811</v>
      </c>
      <c r="AG56" s="809">
        <f t="shared" si="24"/>
        <v>2</v>
      </c>
      <c r="AH56" s="176">
        <f t="shared" si="16"/>
        <v>8</v>
      </c>
      <c r="AI56" s="225">
        <f t="shared" si="17"/>
        <v>2.4037154843911681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IF(t&gt;Tmaj,'2023'!Wh/'2023'!Env_an*'2024'!Env_an,0.001*'[4]mon-tableau'!$B$139)</f>
        <v>21.087900109680938</v>
      </c>
      <c r="C57" s="839"/>
      <c r="D57" s="393">
        <f t="shared" si="0"/>
        <v>22.6035689972299</v>
      </c>
      <c r="E57" s="385">
        <f t="shared" si="1"/>
        <v>24.345427073488686</v>
      </c>
      <c r="F57" s="385">
        <f t="shared" si="2"/>
        <v>24.535932757799451</v>
      </c>
      <c r="G57" s="110">
        <f t="shared" si="21"/>
        <v>0.83418100572356491</v>
      </c>
      <c r="H57" s="414" t="b">
        <f>Wh_hp&gt;='2023'!Maxi_hp</f>
        <v>0</v>
      </c>
      <c r="I57" s="390">
        <f>IF(H57,Wh_hp,'2023'!Maxi_hp)</f>
        <v>29.947194156112754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6.7054405777012965E-2</v>
      </c>
      <c r="M57" s="843"/>
      <c r="N57" s="843"/>
      <c r="O57" s="48">
        <f>IF(t&lt;Tnet,'2023'!Resal+('2023'!Salim-'2023'!Resal)*(1-EXP(('2023'!Tnet-t)/('2023'!Tau_j))),Resal+(Salim-Resal)*(1-EXP((Tnet-t)/(Tau_j))))*Salcycl</f>
        <v>7.1547649215634723E-2</v>
      </c>
      <c r="P57" s="169">
        <f>(INDEX(Models!$BJ57:$BT57,,T57)*(1-R57)+INDEX(Models!$BJ57:$BT57,,T57+1)*R57-ERP_i)*Q57*Ramure*Pc/MaxiM</f>
        <v>1.0136608341319698E-2</v>
      </c>
      <c r="Q57" s="305">
        <f t="shared" si="4"/>
        <v>0.8</v>
      </c>
      <c r="R57" s="177">
        <f t="shared" si="5"/>
        <v>0.20318543177009185</v>
      </c>
      <c r="S57" s="809">
        <f t="shared" si="6"/>
        <v>1</v>
      </c>
      <c r="T57" s="176">
        <f t="shared" si="7"/>
        <v>7</v>
      </c>
      <c r="U57" s="251">
        <f t="shared" si="8"/>
        <v>1.2031854317700919</v>
      </c>
      <c r="V57" s="383">
        <f t="shared" si="9"/>
        <v>25.219326092566583</v>
      </c>
      <c r="W57" s="402">
        <f t="shared" si="10"/>
        <v>21.087900109680938</v>
      </c>
      <c r="X57" s="157">
        <f t="shared" si="11"/>
        <v>45334</v>
      </c>
      <c r="Y57" s="385">
        <f t="shared" si="12"/>
        <v>19.129134328739717</v>
      </c>
      <c r="Z57" s="385">
        <f t="shared" si="22"/>
        <v>20.504019148803209</v>
      </c>
      <c r="AA57" s="386">
        <f t="shared" si="13"/>
        <v>24.059729914625699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0.14778681134159388</v>
      </c>
      <c r="AD57" s="231">
        <f>(INDEX(Models!$BJ57:$BT57,,AH57)*(1-AF57)+INDEX(Models!$BJ57:$BT57,,AH57+1)*AF57-ERP_i)*AE57*Ramure*Pc/MaxiM</f>
        <v>2.5338255547277855E-2</v>
      </c>
      <c r="AE57" s="305">
        <f t="shared" si="15"/>
        <v>0.8</v>
      </c>
      <c r="AF57" s="177">
        <f t="shared" si="23"/>
        <v>0.40390217893499525</v>
      </c>
      <c r="AG57" s="809">
        <f t="shared" si="24"/>
        <v>2</v>
      </c>
      <c r="AH57" s="176">
        <f t="shared" si="16"/>
        <v>8</v>
      </c>
      <c r="AI57" s="225">
        <f t="shared" si="17"/>
        <v>2.4039021789349952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IF(t&gt;Tmaj,'2023'!Wh/'2023'!Env_an*'2024'!Env_an,0.001*'[4]mon-tableau'!$B$140)</f>
        <v>24.159859739402364</v>
      </c>
      <c r="C58" s="839"/>
      <c r="D58" s="393">
        <f t="shared" si="0"/>
        <v>25.896938535788991</v>
      </c>
      <c r="E58" s="385">
        <f t="shared" si="1"/>
        <v>27.897157463563254</v>
      </c>
      <c r="F58" s="385">
        <f t="shared" si="2"/>
        <v>28.163103329535073</v>
      </c>
      <c r="G58" s="110">
        <f t="shared" si="21"/>
        <v>0.94656969809171332</v>
      </c>
      <c r="H58" s="414" t="b">
        <f>Wh_hp&gt;='2023'!Maxi_hp</f>
        <v>0</v>
      </c>
      <c r="I58" s="390">
        <f>IF(H58,Wh_hp,'2023'!Maxi_hp)</f>
        <v>30.793710907907265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6.7076608070333249E-2</v>
      </c>
      <c r="M58" s="843"/>
      <c r="N58" s="843"/>
      <c r="O58" s="48">
        <f>IF(t&lt;Tnet,'2023'!Resal+('2023'!Salim-'2023'!Resal)*(1-EXP(('2023'!Tnet-t)/('2023'!Tau_j))),Resal+(Salim-Resal)*(1-EXP((Tnet-t)/(Tau_j))))*Salcycl</f>
        <v>7.1699739673720134E-2</v>
      </c>
      <c r="P58" s="169">
        <f>(INDEX(Models!$BJ58:$BT58,,T58)*(1-R58)+INDEX(Models!$BJ58:$BT58,,T58+1)*R58-ERP_i)*Q58*Ramure*Pc/MaxiM</f>
        <v>1.0211790712444801E-2</v>
      </c>
      <c r="Q58" s="305">
        <f t="shared" si="4"/>
        <v>0.8</v>
      </c>
      <c r="R58" s="177">
        <f t="shared" si="5"/>
        <v>0.20337983425533879</v>
      </c>
      <c r="S58" s="809">
        <f t="shared" si="6"/>
        <v>1</v>
      </c>
      <c r="T58" s="176">
        <f t="shared" si="7"/>
        <v>7</v>
      </c>
      <c r="U58" s="251">
        <f t="shared" si="8"/>
        <v>1.2033798342553388</v>
      </c>
      <c r="V58" s="383">
        <f t="shared" si="9"/>
        <v>25.503785196193959</v>
      </c>
      <c r="W58" s="402">
        <f t="shared" si="10"/>
        <v>24.159859739402364</v>
      </c>
      <c r="X58" s="157">
        <f t="shared" si="11"/>
        <v>45335</v>
      </c>
      <c r="Y58" s="385">
        <f t="shared" si="12"/>
        <v>21.868922303028945</v>
      </c>
      <c r="Z58" s="385">
        <f t="shared" si="22"/>
        <v>23.441284131374474</v>
      </c>
      <c r="AA58" s="386">
        <f t="shared" si="13"/>
        <v>27.507882136268062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0.14783391846557095</v>
      </c>
      <c r="AD58" s="231">
        <f>(INDEX(Models!$BJ58:$BT58,,AH58)*(1-AF58)+INDEX(Models!$BJ58:$BT58,,AH58+1)*AF58-ERP_i)*AE58*Ramure*Pc/MaxiM</f>
        <v>2.5159186707230188E-2</v>
      </c>
      <c r="AE58" s="305">
        <f t="shared" si="15"/>
        <v>0.8</v>
      </c>
      <c r="AF58" s="177">
        <f t="shared" si="23"/>
        <v>0.40409658142024263</v>
      </c>
      <c r="AG58" s="809">
        <f t="shared" si="24"/>
        <v>2</v>
      </c>
      <c r="AH58" s="176">
        <f t="shared" si="16"/>
        <v>8</v>
      </c>
      <c r="AI58" s="225">
        <f t="shared" si="17"/>
        <v>2.4040965814202426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IF(t&gt;Tmaj,'2023'!Wh/'2023'!Env_an*'2024'!Env_an,0.001*'[4]mon-tableau'!$B$141)</f>
        <v>12.752049311926577</v>
      </c>
      <c r="C59" s="839"/>
      <c r="D59" s="393">
        <f t="shared" si="0"/>
        <v>13.669238978926399</v>
      </c>
      <c r="E59" s="385">
        <f t="shared" si="1"/>
        <v>14.727429034058789</v>
      </c>
      <c r="F59" s="385">
        <f t="shared" si="2"/>
        <v>14.769675608154534</v>
      </c>
      <c r="G59" s="110">
        <f t="shared" si="21"/>
        <v>0.49073579830507513</v>
      </c>
      <c r="H59" s="414" t="b">
        <f>Wh_hp&gt;='2023'!Maxi_hp</f>
        <v>0</v>
      </c>
      <c r="I59" s="390">
        <f>IF(H59,Wh_hp,'2023'!Maxi_hp)</f>
        <v>30.902600245057862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6.7098809846973723E-2</v>
      </c>
      <c r="M59" s="843"/>
      <c r="N59" s="843"/>
      <c r="O59" s="48">
        <f>IF(t&lt;Tnet,'2023'!Resal+('2023'!Salim-'2023'!Resal)*(1-EXP(('2023'!Tnet-t)/('2023'!Tau_j))),Resal+(Salim-Resal)*(1-EXP((Tnet-t)/(Tau_j))))*Salcycl</f>
        <v>7.185164855897179E-2</v>
      </c>
      <c r="P59" s="169">
        <f>(INDEX(Models!$BJ59:$BT59,,T59)*(1-R59)+INDEX(Models!$BJ59:$BT59,,T59+1)*R59-ERP_i)*Q59*Ramure*Pc/MaxiM</f>
        <v>1.0298381264219635E-2</v>
      </c>
      <c r="Q59" s="305">
        <f t="shared" si="4"/>
        <v>0.8</v>
      </c>
      <c r="R59" s="177">
        <f t="shared" si="5"/>
        <v>0.20358225753211689</v>
      </c>
      <c r="S59" s="809">
        <f t="shared" si="6"/>
        <v>1</v>
      </c>
      <c r="T59" s="176">
        <f t="shared" si="7"/>
        <v>7</v>
      </c>
      <c r="U59" s="251">
        <f t="shared" si="8"/>
        <v>1.2035822575321169</v>
      </c>
      <c r="V59" s="383">
        <f t="shared" si="9"/>
        <v>25.791734055613162</v>
      </c>
      <c r="W59" s="402">
        <f t="shared" si="10"/>
        <v>12.752049311926577</v>
      </c>
      <c r="X59" s="157">
        <f t="shared" si="11"/>
        <v>45336</v>
      </c>
      <c r="Y59" s="385">
        <f t="shared" si="12"/>
        <v>11.659457010036322</v>
      </c>
      <c r="Z59" s="385">
        <f t="shared" si="22"/>
        <v>12.498062102508188</v>
      </c>
      <c r="AA59" s="386">
        <f t="shared" si="13"/>
        <v>14.667038651476648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0.14788101405528736</v>
      </c>
      <c r="AD59" s="231">
        <f>(INDEX(Models!$BJ59:$BT59,,AH59)*(1-AF59)+INDEX(Models!$BJ59:$BT59,,AH59+1)*AF59-ERP_i)*AE59*Ramure*Pc/MaxiM</f>
        <v>2.5019650333599441E-2</v>
      </c>
      <c r="AE59" s="305">
        <f t="shared" si="15"/>
        <v>0.8</v>
      </c>
      <c r="AF59" s="177">
        <f t="shared" si="23"/>
        <v>0.40429900469702051</v>
      </c>
      <c r="AG59" s="809">
        <f t="shared" si="24"/>
        <v>2</v>
      </c>
      <c r="AH59" s="176">
        <f t="shared" si="16"/>
        <v>8</v>
      </c>
      <c r="AI59" s="225">
        <f t="shared" si="17"/>
        <v>2.4042990046970205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IF(t&gt;Tmaj,'2023'!Wh/'2023'!Env_an*'2024'!Env_an,0.001*'[4]mon-tableau'!$B$142)</f>
        <v>16.172224068529324</v>
      </c>
      <c r="C60" s="839"/>
      <c r="D60" s="393">
        <f t="shared" si="0"/>
        <v>17.335821967347716</v>
      </c>
      <c r="E60" s="385">
        <f t="shared" si="1"/>
        <v>18.680910447259706</v>
      </c>
      <c r="F60" s="385">
        <f t="shared" si="2"/>
        <v>18.770117704408758</v>
      </c>
      <c r="G60" s="110">
        <f t="shared" si="21"/>
        <v>0.61650051345090628</v>
      </c>
      <c r="H60" s="414" t="b">
        <f>Wh_hp&gt;='2023'!Maxi_hp</f>
        <v>0</v>
      </c>
      <c r="I60" s="390">
        <f>IF(H60,Wh_hp,'2023'!Maxi_hp)</f>
        <v>31.193309368180032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6.7121011106946377E-2</v>
      </c>
      <c r="M60" s="843"/>
      <c r="N60" s="843"/>
      <c r="O60" s="48">
        <f>IF(t&lt;Tnet,'2023'!Resal+('2023'!Salim-'2023'!Resal)*(1-EXP(('2023'!Tnet-t)/('2023'!Tau_j))),Resal+(Salim-Resal)*(1-EXP((Tnet-t)/(Tau_j))))*Salcycl</f>
        <v>7.200336855687349E-2</v>
      </c>
      <c r="P60" s="169">
        <f>(INDEX(Models!$BJ60:$BT60,,T60)*(1-R60)+INDEX(Models!$BJ60:$BT60,,T60+1)*R60-ERP_i)*Q60*Ramure*Pc/MaxiM</f>
        <v>1.0395835402126069E-2</v>
      </c>
      <c r="Q60" s="305">
        <f t="shared" si="4"/>
        <v>0.8</v>
      </c>
      <c r="R60" s="177">
        <f t="shared" si="5"/>
        <v>0.2037930266917134</v>
      </c>
      <c r="S60" s="809">
        <f t="shared" si="6"/>
        <v>1</v>
      </c>
      <c r="T60" s="176">
        <f t="shared" si="7"/>
        <v>7</v>
      </c>
      <c r="U60" s="251">
        <f t="shared" si="8"/>
        <v>1.2037930266917134</v>
      </c>
      <c r="V60" s="383">
        <f t="shared" si="9"/>
        <v>26.083554806533844</v>
      </c>
      <c r="W60" s="402">
        <f t="shared" si="10"/>
        <v>16.172224068529324</v>
      </c>
      <c r="X60" s="157">
        <f t="shared" si="11"/>
        <v>45337</v>
      </c>
      <c r="Y60" s="385">
        <f t="shared" si="12"/>
        <v>14.750027402852051</v>
      </c>
      <c r="Z60" s="385">
        <f t="shared" si="22"/>
        <v>15.811297690769422</v>
      </c>
      <c r="AA60" s="386">
        <f t="shared" si="13"/>
        <v>18.556294794708279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0.14792808231962618</v>
      </c>
      <c r="AD60" s="231">
        <f>(INDEX(Models!$BJ60:$BT60,,AH60)*(1-AF60)+INDEX(Models!$BJ60:$BT60,,AH60+1)*AF60-ERP_i)*AE60*Ramure*Pc/MaxiM</f>
        <v>2.4918015030276998E-2</v>
      </c>
      <c r="AE60" s="305">
        <f t="shared" si="15"/>
        <v>0.8</v>
      </c>
      <c r="AF60" s="177">
        <f t="shared" si="23"/>
        <v>0.40450977385661702</v>
      </c>
      <c r="AG60" s="809">
        <f t="shared" si="24"/>
        <v>2</v>
      </c>
      <c r="AH60" s="176">
        <f t="shared" si="16"/>
        <v>8</v>
      </c>
      <c r="AI60" s="225">
        <f t="shared" si="17"/>
        <v>2.404509773856617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IF(t&gt;Tmaj,'2023'!Wh/'2023'!Env_an*'2024'!Env_an,0.001*'[4]mon-tableau'!$B$143)</f>
        <v>9.9011894181212803</v>
      </c>
      <c r="C61" s="839"/>
      <c r="D61" s="393">
        <f t="shared" si="0"/>
        <v>10.613836490121567</v>
      </c>
      <c r="E61" s="385">
        <f t="shared" si="1"/>
        <v>11.439233128220389</v>
      </c>
      <c r="F61" s="385">
        <f t="shared" si="2"/>
        <v>11.452178781709446</v>
      </c>
      <c r="G61" s="110">
        <f t="shared" si="21"/>
        <v>0.37181259734237831</v>
      </c>
      <c r="H61" s="414" t="b">
        <f>Wh_hp&gt;='2023'!Maxi_hp</f>
        <v>0</v>
      </c>
      <c r="I61" s="390">
        <f>IF(H61,Wh_hp,'2023'!Maxi_hp)</f>
        <v>31.828917483030121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6.7143211850263312E-2</v>
      </c>
      <c r="M61" s="843"/>
      <c r="N61" s="843"/>
      <c r="O61" s="48">
        <f>IF(t&lt;Tnet,'2023'!Resal+('2023'!Salim-'2023'!Resal)*(1-EXP(('2023'!Tnet-t)/('2023'!Tau_j))),Resal+(Salim-Resal)*(1-EXP((Tnet-t)/(Tau_j))))*Salcycl</f>
        <v>7.2154892626725378E-2</v>
      </c>
      <c r="P61" s="169">
        <f>(INDEX(Models!$BJ61:$BT61,,T61)*(1-R61)+INDEX(Models!$BJ61:$BT61,,T61+1)*R61-ERP_i)*Q61*Ramure*Pc/MaxiM</f>
        <v>1.0503620231069925E-2</v>
      </c>
      <c r="Q61" s="305">
        <f t="shared" si="4"/>
        <v>0.8</v>
      </c>
      <c r="R61" s="177">
        <f t="shared" si="5"/>
        <v>0.20401247950665913</v>
      </c>
      <c r="S61" s="809">
        <f t="shared" si="6"/>
        <v>1</v>
      </c>
      <c r="T61" s="176">
        <f t="shared" si="7"/>
        <v>7</v>
      </c>
      <c r="U61" s="251">
        <f t="shared" si="8"/>
        <v>1.2040124795066591</v>
      </c>
      <c r="V61" s="383">
        <f t="shared" si="9"/>
        <v>26.379629220289125</v>
      </c>
      <c r="W61" s="402">
        <f t="shared" si="10"/>
        <v>9.9011894181212803</v>
      </c>
      <c r="X61" s="157">
        <f t="shared" si="11"/>
        <v>45338</v>
      </c>
      <c r="Y61" s="385">
        <f t="shared" si="12"/>
        <v>9.078042825420896</v>
      </c>
      <c r="Z61" s="385">
        <f t="shared" si="22"/>
        <v>9.7314431762099609</v>
      </c>
      <c r="AA61" s="386">
        <f t="shared" si="13"/>
        <v>11.421547972631583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0.14797510814396317</v>
      </c>
      <c r="AD61" s="231">
        <f>(INDEX(Models!$BJ61:$BT61,,AH61)*(1-AF61)+INDEX(Models!$BJ61:$BT61,,AH61+1)*AF61-ERP_i)*AE61*Ramure*Pc/MaxiM</f>
        <v>2.4852695632262872E-2</v>
      </c>
      <c r="AE61" s="305">
        <f t="shared" si="15"/>
        <v>0.8</v>
      </c>
      <c r="AF61" s="177">
        <f t="shared" si="23"/>
        <v>0.40472922667156253</v>
      </c>
      <c r="AG61" s="809">
        <f t="shared" si="24"/>
        <v>2</v>
      </c>
      <c r="AH61" s="176">
        <f t="shared" si="16"/>
        <v>8</v>
      </c>
      <c r="AI61" s="225">
        <f t="shared" si="17"/>
        <v>2.4047292266715625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IF(t&gt;Tmaj,'2023'!Wh/'2023'!Env_an*'2024'!Env_an,0.001*'[4]mon-tableau'!$B$144)</f>
        <v>10.637025252780949</v>
      </c>
      <c r="C62" s="839"/>
      <c r="D62" s="393">
        <f t="shared" si="0"/>
        <v>11.402906142732187</v>
      </c>
      <c r="E62" s="385">
        <f t="shared" si="1"/>
        <v>12.291670286326049</v>
      </c>
      <c r="F62" s="385">
        <f t="shared" si="2"/>
        <v>12.310102806284949</v>
      </c>
      <c r="G62" s="110">
        <f t="shared" si="21"/>
        <v>0.39504104727097489</v>
      </c>
      <c r="H62" s="414" t="b">
        <f>Wh_hp&gt;='2023'!Maxi_hp</f>
        <v>0</v>
      </c>
      <c r="I62" s="390">
        <f>IF(H62,Wh_hp,'2023'!Maxi_hp)</f>
        <v>32.141014438582829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6.716541207693652E-2</v>
      </c>
      <c r="M62" s="843"/>
      <c r="N62" s="843"/>
      <c r="O62" s="48">
        <f>IF(t&lt;Tnet,'2023'!Resal+('2023'!Salim-'2023'!Resal)*(1-EXP(('2023'!Tnet-t)/('2023'!Tau_j))),Resal+(Salim-Resal)*(1-EXP((Tnet-t)/(Tau_j))))*Salcycl</f>
        <v>7.2306214118236928E-2</v>
      </c>
      <c r="P62" s="169">
        <f>(INDEX(Models!$BJ62:$BT62,,T62)*(1-R62)+INDEX(Models!$BJ62:$BT62,,T62+1)*R62-ERP_i)*Q62*Ramure*Pc/MaxiM</f>
        <v>1.0621213684159745E-2</v>
      </c>
      <c r="Q62" s="305">
        <f t="shared" si="4"/>
        <v>0.8</v>
      </c>
      <c r="R62" s="177">
        <f t="shared" si="5"/>
        <v>0.20424096688324678</v>
      </c>
      <c r="S62" s="809">
        <f t="shared" si="6"/>
        <v>1</v>
      </c>
      <c r="T62" s="176">
        <f t="shared" si="7"/>
        <v>7</v>
      </c>
      <c r="U62" s="251">
        <f t="shared" si="8"/>
        <v>1.2042409668832468</v>
      </c>
      <c r="V62" s="383">
        <f t="shared" si="9"/>
        <v>26.680338687823724</v>
      </c>
      <c r="W62" s="402">
        <f t="shared" si="10"/>
        <v>10.637025252780949</v>
      </c>
      <c r="X62" s="157">
        <f t="shared" si="11"/>
        <v>45339</v>
      </c>
      <c r="Y62" s="385">
        <f t="shared" si="12"/>
        <v>9.7492732937716919</v>
      </c>
      <c r="Z62" s="385">
        <f t="shared" si="22"/>
        <v>10.451234784805999</v>
      </c>
      <c r="AA62" s="386">
        <f t="shared" si="13"/>
        <v>12.267025361359437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0.14802207732227352</v>
      </c>
      <c r="AD62" s="231">
        <f>(INDEX(Models!$BJ62:$BT62,,AH62)*(1-AF62)+INDEX(Models!$BJ62:$BT62,,AH62+1)*AF62-ERP_i)*AE62*Ramure*Pc/MaxiM</f>
        <v>2.4822148493079128E-2</v>
      </c>
      <c r="AE62" s="305">
        <f t="shared" si="15"/>
        <v>0.8</v>
      </c>
      <c r="AF62" s="177">
        <f t="shared" si="23"/>
        <v>0.4049577140481504</v>
      </c>
      <c r="AG62" s="809">
        <f t="shared" si="24"/>
        <v>2</v>
      </c>
      <c r="AH62" s="176">
        <f t="shared" si="16"/>
        <v>8</v>
      </c>
      <c r="AI62" s="225">
        <f t="shared" si="17"/>
        <v>2.4049577140481504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IF(t&gt;Tmaj,'2023'!Wh/'2023'!Env_an*'2024'!Env_an,0.001*'[4]mon-tableau'!$B$145)</f>
        <v>20.989569262921393</v>
      </c>
      <c r="C63" s="839"/>
      <c r="D63" s="393">
        <f t="shared" si="0"/>
        <v>22.501383480906455</v>
      </c>
      <c r="E63" s="385">
        <f t="shared" si="1"/>
        <v>24.259135599016282</v>
      </c>
      <c r="F63" s="385">
        <f t="shared" si="2"/>
        <v>24.438421717800708</v>
      </c>
      <c r="G63" s="110">
        <f t="shared" si="21"/>
        <v>0.77511956838777107</v>
      </c>
      <c r="H63" s="414" t="b">
        <f>Wh_hp&gt;='2023'!Maxi_hp</f>
        <v>0</v>
      </c>
      <c r="I63" s="390">
        <f>IF(H63,Wh_hp,'2023'!Maxi_hp)</f>
        <v>31.856589753625187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6.7187611786977991E-2</v>
      </c>
      <c r="M63" s="843"/>
      <c r="N63" s="843"/>
      <c r="O63" s="48">
        <f>IF(t&lt;Tnet,'2023'!Resal+('2023'!Salim-'2023'!Resal)*(1-EXP(('2023'!Tnet-t)/('2023'!Tau_j))),Resal+(Salim-Resal)*(1-EXP((Tnet-t)/(Tau_j))))*Salcycl</f>
        <v>7.2457326887653162E-2</v>
      </c>
      <c r="P63" s="169">
        <f>(INDEX(Models!$BJ63:$BT63,,T63)*(1-R63)+INDEX(Models!$BJ63:$BT63,,T63+1)*R63-ERP_i)*Q63*Ramure*Pc/MaxiM</f>
        <v>1.0748103873247683E-2</v>
      </c>
      <c r="Q63" s="305">
        <f t="shared" si="4"/>
        <v>0.8</v>
      </c>
      <c r="R63" s="177">
        <f t="shared" si="5"/>
        <v>0.2044788533265447</v>
      </c>
      <c r="S63" s="809">
        <f t="shared" si="6"/>
        <v>1</v>
      </c>
      <c r="T63" s="176">
        <f t="shared" si="7"/>
        <v>7</v>
      </c>
      <c r="U63" s="251">
        <f t="shared" si="8"/>
        <v>1.2044788533265447</v>
      </c>
      <c r="V63" s="383">
        <f t="shared" si="9"/>
        <v>26.986064213734629</v>
      </c>
      <c r="W63" s="402">
        <f t="shared" si="10"/>
        <v>20.989569262921393</v>
      </c>
      <c r="X63" s="157">
        <f t="shared" si="11"/>
        <v>45340</v>
      </c>
      <c r="Y63" s="385">
        <f t="shared" si="12"/>
        <v>19.09193440436022</v>
      </c>
      <c r="Z63" s="385">
        <f t="shared" si="22"/>
        <v>20.467067810853607</v>
      </c>
      <c r="AA63" s="386">
        <f t="shared" si="13"/>
        <v>24.024325037062322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0.14806897678585923</v>
      </c>
      <c r="AD63" s="231">
        <f>(INDEX(Models!$BJ63:$BT63,,AH63)*(1-AF63)+INDEX(Models!$BJ63:$BT63,,AH63+1)*AF63-ERP_i)*AE63*Ramure*Pc/MaxiM</f>
        <v>2.4824867470609042E-2</v>
      </c>
      <c r="AE63" s="305">
        <f t="shared" si="15"/>
        <v>0.8</v>
      </c>
      <c r="AF63" s="177">
        <f t="shared" si="23"/>
        <v>0.40519560049144809</v>
      </c>
      <c r="AG63" s="809">
        <f t="shared" si="24"/>
        <v>2</v>
      </c>
      <c r="AH63" s="176">
        <f t="shared" si="16"/>
        <v>8</v>
      </c>
      <c r="AI63" s="225">
        <f t="shared" si="17"/>
        <v>2.4051956004914481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IF(t&gt;Tmaj,'2023'!Wh/'2023'!Env_an*'2024'!Env_an,0.001*'[4]mon-tableau'!$B$146)</f>
        <v>18.698122681654041</v>
      </c>
      <c r="C64" s="839"/>
      <c r="D64" s="393">
        <f t="shared" si="0"/>
        <v>20.045368081440174</v>
      </c>
      <c r="E64" s="385">
        <f t="shared" si="1"/>
        <v>21.614778813787805</v>
      </c>
      <c r="F64" s="385">
        <f t="shared" si="2"/>
        <v>21.744940274168712</v>
      </c>
      <c r="G64" s="110">
        <f t="shared" si="21"/>
        <v>0.68160828884035596</v>
      </c>
      <c r="H64" s="414" t="b">
        <f>Wh_hp&gt;='2023'!Maxi_hp</f>
        <v>0</v>
      </c>
      <c r="I64" s="390">
        <f>IF(H64,Wh_hp,'2023'!Maxi_hp)</f>
        <v>31.674857385546339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6.7209810980399826E-2</v>
      </c>
      <c r="M64" s="843"/>
      <c r="N64" s="843"/>
      <c r="O64" s="48">
        <f>IF(t&lt;Tnet,'2023'!Resal+('2023'!Salim-'2023'!Resal)*(1-EXP(('2023'!Tnet-t)/('2023'!Tau_j))),Resal+(Salim-Resal)*(1-EXP((Tnet-t)/(Tau_j))))*Salcycl</f>
        <v>7.2608225412259211E-2</v>
      </c>
      <c r="P64" s="169">
        <f>(INDEX(Models!$BJ64:$BT64,,T64)*(1-R64)+INDEX(Models!$BJ64:$BT64,,T64+1)*R64-ERP_i)*Q64*Ramure*Pc/MaxiM</f>
        <v>1.0883788658162887E-2</v>
      </c>
      <c r="Q64" s="305">
        <f t="shared" si="4"/>
        <v>0.8</v>
      </c>
      <c r="R64" s="177">
        <f t="shared" si="5"/>
        <v>0.20472651741791537</v>
      </c>
      <c r="S64" s="809">
        <f t="shared" si="6"/>
        <v>1</v>
      </c>
      <c r="T64" s="176">
        <f t="shared" si="7"/>
        <v>7</v>
      </c>
      <c r="U64" s="251">
        <f t="shared" si="8"/>
        <v>1.2047265174179154</v>
      </c>
      <c r="V64" s="383">
        <f t="shared" si="9"/>
        <v>27.29718638610256</v>
      </c>
      <c r="W64" s="402">
        <f t="shared" si="10"/>
        <v>18.698122681654041</v>
      </c>
      <c r="X64" s="157">
        <f t="shared" si="11"/>
        <v>45341</v>
      </c>
      <c r="Y64" s="385">
        <f t="shared" si="12"/>
        <v>17.042923097367211</v>
      </c>
      <c r="Z64" s="385">
        <f t="shared" si="22"/>
        <v>18.270907325129571</v>
      </c>
      <c r="AA64" s="386">
        <f t="shared" si="13"/>
        <v>21.447641844006561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0.14811579482640022</v>
      </c>
      <c r="AD64" s="231">
        <f>(INDEX(Models!$BJ64:$BT64,,AH64)*(1-AF64)+INDEX(Models!$BJ64:$BT64,,AH64+1)*AF64-ERP_i)*AE64*Ramure*Pc/MaxiM</f>
        <v>2.4859380594066578E-2</v>
      </c>
      <c r="AE64" s="305">
        <f t="shared" si="15"/>
        <v>0.8</v>
      </c>
      <c r="AF64" s="177">
        <f t="shared" si="23"/>
        <v>0.40544326458281921</v>
      </c>
      <c r="AG64" s="809">
        <f t="shared" si="24"/>
        <v>2</v>
      </c>
      <c r="AH64" s="176">
        <f t="shared" si="16"/>
        <v>8</v>
      </c>
      <c r="AI64" s="225">
        <f t="shared" si="17"/>
        <v>2.4054432645828192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IF(t&gt;Tmaj,'2023'!Wh/'2023'!Env_an*'2024'!Env_an,0.001*'[4]mon-tableau'!$B$147)</f>
        <v>17.004734259350464</v>
      </c>
      <c r="C65" s="839"/>
      <c r="D65" s="393">
        <f t="shared" si="0"/>
        <v>18.23040073780977</v>
      </c>
      <c r="E65" s="385">
        <f t="shared" si="1"/>
        <v>19.660906784859318</v>
      </c>
      <c r="F65" s="385">
        <f t="shared" si="2"/>
        <v>19.75921200224083</v>
      </c>
      <c r="G65" s="110">
        <f t="shared" si="21"/>
        <v>0.61205626810946334</v>
      </c>
      <c r="H65" s="414" t="b">
        <f>Wh_hp&gt;='2023'!Maxi_hp</f>
        <v>0</v>
      </c>
      <c r="I65" s="390">
        <f>IF(H65,Wh_hp,'2023'!Maxi_hp)</f>
        <v>32.961384862018924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6.7232009657214015E-2</v>
      </c>
      <c r="M65" s="843"/>
      <c r="N65" s="843"/>
      <c r="O65" s="48">
        <f>IF(t&lt;Tnet,'2023'!Resal+('2023'!Salim-'2023'!Resal)*(1-EXP(('2023'!Tnet-t)/('2023'!Tau_j))),Resal+(Salim-Resal)*(1-EXP((Tnet-t)/(Tau_j))))*Salcycl</f>
        <v>7.2758904902146565E-2</v>
      </c>
      <c r="P65" s="169">
        <f>(INDEX(Models!$BJ65:$BT65,,T65)*(1-R65)+INDEX(Models!$BJ65:$BT65,,T65+1)*R65-ERP_i)*Q65*Ramure*Pc/MaxiM</f>
        <v>1.1027825989819603E-2</v>
      </c>
      <c r="Q65" s="305">
        <f t="shared" si="4"/>
        <v>0.8</v>
      </c>
      <c r="R65" s="177">
        <f t="shared" si="5"/>
        <v>0.20498435230500767</v>
      </c>
      <c r="S65" s="809">
        <f t="shared" si="6"/>
        <v>1</v>
      </c>
      <c r="T65" s="176">
        <f t="shared" si="7"/>
        <v>7</v>
      </c>
      <c r="U65" s="251">
        <f t="shared" si="8"/>
        <v>1.2049843523050077</v>
      </c>
      <c r="V65" s="383">
        <f t="shared" si="9"/>
        <v>27.613957276818685</v>
      </c>
      <c r="W65" s="402">
        <f t="shared" si="10"/>
        <v>17.004734259350464</v>
      </c>
      <c r="X65" s="157">
        <f t="shared" si="11"/>
        <v>45342</v>
      </c>
      <c r="Y65" s="385">
        <f t="shared" si="12"/>
        <v>15.523473357013049</v>
      </c>
      <c r="Z65" s="385">
        <f t="shared" si="22"/>
        <v>16.642373578137342</v>
      </c>
      <c r="AA65" s="386">
        <f t="shared" si="13"/>
        <v>19.537029063047502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0.14816252131114122</v>
      </c>
      <c r="AD65" s="231">
        <f>(INDEX(Models!$BJ65:$BT65,,AH65)*(1-AF65)+INDEX(Models!$BJ65:$BT65,,AH65+1)*AF65-ERP_i)*AE65*Ramure*Pc/MaxiM</f>
        <v>2.4924361662532563E-2</v>
      </c>
      <c r="AE65" s="305">
        <f t="shared" si="15"/>
        <v>0.8</v>
      </c>
      <c r="AF65" s="177">
        <f t="shared" si="23"/>
        <v>0.40570109946991151</v>
      </c>
      <c r="AG65" s="809">
        <f t="shared" si="24"/>
        <v>2</v>
      </c>
      <c r="AH65" s="176">
        <f t="shared" si="16"/>
        <v>8</v>
      </c>
      <c r="AI65" s="225">
        <f t="shared" si="17"/>
        <v>2.4057010994699115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IF(t&gt;Tmaj,'2023'!Wh/'2023'!Env_an*'2024'!Env_an,0.001*'[4]mon-tableau'!$B$148)</f>
        <v>18.358939450274011</v>
      </c>
      <c r="C66" s="839"/>
      <c r="D66" s="393">
        <f t="shared" si="0"/>
        <v>19.682682681757512</v>
      </c>
      <c r="E66" s="385">
        <f t="shared" si="1"/>
        <v>21.230591554299203</v>
      </c>
      <c r="F66" s="385">
        <f t="shared" si="2"/>
        <v>21.352426932885599</v>
      </c>
      <c r="G66" s="110">
        <f t="shared" si="21"/>
        <v>0.65355773107319326</v>
      </c>
      <c r="H66" s="414" t="b">
        <f>Wh_hp&gt;='2023'!Maxi_hp</f>
        <v>0</v>
      </c>
      <c r="I66" s="390">
        <f>IF(H66,Wh_hp,'2023'!Maxi_hp)</f>
        <v>32.315694426247191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6.7254207817432549E-2</v>
      </c>
      <c r="M66" s="843"/>
      <c r="N66" s="843"/>
      <c r="O66" s="48">
        <f>IF(t&lt;Tnet,'2023'!Resal+('2023'!Salim-'2023'!Resal)*(1-EXP(('2023'!Tnet-t)/('2023'!Tau_j))),Resal+(Salim-Resal)*(1-EXP((Tnet-t)/(Tau_j))))*Salcycl</f>
        <v>7.2909361408172293E-2</v>
      </c>
      <c r="P66" s="169">
        <f>(INDEX(Models!$BJ66:$BT66,,T66)*(1-R66)+INDEX(Models!$BJ66:$BT66,,T66+1)*R66-ERP_i)*Q66*Ramure*Pc/MaxiM</f>
        <v>1.1182531641470797E-2</v>
      </c>
      <c r="Q66" s="305">
        <f t="shared" si="4"/>
        <v>0.8</v>
      </c>
      <c r="R66" s="177">
        <f t="shared" si="5"/>
        <v>0.20525276620415167</v>
      </c>
      <c r="S66" s="809">
        <f t="shared" si="6"/>
        <v>1</v>
      </c>
      <c r="T66" s="176">
        <f t="shared" si="7"/>
        <v>7</v>
      </c>
      <c r="U66" s="251">
        <f t="shared" si="8"/>
        <v>1.2052527662041517</v>
      </c>
      <c r="V66" s="383">
        <f t="shared" si="9"/>
        <v>27.936044403148042</v>
      </c>
      <c r="W66" s="402">
        <f t="shared" si="10"/>
        <v>18.358939450274011</v>
      </c>
      <c r="X66" s="157">
        <f t="shared" si="11"/>
        <v>45343</v>
      </c>
      <c r="Y66" s="385">
        <f t="shared" si="12"/>
        <v>16.747868895397836</v>
      </c>
      <c r="Z66" s="385">
        <f t="shared" si="22"/>
        <v>17.955448350197173</v>
      </c>
      <c r="AA66" s="386">
        <f t="shared" si="13"/>
        <v>21.079644499210357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0.14820914788815426</v>
      </c>
      <c r="AD66" s="231">
        <f>(INDEX(Models!$BJ66:$BT66,,AH66)*(1-AF66)+INDEX(Models!$BJ66:$BT66,,AH66+1)*AF66-ERP_i)*AE66*Ramure*Pc/MaxiM</f>
        <v>2.5037047786966648E-2</v>
      </c>
      <c r="AE66" s="305">
        <f t="shared" si="15"/>
        <v>0.8</v>
      </c>
      <c r="AF66" s="177">
        <f t="shared" si="23"/>
        <v>0.40596951336905551</v>
      </c>
      <c r="AG66" s="809">
        <f t="shared" si="24"/>
        <v>2</v>
      </c>
      <c r="AH66" s="176">
        <f t="shared" si="16"/>
        <v>8</v>
      </c>
      <c r="AI66" s="225">
        <f t="shared" si="17"/>
        <v>2.4059695133690555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IF(t&gt;Tmaj,'2023'!Wh/'2023'!Env_an*'2024'!Env_an,0.001*'[4]mon-tableau'!$B$149)</f>
        <v>26.722442841356148</v>
      </c>
      <c r="C67" s="839"/>
      <c r="D67" s="393">
        <f t="shared" si="0"/>
        <v>28.649905500209506</v>
      </c>
      <c r="E67" s="385">
        <f t="shared" si="1"/>
        <v>30.908033839748786</v>
      </c>
      <c r="F67" s="385">
        <f t="shared" si="2"/>
        <v>31.234670438709532</v>
      </c>
      <c r="G67" s="110">
        <f t="shared" si="21"/>
        <v>0.9446395871608726</v>
      </c>
      <c r="H67" s="414" t="b">
        <f>Wh_hp&gt;='2023'!Maxi_hp</f>
        <v>0</v>
      </c>
      <c r="I67" s="390">
        <f>IF(H67,Wh_hp,'2023'!Maxi_hp)</f>
        <v>32.908275792453587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6.7276405461067418E-2</v>
      </c>
      <c r="M67" s="843"/>
      <c r="N67" s="843"/>
      <c r="O67" s="48">
        <f>IF(t&lt;Tnet,'2023'!Resal+('2023'!Salim-'2023'!Resal)*(1-EXP(('2023'!Tnet-t)/('2023'!Tau_j))),Resal+(Salim-Resal)*(1-EXP((Tnet-t)/(Tau_j))))*Salcycl</f>
        <v>7.3059591925101697E-2</v>
      </c>
      <c r="P67" s="169">
        <f>(INDEX(Models!$BJ67:$BT67,,T67)*(1-R67)+INDEX(Models!$BJ67:$BT67,,T67+1)*R67-ERP_i)*Q67*Ramure*Pc/MaxiM</f>
        <v>1.134072504667249E-2</v>
      </c>
      <c r="Q67" s="305">
        <f t="shared" si="4"/>
        <v>0.8</v>
      </c>
      <c r="R67" s="177">
        <f t="shared" si="5"/>
        <v>0.20553218291503472</v>
      </c>
      <c r="S67" s="809">
        <f t="shared" si="6"/>
        <v>1</v>
      </c>
      <c r="T67" s="176">
        <f t="shared" si="7"/>
        <v>7</v>
      </c>
      <c r="U67" s="251">
        <f t="shared" si="8"/>
        <v>1.2055321829150347</v>
      </c>
      <c r="V67" s="383">
        <f t="shared" si="9"/>
        <v>28.263257094262027</v>
      </c>
      <c r="W67" s="402">
        <f t="shared" si="10"/>
        <v>26.722442841356148</v>
      </c>
      <c r="X67" s="157">
        <f t="shared" si="11"/>
        <v>45344</v>
      </c>
      <c r="Y67" s="385">
        <f t="shared" si="12"/>
        <v>24.237967317506108</v>
      </c>
      <c r="Z67" s="385">
        <f t="shared" si="22"/>
        <v>25.986227280427606</v>
      </c>
      <c r="AA67" s="386">
        <f t="shared" si="13"/>
        <v>30.509422029135536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0.14825566817976502</v>
      </c>
      <c r="AD67" s="231">
        <f>(INDEX(Models!$BJ67:$BT67,,AH67)*(1-AF67)+INDEX(Models!$BJ67:$BT67,,AH67+1)*AF67-ERP_i)*AE67*Ramure*Pc/MaxiM</f>
        <v>2.5180407920251606E-2</v>
      </c>
      <c r="AE67" s="305">
        <f t="shared" si="15"/>
        <v>0.8</v>
      </c>
      <c r="AF67" s="177">
        <f t="shared" si="23"/>
        <v>0.40624893007993856</v>
      </c>
      <c r="AG67" s="809">
        <f t="shared" si="24"/>
        <v>2</v>
      </c>
      <c r="AH67" s="176">
        <f t="shared" si="16"/>
        <v>8</v>
      </c>
      <c r="AI67" s="225">
        <f t="shared" si="17"/>
        <v>2.4062489300799386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IF(t&gt;Tmaj,'2023'!Wh/'2023'!Env_an*'2024'!Env_an,0.001*'[4]mon-tableau'!$B$150)</f>
        <v>26.720860863749607</v>
      </c>
      <c r="C68" s="839"/>
      <c r="D68" s="393">
        <f t="shared" si="0"/>
        <v>28.648891207729164</v>
      </c>
      <c r="E68" s="385">
        <f t="shared" si="1"/>
        <v>30.911941942183756</v>
      </c>
      <c r="F68" s="385">
        <f t="shared" si="2"/>
        <v>31.237601695801732</v>
      </c>
      <c r="G68" s="110">
        <f t="shared" si="21"/>
        <v>0.93343528289594035</v>
      </c>
      <c r="H68" s="414" t="b">
        <f>Wh_hp&gt;='2023'!Maxi_hp</f>
        <v>0</v>
      </c>
      <c r="I68" s="390">
        <f>IF(H68,Wh_hp,'2023'!Maxi_hp)</f>
        <v>33.900366462796477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6.7298602588130724E-2</v>
      </c>
      <c r="M68" s="843"/>
      <c r="N68" s="843"/>
      <c r="O68" s="48">
        <f>IF(t&lt;Tnet,'2023'!Resal+('2023'!Salim-'2023'!Resal)*(1-EXP(('2023'!Tnet-t)/('2023'!Tau_j))),Resal+(Salim-Resal)*(1-EXP((Tnet-t)/(Tau_j))))*Salcycl</f>
        <v>7.3209594488993737E-2</v>
      </c>
      <c r="P68" s="169">
        <f>(INDEX(Models!$BJ68:$BT68,,T68)*(1-R68)+INDEX(Models!$BJ68:$BT68,,T68+1)*R68-ERP_i)*Q68*Ramure*Pc/MaxiM</f>
        <v>1.1502319614722646E-2</v>
      </c>
      <c r="Q68" s="305">
        <f t="shared" si="4"/>
        <v>0.8</v>
      </c>
      <c r="R68" s="177">
        <f t="shared" si="5"/>
        <v>0.20582304234748827</v>
      </c>
      <c r="S68" s="809">
        <f t="shared" si="6"/>
        <v>1</v>
      </c>
      <c r="T68" s="176">
        <f t="shared" si="7"/>
        <v>7</v>
      </c>
      <c r="U68" s="251">
        <f t="shared" si="8"/>
        <v>1.2058230423474883</v>
      </c>
      <c r="V68" s="383">
        <f t="shared" si="9"/>
        <v>28.595209413382968</v>
      </c>
      <c r="W68" s="402">
        <f t="shared" si="10"/>
        <v>26.720860863749607</v>
      </c>
      <c r="X68" s="157">
        <f t="shared" si="11"/>
        <v>45345</v>
      </c>
      <c r="Y68" s="385">
        <f t="shared" si="12"/>
        <v>24.244297546774138</v>
      </c>
      <c r="Z68" s="385">
        <f t="shared" si="22"/>
        <v>25.993632703938321</v>
      </c>
      <c r="AA68" s="386">
        <f t="shared" si="13"/>
        <v>30.519779409289942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0.14830207796239522</v>
      </c>
      <c r="AD68" s="231">
        <f>(INDEX(Models!$BJ68:$BT68,,AH68)*(1-AF68)+INDEX(Models!$BJ68:$BT68,,AH68+1)*AF68-ERP_i)*AE68*Ramure*Pc/MaxiM</f>
        <v>2.5353520888906734E-2</v>
      </c>
      <c r="AE68" s="305">
        <f t="shared" si="15"/>
        <v>0.8</v>
      </c>
      <c r="AF68" s="177">
        <f t="shared" si="23"/>
        <v>0.40653978951239189</v>
      </c>
      <c r="AG68" s="809">
        <f t="shared" si="24"/>
        <v>2</v>
      </c>
      <c r="AH68" s="176">
        <f t="shared" si="16"/>
        <v>8</v>
      </c>
      <c r="AI68" s="225">
        <f t="shared" si="17"/>
        <v>2.4065397895123919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IF(t&gt;Tmaj,'2023'!Wh/'2023'!Env_an*'2024'!Env_an,0.001*'[4]mon-tableau'!$B$151)</f>
        <v>15.233748525888737</v>
      </c>
      <c r="C69" s="839"/>
      <c r="D69" s="393">
        <f t="shared" si="0"/>
        <v>16.333320731072138</v>
      </c>
      <c r="E69" s="385">
        <f t="shared" si="1"/>
        <v>17.626380898647433</v>
      </c>
      <c r="F69" s="385">
        <f t="shared" si="2"/>
        <v>17.693189593098097</v>
      </c>
      <c r="G69" s="110">
        <f t="shared" si="21"/>
        <v>0.52237425934540183</v>
      </c>
      <c r="H69" s="414" t="b">
        <f>Wh_hp&gt;='2023'!Maxi_hp</f>
        <v>0</v>
      </c>
      <c r="I69" s="390">
        <f>IF(H69,Wh_hp,'2023'!Maxi_hp)</f>
        <v>34.946187395768554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6.7320799198634457E-2</v>
      </c>
      <c r="M69" s="843"/>
      <c r="N69" s="843"/>
      <c r="O69" s="48">
        <f>IF(t&lt;Tnet,'2023'!Resal+('2023'!Salim-'2023'!Resal)*(1-EXP(('2023'!Tnet-t)/('2023'!Tau_j))),Resal+(Salim-Resal)*(1-EXP((Tnet-t)/(Tau_j))))*Salcycl</f>
        <v>7.3359368267964603E-2</v>
      </c>
      <c r="P69" s="169">
        <f>(INDEX(Models!$BJ69:$BT69,,T69)*(1-R69)+INDEX(Models!$BJ69:$BT69,,T69+1)*R69-ERP_i)*Q69*Ramure*Pc/MaxiM</f>
        <v>1.1667293329819807E-2</v>
      </c>
      <c r="Q69" s="305">
        <f t="shared" si="4"/>
        <v>0.8</v>
      </c>
      <c r="R69" s="177">
        <f t="shared" si="5"/>
        <v>0.2061258010601501</v>
      </c>
      <c r="S69" s="809">
        <f t="shared" si="6"/>
        <v>1</v>
      </c>
      <c r="T69" s="176">
        <f t="shared" si="7"/>
        <v>7</v>
      </c>
      <c r="U69" s="251">
        <f t="shared" si="8"/>
        <v>1.2061258010601501</v>
      </c>
      <c r="V69" s="383">
        <f t="shared" si="9"/>
        <v>28.931514047609884</v>
      </c>
      <c r="W69" s="402">
        <f t="shared" si="10"/>
        <v>15.233748525888737</v>
      </c>
      <c r="X69" s="157">
        <f t="shared" si="11"/>
        <v>45346</v>
      </c>
      <c r="Y69" s="385">
        <f t="shared" si="12"/>
        <v>13.937777937348544</v>
      </c>
      <c r="Z69" s="385">
        <f t="shared" si="22"/>
        <v>14.943806965324296</v>
      </c>
      <c r="AA69" s="386">
        <f t="shared" si="13"/>
        <v>17.546854291667334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0.14834837533125098</v>
      </c>
      <c r="AD69" s="231">
        <f>(INDEX(Models!$BJ69:$BT69,,AH69)*(1-AF69)+INDEX(Models!$BJ69:$BT69,,AH69+1)*AF69-ERP_i)*AE69*Ramure*Pc/MaxiM</f>
        <v>2.5555609196361396E-2</v>
      </c>
      <c r="AE69" s="305">
        <f t="shared" si="15"/>
        <v>0.8</v>
      </c>
      <c r="AF69" s="177">
        <f t="shared" si="23"/>
        <v>0.40684254822505395</v>
      </c>
      <c r="AG69" s="809">
        <f t="shared" si="24"/>
        <v>2</v>
      </c>
      <c r="AH69" s="176">
        <f t="shared" si="16"/>
        <v>8</v>
      </c>
      <c r="AI69" s="225">
        <f t="shared" si="17"/>
        <v>2.4068425482250539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IF(t&gt;Tmaj,'2023'!Wh/'2023'!Env_an*'2024'!Env_an,0.001*'[4]mon-tableau'!$B$152)</f>
        <v>27.210019238141015</v>
      </c>
      <c r="C70" s="839"/>
      <c r="D70" s="393">
        <f t="shared" si="0"/>
        <v>29.174733155708477</v>
      </c>
      <c r="E70" s="385">
        <f t="shared" si="1"/>
        <v>31.489491464515861</v>
      </c>
      <c r="F70" s="385">
        <f t="shared" si="2"/>
        <v>31.828294502901279</v>
      </c>
      <c r="G70" s="110">
        <f t="shared" si="21"/>
        <v>0.92844582796318309</v>
      </c>
      <c r="H70" s="414" t="b">
        <f>Wh_hp&gt;='2023'!Maxi_hp</f>
        <v>0</v>
      </c>
      <c r="I70" s="390">
        <f>IF(H70,Wh_hp,'2023'!Maxi_hp)</f>
        <v>34.047177423693249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6.7342995292590607E-2</v>
      </c>
      <c r="M70" s="843"/>
      <c r="N70" s="843"/>
      <c r="O70" s="48">
        <f>IF(t&lt;Tnet,'2023'!Resal+('2023'!Salim-'2023'!Resal)*(1-EXP(('2023'!Tnet-t)/('2023'!Tau_j))),Resal+(Salim-Resal)*(1-EXP((Tnet-t)/(Tau_j))))*Salcycl</f>
        <v>7.3508913645550109E-2</v>
      </c>
      <c r="P70" s="169">
        <f>(INDEX(Models!$BJ70:$BT70,,T70)*(1-R70)+INDEX(Models!$BJ70:$BT70,,T70+1)*R70-ERP_i)*Q70*Ramure*Pc/MaxiM</f>
        <v>1.1835634515879743E-2</v>
      </c>
      <c r="Q70" s="305">
        <f t="shared" si="4"/>
        <v>0.8</v>
      </c>
      <c r="R70" s="177">
        <f t="shared" si="5"/>
        <v>0.20644093281071352</v>
      </c>
      <c r="S70" s="809">
        <f t="shared" si="6"/>
        <v>1</v>
      </c>
      <c r="T70" s="176">
        <f t="shared" si="7"/>
        <v>7</v>
      </c>
      <c r="U70" s="251">
        <f t="shared" si="8"/>
        <v>1.2064409328107135</v>
      </c>
      <c r="V70" s="383">
        <f t="shared" si="9"/>
        <v>29.271783824278216</v>
      </c>
      <c r="W70" s="402">
        <f t="shared" si="10"/>
        <v>27.210019238141015</v>
      </c>
      <c r="X70" s="157">
        <f t="shared" si="11"/>
        <v>45347</v>
      </c>
      <c r="Y70" s="385">
        <f t="shared" si="12"/>
        <v>24.693535336149488</v>
      </c>
      <c r="Z70" s="385">
        <f t="shared" si="22"/>
        <v>26.476545194550138</v>
      </c>
      <c r="AA70" s="386">
        <f t="shared" si="13"/>
        <v>31.090155108602254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0.14839456084847863</v>
      </c>
      <c r="AD70" s="231">
        <f>(INDEX(Models!$BJ70:$BT70,,AH70)*(1-AF70)+INDEX(Models!$BJ70:$BT70,,AH70+1)*AF70-ERP_i)*AE70*Ramure*Pc/MaxiM</f>
        <v>2.578592014501889E-2</v>
      </c>
      <c r="AE70" s="305">
        <f t="shared" si="15"/>
        <v>0.8</v>
      </c>
      <c r="AF70" s="177">
        <f t="shared" si="23"/>
        <v>0.40715767997561692</v>
      </c>
      <c r="AG70" s="809">
        <f t="shared" si="24"/>
        <v>2</v>
      </c>
      <c r="AH70" s="176">
        <f t="shared" si="16"/>
        <v>8</v>
      </c>
      <c r="AI70" s="225">
        <f t="shared" si="17"/>
        <v>2.4071576799756169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IF(t&gt;Tmaj,'2023'!Wh/'2023'!Env_an*'2024'!Env_an,0.001*'[4]mon-tableau'!$B$153)</f>
        <v>30.542331361539375</v>
      </c>
      <c r="C71" s="839"/>
      <c r="D71" s="393">
        <f t="shared" si="0"/>
        <v>32.748436003617414</v>
      </c>
      <c r="E71" s="385">
        <f t="shared" si="1"/>
        <v>35.352433783468292</v>
      </c>
      <c r="F71" s="385">
        <f t="shared" si="2"/>
        <v>35.782081482153082</v>
      </c>
      <c r="G71" s="110">
        <f t="shared" si="21"/>
        <v>1.0312908970846852</v>
      </c>
      <c r="H71" s="414" t="b">
        <f>Wh_hp&gt;='2023'!Maxi_hp</f>
        <v>1</v>
      </c>
      <c r="I71" s="390">
        <f>IF(H71,Wh_hp,'2023'!Maxi_hp)</f>
        <v>35.782081482153082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6.7365190870011277E-2</v>
      </c>
      <c r="M71" s="843"/>
      <c r="N71" s="843"/>
      <c r="O71" s="48">
        <f>IF(t&lt;Tnet,'2023'!Resal+('2023'!Salim-'2023'!Resal)*(1-EXP(('2023'!Tnet-t)/('2023'!Tau_j))),Resal+(Salim-Resal)*(1-EXP((Tnet-t)/(Tau_j))))*Salcycl</f>
        <v>7.365823229597783E-2</v>
      </c>
      <c r="P71" s="169">
        <f>(INDEX(Models!$BJ71:$BT71,,T71)*(1-R71)+INDEX(Models!$BJ71:$BT71,,T71+1)*R71-ERP_i)*Q71*Ramure*Pc/MaxiM</f>
        <v>1.2007342247517984E-2</v>
      </c>
      <c r="Q71" s="305">
        <f t="shared" si="4"/>
        <v>0.8</v>
      </c>
      <c r="R71" s="177">
        <f t="shared" si="5"/>
        <v>0.20676892911739175</v>
      </c>
      <c r="S71" s="809">
        <f t="shared" si="6"/>
        <v>1</v>
      </c>
      <c r="T71" s="176">
        <f t="shared" si="7"/>
        <v>7</v>
      </c>
      <c r="U71" s="251">
        <f t="shared" si="8"/>
        <v>1.2067689291173918</v>
      </c>
      <c r="V71" s="383">
        <f t="shared" si="9"/>
        <v>29.61563167858678</v>
      </c>
      <c r="W71" s="402">
        <f t="shared" si="10"/>
        <v>30.542331361539375</v>
      </c>
      <c r="X71" s="157">
        <f t="shared" si="11"/>
        <v>45348</v>
      </c>
      <c r="Y71" s="385">
        <f t="shared" si="12"/>
        <v>27.677802560383022</v>
      </c>
      <c r="Z71" s="385">
        <f t="shared" si="22"/>
        <v>29.676999281425431</v>
      </c>
      <c r="AA71" s="386">
        <f t="shared" si="13"/>
        <v>34.850182611286563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0.14844063767361002</v>
      </c>
      <c r="AD71" s="231">
        <f>(INDEX(Models!$BJ71:$BT71,,AH71)*(1-AF71)+INDEX(Models!$BJ71:$BT71,,AH71+1)*AF71-ERP_i)*AE71*Ramure*Pc/MaxiM</f>
        <v>2.6043730053303984E-2</v>
      </c>
      <c r="AE71" s="305">
        <f t="shared" si="15"/>
        <v>0.8</v>
      </c>
      <c r="AF71" s="177">
        <f t="shared" si="23"/>
        <v>0.40748567628229537</v>
      </c>
      <c r="AG71" s="809">
        <f t="shared" si="24"/>
        <v>2</v>
      </c>
      <c r="AH71" s="176">
        <f t="shared" si="16"/>
        <v>8</v>
      </c>
      <c r="AI71" s="225">
        <f t="shared" si="17"/>
        <v>2.4074856762822954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IF(t&gt;Tmaj,'2023'!Wh/'2023'!Env_an*'2024'!Env_an,0.001*'[4]mon-tableau'!$B$154)</f>
        <v>24.924170777451643</v>
      </c>
      <c r="C72" s="839"/>
      <c r="D72" s="393">
        <f t="shared" si="0"/>
        <v>26.725105795754505</v>
      </c>
      <c r="E72" s="385">
        <f t="shared" si="1"/>
        <v>28.854801578623618</v>
      </c>
      <c r="F72" s="385">
        <f t="shared" si="2"/>
        <v>29.124331071219888</v>
      </c>
      <c r="G72" s="110">
        <f t="shared" si="21"/>
        <v>0.8293823959955966</v>
      </c>
      <c r="H72" s="414" t="b">
        <f>Wh_hp&gt;='2023'!Maxi_hp</f>
        <v>0</v>
      </c>
      <c r="I72" s="390">
        <f>IF(H72,Wh_hp,'2023'!Maxi_hp)</f>
        <v>35.119765108958404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6.7387385930908345E-2</v>
      </c>
      <c r="M72" s="843"/>
      <c r="N72" s="843"/>
      <c r="O72" s="48">
        <f>IF(t&lt;Tnet,'2023'!Resal+('2023'!Salim-'2023'!Resal)*(1-EXP(('2023'!Tnet-t)/('2023'!Tau_j))),Resal+(Salim-Resal)*(1-EXP((Tnet-t)/(Tau_j))))*Salcycl</f>
        <v>7.3807327250756297E-2</v>
      </c>
      <c r="P72" s="169">
        <f>(INDEX(Models!$BJ72:$BT72,,T72)*(1-R72)+INDEX(Models!$BJ72:$BT72,,T72+1)*R72-ERP_i)*Q72*Ramure*Pc/MaxiM</f>
        <v>1.2180581534193708E-2</v>
      </c>
      <c r="Q72" s="305">
        <f t="shared" si="4"/>
        <v>0.8</v>
      </c>
      <c r="R72" s="177">
        <f t="shared" si="5"/>
        <v>0.20711029983116402</v>
      </c>
      <c r="S72" s="809">
        <f t="shared" si="6"/>
        <v>1</v>
      </c>
      <c r="T72" s="176">
        <f t="shared" si="7"/>
        <v>7</v>
      </c>
      <c r="U72" s="251">
        <f t="shared" si="8"/>
        <v>1.207110299831164</v>
      </c>
      <c r="V72" s="383">
        <f t="shared" si="9"/>
        <v>29.962726604440888</v>
      </c>
      <c r="W72" s="402">
        <f t="shared" si="10"/>
        <v>24.924170777451643</v>
      </c>
      <c r="X72" s="157">
        <f t="shared" si="11"/>
        <v>45349</v>
      </c>
      <c r="Y72" s="385">
        <f t="shared" si="12"/>
        <v>22.665762199210345</v>
      </c>
      <c r="Z72" s="385">
        <f t="shared" si="22"/>
        <v>24.303512366530327</v>
      </c>
      <c r="AA72" s="386">
        <f t="shared" si="13"/>
        <v>28.541550490881573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0.14848661167532606</v>
      </c>
      <c r="AD72" s="231">
        <f>(INDEX(Models!$BJ72:$BT72,,AH72)*(1-AF72)+INDEX(Models!$BJ72:$BT72,,AH72+1)*AF72-ERP_i)*AE72*Ramure*Pc/MaxiM</f>
        <v>2.6337030159399581E-2</v>
      </c>
      <c r="AE72" s="305">
        <f t="shared" si="15"/>
        <v>0.8</v>
      </c>
      <c r="AF72" s="177">
        <f t="shared" si="23"/>
        <v>0.40782704699606764</v>
      </c>
      <c r="AG72" s="809">
        <f t="shared" si="24"/>
        <v>2</v>
      </c>
      <c r="AH72" s="176">
        <f t="shared" si="16"/>
        <v>8</v>
      </c>
      <c r="AI72" s="225">
        <f t="shared" si="17"/>
        <v>2.4078270469960676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IF(t&gt;Tmaj,'2023'!Wh/'2023'!Env_an*'2024'!Env_an,0.001*'[4]mon-tableau'!$B$155)</f>
        <v>25.111650142429234</v>
      </c>
      <c r="C73" s="839"/>
      <c r="D73" s="393">
        <f t="shared" si="0"/>
        <v>26.926772586005512</v>
      </c>
      <c r="E73" s="385">
        <f t="shared" si="1"/>
        <v>29.077212840213743</v>
      </c>
      <c r="F73" s="385">
        <f t="shared" si="2"/>
        <v>29.350831854701177</v>
      </c>
      <c r="G73" s="110">
        <f t="shared" si="21"/>
        <v>0.82588429648940109</v>
      </c>
      <c r="H73" s="414" t="b">
        <f>Wh_hp&gt;='2023'!Maxi_hp</f>
        <v>0</v>
      </c>
      <c r="I73" s="390">
        <f>IF(H73,Wh_hp,'2023'!Maxi_hp)</f>
        <v>30.515146112920245</v>
      </c>
      <c r="J73" s="85">
        <f>IF(H73,An,'2023'!An_max)</f>
        <v>2021</v>
      </c>
      <c r="K73" s="197">
        <f t="shared" si="3"/>
        <v>45350</v>
      </c>
      <c r="L73" s="147">
        <f>IF(t&lt;Tvie,1-EXP((T0-t)*PertePVj)+'2023'!Pspv,1-EXP((T0-t)*PertePVj)+Pspv)</f>
        <v>6.7409580475294023E-2</v>
      </c>
      <c r="M73" s="843"/>
      <c r="N73" s="843"/>
      <c r="O73" s="48">
        <f>IF(t&lt;Tnet,'2023'!Resal+('2023'!Salim-'2023'!Resal)*(1-EXP(('2023'!Tnet-t)/('2023'!Tau_j))),Resal+(Salim-Resal)*(1-EXP((Tnet-t)/(Tau_j))))*Salcycl</f>
        <v>7.3956202956088554E-2</v>
      </c>
      <c r="P73" s="169">
        <f>(INDEX(Models!$BJ73:$BT73,,T73)*(1-R73)+INDEX(Models!$BJ73:$BT73,,T73+1)*R73-ERP_i)*Q73*Ramure*Pc/MaxiM</f>
        <v>1.234946861598081E-2</v>
      </c>
      <c r="Q73" s="305">
        <f t="shared" si="4"/>
        <v>0.8</v>
      </c>
      <c r="R73" s="177">
        <f t="shared" si="5"/>
        <v>0.20746557371826913</v>
      </c>
      <c r="S73" s="809">
        <f t="shared" si="6"/>
        <v>1</v>
      </c>
      <c r="T73" s="176">
        <f t="shared" si="7"/>
        <v>7</v>
      </c>
      <c r="U73" s="251">
        <f t="shared" si="8"/>
        <v>1.2074655737182691</v>
      </c>
      <c r="V73" s="383">
        <f t="shared" si="9"/>
        <v>30.312864933737419</v>
      </c>
      <c r="W73" s="402">
        <f t="shared" si="10"/>
        <v>25.111650142429234</v>
      </c>
      <c r="X73" s="157">
        <f t="shared" si="11"/>
        <v>45350</v>
      </c>
      <c r="Y73" s="385">
        <f t="shared" si="12"/>
        <v>22.837821619234887</v>
      </c>
      <c r="Z73" s="385">
        <f t="shared" si="22"/>
        <v>24.48858699500062</v>
      </c>
      <c r="AA73" s="386">
        <f t="shared" si="13"/>
        <v>28.760447992695862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0.14853249152378104</v>
      </c>
      <c r="AD73" s="231">
        <f>(INDEX(Models!$BJ73:$BT73,,AH73)*(1-AF73)+INDEX(Models!$BJ73:$BT73,,AH73+1)*AF73-ERP_i)*AE73*Ramure*Pc/MaxiM</f>
        <v>2.664627306283579E-2</v>
      </c>
      <c r="AE73" s="305">
        <f t="shared" si="15"/>
        <v>0.8</v>
      </c>
      <c r="AF73" s="177">
        <f t="shared" si="23"/>
        <v>0.40818232088317297</v>
      </c>
      <c r="AG73" s="809">
        <f t="shared" si="24"/>
        <v>2</v>
      </c>
      <c r="AH73" s="176">
        <f t="shared" si="16"/>
        <v>8</v>
      </c>
      <c r="AI73" s="225">
        <f t="shared" si="17"/>
        <v>2.408182320883173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IF(t&gt;Tmaj,'2023'!Wh/'2023'!Env_an*'2024'!Env_an,0.001*'[5]mon-tableau'!$B$140)</f>
        <v>30.788343176024682</v>
      </c>
      <c r="C74" s="839"/>
      <c r="D74" s="393">
        <f t="shared" si="0"/>
        <v>33.014574520402931</v>
      </c>
      <c r="E74" s="385">
        <f t="shared" si="1"/>
        <v>35.656926236942397</v>
      </c>
      <c r="F74" s="385">
        <f t="shared" si="2"/>
        <v>36.108802524436257</v>
      </c>
      <c r="G74" s="110">
        <f t="shared" si="21"/>
        <v>1.0040006644989006</v>
      </c>
      <c r="H74" s="414" t="b">
        <f>Wh_hp&gt;='2023'!Maxi_hp</f>
        <v>1</v>
      </c>
      <c r="I74" s="390">
        <f>IF(H74,Wh_hp,'2023'!Maxi_hp)</f>
        <v>36.108802524436257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6.7431774503180192E-2</v>
      </c>
      <c r="M74" s="843"/>
      <c r="N74" s="843"/>
      <c r="O74" s="48">
        <f>IF(t&lt;Tnet,'2023'!Resal+('2023'!Salim-'2023'!Resal)*(1-EXP(('2023'!Tnet-t)/('2023'!Tau_j))),Resal+(Salim-Resal)*(1-EXP((Tnet-t)/(Tau_j))))*Salcycl</f>
        <v>7.4104865320719998E-2</v>
      </c>
      <c r="P74" s="169">
        <f>(INDEX(Models!$BJ74:$BT74,,T74)*(1-R74)+INDEX(Models!$BJ74:$BT74,,T74+1)*R74-ERP_i)*Q74*Ramure*Pc/MaxiM</f>
        <v>1.2514297232317685E-2</v>
      </c>
      <c r="Q74" s="305">
        <f t="shared" si="4"/>
        <v>0.8</v>
      </c>
      <c r="R74" s="177">
        <f t="shared" si="5"/>
        <v>0.20783529905233977</v>
      </c>
      <c r="S74" s="809">
        <f t="shared" si="6"/>
        <v>1</v>
      </c>
      <c r="T74" s="176">
        <f t="shared" si="7"/>
        <v>7</v>
      </c>
      <c r="U74" s="251">
        <f t="shared" si="8"/>
        <v>1.2078352990523398</v>
      </c>
      <c r="V74" s="383">
        <f t="shared" si="9"/>
        <v>30.665660158094841</v>
      </c>
      <c r="W74" s="402">
        <f t="shared" si="10"/>
        <v>30.788343176024682</v>
      </c>
      <c r="X74" s="157">
        <f t="shared" si="11"/>
        <v>45351</v>
      </c>
      <c r="Y74" s="385">
        <f t="shared" si="12"/>
        <v>27.8974243126038</v>
      </c>
      <c r="Z74" s="385">
        <f t="shared" si="22"/>
        <v>29.914620238901687</v>
      </c>
      <c r="AA74" s="386">
        <f t="shared" si="13"/>
        <v>35.134904177434976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0.1485782887629436</v>
      </c>
      <c r="AD74" s="231">
        <f>(INDEX(Models!$BJ74:$BT74,,AH74)*(1-AF74)+INDEX(Models!$BJ74:$BT74,,AH74+1)*AF74-ERP_i)*AE74*Ramure*Pc/MaxiM</f>
        <v>2.6971216958585151E-2</v>
      </c>
      <c r="AE74" s="305">
        <f t="shared" si="15"/>
        <v>0.8</v>
      </c>
      <c r="AF74" s="177">
        <f t="shared" si="23"/>
        <v>0.40855204621724317</v>
      </c>
      <c r="AG74" s="809">
        <f t="shared" si="24"/>
        <v>2</v>
      </c>
      <c r="AH74" s="176">
        <f t="shared" si="16"/>
        <v>8</v>
      </c>
      <c r="AI74" s="225">
        <f t="shared" si="17"/>
        <v>2.4085520462172432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IF(t&gt;Tmaj,'2023'!Wh/'2023'!Env_an*'2024'!Env_an,0.001*'[5]mon-tableau'!$B$141)</f>
        <v>8.8576713860893435</v>
      </c>
      <c r="C75" s="839"/>
      <c r="D75" s="393">
        <f t="shared" si="0"/>
        <v>9.4983744311592524</v>
      </c>
      <c r="E75" s="385">
        <f t="shared" si="1"/>
        <v>10.260230637991635</v>
      </c>
      <c r="F75" s="385">
        <f t="shared" si="2"/>
        <v>10.260230637991635</v>
      </c>
      <c r="G75" s="110">
        <f t="shared" si="21"/>
        <v>0.28192110117236746</v>
      </c>
      <c r="H75" s="414" t="b">
        <f>Wh_hp&gt;='2023'!Maxi_hp</f>
        <v>0</v>
      </c>
      <c r="I75" s="390">
        <f>IF(H75,Wh_hp,'2023'!Maxi_hp)</f>
        <v>24.299923659656329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6.7453968014578841E-2</v>
      </c>
      <c r="M75" s="843"/>
      <c r="N75" s="843"/>
      <c r="O75" s="48">
        <f>IF(t&lt;Tnet,'2023'!Resal+('2023'!Salim-'2023'!Resal)*(1-EXP(('2023'!Tnet-t)/('2023'!Tau_j))),Resal+(Salim-Resal)*(1-EXP((Tnet-t)/(Tau_j))))*Salcycl</f>
        <v>7.4253321753935703E-2</v>
      </c>
      <c r="P75" s="169">
        <f>(INDEX(Models!$BJ75:$BT75,,T75)*(1-R75)+INDEX(Models!$BJ75:$BT75,,T75+1)*R75-ERP_i)*Q75*Ramure*Pc/MaxiM</f>
        <v>1.2675363630996165E-2</v>
      </c>
      <c r="Q75" s="305">
        <f t="shared" si="4"/>
        <v>0.8</v>
      </c>
      <c r="R75" s="177">
        <f t="shared" si="5"/>
        <v>0.20822004421545359</v>
      </c>
      <c r="S75" s="809">
        <f t="shared" si="6"/>
        <v>1</v>
      </c>
      <c r="T75" s="176">
        <f t="shared" si="7"/>
        <v>7</v>
      </c>
      <c r="U75" s="251">
        <f t="shared" si="8"/>
        <v>1.2082200442154536</v>
      </c>
      <c r="V75" s="383">
        <f t="shared" si="9"/>
        <v>31.020725812928152</v>
      </c>
      <c r="W75" s="402">
        <f t="shared" si="10"/>
        <v>8.8576713860893435</v>
      </c>
      <c r="X75" s="157">
        <f t="shared" si="11"/>
        <v>45352</v>
      </c>
      <c r="Y75" s="385">
        <f t="shared" si="12"/>
        <v>8.1460823495144776</v>
      </c>
      <c r="Z75" s="385">
        <f t="shared" si="22"/>
        <v>8.7353139363760945</v>
      </c>
      <c r="AA75" s="386">
        <f t="shared" si="13"/>
        <v>10.260230637991635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0.14862401786262688</v>
      </c>
      <c r="AD75" s="231">
        <f>(INDEX(Models!$BJ75:$BT75,,AH75)*(1-AF75)+INDEX(Models!$BJ75:$BT75,,AH75+1)*AF75-ERP_i)*AE75*Ramure*Pc/MaxiM</f>
        <v>2.7311651069250632E-2</v>
      </c>
      <c r="AE75" s="305">
        <f t="shared" si="15"/>
        <v>0.8</v>
      </c>
      <c r="AF75" s="177">
        <f t="shared" si="23"/>
        <v>0.40893679138035699</v>
      </c>
      <c r="AG75" s="809">
        <f t="shared" si="24"/>
        <v>2</v>
      </c>
      <c r="AH75" s="176">
        <f t="shared" si="16"/>
        <v>8</v>
      </c>
      <c r="AI75" s="225">
        <f t="shared" si="17"/>
        <v>2.408936791380357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IF(t&gt;Tmaj,'2023'!Wh/'2023'!Env_an*'2024'!Env_an,0.001*'[5]mon-tableau'!$B$142)</f>
        <v>29.975243251477185</v>
      </c>
      <c r="C76" s="839"/>
      <c r="D76" s="393">
        <f t="shared" si="0"/>
        <v>32.144211223518781</v>
      </c>
      <c r="E76" s="385">
        <f t="shared" si="1"/>
        <v>34.728031693234286</v>
      </c>
      <c r="F76" s="385">
        <f t="shared" si="2"/>
        <v>35.150312690036543</v>
      </c>
      <c r="G76" s="110">
        <f t="shared" si="21"/>
        <v>0.9545124925018792</v>
      </c>
      <c r="H76" s="414" t="b">
        <f>Wh_hp&gt;='2023'!Maxi_hp</f>
        <v>0</v>
      </c>
      <c r="I76" s="390">
        <f>IF(H76,Wh_hp,'2023'!Maxi_hp)</f>
        <v>35.179291593929499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6.7476161009502073E-2</v>
      </c>
      <c r="M76" s="843"/>
      <c r="N76" s="843"/>
      <c r="O76" s="48">
        <f>IF(t&lt;Tnet,'2023'!Resal+('2023'!Salim-'2023'!Resal)*(1-EXP(('2023'!Tnet-t)/('2023'!Tau_j))),Resal+(Salim-Resal)*(1-EXP((Tnet-t)/(Tau_j))))*Salcycl</f>
        <v>7.4401581193525732E-2</v>
      </c>
      <c r="P76" s="169">
        <f>(INDEX(Models!$BJ76:$BT76,,T76)*(1-R76)+INDEX(Models!$BJ76:$BT76,,T76+1)*R76-ERP_i)*Q76*Ramure*Pc/MaxiM</f>
        <v>1.2832966232584286E-2</v>
      </c>
      <c r="Q76" s="305">
        <f t="shared" si="4"/>
        <v>0.8</v>
      </c>
      <c r="R76" s="177">
        <f t="shared" si="5"/>
        <v>0.20862039830728296</v>
      </c>
      <c r="S76" s="809">
        <f t="shared" si="6"/>
        <v>1</v>
      </c>
      <c r="T76" s="176">
        <f t="shared" si="7"/>
        <v>7</v>
      </c>
      <c r="U76" s="251">
        <f t="shared" si="8"/>
        <v>1.208620398307283</v>
      </c>
      <c r="V76" s="383">
        <f t="shared" si="9"/>
        <v>31.377675456938714</v>
      </c>
      <c r="W76" s="402">
        <f t="shared" si="10"/>
        <v>29.975243251477185</v>
      </c>
      <c r="X76" s="157">
        <f t="shared" si="11"/>
        <v>45353</v>
      </c>
      <c r="Y76" s="385">
        <f t="shared" si="12"/>
        <v>27.182563037355997</v>
      </c>
      <c r="Z76" s="385">
        <f t="shared" si="22"/>
        <v>29.149456454413471</v>
      </c>
      <c r="AA76" s="386">
        <f t="shared" si="13"/>
        <v>34.239890587727146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0.148669696250089</v>
      </c>
      <c r="AD76" s="231">
        <f>(INDEX(Models!$BJ76:$BT76,,AH76)*(1-AF76)+INDEX(Models!$BJ76:$BT76,,AH76+1)*AF76-ERP_i)*AE76*Ramure*Pc/MaxiM</f>
        <v>2.7667397265820882E-2</v>
      </c>
      <c r="AE76" s="305">
        <f t="shared" si="15"/>
        <v>0.8</v>
      </c>
      <c r="AF76" s="177">
        <f t="shared" si="23"/>
        <v>0.40933714547218658</v>
      </c>
      <c r="AG76" s="809">
        <f t="shared" si="24"/>
        <v>2</v>
      </c>
      <c r="AH76" s="176">
        <f t="shared" si="16"/>
        <v>8</v>
      </c>
      <c r="AI76" s="225">
        <f t="shared" si="17"/>
        <v>2.4093371454721866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IF(t&gt;Tmaj,'2023'!Wh/'2023'!Env_an*'2024'!Env_an,0.001*'[5]mon-tableau'!$B$143)</f>
        <v>4.0000130394638322</v>
      </c>
      <c r="C77" s="839"/>
      <c r="D77" s="393">
        <f t="shared" si="0"/>
        <v>4.2895506452193644</v>
      </c>
      <c r="E77" s="385">
        <f t="shared" si="1"/>
        <v>4.6350954044512926</v>
      </c>
      <c r="F77" s="385">
        <f t="shared" si="2"/>
        <v>4.6350954044512926</v>
      </c>
      <c r="G77" s="110">
        <f t="shared" si="21"/>
        <v>0.12440282300677678</v>
      </c>
      <c r="H77" s="414" t="b">
        <f>Wh_hp&gt;='2023'!Maxi_hp</f>
        <v>0</v>
      </c>
      <c r="I77" s="390">
        <f>IF(H77,Wh_hp,'2023'!Maxi_hp)</f>
        <v>28.821969075833852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6.7498353487961987E-2</v>
      </c>
      <c r="M77" s="843"/>
      <c r="N77" s="843"/>
      <c r="O77" s="48">
        <f>IF(t&lt;Tnet,'2023'!Resal+('2023'!Salim-'2023'!Resal)*(1-EXP(('2023'!Tnet-t)/('2023'!Tau_j))),Resal+(Salim-Resal)*(1-EXP((Tnet-t)/(Tau_j))))*Salcycl</f>
        <v>7.4549654123642298E-2</v>
      </c>
      <c r="P77" s="169">
        <f>(INDEX(Models!$BJ77:$BT77,,T77)*(1-R77)+INDEX(Models!$BJ77:$BT77,,T77+1)*R77-ERP_i)*Q77*Ramure*Pc/MaxiM</f>
        <v>1.2987405377636128E-2</v>
      </c>
      <c r="Q77" s="305">
        <f t="shared" si="4"/>
        <v>0.8</v>
      </c>
      <c r="R77" s="177">
        <f t="shared" si="5"/>
        <v>0.2090369717614009</v>
      </c>
      <c r="S77" s="809">
        <f t="shared" si="6"/>
        <v>1</v>
      </c>
      <c r="T77" s="176">
        <f t="shared" si="7"/>
        <v>7</v>
      </c>
      <c r="U77" s="251">
        <f t="shared" si="8"/>
        <v>1.2090369717614009</v>
      </c>
      <c r="V77" s="383">
        <f t="shared" si="9"/>
        <v>31.736122647228168</v>
      </c>
      <c r="W77" s="402">
        <f t="shared" si="10"/>
        <v>4.0000130394638322</v>
      </c>
      <c r="X77" s="157">
        <f t="shared" si="11"/>
        <v>45354</v>
      </c>
      <c r="Y77" s="385">
        <f t="shared" si="12"/>
        <v>3.679451564509149</v>
      </c>
      <c r="Z77" s="385">
        <f t="shared" si="22"/>
        <v>3.9457855954162646</v>
      </c>
      <c r="AA77" s="386">
        <f t="shared" si="13"/>
        <v>4.6350954044512926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0.14871534432129541</v>
      </c>
      <c r="AD77" s="231">
        <f>(INDEX(Models!$BJ77:$BT77,,AH77)*(1-AF77)+INDEX(Models!$BJ77:$BT77,,AH77+1)*AF77-ERP_i)*AE77*Ramure*Pc/MaxiM</f>
        <v>2.8038311566879085E-2</v>
      </c>
      <c r="AE77" s="305">
        <f t="shared" si="15"/>
        <v>0.8</v>
      </c>
      <c r="AF77" s="177">
        <f t="shared" si="23"/>
        <v>0.40975371892630452</v>
      </c>
      <c r="AG77" s="809">
        <f t="shared" si="24"/>
        <v>2</v>
      </c>
      <c r="AH77" s="176">
        <f t="shared" si="16"/>
        <v>8</v>
      </c>
      <c r="AI77" s="225">
        <f t="shared" si="17"/>
        <v>2.4097537189263045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IF(t&gt;Tmaj,'2023'!Wh/'2023'!Env_an*'2024'!Env_an,0.001*'[5]mon-tableau'!$B$144)</f>
        <v>12.838397659463512</v>
      </c>
      <c r="C78" s="839"/>
      <c r="D78" s="393">
        <f t="shared" si="0"/>
        <v>13.768022015733006</v>
      </c>
      <c r="E78" s="385">
        <f t="shared" si="1"/>
        <v>14.879482977874275</v>
      </c>
      <c r="F78" s="385">
        <f t="shared" si="2"/>
        <v>14.907465346710344</v>
      </c>
      <c r="G78" s="110">
        <f t="shared" si="21"/>
        <v>0.39549062299251242</v>
      </c>
      <c r="H78" s="414" t="b">
        <f>Wh_hp&gt;='2023'!Maxi_hp</f>
        <v>0</v>
      </c>
      <c r="I78" s="390">
        <f>IF(H78,Wh_hp,'2023'!Maxi_hp)</f>
        <v>37.277702445333496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6.7520545449970465E-2</v>
      </c>
      <c r="M78" s="843"/>
      <c r="N78" s="843"/>
      <c r="O78" s="48">
        <f>IF(t&lt;Tnet,'2023'!Resal+('2023'!Salim-'2023'!Resal)*(1-EXP(('2023'!Tnet-t)/('2023'!Tau_j))),Resal+(Salim-Resal)*(1-EXP((Tnet-t)/(Tau_j))))*Salcycl</f>
        <v>7.4697552582573379E-2</v>
      </c>
      <c r="P78" s="169">
        <f>(INDEX(Models!$BJ78:$BT78,,T78)*(1-R78)+INDEX(Models!$BJ78:$BT78,,T78+1)*R78-ERP_i)*Q78*Ramure*Pc/MaxiM</f>
        <v>1.3138983142309707E-2</v>
      </c>
      <c r="Q78" s="305">
        <f t="shared" si="4"/>
        <v>0.8</v>
      </c>
      <c r="R78" s="177">
        <f t="shared" si="5"/>
        <v>0.20947039696767566</v>
      </c>
      <c r="S78" s="809">
        <f t="shared" si="6"/>
        <v>1</v>
      </c>
      <c r="T78" s="176">
        <f t="shared" si="7"/>
        <v>7</v>
      </c>
      <c r="U78" s="251">
        <f t="shared" si="8"/>
        <v>1.2094703969676757</v>
      </c>
      <c r="V78" s="383">
        <f t="shared" si="9"/>
        <v>32.095680925773664</v>
      </c>
      <c r="W78" s="402">
        <f t="shared" si="10"/>
        <v>12.838397659463512</v>
      </c>
      <c r="X78" s="157">
        <f t="shared" si="11"/>
        <v>45355</v>
      </c>
      <c r="Y78" s="385">
        <f t="shared" si="12"/>
        <v>11.784941735128065</v>
      </c>
      <c r="Z78" s="385">
        <f t="shared" si="22"/>
        <v>12.638285677634496</v>
      </c>
      <c r="AA78" s="386">
        <f t="shared" si="13"/>
        <v>14.846929547807811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0.14876098543213109</v>
      </c>
      <c r="AD78" s="231">
        <f>(INDEX(Models!$BJ78:$BT78,,AH78)*(1-AF78)+INDEX(Models!$BJ78:$BT78,,AH78+1)*AF78-ERP_i)*AE78*Ramure*Pc/MaxiM</f>
        <v>2.8424285518723131E-2</v>
      </c>
      <c r="AE78" s="305">
        <f t="shared" si="15"/>
        <v>0.8</v>
      </c>
      <c r="AF78" s="177">
        <f t="shared" si="23"/>
        <v>0.41018714413257928</v>
      </c>
      <c r="AG78" s="809">
        <f t="shared" si="24"/>
        <v>2</v>
      </c>
      <c r="AH78" s="176">
        <f t="shared" si="16"/>
        <v>8</v>
      </c>
      <c r="AI78" s="225">
        <f t="shared" si="17"/>
        <v>2.4101871441325793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IF(t&gt;Tmaj,'2023'!Wh/'2023'!Env_an*'2024'!Env_an,0.001*'[5]mon-tableau'!$B$145)</f>
        <v>14.801066485902782</v>
      </c>
      <c r="C79" s="839"/>
      <c r="D79" s="393">
        <f t="shared" ref="D79:D142" si="25">Wh/(1-Ppv)</f>
        <v>15.87318483275588</v>
      </c>
      <c r="E79" s="385">
        <f t="shared" si="1"/>
        <v>17.157330189142733</v>
      </c>
      <c r="F79" s="385">
        <f t="shared" ref="F79:F142" si="26">Wh_sa/(1-Pvg*MEDIAN((-Sdif+Wh/Env_an)/Csdif,0,1))</f>
        <v>17.208285004413057</v>
      </c>
      <c r="G79" s="110">
        <f t="shared" si="21"/>
        <v>0.45127597000022618</v>
      </c>
      <c r="H79" s="414" t="b">
        <f>Wh_hp&gt;='2023'!Maxi_hp</f>
        <v>0</v>
      </c>
      <c r="I79" s="390">
        <f>IF(H79,Wh_hp,'2023'!Maxi_hp)</f>
        <v>22.684826096802258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6.7542736895539496E-2</v>
      </c>
      <c r="M79" s="843"/>
      <c r="N79" s="843"/>
      <c r="O79" s="48">
        <f>IF(t&lt;Tnet,'2023'!Resal+('2023'!Salim-'2023'!Resal)*(1-EXP(('2023'!Tnet-t)/('2023'!Tau_j))),Resal+(Salim-Resal)*(1-EXP((Tnet-t)/(Tau_j))))*Salcycl</f>
        <v>7.4845290160555966E-2</v>
      </c>
      <c r="P79" s="169">
        <f>(INDEX(Models!$BJ79:$BT79,,T79)*(1-R79)+INDEX(Models!$BJ79:$BT79,,T79+1)*R79-ERP_i)*Q79*Ramure*Pc/MaxiM</f>
        <v>1.3286945218765837E-2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0.20992132889955362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1.2099213288995536</v>
      </c>
      <c r="V79" s="383">
        <f t="shared" ref="V79:V142" si="33">MaxiM*(1-Ppv)*(1-Pvg)*(1-Psa)</f>
        <v>32.458582983467132</v>
      </c>
      <c r="W79" s="402">
        <f t="shared" ref="W79:W142" si="34">Wh*(A79&gt;Tmaj)</f>
        <v>14.801066485902782</v>
      </c>
      <c r="X79" s="157">
        <f t="shared" ref="X79:X142" si="35">t</f>
        <v>45356</v>
      </c>
      <c r="Y79" s="385">
        <f t="shared" ref="Y79:Y142" si="36">Wh_pvt_s*(1-Ppv)</f>
        <v>13.570508804401516</v>
      </c>
      <c r="Z79" s="385">
        <f t="shared" ref="Z79:Z142" si="37">Wh_sa_s*(1-Psa_s)</f>
        <v>14.553491448198685</v>
      </c>
      <c r="AA79" s="386">
        <f t="shared" ref="AA79:AA142" si="38">Wh_hp*(1-Pvg_s*MEDIAN((-Sdif+Wh/Env_an)/Csdif,0,1))</f>
        <v>17.097750326157623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0.14880664587004233</v>
      </c>
      <c r="AD79" s="231">
        <f>(INDEX(Models!$BJ79:$BT79,,AH79)*(1-AF79)+INDEX(Models!$BJ79:$BT79,,AH79+1)*AF79-ERP_i)*AE79*Ramure*Pc/MaxiM</f>
        <v>2.8822952393456128E-2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0.41063807606445701</v>
      </c>
      <c r="AG79" s="809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2.410638076064457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IF(t&gt;Tmaj,'2023'!Wh/'2023'!Env_an*'2024'!Env_an,0.001*'[5]mon-tableau'!$B$146)</f>
        <v>31.489468076132134</v>
      </c>
      <c r="C80" s="839"/>
      <c r="D80" s="393">
        <f t="shared" si="25"/>
        <v>33.771217981611279</v>
      </c>
      <c r="E80" s="385">
        <f t="shared" ref="E80:E143" si="47">Wh_pvt/(1-Psa)</f>
        <v>36.509143901709486</v>
      </c>
      <c r="F80" s="385">
        <f t="shared" si="26"/>
        <v>36.976490344233014</v>
      </c>
      <c r="G80" s="110">
        <f t="shared" ref="G80:G143" si="48">+Wh_hp/MaxiM</f>
        <v>0.95849175429211442</v>
      </c>
      <c r="H80" s="414" t="b">
        <f>Wh_hp&gt;='2023'!Maxi_hp</f>
        <v>0</v>
      </c>
      <c r="I80" s="390">
        <f>IF(H80,Wh_hp,'2023'!Maxi_hp)</f>
        <v>37.005534165316867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6.7564927824681292E-2</v>
      </c>
      <c r="M80" s="843"/>
      <c r="N80" s="843"/>
      <c r="O80" s="48">
        <f>IF(t&lt;Tnet,'2023'!Resal+('2023'!Salim-'2023'!Resal)*(1-EXP(('2023'!Tnet-t)/('2023'!Tau_j))),Resal+(Salim-Resal)*(1-EXP((Tnet-t)/(Tau_j))))*Salcycl</f>
        <v>7.4992881987846538E-2</v>
      </c>
      <c r="P80" s="169">
        <f>(INDEX(Models!$BJ80:$BT80,,T80)*(1-R80)+INDEX(Models!$BJ80:$BT80,,T80+1)*R80-ERP_i)*Q80*Ramure*Pc/MaxiM</f>
        <v>1.3420251733703465E-2</v>
      </c>
      <c r="Q80" s="305">
        <f t="shared" si="28"/>
        <v>0.8</v>
      </c>
      <c r="R80" s="177">
        <f t="shared" si="29"/>
        <v>0.2103904457448762</v>
      </c>
      <c r="S80" s="809">
        <f t="shared" si="30"/>
        <v>1</v>
      </c>
      <c r="T80" s="176">
        <f t="shared" si="31"/>
        <v>7</v>
      </c>
      <c r="U80" s="251">
        <f t="shared" si="32"/>
        <v>1.2103904457448762</v>
      </c>
      <c r="V80" s="383">
        <f t="shared" si="33"/>
        <v>32.827149862987909</v>
      </c>
      <c r="W80" s="402">
        <f t="shared" si="34"/>
        <v>31.489468076132134</v>
      </c>
      <c r="X80" s="157">
        <f t="shared" si="35"/>
        <v>45357</v>
      </c>
      <c r="Y80" s="385">
        <f t="shared" si="36"/>
        <v>28.538260199134019</v>
      </c>
      <c r="Z80" s="385">
        <f t="shared" si="37"/>
        <v>30.606163421712417</v>
      </c>
      <c r="AA80" s="386">
        <f t="shared" si="38"/>
        <v>35.958700696121809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0.14885235480676504</v>
      </c>
      <c r="AD80" s="231">
        <f>(INDEX(Models!$BJ80:$BT80,,AH80)*(1-AF80)+INDEX(Models!$BJ80:$BT80,,AH80+1)*AF80-ERP_i)*AE80*Ramure*Pc/MaxiM</f>
        <v>2.9226697898576837E-2</v>
      </c>
      <c r="AE80" s="305">
        <f t="shared" si="40"/>
        <v>0.8</v>
      </c>
      <c r="AF80" s="177">
        <f t="shared" si="41"/>
        <v>0.4111071929097796</v>
      </c>
      <c r="AG80" s="809">
        <f t="shared" ref="AG80:AG143" si="49">INDEX(Echel_vg,AH80)</f>
        <v>2</v>
      </c>
      <c r="AH80" s="176">
        <f t="shared" si="42"/>
        <v>8</v>
      </c>
      <c r="AI80" s="225">
        <f t="shared" si="43"/>
        <v>2.4111071929097796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IF(t&gt;Tmaj,'2023'!Wh/'2023'!Env_an*'2024'!Env_an,0.001*'[5]mon-tableau'!$B$147)</f>
        <v>24.35681100155584</v>
      </c>
      <c r="C81" s="839"/>
      <c r="D81" s="393">
        <f t="shared" si="25"/>
        <v>26.122345023282811</v>
      </c>
      <c r="E81" s="385">
        <f t="shared" si="47"/>
        <v>28.24465839110108</v>
      </c>
      <c r="F81" s="385">
        <f t="shared" si="26"/>
        <v>28.483521465127907</v>
      </c>
      <c r="G81" s="110">
        <f t="shared" si="48"/>
        <v>0.72981255586915994</v>
      </c>
      <c r="H81" s="414" t="b">
        <f>Wh_hp&gt;='2023'!Maxi_hp</f>
        <v>0</v>
      </c>
      <c r="I81" s="390">
        <f>IF(H81,Wh_hp,'2023'!Maxi_hp)</f>
        <v>28.631009499082833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6.7587118237407623E-2</v>
      </c>
      <c r="M81" s="843"/>
      <c r="N81" s="843"/>
      <c r="O81" s="48">
        <f>IF(t&lt;Tnet,'2023'!Resal+('2023'!Salim-'2023'!Resal)*(1-EXP(('2023'!Tnet-t)/('2023'!Tau_j))),Resal+(Salim-Resal)*(1-EXP((Tnet-t)/(Tau_j))))*Salcycl</f>
        <v>7.5140344713354207E-2</v>
      </c>
      <c r="P81" s="169">
        <f>(INDEX(Models!$BJ81:$BT81,,T81)*(1-R81)+INDEX(Models!$BJ81:$BT81,,T81+1)*R81-ERP_i)*Q81*Ramure*Pc/MaxiM</f>
        <v>1.3537555531306056E-2</v>
      </c>
      <c r="Q81" s="305">
        <f t="shared" si="28"/>
        <v>0.8</v>
      </c>
      <c r="R81" s="177">
        <f t="shared" si="29"/>
        <v>0.21087844953872836</v>
      </c>
      <c r="S81" s="809">
        <f t="shared" si="30"/>
        <v>1</v>
      </c>
      <c r="T81" s="176">
        <f t="shared" si="31"/>
        <v>7</v>
      </c>
      <c r="U81" s="251">
        <f t="shared" si="32"/>
        <v>1.2108784495387284</v>
      </c>
      <c r="V81" s="383">
        <f t="shared" si="33"/>
        <v>33.200682054539136</v>
      </c>
      <c r="W81" s="402">
        <f t="shared" si="34"/>
        <v>24.35681100155584</v>
      </c>
      <c r="X81" s="157">
        <f t="shared" si="35"/>
        <v>45358</v>
      </c>
      <c r="Y81" s="385">
        <f t="shared" si="36"/>
        <v>22.189147952734242</v>
      </c>
      <c r="Z81" s="385">
        <f t="shared" si="37"/>
        <v>23.797556197195441</v>
      </c>
      <c r="AA81" s="386">
        <f t="shared" si="38"/>
        <v>27.960879224905941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0.14889814423296288</v>
      </c>
      <c r="AD81" s="231">
        <f>(INDEX(Models!$BJ81:$BT81,,AH81)*(1-AF81)+INDEX(Models!$BJ81:$BT81,,AH81+1)*AF81-ERP_i)*AE81*Ramure*Pc/MaxiM</f>
        <v>2.9620728858310113E-2</v>
      </c>
      <c r="AE81" s="305">
        <f t="shared" si="40"/>
        <v>0.8</v>
      </c>
      <c r="AF81" s="177">
        <f t="shared" si="41"/>
        <v>0.41159519670363176</v>
      </c>
      <c r="AG81" s="809">
        <f t="shared" si="49"/>
        <v>2</v>
      </c>
      <c r="AH81" s="176">
        <f t="shared" si="42"/>
        <v>8</v>
      </c>
      <c r="AI81" s="225">
        <f t="shared" si="43"/>
        <v>2.4115951967036318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IF(t&gt;Tmaj,'2023'!Wh/'2023'!Env_an*'2024'!Env_an,0.001*'[5]mon-tableau'!$B$148)</f>
        <v>25.4172765389837</v>
      </c>
      <c r="C82" s="839"/>
      <c r="D82" s="393">
        <f t="shared" si="25"/>
        <v>27.260328487523385</v>
      </c>
      <c r="E82" s="385">
        <f t="shared" si="47"/>
        <v>29.47979429232668</v>
      </c>
      <c r="F82" s="385">
        <f t="shared" si="26"/>
        <v>29.744637085037507</v>
      </c>
      <c r="G82" s="110">
        <f t="shared" si="48"/>
        <v>0.75333598190740869</v>
      </c>
      <c r="H82" s="414" t="b">
        <f>Wh_hp&gt;='2023'!Maxi_hp</f>
        <v>0</v>
      </c>
      <c r="I82" s="390">
        <f>IF(H82,Wh_hp,'2023'!Maxi_hp)</f>
        <v>38.36219098507231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6.76093081337307E-2</v>
      </c>
      <c r="M82" s="843"/>
      <c r="N82" s="843"/>
      <c r="O82" s="48">
        <f>IF(t&lt;Tnet,'2023'!Resal+('2023'!Salim-'2023'!Resal)*(1-EXP(('2023'!Tnet-t)/('2023'!Tau_j))),Resal+(Salim-Resal)*(1-EXP((Tnet-t)/(Tau_j))))*Salcycl</f>
        <v>7.5287696474225521E-2</v>
      </c>
      <c r="P82" s="169">
        <f>(INDEX(Models!$BJ82:$BT82,,T82)*(1-R82)+INDEX(Models!$BJ82:$BT82,,T82+1)*R82-ERP_i)*Q82*Ramure*Pc/MaxiM</f>
        <v>1.3639736679300052E-2</v>
      </c>
      <c r="Q82" s="305">
        <f t="shared" si="28"/>
        <v>0.8</v>
      </c>
      <c r="R82" s="177">
        <f t="shared" si="29"/>
        <v>0.21138606679663252</v>
      </c>
      <c r="S82" s="809">
        <f t="shared" si="30"/>
        <v>1</v>
      </c>
      <c r="T82" s="176">
        <f t="shared" si="31"/>
        <v>7</v>
      </c>
      <c r="U82" s="251">
        <f t="shared" si="32"/>
        <v>1.2113860667966325</v>
      </c>
      <c r="V82" s="383">
        <f t="shared" si="33"/>
        <v>33.578407580731692</v>
      </c>
      <c r="W82" s="402">
        <f t="shared" si="34"/>
        <v>25.4172765389837</v>
      </c>
      <c r="X82" s="157">
        <f t="shared" si="35"/>
        <v>45359</v>
      </c>
      <c r="Y82" s="385">
        <f t="shared" si="36"/>
        <v>23.140539744711223</v>
      </c>
      <c r="Z82" s="385">
        <f t="shared" si="37"/>
        <v>24.818501457144766</v>
      </c>
      <c r="AA82" s="386">
        <f t="shared" si="38"/>
        <v>29.16200917737466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0.14894404887574778</v>
      </c>
      <c r="AD82" s="231">
        <f>(INDEX(Models!$BJ82:$BT82,,AH82)*(1-AF82)+INDEX(Models!$BJ82:$BT82,,AH82+1)*AF82-ERP_i)*AE82*Ramure*Pc/MaxiM</f>
        <v>3.0006069491985841E-2</v>
      </c>
      <c r="AE82" s="305">
        <f t="shared" si="40"/>
        <v>0.8</v>
      </c>
      <c r="AF82" s="177">
        <f t="shared" si="41"/>
        <v>0.41210281396153636</v>
      </c>
      <c r="AG82" s="809">
        <f t="shared" si="49"/>
        <v>2</v>
      </c>
      <c r="AH82" s="176">
        <f t="shared" si="42"/>
        <v>8</v>
      </c>
      <c r="AI82" s="225">
        <f t="shared" si="43"/>
        <v>2.4121028139615364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IF(t&gt;Tmaj,'2023'!Wh/'2023'!Env_an*'2024'!Env_an,0.001*'[5]mon-tableau'!$B$149)</f>
        <v>20.158386509643794</v>
      </c>
      <c r="C83" s="839"/>
      <c r="D83" s="393">
        <f t="shared" si="25"/>
        <v>21.620621520233289</v>
      </c>
      <c r="E83" s="385">
        <f t="shared" si="47"/>
        <v>23.384640897444815</v>
      </c>
      <c r="F83" s="385">
        <f t="shared" si="26"/>
        <v>23.520064036371263</v>
      </c>
      <c r="G83" s="110">
        <f t="shared" si="48"/>
        <v>0.5888415241209024</v>
      </c>
      <c r="H83" s="414" t="b">
        <f>Wh_hp&gt;='2023'!Maxi_hp</f>
        <v>0</v>
      </c>
      <c r="I83" s="390">
        <f>IF(H83,Wh_hp,'2023'!Maxi_hp)</f>
        <v>38.414933458593104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6.7631497513662514E-2</v>
      </c>
      <c r="M83" s="843"/>
      <c r="N83" s="843"/>
      <c r="O83" s="48">
        <f>IF(t&lt;Tnet,'2023'!Resal+('2023'!Salim-'2023'!Resal)*(1-EXP(('2023'!Tnet-t)/('2023'!Tau_j))),Resal+(Salim-Resal)*(1-EXP((Tnet-t)/(Tau_j))))*Salcycl</f>
        <v>7.5434956856843441E-2</v>
      </c>
      <c r="P83" s="169">
        <f>(INDEX(Models!$BJ83:$BT83,,T83)*(1-R83)+INDEX(Models!$BJ83:$BT83,,T83+1)*R83-ERP_i)*Q83*Ramure*Pc/MaxiM</f>
        <v>1.3727662391907088E-2</v>
      </c>
      <c r="Q83" s="305">
        <f t="shared" si="28"/>
        <v>0.8</v>
      </c>
      <c r="R83" s="177">
        <f t="shared" si="29"/>
        <v>0.21191404914623679</v>
      </c>
      <c r="S83" s="809">
        <f t="shared" si="30"/>
        <v>1</v>
      </c>
      <c r="T83" s="176">
        <f t="shared" si="31"/>
        <v>7</v>
      </c>
      <c r="U83" s="251">
        <f t="shared" si="32"/>
        <v>1.2119140491462368</v>
      </c>
      <c r="V83" s="383">
        <f t="shared" si="33"/>
        <v>33.959554710103426</v>
      </c>
      <c r="W83" s="402">
        <f t="shared" si="34"/>
        <v>20.158386509643794</v>
      </c>
      <c r="X83" s="157">
        <f t="shared" si="35"/>
        <v>45360</v>
      </c>
      <c r="Y83" s="385">
        <f t="shared" si="36"/>
        <v>18.424281830454397</v>
      </c>
      <c r="Z83" s="385">
        <f t="shared" si="37"/>
        <v>19.760729562745368</v>
      </c>
      <c r="AA83" s="386">
        <f t="shared" si="38"/>
        <v>23.22032881684898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0.14899010610018931</v>
      </c>
      <c r="AD83" s="231">
        <f>(INDEX(Models!$BJ83:$BT83,,AH83)*(1-AF83)+INDEX(Models!$BJ83:$BT83,,AH83+1)*AF83-ERP_i)*AE83*Ramure*Pc/MaxiM</f>
        <v>3.0383758146388707E-2</v>
      </c>
      <c r="AE83" s="305">
        <f t="shared" si="40"/>
        <v>0.8</v>
      </c>
      <c r="AF83" s="177">
        <f t="shared" si="41"/>
        <v>0.41263079631114019</v>
      </c>
      <c r="AG83" s="809">
        <f t="shared" si="49"/>
        <v>2</v>
      </c>
      <c r="AH83" s="176">
        <f t="shared" si="42"/>
        <v>8</v>
      </c>
      <c r="AI83" s="225">
        <f t="shared" si="43"/>
        <v>2.4126307963111402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IF(t&gt;Tmaj,'2023'!Wh/'2023'!Env_an*'2024'!Env_an,0.001*'[5]mon-tableau'!$B$150)</f>
        <v>13.144984851356529</v>
      </c>
      <c r="C84" s="839"/>
      <c r="D84" s="393">
        <f t="shared" si="25"/>
        <v>14.098822142900449</v>
      </c>
      <c r="E84" s="385">
        <f t="shared" si="47"/>
        <v>15.251568427475215</v>
      </c>
      <c r="F84" s="385">
        <f t="shared" si="26"/>
        <v>15.276494375595171</v>
      </c>
      <c r="G84" s="110">
        <f t="shared" si="48"/>
        <v>0.37808604048115441</v>
      </c>
      <c r="H84" s="414" t="b">
        <f>Wh_hp&gt;='2023'!Maxi_hp</f>
        <v>0</v>
      </c>
      <c r="I84" s="390">
        <f>IF(H84,Wh_hp,'2023'!Maxi_hp)</f>
        <v>32.677588662609999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6.7653686377214944E-2</v>
      </c>
      <c r="M84" s="843"/>
      <c r="N84" s="843"/>
      <c r="O84" s="48">
        <f>IF(t&lt;Tnet,'2023'!Resal+('2023'!Salim-'2023'!Resal)*(1-EXP(('2023'!Tnet-t)/('2023'!Tau_j))),Resal+(Salim-Resal)*(1-EXP((Tnet-t)/(Tau_j))))*Salcycl</f>
        <v>7.5582146849771228E-2</v>
      </c>
      <c r="P84" s="169">
        <f>(INDEX(Models!$BJ84:$BT84,,T84)*(1-R84)+INDEX(Models!$BJ84:$BT84,,T84+1)*R84-ERP_i)*Q84*Ramure*Pc/MaxiM</f>
        <v>1.3802183537218689E-2</v>
      </c>
      <c r="Q84" s="305">
        <f t="shared" si="28"/>
        <v>0.8</v>
      </c>
      <c r="R84" s="177">
        <f t="shared" si="29"/>
        <v>0.21246317395543457</v>
      </c>
      <c r="S84" s="809">
        <f t="shared" si="30"/>
        <v>1</v>
      </c>
      <c r="T84" s="176">
        <f t="shared" si="31"/>
        <v>7</v>
      </c>
      <c r="U84" s="251">
        <f t="shared" si="32"/>
        <v>1.2124631739554346</v>
      </c>
      <c r="V84" s="383">
        <f t="shared" si="33"/>
        <v>34.343351960835328</v>
      </c>
      <c r="W84" s="402">
        <f t="shared" si="34"/>
        <v>13.144984851356529</v>
      </c>
      <c r="X84" s="157">
        <f t="shared" si="35"/>
        <v>45361</v>
      </c>
      <c r="Y84" s="385">
        <f t="shared" si="36"/>
        <v>12.076194693135957</v>
      </c>
      <c r="Z84" s="385">
        <f t="shared" si="37"/>
        <v>12.952477546901981</v>
      </c>
      <c r="AA84" s="386">
        <f t="shared" si="38"/>
        <v>15.22095289866162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0.149036355796036</v>
      </c>
      <c r="AD84" s="231">
        <f>(INDEX(Models!$BJ84:$BT84,,AH84)*(1-AF84)+INDEX(Models!$BJ84:$BT84,,AH84+1)*AF84-ERP_i)*AE84*Ramure*Pc/MaxiM</f>
        <v>3.0754844504845367E-2</v>
      </c>
      <c r="AE84" s="305">
        <f t="shared" si="40"/>
        <v>0.8</v>
      </c>
      <c r="AF84" s="177">
        <f t="shared" si="41"/>
        <v>0.41317992112033819</v>
      </c>
      <c r="AG84" s="809">
        <f t="shared" si="49"/>
        <v>2</v>
      </c>
      <c r="AH84" s="176">
        <f t="shared" si="42"/>
        <v>8</v>
      </c>
      <c r="AI84" s="225">
        <f t="shared" si="43"/>
        <v>2.4131799211203382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IF(t&gt;Tmaj,'2023'!Wh/'2023'!Env_an*'2024'!Env_an,0.001*'[5]mon-tableau'!$B$151)</f>
        <v>13.797117703593804</v>
      </c>
      <c r="C85" s="839"/>
      <c r="D85" s="393">
        <f t="shared" si="25"/>
        <v>14.798627783567548</v>
      </c>
      <c r="E85" s="385">
        <f t="shared" si="47"/>
        <v>16.011140030805194</v>
      </c>
      <c r="F85" s="385">
        <f t="shared" si="26"/>
        <v>16.042048257209881</v>
      </c>
      <c r="G85" s="110">
        <f t="shared" si="48"/>
        <v>0.3925274723715948</v>
      </c>
      <c r="H85" s="414" t="b">
        <f>Wh_hp&gt;='2023'!Maxi_hp</f>
        <v>0</v>
      </c>
      <c r="I85" s="390">
        <f>IF(H85,Wh_hp,'2023'!Maxi_hp)</f>
        <v>39.534128612030948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6.7675874724400203E-2</v>
      </c>
      <c r="M85" s="843"/>
      <c r="N85" s="843"/>
      <c r="O85" s="48">
        <f>IF(t&lt;Tnet,'2023'!Resal+('2023'!Salim-'2023'!Resal)*(1-EXP(('2023'!Tnet-t)/('2023'!Tau_j))),Resal+(Salim-Resal)*(1-EXP((Tnet-t)/(Tau_j))))*Salcycl</f>
        <v>7.5729288789229923E-2</v>
      </c>
      <c r="P85" s="169">
        <f>(INDEX(Models!$BJ85:$BT85,,T85)*(1-R85)+INDEX(Models!$BJ85:$BT85,,T85+1)*R85-ERP_i)*Q85*Ramure*Pc/MaxiM</f>
        <v>1.3864131713525542E-2</v>
      </c>
      <c r="Q85" s="305">
        <f t="shared" si="28"/>
        <v>0.8</v>
      </c>
      <c r="R85" s="177">
        <f t="shared" si="29"/>
        <v>0.21303424495466072</v>
      </c>
      <c r="S85" s="809">
        <f t="shared" si="30"/>
        <v>1</v>
      </c>
      <c r="T85" s="176">
        <f t="shared" si="31"/>
        <v>7</v>
      </c>
      <c r="U85" s="251">
        <f t="shared" si="32"/>
        <v>1.2130342449546607</v>
      </c>
      <c r="V85" s="383">
        <f t="shared" si="33"/>
        <v>34.729028102987364</v>
      </c>
      <c r="W85" s="402">
        <f t="shared" si="34"/>
        <v>13.797117703593804</v>
      </c>
      <c r="X85" s="157">
        <f t="shared" si="35"/>
        <v>45362</v>
      </c>
      <c r="Y85" s="385">
        <f t="shared" si="36"/>
        <v>12.671607438717473</v>
      </c>
      <c r="Z85" s="385">
        <f t="shared" si="37"/>
        <v>13.591418579854597</v>
      </c>
      <c r="AA85" s="386">
        <f t="shared" si="38"/>
        <v>15.972669517986041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0.14908284025096949</v>
      </c>
      <c r="AD85" s="231">
        <f>(INDEX(Models!$BJ85:$BT85,,AH85)*(1-AF85)+INDEX(Models!$BJ85:$BT85,,AH85+1)*AF85-ERP_i)*AE85*Ramure*Pc/MaxiM</f>
        <v>3.1120387372720229E-2</v>
      </c>
      <c r="AE85" s="305">
        <f t="shared" si="40"/>
        <v>0.8</v>
      </c>
      <c r="AF85" s="177">
        <f t="shared" si="41"/>
        <v>0.41375099211956456</v>
      </c>
      <c r="AG85" s="809">
        <f t="shared" si="49"/>
        <v>2</v>
      </c>
      <c r="AH85" s="176">
        <f t="shared" si="42"/>
        <v>8</v>
      </c>
      <c r="AI85" s="225">
        <f t="shared" si="43"/>
        <v>2.4137509921195646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IF(t&gt;Tmaj,'2023'!Wh/'2023'!Env_an*'2024'!Env_an,0.001*'[5]mon-tableau'!$B$152)</f>
        <v>9.9419527830233747</v>
      </c>
      <c r="C86" s="839"/>
      <c r="D86" s="393">
        <f t="shared" si="25"/>
        <v>10.663876565860233</v>
      </c>
      <c r="E86" s="385">
        <f t="shared" si="47"/>
        <v>11.539448444485961</v>
      </c>
      <c r="F86" s="385">
        <f t="shared" si="26"/>
        <v>11.539448444485961</v>
      </c>
      <c r="G86" s="110">
        <f t="shared" si="48"/>
        <v>0.27917956891082474</v>
      </c>
      <c r="H86" s="414" t="b">
        <f>Wh_hp&gt;='2023'!Maxi_hp</f>
        <v>0</v>
      </c>
      <c r="I86" s="390">
        <f>IF(H86,Wh_hp,'2023'!Maxi_hp)</f>
        <v>38.291818478565958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6.7698062555230171E-2</v>
      </c>
      <c r="M86" s="843"/>
      <c r="N86" s="843"/>
      <c r="O86" s="48">
        <f>IF(t&lt;Tnet,'2023'!Resal+('2023'!Salim-'2023'!Resal)*(1-EXP(('2023'!Tnet-t)/('2023'!Tau_j))),Resal+(Salim-Resal)*(1-EXP((Tnet-t)/(Tau_j))))*Salcycl</f>
        <v>7.5876406297747473E-2</v>
      </c>
      <c r="P86" s="169">
        <f>(INDEX(Models!$BJ86:$BT86,,T86)*(1-R86)+INDEX(Models!$BJ86:$BT86,,T86+1)*R86-ERP_i)*Q86*Ramure*Pc/MaxiM</f>
        <v>1.3894603545965679E-2</v>
      </c>
      <c r="Q86" s="305">
        <f t="shared" si="28"/>
        <v>0.8</v>
      </c>
      <c r="R86" s="177">
        <f t="shared" si="29"/>
        <v>0.21362809285087581</v>
      </c>
      <c r="S86" s="809">
        <f t="shared" si="30"/>
        <v>1</v>
      </c>
      <c r="T86" s="176">
        <f t="shared" si="31"/>
        <v>7</v>
      </c>
      <c r="U86" s="251">
        <f t="shared" si="32"/>
        <v>1.2136280928508758</v>
      </c>
      <c r="V86" s="383">
        <f t="shared" si="33"/>
        <v>35.116514180742499</v>
      </c>
      <c r="W86" s="402">
        <f t="shared" si="34"/>
        <v>9.9419527830233747</v>
      </c>
      <c r="X86" s="157">
        <f t="shared" si="35"/>
        <v>45363</v>
      </c>
      <c r="Y86" s="385">
        <f t="shared" si="36"/>
        <v>9.1538765583261679</v>
      </c>
      <c r="Z86" s="385">
        <f t="shared" si="37"/>
        <v>9.8185750674453036</v>
      </c>
      <c r="AA86" s="386">
        <f t="shared" si="38"/>
        <v>11.539448444485961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0.14912960401178993</v>
      </c>
      <c r="AD86" s="231">
        <f>(INDEX(Models!$BJ86:$BT86,,AH86)*(1-AF86)+INDEX(Models!$BJ86:$BT86,,AH86+1)*AF86-ERP_i)*AE86*Ramure*Pc/MaxiM</f>
        <v>3.1448449619813384E-2</v>
      </c>
      <c r="AE86" s="305">
        <f t="shared" si="40"/>
        <v>0.8</v>
      </c>
      <c r="AF86" s="177">
        <f t="shared" si="41"/>
        <v>0.41434484001577943</v>
      </c>
      <c r="AG86" s="809">
        <f t="shared" si="49"/>
        <v>2</v>
      </c>
      <c r="AH86" s="176">
        <f t="shared" si="42"/>
        <v>8</v>
      </c>
      <c r="AI86" s="225">
        <f t="shared" si="43"/>
        <v>2.4143448400157794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IF(t&gt;Tmaj,'2023'!Wh/'2023'!Env_an*'2024'!Env_an,0.001*'[5]mon-tableau'!$B$153)</f>
        <v>13.258269592199602</v>
      </c>
      <c r="C87" s="839"/>
      <c r="D87" s="393">
        <f t="shared" si="25"/>
        <v>14.221342456861043</v>
      </c>
      <c r="E87" s="385">
        <f t="shared" si="47"/>
        <v>15.391455117733662</v>
      </c>
      <c r="F87" s="385">
        <f t="shared" si="26"/>
        <v>15.413921632559925</v>
      </c>
      <c r="G87" s="110">
        <f t="shared" si="48"/>
        <v>0.36876819584944048</v>
      </c>
      <c r="H87" s="414" t="b">
        <f>Wh_hp&gt;='2023'!Maxi_hp</f>
        <v>0</v>
      </c>
      <c r="I87" s="390">
        <f>IF(H87,Wh_hp,'2023'!Maxi_hp)</f>
        <v>37.562812339887081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6.7720249869716836E-2</v>
      </c>
      <c r="M87" s="843"/>
      <c r="N87" s="843"/>
      <c r="O87" s="48">
        <f>IF(t&lt;Tnet,'2023'!Resal+('2023'!Salim-'2023'!Resal)*(1-EXP(('2023'!Tnet-t)/('2023'!Tau_j))),Resal+(Salim-Resal)*(1-EXP((Tnet-t)/(Tau_j))))*Salcycl</f>
        <v>7.6023524216657257E-2</v>
      </c>
      <c r="P87" s="169">
        <f>(INDEX(Models!$BJ87:$BT87,,T87)*(1-R87)+INDEX(Models!$BJ87:$BT87,,T87+1)*R87-ERP_i)*Q87*Ramure*Pc/MaxiM</f>
        <v>1.3896536084382721E-2</v>
      </c>
      <c r="Q87" s="305">
        <f t="shared" si="28"/>
        <v>0.8</v>
      </c>
      <c r="R87" s="177">
        <f t="shared" si="29"/>
        <v>0.21424557593052085</v>
      </c>
      <c r="S87" s="809">
        <f t="shared" si="30"/>
        <v>1</v>
      </c>
      <c r="T87" s="176">
        <f t="shared" si="31"/>
        <v>7</v>
      </c>
      <c r="U87" s="251">
        <f t="shared" si="32"/>
        <v>1.2142455759305208</v>
      </c>
      <c r="V87" s="383">
        <f t="shared" si="33"/>
        <v>35.504985353211154</v>
      </c>
      <c r="W87" s="402">
        <f t="shared" si="34"/>
        <v>13.258269592199602</v>
      </c>
      <c r="X87" s="157">
        <f t="shared" si="35"/>
        <v>45364</v>
      </c>
      <c r="Y87" s="385">
        <f t="shared" si="36"/>
        <v>12.185710433422337</v>
      </c>
      <c r="Z87" s="385">
        <f t="shared" si="37"/>
        <v>13.070873234905532</v>
      </c>
      <c r="AA87" s="386">
        <f t="shared" si="38"/>
        <v>15.362617759361534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0.14917669373499057</v>
      </c>
      <c r="AD87" s="231">
        <f>(INDEX(Models!$BJ87:$BT87,,AH87)*(1-AF87)+INDEX(Models!$BJ87:$BT87,,AH87+1)*AF87-ERP_i)*AE87*Ramure*Pc/MaxiM</f>
        <v>3.17337215266063E-2</v>
      </c>
      <c r="AE87" s="305">
        <f t="shared" si="40"/>
        <v>0.8</v>
      </c>
      <c r="AF87" s="177">
        <f t="shared" si="41"/>
        <v>0.41496232309542469</v>
      </c>
      <c r="AG87" s="809">
        <f t="shared" si="49"/>
        <v>2</v>
      </c>
      <c r="AH87" s="176">
        <f t="shared" si="42"/>
        <v>8</v>
      </c>
      <c r="AI87" s="225">
        <f t="shared" si="43"/>
        <v>2.4149623230954247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IF(t&gt;Tmaj,'2023'!Wh/'2023'!Env_an*'2024'!Env_an,0.001*'[5]mon-tableau'!$B$154)</f>
        <v>13.333583096813699</v>
      </c>
      <c r="C88" s="839"/>
      <c r="D88" s="393">
        <f t="shared" si="25"/>
        <v>14.302467066242995</v>
      </c>
      <c r="E88" s="385">
        <f t="shared" si="47"/>
        <v>15.481720031051289</v>
      </c>
      <c r="F88" s="385">
        <f t="shared" si="26"/>
        <v>15.503678504443588</v>
      </c>
      <c r="G88" s="110">
        <f t="shared" si="48"/>
        <v>0.36684124026440801</v>
      </c>
      <c r="H88" s="414" t="b">
        <f>Wh_hp&gt;='2023'!Maxi_hp</f>
        <v>0</v>
      </c>
      <c r="I88" s="390">
        <f>IF(H88,Wh_hp,'2023'!Maxi_hp)</f>
        <v>29.969159838266769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6.7742436667872302E-2</v>
      </c>
      <c r="M88" s="843"/>
      <c r="N88" s="843"/>
      <c r="O88" s="48">
        <f>IF(t&lt;Tnet,'2023'!Resal+('2023'!Salim-'2023'!Resal)*(1-EXP(('2023'!Tnet-t)/('2023'!Tau_j))),Resal+(Salim-Resal)*(1-EXP((Tnet-t)/(Tau_j))))*Salcycl</f>
        <v>7.6170668533153685E-2</v>
      </c>
      <c r="P88" s="169">
        <f>(INDEX(Models!$BJ88:$BT88,,T88)*(1-R88)+INDEX(Models!$BJ88:$BT88,,T88+1)*R88-ERP_i)*Q88*Ramure*Pc/MaxiM</f>
        <v>1.3871214351930661E-2</v>
      </c>
      <c r="Q88" s="305">
        <f t="shared" si="28"/>
        <v>0.8</v>
      </c>
      <c r="R88" s="177">
        <f t="shared" si="29"/>
        <v>0.2148875806484789</v>
      </c>
      <c r="S88" s="809">
        <f t="shared" si="30"/>
        <v>1</v>
      </c>
      <c r="T88" s="176">
        <f t="shared" si="31"/>
        <v>7</v>
      </c>
      <c r="U88" s="251">
        <f t="shared" si="32"/>
        <v>1.2148875806484789</v>
      </c>
      <c r="V88" s="383">
        <f t="shared" si="33"/>
        <v>35.893672797137846</v>
      </c>
      <c r="W88" s="402">
        <f t="shared" si="34"/>
        <v>13.333583096813699</v>
      </c>
      <c r="X88" s="157">
        <f t="shared" si="35"/>
        <v>45365</v>
      </c>
      <c r="Y88" s="385">
        <f t="shared" si="36"/>
        <v>12.256470860175359</v>
      </c>
      <c r="Z88" s="385">
        <f t="shared" si="37"/>
        <v>13.14708653729511</v>
      </c>
      <c r="AA88" s="386">
        <f t="shared" si="38"/>
        <v>15.453055774156738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0.14922415802821773</v>
      </c>
      <c r="AD88" s="231">
        <f>(INDEX(Models!$BJ88:$BT88,,AH88)*(1-AF88)+INDEX(Models!$BJ88:$BT88,,AH88+1)*AF88-ERP_i)*AE88*Ramure*Pc/MaxiM</f>
        <v>3.1978486406762777E-2</v>
      </c>
      <c r="AE88" s="305">
        <f t="shared" si="40"/>
        <v>0.8</v>
      </c>
      <c r="AF88" s="177">
        <f t="shared" si="41"/>
        <v>0.4156043278133823</v>
      </c>
      <c r="AG88" s="809">
        <f t="shared" si="49"/>
        <v>2</v>
      </c>
      <c r="AH88" s="176">
        <f t="shared" si="42"/>
        <v>8</v>
      </c>
      <c r="AI88" s="225">
        <f t="shared" si="43"/>
        <v>2.4156043278133823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IF(t&gt;Tmaj,'2023'!Wh/'2023'!Env_an*'2024'!Env_an,0.001*'[5]mon-tableau'!$B$155)</f>
        <v>12.144633230854952</v>
      </c>
      <c r="C89" s="839"/>
      <c r="D89" s="393">
        <f t="shared" si="25"/>
        <v>13.02743226638972</v>
      </c>
      <c r="E89" s="385">
        <f t="shared" si="47"/>
        <v>14.103804535270987</v>
      </c>
      <c r="F89" s="385">
        <f t="shared" si="26"/>
        <v>14.113481802498155</v>
      </c>
      <c r="G89" s="110">
        <f t="shared" si="48"/>
        <v>0.33033121802868254</v>
      </c>
      <c r="H89" s="414" t="b">
        <f>Wh_hp&gt;='2023'!Maxi_hp</f>
        <v>0</v>
      </c>
      <c r="I89" s="390">
        <f>IF(H89,Wh_hp,'2023'!Maxi_hp)</f>
        <v>42.898084527524084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6.7764622949708669E-2</v>
      </c>
      <c r="M89" s="843"/>
      <c r="N89" s="843"/>
      <c r="O89" s="48">
        <f>IF(t&lt;Tnet,'2023'!Resal+('2023'!Salim-'2023'!Resal)*(1-EXP(('2023'!Tnet-t)/('2023'!Tau_j))),Resal+(Salim-Resal)*(1-EXP((Tnet-t)/(Tau_j))))*Salcycl</f>
        <v>7.6317866302632098E-2</v>
      </c>
      <c r="P89" s="169">
        <f>(INDEX(Models!$BJ89:$BT89,,T89)*(1-R89)+INDEX(Models!$BJ89:$BT89,,T89+1)*R89-ERP_i)*Q89*Ramure*Pc/MaxiM</f>
        <v>1.3819861877744184E-2</v>
      </c>
      <c r="Q89" s="305">
        <f t="shared" si="28"/>
        <v>0.8</v>
      </c>
      <c r="R89" s="177">
        <f t="shared" si="29"/>
        <v>0.21555502219980505</v>
      </c>
      <c r="S89" s="809">
        <f t="shared" si="30"/>
        <v>1</v>
      </c>
      <c r="T89" s="176">
        <f t="shared" si="31"/>
        <v>7</v>
      </c>
      <c r="U89" s="251">
        <f t="shared" si="32"/>
        <v>1.215555022199805</v>
      </c>
      <c r="V89" s="383">
        <f t="shared" si="33"/>
        <v>36.281808233961797</v>
      </c>
      <c r="W89" s="402">
        <f t="shared" si="34"/>
        <v>12.144633230854952</v>
      </c>
      <c r="X89" s="157">
        <f t="shared" si="35"/>
        <v>45366</v>
      </c>
      <c r="Y89" s="385">
        <f t="shared" si="36"/>
        <v>11.175227857322264</v>
      </c>
      <c r="Z89" s="385">
        <f t="shared" si="37"/>
        <v>11.987560365582858</v>
      </c>
      <c r="AA89" s="386">
        <f t="shared" si="38"/>
        <v>14.090944499135947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0.1492720472841311</v>
      </c>
      <c r="AD89" s="231">
        <f>(INDEX(Models!$BJ89:$BT89,,AH89)*(1-AF89)+INDEX(Models!$BJ89:$BT89,,AH89+1)*AF89-ERP_i)*AE89*Ramure*Pc/MaxiM</f>
        <v>3.218495596444431E-2</v>
      </c>
      <c r="AE89" s="305">
        <f t="shared" si="40"/>
        <v>0.8</v>
      </c>
      <c r="AF89" s="177">
        <f t="shared" si="41"/>
        <v>0.41627176936470889</v>
      </c>
      <c r="AG89" s="809">
        <f t="shared" si="49"/>
        <v>2</v>
      </c>
      <c r="AH89" s="176">
        <f t="shared" si="42"/>
        <v>8</v>
      </c>
      <c r="AI89" s="225">
        <f t="shared" si="43"/>
        <v>2.4162717693647089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IF(t&gt;Tmaj,'2023'!Wh/'2023'!Env_an*'2024'!Env_an,0.001*'[5]mon-tableau'!$B$156)</f>
        <v>10.037693878936057</v>
      </c>
      <c r="C90" s="839"/>
      <c r="D90" s="393">
        <f t="shared" si="25"/>
        <v>10.767594765637522</v>
      </c>
      <c r="E90" s="385">
        <f t="shared" si="47"/>
        <v>11.659110334551286</v>
      </c>
      <c r="F90" s="385">
        <f t="shared" si="26"/>
        <v>11.659110334551286</v>
      </c>
      <c r="G90" s="110">
        <f t="shared" si="48"/>
        <v>0.2699784823787339</v>
      </c>
      <c r="H90" s="414" t="b">
        <f>Wh_hp&gt;='2023'!Maxi_hp</f>
        <v>0</v>
      </c>
      <c r="I90" s="390">
        <f>IF(H90,Wh_hp,'2023'!Maxi_hp)</f>
        <v>25.162053403230466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6.7786808715237706E-2</v>
      </c>
      <c r="M90" s="843"/>
      <c r="N90" s="843"/>
      <c r="O90" s="48">
        <f>IF(t&lt;Tnet,'2023'!Resal+('2023'!Salim-'2023'!Resal)*(1-EXP(('2023'!Tnet-t)/('2023'!Tau_j))),Resal+(Salim-Resal)*(1-EXP((Tnet-t)/(Tau_j))))*Salcycl</f>
        <v>7.6465145567050224E-2</v>
      </c>
      <c r="P90" s="169">
        <f>(INDEX(Models!$BJ90:$BT90,,T90)*(1-R90)+INDEX(Models!$BJ90:$BT90,,T90+1)*R90-ERP_i)*Q90*Ramure*Pc/MaxiM</f>
        <v>1.374363754880006E-2</v>
      </c>
      <c r="Q90" s="305">
        <f t="shared" si="28"/>
        <v>0.8</v>
      </c>
      <c r="R90" s="177">
        <f t="shared" si="29"/>
        <v>0.21624884507072228</v>
      </c>
      <c r="S90" s="809">
        <f t="shared" si="30"/>
        <v>1</v>
      </c>
      <c r="T90" s="176">
        <f t="shared" si="31"/>
        <v>7</v>
      </c>
      <c r="U90" s="251">
        <f t="shared" si="32"/>
        <v>1.2162488450707223</v>
      </c>
      <c r="V90" s="383">
        <f t="shared" si="33"/>
        <v>36.668623977782424</v>
      </c>
      <c r="W90" s="402">
        <f t="shared" si="34"/>
        <v>10.037693878936057</v>
      </c>
      <c r="X90" s="157">
        <f t="shared" si="35"/>
        <v>45367</v>
      </c>
      <c r="Y90" s="385">
        <f t="shared" si="36"/>
        <v>9.2458462582959928</v>
      </c>
      <c r="Z90" s="385">
        <f t="shared" si="37"/>
        <v>9.9181671582586226</v>
      </c>
      <c r="AA90" s="386">
        <f t="shared" si="38"/>
        <v>11.659110334551286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0.14932041350817751</v>
      </c>
      <c r="AD90" s="231">
        <f>(INDEX(Models!$BJ90:$BT90,,AH90)*(1-AF90)+INDEX(Models!$BJ90:$BT90,,AH90+1)*AF90-ERP_i)*AE90*Ramure*Pc/MaxiM</f>
        <v>3.2355265270793666E-2</v>
      </c>
      <c r="AE90" s="305">
        <f t="shared" si="40"/>
        <v>0.8</v>
      </c>
      <c r="AF90" s="177">
        <f t="shared" si="41"/>
        <v>0.41696559223562568</v>
      </c>
      <c r="AG90" s="809">
        <f t="shared" si="49"/>
        <v>2</v>
      </c>
      <c r="AH90" s="176">
        <f t="shared" si="42"/>
        <v>8</v>
      </c>
      <c r="AI90" s="225">
        <f t="shared" si="43"/>
        <v>2.4169655922356257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IF(t&gt;Tmaj,'2023'!Wh/'2023'!Env_an*'2024'!Env_an,0.001*'[5]mon-tableau'!$B$157)</f>
        <v>13.478340348459197</v>
      </c>
      <c r="C91" s="839"/>
      <c r="D91" s="393">
        <f t="shared" si="25"/>
        <v>14.45877535954847</v>
      </c>
      <c r="E91" s="385">
        <f t="shared" si="47"/>
        <v>15.658405503454608</v>
      </c>
      <c r="F91" s="385">
        <f t="shared" si="26"/>
        <v>15.67788749737408</v>
      </c>
      <c r="G91" s="110">
        <f t="shared" si="48"/>
        <v>0.35923840977792537</v>
      </c>
      <c r="H91" s="414" t="b">
        <f>Wh_hp&gt;='2023'!Maxi_hp</f>
        <v>0</v>
      </c>
      <c r="I91" s="390">
        <f>IF(H91,Wh_hp,'2023'!Maxi_hp)</f>
        <v>31.721839412381989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6.7808993964471626E-2</v>
      </c>
      <c r="M91" s="843"/>
      <c r="N91" s="843"/>
      <c r="O91" s="48">
        <f>IF(t&lt;Tnet,'2023'!Resal+('2023'!Salim-'2023'!Resal)*(1-EXP(('2023'!Tnet-t)/('2023'!Tau_j))),Resal+(Salim-Resal)*(1-EXP((Tnet-t)/(Tau_j))))*Salcycl</f>
        <v>7.6612535270048535E-2</v>
      </c>
      <c r="P91" s="169">
        <f>(INDEX(Models!$BJ91:$BT91,,T91)*(1-R91)+INDEX(Models!$BJ91:$BT91,,T91+1)*R91-ERP_i)*Q91*Ramure*Pc/MaxiM</f>
        <v>1.3643633034421978E-2</v>
      </c>
      <c r="Q91" s="305">
        <f t="shared" si="28"/>
        <v>0.8</v>
      </c>
      <c r="R91" s="177">
        <f t="shared" si="29"/>
        <v>0.21697002356507267</v>
      </c>
      <c r="S91" s="809">
        <f t="shared" si="30"/>
        <v>1</v>
      </c>
      <c r="T91" s="176">
        <f t="shared" si="31"/>
        <v>7</v>
      </c>
      <c r="U91" s="251">
        <f t="shared" si="32"/>
        <v>1.2169700235650727</v>
      </c>
      <c r="V91" s="383">
        <f t="shared" si="33"/>
        <v>37.053352988908216</v>
      </c>
      <c r="W91" s="402">
        <f t="shared" si="34"/>
        <v>13.478340348459197</v>
      </c>
      <c r="X91" s="157">
        <f t="shared" si="35"/>
        <v>45368</v>
      </c>
      <c r="Y91" s="385">
        <f t="shared" si="36"/>
        <v>12.39499619951734</v>
      </c>
      <c r="Z91" s="385">
        <f t="shared" si="37"/>
        <v>13.296627106746547</v>
      </c>
      <c r="AA91" s="386">
        <f t="shared" si="38"/>
        <v>15.631492333015482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0.1493693101417729</v>
      </c>
      <c r="AD91" s="231">
        <f>(INDEX(Models!$BJ91:$BT91,,AH91)*(1-AF91)+INDEX(Models!$BJ91:$BT91,,AH91+1)*AF91-ERP_i)*AE91*Ramure*Pc/MaxiM</f>
        <v>3.2491468773517961E-2</v>
      </c>
      <c r="AE91" s="305">
        <f t="shared" si="40"/>
        <v>0.8</v>
      </c>
      <c r="AF91" s="177">
        <f t="shared" si="41"/>
        <v>0.41768677072997651</v>
      </c>
      <c r="AG91" s="809">
        <f t="shared" si="49"/>
        <v>2</v>
      </c>
      <c r="AH91" s="176">
        <f t="shared" si="42"/>
        <v>8</v>
      </c>
      <c r="AI91" s="225">
        <f t="shared" si="43"/>
        <v>2.4176867707299765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IF(t&gt;Tmaj,'2023'!Wh/'2023'!Env_an*'2024'!Env_an,0.001*'[5]mon-tableau'!$B$158)</f>
        <v>24.784184755519213</v>
      </c>
      <c r="C92" s="839"/>
      <c r="D92" s="393">
        <f t="shared" si="25"/>
        <v>26.587656859072723</v>
      </c>
      <c r="E92" s="385">
        <f t="shared" si="47"/>
        <v>28.798209280186327</v>
      </c>
      <c r="F92" s="385">
        <f t="shared" si="26"/>
        <v>29.001021727032338</v>
      </c>
      <c r="G92" s="110">
        <f t="shared" si="48"/>
        <v>0.65770305814397112</v>
      </c>
      <c r="H92" s="414" t="b">
        <f>Wh_hp&gt;='2023'!Maxi_hp</f>
        <v>0</v>
      </c>
      <c r="I92" s="390">
        <f>IF(H92,Wh_hp,'2023'!Maxi_hp)</f>
        <v>41.177223902410979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6.7831178697422417E-2</v>
      </c>
      <c r="M92" s="843"/>
      <c r="N92" s="843"/>
      <c r="O92" s="48">
        <f>IF(t&lt;Tnet,'2023'!Resal+('2023'!Salim-'2023'!Resal)*(1-EXP(('2023'!Tnet-t)/('2023'!Tau_j))),Resal+(Salim-Resal)*(1-EXP((Tnet-t)/(Tau_j))))*Salcycl</f>
        <v>7.6760065169555594E-2</v>
      </c>
      <c r="P92" s="169">
        <f>(INDEX(Models!$BJ92:$BT92,,T92)*(1-R92)+INDEX(Models!$BJ92:$BT92,,T92+1)*R92-ERP_i)*Q92*Ramure*Pc/MaxiM</f>
        <v>1.3520870704083955E-2</v>
      </c>
      <c r="Q92" s="305">
        <f t="shared" si="28"/>
        <v>0.8</v>
      </c>
      <c r="R92" s="177">
        <f t="shared" si="29"/>
        <v>0.21771956230212064</v>
      </c>
      <c r="S92" s="809">
        <f t="shared" si="30"/>
        <v>1</v>
      </c>
      <c r="T92" s="176">
        <f t="shared" si="31"/>
        <v>7</v>
      </c>
      <c r="U92" s="251">
        <f t="shared" si="32"/>
        <v>1.2177195623021206</v>
      </c>
      <c r="V92" s="383">
        <f t="shared" si="33"/>
        <v>37.435228929228785</v>
      </c>
      <c r="W92" s="402">
        <f t="shared" si="34"/>
        <v>24.784184755519213</v>
      </c>
      <c r="X92" s="157">
        <f t="shared" si="35"/>
        <v>45369</v>
      </c>
      <c r="Y92" s="385">
        <f t="shared" si="36"/>
        <v>22.606816643078602</v>
      </c>
      <c r="Z92" s="385">
        <f t="shared" si="37"/>
        <v>24.251848084222221</v>
      </c>
      <c r="AA92" s="386">
        <f t="shared" si="38"/>
        <v>28.512090148207985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0.1494187918823455</v>
      </c>
      <c r="AD92" s="231">
        <f>(INDEX(Models!$BJ92:$BT92,,AH92)*(1-AF92)+INDEX(Models!$BJ92:$BT92,,AH92+1)*AF92-ERP_i)*AE92*Ramure*Pc/MaxiM</f>
        <v>3.2595537222856463E-2</v>
      </c>
      <c r="AE92" s="305">
        <f t="shared" si="40"/>
        <v>0.8</v>
      </c>
      <c r="AF92" s="177">
        <f t="shared" si="41"/>
        <v>0.41843630946702426</v>
      </c>
      <c r="AG92" s="809">
        <f t="shared" si="49"/>
        <v>2</v>
      </c>
      <c r="AH92" s="176">
        <f t="shared" si="42"/>
        <v>8</v>
      </c>
      <c r="AI92" s="225">
        <f t="shared" si="43"/>
        <v>2.4184363094670243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IF(t&gt;Tmaj,'2023'!Wh/'2023'!Env_an*'2024'!Env_an,0.001*'[5]mon-tableau'!$B$159)</f>
        <v>25.800097702700203</v>
      </c>
      <c r="C93" s="839"/>
      <c r="D93" s="393">
        <f t="shared" si="25"/>
        <v>27.678153496704301</v>
      </c>
      <c r="E93" s="385">
        <f t="shared" si="47"/>
        <v>29.984168937516927</v>
      </c>
      <c r="F93" s="385">
        <f t="shared" si="26"/>
        <v>30.204757516799077</v>
      </c>
      <c r="G93" s="110">
        <f t="shared" si="48"/>
        <v>0.67805049988648147</v>
      </c>
      <c r="H93" s="414" t="b">
        <f>Wh_hp&gt;='2023'!Maxi_hp</f>
        <v>0</v>
      </c>
      <c r="I93" s="390">
        <f>IF(H93,Wh_hp,'2023'!Maxi_hp)</f>
        <v>44.675068559280305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6.7853362914102072E-2</v>
      </c>
      <c r="M93" s="843"/>
      <c r="N93" s="843"/>
      <c r="O93" s="48">
        <f>IF(t&lt;Tnet,'2023'!Resal+('2023'!Salim-'2023'!Resal)*(1-EXP(('2023'!Tnet-t)/('2023'!Tau_j))),Resal+(Salim-Resal)*(1-EXP((Tnet-t)/(Tau_j))))*Salcycl</f>
        <v>7.6907765748587459E-2</v>
      </c>
      <c r="P93" s="169">
        <f>(INDEX(Models!$BJ93:$BT93,,T93)*(1-R93)+INDEX(Models!$BJ93:$BT93,,T93+1)*R93-ERP_i)*Q93*Ramure*Pc/MaxiM</f>
        <v>1.3374840369103769E-2</v>
      </c>
      <c r="Q93" s="305">
        <f t="shared" si="28"/>
        <v>0.8</v>
      </c>
      <c r="R93" s="177">
        <f t="shared" si="29"/>
        <v>0.21849849668126642</v>
      </c>
      <c r="S93" s="809">
        <f t="shared" si="30"/>
        <v>1</v>
      </c>
      <c r="T93" s="176">
        <f t="shared" si="31"/>
        <v>7</v>
      </c>
      <c r="U93" s="251">
        <f t="shared" si="32"/>
        <v>1.2184984966812664</v>
      </c>
      <c r="V93" s="383">
        <f t="shared" si="33"/>
        <v>37.817675730309631</v>
      </c>
      <c r="W93" s="402">
        <f t="shared" si="34"/>
        <v>25.800097702700203</v>
      </c>
      <c r="X93" s="157">
        <f t="shared" si="35"/>
        <v>45370</v>
      </c>
      <c r="Y93" s="385">
        <f t="shared" si="36"/>
        <v>23.51979467739465</v>
      </c>
      <c r="Z93" s="385">
        <f t="shared" si="37"/>
        <v>25.231861320578133</v>
      </c>
      <c r="AA93" s="386">
        <f t="shared" si="38"/>
        <v>29.666007216883525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0.14946891450163982</v>
      </c>
      <c r="AD93" s="231">
        <f>(INDEX(Models!$BJ93:$BT93,,AH93)*(1-AF93)+INDEX(Models!$BJ93:$BT93,,AH93+1)*AF93-ERP_i)*AE93*Ramure*Pc/MaxiM</f>
        <v>3.2665785706705301E-2</v>
      </c>
      <c r="AE93" s="305">
        <f t="shared" si="40"/>
        <v>0.8</v>
      </c>
      <c r="AF93" s="177">
        <f t="shared" si="41"/>
        <v>0.41921524384617026</v>
      </c>
      <c r="AG93" s="809">
        <f t="shared" si="49"/>
        <v>2</v>
      </c>
      <c r="AH93" s="176">
        <f t="shared" si="42"/>
        <v>8</v>
      </c>
      <c r="AI93" s="225">
        <f t="shared" si="43"/>
        <v>2.4192152438461703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IF(t&gt;Tmaj,'2023'!Wh/'2023'!Env_an*'2024'!Env_an,0.001*'[5]mon-tableau'!$B$160)</f>
        <v>35.738573556264143</v>
      </c>
      <c r="C94" s="839"/>
      <c r="D94" s="393">
        <f t="shared" si="25"/>
        <v>38.340989152748421</v>
      </c>
      <c r="E94" s="385">
        <f t="shared" si="47"/>
        <v>41.542038700052196</v>
      </c>
      <c r="F94" s="385">
        <f t="shared" si="26"/>
        <v>42.045707491911806</v>
      </c>
      <c r="G94" s="110">
        <f t="shared" si="48"/>
        <v>0.93430779692765686</v>
      </c>
      <c r="H94" s="414" t="b">
        <f>Wh_hp&gt;='2023'!Maxi_hp</f>
        <v>0</v>
      </c>
      <c r="I94" s="390">
        <f>IF(H94,Wh_hp,'2023'!Maxi_hp)</f>
        <v>46.027750309068139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6.787554661452247E-2</v>
      </c>
      <c r="M94" s="843"/>
      <c r="N94" s="843"/>
      <c r="O94" s="48">
        <f>IF(t&lt;Tnet,'2023'!Resal+('2023'!Salim-'2023'!Resal)*(1-EXP(('2023'!Tnet-t)/('2023'!Tau_j))),Resal+(Salim-Resal)*(1-EXP((Tnet-t)/(Tau_j))))*Salcycl</f>
        <v>7.7055668124919305E-2</v>
      </c>
      <c r="P94" s="169">
        <f>(INDEX(Models!$BJ94:$BT94,,T94)*(1-R94)+INDEX(Models!$BJ94:$BT94,,T94+1)*R94-ERP_i)*Q94*Ramure*Pc/MaxiM</f>
        <v>1.3195728986731199E-2</v>
      </c>
      <c r="Q94" s="305">
        <f t="shared" si="28"/>
        <v>0.8</v>
      </c>
      <c r="R94" s="177">
        <f t="shared" si="29"/>
        <v>0.21930789330890677</v>
      </c>
      <c r="S94" s="809">
        <f t="shared" si="30"/>
        <v>1</v>
      </c>
      <c r="T94" s="176">
        <f t="shared" si="31"/>
        <v>7</v>
      </c>
      <c r="U94" s="251">
        <f t="shared" si="32"/>
        <v>1.2193078933089068</v>
      </c>
      <c r="V94" s="383">
        <f t="shared" si="33"/>
        <v>38.204288892505936</v>
      </c>
      <c r="W94" s="402">
        <f t="shared" si="34"/>
        <v>35.738573556264143</v>
      </c>
      <c r="X94" s="157">
        <f t="shared" si="35"/>
        <v>45371</v>
      </c>
      <c r="Y94" s="385">
        <f t="shared" si="36"/>
        <v>32.343370920851896</v>
      </c>
      <c r="Z94" s="385">
        <f t="shared" si="37"/>
        <v>34.698554257836193</v>
      </c>
      <c r="AA94" s="386">
        <f t="shared" si="38"/>
        <v>40.798776493787017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0.14951973466360657</v>
      </c>
      <c r="AD94" s="231">
        <f>(INDEX(Models!$BJ94:$BT94,,AH94)*(1-AF94)+INDEX(Models!$BJ94:$BT94,,AH94+1)*AF94-ERP_i)*AE94*Ramure*Pc/MaxiM</f>
        <v>3.2668618310970031E-2</v>
      </c>
      <c r="AE94" s="305">
        <f t="shared" si="40"/>
        <v>0.8</v>
      </c>
      <c r="AF94" s="177">
        <f t="shared" si="41"/>
        <v>0.42002464047381016</v>
      </c>
      <c r="AG94" s="809">
        <f t="shared" si="49"/>
        <v>2</v>
      </c>
      <c r="AH94" s="176">
        <f t="shared" si="42"/>
        <v>8</v>
      </c>
      <c r="AI94" s="225">
        <f t="shared" si="43"/>
        <v>2.4200246404738102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IF(t&gt;Tmaj,'2023'!Wh/'2023'!Env_an*'2024'!Env_an,0.001*'[5]mon-tableau'!$B$161)</f>
        <v>34.020594072756779</v>
      </c>
      <c r="C95" s="839"/>
      <c r="D95" s="393">
        <f t="shared" si="25"/>
        <v>36.498778256820927</v>
      </c>
      <c r="E95" s="385">
        <f t="shared" si="47"/>
        <v>39.552371816723053</v>
      </c>
      <c r="F95" s="385">
        <f t="shared" si="26"/>
        <v>39.983968213897064</v>
      </c>
      <c r="G95" s="110">
        <f t="shared" si="48"/>
        <v>0.87954709464633873</v>
      </c>
      <c r="H95" s="414" t="b">
        <f>Wh_hp&gt;='2023'!Maxi_hp</f>
        <v>0</v>
      </c>
      <c r="I95" s="390">
        <f>IF(H95,Wh_hp,'2023'!Maxi_hp)</f>
        <v>44.110203483465384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6.7897729798695933E-2</v>
      </c>
      <c r="M95" s="843"/>
      <c r="N95" s="843"/>
      <c r="O95" s="48">
        <f>IF(t&lt;Tnet,'2023'!Resal+('2023'!Salim-'2023'!Resal)*(1-EXP(('2023'!Tnet-t)/('2023'!Tau_j))),Resal+(Salim-Resal)*(1-EXP((Tnet-t)/(Tau_j))))*Salcycl</f>
        <v>7.7203803960273223E-2</v>
      </c>
      <c r="P95" s="169">
        <f>(INDEX(Models!$BJ95:$BT95,,T95)*(1-R95)+INDEX(Models!$BJ95:$BT95,,T95+1)*R95-ERP_i)*Q95*Ramure*Pc/MaxiM</f>
        <v>1.2993761725285791E-2</v>
      </c>
      <c r="Q95" s="305">
        <f t="shared" si="28"/>
        <v>0.8</v>
      </c>
      <c r="R95" s="177">
        <f t="shared" si="29"/>
        <v>0.22014885038231635</v>
      </c>
      <c r="S95" s="809">
        <f t="shared" si="30"/>
        <v>1</v>
      </c>
      <c r="T95" s="176">
        <f t="shared" si="31"/>
        <v>7</v>
      </c>
      <c r="U95" s="251">
        <f t="shared" si="32"/>
        <v>1.2201488503823164</v>
      </c>
      <c r="V95" s="383">
        <f t="shared" si="33"/>
        <v>38.593667782879976</v>
      </c>
      <c r="W95" s="402">
        <f t="shared" si="34"/>
        <v>34.020594072756779</v>
      </c>
      <c r="X95" s="157">
        <f t="shared" si="35"/>
        <v>45372</v>
      </c>
      <c r="Y95" s="385">
        <f t="shared" si="36"/>
        <v>30.836098268716416</v>
      </c>
      <c r="Z95" s="385">
        <f t="shared" si="37"/>
        <v>33.082312160935743</v>
      </c>
      <c r="AA95" s="386">
        <f t="shared" si="38"/>
        <v>38.900747987397715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0.14957130974311644</v>
      </c>
      <c r="AD95" s="231">
        <f>(INDEX(Models!$BJ95:$BT95,,AH95)*(1-AF95)+INDEX(Models!$BJ95:$BT95,,AH95+1)*AF95-ERP_i)*AE95*Ramure*Pc/MaxiM</f>
        <v>3.2611730800588302E-2</v>
      </c>
      <c r="AE95" s="305">
        <f t="shared" si="40"/>
        <v>0.8</v>
      </c>
      <c r="AF95" s="177">
        <f t="shared" si="41"/>
        <v>0.42086559754721975</v>
      </c>
      <c r="AG95" s="809">
        <f t="shared" si="49"/>
        <v>2</v>
      </c>
      <c r="AH95" s="176">
        <f t="shared" si="42"/>
        <v>8</v>
      </c>
      <c r="AI95" s="225">
        <f t="shared" si="43"/>
        <v>2.4208655975472197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IF(t&gt;Tmaj,'2023'!Wh/'2023'!Env_an*'2024'!Env_an,0.001*'[5]mon-tableau'!$B$162)</f>
        <v>38.679242356501753</v>
      </c>
      <c r="C96" s="839"/>
      <c r="D96" s="393">
        <f t="shared" si="25"/>
        <v>41.497767062980138</v>
      </c>
      <c r="E96" s="385">
        <f t="shared" si="47"/>
        <v>44.976823555519879</v>
      </c>
      <c r="F96" s="385">
        <f t="shared" si="26"/>
        <v>45.552006914547697</v>
      </c>
      <c r="G96" s="110">
        <f t="shared" si="48"/>
        <v>0.9920194683885869</v>
      </c>
      <c r="H96" s="414" t="b">
        <f>Wh_hp&gt;='2023'!Maxi_hp</f>
        <v>0</v>
      </c>
      <c r="I96" s="390">
        <f>IF(H96,Wh_hp,'2023'!Maxi_hp)</f>
        <v>47.127501005079935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6.7919912466634119E-2</v>
      </c>
      <c r="M96" s="843"/>
      <c r="N96" s="843"/>
      <c r="O96" s="48">
        <f>IF(t&lt;Tnet,'2023'!Resal+('2023'!Salim-'2023'!Resal)*(1-EXP(('2023'!Tnet-t)/('2023'!Tau_j))),Resal+(Salim-Resal)*(1-EXP((Tnet-t)/(Tau_j))))*Salcycl</f>
        <v>7.7352205369620008E-2</v>
      </c>
      <c r="P96" s="169">
        <f>(INDEX(Models!$BJ96:$BT96,,T96)*(1-R96)+INDEX(Models!$BJ96:$BT96,,T96+1)*R96-ERP_i)*Q96*Ramure*Pc/MaxiM</f>
        <v>1.2769925881272884E-2</v>
      </c>
      <c r="Q96" s="305">
        <f t="shared" si="28"/>
        <v>0.8</v>
      </c>
      <c r="R96" s="177">
        <f t="shared" si="29"/>
        <v>0.2210224980250699</v>
      </c>
      <c r="S96" s="809">
        <f t="shared" si="30"/>
        <v>1</v>
      </c>
      <c r="T96" s="176">
        <f t="shared" si="31"/>
        <v>7</v>
      </c>
      <c r="U96" s="251">
        <f t="shared" si="32"/>
        <v>1.2210224980250699</v>
      </c>
      <c r="V96" s="383">
        <f t="shared" si="33"/>
        <v>38.984760935101406</v>
      </c>
      <c r="W96" s="402">
        <f t="shared" si="34"/>
        <v>38.679242356501753</v>
      </c>
      <c r="X96" s="157">
        <f t="shared" si="35"/>
        <v>45373</v>
      </c>
      <c r="Y96" s="385">
        <f t="shared" si="36"/>
        <v>34.945166393835194</v>
      </c>
      <c r="Z96" s="385">
        <f t="shared" si="37"/>
        <v>37.491592043676455</v>
      </c>
      <c r="AA96" s="386">
        <f t="shared" si="38"/>
        <v>44.088237101528726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0.14962369764663455</v>
      </c>
      <c r="AD96" s="231">
        <f>(INDEX(Models!$BJ96:$BT96,,AH96)*(1-AF96)+INDEX(Models!$BJ96:$BT96,,AH96+1)*AF96-ERP_i)*AE96*Ramure*Pc/MaxiM</f>
        <v>3.2497866508326395E-2</v>
      </c>
      <c r="AE96" s="305">
        <f t="shared" si="40"/>
        <v>0.8</v>
      </c>
      <c r="AF96" s="177">
        <f t="shared" si="41"/>
        <v>0.42173924518997374</v>
      </c>
      <c r="AG96" s="809">
        <f t="shared" si="49"/>
        <v>2</v>
      </c>
      <c r="AH96" s="176">
        <f t="shared" si="42"/>
        <v>8</v>
      </c>
      <c r="AI96" s="225">
        <f t="shared" si="43"/>
        <v>2.4217392451899737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IF(t&gt;Tmaj,'2023'!Wh/'2023'!Env_an*'2024'!Env_an,0.001*'[5]mon-tableau'!$B$163)</f>
        <v>37.70070250301842</v>
      </c>
      <c r="C97" s="839"/>
      <c r="D97" s="393">
        <f t="shared" si="25"/>
        <v>40.448884436617782</v>
      </c>
      <c r="E97" s="385">
        <f t="shared" si="47"/>
        <v>43.847072206844707</v>
      </c>
      <c r="F97" s="385">
        <f t="shared" si="26"/>
        <v>44.369012659370654</v>
      </c>
      <c r="G97" s="110">
        <f t="shared" si="48"/>
        <v>0.95670346308816012</v>
      </c>
      <c r="H97" s="414" t="b">
        <f>Wh_hp&gt;='2023'!Maxi_hp</f>
        <v>0</v>
      </c>
      <c r="I97" s="390">
        <f>IF(H97,Wh_hp,'2023'!Maxi_hp)</f>
        <v>46.384617938296579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6.7942094618349352E-2</v>
      </c>
      <c r="M97" s="843"/>
      <c r="N97" s="843"/>
      <c r="O97" s="48">
        <f>IF(t&lt;Tnet,'2023'!Resal+('2023'!Salim-'2023'!Resal)*(1-EXP(('2023'!Tnet-t)/('2023'!Tau_j))),Resal+(Salim-Resal)*(1-EXP((Tnet-t)/(Tau_j))))*Salcycl</f>
        <v>7.7500904831143025E-2</v>
      </c>
      <c r="P97" s="169">
        <f>(INDEX(Models!$BJ97:$BT97,,T97)*(1-R97)+INDEX(Models!$BJ97:$BT97,,T97+1)*R97-ERP_i)*Q97*Ramure*Pc/MaxiM</f>
        <v>1.2525131403954812E-2</v>
      </c>
      <c r="Q97" s="305">
        <f t="shared" si="28"/>
        <v>0.8</v>
      </c>
      <c r="R97" s="177">
        <f t="shared" si="29"/>
        <v>0.22192999856814177</v>
      </c>
      <c r="S97" s="809">
        <f t="shared" si="30"/>
        <v>1</v>
      </c>
      <c r="T97" s="176">
        <f t="shared" si="31"/>
        <v>7</v>
      </c>
      <c r="U97" s="251">
        <f t="shared" si="32"/>
        <v>1.2219299985681418</v>
      </c>
      <c r="V97" s="383">
        <f t="shared" si="33"/>
        <v>39.376518332471584</v>
      </c>
      <c r="W97" s="402">
        <f t="shared" si="34"/>
        <v>37.70070250301842</v>
      </c>
      <c r="X97" s="157">
        <f t="shared" si="35"/>
        <v>45374</v>
      </c>
      <c r="Y97" s="385">
        <f t="shared" si="36"/>
        <v>34.096932975499378</v>
      </c>
      <c r="Z97" s="385">
        <f t="shared" si="37"/>
        <v>36.582419159395116</v>
      </c>
      <c r="AA97" s="386">
        <f t="shared" si="38"/>
        <v>43.021789712606939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0.14967695663588013</v>
      </c>
      <c r="AD97" s="231">
        <f>(INDEX(Models!$BJ97:$BT97,,AH97)*(1-AF97)+INDEX(Models!$BJ97:$BT97,,AH97+1)*AF97-ERP_i)*AE97*Ramure*Pc/MaxiM</f>
        <v>3.2329635223665457E-2</v>
      </c>
      <c r="AE97" s="305">
        <f t="shared" si="40"/>
        <v>0.8</v>
      </c>
      <c r="AF97" s="177">
        <f t="shared" si="41"/>
        <v>0.42264674573304539</v>
      </c>
      <c r="AG97" s="809">
        <f t="shared" si="49"/>
        <v>2</v>
      </c>
      <c r="AH97" s="176">
        <f t="shared" si="42"/>
        <v>8</v>
      </c>
      <c r="AI97" s="225">
        <f t="shared" si="43"/>
        <v>2.4226467457330454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IF(t&gt;Tmaj,'2023'!Wh/'2023'!Env_an*'2024'!Env_an,0.001*'[5]mon-tableau'!$B$164)</f>
        <v>35.956933970697108</v>
      </c>
      <c r="C98" s="839"/>
      <c r="D98" s="393">
        <f t="shared" si="25"/>
        <v>38.578922518307351</v>
      </c>
      <c r="E98" s="385">
        <f t="shared" si="47"/>
        <v>41.826768367365332</v>
      </c>
      <c r="F98" s="385">
        <f t="shared" si="26"/>
        <v>42.274103827999944</v>
      </c>
      <c r="G98" s="110">
        <f t="shared" si="48"/>
        <v>0.90263617831620191</v>
      </c>
      <c r="H98" s="414" t="b">
        <f>Wh_hp&gt;='2023'!Maxi_hp</f>
        <v>0</v>
      </c>
      <c r="I98" s="390">
        <f>IF(H98,Wh_hp,'2023'!Maxi_hp)</f>
        <v>42.344777516113844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6.7964276253853401E-2</v>
      </c>
      <c r="M98" s="843"/>
      <c r="N98" s="843"/>
      <c r="O98" s="48">
        <f>IF(t&lt;Tnet,'2023'!Resal+('2023'!Salim-'2023'!Resal)*(1-EXP(('2023'!Tnet-t)/('2023'!Tau_j))),Resal+(Salim-Resal)*(1-EXP((Tnet-t)/(Tau_j))))*Salcycl</f>
        <v>7.7649935097354059E-2</v>
      </c>
      <c r="P98" s="169">
        <f>(INDEX(Models!$BJ98:$BT98,,T98)*(1-R98)+INDEX(Models!$BJ98:$BT98,,T98+1)*R98-ERP_i)*Q98*Ramure*Pc/MaxiM</f>
        <v>1.2260207164154456E-2</v>
      </c>
      <c r="Q98" s="305">
        <f t="shared" si="28"/>
        <v>0.8</v>
      </c>
      <c r="R98" s="177">
        <f t="shared" si="29"/>
        <v>0.22287254677043844</v>
      </c>
      <c r="S98" s="809">
        <f t="shared" si="30"/>
        <v>1</v>
      </c>
      <c r="T98" s="176">
        <f t="shared" si="31"/>
        <v>7</v>
      </c>
      <c r="U98" s="251">
        <f t="shared" si="32"/>
        <v>1.2228725467704384</v>
      </c>
      <c r="V98" s="383">
        <f t="shared" si="33"/>
        <v>39.767891486016346</v>
      </c>
      <c r="W98" s="402">
        <f t="shared" si="34"/>
        <v>35.956933970697108</v>
      </c>
      <c r="X98" s="157">
        <f t="shared" si="35"/>
        <v>45375</v>
      </c>
      <c r="Y98" s="385">
        <f t="shared" si="36"/>
        <v>32.572973158172033</v>
      </c>
      <c r="Z98" s="385">
        <f t="shared" si="37"/>
        <v>34.948202443626244</v>
      </c>
      <c r="AA98" s="386">
        <f t="shared" si="38"/>
        <v>41.102531563398749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0.14973114515537173</v>
      </c>
      <c r="AD98" s="231">
        <f>(INDEX(Models!$BJ98:$BT98,,AH98)*(1-AF98)+INDEX(Models!$BJ98:$BT98,,AH98+1)*AF98-ERP_i)*AE98*Ramure*Pc/MaxiM</f>
        <v>3.2109501561559929E-2</v>
      </c>
      <c r="AE98" s="305">
        <f t="shared" si="40"/>
        <v>0.8</v>
      </c>
      <c r="AF98" s="177">
        <f t="shared" si="41"/>
        <v>0.42358929393534206</v>
      </c>
      <c r="AG98" s="809">
        <f t="shared" si="49"/>
        <v>2</v>
      </c>
      <c r="AH98" s="176">
        <f t="shared" si="42"/>
        <v>8</v>
      </c>
      <c r="AI98" s="225">
        <f t="shared" si="43"/>
        <v>2.4235892939353421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IF(t&gt;Tmaj,'2023'!Wh/'2023'!Env_an*'2024'!Env_an,0.001*'[5]mon-tableau'!$B$165)</f>
        <v>38.166231234335925</v>
      </c>
      <c r="C99" s="839"/>
      <c r="D99" s="393">
        <f t="shared" si="25"/>
        <v>40.950296845221779</v>
      </c>
      <c r="E99" s="385">
        <f t="shared" si="47"/>
        <v>44.404974034125551</v>
      </c>
      <c r="F99" s="385">
        <f t="shared" si="26"/>
        <v>44.904646734568558</v>
      </c>
      <c r="G99" s="110">
        <f t="shared" si="48"/>
        <v>0.94959015859884399</v>
      </c>
      <c r="H99" s="414" t="b">
        <f>Wh_hp&gt;='2023'!Maxi_hp</f>
        <v>0</v>
      </c>
      <c r="I99" s="390">
        <f>IF(H99,Wh_hp,'2023'!Maxi_hp)</f>
        <v>48.874468185394626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6.7986457373158476E-2</v>
      </c>
      <c r="M99" s="843"/>
      <c r="N99" s="843"/>
      <c r="O99" s="48">
        <f>IF(t&lt;Tnet,'2023'!Resal+('2023'!Salim-'2023'!Resal)*(1-EXP(('2023'!Tnet-t)/('2023'!Tau_j))),Resal+(Salim-Resal)*(1-EXP((Tnet-t)/(Tau_j))))*Salcycl</f>
        <v>7.7799329107789333E-2</v>
      </c>
      <c r="P99" s="169">
        <f>(INDEX(Models!$BJ99:$BT99,,T99)*(1-R99)+INDEX(Models!$BJ99:$BT99,,T99+1)*R99-ERP_i)*Q99*Ramure*Pc/MaxiM</f>
        <v>1.1975897865039876E-2</v>
      </c>
      <c r="Q99" s="305">
        <f t="shared" si="28"/>
        <v>0.8</v>
      </c>
      <c r="R99" s="177">
        <f t="shared" si="29"/>
        <v>0.22385136997212274</v>
      </c>
      <c r="S99" s="809">
        <f t="shared" si="30"/>
        <v>1</v>
      </c>
      <c r="T99" s="176">
        <f t="shared" si="31"/>
        <v>7</v>
      </c>
      <c r="U99" s="251">
        <f t="shared" si="32"/>
        <v>1.2238513699721227</v>
      </c>
      <c r="V99" s="383">
        <f t="shared" si="33"/>
        <v>40.157833513485166</v>
      </c>
      <c r="W99" s="402">
        <f t="shared" si="34"/>
        <v>38.166231234335925</v>
      </c>
      <c r="X99" s="157">
        <f t="shared" si="35"/>
        <v>45376</v>
      </c>
      <c r="Y99" s="385">
        <f t="shared" si="36"/>
        <v>34.530237293570586</v>
      </c>
      <c r="Z99" s="385">
        <f t="shared" si="37"/>
        <v>37.049072480479779</v>
      </c>
      <c r="AA99" s="386">
        <f t="shared" si="38"/>
        <v>43.576189638607062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0.14978632166462921</v>
      </c>
      <c r="AD99" s="231">
        <f>(INDEX(Models!$BJ99:$BT99,,AH99)*(1-AF99)+INDEX(Models!$BJ99:$BT99,,AH99+1)*AF99-ERP_i)*AE99*Ramure*Pc/MaxiM</f>
        <v>3.183977528733771E-2</v>
      </c>
      <c r="AE99" s="305">
        <f t="shared" si="40"/>
        <v>0.8</v>
      </c>
      <c r="AF99" s="177">
        <f t="shared" si="41"/>
        <v>0.42456811713702614</v>
      </c>
      <c r="AG99" s="809">
        <f t="shared" si="49"/>
        <v>2</v>
      </c>
      <c r="AH99" s="176">
        <f t="shared" si="42"/>
        <v>8</v>
      </c>
      <c r="AI99" s="225">
        <f t="shared" si="43"/>
        <v>2.4245681171370261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IF(t&gt;Tmaj,'2023'!Wh/'2023'!Env_an*'2024'!Env_an,0.001*'[5]mon-tableau'!$B$166)</f>
        <v>36.834467551567073</v>
      </c>
      <c r="C100" s="839"/>
      <c r="D100" s="393">
        <f t="shared" si="25"/>
        <v>39.522327193660686</v>
      </c>
      <c r="E100" s="385">
        <f t="shared" si="47"/>
        <v>42.863499235021244</v>
      </c>
      <c r="F100" s="385">
        <f t="shared" si="26"/>
        <v>43.302891885340131</v>
      </c>
      <c r="G100" s="110">
        <f t="shared" si="48"/>
        <v>0.90707643716200814</v>
      </c>
      <c r="H100" s="414" t="b">
        <f>Wh_hp&gt;='2023'!Maxi_hp</f>
        <v>0</v>
      </c>
      <c r="I100" s="390">
        <f>IF(H100,Wh_hp,'2023'!Maxi_hp)</f>
        <v>48.250977884589958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6.8008637976276459E-2</v>
      </c>
      <c r="M100" s="843"/>
      <c r="N100" s="843"/>
      <c r="O100" s="48">
        <f>IF(t&lt;Tnet,'2023'!Resal+('2023'!Salim-'2023'!Resal)*(1-EXP(('2023'!Tnet-t)/('2023'!Tau_j))),Resal+(Salim-Resal)*(1-EXP((Tnet-t)/(Tau_j))))*Salcycl</f>
        <v>7.7949119903647016E-2</v>
      </c>
      <c r="P100" s="169">
        <f>(INDEX(Models!$BJ100:$BT100,,T100)*(1-R100)+INDEX(Models!$BJ100:$BT100,,T100+1)*R100-ERP_i)*Q100*Ramure*Pc/MaxiM</f>
        <v>1.1673191733661171E-2</v>
      </c>
      <c r="Q100" s="305">
        <f t="shared" si="28"/>
        <v>0.8</v>
      </c>
      <c r="R100" s="177">
        <f t="shared" si="29"/>
        <v>0.22486772817368017</v>
      </c>
      <c r="S100" s="809">
        <f t="shared" si="30"/>
        <v>1</v>
      </c>
      <c r="T100" s="176">
        <f t="shared" si="31"/>
        <v>7</v>
      </c>
      <c r="U100" s="251">
        <f t="shared" si="32"/>
        <v>1.2248677281736802</v>
      </c>
      <c r="V100" s="383">
        <f t="shared" si="33"/>
        <v>40.545285678322294</v>
      </c>
      <c r="W100" s="402">
        <f t="shared" si="34"/>
        <v>36.834467551567073</v>
      </c>
      <c r="X100" s="157">
        <f t="shared" si="35"/>
        <v>45377</v>
      </c>
      <c r="Y100" s="385">
        <f t="shared" si="36"/>
        <v>33.370951937962623</v>
      </c>
      <c r="Z100" s="385">
        <f t="shared" si="37"/>
        <v>35.806074281097438</v>
      </c>
      <c r="AA100" s="386">
        <f t="shared" si="38"/>
        <v>42.116991444854222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0.14984254447566528</v>
      </c>
      <c r="AD100" s="231">
        <f>(INDEX(Models!$BJ100:$BT100,,AH100)*(1-AF100)+INDEX(Models!$BJ100:$BT100,,AH100+1)*AF100-ERP_i)*AE100*Ramure*Pc/MaxiM</f>
        <v>3.1505404582390387E-2</v>
      </c>
      <c r="AE100" s="305">
        <f t="shared" si="40"/>
        <v>0.8</v>
      </c>
      <c r="AF100" s="177">
        <f t="shared" si="41"/>
        <v>0.42558447533858379</v>
      </c>
      <c r="AG100" s="809">
        <f t="shared" si="49"/>
        <v>2</v>
      </c>
      <c r="AH100" s="176">
        <f t="shared" si="42"/>
        <v>8</v>
      </c>
      <c r="AI100" s="225">
        <f t="shared" si="43"/>
        <v>2.4255844753385838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IF(t&gt;Tmaj,'2023'!Wh/'2023'!Env_an*'2024'!Env_an,0.001*'[5]mon-tableau'!$B$167)</f>
        <v>27.931469940176282</v>
      </c>
      <c r="C101" s="839"/>
      <c r="D101" s="393">
        <f t="shared" si="25"/>
        <v>29.97037936611834</v>
      </c>
      <c r="E101" s="385">
        <f t="shared" si="47"/>
        <v>32.509337159846297</v>
      </c>
      <c r="F101" s="385">
        <f t="shared" si="26"/>
        <v>32.712545082357821</v>
      </c>
      <c r="G101" s="110">
        <f t="shared" si="48"/>
        <v>0.67890360359947843</v>
      </c>
      <c r="H101" s="414" t="b">
        <f>Wh_hp&gt;='2023'!Maxi_hp</f>
        <v>0</v>
      </c>
      <c r="I101" s="390">
        <f>IF(H101,Wh_hp,'2023'!Maxi_hp)</f>
        <v>47.544172268799947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6.8030818063219339E-2</v>
      </c>
      <c r="M101" s="843"/>
      <c r="N101" s="843"/>
      <c r="O101" s="48">
        <f>IF(t&lt;Tnet,'2023'!Resal+('2023'!Salim-'2023'!Resal)*(1-EXP(('2023'!Tnet-t)/('2023'!Tau_j))),Resal+(Salim-Resal)*(1-EXP((Tnet-t)/(Tau_j))))*Salcycl</f>
        <v>7.8099340544658405E-2</v>
      </c>
      <c r="P101" s="169">
        <f>(INDEX(Models!$BJ101:$BT101,,T101)*(1-R101)+INDEX(Models!$BJ101:$BT101,,T101+1)*R101-ERP_i)*Q101*Ramure*Pc/MaxiM</f>
        <v>1.1369848153892692E-2</v>
      </c>
      <c r="Q101" s="305">
        <f t="shared" si="28"/>
        <v>0.8</v>
      </c>
      <c r="R101" s="177">
        <f t="shared" si="29"/>
        <v>0.22592291403327724</v>
      </c>
      <c r="S101" s="809">
        <f t="shared" si="30"/>
        <v>1</v>
      </c>
      <c r="T101" s="176">
        <f t="shared" si="31"/>
        <v>7</v>
      </c>
      <c r="U101" s="251">
        <f t="shared" si="32"/>
        <v>1.2259229140332772</v>
      </c>
      <c r="V101" s="383">
        <f t="shared" si="33"/>
        <v>40.928492529064648</v>
      </c>
      <c r="W101" s="402">
        <f t="shared" si="34"/>
        <v>27.931469940176282</v>
      </c>
      <c r="X101" s="157">
        <f t="shared" si="35"/>
        <v>45378</v>
      </c>
      <c r="Y101" s="385">
        <f t="shared" si="36"/>
        <v>25.476173925197141</v>
      </c>
      <c r="Z101" s="385">
        <f t="shared" si="37"/>
        <v>27.33585446704749</v>
      </c>
      <c r="AA101" s="386">
        <f t="shared" si="38"/>
        <v>32.156040863535551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0.14989987159625973</v>
      </c>
      <c r="AD101" s="231">
        <f>(INDEX(Models!$BJ101:$BT101,,AH101)*(1-AF101)+INDEX(Models!$BJ101:$BT101,,AH101+1)*AF101-ERP_i)*AE101*Ramure*Pc/MaxiM</f>
        <v>3.1137410327350904E-2</v>
      </c>
      <c r="AE101" s="305">
        <f t="shared" si="40"/>
        <v>0.8</v>
      </c>
      <c r="AF101" s="177">
        <f t="shared" si="41"/>
        <v>0.42663966119818086</v>
      </c>
      <c r="AG101" s="809">
        <f t="shared" si="49"/>
        <v>2</v>
      </c>
      <c r="AH101" s="176">
        <f t="shared" si="42"/>
        <v>8</v>
      </c>
      <c r="AI101" s="225">
        <f t="shared" si="43"/>
        <v>2.4266396611981809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IF(t&gt;Tmaj,'2023'!Wh/'2023'!Env_an*'2024'!Env_an,0.001*'[5]mon-tableau'!$B$168)</f>
        <v>23.991152099266202</v>
      </c>
      <c r="C102" s="839"/>
      <c r="D102" s="393">
        <f t="shared" si="25"/>
        <v>25.743043368730351</v>
      </c>
      <c r="E102" s="385">
        <f t="shared" si="47"/>
        <v>27.928444849261261</v>
      </c>
      <c r="F102" s="385">
        <f t="shared" si="26"/>
        <v>28.052976748872066</v>
      </c>
      <c r="G102" s="110">
        <f t="shared" si="48"/>
        <v>0.57694336789721479</v>
      </c>
      <c r="H102" s="414" t="b">
        <f>Wh_hp&gt;='2023'!Maxi_hp</f>
        <v>0</v>
      </c>
      <c r="I102" s="390">
        <f>IF(H102,Wh_hp,'2023'!Maxi_hp)</f>
        <v>49.462573168637149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6.8052997633999329E-2</v>
      </c>
      <c r="M102" s="843"/>
      <c r="N102" s="843"/>
      <c r="O102" s="48">
        <f>IF(t&lt;Tnet,'2023'!Resal+('2023'!Salim-'2023'!Resal)*(1-EXP(('2023'!Tnet-t)/('2023'!Tau_j))),Resal+(Salim-Resal)*(1-EXP((Tnet-t)/(Tau_j))))*Salcycl</f>
        <v>7.8250024028413329E-2</v>
      </c>
      <c r="P102" s="169">
        <f>(INDEX(Models!$BJ102:$BT102,,T102)*(1-R102)+INDEX(Models!$BJ102:$BT102,,T102+1)*R102-ERP_i)*Q102*Ramure*Pc/MaxiM</f>
        <v>1.1065932922985603E-2</v>
      </c>
      <c r="Q102" s="305">
        <f t="shared" si="28"/>
        <v>0.8</v>
      </c>
      <c r="R102" s="177">
        <f t="shared" si="29"/>
        <v>0.22701825277454102</v>
      </c>
      <c r="S102" s="809">
        <f t="shared" si="30"/>
        <v>1</v>
      </c>
      <c r="T102" s="176">
        <f t="shared" si="31"/>
        <v>7</v>
      </c>
      <c r="U102" s="251">
        <f t="shared" si="32"/>
        <v>1.227018252774541</v>
      </c>
      <c r="V102" s="383">
        <f t="shared" si="33"/>
        <v>41.306410329472818</v>
      </c>
      <c r="W102" s="402">
        <f t="shared" si="34"/>
        <v>23.991152099266202</v>
      </c>
      <c r="X102" s="157">
        <f t="shared" si="35"/>
        <v>45379</v>
      </c>
      <c r="Y102" s="385">
        <f t="shared" si="36"/>
        <v>21.949368582442787</v>
      </c>
      <c r="Z102" s="385">
        <f t="shared" si="37"/>
        <v>23.552163939278039</v>
      </c>
      <c r="AA102" s="386">
        <f t="shared" si="38"/>
        <v>27.707070862235167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0.14995836057936685</v>
      </c>
      <c r="AD102" s="231">
        <f>(INDEX(Models!$BJ102:$BT102,,AH102)*(1-AF102)+INDEX(Models!$BJ102:$BT102,,AH102+1)*AF102-ERP_i)*AE102*Ramure*Pc/MaxiM</f>
        <v>3.073727575948508E-2</v>
      </c>
      <c r="AE102" s="305">
        <f t="shared" si="40"/>
        <v>0.8</v>
      </c>
      <c r="AF102" s="177">
        <f t="shared" si="41"/>
        <v>0.42773499993944464</v>
      </c>
      <c r="AG102" s="809">
        <f t="shared" si="49"/>
        <v>2</v>
      </c>
      <c r="AH102" s="176">
        <f t="shared" si="42"/>
        <v>8</v>
      </c>
      <c r="AI102" s="225">
        <f t="shared" si="43"/>
        <v>2.4277349999394446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IF(t&gt;Tmaj,'2023'!Wh/'2023'!Env_an*'2024'!Env_an,0.001*'[5]mon-tableau'!$B$169)</f>
        <v>7.4024454843524525</v>
      </c>
      <c r="C103" s="839"/>
      <c r="D103" s="393">
        <f t="shared" si="25"/>
        <v>7.9431787835092038</v>
      </c>
      <c r="E103" s="385">
        <f t="shared" si="47"/>
        <v>8.6189118423283855</v>
      </c>
      <c r="F103" s="385">
        <f t="shared" si="26"/>
        <v>8.6189118423283855</v>
      </c>
      <c r="G103" s="110">
        <f t="shared" si="48"/>
        <v>0.17569904771296094</v>
      </c>
      <c r="H103" s="414" t="b">
        <f>Wh_hp&gt;='2023'!Maxi_hp</f>
        <v>0</v>
      </c>
      <c r="I103" s="390">
        <f>IF(H103,Wh_hp,'2023'!Maxi_hp)</f>
        <v>48.853038467776038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6.8075176688628197E-2</v>
      </c>
      <c r="M103" s="843"/>
      <c r="N103" s="843"/>
      <c r="O103" s="48">
        <f>IF(t&lt;Tnet,'2023'!Resal+('2023'!Salim-'2023'!Resal)*(1-EXP(('2023'!Tnet-t)/('2023'!Tau_j))),Resal+(Salim-Resal)*(1-EXP((Tnet-t)/(Tau_j))))*Salcycl</f>
        <v>7.8401203212287773E-2</v>
      </c>
      <c r="P103" s="169">
        <f>(INDEX(Models!$BJ103:$BT103,,T103)*(1-R103)+INDEX(Models!$BJ103:$BT103,,T103+1)*R103-ERP_i)*Q103*Ramure*Pc/MaxiM</f>
        <v>1.0761460773192679E-2</v>
      </c>
      <c r="Q103" s="305">
        <f t="shared" si="28"/>
        <v>0.8</v>
      </c>
      <c r="R103" s="177">
        <f t="shared" si="29"/>
        <v>0.22815510199648292</v>
      </c>
      <c r="S103" s="809">
        <f t="shared" si="30"/>
        <v>1</v>
      </c>
      <c r="T103" s="176">
        <f t="shared" si="31"/>
        <v>7</v>
      </c>
      <c r="U103" s="251">
        <f t="shared" si="32"/>
        <v>1.2281551019964829</v>
      </c>
      <c r="V103" s="383">
        <f t="shared" si="33"/>
        <v>41.677996852948844</v>
      </c>
      <c r="W103" s="402">
        <f t="shared" si="34"/>
        <v>7.4024454843524525</v>
      </c>
      <c r="X103" s="157">
        <f t="shared" si="35"/>
        <v>45380</v>
      </c>
      <c r="Y103" s="385">
        <f t="shared" si="36"/>
        <v>6.8272060829951275</v>
      </c>
      <c r="Z103" s="385">
        <f t="shared" si="37"/>
        <v>7.3259193362145725</v>
      </c>
      <c r="AA103" s="386">
        <f t="shared" si="38"/>
        <v>8.6189118423283855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0.15001806837886308</v>
      </c>
      <c r="AD103" s="231">
        <f>(INDEX(Models!$BJ103:$BT103,,AH103)*(1-AF103)+INDEX(Models!$BJ103:$BT103,,AH103+1)*AF103-ERP_i)*AE103*Ramure*Pc/MaxiM</f>
        <v>3.0306330095668532E-2</v>
      </c>
      <c r="AE103" s="305">
        <f t="shared" si="40"/>
        <v>0.8</v>
      </c>
      <c r="AF103" s="177">
        <f t="shared" si="41"/>
        <v>0.42887184916138654</v>
      </c>
      <c r="AG103" s="809">
        <f t="shared" si="49"/>
        <v>2</v>
      </c>
      <c r="AH103" s="176">
        <f t="shared" si="42"/>
        <v>8</v>
      </c>
      <c r="AI103" s="225">
        <f t="shared" si="43"/>
        <v>2.4288718491613865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IF(t&gt;Tmaj,'2023'!Wh/'2023'!Env_an*'2024'!Env_an,0.001*'[5]mon-tableau'!$B$170)</f>
        <v>26.831894543137278</v>
      </c>
      <c r="C104" s="839"/>
      <c r="D104" s="393">
        <f t="shared" si="25"/>
        <v>28.792594047929327</v>
      </c>
      <c r="E104" s="385">
        <f t="shared" si="47"/>
        <v>31.247148516135937</v>
      </c>
      <c r="F104" s="385">
        <f t="shared" si="26"/>
        <v>31.405814791762793</v>
      </c>
      <c r="G104" s="110">
        <f t="shared" si="48"/>
        <v>0.63474661845777447</v>
      </c>
      <c r="H104" s="414" t="b">
        <f>Wh_hp&gt;='2023'!Maxi_hp</f>
        <v>0</v>
      </c>
      <c r="I104" s="390">
        <f>IF(H104,Wh_hp,'2023'!Maxi_hp)</f>
        <v>44.47420567428135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6.8097355227118156E-2</v>
      </c>
      <c r="M104" s="843"/>
      <c r="N104" s="843"/>
      <c r="O104" s="48">
        <f>IF(t&lt;Tnet,'2023'!Resal+('2023'!Salim-'2023'!Resal)*(1-EXP(('2023'!Tnet-t)/('2023'!Tau_j))),Resal+(Salim-Resal)*(1-EXP((Tnet-t)/(Tau_j))))*Salcycl</f>
        <v>7.8552910738049722E-2</v>
      </c>
      <c r="P104" s="169">
        <f>(INDEX(Models!$BJ104:$BT104,,T104)*(1-R104)+INDEX(Models!$BJ104:$BT104,,T104+1)*R104-ERP_i)*Q104*Ramure*Pc/MaxiM</f>
        <v>1.0456396456528624E-2</v>
      </c>
      <c r="Q104" s="305">
        <f t="shared" si="28"/>
        <v>0.8</v>
      </c>
      <c r="R104" s="177">
        <f t="shared" si="29"/>
        <v>0.22933485137688003</v>
      </c>
      <c r="S104" s="809">
        <f t="shared" si="30"/>
        <v>1</v>
      </c>
      <c r="T104" s="176">
        <f t="shared" si="31"/>
        <v>7</v>
      </c>
      <c r="U104" s="251">
        <f t="shared" si="32"/>
        <v>1.22933485137688</v>
      </c>
      <c r="V104" s="383">
        <f t="shared" si="33"/>
        <v>42.042211428828423</v>
      </c>
      <c r="W104" s="402">
        <f t="shared" si="34"/>
        <v>26.831894543137278</v>
      </c>
      <c r="X104" s="157">
        <f t="shared" si="35"/>
        <v>45381</v>
      </c>
      <c r="Y104" s="385">
        <f t="shared" si="36"/>
        <v>24.516071721218658</v>
      </c>
      <c r="Z104" s="385">
        <f t="shared" si="37"/>
        <v>26.307546028258756</v>
      </c>
      <c r="AA104" s="386">
        <f t="shared" si="38"/>
        <v>30.952932817769167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0.15007905121170398</v>
      </c>
      <c r="AD104" s="231">
        <f>(INDEX(Models!$BJ104:$BT104,,AH104)*(1-AF104)+INDEX(Models!$BJ104:$BT104,,AH104+1)*AF104-ERP_i)*AE104*Ramure*Pc/MaxiM</f>
        <v>2.9845746674166514E-2</v>
      </c>
      <c r="AE104" s="305">
        <f t="shared" si="40"/>
        <v>0.8</v>
      </c>
      <c r="AF104" s="177">
        <f t="shared" si="41"/>
        <v>0.43005159854178387</v>
      </c>
      <c r="AG104" s="809">
        <f t="shared" si="49"/>
        <v>2</v>
      </c>
      <c r="AH104" s="176">
        <f t="shared" si="42"/>
        <v>8</v>
      </c>
      <c r="AI104" s="225">
        <f t="shared" si="43"/>
        <v>2.4300515985417839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IF(t&gt;Tmaj,'2023'!Wh/'2023'!Env_an*'2024'!Env_an,0.001*'[6]mon-tableau'!$B$136)</f>
        <v>28.810859482090837</v>
      </c>
      <c r="C105" s="839"/>
      <c r="D105" s="393">
        <f t="shared" si="25"/>
        <v>30.916904592447064</v>
      </c>
      <c r="E105" s="385">
        <f t="shared" si="47"/>
        <v>33.5581009318147</v>
      </c>
      <c r="F105" s="385">
        <f t="shared" si="26"/>
        <v>33.743812945728926</v>
      </c>
      <c r="G105" s="110">
        <f t="shared" si="48"/>
        <v>0.67635790275123309</v>
      </c>
      <c r="H105" s="414" t="b">
        <f>Wh_hp&gt;='2023'!Maxi_hp</f>
        <v>0</v>
      </c>
      <c r="I105" s="390">
        <f>IF(H105,Wh_hp,'2023'!Maxi_hp)</f>
        <v>45.531723733193161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6.8119533249480974E-2</v>
      </c>
      <c r="M105" s="843"/>
      <c r="N105" s="843"/>
      <c r="O105" s="48">
        <f>IF(t&lt;Tnet,'2023'!Resal+('2023'!Salim-'2023'!Resal)*(1-EXP(('2023'!Tnet-t)/('2023'!Tau_j))),Resal+(Salim-Resal)*(1-EXP((Tnet-t)/(Tau_j))))*Salcycl</f>
        <v>7.8705178959148137E-2</v>
      </c>
      <c r="P105" s="169">
        <f>(INDEX(Models!$BJ105:$BT105,,T105)*(1-R105)+INDEX(Models!$BJ105:$BT105,,T105+1)*R105-ERP_i)*Q105*Ramure*Pc/MaxiM</f>
        <v>1.0150655635978461E-2</v>
      </c>
      <c r="Q105" s="305">
        <f t="shared" si="28"/>
        <v>0.8</v>
      </c>
      <c r="R105" s="177">
        <f t="shared" si="29"/>
        <v>0.23055892226002239</v>
      </c>
      <c r="S105" s="809">
        <f t="shared" si="30"/>
        <v>1</v>
      </c>
      <c r="T105" s="176">
        <f t="shared" si="31"/>
        <v>7</v>
      </c>
      <c r="U105" s="251">
        <f t="shared" si="32"/>
        <v>1.2305589222600224</v>
      </c>
      <c r="V105" s="383">
        <f t="shared" si="33"/>
        <v>42.398015009266693</v>
      </c>
      <c r="W105" s="402">
        <f t="shared" si="34"/>
        <v>28.810859482090837</v>
      </c>
      <c r="X105" s="157">
        <f t="shared" si="35"/>
        <v>45382</v>
      </c>
      <c r="Y105" s="385">
        <f t="shared" si="36"/>
        <v>26.298613875137594</v>
      </c>
      <c r="Z105" s="385">
        <f t="shared" si="37"/>
        <v>28.221016335755216</v>
      </c>
      <c r="AA105" s="386">
        <f t="shared" si="38"/>
        <v>33.206718334642289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0.15014136442642192</v>
      </c>
      <c r="AD105" s="231">
        <f>(INDEX(Models!$BJ105:$BT105,,AH105)*(1-AF105)+INDEX(Models!$BJ105:$BT105,,AH105+1)*AF105-ERP_i)*AE105*Ramure*Pc/MaxiM</f>
        <v>2.9356541486854276E-2</v>
      </c>
      <c r="AE105" s="305">
        <f t="shared" si="40"/>
        <v>0.8</v>
      </c>
      <c r="AF105" s="177">
        <f t="shared" si="41"/>
        <v>0.43127566942492601</v>
      </c>
      <c r="AG105" s="809">
        <f t="shared" si="49"/>
        <v>2</v>
      </c>
      <c r="AH105" s="176">
        <f t="shared" si="42"/>
        <v>8</v>
      </c>
      <c r="AI105" s="225">
        <f t="shared" si="43"/>
        <v>2.431275669424926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IF(t&gt;Tmaj,'2023'!Wh/'2023'!Env_an*'2024'!Env_an,0.001*'[6]mon-tableau'!$B$137)</f>
        <v>19.294082595606337</v>
      </c>
      <c r="C106" s="839"/>
      <c r="D106" s="393">
        <f t="shared" si="25"/>
        <v>20.704953551739791</v>
      </c>
      <c r="E106" s="385">
        <f t="shared" si="47"/>
        <v>22.477483871032966</v>
      </c>
      <c r="F106" s="385">
        <f t="shared" si="26"/>
        <v>22.525438288042608</v>
      </c>
      <c r="G106" s="110">
        <f t="shared" si="48"/>
        <v>0.4478930702357477</v>
      </c>
      <c r="H106" s="414" t="b">
        <f>Wh_hp&gt;='2023'!Maxi_hp</f>
        <v>0</v>
      </c>
      <c r="I106" s="390">
        <f>IF(H106,Wh_hp,'2023'!Maxi_hp)</f>
        <v>41.845132643511377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6.8141710755728974E-2</v>
      </c>
      <c r="M106" s="843"/>
      <c r="N106" s="843"/>
      <c r="O106" s="48">
        <f>IF(t&lt;Tnet,'2023'!Resal+('2023'!Salim-'2023'!Resal)*(1-EXP(('2023'!Tnet-t)/('2023'!Tau_j))),Resal+(Salim-Resal)*(1-EXP((Tnet-t)/(Tau_j))))*Salcycl</f>
        <v>7.8858039870621677E-2</v>
      </c>
      <c r="P106" s="169">
        <f>(INDEX(Models!$BJ106:$BT106,,T106)*(1-R106)+INDEX(Models!$BJ106:$BT106,,T106+1)*R106-ERP_i)*Q106*Ramure*Pc/MaxiM</f>
        <v>9.8441055643015921E-3</v>
      </c>
      <c r="Q106" s="305">
        <f t="shared" si="28"/>
        <v>0.8</v>
      </c>
      <c r="R106" s="177">
        <f t="shared" si="29"/>
        <v>0.23182876711934952</v>
      </c>
      <c r="S106" s="809">
        <f t="shared" si="30"/>
        <v>1</v>
      </c>
      <c r="T106" s="176">
        <f t="shared" si="31"/>
        <v>7</v>
      </c>
      <c r="U106" s="251">
        <f t="shared" si="32"/>
        <v>1.2318287671193495</v>
      </c>
      <c r="V106" s="383">
        <f t="shared" si="33"/>
        <v>42.744370218494701</v>
      </c>
      <c r="W106" s="402">
        <f t="shared" si="34"/>
        <v>19.294082595606337</v>
      </c>
      <c r="X106" s="157">
        <f t="shared" si="35"/>
        <v>45383</v>
      </c>
      <c r="Y106" s="385">
        <f t="shared" si="36"/>
        <v>17.726383243321919</v>
      </c>
      <c r="Z106" s="385">
        <f t="shared" si="37"/>
        <v>19.022616902080532</v>
      </c>
      <c r="AA106" s="386">
        <f t="shared" si="38"/>
        <v>22.38494966245241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0.15020506237776876</v>
      </c>
      <c r="AD106" s="231">
        <f>(INDEX(Models!$BJ106:$BT106,,AH106)*(1-AF106)+INDEX(Models!$BJ106:$BT106,,AH106+1)*AF106-ERP_i)*AE106*Ramure*Pc/MaxiM</f>
        <v>2.8839571975518459E-2</v>
      </c>
      <c r="AE106" s="305">
        <f t="shared" si="40"/>
        <v>0.8</v>
      </c>
      <c r="AF106" s="177">
        <f t="shared" si="41"/>
        <v>0.43254551428425314</v>
      </c>
      <c r="AG106" s="809">
        <f t="shared" si="49"/>
        <v>2</v>
      </c>
      <c r="AH106" s="176">
        <f t="shared" si="42"/>
        <v>8</v>
      </c>
      <c r="AI106" s="225">
        <f t="shared" si="43"/>
        <v>2.4325455142842531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IF(t&gt;Tmaj,'2023'!Wh/'2023'!Env_an*'2024'!Env_an,0.001*'[6]mon-tableau'!$B$138)</f>
        <v>19.293758911280086</v>
      </c>
      <c r="C107" s="839"/>
      <c r="D107" s="393">
        <f t="shared" si="25"/>
        <v>20.705098952012261</v>
      </c>
      <c r="E107" s="385">
        <f t="shared" si="47"/>
        <v>22.481387677457313</v>
      </c>
      <c r="F107" s="385">
        <f t="shared" si="26"/>
        <v>22.526754111727115</v>
      </c>
      <c r="G107" s="110">
        <f t="shared" si="48"/>
        <v>0.44445577852557772</v>
      </c>
      <c r="H107" s="414" t="b">
        <f>Wh_hp&gt;='2023'!Maxi_hp</f>
        <v>0</v>
      </c>
      <c r="I107" s="390">
        <f>IF(H107,Wh_hp,'2023'!Maxi_hp)</f>
        <v>50.711672503234396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6.8163887745873925E-2</v>
      </c>
      <c r="M107" s="843"/>
      <c r="N107" s="843"/>
      <c r="O107" s="48">
        <f>IF(t&lt;Tnet,'2023'!Resal+('2023'!Salim-'2023'!Resal)*(1-EXP(('2023'!Tnet-t)/('2023'!Tau_j))),Resal+(Salim-Resal)*(1-EXP((Tnet-t)/(Tau_j))))*Salcycl</f>
        <v>7.9011525041498443E-2</v>
      </c>
      <c r="P107" s="169">
        <f>(INDEX(Models!$BJ107:$BT107,,T107)*(1-R107)+INDEX(Models!$BJ107:$BT107,,T107+1)*R107-ERP_i)*Q107*Ramure*Pc/MaxiM</f>
        <v>9.5360360407299016E-3</v>
      </c>
      <c r="Q107" s="305">
        <f t="shared" si="28"/>
        <v>0.8</v>
      </c>
      <c r="R107" s="177">
        <f t="shared" si="29"/>
        <v>0.23314586888512578</v>
      </c>
      <c r="S107" s="809">
        <f t="shared" si="30"/>
        <v>1</v>
      </c>
      <c r="T107" s="176">
        <f t="shared" si="31"/>
        <v>7</v>
      </c>
      <c r="U107" s="251">
        <f t="shared" si="32"/>
        <v>1.2331458688851258</v>
      </c>
      <c r="V107" s="383">
        <f t="shared" si="33"/>
        <v>43.082656414227003</v>
      </c>
      <c r="W107" s="402">
        <f t="shared" si="34"/>
        <v>19.293758911280086</v>
      </c>
      <c r="X107" s="157">
        <f t="shared" si="35"/>
        <v>45384</v>
      </c>
      <c r="Y107" s="385">
        <f t="shared" si="36"/>
        <v>17.730303441885191</v>
      </c>
      <c r="Z107" s="385">
        <f t="shared" si="37"/>
        <v>19.027276587290988</v>
      </c>
      <c r="AA107" s="386">
        <f t="shared" si="38"/>
        <v>22.392149303678931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0.15027019830718563</v>
      </c>
      <c r="AD107" s="231">
        <f>(INDEX(Models!$BJ107:$BT107,,AH107)*(1-AF107)+INDEX(Models!$BJ107:$BT107,,AH107+1)*AF107-ERP_i)*AE107*Ramure*Pc/MaxiM</f>
        <v>2.8293964942656128E-2</v>
      </c>
      <c r="AE107" s="305">
        <f t="shared" si="40"/>
        <v>0.8</v>
      </c>
      <c r="AF107" s="177">
        <f t="shared" si="41"/>
        <v>0.43386261605002963</v>
      </c>
      <c r="AG107" s="809">
        <f t="shared" si="49"/>
        <v>2</v>
      </c>
      <c r="AH107" s="176">
        <f t="shared" si="42"/>
        <v>8</v>
      </c>
      <c r="AI107" s="225">
        <f t="shared" si="43"/>
        <v>2.4338626160500296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IF(t&gt;Tmaj,'2023'!Wh/'2023'!Env_an*'2024'!Env_an,0.001*'[6]mon-tableau'!$B$139)</f>
        <v>42.418124171354279</v>
      </c>
      <c r="C108" s="839"/>
      <c r="D108" s="393">
        <f t="shared" si="25"/>
        <v>45.522096786247097</v>
      </c>
      <c r="E108" s="385">
        <f t="shared" si="47"/>
        <v>49.435707470021612</v>
      </c>
      <c r="F108" s="385">
        <f t="shared" si="26"/>
        <v>49.880642624333838</v>
      </c>
      <c r="G108" s="110">
        <f t="shared" si="48"/>
        <v>0.97673681451047745</v>
      </c>
      <c r="H108" s="414" t="b">
        <f>Wh_hp&gt;='2023'!Maxi_hp</f>
        <v>0</v>
      </c>
      <c r="I108" s="390">
        <f>IF(H108,Wh_hp,'2023'!Maxi_hp)</f>
        <v>52.742592428937442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6.8186064219927928E-2</v>
      </c>
      <c r="M108" s="843"/>
      <c r="N108" s="843"/>
      <c r="O108" s="48">
        <f>IF(t&lt;Tnet,'2023'!Resal+('2023'!Salim-'2023'!Resal)*(1-EXP(('2023'!Tnet-t)/('2023'!Tau_j))),Resal+(Salim-Resal)*(1-EXP((Tnet-t)/(Tau_j))))*Salcycl</f>
        <v>7.9165665549497208E-2</v>
      </c>
      <c r="P108" s="169">
        <f>(INDEX(Models!$BJ108:$BT108,,T108)*(1-R108)+INDEX(Models!$BJ108:$BT108,,T108+1)*R108-ERP_i)*Q108*Ramure*Pc/MaxiM</f>
        <v>9.2225611085565914E-3</v>
      </c>
      <c r="Q108" s="305">
        <f t="shared" si="28"/>
        <v>0.8</v>
      </c>
      <c r="R108" s="177">
        <f t="shared" si="29"/>
        <v>0.23451174012694898</v>
      </c>
      <c r="S108" s="809">
        <f t="shared" si="30"/>
        <v>1</v>
      </c>
      <c r="T108" s="176">
        <f t="shared" si="31"/>
        <v>7</v>
      </c>
      <c r="U108" s="251">
        <f t="shared" si="32"/>
        <v>1.234511740126949</v>
      </c>
      <c r="V108" s="383">
        <f t="shared" si="33"/>
        <v>43.415149100364111</v>
      </c>
      <c r="W108" s="402">
        <f t="shared" si="34"/>
        <v>42.418124171354279</v>
      </c>
      <c r="X108" s="157">
        <f t="shared" si="35"/>
        <v>45385</v>
      </c>
      <c r="Y108" s="385">
        <f t="shared" si="36"/>
        <v>38.433727761415042</v>
      </c>
      <c r="Z108" s="385">
        <f t="shared" si="37"/>
        <v>41.246139691225032</v>
      </c>
      <c r="AA108" s="386">
        <f t="shared" si="38"/>
        <v>48.544106497002829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0.1503368242286709</v>
      </c>
      <c r="AD108" s="231">
        <f>(INDEX(Models!$BJ108:$BT108,,AH108)*(1-AF108)+INDEX(Models!$BJ108:$BT108,,AH108+1)*AF108-ERP_i)*AE108*Ramure*Pc/MaxiM</f>
        <v>2.7703556324196445E-2</v>
      </c>
      <c r="AE108" s="305">
        <f t="shared" si="40"/>
        <v>0.8</v>
      </c>
      <c r="AF108" s="177">
        <f t="shared" si="41"/>
        <v>0.43522848729185259</v>
      </c>
      <c r="AG108" s="809">
        <f t="shared" si="49"/>
        <v>2</v>
      </c>
      <c r="AH108" s="176">
        <f t="shared" si="42"/>
        <v>8</v>
      </c>
      <c r="AI108" s="225">
        <f t="shared" si="43"/>
        <v>2.4352284872918526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IF(t&gt;Tmaj,'2023'!Wh/'2023'!Env_an*'2024'!Env_an,0.001*'[6]mon-tableau'!$B$140)</f>
        <v>43.650519396551054</v>
      </c>
      <c r="C109" s="839"/>
      <c r="D109" s="393">
        <f t="shared" si="25"/>
        <v>46.845788167181318</v>
      </c>
      <c r="E109" s="385">
        <f t="shared" si="47"/>
        <v>50.881753917562087</v>
      </c>
      <c r="F109" s="385">
        <f t="shared" si="26"/>
        <v>51.337922843132581</v>
      </c>
      <c r="G109" s="110">
        <f t="shared" si="48"/>
        <v>0.99789173286270683</v>
      </c>
      <c r="H109" s="414" t="b">
        <f>Wh_hp&gt;='2023'!Maxi_hp</f>
        <v>0</v>
      </c>
      <c r="I109" s="390">
        <f>IF(H109,Wh_hp,'2023'!Maxi_hp)</f>
        <v>53.625563554782609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6.8208240177902973E-2</v>
      </c>
      <c r="M109" s="843"/>
      <c r="N109" s="843"/>
      <c r="O109" s="48">
        <f>IF(t&lt;Tnet,'2023'!Resal+('2023'!Salim-'2023'!Resal)*(1-EXP(('2023'!Tnet-t)/('2023'!Tau_j))),Resal+(Salim-Resal)*(1-EXP((Tnet-t)/(Tau_j))))*Salcycl</f>
        <v>7.932049191778609E-2</v>
      </c>
      <c r="P109" s="169">
        <f>(INDEX(Models!$BJ109:$BT109,,T109)*(1-R109)+INDEX(Models!$BJ109:$BT109,,T109+1)*R109-ERP_i)*Q109*Ramure*Pc/MaxiM</f>
        <v>8.9121150852394145E-3</v>
      </c>
      <c r="Q109" s="305">
        <f t="shared" si="28"/>
        <v>0.8</v>
      </c>
      <c r="R109" s="177">
        <f t="shared" si="29"/>
        <v>0.23592792208057167</v>
      </c>
      <c r="S109" s="809">
        <f t="shared" si="30"/>
        <v>1</v>
      </c>
      <c r="T109" s="176">
        <f t="shared" si="31"/>
        <v>7</v>
      </c>
      <c r="U109" s="251">
        <f t="shared" si="32"/>
        <v>1.2359279220805717</v>
      </c>
      <c r="V109" s="383">
        <f t="shared" si="33"/>
        <v>43.741571121802139</v>
      </c>
      <c r="W109" s="402">
        <f t="shared" si="34"/>
        <v>43.650519396551054</v>
      </c>
      <c r="X109" s="157">
        <f t="shared" si="35"/>
        <v>45386</v>
      </c>
      <c r="Y109" s="385">
        <f t="shared" si="36"/>
        <v>39.543435216960958</v>
      </c>
      <c r="Z109" s="385">
        <f t="shared" si="37"/>
        <v>42.438060650494286</v>
      </c>
      <c r="AA109" s="386">
        <f t="shared" si="38"/>
        <v>49.950929786452107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0.15040499081952011</v>
      </c>
      <c r="AD109" s="231">
        <f>(INDEX(Models!$BJ109:$BT109,,AH109)*(1-AF109)+INDEX(Models!$BJ109:$BT109,,AH109+1)*AF109-ERP_i)*AE109*Ramure*Pc/MaxiM</f>
        <v>2.709750938888594E-2</v>
      </c>
      <c r="AE109" s="305">
        <f t="shared" si="40"/>
        <v>0.8</v>
      </c>
      <c r="AF109" s="177">
        <f t="shared" si="41"/>
        <v>0.43664466924547529</v>
      </c>
      <c r="AG109" s="809">
        <f t="shared" si="49"/>
        <v>2</v>
      </c>
      <c r="AH109" s="176">
        <f t="shared" si="42"/>
        <v>8</v>
      </c>
      <c r="AI109" s="225">
        <f t="shared" si="43"/>
        <v>2.4366446692454753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IF(t&gt;Tmaj,'2023'!Wh/'2023'!Env_an*'2024'!Env_an,0.001*'[6]mon-tableau'!$B$141)</f>
        <v>10.630175390456262</v>
      </c>
      <c r="C110" s="839"/>
      <c r="D110" s="393">
        <f t="shared" si="25"/>
        <v>11.408588098019353</v>
      </c>
      <c r="E110" s="385">
        <f t="shared" si="47"/>
        <v>12.393580743211698</v>
      </c>
      <c r="F110" s="385">
        <f t="shared" si="26"/>
        <v>12.393580743211698</v>
      </c>
      <c r="G110" s="110">
        <f t="shared" si="48"/>
        <v>0.23917896701263491</v>
      </c>
      <c r="H110" s="414" t="b">
        <f>Wh_hp&gt;='2023'!Maxi_hp</f>
        <v>0</v>
      </c>
      <c r="I110" s="390">
        <f>IF(H110,Wh_hp,'2023'!Maxi_hp)</f>
        <v>54.126950024967606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6.8230415619811052E-2</v>
      </c>
      <c r="M110" s="843"/>
      <c r="N110" s="843"/>
      <c r="O110" s="48">
        <f>IF(t&lt;Tnet,'2023'!Resal+('2023'!Salim-'2023'!Resal)*(1-EXP(('2023'!Tnet-t)/('2023'!Tau_j))),Resal+(Salim-Resal)*(1-EXP((Tnet-t)/(Tau_j))))*Salcycl</f>
        <v>7.9476034053504063E-2</v>
      </c>
      <c r="P110" s="169">
        <f>(INDEX(Models!$BJ110:$BT110,,T110)*(1-R110)+INDEX(Models!$BJ110:$BT110,,T110+1)*R110-ERP_i)*Q110*Ramure*Pc/MaxiM</f>
        <v>8.6042879265071561E-3</v>
      </c>
      <c r="Q110" s="305">
        <f t="shared" si="28"/>
        <v>0.8</v>
      </c>
      <c r="R110" s="177">
        <f t="shared" si="29"/>
        <v>0.23739598350821978</v>
      </c>
      <c r="S110" s="809">
        <f t="shared" si="30"/>
        <v>1</v>
      </c>
      <c r="T110" s="176">
        <f t="shared" si="31"/>
        <v>7</v>
      </c>
      <c r="U110" s="251">
        <f t="shared" si="32"/>
        <v>1.2373959835082198</v>
      </c>
      <c r="V110" s="383">
        <f t="shared" si="33"/>
        <v>44.062027829273077</v>
      </c>
      <c r="W110" s="402">
        <f t="shared" si="34"/>
        <v>10.630175390456262</v>
      </c>
      <c r="X110" s="157">
        <f t="shared" si="35"/>
        <v>45387</v>
      </c>
      <c r="Y110" s="385">
        <f t="shared" si="36"/>
        <v>9.8102849776153356</v>
      </c>
      <c r="Z110" s="385">
        <f t="shared" si="37"/>
        <v>10.528659812544873</v>
      </c>
      <c r="AA110" s="386">
        <f t="shared" si="38"/>
        <v>12.393580743211698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0.15047474731532237</v>
      </c>
      <c r="AD110" s="231">
        <f>(INDEX(Models!$BJ110:$BT110,,AH110)*(1-AF110)+INDEX(Models!$BJ110:$BT110,,AH110+1)*AF110-ERP_i)*AE110*Ramure*Pc/MaxiM</f>
        <v>2.6475495130374466E-2</v>
      </c>
      <c r="AE110" s="305">
        <f t="shared" si="40"/>
        <v>0.8</v>
      </c>
      <c r="AF110" s="177">
        <f t="shared" si="41"/>
        <v>0.43811273067312362</v>
      </c>
      <c r="AG110" s="809">
        <f t="shared" si="49"/>
        <v>2</v>
      </c>
      <c r="AH110" s="176">
        <f t="shared" si="42"/>
        <v>8</v>
      </c>
      <c r="AI110" s="225">
        <f t="shared" si="43"/>
        <v>2.4381127306731236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IF(t&gt;Tmaj,'2023'!Wh/'2023'!Env_an*'2024'!Env_an,0.001*'[6]mon-tableau'!$B$142)</f>
        <v>31.725754244275869</v>
      </c>
      <c r="C111" s="839"/>
      <c r="D111" s="393">
        <f t="shared" si="25"/>
        <v>34.049737002065392</v>
      </c>
      <c r="E111" s="385">
        <f t="shared" si="47"/>
        <v>36.995798294444334</v>
      </c>
      <c r="F111" s="385">
        <f t="shared" si="26"/>
        <v>37.178679546210738</v>
      </c>
      <c r="G111" s="110">
        <f t="shared" si="48"/>
        <v>0.71249223872011236</v>
      </c>
      <c r="H111" s="414" t="b">
        <f>Wh_hp&gt;='2023'!Maxi_hp</f>
        <v>0</v>
      </c>
      <c r="I111" s="390">
        <f>IF(H111,Wh_hp,'2023'!Maxi_hp)</f>
        <v>53.441018311123912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6.8252590545664266E-2</v>
      </c>
      <c r="M111" s="843"/>
      <c r="N111" s="843"/>
      <c r="O111" s="48">
        <f>IF(t&lt;Tnet,'2023'!Resal+('2023'!Salim-'2023'!Resal)*(1-EXP(('2023'!Tnet-t)/('2023'!Tau_j))),Resal+(Salim-Resal)*(1-EXP((Tnet-t)/(Tau_j))))*Salcycl</f>
        <v>7.9632321187710423E-2</v>
      </c>
      <c r="P111" s="169">
        <f>(INDEX(Models!$BJ111:$BT111,,T111)*(1-R111)+INDEX(Models!$BJ111:$BT111,,T111+1)*R111-ERP_i)*Q111*Ramure*Pc/MaxiM</f>
        <v>8.2986698375211512E-3</v>
      </c>
      <c r="Q111" s="305">
        <f t="shared" si="28"/>
        <v>0.8</v>
      </c>
      <c r="R111" s="177">
        <f t="shared" si="29"/>
        <v>0.23891751938135863</v>
      </c>
      <c r="S111" s="809">
        <f t="shared" si="30"/>
        <v>1</v>
      </c>
      <c r="T111" s="176">
        <f t="shared" si="31"/>
        <v>7</v>
      </c>
      <c r="U111" s="251">
        <f t="shared" si="32"/>
        <v>1.2389175193813586</v>
      </c>
      <c r="V111" s="383">
        <f t="shared" si="33"/>
        <v>44.376625233405363</v>
      </c>
      <c r="W111" s="402">
        <f t="shared" si="34"/>
        <v>31.725754244275869</v>
      </c>
      <c r="X111" s="157">
        <f t="shared" si="35"/>
        <v>45388</v>
      </c>
      <c r="Y111" s="385">
        <f t="shared" si="36"/>
        <v>28.975394709026151</v>
      </c>
      <c r="Z111" s="385">
        <f t="shared" si="37"/>
        <v>31.0979074532605</v>
      </c>
      <c r="AA111" s="386">
        <f t="shared" si="38"/>
        <v>36.609295653592959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0.15054614140852915</v>
      </c>
      <c r="AD111" s="231">
        <f>(INDEX(Models!$BJ111:$BT111,,AH111)*(1-AF111)+INDEX(Models!$BJ111:$BT111,,AH111+1)*AF111-ERP_i)*AE111*Ramure*Pc/MaxiM</f>
        <v>2.5837142353295869E-2</v>
      </c>
      <c r="AE111" s="305">
        <f t="shared" si="40"/>
        <v>0.8</v>
      </c>
      <c r="AF111" s="177">
        <f t="shared" si="41"/>
        <v>0.43963426654626225</v>
      </c>
      <c r="AG111" s="809">
        <f t="shared" si="49"/>
        <v>2</v>
      </c>
      <c r="AH111" s="176">
        <f t="shared" si="42"/>
        <v>8</v>
      </c>
      <c r="AI111" s="225">
        <f t="shared" si="43"/>
        <v>2.4396342665462623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IF(t&gt;Tmaj,'2023'!Wh/'2023'!Env_an*'2024'!Env_an,0.001*'[6]mon-tableau'!$B$143)</f>
        <v>24.900110976772257</v>
      </c>
      <c r="C112" s="839"/>
      <c r="D112" s="393">
        <f t="shared" si="25"/>
        <v>26.724736049015913</v>
      </c>
      <c r="E112" s="385">
        <f t="shared" si="47"/>
        <v>29.041977478772736</v>
      </c>
      <c r="F112" s="385">
        <f t="shared" si="26"/>
        <v>29.127550895516094</v>
      </c>
      <c r="G112" s="110">
        <f t="shared" si="48"/>
        <v>0.55440439493094962</v>
      </c>
      <c r="H112" s="414" t="b">
        <f>Wh_hp&gt;='2023'!Maxi_hp</f>
        <v>0</v>
      </c>
      <c r="I112" s="390">
        <f>IF(H112,Wh_hp,'2023'!Maxi_hp)</f>
        <v>51.207037958344102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6.8274764955474493E-2</v>
      </c>
      <c r="M112" s="843"/>
      <c r="N112" s="843"/>
      <c r="O112" s="48">
        <f>IF(t&lt;Tnet,'2023'!Resal+('2023'!Salim-'2023'!Resal)*(1-EXP(('2023'!Tnet-t)/('2023'!Tau_j))),Resal+(Salim-Resal)*(1-EXP((Tnet-t)/(Tau_j))))*Salcycl</f>
        <v>7.9789381816390892E-2</v>
      </c>
      <c r="P112" s="169">
        <f>(INDEX(Models!$BJ112:$BT112,,T112)*(1-R112)+INDEX(Models!$BJ112:$BT112,,T112+1)*R112-ERP_i)*Q112*Ramure*Pc/MaxiM</f>
        <v>7.994850069023068E-3</v>
      </c>
      <c r="Q112" s="305">
        <f t="shared" si="28"/>
        <v>0.8</v>
      </c>
      <c r="R112" s="177">
        <f t="shared" si="29"/>
        <v>0.24049414937465086</v>
      </c>
      <c r="S112" s="809">
        <f t="shared" si="30"/>
        <v>1</v>
      </c>
      <c r="T112" s="176">
        <f t="shared" si="31"/>
        <v>7</v>
      </c>
      <c r="U112" s="251">
        <f t="shared" si="32"/>
        <v>1.2404941493746509</v>
      </c>
      <c r="V112" s="383">
        <f t="shared" si="33"/>
        <v>44.685470037718495</v>
      </c>
      <c r="W112" s="402">
        <f t="shared" si="34"/>
        <v>24.900110976772257</v>
      </c>
      <c r="X112" s="157">
        <f t="shared" si="35"/>
        <v>45389</v>
      </c>
      <c r="Y112" s="385">
        <f t="shared" si="36"/>
        <v>22.837928907070264</v>
      </c>
      <c r="Z112" s="385">
        <f t="shared" si="37"/>
        <v>24.511441837226702</v>
      </c>
      <c r="AA112" s="386">
        <f t="shared" si="38"/>
        <v>28.858013260781718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0.15061921914985196</v>
      </c>
      <c r="AD112" s="231">
        <f>(INDEX(Models!$BJ112:$BT112,,AH112)*(1-AF112)+INDEX(Models!$BJ112:$BT112,,AH112+1)*AF112-ERP_i)*AE112*Ramure*Pc/MaxiM</f>
        <v>2.5182037362411418E-2</v>
      </c>
      <c r="AE112" s="305">
        <f t="shared" si="40"/>
        <v>0.8</v>
      </c>
      <c r="AF112" s="177">
        <f t="shared" si="41"/>
        <v>0.44121089653955448</v>
      </c>
      <c r="AG112" s="809">
        <f t="shared" si="49"/>
        <v>2</v>
      </c>
      <c r="AH112" s="176">
        <f t="shared" si="42"/>
        <v>8</v>
      </c>
      <c r="AI112" s="225">
        <f t="shared" si="43"/>
        <v>2.4412108965395545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IF(t&gt;Tmaj,'2023'!Wh/'2023'!Env_an*'2024'!Env_an,0.001*'[6]mon-tableau'!$B$144)</f>
        <v>33.442128652150437</v>
      </c>
      <c r="C113" s="839"/>
      <c r="D113" s="393">
        <f t="shared" si="25"/>
        <v>35.893548112685252</v>
      </c>
      <c r="E113" s="385">
        <f t="shared" si="47"/>
        <v>39.012489082445228</v>
      </c>
      <c r="F113" s="385">
        <f t="shared" si="26"/>
        <v>39.203488394490904</v>
      </c>
      <c r="G113" s="110">
        <f t="shared" si="48"/>
        <v>0.74123876815516343</v>
      </c>
      <c r="H113" s="414" t="b">
        <f>Wh_hp&gt;='2023'!Maxi_hp</f>
        <v>0</v>
      </c>
      <c r="I113" s="390">
        <f>IF(H113,Wh_hp,'2023'!Maxi_hp)</f>
        <v>43.332487476984227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6.8296938849253835E-2</v>
      </c>
      <c r="M113" s="843"/>
      <c r="N113" s="843"/>
      <c r="O113" s="48">
        <f>IF(t&lt;Tnet,'2023'!Resal+('2023'!Salim-'2023'!Resal)*(1-EXP(('2023'!Tnet-t)/('2023'!Tau_j))),Resal+(Salim-Resal)*(1-EXP((Tnet-t)/(Tau_j))))*Salcycl</f>
        <v>7.994724364212473E-2</v>
      </c>
      <c r="P113" s="169">
        <f>(INDEX(Models!$BJ113:$BT113,,T113)*(1-R113)+INDEX(Models!$BJ113:$BT113,,T113+1)*R113-ERP_i)*Q113*Ramure*Pc/MaxiM</f>
        <v>7.6924157637242316E-3</v>
      </c>
      <c r="Q113" s="305">
        <f t="shared" si="28"/>
        <v>0.8</v>
      </c>
      <c r="R113" s="177">
        <f t="shared" si="29"/>
        <v>0.24212751615973005</v>
      </c>
      <c r="S113" s="809">
        <f t="shared" si="30"/>
        <v>1</v>
      </c>
      <c r="T113" s="176">
        <f t="shared" si="31"/>
        <v>7</v>
      </c>
      <c r="U113" s="251">
        <f t="shared" si="32"/>
        <v>1.24212751615973</v>
      </c>
      <c r="V113" s="383">
        <f t="shared" si="33"/>
        <v>44.988669678931281</v>
      </c>
      <c r="W113" s="402">
        <f t="shared" si="34"/>
        <v>33.442128652150437</v>
      </c>
      <c r="X113" s="157">
        <f t="shared" si="35"/>
        <v>45390</v>
      </c>
      <c r="Y113" s="385">
        <f t="shared" si="36"/>
        <v>30.540200034488954</v>
      </c>
      <c r="Z113" s="385">
        <f t="shared" si="37"/>
        <v>32.778898458022411</v>
      </c>
      <c r="AA113" s="386">
        <f t="shared" si="38"/>
        <v>38.594922698264398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0.1506940248517076</v>
      </c>
      <c r="AD113" s="231">
        <f>(INDEX(Models!$BJ113:$BT113,,AH113)*(1-AF113)+INDEX(Models!$BJ113:$BT113,,AH113+1)*AF113-ERP_i)*AE113*Ramure*Pc/MaxiM</f>
        <v>2.4509723646518246E-2</v>
      </c>
      <c r="AE113" s="305">
        <f t="shared" si="40"/>
        <v>0.8</v>
      </c>
      <c r="AF113" s="177">
        <f t="shared" si="41"/>
        <v>0.44284426332463367</v>
      </c>
      <c r="AG113" s="809">
        <f t="shared" si="49"/>
        <v>2</v>
      </c>
      <c r="AH113" s="176">
        <f t="shared" si="42"/>
        <v>8</v>
      </c>
      <c r="AI113" s="225">
        <f t="shared" si="43"/>
        <v>2.4428442633246337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IF(t&gt;Tmaj,'2023'!Wh/'2023'!Env_an*'2024'!Env_an,0.001*'[6]mon-tableau'!$B$145)</f>
        <v>44.028836685633493</v>
      </c>
      <c r="C114" s="839"/>
      <c r="D114" s="393">
        <f t="shared" si="25"/>
        <v>47.257421788351216</v>
      </c>
      <c r="E114" s="385">
        <f t="shared" si="47"/>
        <v>51.372678126925514</v>
      </c>
      <c r="F114" s="385">
        <f t="shared" si="26"/>
        <v>51.740125723306193</v>
      </c>
      <c r="G114" s="110">
        <f t="shared" si="48"/>
        <v>0.9719491953390309</v>
      </c>
      <c r="H114" s="414" t="b">
        <f>Wh_hp&gt;='2023'!Maxi_hp</f>
        <v>0</v>
      </c>
      <c r="I114" s="390">
        <f>IF(H114,Wh_hp,'2023'!Maxi_hp)</f>
        <v>53.455243179157556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6.8319112227014395E-2</v>
      </c>
      <c r="M114" s="843"/>
      <c r="N114" s="843"/>
      <c r="O114" s="48">
        <f>IF(t&lt;Tnet,'2023'!Resal+('2023'!Salim-'2023'!Resal)*(1-EXP(('2023'!Tnet-t)/('2023'!Tau_j))),Resal+(Salim-Resal)*(1-EXP((Tnet-t)/(Tau_j))))*Salcycl</f>
        <v>8.0105933515998679E-2</v>
      </c>
      <c r="P114" s="169">
        <f>(INDEX(Models!$BJ114:$BT114,,T114)*(1-R114)+INDEX(Models!$BJ114:$BT114,,T114+1)*R114-ERP_i)*Q114*Ramure*Pc/MaxiM</f>
        <v>7.3950982360278953E-3</v>
      </c>
      <c r="Q114" s="305">
        <f t="shared" si="28"/>
        <v>0.8</v>
      </c>
      <c r="R114" s="177">
        <f t="shared" si="29"/>
        <v>0.24381928348734117</v>
      </c>
      <c r="S114" s="809">
        <f t="shared" si="30"/>
        <v>1</v>
      </c>
      <c r="T114" s="176">
        <f t="shared" si="31"/>
        <v>7</v>
      </c>
      <c r="U114" s="251">
        <f t="shared" si="32"/>
        <v>1.2438192834873412</v>
      </c>
      <c r="V114" s="383">
        <f t="shared" si="33"/>
        <v>45.286143127470744</v>
      </c>
      <c r="W114" s="402">
        <f t="shared" si="34"/>
        <v>44.028836685633493</v>
      </c>
      <c r="X114" s="157">
        <f t="shared" si="35"/>
        <v>45391</v>
      </c>
      <c r="Y114" s="385">
        <f t="shared" si="36"/>
        <v>40.000785376042963</v>
      </c>
      <c r="Z114" s="385">
        <f t="shared" si="37"/>
        <v>42.933998004035047</v>
      </c>
      <c r="AA114" s="386">
        <f t="shared" si="38"/>
        <v>50.556419801566918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0.15077060099290537</v>
      </c>
      <c r="AD114" s="231">
        <f>(INDEX(Models!$BJ114:$BT114,,AH114)*(1-AF114)+INDEX(Models!$BJ114:$BT114,,AH114+1)*AF114-ERP_i)*AE114*Ramure*Pc/MaxiM</f>
        <v>2.3822775438054552E-2</v>
      </c>
      <c r="AE114" s="305">
        <f t="shared" si="40"/>
        <v>0.8</v>
      </c>
      <c r="AF114" s="177">
        <f t="shared" si="41"/>
        <v>0.44453603065224501</v>
      </c>
      <c r="AG114" s="809">
        <f t="shared" si="49"/>
        <v>2</v>
      </c>
      <c r="AH114" s="176">
        <f t="shared" si="42"/>
        <v>8</v>
      </c>
      <c r="AI114" s="225">
        <f t="shared" si="43"/>
        <v>2.444536030652245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IF(t&gt;Tmaj,'2023'!Wh/'2023'!Env_an*'2024'!Env_an,0.001*'[6]mon-tableau'!$B$146)</f>
        <v>37.172771220542188</v>
      </c>
      <c r="C115" s="839"/>
      <c r="D115" s="393">
        <f t="shared" si="25"/>
        <v>39.899558309916081</v>
      </c>
      <c r="E115" s="385">
        <f t="shared" si="47"/>
        <v>43.381603417720903</v>
      </c>
      <c r="F115" s="385">
        <f t="shared" si="26"/>
        <v>43.609740078895982</v>
      </c>
      <c r="G115" s="110">
        <f t="shared" si="48"/>
        <v>0.81405179750676815</v>
      </c>
      <c r="H115" s="414" t="b">
        <f>Wh_hp&gt;='2023'!Maxi_hp</f>
        <v>0</v>
      </c>
      <c r="I115" s="390">
        <f>IF(H115,Wh_hp,'2023'!Maxi_hp)</f>
        <v>54.340445908416534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6.8341285088767939E-2</v>
      </c>
      <c r="M115" s="843"/>
      <c r="N115" s="843"/>
      <c r="O115" s="48">
        <f>IF(t&lt;Tnet,'2023'!Resal+('2023'!Salim-'2023'!Resal)*(1-EXP(('2023'!Tnet-t)/('2023'!Tau_j))),Resal+(Salim-Resal)*(1-EXP((Tnet-t)/(Tau_j))))*Salcycl</f>
        <v>8.0265477379345695E-2</v>
      </c>
      <c r="P115" s="169">
        <f>(INDEX(Models!$BJ115:$BT115,,T115)*(1-R115)+INDEX(Models!$BJ115:$BT115,,T115+1)*R115-ERP_i)*Q115*Ramure*Pc/MaxiM</f>
        <v>7.1024567416275892E-3</v>
      </c>
      <c r="Q115" s="305">
        <f t="shared" si="28"/>
        <v>0.8</v>
      </c>
      <c r="R115" s="177">
        <f t="shared" si="29"/>
        <v>0.24557113404641773</v>
      </c>
      <c r="S115" s="809">
        <f t="shared" si="30"/>
        <v>1</v>
      </c>
      <c r="T115" s="176">
        <f t="shared" si="31"/>
        <v>7</v>
      </c>
      <c r="U115" s="251">
        <f t="shared" si="32"/>
        <v>1.2455711340464177</v>
      </c>
      <c r="V115" s="383">
        <f t="shared" si="33"/>
        <v>45.577996817386648</v>
      </c>
      <c r="W115" s="402">
        <f t="shared" si="34"/>
        <v>37.172771220542188</v>
      </c>
      <c r="X115" s="157">
        <f t="shared" si="35"/>
        <v>45392</v>
      </c>
      <c r="Y115" s="385">
        <f t="shared" si="36"/>
        <v>33.912557977230442</v>
      </c>
      <c r="Z115" s="385">
        <f t="shared" si="37"/>
        <v>36.40019401360037</v>
      </c>
      <c r="AA115" s="386">
        <f t="shared" si="38"/>
        <v>42.866573206069148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0.15084898812376379</v>
      </c>
      <c r="AD115" s="231">
        <f>(INDEX(Models!$BJ115:$BT115,,AH115)*(1-AF115)+INDEX(Models!$BJ115:$BT115,,AH115+1)*AF115-ERP_i)*AE115*Ramure*Pc/MaxiM</f>
        <v>2.3136617056092247E-2</v>
      </c>
      <c r="AE115" s="305">
        <f t="shared" si="40"/>
        <v>0.8</v>
      </c>
      <c r="AF115" s="177">
        <f t="shared" si="41"/>
        <v>0.44628788121132112</v>
      </c>
      <c r="AG115" s="809">
        <f t="shared" si="49"/>
        <v>2</v>
      </c>
      <c r="AH115" s="176">
        <f t="shared" si="42"/>
        <v>8</v>
      </c>
      <c r="AI115" s="225">
        <f t="shared" si="43"/>
        <v>2.4462878812113211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IF(t&gt;Tmaj,'2023'!Wh/'2023'!Env_an*'2024'!Env_an,0.001*'[6]mon-tableau'!$B$147)</f>
        <v>31.015810828233533</v>
      </c>
      <c r="C116" s="839"/>
      <c r="D116" s="393">
        <f t="shared" si="25"/>
        <v>33.291749959511499</v>
      </c>
      <c r="E116" s="385">
        <f t="shared" si="47"/>
        <v>36.2034445804086</v>
      </c>
      <c r="F116" s="385">
        <f t="shared" si="26"/>
        <v>36.336531488325363</v>
      </c>
      <c r="G116" s="110">
        <f t="shared" si="48"/>
        <v>0.67411214769072636</v>
      </c>
      <c r="H116" s="414" t="b">
        <f>Wh_hp&gt;='2023'!Maxi_hp</f>
        <v>0</v>
      </c>
      <c r="I116" s="390">
        <f>IF(H116,Wh_hp,'2023'!Maxi_hp)</f>
        <v>55.077370568801221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6.836345743452657E-2</v>
      </c>
      <c r="M116" s="843"/>
      <c r="N116" s="843"/>
      <c r="O116" s="48">
        <f>IF(t&lt;Tnet,'2023'!Resal+('2023'!Salim-'2023'!Resal)*(1-EXP(('2023'!Tnet-t)/('2023'!Tau_j))),Resal+(Salim-Resal)*(1-EXP((Tnet-t)/(Tau_j))))*Salcycl</f>
        <v>8.0425900204887046E-2</v>
      </c>
      <c r="P116" s="169">
        <f>(INDEX(Models!$BJ116:$BT116,,T116)*(1-R116)+INDEX(Models!$BJ116:$BT116,,T116+1)*R116-ERP_i)*Q116*Ramure*Pc/MaxiM</f>
        <v>6.8141548518312481E-3</v>
      </c>
      <c r="Q116" s="305">
        <f t="shared" si="28"/>
        <v>0.8</v>
      </c>
      <c r="R116" s="177">
        <f t="shared" si="29"/>
        <v>0.24738476708877166</v>
      </c>
      <c r="S116" s="809">
        <f t="shared" si="30"/>
        <v>1</v>
      </c>
      <c r="T116" s="176">
        <f t="shared" si="31"/>
        <v>7</v>
      </c>
      <c r="U116" s="251">
        <f t="shared" si="32"/>
        <v>1.2473847670887717</v>
      </c>
      <c r="V116" s="383">
        <f t="shared" si="33"/>
        <v>45.864333106124782</v>
      </c>
      <c r="W116" s="402">
        <f t="shared" si="34"/>
        <v>31.015810828233533</v>
      </c>
      <c r="X116" s="157">
        <f t="shared" si="35"/>
        <v>45393</v>
      </c>
      <c r="Y116" s="385">
        <f t="shared" si="36"/>
        <v>28.396270040992462</v>
      </c>
      <c r="Z116" s="385">
        <f t="shared" si="37"/>
        <v>30.47998735944477</v>
      </c>
      <c r="AA116" s="386">
        <f t="shared" si="38"/>
        <v>35.898052610772091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0.15092922477085835</v>
      </c>
      <c r="AD116" s="231">
        <f>(INDEX(Models!$BJ116:$BT116,,AH116)*(1-AF116)+INDEX(Models!$BJ116:$BT116,,AH116+1)*AF116-ERP_i)*AE116*Ramure*Pc/MaxiM</f>
        <v>2.2450465020750734E-2</v>
      </c>
      <c r="AE116" s="305">
        <f t="shared" si="40"/>
        <v>0.8</v>
      </c>
      <c r="AF116" s="177">
        <f t="shared" si="41"/>
        <v>0.4481015142536755</v>
      </c>
      <c r="AG116" s="809">
        <f t="shared" si="49"/>
        <v>2</v>
      </c>
      <c r="AH116" s="176">
        <f t="shared" si="42"/>
        <v>8</v>
      </c>
      <c r="AI116" s="225">
        <f t="shared" si="43"/>
        <v>2.4481015142536755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IF(t&gt;Tmaj,'2023'!Wh/'2023'!Env_an*'2024'!Env_an,0.001*'[6]mon-tableau'!$B$148)</f>
        <v>6.7015717843462905</v>
      </c>
      <c r="C117" s="839"/>
      <c r="D117" s="393">
        <f t="shared" si="25"/>
        <v>7.1935040880209336</v>
      </c>
      <c r="E117" s="385">
        <f t="shared" si="47"/>
        <v>7.8240201691248039</v>
      </c>
      <c r="F117" s="385">
        <f t="shared" si="26"/>
        <v>7.8240201691248039</v>
      </c>
      <c r="G117" s="110">
        <f t="shared" si="48"/>
        <v>0.14427943872835927</v>
      </c>
      <c r="H117" s="414" t="b">
        <f>Wh_hp&gt;='2023'!Maxi_hp</f>
        <v>0</v>
      </c>
      <c r="I117" s="390">
        <f>IF(H117,Wh_hp,'2023'!Maxi_hp)</f>
        <v>54.846872874129055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6.8385629264302389E-2</v>
      </c>
      <c r="M117" s="843"/>
      <c r="N117" s="843"/>
      <c r="O117" s="48">
        <f>IF(t&lt;Tnet,'2023'!Resal+('2023'!Salim-'2023'!Resal)*(1-EXP(('2023'!Tnet-t)/('2023'!Tau_j))),Resal+(Salim-Resal)*(1-EXP((Tnet-t)/(Tau_j))))*Salcycl</f>
        <v>8.0587225936867748E-2</v>
      </c>
      <c r="P117" s="169">
        <f>(INDEX(Models!$BJ117:$BT117,,T117)*(1-R117)+INDEX(Models!$BJ117:$BT117,,T117+1)*R117-ERP_i)*Q117*Ramure*Pc/MaxiM</f>
        <v>6.5298644510854873E-3</v>
      </c>
      <c r="Q117" s="305">
        <f t="shared" si="28"/>
        <v>0.8</v>
      </c>
      <c r="R117" s="177">
        <f t="shared" si="29"/>
        <v>0.24926189580827751</v>
      </c>
      <c r="S117" s="809">
        <f t="shared" si="30"/>
        <v>1</v>
      </c>
      <c r="T117" s="176">
        <f t="shared" si="31"/>
        <v>7</v>
      </c>
      <c r="U117" s="251">
        <f t="shared" si="32"/>
        <v>1.2492618958082775</v>
      </c>
      <c r="V117" s="383">
        <f t="shared" si="33"/>
        <v>46.145254567563299</v>
      </c>
      <c r="W117" s="402">
        <f t="shared" si="34"/>
        <v>6.7015717843462905</v>
      </c>
      <c r="X117" s="157">
        <f t="shared" si="35"/>
        <v>45394</v>
      </c>
      <c r="Y117" s="385">
        <f t="shared" si="36"/>
        <v>6.1882525024625581</v>
      </c>
      <c r="Z117" s="385">
        <f t="shared" si="37"/>
        <v>6.6425043417650196</v>
      </c>
      <c r="AA117" s="386">
        <f t="shared" si="38"/>
        <v>7.8240201691248039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0.15101134734062796</v>
      </c>
      <c r="AD117" s="231">
        <f>(INDEX(Models!$BJ117:$BT117,,AH117)*(1-AF117)+INDEX(Models!$BJ117:$BT117,,AH117+1)*AF117-ERP_i)*AE117*Ramure*Pc/MaxiM</f>
        <v>2.1763524886499984E-2</v>
      </c>
      <c r="AE117" s="305">
        <f t="shared" si="40"/>
        <v>0.8</v>
      </c>
      <c r="AF117" s="177">
        <f t="shared" si="41"/>
        <v>0.44997864297318113</v>
      </c>
      <c r="AG117" s="809">
        <f t="shared" si="49"/>
        <v>2</v>
      </c>
      <c r="AH117" s="176">
        <f t="shared" si="42"/>
        <v>8</v>
      </c>
      <c r="AI117" s="225">
        <f t="shared" si="43"/>
        <v>2.4499786429731811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IF(t&gt;Tmaj,'2023'!Wh/'2023'!Env_an*'2024'!Env_an,0.001*'[6]mon-tableau'!$B$149)</f>
        <v>34.352000944429847</v>
      </c>
      <c r="C118" s="839"/>
      <c r="D118" s="393">
        <f t="shared" si="25"/>
        <v>36.874504708978094</v>
      </c>
      <c r="E118" s="385">
        <f t="shared" si="47"/>
        <v>40.113661949168886</v>
      </c>
      <c r="F118" s="385">
        <f t="shared" si="26"/>
        <v>40.271858570088185</v>
      </c>
      <c r="G118" s="110">
        <f t="shared" si="48"/>
        <v>0.73828772062671555</v>
      </c>
      <c r="H118" s="414" t="b">
        <f>Wh_hp&gt;='2023'!Maxi_hp</f>
        <v>0</v>
      </c>
      <c r="I118" s="390">
        <f>IF(H118,Wh_hp,'2023'!Maxi_hp)</f>
        <v>54.86097401033841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6.8407800578107275E-2</v>
      </c>
      <c r="M118" s="843"/>
      <c r="N118" s="843"/>
      <c r="O118" s="48">
        <f>IF(t&lt;Tnet,'2023'!Resal+('2023'!Salim-'2023'!Resal)*(1-EXP(('2023'!Tnet-t)/('2023'!Tau_j))),Resal+(Salim-Resal)*(1-EXP((Tnet-t)/(Tau_j))))*Salcycl</f>
        <v>8.0749477429793923E-2</v>
      </c>
      <c r="P118" s="169">
        <f>(INDEX(Models!$BJ118:$BT118,,T118)*(1-R118)+INDEX(Models!$BJ118:$BT118,,T118+1)*R118-ERP_i)*Q118*Ramure*Pc/MaxiM</f>
        <v>6.2492651623896498E-3</v>
      </c>
      <c r="Q118" s="305">
        <f t="shared" si="28"/>
        <v>0.8</v>
      </c>
      <c r="R118" s="177">
        <f t="shared" si="29"/>
        <v>0.25120424446375389</v>
      </c>
      <c r="S118" s="809">
        <f t="shared" si="30"/>
        <v>1</v>
      </c>
      <c r="T118" s="176">
        <f t="shared" si="31"/>
        <v>7</v>
      </c>
      <c r="U118" s="251">
        <f t="shared" si="32"/>
        <v>1.2512042444637539</v>
      </c>
      <c r="V118" s="383">
        <f t="shared" si="33"/>
        <v>46.420863999558435</v>
      </c>
      <c r="W118" s="402">
        <f t="shared" si="34"/>
        <v>34.352000944429847</v>
      </c>
      <c r="X118" s="157">
        <f t="shared" si="35"/>
        <v>45395</v>
      </c>
      <c r="Y118" s="385">
        <f t="shared" si="36"/>
        <v>31.426400691105329</v>
      </c>
      <c r="Z118" s="385">
        <f t="shared" si="37"/>
        <v>33.734074534551965</v>
      </c>
      <c r="AA118" s="386">
        <f t="shared" si="38"/>
        <v>39.738357099263602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0.15109539002111649</v>
      </c>
      <c r="AD118" s="231">
        <f>(INDEX(Models!$BJ118:$BT118,,AH118)*(1-AF118)+INDEX(Models!$BJ118:$BT118,,AH118+1)*AF118-ERP_i)*AE118*Ramure*Pc/MaxiM</f>
        <v>2.107498969531393E-2</v>
      </c>
      <c r="AE118" s="305">
        <f t="shared" si="40"/>
        <v>0.8</v>
      </c>
      <c r="AF118" s="177">
        <f t="shared" si="41"/>
        <v>0.45192099162865729</v>
      </c>
      <c r="AG118" s="809">
        <f t="shared" si="49"/>
        <v>2</v>
      </c>
      <c r="AH118" s="176">
        <f t="shared" si="42"/>
        <v>8</v>
      </c>
      <c r="AI118" s="225">
        <f t="shared" si="43"/>
        <v>2.4519209916286573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IF(t&gt;Tmaj,'2023'!Wh/'2023'!Env_an*'2024'!Env_an,0.001*'[6]mon-tableau'!$B$150)</f>
        <v>40.217197635467372</v>
      </c>
      <c r="C119" s="839"/>
      <c r="D119" s="393">
        <f t="shared" si="25"/>
        <v>43.171416425740126</v>
      </c>
      <c r="E119" s="385">
        <f t="shared" si="47"/>
        <v>46.972050768751174</v>
      </c>
      <c r="F119" s="385">
        <f t="shared" si="26"/>
        <v>47.198086822773426</v>
      </c>
      <c r="G119" s="110">
        <f t="shared" si="48"/>
        <v>0.86031925376877538</v>
      </c>
      <c r="H119" s="414" t="b">
        <f>Wh_hp&gt;='2023'!Maxi_hp</f>
        <v>0</v>
      </c>
      <c r="I119" s="390">
        <f>IF(H119,Wh_hp,'2023'!Maxi_hp)</f>
        <v>55.982036059106356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6.842997137595333E-2</v>
      </c>
      <c r="M119" s="843"/>
      <c r="N119" s="843"/>
      <c r="O119" s="48">
        <f>IF(t&lt;Tnet,'2023'!Resal+('2023'!Salim-'2023'!Resal)*(1-EXP(('2023'!Tnet-t)/('2023'!Tau_j))),Resal+(Salim-Resal)*(1-EXP((Tnet-t)/(Tau_j))))*Salcycl</f>
        <v>8.0912676385410789E-2</v>
      </c>
      <c r="P119" s="169">
        <f>(INDEX(Models!$BJ119:$BT119,,T119)*(1-R119)+INDEX(Models!$BJ119:$BT119,,T119+1)*R119-ERP_i)*Q119*Ramure*Pc/MaxiM</f>
        <v>5.9720438338251441E-3</v>
      </c>
      <c r="Q119" s="305">
        <f t="shared" si="28"/>
        <v>0.8</v>
      </c>
      <c r="R119" s="177">
        <f t="shared" si="29"/>
        <v>0.25321354523519157</v>
      </c>
      <c r="S119" s="809">
        <f t="shared" si="30"/>
        <v>1</v>
      </c>
      <c r="T119" s="176">
        <f t="shared" si="31"/>
        <v>7</v>
      </c>
      <c r="U119" s="251">
        <f t="shared" si="32"/>
        <v>1.2532135452351916</v>
      </c>
      <c r="V119" s="383">
        <f t="shared" si="33"/>
        <v>46.69126440864752</v>
      </c>
      <c r="W119" s="402">
        <f t="shared" si="34"/>
        <v>40.217197635467372</v>
      </c>
      <c r="X119" s="157">
        <f t="shared" si="35"/>
        <v>45396</v>
      </c>
      <c r="Y119" s="385">
        <f t="shared" si="36"/>
        <v>36.711067172250033</v>
      </c>
      <c r="Z119" s="385">
        <f t="shared" si="37"/>
        <v>39.407737522935598</v>
      </c>
      <c r="AA119" s="386">
        <f t="shared" si="38"/>
        <v>46.426570779358059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0.15118138468118653</v>
      </c>
      <c r="AD119" s="231">
        <f>(INDEX(Models!$BJ119:$BT119,,AH119)*(1-AF119)+INDEX(Models!$BJ119:$BT119,,AH119+1)*AF119-ERP_i)*AE119*Ramure*Pc/MaxiM</f>
        <v>2.0384038509725064E-2</v>
      </c>
      <c r="AE119" s="305">
        <f t="shared" si="40"/>
        <v>0.8</v>
      </c>
      <c r="AF119" s="177">
        <f t="shared" si="41"/>
        <v>0.45393029240009541</v>
      </c>
      <c r="AG119" s="809">
        <f t="shared" si="49"/>
        <v>2</v>
      </c>
      <c r="AH119" s="176">
        <f t="shared" si="42"/>
        <v>8</v>
      </c>
      <c r="AI119" s="225">
        <f t="shared" si="43"/>
        <v>2.4539302924000954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IF(t&gt;Tmaj,'2023'!Wh/'2023'!Env_an*'2024'!Env_an,0.001*'[6]mon-tableau'!$B$151)</f>
        <v>41.95761131977136</v>
      </c>
      <c r="C120" s="839"/>
      <c r="D120" s="393">
        <f t="shared" si="25"/>
        <v>45.040746907456025</v>
      </c>
      <c r="E120" s="385">
        <f t="shared" si="47"/>
        <v>49.014704416195855</v>
      </c>
      <c r="F120" s="385">
        <f t="shared" si="26"/>
        <v>49.252660470834115</v>
      </c>
      <c r="G120" s="110">
        <f t="shared" si="48"/>
        <v>0.8927629470052576</v>
      </c>
      <c r="H120" s="414" t="b">
        <f>Wh_hp&gt;='2023'!Maxi_hp</f>
        <v>0</v>
      </c>
      <c r="I120" s="390">
        <f>IF(H120,Wh_hp,'2023'!Maxi_hp)</f>
        <v>49.294140738939028</v>
      </c>
      <c r="J120" s="85">
        <f>IF(H120,An,'2023'!An_max)</f>
        <v>2022</v>
      </c>
      <c r="K120" s="197">
        <f t="shared" si="27"/>
        <v>45397</v>
      </c>
      <c r="L120" s="147">
        <f>IF(t&lt;Tvie,1-EXP((T0-t)*PertePVj)+'2023'!Pspv,1-EXP((T0-t)*PertePVj)+Pspv)</f>
        <v>6.8452141657852544E-2</v>
      </c>
      <c r="M120" s="843"/>
      <c r="N120" s="843"/>
      <c r="O120" s="48">
        <f>IF(t&lt;Tnet,'2023'!Resal+('2023'!Salim-'2023'!Resal)*(1-EXP(('2023'!Tnet-t)/('2023'!Tau_j))),Resal+(Salim-Resal)*(1-EXP((Tnet-t)/(Tau_j))))*Salcycl</f>
        <v>8.1076843287597594E-2</v>
      </c>
      <c r="P120" s="169">
        <f>(INDEX(Models!$BJ120:$BT120,,T120)*(1-R120)+INDEX(Models!$BJ120:$BT120,,T120+1)*R120-ERP_i)*Q120*Ramure*Pc/MaxiM</f>
        <v>5.6978940750858544E-3</v>
      </c>
      <c r="Q120" s="305">
        <f t="shared" si="28"/>
        <v>0.8</v>
      </c>
      <c r="R120" s="177">
        <f t="shared" si="29"/>
        <v>0.25529153480356248</v>
      </c>
      <c r="S120" s="809">
        <f t="shared" si="30"/>
        <v>1</v>
      </c>
      <c r="T120" s="176">
        <f t="shared" si="31"/>
        <v>7</v>
      </c>
      <c r="U120" s="251">
        <f t="shared" si="32"/>
        <v>1.2552915348035625</v>
      </c>
      <c r="V120" s="383">
        <f t="shared" si="33"/>
        <v>46.956559024557031</v>
      </c>
      <c r="W120" s="402">
        <f t="shared" si="34"/>
        <v>41.95761131977136</v>
      </c>
      <c r="X120" s="157">
        <f t="shared" si="35"/>
        <v>45397</v>
      </c>
      <c r="Y120" s="385">
        <f t="shared" si="36"/>
        <v>38.290660046360919</v>
      </c>
      <c r="Z120" s="385">
        <f t="shared" si="37"/>
        <v>41.104340161874077</v>
      </c>
      <c r="AA120" s="386">
        <f t="shared" si="38"/>
        <v>48.430371500434916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0.1512693607666224</v>
      </c>
      <c r="AD120" s="231">
        <f>(INDEX(Models!$BJ120:$BT120,,AH120)*(1-AF120)+INDEX(Models!$BJ120:$BT120,,AH120+1)*AF120-ERP_i)*AE120*Ramure*Pc/MaxiM</f>
        <v>1.9689834997342868E-2</v>
      </c>
      <c r="AE120" s="305">
        <f t="shared" si="40"/>
        <v>0.8</v>
      </c>
      <c r="AF120" s="177">
        <f t="shared" si="41"/>
        <v>0.4560082819684661</v>
      </c>
      <c r="AG120" s="809">
        <f t="shared" si="49"/>
        <v>2</v>
      </c>
      <c r="AH120" s="176">
        <f t="shared" si="42"/>
        <v>8</v>
      </c>
      <c r="AI120" s="225">
        <f t="shared" si="43"/>
        <v>2.4560082819684661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IF(t&gt;Tmaj,'2023'!Wh/'2023'!Env_an*'2024'!Env_an,0.001*'[6]mon-tableau'!$B$152)</f>
        <v>45.693711556249262</v>
      </c>
      <c r="C121" s="839"/>
      <c r="D121" s="393">
        <f t="shared" si="25"/>
        <v>49.052551224959899</v>
      </c>
      <c r="E121" s="385">
        <f t="shared" si="47"/>
        <v>53.390066897561901</v>
      </c>
      <c r="F121" s="385">
        <f t="shared" si="26"/>
        <v>53.667879056106862</v>
      </c>
      <c r="G121" s="110">
        <f t="shared" si="48"/>
        <v>0.96750324819384115</v>
      </c>
      <c r="H121" s="414" t="b">
        <f>Wh_hp&gt;='2023'!Maxi_hp</f>
        <v>0</v>
      </c>
      <c r="I121" s="390">
        <f>IF(H121,Wh_hp,'2023'!Maxi_hp)</f>
        <v>53.680903826965675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6.8474311423816908E-2</v>
      </c>
      <c r="M121" s="843"/>
      <c r="N121" s="843"/>
      <c r="O121" s="48">
        <f>IF(t&lt;Tnet,'2023'!Resal+('2023'!Salim-'2023'!Resal)*(1-EXP(('2023'!Tnet-t)/('2023'!Tau_j))),Resal+(Salim-Resal)*(1-EXP((Tnet-t)/(Tau_j))))*Salcycl</f>
        <v>8.1241997334902796E-2</v>
      </c>
      <c r="P121" s="169">
        <f>(INDEX(Models!$BJ121:$BT121,,T121)*(1-R121)+INDEX(Models!$BJ121:$BT121,,T121+1)*R121-ERP_i)*Q121*Ramure*Pc/MaxiM</f>
        <v>5.4265430166160747E-3</v>
      </c>
      <c r="Q121" s="305">
        <f t="shared" si="28"/>
        <v>0.8</v>
      </c>
      <c r="R121" s="177">
        <f t="shared" si="29"/>
        <v>0.25743995064517478</v>
      </c>
      <c r="S121" s="809">
        <f t="shared" si="30"/>
        <v>1</v>
      </c>
      <c r="T121" s="176">
        <f t="shared" si="31"/>
        <v>7</v>
      </c>
      <c r="U121" s="251">
        <f t="shared" si="32"/>
        <v>1.2574399506451748</v>
      </c>
      <c r="V121" s="383">
        <f t="shared" si="33"/>
        <v>47.216613612540471</v>
      </c>
      <c r="W121" s="402">
        <f t="shared" si="34"/>
        <v>45.693711556249262</v>
      </c>
      <c r="X121" s="157">
        <f t="shared" si="35"/>
        <v>45398</v>
      </c>
      <c r="Y121" s="385">
        <f t="shared" si="36"/>
        <v>41.657484302146912</v>
      </c>
      <c r="Z121" s="385">
        <f t="shared" si="37"/>
        <v>44.719630186280185</v>
      </c>
      <c r="AA121" s="386">
        <f t="shared" si="38"/>
        <v>52.695601999448265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0.15135934519263275</v>
      </c>
      <c r="AD121" s="231">
        <f>(INDEX(Models!$BJ121:$BT121,,AH121)*(1-AF121)+INDEX(Models!$BJ121:$BT121,,AH121+1)*AF121-ERP_i)*AE121*Ramure*Pc/MaxiM</f>
        <v>1.8991621171874976E-2</v>
      </c>
      <c r="AE121" s="305">
        <f t="shared" si="40"/>
        <v>0.8</v>
      </c>
      <c r="AF121" s="177">
        <f t="shared" si="41"/>
        <v>0.45815669781007839</v>
      </c>
      <c r="AG121" s="809">
        <f t="shared" si="49"/>
        <v>2</v>
      </c>
      <c r="AH121" s="176">
        <f t="shared" si="42"/>
        <v>8</v>
      </c>
      <c r="AI121" s="225">
        <f t="shared" si="43"/>
        <v>2.4581566978100784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IF(t&gt;Tmaj,'2023'!Wh/'2023'!Env_an*'2024'!Env_an,0.001*'[6]mon-tableau'!$B$153)</f>
        <v>35.739508634925294</v>
      </c>
      <c r="C122" s="839"/>
      <c r="D122" s="393">
        <f t="shared" si="25"/>
        <v>38.367550839506855</v>
      </c>
      <c r="E122" s="385">
        <f t="shared" si="47"/>
        <v>41.767789585318482</v>
      </c>
      <c r="F122" s="385">
        <f t="shared" si="26"/>
        <v>41.907933950671698</v>
      </c>
      <c r="G122" s="110">
        <f t="shared" si="48"/>
        <v>0.75149669377070216</v>
      </c>
      <c r="H122" s="414" t="b">
        <f>Wh_hp&gt;='2023'!Maxi_hp</f>
        <v>0</v>
      </c>
      <c r="I122" s="390">
        <f>IF(H122,Wh_hp,'2023'!Maxi_hp)</f>
        <v>41.982059519389949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6.8496480673858412E-2</v>
      </c>
      <c r="M122" s="843"/>
      <c r="N122" s="843"/>
      <c r="O122" s="48">
        <f>IF(t&lt;Tnet,'2023'!Resal+('2023'!Salim-'2023'!Resal)*(1-EXP(('2023'!Tnet-t)/('2023'!Tau_j))),Resal+(Salim-Resal)*(1-EXP((Tnet-t)/(Tau_j))))*Salcycl</f>
        <v>8.1408156370497142E-2</v>
      </c>
      <c r="P122" s="169">
        <f>(INDEX(Models!$BJ122:$BT122,,T122)*(1-R122)+INDEX(Models!$BJ122:$BT122,,T122+1)*R122-ERP_i)*Q122*Ramure*Pc/MaxiM</f>
        <v>5.1689095589582687E-3</v>
      </c>
      <c r="Q122" s="305">
        <f t="shared" si="28"/>
        <v>0.8</v>
      </c>
      <c r="R122" s="177">
        <f t="shared" si="29"/>
        <v>0.25966052703244213</v>
      </c>
      <c r="S122" s="809">
        <f t="shared" si="30"/>
        <v>1</v>
      </c>
      <c r="T122" s="176">
        <f t="shared" si="31"/>
        <v>7</v>
      </c>
      <c r="U122" s="251">
        <f t="shared" si="32"/>
        <v>1.2596605270324421</v>
      </c>
      <c r="V122" s="383">
        <f t="shared" si="33"/>
        <v>47.470697268696803</v>
      </c>
      <c r="W122" s="402">
        <f t="shared" si="34"/>
        <v>35.739508634925294</v>
      </c>
      <c r="X122" s="157">
        <f t="shared" si="35"/>
        <v>45399</v>
      </c>
      <c r="Y122" s="385">
        <f t="shared" si="36"/>
        <v>32.732907620263255</v>
      </c>
      <c r="Z122" s="385">
        <f t="shared" si="37"/>
        <v>35.139864682360567</v>
      </c>
      <c r="AA122" s="386">
        <f t="shared" si="38"/>
        <v>41.41172717548266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0.15145136223236977</v>
      </c>
      <c r="AD122" s="231">
        <f>(INDEX(Models!$BJ122:$BT122,,AH122)*(1-AF122)+INDEX(Models!$BJ122:$BT122,,AH122+1)*AF122-ERP_i)*AE122*Ramure*Pc/MaxiM</f>
        <v>1.8301470323334755E-2</v>
      </c>
      <c r="AE122" s="305">
        <f t="shared" si="40"/>
        <v>0.8</v>
      </c>
      <c r="AF122" s="177">
        <f t="shared" si="41"/>
        <v>0.46037727419734598</v>
      </c>
      <c r="AG122" s="809">
        <f t="shared" si="49"/>
        <v>2</v>
      </c>
      <c r="AH122" s="176">
        <f t="shared" si="42"/>
        <v>8</v>
      </c>
      <c r="AI122" s="225">
        <f t="shared" si="43"/>
        <v>2.460377274197346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IF(t&gt;Tmaj,'2023'!Wh/'2023'!Env_an*'2024'!Env_an,0.001*'[6]mon-tableau'!$B$154)</f>
        <v>8.2123710135223416</v>
      </c>
      <c r="C123" s="839"/>
      <c r="D123" s="393">
        <f t="shared" si="25"/>
        <v>8.8164631619333012</v>
      </c>
      <c r="E123" s="385">
        <f t="shared" si="47"/>
        <v>9.5995496585477493</v>
      </c>
      <c r="F123" s="385">
        <f t="shared" si="26"/>
        <v>9.5995496585477493</v>
      </c>
      <c r="G123" s="110">
        <f t="shared" si="48"/>
        <v>0.1712516994082969</v>
      </c>
      <c r="H123" s="414" t="b">
        <f>Wh_hp&gt;='2023'!Maxi_hp</f>
        <v>0</v>
      </c>
      <c r="I123" s="390">
        <f>IF(H123,Wh_hp,'2023'!Maxi_hp)</f>
        <v>56.249835170849416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6.8518649407989157E-2</v>
      </c>
      <c r="M123" s="843"/>
      <c r="N123" s="843"/>
      <c r="O123" s="48">
        <f>IF(t&lt;Tnet,'2023'!Resal+('2023'!Salim-'2023'!Resal)*(1-EXP(('2023'!Tnet-t)/('2023'!Tau_j))),Resal+(Salim-Resal)*(1-EXP((Tnet-t)/(Tau_j))))*Salcycl</f>
        <v>8.1575336809384877E-2</v>
      </c>
      <c r="P123" s="169">
        <f>(INDEX(Models!$BJ123:$BT123,,T123)*(1-R123)+INDEX(Models!$BJ123:$BT123,,T123+1)*R123-ERP_i)*Q123*Ramure*Pc/MaxiM</f>
        <v>4.9277840195044095E-3</v>
      </c>
      <c r="Q123" s="305">
        <f t="shared" si="28"/>
        <v>0.8</v>
      </c>
      <c r="R123" s="177">
        <f t="shared" si="29"/>
        <v>0.26195499073400641</v>
      </c>
      <c r="S123" s="809">
        <f t="shared" si="30"/>
        <v>1</v>
      </c>
      <c r="T123" s="176">
        <f t="shared" si="31"/>
        <v>7</v>
      </c>
      <c r="U123" s="251">
        <f t="shared" si="32"/>
        <v>1.2619549907340064</v>
      </c>
      <c r="V123" s="383">
        <f t="shared" si="33"/>
        <v>47.718663529266834</v>
      </c>
      <c r="W123" s="402">
        <f t="shared" si="34"/>
        <v>8.2123710135223416</v>
      </c>
      <c r="X123" s="157">
        <f t="shared" si="35"/>
        <v>45400</v>
      </c>
      <c r="Y123" s="385">
        <f t="shared" si="36"/>
        <v>7.5867123001905759</v>
      </c>
      <c r="Z123" s="385">
        <f t="shared" si="37"/>
        <v>8.1447817450867657</v>
      </c>
      <c r="AA123" s="386">
        <f t="shared" si="38"/>
        <v>9.5995496585477493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0.1515454334012025</v>
      </c>
      <c r="AD123" s="231">
        <f>(INDEX(Models!$BJ123:$BT123,,AH123)*(1-AF123)+INDEX(Models!$BJ123:$BT123,,AH123+1)*AF123-ERP_i)*AE123*Ramure*Pc/MaxiM</f>
        <v>1.7633004932259635E-2</v>
      </c>
      <c r="AE123" s="305">
        <f t="shared" si="40"/>
        <v>0.8</v>
      </c>
      <c r="AF123" s="177">
        <f t="shared" si="41"/>
        <v>0.46267173789890981</v>
      </c>
      <c r="AG123" s="809">
        <f t="shared" si="49"/>
        <v>2</v>
      </c>
      <c r="AH123" s="176">
        <f t="shared" si="42"/>
        <v>8</v>
      </c>
      <c r="AI123" s="225">
        <f t="shared" si="43"/>
        <v>2.4626717378989098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IF(t&gt;Tmaj,'2023'!Wh/'2023'!Env_an*'2024'!Env_an,0.001*'[6]mon-tableau'!$B$155)</f>
        <v>9.5583694181222096</v>
      </c>
      <c r="C124" s="839"/>
      <c r="D124" s="393">
        <f t="shared" si="25"/>
        <v>10.26171580998661</v>
      </c>
      <c r="E124" s="385">
        <f t="shared" si="47"/>
        <v>11.175217827004072</v>
      </c>
      <c r="F124" s="385">
        <f t="shared" si="26"/>
        <v>11.175217827004072</v>
      </c>
      <c r="G124" s="110">
        <f t="shared" si="48"/>
        <v>0.19835938209478321</v>
      </c>
      <c r="H124" s="414" t="b">
        <f>Wh_hp&gt;='2023'!Maxi_hp</f>
        <v>0</v>
      </c>
      <c r="I124" s="390">
        <f>IF(H124,Wh_hp,'2023'!Maxi_hp)</f>
        <v>47.97247568092412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6.8540817626221023E-2</v>
      </c>
      <c r="M124" s="843"/>
      <c r="N124" s="843"/>
      <c r="O124" s="48">
        <f>IF(t&lt;Tnet,'2023'!Resal+('2023'!Salim-'2023'!Resal)*(1-EXP(('2023'!Tnet-t)/('2023'!Tau_j))),Resal+(Salim-Resal)*(1-EXP((Tnet-t)/(Tau_j))))*Salcycl</f>
        <v>8.1743553562781859E-2</v>
      </c>
      <c r="P124" s="169">
        <f>(INDEX(Models!$BJ124:$BT124,,T124)*(1-R124)+INDEX(Models!$BJ124:$BT124,,T124+1)*R124-ERP_i)*Q124*Ramure*Pc/MaxiM</f>
        <v>4.7029407908937421E-3</v>
      </c>
      <c r="Q124" s="305">
        <f t="shared" si="28"/>
        <v>0.8</v>
      </c>
      <c r="R124" s="177">
        <f t="shared" si="29"/>
        <v>0.26432505640840942</v>
      </c>
      <c r="S124" s="809">
        <f t="shared" si="30"/>
        <v>1</v>
      </c>
      <c r="T124" s="176">
        <f t="shared" si="31"/>
        <v>7</v>
      </c>
      <c r="U124" s="251">
        <f t="shared" si="32"/>
        <v>1.2643250564084094</v>
      </c>
      <c r="V124" s="383">
        <f t="shared" si="33"/>
        <v>47.960509214257584</v>
      </c>
      <c r="W124" s="402">
        <f t="shared" si="34"/>
        <v>9.5583694181222096</v>
      </c>
      <c r="X124" s="157">
        <f t="shared" si="35"/>
        <v>45401</v>
      </c>
      <c r="Y124" s="385">
        <f t="shared" si="36"/>
        <v>8.8307827668994729</v>
      </c>
      <c r="Z124" s="385">
        <f t="shared" si="37"/>
        <v>9.4805901686369634</v>
      </c>
      <c r="AA124" s="386">
        <f t="shared" si="38"/>
        <v>11.175217827004072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0.15164157733661063</v>
      </c>
      <c r="AD124" s="231">
        <f>(INDEX(Models!$BJ124:$BT124,,AH124)*(1-AF124)+INDEX(Models!$BJ124:$BT124,,AH124+1)*AF124-ERP_i)*AE124*Ramure*Pc/MaxiM</f>
        <v>1.698533740031704E-2</v>
      </c>
      <c r="AE124" s="305">
        <f t="shared" si="40"/>
        <v>0.8</v>
      </c>
      <c r="AF124" s="177">
        <f t="shared" si="41"/>
        <v>0.46504180357331304</v>
      </c>
      <c r="AG124" s="809">
        <f t="shared" si="49"/>
        <v>2</v>
      </c>
      <c r="AH124" s="176">
        <f t="shared" si="42"/>
        <v>8</v>
      </c>
      <c r="AI124" s="225">
        <f t="shared" si="43"/>
        <v>2.465041803573313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IF(t&gt;Tmaj,'2023'!Wh/'2023'!Env_an*'2024'!Env_an,0.001*'[6]mon-tableau'!$B$156)</f>
        <v>9.0078109605985919</v>
      </c>
      <c r="C125" s="839"/>
      <c r="D125" s="393">
        <f t="shared" si="25"/>
        <v>9.6708750229086746</v>
      </c>
      <c r="E125" s="385">
        <f t="shared" si="47"/>
        <v>10.533721887374107</v>
      </c>
      <c r="F125" s="385">
        <f t="shared" si="26"/>
        <v>10.533721887374107</v>
      </c>
      <c r="G125" s="110">
        <f t="shared" si="48"/>
        <v>0.18605870411903375</v>
      </c>
      <c r="H125" s="414" t="b">
        <f>Wh_hp&gt;='2023'!Maxi_hp</f>
        <v>0</v>
      </c>
      <c r="I125" s="390">
        <f>IF(H125,Wh_hp,'2023'!Maxi_hp)</f>
        <v>54.505282357520926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6.8562985328566001E-2</v>
      </c>
      <c r="M125" s="843"/>
      <c r="N125" s="843"/>
      <c r="O125" s="48">
        <f>IF(t&lt;Tnet,'2023'!Resal+('2023'!Salim-'2023'!Resal)*(1-EXP(('2023'!Tnet-t)/('2023'!Tau_j))),Resal+(Salim-Resal)*(1-EXP((Tnet-t)/(Tau_j))))*Salcycl</f>
        <v>8.1912819959643557E-2</v>
      </c>
      <c r="P125" s="169">
        <f>(INDEX(Models!$BJ125:$BT125,,T125)*(1-R125)+INDEX(Models!$BJ125:$BT125,,T125+1)*R125-ERP_i)*Q125*Ramure*Pc/MaxiM</f>
        <v>4.4941990756786863E-3</v>
      </c>
      <c r="Q125" s="305">
        <f t="shared" si="28"/>
        <v>0.8</v>
      </c>
      <c r="R125" s="177">
        <f t="shared" si="29"/>
        <v>0.26677242168697712</v>
      </c>
      <c r="S125" s="809">
        <f t="shared" si="30"/>
        <v>1</v>
      </c>
      <c r="T125" s="176">
        <f t="shared" si="31"/>
        <v>7</v>
      </c>
      <c r="U125" s="251">
        <f t="shared" si="32"/>
        <v>1.2667724216869771</v>
      </c>
      <c r="V125" s="383">
        <f t="shared" si="33"/>
        <v>48.196229826305817</v>
      </c>
      <c r="W125" s="402">
        <f t="shared" si="34"/>
        <v>9.0078109605985919</v>
      </c>
      <c r="X125" s="157">
        <f t="shared" si="35"/>
        <v>45402</v>
      </c>
      <c r="Y125" s="385">
        <f t="shared" si="36"/>
        <v>8.3227035579831963</v>
      </c>
      <c r="Z125" s="385">
        <f t="shared" si="37"/>
        <v>8.9353369330282018</v>
      </c>
      <c r="AA125" s="386">
        <f t="shared" si="38"/>
        <v>10.533721887374107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0.1517398096737067</v>
      </c>
      <c r="AD125" s="231">
        <f>(INDEX(Models!$BJ125:$BT125,,AH125)*(1-AF125)+INDEX(Models!$BJ125:$BT125,,AH125+1)*AF125-ERP_i)*AE125*Ramure*Pc/MaxiM</f>
        <v>1.6357648894030043E-2</v>
      </c>
      <c r="AE125" s="305">
        <f t="shared" si="40"/>
        <v>0.8</v>
      </c>
      <c r="AF125" s="177">
        <f t="shared" si="41"/>
        <v>0.46748916885188052</v>
      </c>
      <c r="AG125" s="809">
        <f t="shared" si="49"/>
        <v>2</v>
      </c>
      <c r="AH125" s="176">
        <f t="shared" si="42"/>
        <v>8</v>
      </c>
      <c r="AI125" s="225">
        <f t="shared" si="43"/>
        <v>2.4674891688518805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IF(t&gt;Tmaj,'2023'!Wh/'2023'!Env_an*'2024'!Env_an,0.001*'[6]mon-tableau'!$B$157)</f>
        <v>25.84226634440607</v>
      </c>
      <c r="C126" s="839"/>
      <c r="D126" s="393">
        <f t="shared" si="25"/>
        <v>27.745173285766469</v>
      </c>
      <c r="E126" s="385">
        <f t="shared" si="47"/>
        <v>30.22623804672557</v>
      </c>
      <c r="F126" s="385">
        <f t="shared" si="26"/>
        <v>30.269697056131498</v>
      </c>
      <c r="G126" s="110">
        <f t="shared" si="48"/>
        <v>0.53211497604226565</v>
      </c>
      <c r="H126" s="414" t="b">
        <f>Wh_hp&gt;='2023'!Maxi_hp</f>
        <v>0</v>
      </c>
      <c r="I126" s="390">
        <f>IF(H126,Wh_hp,'2023'!Maxi_hp)</f>
        <v>57.608125541806146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6.8585152515036191E-2</v>
      </c>
      <c r="M126" s="843"/>
      <c r="N126" s="843"/>
      <c r="O126" s="48">
        <f>IF(t&lt;Tnet,'2023'!Resal+('2023'!Salim-'2023'!Resal)*(1-EXP(('2023'!Tnet-t)/('2023'!Tau_j))),Resal+(Salim-Resal)*(1-EXP((Tnet-t)/(Tau_j))))*Salcycl</f>
        <v>8.2083147665406364E-2</v>
      </c>
      <c r="P126" s="169">
        <f>(INDEX(Models!$BJ126:$BT126,,T126)*(1-R126)+INDEX(Models!$BJ126:$BT126,,T126+1)*R126-ERP_i)*Q126*Ramure*Pc/MaxiM</f>
        <v>4.3014079035178501E-3</v>
      </c>
      <c r="Q126" s="305">
        <f t="shared" si="28"/>
        <v>0.8</v>
      </c>
      <c r="R126" s="177">
        <f t="shared" si="29"/>
        <v>0.2692987619432361</v>
      </c>
      <c r="S126" s="809">
        <f t="shared" si="30"/>
        <v>1</v>
      </c>
      <c r="T126" s="176">
        <f t="shared" si="31"/>
        <v>7</v>
      </c>
      <c r="U126" s="251">
        <f t="shared" si="32"/>
        <v>1.2692987619432361</v>
      </c>
      <c r="V126" s="383">
        <f t="shared" si="33"/>
        <v>48.425820224218448</v>
      </c>
      <c r="W126" s="402">
        <f t="shared" si="34"/>
        <v>25.84226634440607</v>
      </c>
      <c r="X126" s="157">
        <f t="shared" si="35"/>
        <v>45403</v>
      </c>
      <c r="Y126" s="385">
        <f t="shared" si="36"/>
        <v>23.787014813033057</v>
      </c>
      <c r="Z126" s="385">
        <f t="shared" si="37"/>
        <v>25.538582380626114</v>
      </c>
      <c r="AA126" s="386">
        <f t="shared" si="38"/>
        <v>30.11057664111193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0.15184014291653836</v>
      </c>
      <c r="AD126" s="231">
        <f>(INDEX(Models!$BJ126:$BT126,,AH126)*(1-AF126)+INDEX(Models!$BJ126:$BT126,,AH126+1)*AF126-ERP_i)*AE126*Ramure*Pc/MaxiM</f>
        <v>1.5749135107595361E-2</v>
      </c>
      <c r="AE126" s="305">
        <f t="shared" si="40"/>
        <v>0.8</v>
      </c>
      <c r="AF126" s="177">
        <f t="shared" si="41"/>
        <v>0.47001550910813972</v>
      </c>
      <c r="AG126" s="809">
        <f t="shared" si="49"/>
        <v>2</v>
      </c>
      <c r="AH126" s="176">
        <f t="shared" si="42"/>
        <v>8</v>
      </c>
      <c r="AI126" s="225">
        <f t="shared" si="43"/>
        <v>2.4700155091081397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IF(t&gt;Tmaj,'2023'!Wh/'2023'!Env_an*'2024'!Env_an,0.001*'[6]mon-tableau'!$B$158)</f>
        <v>8.857902998572099</v>
      </c>
      <c r="C127" s="839"/>
      <c r="D127" s="393">
        <f t="shared" si="25"/>
        <v>9.510385019159969</v>
      </c>
      <c r="E127" s="385">
        <f t="shared" si="47"/>
        <v>10.362769964053465</v>
      </c>
      <c r="F127" s="385">
        <f t="shared" si="26"/>
        <v>10.362769964053465</v>
      </c>
      <c r="G127" s="110">
        <f t="shared" si="48"/>
        <v>0.18132580864367306</v>
      </c>
      <c r="H127" s="414" t="b">
        <f>Wh_hp&gt;='2023'!Maxi_hp</f>
        <v>0</v>
      </c>
      <c r="I127" s="390">
        <f>IF(H127,Wh_hp,'2023'!Maxi_hp)</f>
        <v>57.772460785382194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6.8607319185643584E-2</v>
      </c>
      <c r="M127" s="843"/>
      <c r="N127" s="843"/>
      <c r="O127" s="48">
        <f>IF(t&lt;Tnet,'2023'!Resal+('2023'!Salim-'2023'!Resal)*(1-EXP(('2023'!Tnet-t)/('2023'!Tau_j))),Resal+(Salim-Resal)*(1-EXP((Tnet-t)/(Tau_j))))*Salcycl</f>
        <v>8.2254546598087425E-2</v>
      </c>
      <c r="P127" s="169">
        <f>(INDEX(Models!$BJ127:$BT127,,T127)*(1-R127)+INDEX(Models!$BJ127:$BT127,,T127+1)*R127-ERP_i)*Q127*Ramure*Pc/MaxiM</f>
        <v>4.1244343694043784E-3</v>
      </c>
      <c r="Q127" s="305">
        <f t="shared" si="28"/>
        <v>0.8</v>
      </c>
      <c r="R127" s="177">
        <f t="shared" si="29"/>
        <v>0.27190572474807606</v>
      </c>
      <c r="S127" s="809">
        <f t="shared" si="30"/>
        <v>1</v>
      </c>
      <c r="T127" s="176">
        <f t="shared" si="31"/>
        <v>7</v>
      </c>
      <c r="U127" s="251">
        <f t="shared" si="32"/>
        <v>1.2719057247480761</v>
      </c>
      <c r="V127" s="383">
        <f t="shared" si="33"/>
        <v>48.649275163796368</v>
      </c>
      <c r="W127" s="402">
        <f t="shared" si="34"/>
        <v>8.857902998572099</v>
      </c>
      <c r="X127" s="157">
        <f t="shared" si="35"/>
        <v>45404</v>
      </c>
      <c r="Y127" s="385">
        <f t="shared" si="36"/>
        <v>8.1852874126266517</v>
      </c>
      <c r="Z127" s="385">
        <f t="shared" si="37"/>
        <v>8.7882238944264675</v>
      </c>
      <c r="AA127" s="386">
        <f t="shared" si="38"/>
        <v>10.362769964053465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0.151942586305477</v>
      </c>
      <c r="AD127" s="231">
        <f>(INDEX(Models!$BJ127:$BT127,,AH127)*(1-AF127)+INDEX(Models!$BJ127:$BT127,,AH127+1)*AF127-ERP_i)*AE127*Ramure*Pc/MaxiM</f>
        <v>1.5158961070619629E-2</v>
      </c>
      <c r="AE127" s="305">
        <f t="shared" si="40"/>
        <v>0.8</v>
      </c>
      <c r="AF127" s="177">
        <f t="shared" si="41"/>
        <v>0.47262247191297968</v>
      </c>
      <c r="AG127" s="809">
        <f t="shared" si="49"/>
        <v>2</v>
      </c>
      <c r="AH127" s="176">
        <f t="shared" si="42"/>
        <v>8</v>
      </c>
      <c r="AI127" s="225">
        <f t="shared" si="43"/>
        <v>2.4726224719129797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IF(t&gt;Tmaj,'2023'!Wh/'2023'!Env_an*'2024'!Env_an,0.001*'[6]mon-tableau'!$B$159)</f>
        <v>28.238786727604502</v>
      </c>
      <c r="C128" s="839"/>
      <c r="D128" s="393">
        <f t="shared" si="25"/>
        <v>30.319605659757546</v>
      </c>
      <c r="E128" s="385">
        <f t="shared" si="47"/>
        <v>33.043263566623573</v>
      </c>
      <c r="F128" s="385">
        <f t="shared" si="26"/>
        <v>33.095412662363785</v>
      </c>
      <c r="G128" s="110">
        <f t="shared" si="48"/>
        <v>0.57649331021724137</v>
      </c>
      <c r="H128" s="414" t="b">
        <f>Wh_hp&gt;='2023'!Maxi_hp</f>
        <v>0</v>
      </c>
      <c r="I128" s="390">
        <f>IF(H128,Wh_hp,'2023'!Maxi_hp)</f>
        <v>52.820731246679635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6.862948534040017E-2</v>
      </c>
      <c r="M128" s="843"/>
      <c r="N128" s="843"/>
      <c r="O128" s="48">
        <f>IF(t&lt;Tnet,'2023'!Resal+('2023'!Salim-'2023'!Resal)*(1-EXP(('2023'!Tnet-t)/('2023'!Tau_j))),Resal+(Salim-Resal)*(1-EXP((Tnet-t)/(Tau_j))))*Salcycl</f>
        <v>8.242702484197556E-2</v>
      </c>
      <c r="P128" s="169">
        <f>(INDEX(Models!$BJ128:$BT128,,T128)*(1-R128)+INDEX(Models!$BJ128:$BT128,,T128+1)*R128-ERP_i)*Q128*Ramure*Pc/MaxiM</f>
        <v>3.9693711678274457E-3</v>
      </c>
      <c r="Q128" s="305">
        <f t="shared" si="28"/>
        <v>0.8</v>
      </c>
      <c r="R128" s="177">
        <f t="shared" si="29"/>
        <v>0.27459492401197405</v>
      </c>
      <c r="S128" s="809">
        <f t="shared" si="30"/>
        <v>1</v>
      </c>
      <c r="T128" s="176">
        <f t="shared" si="31"/>
        <v>7</v>
      </c>
      <c r="U128" s="251">
        <f t="shared" si="32"/>
        <v>1.2745949240119741</v>
      </c>
      <c r="V128" s="383">
        <f t="shared" si="33"/>
        <v>48.866284724833427</v>
      </c>
      <c r="W128" s="402">
        <f t="shared" si="34"/>
        <v>28.238786727604502</v>
      </c>
      <c r="X128" s="157">
        <f t="shared" si="35"/>
        <v>45405</v>
      </c>
      <c r="Y128" s="385">
        <f t="shared" si="36"/>
        <v>25.985874880161536</v>
      </c>
      <c r="Z128" s="385">
        <f t="shared" si="37"/>
        <v>27.900684497897092</v>
      </c>
      <c r="AA128" s="386">
        <f t="shared" si="38"/>
        <v>32.903579905169849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0.15204714568115107</v>
      </c>
      <c r="AD128" s="231">
        <f>(INDEX(Models!$BJ128:$BT128,,AH128)*(1-AF128)+INDEX(Models!$BJ128:$BT128,,AH128+1)*AF128-ERP_i)*AE128*Ramure*Pc/MaxiM</f>
        <v>1.4601507555255348E-2</v>
      </c>
      <c r="AE128" s="305">
        <f t="shared" si="40"/>
        <v>0.8</v>
      </c>
      <c r="AF128" s="177">
        <f t="shared" si="41"/>
        <v>0.47531167117687767</v>
      </c>
      <c r="AG128" s="809">
        <f t="shared" si="49"/>
        <v>2</v>
      </c>
      <c r="AH128" s="176">
        <f t="shared" si="42"/>
        <v>8</v>
      </c>
      <c r="AI128" s="225">
        <f t="shared" si="43"/>
        <v>2.4753116711768777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IF(t&gt;Tmaj,'2023'!Wh/'2023'!Env_an*'2024'!Env_an,0.001*'[6]mon-tableau'!$B$160)</f>
        <v>45.184925482658372</v>
      </c>
      <c r="C129" s="839"/>
      <c r="D129" s="393">
        <f t="shared" si="25"/>
        <v>48.51560163302009</v>
      </c>
      <c r="E129" s="385">
        <f t="shared" si="47"/>
        <v>52.883837757020977</v>
      </c>
      <c r="F129" s="385">
        <f t="shared" si="26"/>
        <v>53.064133435305294</v>
      </c>
      <c r="G129" s="110">
        <f t="shared" si="48"/>
        <v>0.92029250471812518</v>
      </c>
      <c r="H129" s="414" t="b">
        <f>Wh_hp&gt;='2023'!Maxi_hp</f>
        <v>0</v>
      </c>
      <c r="I129" s="390">
        <f>IF(H129,Wh_hp,'2023'!Maxi_hp)</f>
        <v>55.359840587650929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6.8651650979317941E-2</v>
      </c>
      <c r="M129" s="843"/>
      <c r="N129" s="843"/>
      <c r="O129" s="48">
        <f>IF(t&lt;Tnet,'2023'!Resal+('2023'!Salim-'2023'!Resal)*(1-EXP(('2023'!Tnet-t)/('2023'!Tau_j))),Resal+(Salim-Resal)*(1-EXP((Tnet-t)/(Tau_j))))*Salcycl</f>
        <v>8.2600588559232371E-2</v>
      </c>
      <c r="P129" s="169">
        <f>(INDEX(Models!$BJ129:$BT129,,T129)*(1-R129)+INDEX(Models!$BJ129:$BT129,,T129+1)*R129-ERP_i)*Q129*Ramure*Pc/MaxiM</f>
        <v>3.8318194553544939E-3</v>
      </c>
      <c r="Q129" s="305">
        <f t="shared" si="28"/>
        <v>0.8</v>
      </c>
      <c r="R129" s="177">
        <f t="shared" si="29"/>
        <v>0.2773679338179329</v>
      </c>
      <c r="S129" s="809">
        <f t="shared" si="30"/>
        <v>1</v>
      </c>
      <c r="T129" s="176">
        <f t="shared" si="31"/>
        <v>7</v>
      </c>
      <c r="U129" s="251">
        <f t="shared" si="32"/>
        <v>1.2773679338179329</v>
      </c>
      <c r="V129" s="383">
        <f t="shared" si="33"/>
        <v>49.077051524922325</v>
      </c>
      <c r="W129" s="402">
        <f t="shared" si="34"/>
        <v>45.184925482658372</v>
      </c>
      <c r="X129" s="157">
        <f t="shared" si="35"/>
        <v>45406</v>
      </c>
      <c r="Y129" s="385">
        <f t="shared" si="36"/>
        <v>41.378670774630208</v>
      </c>
      <c r="Z129" s="385">
        <f t="shared" si="37"/>
        <v>44.428779863238184</v>
      </c>
      <c r="AA129" s="386">
        <f t="shared" si="38"/>
        <v>52.401934556750597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0.1521538233455407</v>
      </c>
      <c r="AD129" s="231">
        <f>(INDEX(Models!$BJ129:$BT129,,AH129)*(1-AF129)+INDEX(Models!$BJ129:$BT129,,AH129+1)*AF129-ERP_i)*AE129*Ramure*Pc/MaxiM</f>
        <v>1.4073695888364069E-2</v>
      </c>
      <c r="AE129" s="305">
        <f t="shared" si="40"/>
        <v>0.8</v>
      </c>
      <c r="AF129" s="177">
        <f t="shared" si="41"/>
        <v>0.47808468098283674</v>
      </c>
      <c r="AG129" s="809">
        <f t="shared" si="49"/>
        <v>2</v>
      </c>
      <c r="AH129" s="176">
        <f t="shared" si="42"/>
        <v>8</v>
      </c>
      <c r="AI129" s="225">
        <f t="shared" si="43"/>
        <v>2.4780846809828367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IF(t&gt;Tmaj,'2023'!Wh/'2023'!Env_an*'2024'!Env_an,0.001*'[6]mon-tableau'!$B$161)</f>
        <v>47.268546664128962</v>
      </c>
      <c r="C130" s="839"/>
      <c r="D130" s="393">
        <f t="shared" si="25"/>
        <v>50.754018818960454</v>
      </c>
      <c r="E130" s="385">
        <f t="shared" si="47"/>
        <v>55.334331493717201</v>
      </c>
      <c r="F130" s="385">
        <f t="shared" si="26"/>
        <v>55.528409292468261</v>
      </c>
      <c r="G130" s="110">
        <f t="shared" si="48"/>
        <v>0.95894416211942346</v>
      </c>
      <c r="H130" s="414" t="b">
        <f>Wh_hp&gt;='2023'!Maxi_hp</f>
        <v>0</v>
      </c>
      <c r="I130" s="390">
        <f>IF(H130,Wh_hp,'2023'!Maxi_hp)</f>
        <v>55.539931860605101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6.8673816102408997E-2</v>
      </c>
      <c r="M130" s="843"/>
      <c r="N130" s="843"/>
      <c r="O130" s="48">
        <f>IF(t&lt;Tnet,'2023'!Resal+('2023'!Salim-'2023'!Resal)*(1-EXP(('2023'!Tnet-t)/('2023'!Tau_j))),Resal+(Salim-Resal)*(1-EXP((Tnet-t)/(Tau_j))))*Salcycl</f>
        <v>8.2775241899810587E-2</v>
      </c>
      <c r="P130" s="169">
        <f>(INDEX(Models!$BJ130:$BT130,,T130)*(1-R130)+INDEX(Models!$BJ130:$BT130,,T130+1)*R130-ERP_i)*Q130*Ramure*Pc/MaxiM</f>
        <v>3.7116983471783818E-3</v>
      </c>
      <c r="Q130" s="305">
        <f t="shared" si="28"/>
        <v>0.8</v>
      </c>
      <c r="R130" s="177">
        <f t="shared" si="29"/>
        <v>0.28022628195136368</v>
      </c>
      <c r="S130" s="809">
        <f t="shared" si="30"/>
        <v>1</v>
      </c>
      <c r="T130" s="176">
        <f t="shared" si="31"/>
        <v>7</v>
      </c>
      <c r="U130" s="251">
        <f t="shared" si="32"/>
        <v>1.2802262819513637</v>
      </c>
      <c r="V130" s="383">
        <f t="shared" si="33"/>
        <v>49.281568960398012</v>
      </c>
      <c r="W130" s="402">
        <f t="shared" si="34"/>
        <v>47.268546664128962</v>
      </c>
      <c r="X130" s="157">
        <f t="shared" si="35"/>
        <v>45407</v>
      </c>
      <c r="Y130" s="385">
        <f t="shared" si="36"/>
        <v>43.280377814046766</v>
      </c>
      <c r="Z130" s="385">
        <f t="shared" si="37"/>
        <v>46.471771719032752</v>
      </c>
      <c r="AA130" s="386">
        <f t="shared" si="38"/>
        <v>54.818594415483979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0.15226261792100232</v>
      </c>
      <c r="AD130" s="231">
        <f>(INDEX(Models!$BJ130:$BT130,,AH130)*(1-AF130)+INDEX(Models!$BJ130:$BT130,,AH130+1)*AF130-ERP_i)*AE130*Ramure*Pc/MaxiM</f>
        <v>1.3575064858832914E-2</v>
      </c>
      <c r="AE130" s="305">
        <f t="shared" si="40"/>
        <v>0.8</v>
      </c>
      <c r="AF130" s="177">
        <f t="shared" si="41"/>
        <v>0.48094302911626752</v>
      </c>
      <c r="AG130" s="809">
        <f t="shared" si="49"/>
        <v>2</v>
      </c>
      <c r="AH130" s="176">
        <f t="shared" si="42"/>
        <v>8</v>
      </c>
      <c r="AI130" s="225">
        <f t="shared" si="43"/>
        <v>2.4809430291162675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IF(t&gt;Tmaj,'2023'!Wh/'2023'!Env_an*'2024'!Env_an,0.001*'[6]mon-tableau'!$B$162)</f>
        <v>34.40074659559172</v>
      </c>
      <c r="C131" s="839"/>
      <c r="D131" s="393">
        <f t="shared" si="25"/>
        <v>36.938256340616086</v>
      </c>
      <c r="E131" s="385">
        <f t="shared" si="47"/>
        <v>40.279478864668242</v>
      </c>
      <c r="F131" s="385">
        <f t="shared" si="26"/>
        <v>40.361726421749225</v>
      </c>
      <c r="G131" s="110">
        <f t="shared" si="48"/>
        <v>0.69415327643056113</v>
      </c>
      <c r="H131" s="414" t="b">
        <f>Wh_hp&gt;='2023'!Maxi_hp</f>
        <v>0</v>
      </c>
      <c r="I131" s="390">
        <f>IF(H131,Wh_hp,'2023'!Maxi_hp)</f>
        <v>40.422363464574303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6.8695980709685106E-2</v>
      </c>
      <c r="M131" s="843"/>
      <c r="N131" s="843"/>
      <c r="O131" s="48">
        <f>IF(t&lt;Tnet,'2023'!Resal+('2023'!Salim-'2023'!Resal)*(1-EXP(('2023'!Tnet-t)/('2023'!Tau_j))),Resal+(Salim-Resal)*(1-EXP((Tnet-t)/(Tau_j))))*Salcycl</f>
        <v>8.2950986910184751E-2</v>
      </c>
      <c r="P131" s="169">
        <f>(INDEX(Models!$BJ131:$BT131,,T131)*(1-R131)+INDEX(Models!$BJ131:$BT131,,T131+1)*R131-ERP_i)*Q131*Ramure*Pc/MaxiM</f>
        <v>3.6089574870780167E-3</v>
      </c>
      <c r="Q131" s="305">
        <f t="shared" si="28"/>
        <v>0.8</v>
      </c>
      <c r="R131" s="177">
        <f t="shared" si="29"/>
        <v>0.28317144313592557</v>
      </c>
      <c r="S131" s="809">
        <f t="shared" si="30"/>
        <v>1</v>
      </c>
      <c r="T131" s="176">
        <f t="shared" si="31"/>
        <v>7</v>
      </c>
      <c r="U131" s="251">
        <f t="shared" si="32"/>
        <v>1.2831714431359256</v>
      </c>
      <c r="V131" s="383">
        <f t="shared" si="33"/>
        <v>49.479829696663458</v>
      </c>
      <c r="W131" s="402">
        <f t="shared" si="34"/>
        <v>34.40074659559172</v>
      </c>
      <c r="X131" s="157">
        <f t="shared" si="35"/>
        <v>45408</v>
      </c>
      <c r="Y131" s="385">
        <f t="shared" si="36"/>
        <v>31.625697942270754</v>
      </c>
      <c r="Z131" s="385">
        <f t="shared" si="37"/>
        <v>33.958511170574141</v>
      </c>
      <c r="AA131" s="386">
        <f t="shared" si="38"/>
        <v>40.063060959545936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0.15237352420814593</v>
      </c>
      <c r="AD131" s="231">
        <f>(INDEX(Models!$BJ131:$BT131,,AH131)*(1-AF131)+INDEX(Models!$BJ131:$BT131,,AH131+1)*AF131-ERP_i)*AE131*Ramure*Pc/MaxiM</f>
        <v>1.3105203293623427E-2</v>
      </c>
      <c r="AE131" s="305">
        <f t="shared" si="40"/>
        <v>0.8</v>
      </c>
      <c r="AF131" s="177">
        <f t="shared" si="41"/>
        <v>0.48388819030082919</v>
      </c>
      <c r="AG131" s="809">
        <f t="shared" si="49"/>
        <v>2</v>
      </c>
      <c r="AH131" s="176">
        <f t="shared" si="42"/>
        <v>8</v>
      </c>
      <c r="AI131" s="225">
        <f t="shared" si="43"/>
        <v>2.4838881903008292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IF(t&gt;Tmaj,'2023'!Wh/'2023'!Env_an*'2024'!Env_an,0.001*'[6]mon-tableau'!$B$163)</f>
        <v>19.248985738945127</v>
      </c>
      <c r="C132" s="839"/>
      <c r="D132" s="393">
        <f t="shared" si="25"/>
        <v>20.66934476548478</v>
      </c>
      <c r="E132" s="385">
        <f t="shared" si="47"/>
        <v>22.54332206160624</v>
      </c>
      <c r="F132" s="385">
        <f t="shared" si="26"/>
        <v>22.553258214040774</v>
      </c>
      <c r="G132" s="110">
        <f t="shared" si="48"/>
        <v>0.38632795271095965</v>
      </c>
      <c r="H132" s="414" t="b">
        <f>Wh_hp&gt;='2023'!Maxi_hp</f>
        <v>0</v>
      </c>
      <c r="I132" s="390">
        <f>IF(H132,Wh_hp,'2023'!Maxi_hp)</f>
        <v>43.833448045184817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6.8718144801158593E-2</v>
      </c>
      <c r="M132" s="843"/>
      <c r="N132" s="843"/>
      <c r="O132" s="48">
        <f>IF(t&lt;Tnet,'2023'!Resal+('2023'!Salim-'2023'!Resal)*(1-EXP(('2023'!Tnet-t)/('2023'!Tau_j))),Resal+(Salim-Resal)*(1-EXP((Tnet-t)/(Tau_j))))*Salcycl</f>
        <v>8.312782344147264E-2</v>
      </c>
      <c r="P132" s="169">
        <f>(INDEX(Models!$BJ132:$BT132,,T132)*(1-R132)+INDEX(Models!$BJ132:$BT132,,T132+1)*R132-ERP_i)*Q132*Ramure*Pc/MaxiM</f>
        <v>3.5235765809191631E-3</v>
      </c>
      <c r="Q132" s="305">
        <f t="shared" si="28"/>
        <v>0.8</v>
      </c>
      <c r="R132" s="177">
        <f t="shared" si="29"/>
        <v>0.28620483198737845</v>
      </c>
      <c r="S132" s="809">
        <f t="shared" si="30"/>
        <v>1</v>
      </c>
      <c r="T132" s="176">
        <f t="shared" si="31"/>
        <v>7</v>
      </c>
      <c r="U132" s="251">
        <f t="shared" si="32"/>
        <v>1.2862048319873784</v>
      </c>
      <c r="V132" s="383">
        <f t="shared" si="33"/>
        <v>49.671825663435996</v>
      </c>
      <c r="W132" s="402">
        <f t="shared" si="34"/>
        <v>19.248985738945127</v>
      </c>
      <c r="X132" s="157">
        <f t="shared" si="35"/>
        <v>45409</v>
      </c>
      <c r="Y132" s="385">
        <f t="shared" si="36"/>
        <v>17.772512955380485</v>
      </c>
      <c r="Z132" s="385">
        <f t="shared" si="37"/>
        <v>19.083924867821903</v>
      </c>
      <c r="AA132" s="386">
        <f t="shared" si="38"/>
        <v>22.517547640106532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0.1524865330436305</v>
      </c>
      <c r="AD132" s="231">
        <f>(INDEX(Models!$BJ132:$BT132,,AH132)*(1-AF132)+INDEX(Models!$BJ132:$BT132,,AH132+1)*AF132-ERP_i)*AE132*Ramure*Pc/MaxiM</f>
        <v>1.266374915591573E-2</v>
      </c>
      <c r="AE132" s="305">
        <f t="shared" si="40"/>
        <v>0.8</v>
      </c>
      <c r="AF132" s="177">
        <f t="shared" si="41"/>
        <v>0.48692157915228185</v>
      </c>
      <c r="AG132" s="809">
        <f t="shared" si="49"/>
        <v>2</v>
      </c>
      <c r="AH132" s="176">
        <f t="shared" si="42"/>
        <v>8</v>
      </c>
      <c r="AI132" s="225">
        <f t="shared" si="43"/>
        <v>2.4869215791522818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IF(t&gt;Tmaj,'2023'!Wh/'2023'!Env_an*'2024'!Env_an,0.001*'[6]mon-tableau'!$B$164)</f>
        <v>35.822572682082473</v>
      </c>
      <c r="C133" s="839"/>
      <c r="D133" s="393">
        <f t="shared" si="25"/>
        <v>38.466791813618343</v>
      </c>
      <c r="E133" s="385">
        <f t="shared" si="47"/>
        <v>41.962510154365269</v>
      </c>
      <c r="F133" s="385">
        <f t="shared" si="26"/>
        <v>42.04938109308118</v>
      </c>
      <c r="G133" s="110">
        <f t="shared" si="48"/>
        <v>0.71749796375367525</v>
      </c>
      <c r="H133" s="414" t="b">
        <f>Wh_hp&gt;='2023'!Maxi_hp</f>
        <v>0</v>
      </c>
      <c r="I133" s="390">
        <f>IF(H133,Wh_hp,'2023'!Maxi_hp)</f>
        <v>53.521315436728898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6.8740308376841114E-2</v>
      </c>
      <c r="M133" s="843"/>
      <c r="N133" s="843"/>
      <c r="O133" s="48">
        <f>IF(t&lt;Tnet,'2023'!Resal+('2023'!Salim-'2023'!Resal)*(1-EXP(('2023'!Tnet-t)/('2023'!Tau_j))),Resal+(Salim-Resal)*(1-EXP((Tnet-t)/(Tau_j))))*Salcycl</f>
        <v>8.3305749057608958E-2</v>
      </c>
      <c r="P133" s="169">
        <f>(INDEX(Models!$BJ133:$BT133,,T133)*(1-R133)+INDEX(Models!$BJ133:$BT133,,T133+1)*R133-ERP_i)*Q133*Ramure*Pc/MaxiM</f>
        <v>3.4555649292519188E-3</v>
      </c>
      <c r="Q133" s="305">
        <f t="shared" si="28"/>
        <v>0.8</v>
      </c>
      <c r="R133" s="177">
        <f t="shared" si="29"/>
        <v>0.28932779570073697</v>
      </c>
      <c r="S133" s="809">
        <f t="shared" si="30"/>
        <v>1</v>
      </c>
      <c r="T133" s="176">
        <f t="shared" si="31"/>
        <v>7</v>
      </c>
      <c r="U133" s="251">
        <f t="shared" si="32"/>
        <v>1.289327795700737</v>
      </c>
      <c r="V133" s="383">
        <f t="shared" si="33"/>
        <v>49.85754805842803</v>
      </c>
      <c r="W133" s="402">
        <f t="shared" si="34"/>
        <v>35.822572682082473</v>
      </c>
      <c r="X133" s="157">
        <f t="shared" si="35"/>
        <v>45410</v>
      </c>
      <c r="Y133" s="385">
        <f t="shared" si="36"/>
        <v>32.940150457372027</v>
      </c>
      <c r="Z133" s="385">
        <f t="shared" si="37"/>
        <v>35.371605529235666</v>
      </c>
      <c r="AA133" s="386">
        <f t="shared" si="38"/>
        <v>41.741413283126072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0.15260163115908193</v>
      </c>
      <c r="AD133" s="231">
        <f>(INDEX(Models!$BJ133:$BT133,,AH133)*(1-AF133)+INDEX(Models!$BJ133:$BT133,,AH133+1)*AF133-ERP_i)*AE133*Ramure*Pc/MaxiM</f>
        <v>1.2250388670250001E-2</v>
      </c>
      <c r="AE133" s="305">
        <f t="shared" si="40"/>
        <v>0.8</v>
      </c>
      <c r="AF133" s="177">
        <f t="shared" si="41"/>
        <v>0.49004454286564059</v>
      </c>
      <c r="AG133" s="809">
        <f t="shared" si="49"/>
        <v>2</v>
      </c>
      <c r="AH133" s="176">
        <f t="shared" si="42"/>
        <v>8</v>
      </c>
      <c r="AI133" s="225">
        <f t="shared" si="43"/>
        <v>2.4900445428656406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IF(t&gt;Tmaj,'2023'!Wh/'2023'!Env_an*'2024'!Env_an,0.001*'[6]mon-tableau'!$B$165)</f>
        <v>40.488739741575458</v>
      </c>
      <c r="C134" s="839"/>
      <c r="D134" s="393">
        <f t="shared" si="25"/>
        <v>43.478423602668663</v>
      </c>
      <c r="E134" s="385">
        <f t="shared" si="47"/>
        <v>47.438844063943655</v>
      </c>
      <c r="F134" s="385">
        <f t="shared" si="26"/>
        <v>47.556629954738483</v>
      </c>
      <c r="G134" s="110">
        <f t="shared" si="48"/>
        <v>0.80842325817752114</v>
      </c>
      <c r="H134" s="414" t="b">
        <f>Wh_hp&gt;='2023'!Maxi_hp</f>
        <v>0</v>
      </c>
      <c r="I134" s="390">
        <f>IF(H134,Wh_hp,'2023'!Maxi_hp)</f>
        <v>59.130369018521904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6.8762471436744993E-2</v>
      </c>
      <c r="M134" s="843"/>
      <c r="N134" s="843"/>
      <c r="O134" s="48">
        <f>IF(t&lt;Tnet,'2023'!Resal+('2023'!Salim-'2023'!Resal)*(1-EXP(('2023'!Tnet-t)/('2023'!Tau_j))),Resal+(Salim-Resal)*(1-EXP((Tnet-t)/(Tau_j))))*Salcycl</f>
        <v>8.3484758944308901E-2</v>
      </c>
      <c r="P134" s="169">
        <f>(INDEX(Models!$BJ134:$BT134,,T134)*(1-R134)+INDEX(Models!$BJ134:$BT134,,T134+1)*R134-ERP_i)*Q134*Ramure*Pc/MaxiM</f>
        <v>3.4049609547099598E-3</v>
      </c>
      <c r="Q134" s="305">
        <f t="shared" si="28"/>
        <v>0.8</v>
      </c>
      <c r="R134" s="177">
        <f t="shared" si="29"/>
        <v>0.29254160648947192</v>
      </c>
      <c r="S134" s="809">
        <f t="shared" si="30"/>
        <v>1</v>
      </c>
      <c r="T134" s="176">
        <f t="shared" si="31"/>
        <v>7</v>
      </c>
      <c r="U134" s="251">
        <f t="shared" si="32"/>
        <v>1.2925416064894719</v>
      </c>
      <c r="V134" s="383">
        <f t="shared" si="33"/>
        <v>50.036987351007525</v>
      </c>
      <c r="W134" s="402">
        <f t="shared" si="34"/>
        <v>40.488739741575458</v>
      </c>
      <c r="X134" s="157">
        <f t="shared" si="35"/>
        <v>45411</v>
      </c>
      <c r="Y134" s="385">
        <f t="shared" si="36"/>
        <v>37.199293684636721</v>
      </c>
      <c r="Z134" s="385">
        <f t="shared" si="37"/>
        <v>39.946085229220799</v>
      </c>
      <c r="AA134" s="386">
        <f t="shared" si="38"/>
        <v>47.146195712083696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0.15271880104246643</v>
      </c>
      <c r="AD134" s="231">
        <f>(INDEX(Models!$BJ134:$BT134,,AH134)*(1-AF134)+INDEX(Models!$BJ134:$BT134,,AH134+1)*AF134-ERP_i)*AE134*Ramure*Pc/MaxiM</f>
        <v>1.186485547025227E-2</v>
      </c>
      <c r="AE134" s="305">
        <f t="shared" si="40"/>
        <v>0.8</v>
      </c>
      <c r="AF134" s="177">
        <f t="shared" si="41"/>
        <v>0.49325835365437554</v>
      </c>
      <c r="AG134" s="809">
        <f t="shared" si="49"/>
        <v>2</v>
      </c>
      <c r="AH134" s="176">
        <f t="shared" si="42"/>
        <v>8</v>
      </c>
      <c r="AI134" s="225">
        <f t="shared" si="43"/>
        <v>2.4932583536543755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IF(t&gt;Tmaj,'2023'!Wh/'2023'!Env_an*'2024'!Env_an,0.001*[7]mois!$B$140)</f>
        <v>41.277172067443871</v>
      </c>
      <c r="C135" s="839"/>
      <c r="D135" s="393">
        <f t="shared" si="25"/>
        <v>44.326128598909357</v>
      </c>
      <c r="E135" s="385">
        <f t="shared" si="47"/>
        <v>48.373270846034075</v>
      </c>
      <c r="F135" s="385">
        <f t="shared" si="26"/>
        <v>48.495226465915358</v>
      </c>
      <c r="G135" s="110">
        <f t="shared" si="48"/>
        <v>0.82137544673859508</v>
      </c>
      <c r="H135" s="414" t="b">
        <f>Wh_hp&gt;='2023'!Maxi_hp</f>
        <v>0</v>
      </c>
      <c r="I135" s="390">
        <f>IF(H135,Wh_hp,'2023'!Maxi_hp)</f>
        <v>53.619994148118579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6.8784633980881998E-2</v>
      </c>
      <c r="M135" s="843"/>
      <c r="N135" s="843"/>
      <c r="O135" s="48">
        <f>IF(t&lt;Tnet,'2023'!Resal+('2023'!Salim-'2023'!Resal)*(1-EXP(('2023'!Tnet-t)/('2023'!Tau_j))),Resal+(Salim-Resal)*(1-EXP((Tnet-t)/(Tau_j))))*Salcycl</f>
        <v>8.3664845819631503E-2</v>
      </c>
      <c r="P135" s="169">
        <f>(INDEX(Models!$BJ135:$BT135,,T135)*(1-R135)+INDEX(Models!$BJ135:$BT135,,T135+1)*R135-ERP_i)*Q135*Ramure*Pc/MaxiM</f>
        <v>3.3718042300781969E-3</v>
      </c>
      <c r="Q135" s="305">
        <f t="shared" si="28"/>
        <v>0.8</v>
      </c>
      <c r="R135" s="177">
        <f t="shared" si="29"/>
        <v>0.29584745379914379</v>
      </c>
      <c r="S135" s="809">
        <f t="shared" si="30"/>
        <v>1</v>
      </c>
      <c r="T135" s="176">
        <f t="shared" si="31"/>
        <v>7</v>
      </c>
      <c r="U135" s="251">
        <f t="shared" si="32"/>
        <v>1.2958474537991438</v>
      </c>
      <c r="V135" s="383">
        <f t="shared" si="33"/>
        <v>50.210544015878227</v>
      </c>
      <c r="W135" s="402">
        <f t="shared" si="34"/>
        <v>41.277172067443871</v>
      </c>
      <c r="X135" s="157">
        <f t="shared" si="35"/>
        <v>45412</v>
      </c>
      <c r="Y135" s="385">
        <f t="shared" si="36"/>
        <v>37.929080386200539</v>
      </c>
      <c r="Z135" s="385">
        <f t="shared" si="37"/>
        <v>40.730728648029903</v>
      </c>
      <c r="AA135" s="386">
        <f t="shared" si="38"/>
        <v>48.07903287474609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0.15283802080336661</v>
      </c>
      <c r="AD135" s="231">
        <f>(INDEX(Models!$BJ135:$BT135,,AH135)*(1-AF135)+INDEX(Models!$BJ135:$BT135,,AH135+1)*AF135-ERP_i)*AE135*Ramure*Pc/MaxiM</f>
        <v>1.1506835950668459E-2</v>
      </c>
      <c r="AE135" s="305">
        <f t="shared" si="40"/>
        <v>0.8</v>
      </c>
      <c r="AF135" s="177">
        <f t="shared" si="41"/>
        <v>0.49656420096404741</v>
      </c>
      <c r="AG135" s="809">
        <f t="shared" si="49"/>
        <v>2</v>
      </c>
      <c r="AH135" s="176">
        <f t="shared" si="42"/>
        <v>8</v>
      </c>
      <c r="AI135" s="225">
        <f t="shared" si="43"/>
        <v>2.4965642009640474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IF(t&gt;Tmaj,'2023'!Wh/'2023'!Env_an*'2024'!Env_an,0.001*[7]mois!$B$141)</f>
        <v>26.921427223151152</v>
      </c>
      <c r="C136" s="839"/>
      <c r="D136" s="393">
        <f t="shared" si="25"/>
        <v>28.910678372411088</v>
      </c>
      <c r="E136" s="385">
        <f t="shared" si="47"/>
        <v>31.556570584839921</v>
      </c>
      <c r="F136" s="385">
        <f t="shared" si="26"/>
        <v>31.592106210687291</v>
      </c>
      <c r="G136" s="110">
        <f t="shared" si="48"/>
        <v>0.53318962087264721</v>
      </c>
      <c r="H136" s="414" t="b">
        <f>Wh_hp&gt;='2023'!Maxi_hp</f>
        <v>0</v>
      </c>
      <c r="I136" s="390">
        <f>IF(H136,Wh_hp,'2023'!Maxi_hp)</f>
        <v>49.269090767711724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6.8806796009264232E-2</v>
      </c>
      <c r="M136" s="843"/>
      <c r="N136" s="843"/>
      <c r="O136" s="48">
        <f>IF(t&lt;Tnet,'2023'!Resal+('2023'!Salim-'2023'!Resal)*(1-EXP(('2023'!Tnet-t)/('2023'!Tau_j))),Resal+(Salim-Resal)*(1-EXP((Tnet-t)/(Tau_j))))*Salcycl</f>
        <v>8.3845999847015948E-2</v>
      </c>
      <c r="P136" s="169">
        <f>(INDEX(Models!$BJ136:$BT136,,T136)*(1-R136)+INDEX(Models!$BJ136:$BT136,,T136+1)*R136-ERP_i)*Q136*Ramure*Pc/MaxiM</f>
        <v>3.3593365273322409E-3</v>
      </c>
      <c r="Q136" s="305">
        <f t="shared" si="28"/>
        <v>0.8</v>
      </c>
      <c r="R136" s="177">
        <f t="shared" si="29"/>
        <v>0.29924643632166603</v>
      </c>
      <c r="S136" s="809">
        <f t="shared" si="30"/>
        <v>1</v>
      </c>
      <c r="T136" s="176">
        <f t="shared" si="31"/>
        <v>7</v>
      </c>
      <c r="U136" s="251">
        <f t="shared" si="32"/>
        <v>1.299246436321666</v>
      </c>
      <c r="V136" s="383">
        <f t="shared" si="33"/>
        <v>50.378331123665355</v>
      </c>
      <c r="W136" s="402">
        <f t="shared" si="34"/>
        <v>26.921427223151152</v>
      </c>
      <c r="X136" s="157">
        <f t="shared" si="35"/>
        <v>45413</v>
      </c>
      <c r="Y136" s="385">
        <f t="shared" si="36"/>
        <v>24.825170548586787</v>
      </c>
      <c r="Z136" s="385">
        <f t="shared" si="37"/>
        <v>26.659527198218004</v>
      </c>
      <c r="AA136" s="386">
        <f t="shared" si="38"/>
        <v>31.473725012906261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0.1529592640437103</v>
      </c>
      <c r="AD136" s="231">
        <f>(INDEX(Models!$BJ136:$BT136,,AH136)*(1-AF136)+INDEX(Models!$BJ136:$BT136,,AH136+1)*AF136-ERP_i)*AE136*Ramure*Pc/MaxiM</f>
        <v>1.1191087039334552E-2</v>
      </c>
      <c r="AE136" s="305">
        <f t="shared" si="40"/>
        <v>0.8</v>
      </c>
      <c r="AF136" s="177">
        <f t="shared" si="41"/>
        <v>0.49996318348656965</v>
      </c>
      <c r="AG136" s="809">
        <f t="shared" si="49"/>
        <v>2</v>
      </c>
      <c r="AH136" s="176">
        <f t="shared" si="42"/>
        <v>8</v>
      </c>
      <c r="AI136" s="225">
        <f t="shared" si="43"/>
        <v>2.4999631834865697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IF(t&gt;Tmaj,'2023'!Wh/'2023'!Env_an*'2024'!Env_an,0.001*[7]mois!$B$142)</f>
        <v>32.852340515336401</v>
      </c>
      <c r="C137" s="839"/>
      <c r="D137" s="393">
        <f t="shared" si="25"/>
        <v>35.280672418578973</v>
      </c>
      <c r="E137" s="385">
        <f t="shared" si="47"/>
        <v>38.517204075461045</v>
      </c>
      <c r="F137" s="385">
        <f t="shared" si="26"/>
        <v>38.581952856463268</v>
      </c>
      <c r="G137" s="110">
        <f t="shared" si="48"/>
        <v>0.64892460327858226</v>
      </c>
      <c r="H137" s="414" t="b">
        <f>Wh_hp&gt;='2023'!Maxi_hp</f>
        <v>0</v>
      </c>
      <c r="I137" s="390">
        <f>IF(H137,Wh_hp,'2023'!Maxi_hp)</f>
        <v>58.038935188367326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6.8828957521903794E-2</v>
      </c>
      <c r="M137" s="843"/>
      <c r="N137" s="843"/>
      <c r="O137" s="48">
        <f>IF(t&lt;Tnet,'2023'!Resal+('2023'!Salim-'2023'!Resal)*(1-EXP(('2023'!Tnet-t)/('2023'!Tau_j))),Resal+(Salim-Resal)*(1-EXP((Tnet-t)/(Tau_j))))*Salcycl</f>
        <v>8.4028208551721856E-2</v>
      </c>
      <c r="P137" s="169">
        <f>(INDEX(Models!$BJ137:$BT137,,T137)*(1-R137)+INDEX(Models!$BJ137:$BT137,,T137+1)*R137-ERP_i)*Q137*Ramure*Pc/MaxiM</f>
        <v>3.3562634774062538E-3</v>
      </c>
      <c r="Q137" s="305">
        <f t="shared" si="28"/>
        <v>0.8</v>
      </c>
      <c r="R137" s="177">
        <f t="shared" si="29"/>
        <v>0.30273955384034257</v>
      </c>
      <c r="S137" s="809">
        <f t="shared" si="30"/>
        <v>1</v>
      </c>
      <c r="T137" s="176">
        <f t="shared" si="31"/>
        <v>7</v>
      </c>
      <c r="U137" s="251">
        <f t="shared" si="32"/>
        <v>1.3027395538403426</v>
      </c>
      <c r="V137" s="383">
        <f t="shared" si="33"/>
        <v>50.54072511874309</v>
      </c>
      <c r="W137" s="402">
        <f t="shared" si="34"/>
        <v>32.852340515336401</v>
      </c>
      <c r="X137" s="157">
        <f t="shared" si="35"/>
        <v>45414</v>
      </c>
      <c r="Y137" s="385">
        <f t="shared" si="36"/>
        <v>30.260785422449601</v>
      </c>
      <c r="Z137" s="385">
        <f t="shared" si="37"/>
        <v>32.497558495716881</v>
      </c>
      <c r="AA137" s="386">
        <f t="shared" si="38"/>
        <v>38.37157513638698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0.15308249973558921</v>
      </c>
      <c r="AD137" s="231">
        <f>(INDEX(Models!$BJ137:$BT137,,AH137)*(1-AF137)+INDEX(Models!$BJ137:$BT137,,AH137+1)*AF137-ERP_i)*AE137*Ramure*Pc/MaxiM</f>
        <v>1.0904962957183146E-2</v>
      </c>
      <c r="AE137" s="305">
        <f t="shared" si="40"/>
        <v>0.8</v>
      </c>
      <c r="AF137" s="177">
        <f t="shared" si="41"/>
        <v>0.50345630100524597</v>
      </c>
      <c r="AG137" s="809">
        <f t="shared" si="49"/>
        <v>2</v>
      </c>
      <c r="AH137" s="176">
        <f t="shared" si="42"/>
        <v>8</v>
      </c>
      <c r="AI137" s="225">
        <f t="shared" si="43"/>
        <v>2.503456301005246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IF(t&gt;Tmaj,'2023'!Wh/'2023'!Env_an*'2024'!Env_an,0.001*[7]mois!$B$143)</f>
        <v>19.332413064994753</v>
      </c>
      <c r="C138" s="839"/>
      <c r="D138" s="393">
        <f t="shared" si="25"/>
        <v>20.761892592559953</v>
      </c>
      <c r="E138" s="385">
        <f t="shared" si="47"/>
        <v>22.671055174691048</v>
      </c>
      <c r="F138" s="385">
        <f t="shared" si="26"/>
        <v>22.679916105284377</v>
      </c>
      <c r="G138" s="110">
        <f t="shared" si="48"/>
        <v>0.38019474553393057</v>
      </c>
      <c r="H138" s="414" t="b">
        <f>Wh_hp&gt;='2023'!Maxi_hp</f>
        <v>0</v>
      </c>
      <c r="I138" s="390">
        <f>IF(H138,Wh_hp,'2023'!Maxi_hp)</f>
        <v>56.165663952413723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6.8851118518812454E-2</v>
      </c>
      <c r="M138" s="843"/>
      <c r="N138" s="843"/>
      <c r="O138" s="48">
        <f>IF(t&lt;Tnet,'2023'!Resal+('2023'!Salim-'2023'!Resal)*(1-EXP(('2023'!Tnet-t)/('2023'!Tau_j))),Resal+(Salim-Resal)*(1-EXP((Tnet-t)/(Tau_j))))*Salcycl</f>
        <v>8.421145674165173E-2</v>
      </c>
      <c r="P138" s="169">
        <f>(INDEX(Models!$BJ138:$BT138,,T138)*(1-R138)+INDEX(Models!$BJ138:$BT138,,T138+1)*R138-ERP_i)*Q138*Ramure*Pc/MaxiM</f>
        <v>3.3627385072392585E-3</v>
      </c>
      <c r="Q138" s="305">
        <f t="shared" si="28"/>
        <v>0.8</v>
      </c>
      <c r="R138" s="177">
        <f t="shared" si="29"/>
        <v>0.30632769893989087</v>
      </c>
      <c r="S138" s="809">
        <f t="shared" si="30"/>
        <v>1</v>
      </c>
      <c r="T138" s="176">
        <f t="shared" si="31"/>
        <v>7</v>
      </c>
      <c r="U138" s="251">
        <f t="shared" si="32"/>
        <v>1.3063276989398909</v>
      </c>
      <c r="V138" s="383">
        <f t="shared" si="33"/>
        <v>50.69752820756176</v>
      </c>
      <c r="W138" s="402">
        <f t="shared" si="34"/>
        <v>19.332413064994753</v>
      </c>
      <c r="X138" s="157">
        <f t="shared" si="35"/>
        <v>45415</v>
      </c>
      <c r="Y138" s="385">
        <f t="shared" si="36"/>
        <v>17.860755897413409</v>
      </c>
      <c r="Z138" s="385">
        <f t="shared" si="37"/>
        <v>19.181417980121644</v>
      </c>
      <c r="AA138" s="386">
        <f t="shared" si="38"/>
        <v>22.65185666113203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0.15320769210787288</v>
      </c>
      <c r="AD138" s="231">
        <f>(INDEX(Models!$BJ138:$BT138,,AH138)*(1-AF138)+INDEX(Models!$BJ138:$BT138,,AH138+1)*AF138-ERP_i)*AE138*Ramure*Pc/MaxiM</f>
        <v>1.0648607654582341E-2</v>
      </c>
      <c r="AE138" s="305">
        <f t="shared" si="40"/>
        <v>0.8</v>
      </c>
      <c r="AF138" s="177">
        <f t="shared" si="41"/>
        <v>0.50704444610479449</v>
      </c>
      <c r="AG138" s="809">
        <f t="shared" si="49"/>
        <v>2</v>
      </c>
      <c r="AH138" s="176">
        <f t="shared" si="42"/>
        <v>8</v>
      </c>
      <c r="AI138" s="225">
        <f t="shared" si="43"/>
        <v>2.5070444461047945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IF(t&gt;Tmaj,'2023'!Wh/'2023'!Env_an*'2024'!Env_an,0.001*[7]mois!$B$144)</f>
        <v>38.446184867956056</v>
      </c>
      <c r="C139" s="839"/>
      <c r="D139" s="393">
        <f t="shared" si="25"/>
        <v>41.289959788358551</v>
      </c>
      <c r="E139" s="385">
        <f t="shared" si="47"/>
        <v>45.095857435797427</v>
      </c>
      <c r="F139" s="385">
        <f t="shared" si="26"/>
        <v>45.195358585094624</v>
      </c>
      <c r="G139" s="110">
        <f t="shared" si="48"/>
        <v>0.75520002199374681</v>
      </c>
      <c r="H139" s="414" t="b">
        <f>Wh_hp&gt;='2023'!Maxi_hp</f>
        <v>0</v>
      </c>
      <c r="I139" s="390">
        <f>IF(H139,Wh_hp,'2023'!Maxi_hp)</f>
        <v>56.298681599981336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6.8873279000002424E-2</v>
      </c>
      <c r="M139" s="843"/>
      <c r="N139" s="843"/>
      <c r="O139" s="48">
        <f>IF(t&lt;Tnet,'2023'!Resal+('2023'!Salim-'2023'!Resal)*(1-EXP(('2023'!Tnet-t)/('2023'!Tau_j))),Resal+(Salim-Resal)*(1-EXP((Tnet-t)/(Tau_j))))*Salcycl</f>
        <v>8.4395726433570961E-2</v>
      </c>
      <c r="P139" s="169">
        <f>(INDEX(Models!$BJ139:$BT139,,T139)*(1-R139)+INDEX(Models!$BJ139:$BT139,,T139+1)*R139-ERP_i)*Q139*Ramure*Pc/MaxiM</f>
        <v>3.3789337711364604E-3</v>
      </c>
      <c r="Q139" s="305">
        <f t="shared" si="28"/>
        <v>0.8</v>
      </c>
      <c r="R139" s="177">
        <f t="shared" si="29"/>
        <v>0.31001164861978259</v>
      </c>
      <c r="S139" s="809">
        <f t="shared" si="30"/>
        <v>1</v>
      </c>
      <c r="T139" s="176">
        <f t="shared" si="31"/>
        <v>7</v>
      </c>
      <c r="U139" s="251">
        <f t="shared" si="32"/>
        <v>1.3100116486197826</v>
      </c>
      <c r="V139" s="383">
        <f t="shared" si="33"/>
        <v>50.848542205907613</v>
      </c>
      <c r="W139" s="402">
        <f t="shared" si="34"/>
        <v>38.446184867956056</v>
      </c>
      <c r="X139" s="157">
        <f t="shared" si="35"/>
        <v>45416</v>
      </c>
      <c r="Y139" s="385">
        <f t="shared" si="36"/>
        <v>35.387926185548473</v>
      </c>
      <c r="Z139" s="385">
        <f t="shared" si="37"/>
        <v>38.005488820622695</v>
      </c>
      <c r="AA139" s="386">
        <f t="shared" si="38"/>
        <v>44.88845041111167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0.15333480054337478</v>
      </c>
      <c r="AD139" s="231">
        <f>(INDEX(Models!$BJ139:$BT139,,AH139)*(1-AF139)+INDEX(Models!$BJ139:$BT139,,AH139+1)*AF139-ERP_i)*AE139*Ramure*Pc/MaxiM</f>
        <v>1.0422215231015617E-2</v>
      </c>
      <c r="AE139" s="305">
        <f t="shared" si="40"/>
        <v>0.8</v>
      </c>
      <c r="AF139" s="177">
        <f t="shared" si="41"/>
        <v>0.51072839578468621</v>
      </c>
      <c r="AG139" s="809">
        <f t="shared" si="49"/>
        <v>2</v>
      </c>
      <c r="AH139" s="176">
        <f t="shared" si="42"/>
        <v>8</v>
      </c>
      <c r="AI139" s="225">
        <f t="shared" si="43"/>
        <v>2.5107283957846862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IF(t&gt;Tmaj,'2023'!Wh/'2023'!Env_an*'2024'!Env_an,0.001*[7]mois!$B$145)</f>
        <v>32.385138800599762</v>
      </c>
      <c r="C140" s="839"/>
      <c r="D140" s="393">
        <f t="shared" si="25"/>
        <v>34.781419999294044</v>
      </c>
      <c r="E140" s="385">
        <f t="shared" si="47"/>
        <v>37.99508189929319</v>
      </c>
      <c r="F140" s="385">
        <f t="shared" si="26"/>
        <v>38.057113393061201</v>
      </c>
      <c r="G140" s="110">
        <f t="shared" si="48"/>
        <v>0.63395364512774577</v>
      </c>
      <c r="H140" s="414" t="b">
        <f>Wh_hp&gt;='2023'!Maxi_hp</f>
        <v>0</v>
      </c>
      <c r="I140" s="390">
        <f>IF(H140,Wh_hp,'2023'!Maxi_hp)</f>
        <v>61.556815865324921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6.8895438965485584E-2</v>
      </c>
      <c r="M140" s="843"/>
      <c r="N140" s="843"/>
      <c r="O140" s="48">
        <f>IF(t&lt;Tnet,'2023'!Resal+('2023'!Salim-'2023'!Resal)*(1-EXP(('2023'!Tnet-t)/('2023'!Tau_j))),Resal+(Salim-Resal)*(1-EXP((Tnet-t)/(Tau_j))))*Salcycl</f>
        <v>8.4580996785768858E-2</v>
      </c>
      <c r="P140" s="169">
        <f>(INDEX(Models!$BJ140:$BT140,,T140)*(1-R140)+INDEX(Models!$BJ140:$BT140,,T140+1)*R140-ERP_i)*Q140*Ramure*Pc/MaxiM</f>
        <v>3.405040535410327E-3</v>
      </c>
      <c r="Q140" s="305">
        <f t="shared" si="28"/>
        <v>0.8</v>
      </c>
      <c r="R140" s="177">
        <f t="shared" si="29"/>
        <v>0.31379205585339243</v>
      </c>
      <c r="S140" s="809">
        <f t="shared" si="30"/>
        <v>1</v>
      </c>
      <c r="T140" s="176">
        <f t="shared" si="31"/>
        <v>7</v>
      </c>
      <c r="U140" s="251">
        <f t="shared" si="32"/>
        <v>1.3137920558533924</v>
      </c>
      <c r="V140" s="383">
        <f t="shared" si="33"/>
        <v>50.993568534975658</v>
      </c>
      <c r="W140" s="402">
        <f t="shared" si="34"/>
        <v>32.385138800599762</v>
      </c>
      <c r="X140" s="157">
        <f t="shared" si="35"/>
        <v>45417</v>
      </c>
      <c r="Y140" s="385">
        <f t="shared" si="36"/>
        <v>29.850300655246425</v>
      </c>
      <c r="Z140" s="385">
        <f t="shared" si="37"/>
        <v>32.059020978353821</v>
      </c>
      <c r="AA140" s="386">
        <f t="shared" si="38"/>
        <v>37.870820174684894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0.15346377948835735</v>
      </c>
      <c r="AD140" s="231">
        <f>(INDEX(Models!$BJ140:$BT140,,AH140)*(1-AF140)+INDEX(Models!$BJ140:$BT140,,AH140+1)*AF140-ERP_i)*AE140*Ramure*Pc/MaxiM</f>
        <v>1.0226030706525524E-2</v>
      </c>
      <c r="AE140" s="305">
        <f t="shared" si="40"/>
        <v>0.8</v>
      </c>
      <c r="AF140" s="177">
        <f t="shared" si="41"/>
        <v>0.51450880301829605</v>
      </c>
      <c r="AG140" s="809">
        <f t="shared" si="49"/>
        <v>2</v>
      </c>
      <c r="AH140" s="176">
        <f t="shared" si="42"/>
        <v>8</v>
      </c>
      <c r="AI140" s="225">
        <f t="shared" si="43"/>
        <v>2.514508803018296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IF(t&gt;Tmaj,'2023'!Wh/'2023'!Env_an*'2024'!Env_an,0.001*[7]mois!$B$146)</f>
        <v>47.394222535652162</v>
      </c>
      <c r="C141" s="839"/>
      <c r="D141" s="393">
        <f t="shared" si="25"/>
        <v>50.902285828822436</v>
      </c>
      <c r="E141" s="385">
        <f t="shared" si="47"/>
        <v>55.616765786896828</v>
      </c>
      <c r="F141" s="385">
        <f t="shared" si="26"/>
        <v>55.788698946584361</v>
      </c>
      <c r="G141" s="110">
        <f t="shared" si="48"/>
        <v>0.92655788665747774</v>
      </c>
      <c r="H141" s="414" t="b">
        <f>Wh_hp&gt;='2023'!Maxi_hp</f>
        <v>0</v>
      </c>
      <c r="I141" s="390">
        <f>IF(H141,Wh_hp,'2023'!Maxi_hp)</f>
        <v>58.403819725398094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6.8917598415273923E-2</v>
      </c>
      <c r="M141" s="843"/>
      <c r="N141" s="843"/>
      <c r="O141" s="48">
        <f>IF(t&lt;Tnet,'2023'!Resal+('2023'!Salim-'2023'!Resal)*(1-EXP(('2023'!Tnet-t)/('2023'!Tau_j))),Resal+(Salim-Resal)*(1-EXP((Tnet-t)/(Tau_j))))*Salcycl</f>
        <v>8.4767244038219641E-2</v>
      </c>
      <c r="P141" s="169">
        <f>(INDEX(Models!$BJ141:$BT141,,T141)*(1-R141)+INDEX(Models!$BJ141:$BT141,,T141+1)*R141-ERP_i)*Q141*Ramure*Pc/MaxiM</f>
        <v>3.441269544128411E-3</v>
      </c>
      <c r="Q141" s="305">
        <f t="shared" si="28"/>
        <v>0.8</v>
      </c>
      <c r="R141" s="177">
        <f t="shared" si="29"/>
        <v>0.31766944113957507</v>
      </c>
      <c r="S141" s="809">
        <f t="shared" si="30"/>
        <v>1</v>
      </c>
      <c r="T141" s="176">
        <f t="shared" si="31"/>
        <v>7</v>
      </c>
      <c r="U141" s="251">
        <f t="shared" si="32"/>
        <v>1.3176694411395751</v>
      </c>
      <c r="V141" s="383">
        <f t="shared" si="33"/>
        <v>51.132408232457855</v>
      </c>
      <c r="W141" s="402">
        <f t="shared" si="34"/>
        <v>47.394222535652162</v>
      </c>
      <c r="X141" s="157">
        <f t="shared" si="35"/>
        <v>45418</v>
      </c>
      <c r="Y141" s="385">
        <f t="shared" si="36"/>
        <v>43.569463695260723</v>
      </c>
      <c r="Z141" s="385">
        <f t="shared" si="37"/>
        <v>46.794422943774237</v>
      </c>
      <c r="AA141" s="386">
        <f t="shared" si="38"/>
        <v>55.286062386036392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0.1535945783761748</v>
      </c>
      <c r="AD141" s="231">
        <f>(INDEX(Models!$BJ141:$BT141,,AH141)*(1-AF141)+INDEX(Models!$BJ141:$BT141,,AH141+1)*AF141-ERP_i)*AE141*Ramure*Pc/MaxiM</f>
        <v>1.0060350724215792E-2</v>
      </c>
      <c r="AE141" s="305">
        <f t="shared" si="40"/>
        <v>0.8</v>
      </c>
      <c r="AF141" s="177">
        <f t="shared" si="41"/>
        <v>0.51838618830447869</v>
      </c>
      <c r="AG141" s="809">
        <f t="shared" si="49"/>
        <v>2</v>
      </c>
      <c r="AH141" s="176">
        <f t="shared" si="42"/>
        <v>8</v>
      </c>
      <c r="AI141" s="225">
        <f t="shared" si="43"/>
        <v>2.5183861883044787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IF(t&gt;Tmaj,'2023'!Wh/'2023'!Env_an*'2024'!Env_an,0.001*[7]mois!$B$147)</f>
        <v>43.192213254341446</v>
      </c>
      <c r="C142" s="839"/>
      <c r="D142" s="393">
        <f t="shared" si="25"/>
        <v>46.390352928590559</v>
      </c>
      <c r="E142" s="385">
        <f t="shared" si="47"/>
        <v>50.697315008746472</v>
      </c>
      <c r="F142" s="385">
        <f t="shared" si="26"/>
        <v>50.834786802469509</v>
      </c>
      <c r="G142" s="110">
        <f t="shared" si="48"/>
        <v>0.8418685999170592</v>
      </c>
      <c r="H142" s="414" t="b">
        <f>Wh_hp&gt;='2023'!Maxi_hp</f>
        <v>0</v>
      </c>
      <c r="I142" s="390">
        <f>IF(H142,Wh_hp,'2023'!Maxi_hp)</f>
        <v>55.761522255902449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6.8939757349379543E-2</v>
      </c>
      <c r="M142" s="843"/>
      <c r="N142" s="843"/>
      <c r="O142" s="48">
        <f>IF(t&lt;Tnet,'2023'!Resal+('2023'!Salim-'2023'!Resal)*(1-EXP(('2023'!Tnet-t)/('2023'!Tau_j))),Resal+(Salim-Resal)*(1-EXP((Tnet-t)/(Tau_j))))*Salcycl</f>
        <v>8.4954441461305333E-2</v>
      </c>
      <c r="P142" s="169">
        <f>(INDEX(Models!$BJ142:$BT142,,T142)*(1-R142)+INDEX(Models!$BJ142:$BT142,,T142+1)*R142-ERP_i)*Q142*Ramure*Pc/MaxiM</f>
        <v>3.4891971512562505E-3</v>
      </c>
      <c r="Q142" s="305">
        <f t="shared" si="28"/>
        <v>0.8</v>
      </c>
      <c r="R142" s="177">
        <f t="shared" si="29"/>
        <v>0.32164418409733475</v>
      </c>
      <c r="S142" s="809">
        <f t="shared" si="30"/>
        <v>1</v>
      </c>
      <c r="T142" s="176">
        <f t="shared" si="31"/>
        <v>7</v>
      </c>
      <c r="U142" s="251">
        <f t="shared" si="32"/>
        <v>1.3216441840973348</v>
      </c>
      <c r="V142" s="383">
        <f t="shared" si="33"/>
        <v>51.264792714742505</v>
      </c>
      <c r="W142" s="402">
        <f t="shared" si="34"/>
        <v>43.192213254341446</v>
      </c>
      <c r="X142" s="157">
        <f t="shared" si="35"/>
        <v>45419</v>
      </c>
      <c r="Y142" s="385">
        <f t="shared" si="36"/>
        <v>39.745977944358408</v>
      </c>
      <c r="Z142" s="385">
        <f t="shared" si="37"/>
        <v>42.688943339698646</v>
      </c>
      <c r="AA142" s="386">
        <f t="shared" si="38"/>
        <v>50.44347448261005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0.1537271415668385</v>
      </c>
      <c r="AD142" s="231">
        <f>(INDEX(Models!$BJ142:$BT142,,AH142)*(1-AF142)+INDEX(Models!$BJ142:$BT142,,AH142+1)*AF142-ERP_i)*AE142*Ramure*Pc/MaxiM</f>
        <v>9.9319707317988126E-3</v>
      </c>
      <c r="AE142" s="305">
        <f t="shared" si="40"/>
        <v>0.8</v>
      </c>
      <c r="AF142" s="177">
        <f t="shared" si="41"/>
        <v>0.52236093126223837</v>
      </c>
      <c r="AG142" s="809">
        <f t="shared" si="49"/>
        <v>2</v>
      </c>
      <c r="AH142" s="176">
        <f t="shared" si="42"/>
        <v>8</v>
      </c>
      <c r="AI142" s="225">
        <f t="shared" si="43"/>
        <v>2.5223609312622384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IF(t&gt;Tmaj,'2023'!Wh/'2023'!Env_an*'2024'!Env_an,0.001*[7]mois!$B$148)</f>
        <v>47.785397458710754</v>
      </c>
      <c r="C143" s="839"/>
      <c r="D143" s="393">
        <f t="shared" ref="D143:D206" si="50">Wh/(1-Ppv)</f>
        <v>51.324857992376025</v>
      </c>
      <c r="E143" s="385">
        <f t="shared" si="47"/>
        <v>56.101481728015585</v>
      </c>
      <c r="F143" s="385">
        <f t="shared" ref="F143:F206" si="51">Wh_sa/(1-Pvg*MEDIAN((-Sdif+Wh/Env_an)/Csdif,0,1))</f>
        <v>56.280879413027677</v>
      </c>
      <c r="G143" s="110">
        <f t="shared" si="48"/>
        <v>0.92951121458638641</v>
      </c>
      <c r="H143" s="414" t="b">
        <f>Wh_hp&gt;='2023'!Maxi_hp</f>
        <v>0</v>
      </c>
      <c r="I143" s="390">
        <f>IF(H143,Wh_hp,'2023'!Maxi_hp)</f>
        <v>56.299279898719327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6.8961915767814436E-2</v>
      </c>
      <c r="M143" s="843"/>
      <c r="N143" s="843"/>
      <c r="O143" s="48">
        <f>IF(t&lt;Tnet,'2023'!Resal+('2023'!Salim-'2023'!Resal)*(1-EXP(('2023'!Tnet-t)/('2023'!Tau_j))),Resal+(Salim-Resal)*(1-EXP((Tnet-t)/(Tau_j))))*Salcycl</f>
        <v>8.5142559314155153E-2</v>
      </c>
      <c r="P143" s="169">
        <f>(INDEX(Models!$BJ143:$BT143,,T143)*(1-R143)+INDEX(Models!$BJ143:$BT143,,T143+1)*R143-ERP_i)*Q143*Ramure*Pc/MaxiM</f>
        <v>3.5425998024718407E-3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0.32571651515814914</v>
      </c>
      <c r="S143" s="80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1.3257165151581491</v>
      </c>
      <c r="V143" s="383">
        <f t="shared" ref="V143:V206" si="58">MaxiM*(1-Ppv)*(1-Pvg)*(1-Psa)</f>
        <v>51.390855636459357</v>
      </c>
      <c r="W143" s="402">
        <f t="shared" ref="W143:W206" si="59">Wh*(A143&gt;Tmaj)</f>
        <v>47.785397458710754</v>
      </c>
      <c r="X143" s="157">
        <f t="shared" ref="X143:X206" si="60">t</f>
        <v>45420</v>
      </c>
      <c r="Y143" s="385">
        <f t="shared" ref="Y143:Y206" si="61">Wh_pvt_s*(1-Ppv)</f>
        <v>43.945408723988891</v>
      </c>
      <c r="Z143" s="385">
        <f t="shared" ref="Z143:Z206" si="62">Wh_sa_s*(1-Psa_s)</f>
        <v>47.200441601945926</v>
      </c>
      <c r="AA143" s="386">
        <f t="shared" ref="AA143:AA206" si="63">Wh_hp*(1-Pvg_s*MEDIAN((-Sdif+Wh/Env_an)/Csdif,0,1))</f>
        <v>55.783345736957529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0.1538614083042579</v>
      </c>
      <c r="AD143" s="231">
        <f>(INDEX(Models!$BJ143:$BT143,,AH143)*(1-AF143)+INDEX(Models!$BJ143:$BT143,,AH143+1)*AF143-ERP_i)*AE143*Ramure*Pc/MaxiM</f>
        <v>9.8248910093260977E-3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0.52643326232305254</v>
      </c>
      <c r="AG143" s="809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2.5264332623230525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IF(t&gt;Tmaj,'2023'!Wh/'2023'!Env_an*'2024'!Env_an,0.001*[7]mois!$B$149)</f>
        <v>44.343405023047382</v>
      </c>
      <c r="C144" s="839"/>
      <c r="D144" s="393">
        <f t="shared" si="50"/>
        <v>47.629050985061149</v>
      </c>
      <c r="E144" s="385">
        <f t="shared" ref="E144:E169" si="72">Wh_pvt/(1-Psa)</f>
        <v>52.072476924773959</v>
      </c>
      <c r="F144" s="385">
        <f t="shared" si="51"/>
        <v>52.22318340646131</v>
      </c>
      <c r="G144" s="110">
        <f t="shared" ref="G144:G169" si="73">+Wh_hp/MaxiM</f>
        <v>0.860245062233571</v>
      </c>
      <c r="H144" s="414" t="b">
        <f>Wh_hp&gt;='2023'!Maxi_hp</f>
        <v>0</v>
      </c>
      <c r="I144" s="390">
        <f>IF(H144,Wh_hp,'2023'!Maxi_hp)</f>
        <v>52.257479209340723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6.8984073670590479E-2</v>
      </c>
      <c r="M144" s="843"/>
      <c r="N144" s="843"/>
      <c r="O144" s="48">
        <f>IF(t&lt;Tnet,'2023'!Resal+('2023'!Salim-'2023'!Resal)*(1-EXP(('2023'!Tnet-t)/('2023'!Tau_j))),Resal+(Salim-Resal)*(1-EXP((Tnet-t)/(Tau_j))))*Salcycl</f>
        <v>8.5331564813633978E-2</v>
      </c>
      <c r="P144" s="169">
        <f>(INDEX(Models!$BJ144:$BT144,,T144)*(1-R144)+INDEX(Models!$BJ144:$BT144,,T144+1)*R144-ERP_i)*Q144*Ramure*Pc/MaxiM</f>
        <v>3.6017181983673289E-3</v>
      </c>
      <c r="Q144" s="305">
        <f t="shared" si="53"/>
        <v>0.8</v>
      </c>
      <c r="R144" s="177">
        <f t="shared" si="54"/>
        <v>0.32988650741421099</v>
      </c>
      <c r="S144" s="809">
        <f t="shared" si="55"/>
        <v>1</v>
      </c>
      <c r="T144" s="176">
        <f t="shared" si="56"/>
        <v>7</v>
      </c>
      <c r="U144" s="251">
        <f t="shared" si="57"/>
        <v>1.329886507414211</v>
      </c>
      <c r="V144" s="383">
        <f t="shared" si="58"/>
        <v>51.510400391994757</v>
      </c>
      <c r="W144" s="402">
        <f t="shared" si="59"/>
        <v>44.343405023047382</v>
      </c>
      <c r="X144" s="157">
        <f t="shared" si="60"/>
        <v>45421</v>
      </c>
      <c r="Y144" s="385">
        <f t="shared" si="61"/>
        <v>40.812190727143303</v>
      </c>
      <c r="Z144" s="385">
        <f t="shared" si="62"/>
        <v>43.836189664389529</v>
      </c>
      <c r="AA144" s="386">
        <f t="shared" si="63"/>
        <v>51.815662434739458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0.1539973126928538</v>
      </c>
      <c r="AD144" s="231">
        <f>(INDEX(Models!$BJ144:$BT144,,AH144)*(1-AF144)+INDEX(Models!$BJ144:$BT144,,AH144+1)*AF144-ERP_i)*AE144*Ramure*Pc/MaxiM</f>
        <v>9.7393004178271889E-3</v>
      </c>
      <c r="AE144" s="305">
        <f t="shared" si="65"/>
        <v>0.8</v>
      </c>
      <c r="AF144" s="177">
        <f t="shared" si="66"/>
        <v>0.53060325457911439</v>
      </c>
      <c r="AG144" s="809">
        <f t="shared" ref="AG144:AG207" si="74">INDEX(Echel_vg,AH144)</f>
        <v>2</v>
      </c>
      <c r="AH144" s="176">
        <f t="shared" si="67"/>
        <v>8</v>
      </c>
      <c r="AI144" s="225">
        <f t="shared" si="68"/>
        <v>2.5306032545791144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IF(t&gt;Tmaj,'2023'!Wh/'2023'!Env_an*'2024'!Env_an,0.001*[7]mois!$B$150)</f>
        <v>47.926734891640059</v>
      </c>
      <c r="C145" s="839"/>
      <c r="D145" s="393">
        <f t="shared" si="50"/>
        <v>51.479114566030383</v>
      </c>
      <c r="E145" s="385">
        <f t="shared" si="72"/>
        <v>56.293406768575913</v>
      </c>
      <c r="F145" s="385">
        <f t="shared" si="51"/>
        <v>56.479320852696134</v>
      </c>
      <c r="G145" s="110">
        <f t="shared" si="73"/>
        <v>0.92804535141232614</v>
      </c>
      <c r="H145" s="414" t="b">
        <f>Wh_hp&gt;='2023'!Maxi_hp</f>
        <v>0</v>
      </c>
      <c r="I145" s="390">
        <f>IF(H145,Wh_hp,'2023'!Maxi_hp)</f>
        <v>56.498682503617381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6.9006231057719886E-2</v>
      </c>
      <c r="M145" s="843"/>
      <c r="N145" s="843"/>
      <c r="O145" s="48">
        <f>IF(t&lt;Tnet,'2023'!Resal+('2023'!Salim-'2023'!Resal)*(1-EXP(('2023'!Tnet-t)/('2023'!Tau_j))),Resal+(Salim-Resal)*(1-EXP((Tnet-t)/(Tau_j))))*Salcycl</f>
        <v>8.5521422114977874E-2</v>
      </c>
      <c r="P145" s="169">
        <f>(INDEX(Models!$BJ145:$BT145,,T145)*(1-R145)+INDEX(Models!$BJ145:$BT145,,T145+1)*R145-ERP_i)*Q145*Ramure*Pc/MaxiM</f>
        <v>3.6668093448840359E-3</v>
      </c>
      <c r="Q145" s="305">
        <f t="shared" si="53"/>
        <v>0.8</v>
      </c>
      <c r="R145" s="177">
        <f t="shared" si="54"/>
        <v>0.33415406868424813</v>
      </c>
      <c r="S145" s="809">
        <f t="shared" si="55"/>
        <v>1</v>
      </c>
      <c r="T145" s="176">
        <f t="shared" si="56"/>
        <v>7</v>
      </c>
      <c r="U145" s="251">
        <f t="shared" si="57"/>
        <v>1.3341540686842481</v>
      </c>
      <c r="V145" s="383">
        <f t="shared" si="58"/>
        <v>51.623230070637021</v>
      </c>
      <c r="W145" s="402">
        <f t="shared" si="59"/>
        <v>47.926734891640059</v>
      </c>
      <c r="X145" s="157">
        <f t="shared" si="60"/>
        <v>45422</v>
      </c>
      <c r="Y145" s="385">
        <f t="shared" si="61"/>
        <v>44.090881526343054</v>
      </c>
      <c r="Z145" s="385">
        <f t="shared" si="62"/>
        <v>47.358943740768048</v>
      </c>
      <c r="AA145" s="386">
        <f t="shared" si="63"/>
        <v>55.988758998337268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0.15413478369516109</v>
      </c>
      <c r="AD145" s="231">
        <f>(INDEX(Models!$BJ145:$BT145,,AH145)*(1-AF145)+INDEX(Models!$BJ145:$BT145,,AH145+1)*AF145-ERP_i)*AE145*Ramure*Pc/MaxiM</f>
        <v>9.6754196989375547E-3</v>
      </c>
      <c r="AE145" s="305">
        <f t="shared" si="65"/>
        <v>0.8</v>
      </c>
      <c r="AF145" s="177">
        <f t="shared" si="66"/>
        <v>0.53487081584915153</v>
      </c>
      <c r="AG145" s="809">
        <f t="shared" si="74"/>
        <v>2</v>
      </c>
      <c r="AH145" s="176">
        <f t="shared" si="67"/>
        <v>8</v>
      </c>
      <c r="AI145" s="225">
        <f t="shared" si="68"/>
        <v>2.5348708158491515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IF(t&gt;Tmaj,'2023'!Wh/'2023'!Env_an*'2024'!Env_an,0.001*[7]mois!$B$151)</f>
        <v>36.63806944921982</v>
      </c>
      <c r="C146" s="839"/>
      <c r="D146" s="393">
        <f t="shared" si="50"/>
        <v>39.354658052058923</v>
      </c>
      <c r="E146" s="385">
        <f t="shared" si="72"/>
        <v>43.044053979973008</v>
      </c>
      <c r="F146" s="385">
        <f t="shared" si="51"/>
        <v>43.138105131581376</v>
      </c>
      <c r="G146" s="110">
        <f t="shared" si="73"/>
        <v>0.70716158309597488</v>
      </c>
      <c r="H146" s="414" t="b">
        <f>Wh_hp&gt;='2023'!Maxi_hp</f>
        <v>0</v>
      </c>
      <c r="I146" s="390">
        <f>IF(H146,Wh_hp,'2023'!Maxi_hp)</f>
        <v>59.943333681324077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6.9028387929214424E-2</v>
      </c>
      <c r="M146" s="843"/>
      <c r="N146" s="843"/>
      <c r="O146" s="48">
        <f>IF(t&lt;Tnet,'2023'!Resal+('2023'!Salim-'2023'!Resal)*(1-EXP(('2023'!Tnet-t)/('2023'!Tau_j))),Resal+(Salim-Resal)*(1-EXP((Tnet-t)/(Tau_j))))*Salcycl</f>
        <v>8.5712092305028784E-2</v>
      </c>
      <c r="P146" s="169">
        <f>(INDEX(Models!$BJ146:$BT146,,T146)*(1-R146)+INDEX(Models!$BJ146:$BT146,,T146+1)*R146-ERP_i)*Q146*Ramure*Pc/MaxiM</f>
        <v>3.73814700210639E-3</v>
      </c>
      <c r="Q146" s="305">
        <f t="shared" si="53"/>
        <v>0.8</v>
      </c>
      <c r="R146" s="177">
        <f t="shared" si="54"/>
        <v>0.33851893386164256</v>
      </c>
      <c r="S146" s="809">
        <f t="shared" si="55"/>
        <v>1</v>
      </c>
      <c r="T146" s="176">
        <f t="shared" si="56"/>
        <v>7</v>
      </c>
      <c r="U146" s="251">
        <f t="shared" si="57"/>
        <v>1.3385189338616426</v>
      </c>
      <c r="V146" s="383">
        <f t="shared" si="58"/>
        <v>51.729147441616171</v>
      </c>
      <c r="W146" s="402">
        <f t="shared" si="59"/>
        <v>36.63806944921982</v>
      </c>
      <c r="X146" s="157">
        <f t="shared" si="60"/>
        <v>45423</v>
      </c>
      <c r="Y146" s="385">
        <f t="shared" si="61"/>
        <v>33.773828417010094</v>
      </c>
      <c r="Z146" s="385">
        <f t="shared" si="62"/>
        <v>36.278043260509357</v>
      </c>
      <c r="AA146" s="386">
        <f t="shared" si="63"/>
        <v>42.895727846390315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0.15427374515193915</v>
      </c>
      <c r="AD146" s="231">
        <f>(INDEX(Models!$BJ146:$BT146,,AH146)*(1-AF146)+INDEX(Models!$BJ146:$BT146,,AH146+1)*AF146-ERP_i)*AE146*Ramure*Pc/MaxiM</f>
        <v>9.6335016267366149E-3</v>
      </c>
      <c r="AE146" s="305">
        <f t="shared" si="65"/>
        <v>0.8</v>
      </c>
      <c r="AF146" s="177">
        <f t="shared" si="66"/>
        <v>0.5392356810265464</v>
      </c>
      <c r="AG146" s="809">
        <f t="shared" si="74"/>
        <v>2</v>
      </c>
      <c r="AH146" s="176">
        <f t="shared" si="67"/>
        <v>8</v>
      </c>
      <c r="AI146" s="225">
        <f t="shared" si="68"/>
        <v>2.5392356810265464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IF(t&gt;Tmaj,'2023'!Wh/'2023'!Env_an*'2024'!Env_an,0.001*[7]mois!$B$152)</f>
        <v>39.127511611201435</v>
      </c>
      <c r="C147" s="839"/>
      <c r="D147" s="393">
        <f t="shared" si="50"/>
        <v>42.029684179957798</v>
      </c>
      <c r="E147" s="385">
        <f t="shared" si="72"/>
        <v>45.97948434993954</v>
      </c>
      <c r="F147" s="385">
        <f t="shared" si="51"/>
        <v>46.093803504146976</v>
      </c>
      <c r="G147" s="110">
        <f t="shared" si="73"/>
        <v>0.75393891185918149</v>
      </c>
      <c r="H147" s="414" t="b">
        <f>Wh_hp&gt;='2023'!Maxi_hp</f>
        <v>0</v>
      </c>
      <c r="I147" s="390">
        <f>IF(H147,Wh_hp,'2023'!Maxi_hp)</f>
        <v>63.165410025979916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6.9050544285086196E-2</v>
      </c>
      <c r="M147" s="843"/>
      <c r="N147" s="843"/>
      <c r="O147" s="48">
        <f>IF(t&lt;Tnet,'2023'!Resal+('2023'!Salim-'2023'!Resal)*(1-EXP(('2023'!Tnet-t)/('2023'!Tau_j))),Resal+(Salim-Resal)*(1-EXP((Tnet-t)/(Tau_j))))*Salcycl</f>
        <v>8.5903533408959037E-2</v>
      </c>
      <c r="P147" s="169">
        <f>(INDEX(Models!$BJ147:$BT147,,T147)*(1-R147)+INDEX(Models!$BJ147:$BT147,,T147+1)*R147-ERP_i)*Q147*Ramure*Pc/MaxiM</f>
        <v>3.8160221089741093E-3</v>
      </c>
      <c r="Q147" s="305">
        <f t="shared" si="53"/>
        <v>0.8</v>
      </c>
      <c r="R147" s="177">
        <f t="shared" si="54"/>
        <v>0.34298065761218521</v>
      </c>
      <c r="S147" s="809">
        <f t="shared" si="55"/>
        <v>1</v>
      </c>
      <c r="T147" s="176">
        <f t="shared" si="56"/>
        <v>7</v>
      </c>
      <c r="U147" s="251">
        <f t="shared" si="57"/>
        <v>1.3429806576121852</v>
      </c>
      <c r="V147" s="383">
        <f t="shared" si="58"/>
        <v>51.827954962073008</v>
      </c>
      <c r="W147" s="402">
        <f t="shared" si="59"/>
        <v>39.127511611201435</v>
      </c>
      <c r="X147" s="157">
        <f t="shared" si="60"/>
        <v>45424</v>
      </c>
      <c r="Y147" s="385">
        <f t="shared" si="61"/>
        <v>36.058217690718415</v>
      </c>
      <c r="Z147" s="385">
        <f t="shared" si="62"/>
        <v>38.732734059152385</v>
      </c>
      <c r="AA147" s="386">
        <f t="shared" si="63"/>
        <v>45.805795465704158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0.15441411582618478</v>
      </c>
      <c r="AD147" s="231">
        <f>(INDEX(Models!$BJ147:$BT147,,AH147)*(1-AF147)+INDEX(Models!$BJ147:$BT147,,AH147+1)*AF147-ERP_i)*AE147*Ramure*Pc/MaxiM</f>
        <v>9.6138311193746072E-3</v>
      </c>
      <c r="AE147" s="305">
        <f t="shared" si="65"/>
        <v>0.8</v>
      </c>
      <c r="AF147" s="177">
        <f t="shared" si="66"/>
        <v>0.54369740477708861</v>
      </c>
      <c r="AG147" s="809">
        <f t="shared" si="74"/>
        <v>2</v>
      </c>
      <c r="AH147" s="176">
        <f t="shared" si="67"/>
        <v>8</v>
      </c>
      <c r="AI147" s="225">
        <f t="shared" si="68"/>
        <v>2.5436974047770886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IF(t&gt;Tmaj,'2023'!Wh/'2023'!Env_an*'2024'!Env_an,0.001*[7]mois!$B$153)</f>
        <v>42.703083502340142</v>
      </c>
      <c r="C148" s="839"/>
      <c r="D148" s="393">
        <f t="shared" si="50"/>
        <v>45.871555714490285</v>
      </c>
      <c r="E148" s="385">
        <f t="shared" si="72"/>
        <v>50.192953173691066</v>
      </c>
      <c r="F148" s="385">
        <f t="shared" si="51"/>
        <v>50.339519426051318</v>
      </c>
      <c r="G148" s="110">
        <f t="shared" si="73"/>
        <v>0.82167116234965243</v>
      </c>
      <c r="H148" s="414" t="b">
        <f>Wh_hp&gt;='2023'!Maxi_hp</f>
        <v>0</v>
      </c>
      <c r="I148" s="390">
        <f>IF(H148,Wh_hp,'2023'!Maxi_hp)</f>
        <v>61.55883645461271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6.9072700125347192E-2</v>
      </c>
      <c r="M148" s="843"/>
      <c r="N148" s="843"/>
      <c r="O148" s="48">
        <f>IF(t&lt;Tnet,'2023'!Resal+('2023'!Salim-'2023'!Resal)*(1-EXP(('2023'!Tnet-t)/('2023'!Tau_j))),Resal+(Salim-Resal)*(1-EXP((Tnet-t)/(Tau_j))))*Salcycl</f>
        <v>8.6095700411305348E-2</v>
      </c>
      <c r="P148" s="169">
        <f>(INDEX(Models!$BJ148:$BT148,,T148)*(1-R148)+INDEX(Models!$BJ148:$BT148,,T148+1)*R148-ERP_i)*Q148*Ramure*Pc/MaxiM</f>
        <v>3.900743183471873E-3</v>
      </c>
      <c r="Q148" s="305">
        <f t="shared" si="53"/>
        <v>0.8</v>
      </c>
      <c r="R148" s="177">
        <f t="shared" si="54"/>
        <v>0.34753860749090792</v>
      </c>
      <c r="S148" s="809">
        <f t="shared" si="55"/>
        <v>1</v>
      </c>
      <c r="T148" s="176">
        <f t="shared" si="56"/>
        <v>7</v>
      </c>
      <c r="U148" s="251">
        <f t="shared" si="57"/>
        <v>1.3475386074909079</v>
      </c>
      <c r="V148" s="383">
        <f t="shared" si="58"/>
        <v>51.919454766365718</v>
      </c>
      <c r="W148" s="402">
        <f t="shared" si="59"/>
        <v>42.703083502340142</v>
      </c>
      <c r="X148" s="157">
        <f t="shared" si="60"/>
        <v>45425</v>
      </c>
      <c r="Y148" s="385">
        <f t="shared" si="61"/>
        <v>39.335181498188447</v>
      </c>
      <c r="Z148" s="385">
        <f t="shared" si="62"/>
        <v>42.253762998984818</v>
      </c>
      <c r="AA148" s="386">
        <f t="shared" si="63"/>
        <v>49.978181259500204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0.15455580947229994</v>
      </c>
      <c r="AD148" s="231">
        <f>(INDEX(Models!$BJ148:$BT148,,AH148)*(1-AF148)+INDEX(Models!$BJ148:$BT148,,AH148+1)*AF148-ERP_i)*AE148*Ramure*Pc/MaxiM</f>
        <v>9.6167253198100409E-3</v>
      </c>
      <c r="AE148" s="305">
        <f t="shared" si="65"/>
        <v>0.8</v>
      </c>
      <c r="AF148" s="177">
        <f t="shared" si="66"/>
        <v>0.54825535465581154</v>
      </c>
      <c r="AG148" s="809">
        <f t="shared" si="74"/>
        <v>2</v>
      </c>
      <c r="AH148" s="176">
        <f t="shared" si="67"/>
        <v>8</v>
      </c>
      <c r="AI148" s="225">
        <f t="shared" si="68"/>
        <v>2.5482553546558115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IF(t&gt;Tmaj,'2023'!Wh/'2023'!Env_an*'2024'!Env_an,0.001*[7]mois!$B$154)</f>
        <v>44.913373247962681</v>
      </c>
      <c r="C149" s="839"/>
      <c r="D149" s="393">
        <f t="shared" si="50"/>
        <v>48.246992199913429</v>
      </c>
      <c r="E149" s="385">
        <f t="shared" si="72"/>
        <v>52.803313290336767</v>
      </c>
      <c r="F149" s="385">
        <f t="shared" si="51"/>
        <v>52.973626013564413</v>
      </c>
      <c r="G149" s="110">
        <f t="shared" si="73"/>
        <v>0.86299342369076615</v>
      </c>
      <c r="H149" s="414" t="b">
        <f>Wh_hp&gt;='2023'!Maxi_hp</f>
        <v>0</v>
      </c>
      <c r="I149" s="390">
        <f>IF(H149,Wh_hp,'2023'!Maxi_hp)</f>
        <v>62.517859934391758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6.9094855450009401E-2</v>
      </c>
      <c r="M149" s="843"/>
      <c r="N149" s="843"/>
      <c r="O149" s="48">
        <f>IF(t&lt;Tnet,'2023'!Resal+('2023'!Salim-'2023'!Resal)*(1-EXP(('2023'!Tnet-t)/('2023'!Tau_j))),Resal+(Salim-Resal)*(1-EXP((Tnet-t)/(Tau_j))))*Salcycl</f>
        <v>8.628854529204634E-2</v>
      </c>
      <c r="P149" s="169">
        <f>(INDEX(Models!$BJ149:$BT149,,T149)*(1-R149)+INDEX(Models!$BJ149:$BT149,,T149+1)*R149-ERP_i)*Q149*Ramure*Pc/MaxiM</f>
        <v>3.9926631833626762E-3</v>
      </c>
      <c r="Q149" s="305">
        <f t="shared" si="53"/>
        <v>0.8</v>
      </c>
      <c r="R149" s="177">
        <f t="shared" si="54"/>
        <v>0.3521919575489556</v>
      </c>
      <c r="S149" s="809">
        <f t="shared" si="55"/>
        <v>1</v>
      </c>
      <c r="T149" s="176">
        <f t="shared" si="56"/>
        <v>7</v>
      </c>
      <c r="U149" s="251">
        <f t="shared" si="57"/>
        <v>1.3521919575489556</v>
      </c>
      <c r="V149" s="383">
        <f t="shared" si="58"/>
        <v>52.003102252200868</v>
      </c>
      <c r="W149" s="402">
        <f t="shared" si="59"/>
        <v>44.913373247962681</v>
      </c>
      <c r="X149" s="157">
        <f t="shared" si="60"/>
        <v>45426</v>
      </c>
      <c r="Y149" s="385">
        <f t="shared" si="61"/>
        <v>41.361032384415594</v>
      </c>
      <c r="Z149" s="385">
        <f t="shared" si="62"/>
        <v>44.430984860879626</v>
      </c>
      <c r="AA149" s="386">
        <f t="shared" si="63"/>
        <v>52.562307306235105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0.15469873493150318</v>
      </c>
      <c r="AD149" s="231">
        <f>(INDEX(Models!$BJ149:$BT149,,AH149)*(1-AF149)+INDEX(Models!$BJ149:$BT149,,AH149+1)*AF149-ERP_i)*AE149*Ramure*Pc/MaxiM</f>
        <v>9.6425976184231384E-3</v>
      </c>
      <c r="AE149" s="305">
        <f t="shared" si="65"/>
        <v>0.8</v>
      </c>
      <c r="AF149" s="177">
        <f t="shared" si="66"/>
        <v>0.55290870471385922</v>
      </c>
      <c r="AG149" s="809">
        <f t="shared" si="74"/>
        <v>2</v>
      </c>
      <c r="AH149" s="176">
        <f t="shared" si="67"/>
        <v>8</v>
      </c>
      <c r="AI149" s="225">
        <f t="shared" si="68"/>
        <v>2.5529087047138592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IF(t&gt;Tmaj,'2023'!Wh/'2023'!Env_an*'2024'!Env_an,0.001*[7]mois!$B$155)</f>
        <v>43.542566220739154</v>
      </c>
      <c r="C150" s="839"/>
      <c r="D150" s="393">
        <f t="shared" si="50"/>
        <v>46.775552567415581</v>
      </c>
      <c r="E150" s="385">
        <f t="shared" si="72"/>
        <v>51.203756731549788</v>
      </c>
      <c r="F150" s="385">
        <f t="shared" si="51"/>
        <v>51.364696963823718</v>
      </c>
      <c r="G150" s="110">
        <f t="shared" si="73"/>
        <v>0.83528695941140474</v>
      </c>
      <c r="H150" s="414" t="b">
        <f>Wh_hp&gt;='2023'!Maxi_hp</f>
        <v>0</v>
      </c>
      <c r="I150" s="390">
        <f>IF(H150,Wh_hp,'2023'!Maxi_hp)</f>
        <v>52.342496301263523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6.9117010259084927E-2</v>
      </c>
      <c r="M150" s="843"/>
      <c r="N150" s="843"/>
      <c r="O150" s="48">
        <f>IF(t&lt;Tnet,'2023'!Resal+('2023'!Salim-'2023'!Resal)*(1-EXP(('2023'!Tnet-t)/('2023'!Tau_j))),Resal+(Salim-Resal)*(1-EXP((Tnet-t)/(Tau_j))))*Salcycl</f>
        <v>8.6482017078362547E-2</v>
      </c>
      <c r="P150" s="169">
        <f>(INDEX(Models!$BJ150:$BT150,,T150)*(1-R150)+INDEX(Models!$BJ150:$BT150,,T150+1)*R150-ERP_i)*Q150*Ramure*Pc/MaxiM</f>
        <v>4.0912861968672347E-3</v>
      </c>
      <c r="Q150" s="305">
        <f t="shared" si="53"/>
        <v>0.8</v>
      </c>
      <c r="R150" s="177">
        <f t="shared" si="54"/>
        <v>0.35693968250230679</v>
      </c>
      <c r="S150" s="809">
        <f t="shared" si="55"/>
        <v>1</v>
      </c>
      <c r="T150" s="176">
        <f t="shared" si="56"/>
        <v>7</v>
      </c>
      <c r="U150" s="251">
        <f t="shared" si="57"/>
        <v>1.3569396825023068</v>
      </c>
      <c r="V150" s="383">
        <f t="shared" si="58"/>
        <v>52.07877458878751</v>
      </c>
      <c r="W150" s="402">
        <f t="shared" si="59"/>
        <v>43.542566220739154</v>
      </c>
      <c r="X150" s="157">
        <f t="shared" si="60"/>
        <v>45427</v>
      </c>
      <c r="Y150" s="385">
        <f t="shared" si="61"/>
        <v>40.110695741322921</v>
      </c>
      <c r="Z150" s="385">
        <f t="shared" si="62"/>
        <v>43.088869582294755</v>
      </c>
      <c r="AA150" s="386">
        <f t="shared" si="63"/>
        <v>50.983260145368803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0.15484279625439279</v>
      </c>
      <c r="AD150" s="231">
        <f>(INDEX(Models!$BJ150:$BT150,,AH150)*(1-AF150)+INDEX(Models!$BJ150:$BT150,,AH150+1)*AF150-ERP_i)*AE150*Ramure*Pc/MaxiM</f>
        <v>9.6965635520231755E-3</v>
      </c>
      <c r="AE150" s="305">
        <f t="shared" si="65"/>
        <v>0.8</v>
      </c>
      <c r="AF150" s="177">
        <f t="shared" si="66"/>
        <v>0.55765642966721041</v>
      </c>
      <c r="AG150" s="809">
        <f t="shared" si="74"/>
        <v>2</v>
      </c>
      <c r="AH150" s="176">
        <f t="shared" si="67"/>
        <v>8</v>
      </c>
      <c r="AI150" s="225">
        <f t="shared" si="68"/>
        <v>2.5576564296672104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IF(t&gt;Tmaj,'2023'!Wh/'2023'!Env_an*'2024'!Env_an,0.001*[7]mois!$B$156)</f>
        <v>46.411519198269986</v>
      </c>
      <c r="C151" s="839"/>
      <c r="D151" s="393">
        <f t="shared" si="50"/>
        <v>49.858708660744632</v>
      </c>
      <c r="E151" s="385">
        <f t="shared" si="72"/>
        <v>54.590388559348149</v>
      </c>
      <c r="F151" s="385">
        <f t="shared" si="51"/>
        <v>54.783997525225068</v>
      </c>
      <c r="G151" s="110">
        <f t="shared" si="73"/>
        <v>0.88942387187534022</v>
      </c>
      <c r="H151" s="414" t="b">
        <f>Wh_hp&gt;='2023'!Maxi_hp</f>
        <v>0</v>
      </c>
      <c r="I151" s="390">
        <f>IF(H151,Wh_hp,'2023'!Maxi_hp)</f>
        <v>59.99498381286103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6.9139164552585647E-2</v>
      </c>
      <c r="M151" s="843"/>
      <c r="N151" s="843"/>
      <c r="O151" s="48">
        <f>IF(t&lt;Tnet,'2023'!Resal+('2023'!Salim-'2023'!Resal)*(1-EXP(('2023'!Tnet-t)/('2023'!Tau_j))),Resal+(Salim-Resal)*(1-EXP((Tnet-t)/(Tau_j))))*Salcycl</f>
        <v>8.6676061912610333E-2</v>
      </c>
      <c r="P151" s="169">
        <f>(INDEX(Models!$BJ151:$BT151,,T151)*(1-R151)+INDEX(Models!$BJ151:$BT151,,T151+1)*R151-ERP_i)*Q151*Ramure*Pc/MaxiM</f>
        <v>4.1928442081371926E-3</v>
      </c>
      <c r="Q151" s="305">
        <f t="shared" si="53"/>
        <v>0.8</v>
      </c>
      <c r="R151" s="177">
        <f t="shared" si="54"/>
        <v>0.36178055253427543</v>
      </c>
      <c r="S151" s="809">
        <f t="shared" si="55"/>
        <v>1</v>
      </c>
      <c r="T151" s="176">
        <f t="shared" si="56"/>
        <v>7</v>
      </c>
      <c r="U151" s="251">
        <f t="shared" si="57"/>
        <v>1.3617805525342754</v>
      </c>
      <c r="V151" s="383">
        <f t="shared" si="58"/>
        <v>52.147054096984476</v>
      </c>
      <c r="W151" s="402">
        <f t="shared" si="59"/>
        <v>46.411519198269986</v>
      </c>
      <c r="X151" s="157">
        <f t="shared" si="60"/>
        <v>45428</v>
      </c>
      <c r="Y151" s="385">
        <f t="shared" si="61"/>
        <v>42.737875730262104</v>
      </c>
      <c r="Z151" s="385">
        <f t="shared" si="62"/>
        <v>45.912207392118205</v>
      </c>
      <c r="AA151" s="386">
        <f t="shared" si="63"/>
        <v>54.333194759826902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0.15498789285137049</v>
      </c>
      <c r="AD151" s="231">
        <f>(INDEX(Models!$BJ151:$BT151,,AH151)*(1-AF151)+INDEX(Models!$BJ151:$BT151,,AH151+1)*AF151-ERP_i)*AE151*Ramure*Pc/MaxiM</f>
        <v>9.7626974833050148E-3</v>
      </c>
      <c r="AE151" s="305">
        <f t="shared" si="65"/>
        <v>0.8</v>
      </c>
      <c r="AF151" s="177">
        <f t="shared" si="66"/>
        <v>0.56249729969917883</v>
      </c>
      <c r="AG151" s="809">
        <f t="shared" si="74"/>
        <v>2</v>
      </c>
      <c r="AH151" s="176">
        <f t="shared" si="67"/>
        <v>8</v>
      </c>
      <c r="AI151" s="225">
        <f t="shared" si="68"/>
        <v>2.5624972996991788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IF(t&gt;Tmaj,'2023'!Wh/'2023'!Env_an*'2024'!Env_an,0.001*[7]mois!$B$157)</f>
        <v>45.31485891901697</v>
      </c>
      <c r="C152" s="839"/>
      <c r="D152" s="393">
        <f t="shared" si="50"/>
        <v>48.681753145178632</v>
      </c>
      <c r="E152" s="385">
        <f t="shared" si="72"/>
        <v>53.313094922449906</v>
      </c>
      <c r="F152" s="385">
        <f t="shared" si="51"/>
        <v>53.499638251250389</v>
      </c>
      <c r="G152" s="110">
        <f t="shared" si="73"/>
        <v>0.86725633093087118</v>
      </c>
      <c r="H152" s="414" t="b">
        <f>Wh_hp&gt;='2023'!Maxi_hp</f>
        <v>0</v>
      </c>
      <c r="I152" s="390">
        <f>IF(H152,Wh_hp,'2023'!Maxi_hp)</f>
        <v>63.269617508467668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6.9161318330523552E-2</v>
      </c>
      <c r="M152" s="843"/>
      <c r="N152" s="843"/>
      <c r="O152" s="48">
        <f>IF(t&lt;Tnet,'2023'!Resal+('2023'!Salim-'2023'!Resal)*(1-EXP(('2023'!Tnet-t)/('2023'!Tau_j))),Resal+(Salim-Resal)*(1-EXP((Tnet-t)/(Tau_j))))*Salcycl</f>
        <v>8.6870623136925257E-2</v>
      </c>
      <c r="P152" s="169">
        <f>(INDEX(Models!$BJ152:$BT152,,T152)*(1-R152)+INDEX(Models!$BJ152:$BT152,,T152+1)*R152-ERP_i)*Q152*Ramure*Pc/MaxiM</f>
        <v>4.29741562840299E-3</v>
      </c>
      <c r="Q152" s="305">
        <f t="shared" si="53"/>
        <v>0.8</v>
      </c>
      <c r="R152" s="177">
        <f t="shared" si="54"/>
        <v>0.36671312880302387</v>
      </c>
      <c r="S152" s="809">
        <f t="shared" si="55"/>
        <v>1</v>
      </c>
      <c r="T152" s="176">
        <f t="shared" si="56"/>
        <v>7</v>
      </c>
      <c r="U152" s="251">
        <f t="shared" si="57"/>
        <v>1.3667131288030239</v>
      </c>
      <c r="V152" s="383">
        <f t="shared" si="58"/>
        <v>52.208322400015831</v>
      </c>
      <c r="W152" s="402">
        <f t="shared" si="59"/>
        <v>45.31485891901697</v>
      </c>
      <c r="X152" s="157">
        <f t="shared" si="60"/>
        <v>45429</v>
      </c>
      <c r="Y152" s="385">
        <f t="shared" si="61"/>
        <v>41.737980362371999</v>
      </c>
      <c r="Z152" s="385">
        <f t="shared" si="62"/>
        <v>44.839112495318908</v>
      </c>
      <c r="AA152" s="386">
        <f t="shared" si="63"/>
        <v>53.072449633532955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0.15513391967142115</v>
      </c>
      <c r="AD152" s="231">
        <f>(INDEX(Models!$BJ152:$BT152,,AH152)*(1-AF152)+INDEX(Models!$BJ152:$BT152,,AH152+1)*AF152-ERP_i)*AE152*Ramure*Pc/MaxiM</f>
        <v>9.8411830316284012E-3</v>
      </c>
      <c r="AE152" s="305">
        <f t="shared" si="65"/>
        <v>0.8</v>
      </c>
      <c r="AF152" s="177">
        <f t="shared" si="66"/>
        <v>0.56742987596792771</v>
      </c>
      <c r="AG152" s="809">
        <f t="shared" si="74"/>
        <v>2</v>
      </c>
      <c r="AH152" s="176">
        <f t="shared" si="67"/>
        <v>8</v>
      </c>
      <c r="AI152" s="225">
        <f t="shared" si="68"/>
        <v>2.5674298759679277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IF(t&gt;Tmaj,'2023'!Wh/'2023'!Env_an*'2024'!Env_an,0.001*[7]mois!$B$158)</f>
        <v>47.655257722860767</v>
      </c>
      <c r="C153" s="839"/>
      <c r="D153" s="393">
        <f t="shared" si="50"/>
        <v>51.197262047348289</v>
      </c>
      <c r="E153" s="385">
        <f t="shared" si="72"/>
        <v>56.079893986644741</v>
      </c>
      <c r="F153" s="385">
        <f t="shared" si="51"/>
        <v>56.296651051378419</v>
      </c>
      <c r="G153" s="110">
        <f t="shared" si="73"/>
        <v>0.91132830838335699</v>
      </c>
      <c r="H153" s="414" t="b">
        <f>Wh_hp&gt;='2023'!Maxi_hp</f>
        <v>0</v>
      </c>
      <c r="I153" s="390">
        <f>IF(H153,Wh_hp,'2023'!Maxi_hp)</f>
        <v>62.475898424686022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6.9183471592910634E-2</v>
      </c>
      <c r="M153" s="843"/>
      <c r="N153" s="843"/>
      <c r="O153" s="48">
        <f>IF(t&lt;Tnet,'2023'!Resal+('2023'!Salim-'2023'!Resal)*(1-EXP(('2023'!Tnet-t)/('2023'!Tau_j))),Resal+(Salim-Resal)*(1-EXP((Tnet-t)/(Tau_j))))*Salcycl</f>
        <v>8.7065641394743723E-2</v>
      </c>
      <c r="P153" s="169">
        <f>(INDEX(Models!$BJ153:$BT153,,T153)*(1-R153)+INDEX(Models!$BJ153:$BT153,,T153+1)*R153-ERP_i)*Q153*Ramure*Pc/MaxiM</f>
        <v>4.4050779621484402E-3</v>
      </c>
      <c r="Q153" s="305">
        <f t="shared" si="53"/>
        <v>0.8</v>
      </c>
      <c r="R153" s="177">
        <f t="shared" si="54"/>
        <v>0.37173575972377981</v>
      </c>
      <c r="S153" s="809">
        <f t="shared" si="55"/>
        <v>1</v>
      </c>
      <c r="T153" s="176">
        <f t="shared" si="56"/>
        <v>7</v>
      </c>
      <c r="U153" s="251">
        <f t="shared" si="57"/>
        <v>1.3717357597237798</v>
      </c>
      <c r="V153" s="383">
        <f t="shared" si="58"/>
        <v>52.262960965985485</v>
      </c>
      <c r="W153" s="402">
        <f t="shared" si="59"/>
        <v>47.655257722860767</v>
      </c>
      <c r="X153" s="157">
        <f t="shared" si="60"/>
        <v>45430</v>
      </c>
      <c r="Y153" s="385">
        <f t="shared" si="61"/>
        <v>43.880577950793175</v>
      </c>
      <c r="Z153" s="385">
        <f t="shared" si="62"/>
        <v>47.142027039298725</v>
      </c>
      <c r="AA153" s="386">
        <f t="shared" si="63"/>
        <v>55.807924361718626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0.1552807674095161</v>
      </c>
      <c r="AD153" s="231">
        <f>(INDEX(Models!$BJ153:$BT153,,AH153)*(1-AF153)+INDEX(Models!$BJ153:$BT153,,AH153+1)*AF153-ERP_i)*AE153*Ramure*Pc/MaxiM</f>
        <v>9.9322214608288471E-3</v>
      </c>
      <c r="AE153" s="305">
        <f t="shared" si="65"/>
        <v>0.8</v>
      </c>
      <c r="AF153" s="177">
        <f t="shared" si="66"/>
        <v>0.57245250688868321</v>
      </c>
      <c r="AG153" s="809">
        <f t="shared" si="74"/>
        <v>2</v>
      </c>
      <c r="AH153" s="176">
        <f t="shared" si="67"/>
        <v>8</v>
      </c>
      <c r="AI153" s="225">
        <f t="shared" si="68"/>
        <v>2.5724525068886832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IF(t&gt;Tmaj,'2023'!Wh/'2023'!Env_an*'2024'!Env_an,0.001*[7]mois!$B$159)</f>
        <v>42.376249658661322</v>
      </c>
      <c r="C154" s="839"/>
      <c r="D154" s="393">
        <f t="shared" si="50"/>
        <v>45.526972193619613</v>
      </c>
      <c r="E154" s="385">
        <f t="shared" si="72"/>
        <v>49.879510927541048</v>
      </c>
      <c r="F154" s="385">
        <f t="shared" si="51"/>
        <v>50.044189404181914</v>
      </c>
      <c r="G154" s="110">
        <f t="shared" si="73"/>
        <v>0.80908170070426411</v>
      </c>
      <c r="H154" s="414" t="b">
        <f>Wh_hp&gt;='2023'!Maxi_hp</f>
        <v>0</v>
      </c>
      <c r="I154" s="390">
        <f>IF(H154,Wh_hp,'2023'!Maxi_hp)</f>
        <v>61.584962409087645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6.9205624339758992E-2</v>
      </c>
      <c r="M154" s="843"/>
      <c r="N154" s="843"/>
      <c r="O154" s="48">
        <f>IF(t&lt;Tnet,'2023'!Resal+('2023'!Salim-'2023'!Resal)*(1-EXP(('2023'!Tnet-t)/('2023'!Tau_j))),Resal+(Salim-Resal)*(1-EXP((Tnet-t)/(Tau_j))))*Salcycl</f>
        <v>8.7261054749399602E-2</v>
      </c>
      <c r="P154" s="169">
        <f>(INDEX(Models!$BJ154:$BT154,,T154)*(1-R154)+INDEX(Models!$BJ154:$BT154,,T154+1)*R154-ERP_i)*Q154*Ramure*Pc/MaxiM</f>
        <v>4.5159074855638812E-3</v>
      </c>
      <c r="Q154" s="305">
        <f t="shared" si="53"/>
        <v>0.8</v>
      </c>
      <c r="R154" s="177">
        <f t="shared" si="54"/>
        <v>0.37684657809297262</v>
      </c>
      <c r="S154" s="809">
        <f t="shared" si="55"/>
        <v>1</v>
      </c>
      <c r="T154" s="176">
        <f t="shared" si="56"/>
        <v>7</v>
      </c>
      <c r="U154" s="251">
        <f t="shared" si="57"/>
        <v>1.3768465780929726</v>
      </c>
      <c r="V154" s="383">
        <f t="shared" si="58"/>
        <v>52.311351082756055</v>
      </c>
      <c r="W154" s="402">
        <f t="shared" si="59"/>
        <v>42.376249658661322</v>
      </c>
      <c r="X154" s="157">
        <f t="shared" si="60"/>
        <v>45431</v>
      </c>
      <c r="Y154" s="385">
        <f t="shared" si="61"/>
        <v>39.053163872819965</v>
      </c>
      <c r="Z154" s="385">
        <f t="shared" si="62"/>
        <v>41.956811186271253</v>
      </c>
      <c r="AA154" s="386">
        <f t="shared" si="63"/>
        <v>49.678212419485995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0.15542832274266918</v>
      </c>
      <c r="AD154" s="231">
        <f>(INDEX(Models!$BJ154:$BT154,,AH154)*(1-AF154)+INDEX(Models!$BJ154:$BT154,,AH154+1)*AF154-ERP_i)*AE154*Ramure*Pc/MaxiM</f>
        <v>1.0036030442136537E-2</v>
      </c>
      <c r="AE154" s="305">
        <f t="shared" si="65"/>
        <v>0.8</v>
      </c>
      <c r="AF154" s="177">
        <f t="shared" si="66"/>
        <v>0.57756332525787624</v>
      </c>
      <c r="AG154" s="809">
        <f t="shared" si="74"/>
        <v>2</v>
      </c>
      <c r="AH154" s="176">
        <f t="shared" si="67"/>
        <v>8</v>
      </c>
      <c r="AI154" s="225">
        <f t="shared" si="68"/>
        <v>2.5775633252578762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IF(t&gt;Tmaj,'2023'!Wh/'2023'!Env_an*'2024'!Env_an,0.001*[7]mois!$B$160)</f>
        <v>41.288518809074382</v>
      </c>
      <c r="C155" s="839"/>
      <c r="D155" s="393">
        <f t="shared" si="50"/>
        <v>44.359423035820186</v>
      </c>
      <c r="E155" s="385">
        <f t="shared" si="72"/>
        <v>48.610764924280083</v>
      </c>
      <c r="F155" s="385">
        <f t="shared" si="51"/>
        <v>48.768384832479171</v>
      </c>
      <c r="G155" s="110">
        <f t="shared" si="73"/>
        <v>0.78753697737399042</v>
      </c>
      <c r="H155" s="414" t="b">
        <f>Wh_hp&gt;='2023'!Maxi_hp</f>
        <v>0</v>
      </c>
      <c r="I155" s="390">
        <f>IF(H155,Wh_hp,'2023'!Maxi_hp)</f>
        <v>60.33184776738014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6.9227776571080618E-2</v>
      </c>
      <c r="M155" s="843"/>
      <c r="N155" s="843"/>
      <c r="O155" s="48">
        <f>IF(t&lt;Tnet,'2023'!Resal+('2023'!Salim-'2023'!Resal)*(1-EXP(('2023'!Tnet-t)/('2023'!Tau_j))),Resal+(Salim-Resal)*(1-EXP((Tnet-t)/(Tau_j))))*Salcycl</f>
        <v>8.7456798819811193E-2</v>
      </c>
      <c r="P155" s="169">
        <f>(INDEX(Models!$BJ155:$BT155,,T155)*(1-R155)+INDEX(Models!$BJ155:$BT155,,T155+1)*R155-ERP_i)*Q155*Ramure*Pc/MaxiM</f>
        <v>4.6299788926594783E-3</v>
      </c>
      <c r="Q155" s="305">
        <f t="shared" si="53"/>
        <v>0.8</v>
      </c>
      <c r="R155" s="177">
        <f t="shared" si="54"/>
        <v>0.38204349911810409</v>
      </c>
      <c r="S155" s="809">
        <f t="shared" si="55"/>
        <v>1</v>
      </c>
      <c r="T155" s="176">
        <f t="shared" si="56"/>
        <v>7</v>
      </c>
      <c r="U155" s="251">
        <f t="shared" si="57"/>
        <v>1.3820434991181041</v>
      </c>
      <c r="V155" s="383">
        <f t="shared" si="58"/>
        <v>52.353873878459012</v>
      </c>
      <c r="W155" s="402">
        <f t="shared" si="59"/>
        <v>41.288518809074382</v>
      </c>
      <c r="X155" s="157">
        <f t="shared" si="60"/>
        <v>45432</v>
      </c>
      <c r="Y155" s="385">
        <f t="shared" si="61"/>
        <v>38.058632183949136</v>
      </c>
      <c r="Z155" s="385">
        <f t="shared" si="62"/>
        <v>40.889308066954335</v>
      </c>
      <c r="AA155" s="386">
        <f t="shared" si="63"/>
        <v>48.422748237359848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0.15557646859442803</v>
      </c>
      <c r="AD155" s="231">
        <f>(INDEX(Models!$BJ155:$BT155,,AH155)*(1-AF155)+INDEX(Models!$BJ155:$BT155,,AH155+1)*AF155-ERP_i)*AE155*Ramure*Pc/MaxiM</f>
        <v>1.0152842735524675E-2</v>
      </c>
      <c r="AE155" s="305">
        <f t="shared" si="65"/>
        <v>0.8</v>
      </c>
      <c r="AF155" s="177">
        <f t="shared" si="66"/>
        <v>0.58276024628300771</v>
      </c>
      <c r="AG155" s="809">
        <f t="shared" si="74"/>
        <v>2</v>
      </c>
      <c r="AH155" s="176">
        <f t="shared" si="67"/>
        <v>8</v>
      </c>
      <c r="AI155" s="225">
        <f t="shared" si="68"/>
        <v>2.5827602462830077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IF(t&gt;Tmaj,'2023'!Wh/'2023'!Env_an*'2024'!Env_an,0.001*[7]mois!$B$161)</f>
        <v>30.513487412721457</v>
      </c>
      <c r="C156" s="839"/>
      <c r="D156" s="393">
        <f t="shared" si="50"/>
        <v>32.783760474559173</v>
      </c>
      <c r="E156" s="385">
        <f t="shared" si="72"/>
        <v>35.933426138305968</v>
      </c>
      <c r="F156" s="385">
        <f t="shared" si="51"/>
        <v>36.002362802797975</v>
      </c>
      <c r="G156" s="110">
        <f t="shared" si="73"/>
        <v>0.58076657629966388</v>
      </c>
      <c r="H156" s="414" t="b">
        <f>Wh_hp&gt;='2023'!Maxi_hp</f>
        <v>0</v>
      </c>
      <c r="I156" s="390">
        <f>IF(H156,Wh_hp,'2023'!Maxi_hp)</f>
        <v>60.101475651272665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6.9249928286887391E-2</v>
      </c>
      <c r="M156" s="843"/>
      <c r="N156" s="843"/>
      <c r="O156" s="48">
        <f>IF(t&lt;Tnet,'2023'!Resal+('2023'!Salim-'2023'!Resal)*(1-EXP(('2023'!Tnet-t)/('2023'!Tau_j))),Resal+(Salim-Resal)*(1-EXP((Tnet-t)/(Tau_j))))*Salcycl</f>
        <v>8.7652806933129337E-2</v>
      </c>
      <c r="P156" s="169">
        <f>(INDEX(Models!$BJ156:$BT156,,T156)*(1-R156)+INDEX(Models!$BJ156:$BT156,,T156+1)*R156-ERP_i)*Q156*Ramure*Pc/MaxiM</f>
        <v>4.7459580939025782E-3</v>
      </c>
      <c r="Q156" s="305">
        <f t="shared" si="53"/>
        <v>0.8</v>
      </c>
      <c r="R156" s="177">
        <f t="shared" si="54"/>
        <v>0.38732421941277062</v>
      </c>
      <c r="S156" s="809">
        <f t="shared" si="55"/>
        <v>1</v>
      </c>
      <c r="T156" s="176">
        <f t="shared" si="56"/>
        <v>7</v>
      </c>
      <c r="U156" s="251">
        <f t="shared" si="57"/>
        <v>1.3873242194127706</v>
      </c>
      <c r="V156" s="383">
        <f t="shared" si="58"/>
        <v>52.390984355487298</v>
      </c>
      <c r="W156" s="402">
        <f t="shared" si="59"/>
        <v>30.513487412721457</v>
      </c>
      <c r="X156" s="157">
        <f t="shared" si="60"/>
        <v>45433</v>
      </c>
      <c r="Y156" s="385">
        <f t="shared" si="61"/>
        <v>28.173597194080482</v>
      </c>
      <c r="Z156" s="385">
        <f t="shared" si="62"/>
        <v>30.269777086586675</v>
      </c>
      <c r="AA156" s="386">
        <f t="shared" si="63"/>
        <v>35.852986424516281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0.15572508442732699</v>
      </c>
      <c r="AD156" s="231">
        <f>(INDEX(Models!$BJ156:$BT156,,AH156)*(1-AF156)+INDEX(Models!$BJ156:$BT156,,AH156+1)*AF156-ERP_i)*AE156*Ramure*Pc/MaxiM</f>
        <v>1.0283845857179374E-2</v>
      </c>
      <c r="AE156" s="305">
        <f t="shared" si="65"/>
        <v>0.8</v>
      </c>
      <c r="AF156" s="177">
        <f t="shared" si="66"/>
        <v>0.58804096657767424</v>
      </c>
      <c r="AG156" s="809">
        <f t="shared" si="74"/>
        <v>2</v>
      </c>
      <c r="AH156" s="176">
        <f t="shared" si="67"/>
        <v>8</v>
      </c>
      <c r="AI156" s="225">
        <f t="shared" si="68"/>
        <v>2.5880409665776742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IF(t&gt;Tmaj,'2023'!Wh/'2023'!Env_an*'2024'!Env_an,0.001*[7]mois!$B$162)</f>
        <v>17.867473793139663</v>
      </c>
      <c r="C157" s="839"/>
      <c r="D157" s="393">
        <f t="shared" si="50"/>
        <v>19.197311479916834</v>
      </c>
      <c r="E157" s="385">
        <f t="shared" si="72"/>
        <v>21.046199254912654</v>
      </c>
      <c r="F157" s="385">
        <f t="shared" si="51"/>
        <v>21.052169785483159</v>
      </c>
      <c r="G157" s="110">
        <f t="shared" si="73"/>
        <v>0.33927074939089924</v>
      </c>
      <c r="H157" s="414" t="b">
        <f>Wh_hp&gt;='2023'!Maxi_hp</f>
        <v>0</v>
      </c>
      <c r="I157" s="390">
        <f>IF(H157,Wh_hp,'2023'!Maxi_hp)</f>
        <v>57.387775282609631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6.9272079487191413E-2</v>
      </c>
      <c r="M157" s="843"/>
      <c r="N157" s="843"/>
      <c r="O157" s="48">
        <f>IF(t&lt;Tnet,'2023'!Resal+('2023'!Salim-'2023'!Resal)*(1-EXP(('2023'!Tnet-t)/('2023'!Tau_j))),Resal+(Salim-Resal)*(1-EXP((Tnet-t)/(Tau_j))))*Salcycl</f>
        <v>8.7849010294067678E-2</v>
      </c>
      <c r="P157" s="169">
        <f>(INDEX(Models!$BJ157:$BT157,,T157)*(1-R157)+INDEX(Models!$BJ157:$BT157,,T157+1)*R157-ERP_i)*Q157*Ramure*Pc/MaxiM</f>
        <v>4.8620234533698781E-3</v>
      </c>
      <c r="Q157" s="305">
        <f t="shared" si="53"/>
        <v>0.8</v>
      </c>
      <c r="R157" s="177">
        <f t="shared" si="54"/>
        <v>0.39268621701089756</v>
      </c>
      <c r="S157" s="809">
        <f t="shared" si="55"/>
        <v>1</v>
      </c>
      <c r="T157" s="176">
        <f t="shared" si="56"/>
        <v>7</v>
      </c>
      <c r="U157" s="251">
        <f t="shared" si="57"/>
        <v>1.3926862170108976</v>
      </c>
      <c r="V157" s="383">
        <f t="shared" si="58"/>
        <v>52.423163128075132</v>
      </c>
      <c r="W157" s="402">
        <f t="shared" si="59"/>
        <v>17.867473793139663</v>
      </c>
      <c r="X157" s="157">
        <f t="shared" si="60"/>
        <v>45434</v>
      </c>
      <c r="Y157" s="385">
        <f t="shared" si="61"/>
        <v>16.529615714676208</v>
      </c>
      <c r="Z157" s="385">
        <f t="shared" si="62"/>
        <v>17.759879499014911</v>
      </c>
      <c r="AA157" s="386">
        <f t="shared" si="63"/>
        <v>21.039371466655641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0.15587404656257195</v>
      </c>
      <c r="AD157" s="231">
        <f>(INDEX(Models!$BJ157:$BT157,,AH157)*(1-AF157)+INDEX(Models!$BJ157:$BT157,,AH157+1)*AF157-ERP_i)*AE157*Ramure*Pc/MaxiM</f>
        <v>1.042214348763177E-2</v>
      </c>
      <c r="AE157" s="305">
        <f t="shared" si="65"/>
        <v>0.8</v>
      </c>
      <c r="AF157" s="177">
        <f t="shared" si="66"/>
        <v>0.59340296417580118</v>
      </c>
      <c r="AG157" s="809">
        <f t="shared" si="74"/>
        <v>2</v>
      </c>
      <c r="AH157" s="176">
        <f t="shared" si="67"/>
        <v>8</v>
      </c>
      <c r="AI157" s="225">
        <f t="shared" si="68"/>
        <v>2.5934029641758012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IF(t&gt;Tmaj,'2023'!Wh/'2023'!Env_an*'2024'!Env_an,0.001*[7]mois!$B$163)</f>
        <v>15.339081849604819</v>
      </c>
      <c r="C158" s="839"/>
      <c r="D158" s="393">
        <f t="shared" si="50"/>
        <v>16.481128995729392</v>
      </c>
      <c r="E158" s="385">
        <f t="shared" si="72"/>
        <v>18.072311799652219</v>
      </c>
      <c r="F158" s="385">
        <f t="shared" si="51"/>
        <v>18.072311799652219</v>
      </c>
      <c r="G158" s="110">
        <f t="shared" si="73"/>
        <v>0.29099122918981829</v>
      </c>
      <c r="H158" s="414" t="b">
        <f>Wh_hp&gt;='2023'!Maxi_hp</f>
        <v>0</v>
      </c>
      <c r="I158" s="390">
        <f>IF(H158,Wh_hp,'2023'!Maxi_hp)</f>
        <v>32.282065944533301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6.9294230172004673E-2</v>
      </c>
      <c r="M158" s="843"/>
      <c r="N158" s="843"/>
      <c r="O158" s="48">
        <f>IF(t&lt;Tnet,'2023'!Resal+('2023'!Salim-'2023'!Resal)*(1-EXP(('2023'!Tnet-t)/('2023'!Tau_j))),Resal+(Salim-Resal)*(1-EXP((Tnet-t)/(Tau_j))))*Salcycl</f>
        <v>8.8045338170485002E-2</v>
      </c>
      <c r="P158" s="169">
        <f>(INDEX(Models!$BJ158:$BT158,,T158)*(1-R158)+INDEX(Models!$BJ158:$BT158,,T158+1)*R158-ERP_i)*Q158*Ramure*Pc/MaxiM</f>
        <v>4.9780630227492465E-3</v>
      </c>
      <c r="Q158" s="305">
        <f t="shared" si="53"/>
        <v>0.8</v>
      </c>
      <c r="R158" s="177">
        <f t="shared" si="54"/>
        <v>0.39812675244789286</v>
      </c>
      <c r="S158" s="809">
        <f t="shared" si="55"/>
        <v>1</v>
      </c>
      <c r="T158" s="176">
        <f t="shared" si="56"/>
        <v>7</v>
      </c>
      <c r="U158" s="251">
        <f t="shared" si="57"/>
        <v>1.3981267524478929</v>
      </c>
      <c r="V158" s="383">
        <f t="shared" si="58"/>
        <v>52.450800582344208</v>
      </c>
      <c r="W158" s="402">
        <f t="shared" si="59"/>
        <v>15.339081849604819</v>
      </c>
      <c r="X158" s="157">
        <f t="shared" si="60"/>
        <v>45435</v>
      </c>
      <c r="Y158" s="385">
        <f t="shared" si="61"/>
        <v>14.19569340304067</v>
      </c>
      <c r="Z158" s="385">
        <f t="shared" si="62"/>
        <v>15.252611365742569</v>
      </c>
      <c r="AA158" s="386">
        <f t="shared" si="63"/>
        <v>18.072311799652219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0.15602322852596609</v>
      </c>
      <c r="AD158" s="231">
        <f>(INDEX(Models!$BJ158:$BT158,,AH158)*(1-AF158)+INDEX(Models!$BJ158:$BT158,,AH158+1)*AF158-ERP_i)*AE158*Ramure*Pc/MaxiM</f>
        <v>1.0567868248465584E-2</v>
      </c>
      <c r="AE158" s="305">
        <f t="shared" si="65"/>
        <v>0.8</v>
      </c>
      <c r="AF158" s="177">
        <f t="shared" si="66"/>
        <v>0.59884349961279648</v>
      </c>
      <c r="AG158" s="809">
        <f t="shared" si="74"/>
        <v>2</v>
      </c>
      <c r="AH158" s="176">
        <f t="shared" si="67"/>
        <v>8</v>
      </c>
      <c r="AI158" s="225">
        <f t="shared" si="68"/>
        <v>2.5988434996127965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IF(t&gt;Tmaj,'2023'!Wh/'2023'!Env_an*'2024'!Env_an,0.001*[7]mois!$B$164)</f>
        <v>35.759003254257664</v>
      </c>
      <c r="C159" s="839"/>
      <c r="D159" s="393">
        <f t="shared" si="50"/>
        <v>38.422297866779573</v>
      </c>
      <c r="E159" s="385">
        <f t="shared" si="72"/>
        <v>42.140881667107919</v>
      </c>
      <c r="F159" s="385">
        <f t="shared" si="51"/>
        <v>42.258186723119906</v>
      </c>
      <c r="G159" s="110">
        <f t="shared" si="73"/>
        <v>0.67987358262177899</v>
      </c>
      <c r="H159" s="414" t="b">
        <f>Wh_hp&gt;='2023'!Maxi_hp</f>
        <v>0</v>
      </c>
      <c r="I159" s="390">
        <f>IF(H159,Wh_hp,'2023'!Maxi_hp)</f>
        <v>58.648188470902781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6.9316380341339051E-2</v>
      </c>
      <c r="M159" s="843"/>
      <c r="N159" s="843"/>
      <c r="O159" s="48">
        <f>IF(t&lt;Tnet,'2023'!Resal+('2023'!Salim-'2023'!Resal)*(1-EXP(('2023'!Tnet-t)/('2023'!Tau_j))),Resal+(Salim-Resal)*(1-EXP((Tnet-t)/(Tau_j))))*Salcycl</f>
        <v>8.8241718094635921E-2</v>
      </c>
      <c r="P159" s="169">
        <f>(INDEX(Models!$BJ159:$BT159,,T159)*(1-R159)+INDEX(Models!$BJ159:$BT159,,T159+1)*R159-ERP_i)*Q159*Ramure*Pc/MaxiM</f>
        <v>5.0939841332121255E-3</v>
      </c>
      <c r="Q159" s="305">
        <f t="shared" si="53"/>
        <v>0.8</v>
      </c>
      <c r="R159" s="177">
        <f t="shared" si="54"/>
        <v>0.4036428709491533</v>
      </c>
      <c r="S159" s="809">
        <f t="shared" si="55"/>
        <v>1</v>
      </c>
      <c r="T159" s="176">
        <f t="shared" si="56"/>
        <v>7</v>
      </c>
      <c r="U159" s="251">
        <f t="shared" si="57"/>
        <v>1.4036428709491533</v>
      </c>
      <c r="V159" s="383">
        <f t="shared" si="58"/>
        <v>52.474285686198819</v>
      </c>
      <c r="W159" s="402">
        <f t="shared" si="59"/>
        <v>35.759003254257664</v>
      </c>
      <c r="X159" s="157">
        <f t="shared" si="60"/>
        <v>45436</v>
      </c>
      <c r="Y159" s="385">
        <f t="shared" si="61"/>
        <v>32.993001848913423</v>
      </c>
      <c r="Z159" s="385">
        <f t="shared" si="62"/>
        <v>35.450287457529328</v>
      </c>
      <c r="AA159" s="386">
        <f t="shared" si="63"/>
        <v>42.011296760458933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0.15617250141882871</v>
      </c>
      <c r="AD159" s="231">
        <f>(INDEX(Models!$BJ159:$BT159,,AH159)*(1-AF159)+INDEX(Models!$BJ159:$BT159,,AH159+1)*AF159-ERP_i)*AE159*Ramure*Pc/MaxiM</f>
        <v>1.0721222044477391E-2</v>
      </c>
      <c r="AE159" s="305">
        <f t="shared" si="65"/>
        <v>0.8</v>
      </c>
      <c r="AF159" s="177">
        <f t="shared" si="66"/>
        <v>0.60435961811405692</v>
      </c>
      <c r="AG159" s="809">
        <f t="shared" si="74"/>
        <v>2</v>
      </c>
      <c r="AH159" s="176">
        <f t="shared" si="67"/>
        <v>8</v>
      </c>
      <c r="AI159" s="225">
        <f t="shared" si="68"/>
        <v>2.6043596181140569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IF(t&gt;Tmaj,'2023'!Wh/'2023'!Env_an*'2024'!Env_an,0.001*[7]mois!$B$165)</f>
        <v>19.41411763717192</v>
      </c>
      <c r="C160" s="839"/>
      <c r="D160" s="393">
        <f t="shared" si="50"/>
        <v>20.860558068522948</v>
      </c>
      <c r="E160" s="385">
        <f t="shared" si="72"/>
        <v>22.884411383487041</v>
      </c>
      <c r="F160" s="385">
        <f t="shared" si="51"/>
        <v>22.896311513643379</v>
      </c>
      <c r="G160" s="110">
        <f t="shared" si="73"/>
        <v>0.36809952378114069</v>
      </c>
      <c r="H160" s="414" t="b">
        <f>Wh_hp&gt;='2023'!Maxi_hp</f>
        <v>0</v>
      </c>
      <c r="I160" s="390">
        <f>IF(H160,Wh_hp,'2023'!Maxi_hp)</f>
        <v>61.484504066070642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6.9338529995206649E-2</v>
      </c>
      <c r="M160" s="843"/>
      <c r="N160" s="843"/>
      <c r="O160" s="48">
        <f>IF(t&lt;Tnet,'2023'!Resal+('2023'!Salim-'2023'!Resal)*(1-EXP(('2023'!Tnet-t)/('2023'!Tau_j))),Resal+(Salim-Resal)*(1-EXP((Tnet-t)/(Tau_j))))*Salcycl</f>
        <v>8.843807607935536E-2</v>
      </c>
      <c r="P160" s="169">
        <f>(INDEX(Models!$BJ160:$BT160,,T160)*(1-R160)+INDEX(Models!$BJ160:$BT160,,T160+1)*R160-ERP_i)*Q160*Ramure*Pc/MaxiM</f>
        <v>5.2096856047733247E-3</v>
      </c>
      <c r="Q160" s="305">
        <f t="shared" si="53"/>
        <v>0.8</v>
      </c>
      <c r="R160" s="177">
        <f t="shared" si="54"/>
        <v>0.40923140575815209</v>
      </c>
      <c r="S160" s="809">
        <f t="shared" si="55"/>
        <v>1</v>
      </c>
      <c r="T160" s="176">
        <f t="shared" si="56"/>
        <v>7</v>
      </c>
      <c r="U160" s="251">
        <f t="shared" si="57"/>
        <v>1.4092314057581521</v>
      </c>
      <c r="V160" s="383">
        <f t="shared" si="58"/>
        <v>52.494007426272972</v>
      </c>
      <c r="W160" s="402">
        <f t="shared" si="59"/>
        <v>19.41411763717192</v>
      </c>
      <c r="X160" s="157">
        <f t="shared" si="60"/>
        <v>45437</v>
      </c>
      <c r="Y160" s="385">
        <f t="shared" si="61"/>
        <v>17.958181714158542</v>
      </c>
      <c r="Z160" s="385">
        <f t="shared" si="62"/>
        <v>19.296148269752749</v>
      </c>
      <c r="AA160" s="386">
        <f t="shared" si="63"/>
        <v>22.871453555848596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0.15632173431240379</v>
      </c>
      <c r="AD160" s="231">
        <f>(INDEX(Models!$BJ160:$BT160,,AH160)*(1-AF160)+INDEX(Models!$BJ160:$BT160,,AH160+1)*AF160-ERP_i)*AE160*Ramure*Pc/MaxiM</f>
        <v>1.088241415734284E-2</v>
      </c>
      <c r="AE160" s="305">
        <f t="shared" si="65"/>
        <v>0.8</v>
      </c>
      <c r="AF160" s="177">
        <f t="shared" si="66"/>
        <v>0.60994815292305571</v>
      </c>
      <c r="AG160" s="809">
        <f t="shared" si="74"/>
        <v>2</v>
      </c>
      <c r="AH160" s="176">
        <f t="shared" si="67"/>
        <v>8</v>
      </c>
      <c r="AI160" s="225">
        <f t="shared" si="68"/>
        <v>2.6099481529230557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IF(t&gt;Tmaj,'2023'!Wh/'2023'!Env_an*'2024'!Env_an,0.001*[7]mois!$B$166)</f>
        <v>41.969582164916538</v>
      </c>
      <c r="C161" s="839"/>
      <c r="D161" s="393">
        <f t="shared" si="50"/>
        <v>45.097581011132078</v>
      </c>
      <c r="E161" s="385">
        <f t="shared" si="72"/>
        <v>49.483519990400396</v>
      </c>
      <c r="F161" s="385">
        <f t="shared" si="51"/>
        <v>49.672175210715245</v>
      </c>
      <c r="G161" s="110">
        <f t="shared" si="73"/>
        <v>0.79803780152116222</v>
      </c>
      <c r="H161" s="414" t="b">
        <f>Wh_hp&gt;='2023'!Maxi_hp</f>
        <v>0</v>
      </c>
      <c r="I161" s="390">
        <f>IF(H161,Wh_hp,'2023'!Maxi_hp)</f>
        <v>61.220926609696406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6.9360679133619457E-2</v>
      </c>
      <c r="M161" s="843"/>
      <c r="N161" s="843"/>
      <c r="O161" s="48">
        <f>IF(t&lt;Tnet,'2023'!Resal+('2023'!Salim-'2023'!Resal)*(1-EXP(('2023'!Tnet-t)/('2023'!Tau_j))),Resal+(Salim-Resal)*(1-EXP((Tnet-t)/(Tau_j))))*Salcycl</f>
        <v>8.8634336848291639E-2</v>
      </c>
      <c r="P161" s="169">
        <f>(INDEX(Models!$BJ161:$BT161,,T161)*(1-R161)+INDEX(Models!$BJ161:$BT161,,T161+1)*R161-ERP_i)*Q161*Ramure*Pc/MaxiM</f>
        <v>5.3250578705480462E-3</v>
      </c>
      <c r="Q161" s="305">
        <f t="shared" si="53"/>
        <v>0.8</v>
      </c>
      <c r="R161" s="177">
        <f t="shared" si="54"/>
        <v>0.41488898262732321</v>
      </c>
      <c r="S161" s="809">
        <f t="shared" si="55"/>
        <v>1</v>
      </c>
      <c r="T161" s="176">
        <f t="shared" si="56"/>
        <v>7</v>
      </c>
      <c r="U161" s="251">
        <f t="shared" si="57"/>
        <v>1.4148889826273232</v>
      </c>
      <c r="V161" s="383">
        <f t="shared" si="58"/>
        <v>52.510354792227254</v>
      </c>
      <c r="W161" s="402">
        <f t="shared" si="59"/>
        <v>41.969582164916538</v>
      </c>
      <c r="X161" s="157">
        <f t="shared" si="60"/>
        <v>45438</v>
      </c>
      <c r="Y161" s="385">
        <f t="shared" si="61"/>
        <v>38.686358461058852</v>
      </c>
      <c r="Z161" s="385">
        <f t="shared" si="62"/>
        <v>41.569658184057502</v>
      </c>
      <c r="AA161" s="386">
        <f t="shared" si="63"/>
        <v>49.280638916941321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0.15647079466400737</v>
      </c>
      <c r="AD161" s="231">
        <f>(INDEX(Models!$BJ161:$BT161,,AH161)*(1-AF161)+INDEX(Models!$BJ161:$BT161,,AH161+1)*AF161-ERP_i)*AE161*Ramure*Pc/MaxiM</f>
        <v>1.1051660374339972E-2</v>
      </c>
      <c r="AE161" s="305">
        <f t="shared" si="65"/>
        <v>0.8</v>
      </c>
      <c r="AF161" s="177">
        <f t="shared" si="66"/>
        <v>0.61560572979222705</v>
      </c>
      <c r="AG161" s="809">
        <f t="shared" si="74"/>
        <v>2</v>
      </c>
      <c r="AH161" s="176">
        <f t="shared" si="67"/>
        <v>8</v>
      </c>
      <c r="AI161" s="225">
        <f t="shared" si="68"/>
        <v>2.6156057297922271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IF(t&gt;Tmaj,'2023'!Wh/'2023'!Env_an*'2024'!Env_an,0.001*[7]mois!$B$167)</f>
        <v>48.090560776322974</v>
      </c>
      <c r="C162" s="839"/>
      <c r="D162" s="393">
        <f t="shared" si="50"/>
        <v>51.675986872660559</v>
      </c>
      <c r="E162" s="385">
        <f t="shared" si="72"/>
        <v>56.713907310212811</v>
      </c>
      <c r="F162" s="385">
        <f t="shared" si="51"/>
        <v>56.986533953289722</v>
      </c>
      <c r="G162" s="110">
        <f t="shared" si="73"/>
        <v>0.91499360882905656</v>
      </c>
      <c r="H162" s="414" t="b">
        <f>Wh_hp&gt;='2023'!Maxi_hp</f>
        <v>0</v>
      </c>
      <c r="I162" s="390">
        <f>IF(H162,Wh_hp,'2023'!Maxi_hp)</f>
        <v>59.964902917287468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6.9382827756589466E-2</v>
      </c>
      <c r="M162" s="843"/>
      <c r="N162" s="843"/>
      <c r="O162" s="48">
        <f>IF(t&lt;Tnet,'2023'!Resal+('2023'!Salim-'2023'!Resal)*(1-EXP(('2023'!Tnet-t)/('2023'!Tau_j))),Resal+(Salim-Resal)*(1-EXP((Tnet-t)/(Tau_j))))*Salcycl</f>
        <v>8.8830424079157713E-2</v>
      </c>
      <c r="P162" s="169">
        <f>(INDEX(Models!$BJ162:$BT162,,T162)*(1-R162)+INDEX(Models!$BJ162:$BT162,,T162+1)*R162-ERP_i)*Q162*Ramure*Pc/MaxiM</f>
        <v>5.4399831437204269E-3</v>
      </c>
      <c r="Q162" s="305">
        <f t="shared" si="53"/>
        <v>0.8</v>
      </c>
      <c r="R162" s="177">
        <f t="shared" si="54"/>
        <v>0.42061202548517418</v>
      </c>
      <c r="S162" s="809">
        <f t="shared" si="55"/>
        <v>1</v>
      </c>
      <c r="T162" s="176">
        <f t="shared" si="56"/>
        <v>7</v>
      </c>
      <c r="U162" s="251">
        <f t="shared" si="57"/>
        <v>1.4206120254851742</v>
      </c>
      <c r="V162" s="383">
        <f t="shared" si="58"/>
        <v>52.523716742839852</v>
      </c>
      <c r="W162" s="402">
        <f t="shared" si="59"/>
        <v>48.090560776322974</v>
      </c>
      <c r="X162" s="157">
        <f t="shared" si="60"/>
        <v>45439</v>
      </c>
      <c r="Y162" s="385">
        <f t="shared" si="61"/>
        <v>44.285012008799903</v>
      </c>
      <c r="Z162" s="385">
        <f t="shared" si="62"/>
        <v>47.586712699533976</v>
      </c>
      <c r="AA162" s="386">
        <f t="shared" si="63"/>
        <v>56.423779599312965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0.15661954875292669</v>
      </c>
      <c r="AD162" s="231">
        <f>(INDEX(Models!$BJ162:$BT162,,AH162)*(1-AF162)+INDEX(Models!$BJ162:$BT162,,AH162+1)*AF162-ERP_i)*AE162*Ramure*Pc/MaxiM</f>
        <v>1.1229182023948906E-2</v>
      </c>
      <c r="AE162" s="305">
        <f t="shared" si="65"/>
        <v>0.8</v>
      </c>
      <c r="AF162" s="177">
        <f t="shared" si="66"/>
        <v>0.6213287726500778</v>
      </c>
      <c r="AG162" s="809">
        <f t="shared" si="74"/>
        <v>2</v>
      </c>
      <c r="AH162" s="176">
        <f t="shared" si="67"/>
        <v>8</v>
      </c>
      <c r="AI162" s="225">
        <f t="shared" si="68"/>
        <v>2.6213287726500778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IF(t&gt;Tmaj,'2023'!Wh/'2023'!Env_an*'2024'!Env_an,0.001*[7]mois!$B$168)</f>
        <v>51.497343624353313</v>
      </c>
      <c r="C163" s="839"/>
      <c r="D163" s="393">
        <f t="shared" si="50"/>
        <v>55.338081860229735</v>
      </c>
      <c r="E163" s="385">
        <f t="shared" si="72"/>
        <v>60.746078037607326</v>
      </c>
      <c r="F163" s="385">
        <f t="shared" si="51"/>
        <v>61.075769677062624</v>
      </c>
      <c r="G163" s="110">
        <f t="shared" si="73"/>
        <v>0.98013276756674028</v>
      </c>
      <c r="H163" s="414" t="b">
        <f>Wh_hp&gt;='2023'!Maxi_hp</f>
        <v>0</v>
      </c>
      <c r="I163" s="390">
        <f>IF(H163,Wh_hp,'2023'!Maxi_hp)</f>
        <v>61.083995775588619</v>
      </c>
      <c r="J163" s="85">
        <f>IF(H163,An,'2023'!An_max)</f>
        <v>2022</v>
      </c>
      <c r="K163" s="197">
        <f t="shared" si="52"/>
        <v>45440</v>
      </c>
      <c r="L163" s="147">
        <f>IF(t&lt;Tvie,1-EXP((T0-t)*PertePVj)+'2023'!Pspv,1-EXP((T0-t)*PertePVj)+Pspv)</f>
        <v>6.9404975864128665E-2</v>
      </c>
      <c r="M163" s="843"/>
      <c r="N163" s="843"/>
      <c r="O163" s="48">
        <f>IF(t&lt;Tnet,'2023'!Resal+('2023'!Salim-'2023'!Resal)*(1-EXP(('2023'!Tnet-t)/('2023'!Tau_j))),Resal+(Salim-Resal)*(1-EXP((Tnet-t)/(Tau_j))))*Salcycl</f>
        <v>8.9026260658828904E-2</v>
      </c>
      <c r="P163" s="169">
        <f>(INDEX(Models!$BJ163:$BT163,,T163)*(1-R163)+INDEX(Models!$BJ163:$BT163,,T163+1)*R163-ERP_i)*Q163*Ramure*Pc/MaxiM</f>
        <v>5.554498993143045E-3</v>
      </c>
      <c r="Q163" s="305">
        <f t="shared" si="53"/>
        <v>0.8</v>
      </c>
      <c r="R163" s="177">
        <f t="shared" si="54"/>
        <v>0.42639676328264042</v>
      </c>
      <c r="S163" s="809">
        <f t="shared" si="55"/>
        <v>1</v>
      </c>
      <c r="T163" s="176">
        <f t="shared" si="56"/>
        <v>7</v>
      </c>
      <c r="U163" s="251">
        <f t="shared" si="57"/>
        <v>1.4263967632826404</v>
      </c>
      <c r="V163" s="383">
        <f t="shared" si="58"/>
        <v>52.532928429795781</v>
      </c>
      <c r="W163" s="402">
        <f t="shared" si="59"/>
        <v>51.497343624353313</v>
      </c>
      <c r="X163" s="157">
        <f t="shared" si="60"/>
        <v>45440</v>
      </c>
      <c r="Y163" s="385">
        <f t="shared" si="61"/>
        <v>47.394921667182928</v>
      </c>
      <c r="Z163" s="385">
        <f t="shared" si="62"/>
        <v>50.929695987997292</v>
      </c>
      <c r="AA163" s="386">
        <f t="shared" si="63"/>
        <v>60.398191317610625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0.15676786213385416</v>
      </c>
      <c r="AD163" s="231">
        <f>(INDEX(Models!$BJ163:$BT163,,AH163)*(1-AF163)+INDEX(Models!$BJ163:$BT163,,AH163+1)*AF163-ERP_i)*AE163*Ramure*Pc/MaxiM</f>
        <v>1.1415540659659192E-2</v>
      </c>
      <c r="AE163" s="305">
        <f t="shared" si="65"/>
        <v>0.8</v>
      </c>
      <c r="AF163" s="177">
        <f t="shared" si="66"/>
        <v>0.62711351044754426</v>
      </c>
      <c r="AG163" s="809">
        <f t="shared" si="74"/>
        <v>2</v>
      </c>
      <c r="AH163" s="176">
        <f t="shared" si="67"/>
        <v>8</v>
      </c>
      <c r="AI163" s="225">
        <f t="shared" si="68"/>
        <v>2.6271135104475443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IF(t&gt;Tmaj,'2023'!Wh/'2023'!Env_an*'2024'!Env_an,0.001*[7]mois!$B$169)</f>
        <v>46.296778748449583</v>
      </c>
      <c r="C164" s="839"/>
      <c r="D164" s="393">
        <f t="shared" si="50"/>
        <v>49.750836195012326</v>
      </c>
      <c r="E164" s="385">
        <f t="shared" si="72"/>
        <v>54.624533721673394</v>
      </c>
      <c r="F164" s="385">
        <f t="shared" si="51"/>
        <v>54.882805740509916</v>
      </c>
      <c r="G164" s="110">
        <f t="shared" si="73"/>
        <v>0.88037388521392945</v>
      </c>
      <c r="H164" s="414" t="b">
        <f>Wh_hp&gt;='2023'!Maxi_hp</f>
        <v>0</v>
      </c>
      <c r="I164" s="390">
        <f>IF(H164,Wh_hp,'2023'!Maxi_hp)</f>
        <v>56.346398541738836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6.9427123456249046E-2</v>
      </c>
      <c r="M164" s="843"/>
      <c r="N164" s="843"/>
      <c r="O164" s="48">
        <f>IF(t&lt;Tnet,'2023'!Resal+('2023'!Salim-'2023'!Resal)*(1-EXP(('2023'!Tnet-t)/('2023'!Tau_j))),Resal+(Salim-Resal)*(1-EXP((Tnet-t)/(Tau_j))))*Salcycl</f>
        <v>8.9221768948982927E-2</v>
      </c>
      <c r="P164" s="169">
        <f>(INDEX(Models!$BJ164:$BT164,,T164)*(1-R164)+INDEX(Models!$BJ164:$BT164,,T164+1)*R164-ERP_i)*Q164*Ramure*Pc/MaxiM</f>
        <v>5.6675395571956898E-3</v>
      </c>
      <c r="Q164" s="305">
        <f t="shared" si="53"/>
        <v>0.8</v>
      </c>
      <c r="R164" s="177">
        <f t="shared" si="54"/>
        <v>0.4322392380107456</v>
      </c>
      <c r="S164" s="809">
        <f t="shared" si="55"/>
        <v>1</v>
      </c>
      <c r="T164" s="176">
        <f t="shared" si="56"/>
        <v>7</v>
      </c>
      <c r="U164" s="251">
        <f t="shared" si="57"/>
        <v>1.4322392380107456</v>
      </c>
      <c r="V164" s="383">
        <f t="shared" si="58"/>
        <v>52.536822574313796</v>
      </c>
      <c r="W164" s="402">
        <f t="shared" si="59"/>
        <v>46.296778748449583</v>
      </c>
      <c r="X164" s="157">
        <f t="shared" si="60"/>
        <v>45441</v>
      </c>
      <c r="Y164" s="385">
        <f t="shared" si="61"/>
        <v>42.643331551864115</v>
      </c>
      <c r="Z164" s="385">
        <f t="shared" si="62"/>
        <v>45.824816762601223</v>
      </c>
      <c r="AA164" s="386">
        <f t="shared" si="63"/>
        <v>54.353771423515674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0.1569156001054321</v>
      </c>
      <c r="AD164" s="231">
        <f>(INDEX(Models!$BJ164:$BT164,,AH164)*(1-AF164)+INDEX(Models!$BJ164:$BT164,,AH164+1)*AF164-ERP_i)*AE164*Ramure*Pc/MaxiM</f>
        <v>1.1609166692489001E-2</v>
      </c>
      <c r="AE164" s="305">
        <f t="shared" si="65"/>
        <v>0.8</v>
      </c>
      <c r="AF164" s="177">
        <f t="shared" si="66"/>
        <v>0.63295598517564899</v>
      </c>
      <c r="AG164" s="809">
        <f t="shared" si="74"/>
        <v>2</v>
      </c>
      <c r="AH164" s="176">
        <f t="shared" si="67"/>
        <v>8</v>
      </c>
      <c r="AI164" s="225">
        <f t="shared" si="68"/>
        <v>2.632955985175649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IF(t&gt;Tmaj,'2023'!Wh/'2023'!Env_an*'2024'!Env_an,0.001*[7]mois!$B$170)</f>
        <v>47.493279601001809</v>
      </c>
      <c r="C165" s="839"/>
      <c r="D165" s="393">
        <f t="shared" si="50"/>
        <v>51.037818892692776</v>
      </c>
      <c r="E165" s="385">
        <f t="shared" si="72"/>
        <v>56.04959862605088</v>
      </c>
      <c r="F165" s="385">
        <f t="shared" si="51"/>
        <v>56.330542365413073</v>
      </c>
      <c r="G165" s="110">
        <f t="shared" si="73"/>
        <v>0.90330004206957548</v>
      </c>
      <c r="H165" s="414" t="b">
        <f>Wh_hp&gt;='2023'!Maxi_hp</f>
        <v>0</v>
      </c>
      <c r="I165" s="390">
        <f>IF(H165,Wh_hp,'2023'!Maxi_hp)</f>
        <v>62.468341792037805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6.9449270532962598E-2</v>
      </c>
      <c r="M165" s="843"/>
      <c r="N165" s="843"/>
      <c r="O165" s="48">
        <f>IF(t&lt;Tnet,'2023'!Resal+('2023'!Salim-'2023'!Resal)*(1-EXP(('2023'!Tnet-t)/('2023'!Tau_j))),Resal+(Salim-Resal)*(1-EXP((Tnet-t)/(Tau_j))))*Salcycl</f>
        <v>8.9416871060852041E-2</v>
      </c>
      <c r="P165" s="169">
        <f>(INDEX(Models!$BJ165:$BT165,,T165)*(1-R165)+INDEX(Models!$BJ165:$BT165,,T165+1)*R165-ERP_i)*Q165*Ramure*Pc/MaxiM</f>
        <v>5.7799235087932586E-3</v>
      </c>
      <c r="Q165" s="305">
        <f t="shared" si="53"/>
        <v>0.8</v>
      </c>
      <c r="R165" s="177">
        <f t="shared" si="54"/>
        <v>0.43813531387029747</v>
      </c>
      <c r="S165" s="809">
        <f t="shared" si="55"/>
        <v>1</v>
      </c>
      <c r="T165" s="176">
        <f t="shared" si="56"/>
        <v>7</v>
      </c>
      <c r="U165" s="251">
        <f t="shared" si="57"/>
        <v>1.4381353138702975</v>
      </c>
      <c r="V165" s="383">
        <f t="shared" si="58"/>
        <v>52.535646913252023</v>
      </c>
      <c r="W165" s="402">
        <f t="shared" si="59"/>
        <v>47.493279601001809</v>
      </c>
      <c r="X165" s="157">
        <f t="shared" si="60"/>
        <v>45442</v>
      </c>
      <c r="Y165" s="385">
        <f t="shared" si="61"/>
        <v>43.735392626307316</v>
      </c>
      <c r="Z165" s="385">
        <f t="shared" si="62"/>
        <v>46.999471647672848</v>
      </c>
      <c r="AA165" s="386">
        <f t="shared" si="63"/>
        <v>55.756777691354223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0.15706262819128636</v>
      </c>
      <c r="AD165" s="231">
        <f>(INDEX(Models!$BJ165:$BT165,,AH165)*(1-AF165)+INDEX(Models!$BJ165:$BT165,,AH165+1)*AF165-ERP_i)*AE165*Ramure*Pc/MaxiM</f>
        <v>1.1804199430236964E-2</v>
      </c>
      <c r="AE165" s="305">
        <f t="shared" si="65"/>
        <v>0.8</v>
      </c>
      <c r="AF165" s="177">
        <f t="shared" si="66"/>
        <v>0.63885206103520131</v>
      </c>
      <c r="AG165" s="809">
        <f t="shared" si="74"/>
        <v>2</v>
      </c>
      <c r="AH165" s="176">
        <f t="shared" si="67"/>
        <v>8</v>
      </c>
      <c r="AI165" s="225">
        <f t="shared" si="68"/>
        <v>2.6388520610352013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IF(t&gt;Tmaj,'2023'!Wh/'2023'!Env_an*'2024'!Env_an,0.001*'[8]mon-tableau'!$B$136)</f>
        <v>48.680888484334744</v>
      </c>
      <c r="C166" s="839"/>
      <c r="D166" s="393">
        <f t="shared" si="50"/>
        <v>52.315306997149058</v>
      </c>
      <c r="E166" s="385">
        <f t="shared" si="72"/>
        <v>57.464814607104486</v>
      </c>
      <c r="F166" s="385">
        <f t="shared" si="51"/>
        <v>57.769540857130302</v>
      </c>
      <c r="G166" s="110">
        <f t="shared" si="73"/>
        <v>0.92615626521941941</v>
      </c>
      <c r="H166" s="414" t="b">
        <f>Wh_hp&gt;='2023'!Maxi_hp</f>
        <v>0</v>
      </c>
      <c r="I166" s="390">
        <f>IF(H166,Wh_hp,'2023'!Maxi_hp)</f>
        <v>62.676293728135057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6.9471417094281313E-2</v>
      </c>
      <c r="M166" s="843"/>
      <c r="N166" s="843"/>
      <c r="O166" s="48">
        <f>IF(t&lt;Tnet,'2023'!Resal+('2023'!Salim-'2023'!Resal)*(1-EXP(('2023'!Tnet-t)/('2023'!Tau_j))),Resal+(Salim-Resal)*(1-EXP((Tnet-t)/(Tau_j))))*Salcycl</f>
        <v>8.9611489137542411E-2</v>
      </c>
      <c r="P166" s="169">
        <f>(INDEX(Models!$BJ166:$BT166,,T166)*(1-R166)+INDEX(Models!$BJ166:$BT166,,T166+1)*R166-ERP_i)*Q166*Ramure*Pc/MaxiM</f>
        <v>5.8915282762593054E-3</v>
      </c>
      <c r="Q166" s="305">
        <f t="shared" si="53"/>
        <v>0.8</v>
      </c>
      <c r="R166" s="177">
        <f t="shared" si="54"/>
        <v>0.44408068756279628</v>
      </c>
      <c r="S166" s="809">
        <f t="shared" si="55"/>
        <v>1</v>
      </c>
      <c r="T166" s="176">
        <f t="shared" si="56"/>
        <v>7</v>
      </c>
      <c r="U166" s="251">
        <f t="shared" si="57"/>
        <v>1.4440806875627963</v>
      </c>
      <c r="V166" s="383">
        <f t="shared" si="58"/>
        <v>52.52969846365324</v>
      </c>
      <c r="W166" s="402">
        <f t="shared" si="59"/>
        <v>48.680888484334744</v>
      </c>
      <c r="X166" s="157">
        <f t="shared" si="60"/>
        <v>45443</v>
      </c>
      <c r="Y166" s="385">
        <f t="shared" si="61"/>
        <v>44.818478559384438</v>
      </c>
      <c r="Z166" s="385">
        <f t="shared" si="62"/>
        <v>48.164537213281342</v>
      </c>
      <c r="AA166" s="386">
        <f t="shared" si="63"/>
        <v>57.148838211782717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0.15720881263075318</v>
      </c>
      <c r="AD166" s="231">
        <f>(INDEX(Models!$BJ166:$BT166,,AH166)*(1-AF166)+INDEX(Models!$BJ166:$BT166,,AH166+1)*AF166-ERP_i)*AE166*Ramure*Pc/MaxiM</f>
        <v>1.2000565051105649E-2</v>
      </c>
      <c r="AE166" s="305">
        <f t="shared" si="65"/>
        <v>0.8</v>
      </c>
      <c r="AF166" s="177">
        <f t="shared" si="66"/>
        <v>0.64479743472770013</v>
      </c>
      <c r="AG166" s="809">
        <f t="shared" si="74"/>
        <v>2</v>
      </c>
      <c r="AH166" s="176">
        <f t="shared" si="67"/>
        <v>8</v>
      </c>
      <c r="AI166" s="225">
        <f t="shared" si="68"/>
        <v>2.6447974347277001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IF(t&gt;Tmaj,'2023'!Wh/'2023'!Env_an*'2024'!Env_an,0.001*'[8]mon-tableau'!$B$137)</f>
        <v>40.033516227405386</v>
      </c>
      <c r="C167" s="839"/>
      <c r="D167" s="393">
        <f t="shared" si="50"/>
        <v>43.02336302208515</v>
      </c>
      <c r="E167" s="385">
        <f t="shared" si="72"/>
        <v>47.268320320018077</v>
      </c>
      <c r="F167" s="385">
        <f t="shared" si="51"/>
        <v>47.456424601940618</v>
      </c>
      <c r="G167" s="110">
        <f t="shared" si="73"/>
        <v>0.76070326297445701</v>
      </c>
      <c r="H167" s="414" t="b">
        <f>Wh_hp&gt;='2023'!Maxi_hp</f>
        <v>0</v>
      </c>
      <c r="I167" s="390">
        <f>IF(H167,Wh_hp,'2023'!Maxi_hp)</f>
        <v>61.321691281882586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6.949356314021729E-2</v>
      </c>
      <c r="M167" s="843"/>
      <c r="N167" s="843"/>
      <c r="O167" s="48">
        <f>IF(t&lt;Tnet,'2023'!Resal+('2023'!Salim-'2023'!Resal)*(1-EXP(('2023'!Tnet-t)/('2023'!Tau_j))),Resal+(Salim-Resal)*(1-EXP((Tnet-t)/(Tau_j))))*Salcycl</f>
        <v>8.9805545642272125E-2</v>
      </c>
      <c r="P167" s="169">
        <f>(INDEX(Models!$BJ167:$BT167,,T167)*(1-R167)+INDEX(Models!$BJ167:$BT167,,T167+1)*R167-ERP_i)*Q167*Ramure*Pc/MaxiM</f>
        <v>6.0022250247131993E-3</v>
      </c>
      <c r="Q167" s="305">
        <f t="shared" si="53"/>
        <v>0.8</v>
      </c>
      <c r="R167" s="177">
        <f t="shared" si="54"/>
        <v>0.45007089966009151</v>
      </c>
      <c r="S167" s="809">
        <f t="shared" si="55"/>
        <v>1</v>
      </c>
      <c r="T167" s="176">
        <f t="shared" si="56"/>
        <v>7</v>
      </c>
      <c r="U167" s="251">
        <f t="shared" si="57"/>
        <v>1.4500708996600915</v>
      </c>
      <c r="V167" s="383">
        <f t="shared" si="58"/>
        <v>52.519274128473299</v>
      </c>
      <c r="W167" s="402">
        <f t="shared" si="59"/>
        <v>40.033516227405386</v>
      </c>
      <c r="X167" s="157">
        <f t="shared" si="60"/>
        <v>45444</v>
      </c>
      <c r="Y167" s="385">
        <f t="shared" si="61"/>
        <v>36.910248664111471</v>
      </c>
      <c r="Z167" s="385">
        <f t="shared" si="62"/>
        <v>39.666838618198021</v>
      </c>
      <c r="AA167" s="386">
        <f t="shared" si="63"/>
        <v>47.074144541046152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0.15735402087635084</v>
      </c>
      <c r="AD167" s="231">
        <f>(INDEX(Models!$BJ167:$BT167,,AH167)*(1-AF167)+INDEX(Models!$BJ167:$BT167,,AH167+1)*AF167-ERP_i)*AE167*Ramure*Pc/MaxiM</f>
        <v>1.2198185626069483E-2</v>
      </c>
      <c r="AE167" s="305">
        <f t="shared" si="65"/>
        <v>0.8</v>
      </c>
      <c r="AF167" s="177">
        <f t="shared" si="66"/>
        <v>0.65078764682499513</v>
      </c>
      <c r="AG167" s="809">
        <f t="shared" si="74"/>
        <v>2</v>
      </c>
      <c r="AH167" s="176">
        <f t="shared" si="67"/>
        <v>8</v>
      </c>
      <c r="AI167" s="225">
        <f t="shared" si="68"/>
        <v>2.6507876468249951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IF(t&gt;Tmaj,'2023'!Wh/'2023'!Env_an*'2024'!Env_an,0.001*'[8]mon-tableau'!$B$138)</f>
        <v>46.64122036949658</v>
      </c>
      <c r="C168" s="839"/>
      <c r="D168" s="393">
        <f t="shared" si="50"/>
        <v>50.125747209411294</v>
      </c>
      <c r="E168" s="385">
        <f t="shared" si="72"/>
        <v>55.083175960445331</v>
      </c>
      <c r="F168" s="385">
        <f t="shared" si="51"/>
        <v>55.367589160774457</v>
      </c>
      <c r="G168" s="110">
        <f t="shared" si="73"/>
        <v>0.88745452379299827</v>
      </c>
      <c r="H168" s="414" t="b">
        <f>Wh_hp&gt;='2023'!Maxi_hp</f>
        <v>0</v>
      </c>
      <c r="I168" s="390">
        <f>IF(H168,Wh_hp,'2023'!Maxi_hp)</f>
        <v>55.413341824549725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6.95157086707823E-2</v>
      </c>
      <c r="M168" s="843"/>
      <c r="N168" s="843"/>
      <c r="O168" s="48">
        <f>IF(t&lt;Tnet,'2023'!Resal+('2023'!Salim-'2023'!Resal)*(1-EXP(('2023'!Tnet-t)/('2023'!Tau_j))),Resal+(Salim-Resal)*(1-EXP((Tnet-t)/(Tau_j))))*Salcycl</f>
        <v>8.9998963650787203E-2</v>
      </c>
      <c r="P168" s="169">
        <f>(INDEX(Models!$BJ168:$BT168,,T168)*(1-R168)+INDEX(Models!$BJ168:$BT168,,T168+1)*R168-ERP_i)*Q168*Ramure*Pc/MaxiM</f>
        <v>6.111879006783714E-3</v>
      </c>
      <c r="Q168" s="305">
        <f t="shared" si="53"/>
        <v>0.8</v>
      </c>
      <c r="R168" s="177">
        <f t="shared" si="54"/>
        <v>0.45610134699881777</v>
      </c>
      <c r="S168" s="809">
        <f t="shared" si="55"/>
        <v>1</v>
      </c>
      <c r="T168" s="176">
        <f t="shared" si="56"/>
        <v>7</v>
      </c>
      <c r="U168" s="251">
        <f t="shared" si="57"/>
        <v>1.4561013469988178</v>
      </c>
      <c r="V168" s="383">
        <f t="shared" si="58"/>
        <v>52.504670653449367</v>
      </c>
      <c r="W168" s="402">
        <f t="shared" si="59"/>
        <v>46.64122036949658</v>
      </c>
      <c r="X168" s="157">
        <f t="shared" si="60"/>
        <v>45445</v>
      </c>
      <c r="Y168" s="385">
        <f t="shared" si="61"/>
        <v>42.952335972662141</v>
      </c>
      <c r="Z168" s="385">
        <f t="shared" si="62"/>
        <v>46.161269322777891</v>
      </c>
      <c r="AA168" s="386">
        <f t="shared" si="63"/>
        <v>54.790701995299735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0.15749812209491548</v>
      </c>
      <c r="AD168" s="231">
        <f>(INDEX(Models!$BJ168:$BT168,,AH168)*(1-AF168)+INDEX(Models!$BJ168:$BT168,,AH168+1)*AF168-ERP_i)*AE168*Ramure*Pc/MaxiM</f>
        <v>1.2396979295854534E-2</v>
      </c>
      <c r="AE168" s="305">
        <f t="shared" si="65"/>
        <v>0.8</v>
      </c>
      <c r="AF168" s="177">
        <f t="shared" si="66"/>
        <v>0.65681809416372117</v>
      </c>
      <c r="AG168" s="809">
        <f t="shared" si="74"/>
        <v>2</v>
      </c>
      <c r="AH168" s="176">
        <f t="shared" si="67"/>
        <v>8</v>
      </c>
      <c r="AI168" s="225">
        <f t="shared" si="68"/>
        <v>2.6568180941637212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IF(t&gt;Tmaj,'2023'!Wh/'2023'!Env_an*'2024'!Env_an,0.001*'[8]mon-tableau'!$B$139)</f>
        <v>22.083960160022727</v>
      </c>
      <c r="C169" s="839"/>
      <c r="D169" s="393">
        <f t="shared" si="50"/>
        <v>23.734399349299107</v>
      </c>
      <c r="E169" s="385">
        <f t="shared" si="72"/>
        <v>26.087252108199213</v>
      </c>
      <c r="F169" s="385">
        <f t="shared" si="51"/>
        <v>26.115275829617303</v>
      </c>
      <c r="G169" s="110">
        <f t="shared" si="73"/>
        <v>0.41858950258398536</v>
      </c>
      <c r="H169" s="414" t="b">
        <f>Wh_hp&gt;='2023'!Maxi_hp</f>
        <v>0</v>
      </c>
      <c r="I169" s="390">
        <f>IF(H169,Wh_hp,'2023'!Maxi_hp)</f>
        <v>56.408226720952712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6.9537853685988443E-2</v>
      </c>
      <c r="M169" s="843"/>
      <c r="N169" s="843"/>
      <c r="O169" s="48">
        <f>IF(t&lt;Tnet,'2023'!Resal+('2023'!Salim-'2023'!Resal)*(1-EXP(('2023'!Tnet-t)/('2023'!Tau_j))),Resal+(Salim-Resal)*(1-EXP((Tnet-t)/(Tau_j))))*Salcycl</f>
        <v>9.0191667146138618E-2</v>
      </c>
      <c r="P169" s="169">
        <f>(INDEX(Models!$BJ169:$BT169,,T169)*(1-R169)+INDEX(Models!$BJ169:$BT169,,T169+1)*R169-ERP_i)*Q169*Ramure*Pc/MaxiM</f>
        <v>6.2203499492437427E-3</v>
      </c>
      <c r="Q169" s="305">
        <f t="shared" si="53"/>
        <v>0.8</v>
      </c>
      <c r="R169" s="177">
        <f t="shared" si="54"/>
        <v>0.46216729603440942</v>
      </c>
      <c r="S169" s="809">
        <f t="shared" si="55"/>
        <v>1</v>
      </c>
      <c r="T169" s="176">
        <f t="shared" si="56"/>
        <v>7</v>
      </c>
      <c r="U169" s="251">
        <f t="shared" si="57"/>
        <v>1.4621672960344094</v>
      </c>
      <c r="V169" s="383">
        <f t="shared" si="58"/>
        <v>52.486184579682465</v>
      </c>
      <c r="W169" s="402">
        <f t="shared" si="59"/>
        <v>22.083960160022727</v>
      </c>
      <c r="X169" s="157">
        <f t="shared" si="60"/>
        <v>45446</v>
      </c>
      <c r="Y169" s="385">
        <f t="shared" si="61"/>
        <v>20.424233337475037</v>
      </c>
      <c r="Z169" s="385">
        <f t="shared" si="62"/>
        <v>21.950633261530108</v>
      </c>
      <c r="AA169" s="386">
        <f t="shared" si="63"/>
        <v>26.058524857226082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0.15764098766921752</v>
      </c>
      <c r="AD169" s="231">
        <f>(INDEX(Models!$BJ169:$BT169,,AH169)*(1-AF169)+INDEX(Models!$BJ169:$BT169,,AH169+1)*AF169-ERP_i)*AE169*Ramure*Pc/MaxiM</f>
        <v>1.2596860458560597E-2</v>
      </c>
      <c r="AE169" s="305">
        <f t="shared" si="65"/>
        <v>0.8</v>
      </c>
      <c r="AF169" s="177">
        <f t="shared" si="66"/>
        <v>0.66288404319931304</v>
      </c>
      <c r="AG169" s="809">
        <f t="shared" si="74"/>
        <v>2</v>
      </c>
      <c r="AH169" s="176">
        <f t="shared" si="67"/>
        <v>8</v>
      </c>
      <c r="AI169" s="225">
        <f t="shared" si="68"/>
        <v>2.662884043199313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IF(t&gt;Tmaj,'2023'!Wh/'2023'!Env_an*'2024'!Env_an,0.001*'[8]mon-tableau'!$B$140)</f>
        <v>31.218621184985757</v>
      </c>
      <c r="C170" s="839"/>
      <c r="D170" s="393">
        <f t="shared" si="50"/>
        <v>33.552535493010133</v>
      </c>
      <c r="E170" s="385">
        <f t="shared" ref="E170:E232" si="75">Wh_pvt/(1-Psa)</f>
        <v>36.886466431066282</v>
      </c>
      <c r="F170" s="385">
        <f t="shared" si="51"/>
        <v>36.985090652794611</v>
      </c>
      <c r="G170" s="110">
        <f t="shared" ref="G170:G232" si="76">+Wh_hp/MaxiM</f>
        <v>0.59286293237861842</v>
      </c>
      <c r="H170" s="414" t="b">
        <f>Wh_hp&gt;='2023'!Maxi_hp</f>
        <v>0</v>
      </c>
      <c r="I170" s="390">
        <f>IF(H170,Wh_hp,'2023'!Maxi_hp)</f>
        <v>45.470659595237684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6.9559998185847821E-2</v>
      </c>
      <c r="M170" s="843"/>
      <c r="N170" s="843"/>
      <c r="O170" s="48">
        <f>IF(t&lt;Tnet,'2023'!Resal+('2023'!Salim-'2023'!Resal)*(1-EXP(('2023'!Tnet-t)/('2023'!Tau_j))),Resal+(Salim-Resal)*(1-EXP((Tnet-t)/(Tau_j))))*Salcycl</f>
        <v>9.0383581313938643E-2</v>
      </c>
      <c r="P170" s="169">
        <f>(INDEX(Models!$BJ170:$BT170,,T170)*(1-R170)+INDEX(Models!$BJ170:$BT170,,T170+1)*R170-ERP_i)*Q170*Ramure*Pc/MaxiM</f>
        <v>6.3265123599695605E-3</v>
      </c>
      <c r="Q170" s="305">
        <f t="shared" si="53"/>
        <v>0.8</v>
      </c>
      <c r="R170" s="177">
        <f t="shared" si="54"/>
        <v>0.46826389707873584</v>
      </c>
      <c r="S170" s="809">
        <f t="shared" si="55"/>
        <v>1</v>
      </c>
      <c r="T170" s="176">
        <f t="shared" si="56"/>
        <v>7</v>
      </c>
      <c r="U170" s="251">
        <f t="shared" si="57"/>
        <v>1.4682638970787358</v>
      </c>
      <c r="V170" s="383">
        <f t="shared" si="58"/>
        <v>52.464163955803407</v>
      </c>
      <c r="W170" s="402">
        <f t="shared" si="59"/>
        <v>31.218621184985757</v>
      </c>
      <c r="X170" s="157">
        <f t="shared" si="60"/>
        <v>45447</v>
      </c>
      <c r="Y170" s="385">
        <f t="shared" si="61"/>
        <v>28.82642514871246</v>
      </c>
      <c r="Z170" s="385">
        <f t="shared" si="62"/>
        <v>30.981498100368974</v>
      </c>
      <c r="AA170" s="386">
        <f t="shared" si="63"/>
        <v>36.785625797291523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0.15778249169679484</v>
      </c>
      <c r="AD170" s="231">
        <f>(INDEX(Models!$BJ170:$BT170,,AH170)*(1-AF170)+INDEX(Models!$BJ170:$BT170,,AH170+1)*AF170-ERP_i)*AE170*Ramure*Pc/MaxiM</f>
        <v>1.2795202350959252E-2</v>
      </c>
      <c r="AE170" s="305">
        <f t="shared" si="65"/>
        <v>0.8</v>
      </c>
      <c r="AF170" s="177">
        <f t="shared" si="66"/>
        <v>0.66898064424363923</v>
      </c>
      <c r="AG170" s="809">
        <f t="shared" si="74"/>
        <v>2</v>
      </c>
      <c r="AH170" s="176">
        <f t="shared" si="67"/>
        <v>8</v>
      </c>
      <c r="AI170" s="225">
        <f t="shared" si="68"/>
        <v>2.6689806442436392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IF(t&gt;Tmaj,'2023'!Wh/'2023'!Env_an*'2024'!Env_an,0.001*'[8]mon-tableau'!$B$141)</f>
        <v>39.689995139805262</v>
      </c>
      <c r="C171" s="839"/>
      <c r="D171" s="393">
        <f t="shared" si="50"/>
        <v>42.658247373271124</v>
      </c>
      <c r="E171" s="385">
        <f t="shared" si="75"/>
        <v>46.906814911383869</v>
      </c>
      <c r="F171" s="385">
        <f t="shared" si="51"/>
        <v>47.104556950806746</v>
      </c>
      <c r="G171" s="110">
        <f t="shared" si="76"/>
        <v>0.75518401372434218</v>
      </c>
      <c r="H171" s="414" t="b">
        <f>Wh_hp&gt;='2023'!Maxi_hp</f>
        <v>0</v>
      </c>
      <c r="I171" s="390">
        <f>IF(H171,Wh_hp,'2023'!Maxi_hp)</f>
        <v>63.6888163743956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6.9582142170372313E-2</v>
      </c>
      <c r="M171" s="843"/>
      <c r="N171" s="843"/>
      <c r="O171" s="48">
        <f>IF(t&lt;Tnet,'2023'!Resal+('2023'!Salim-'2023'!Resal)*(1-EXP(('2023'!Tnet-t)/('2023'!Tau_j))),Resal+(Salim-Resal)*(1-EXP((Tnet-t)/(Tau_j))))*Salcycl</f>
        <v>9.0574632836169303E-2</v>
      </c>
      <c r="P171" s="169">
        <f>(INDEX(Models!$BJ171:$BT171,,T171)*(1-R171)+INDEX(Models!$BJ171:$BT171,,T171+1)*R171-ERP_i)*Q171*Ramure*Pc/MaxiM</f>
        <v>6.4317652872749632E-3</v>
      </c>
      <c r="Q171" s="305">
        <f t="shared" si="53"/>
        <v>0.8</v>
      </c>
      <c r="R171" s="177">
        <f t="shared" si="54"/>
        <v>0.47438619933530379</v>
      </c>
      <c r="S171" s="809">
        <f t="shared" si="55"/>
        <v>1</v>
      </c>
      <c r="T171" s="176">
        <f t="shared" si="56"/>
        <v>7</v>
      </c>
      <c r="U171" s="251">
        <f t="shared" si="57"/>
        <v>1.4743861993353038</v>
      </c>
      <c r="V171" s="383">
        <f t="shared" si="58"/>
        <v>52.43882297614968</v>
      </c>
      <c r="W171" s="402">
        <f t="shared" si="59"/>
        <v>39.689995139805262</v>
      </c>
      <c r="X171" s="157">
        <f t="shared" si="60"/>
        <v>45448</v>
      </c>
      <c r="Y171" s="385">
        <f t="shared" si="61"/>
        <v>36.592752495752201</v>
      </c>
      <c r="Z171" s="385">
        <f t="shared" si="62"/>
        <v>39.329374632932762</v>
      </c>
      <c r="AA171" s="386">
        <f t="shared" si="63"/>
        <v>46.705172824631639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0.15792251148268932</v>
      </c>
      <c r="AD171" s="231">
        <f>(INDEX(Models!$BJ171:$BT171,,AH171)*(1-AF171)+INDEX(Models!$BJ171:$BT171,,AH171+1)*AF171-ERP_i)*AE171*Ramure*Pc/MaxiM</f>
        <v>1.2990383666107518E-2</v>
      </c>
      <c r="AE171" s="305">
        <f t="shared" si="65"/>
        <v>0.8</v>
      </c>
      <c r="AF171" s="177">
        <f t="shared" si="66"/>
        <v>0.67510294650020741</v>
      </c>
      <c r="AG171" s="809">
        <f t="shared" si="74"/>
        <v>2</v>
      </c>
      <c r="AH171" s="176">
        <f t="shared" si="67"/>
        <v>8</v>
      </c>
      <c r="AI171" s="225">
        <f t="shared" si="68"/>
        <v>2.6751029465002074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IF(t&gt;Tmaj,'2023'!Wh/'2023'!Env_an*'2024'!Env_an,0.001*'[8]mon-tableau'!$B$142)</f>
        <v>26.78036161766682</v>
      </c>
      <c r="C172" s="839"/>
      <c r="D172" s="393">
        <f t="shared" si="50"/>
        <v>28.783840256697886</v>
      </c>
      <c r="E172" s="385">
        <f t="shared" si="75"/>
        <v>31.657197917091651</v>
      </c>
      <c r="F172" s="385">
        <f t="shared" si="51"/>
        <v>31.719681768472832</v>
      </c>
      <c r="G172" s="110">
        <f t="shared" si="76"/>
        <v>0.50863587889138506</v>
      </c>
      <c r="H172" s="414" t="b">
        <f>Wh_hp&gt;='2023'!Maxi_hp</f>
        <v>0</v>
      </c>
      <c r="I172" s="390">
        <f>IF(H172,Wh_hp,'2023'!Maxi_hp)</f>
        <v>51.75274626686349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6.960428563957391E-2</v>
      </c>
      <c r="M172" s="843"/>
      <c r="N172" s="843"/>
      <c r="O172" s="48">
        <f>IF(t&lt;Tnet,'2023'!Resal+('2023'!Salim-'2023'!Resal)*(1-EXP(('2023'!Tnet-t)/('2023'!Tau_j))),Resal+(Salim-Resal)*(1-EXP((Tnet-t)/(Tau_j))))*Salcycl</f>
        <v>9.0764750181583337E-2</v>
      </c>
      <c r="P172" s="169">
        <f>(INDEX(Models!$BJ172:$BT172,,T172)*(1-R172)+INDEX(Models!$BJ172:$BT172,,T172+1)*R172-ERP_i)*Q172*Ramure*Pc/MaxiM</f>
        <v>6.5359517546825421E-3</v>
      </c>
      <c r="Q172" s="305">
        <f t="shared" si="53"/>
        <v>0.8</v>
      </c>
      <c r="R172" s="177">
        <f t="shared" si="54"/>
        <v>0.48052916663669487</v>
      </c>
      <c r="S172" s="809">
        <f t="shared" si="55"/>
        <v>1</v>
      </c>
      <c r="T172" s="176">
        <f t="shared" si="56"/>
        <v>7</v>
      </c>
      <c r="U172" s="251">
        <f t="shared" si="57"/>
        <v>1.4805291666366949</v>
      </c>
      <c r="V172" s="383">
        <f t="shared" si="58"/>
        <v>52.410457499462396</v>
      </c>
      <c r="W172" s="402">
        <f t="shared" si="59"/>
        <v>26.78036161766682</v>
      </c>
      <c r="X172" s="157">
        <f t="shared" si="60"/>
        <v>45449</v>
      </c>
      <c r="Y172" s="385">
        <f t="shared" si="61"/>
        <v>24.748467445773503</v>
      </c>
      <c r="Z172" s="385">
        <f t="shared" si="62"/>
        <v>26.599937063108818</v>
      </c>
      <c r="AA172" s="386">
        <f t="shared" si="63"/>
        <v>31.593660335349789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0.15806092802275118</v>
      </c>
      <c r="AD172" s="231">
        <f>(INDEX(Models!$BJ172:$BT172,,AH172)*(1-AF172)+INDEX(Models!$BJ172:$BT172,,AH172+1)*AF172-ERP_i)*AE172*Ramure*Pc/MaxiM</f>
        <v>1.3182126081239226E-2</v>
      </c>
      <c r="AE172" s="305">
        <f t="shared" si="65"/>
        <v>0.8</v>
      </c>
      <c r="AF172" s="177">
        <f t="shared" si="66"/>
        <v>0.68124591380159849</v>
      </c>
      <c r="AG172" s="809">
        <f t="shared" si="74"/>
        <v>2</v>
      </c>
      <c r="AH172" s="176">
        <f t="shared" si="67"/>
        <v>8</v>
      </c>
      <c r="AI172" s="225">
        <f t="shared" si="68"/>
        <v>2.6812459138015985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IF(t&gt;Tmaj,'2023'!Wh/'2023'!Env_an*'2024'!Env_an,0.001*'[8]mon-tableau'!$B$143)</f>
        <v>18.240548721641559</v>
      </c>
      <c r="C173" s="839"/>
      <c r="D173" s="393">
        <f t="shared" si="50"/>
        <v>19.605617874619508</v>
      </c>
      <c r="E173" s="385">
        <f t="shared" si="75"/>
        <v>21.567241854777269</v>
      </c>
      <c r="F173" s="385">
        <f t="shared" si="51"/>
        <v>21.577113566031631</v>
      </c>
      <c r="G173" s="110">
        <f t="shared" si="76"/>
        <v>0.346085631663126</v>
      </c>
      <c r="H173" s="414" t="b">
        <f>Wh_hp&gt;='2023'!Maxi_hp</f>
        <v>0</v>
      </c>
      <c r="I173" s="390">
        <f>IF(H173,Wh_hp,'2023'!Maxi_hp)</f>
        <v>63.160398004063062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6.9626428593464601E-2</v>
      </c>
      <c r="M173" s="843"/>
      <c r="N173" s="843"/>
      <c r="O173" s="48">
        <f>IF(t&lt;Tnet,'2023'!Resal+('2023'!Salim-'2023'!Resal)*(1-EXP(('2023'!Tnet-t)/('2023'!Tau_j))),Resal+(Salim-Resal)*(1-EXP((Tnet-t)/(Tau_j))))*Salcycl</f>
        <v>9.095386389072517E-2</v>
      </c>
      <c r="P173" s="169">
        <f>(INDEX(Models!$BJ173:$BT173,,T173)*(1-R173)+INDEX(Models!$BJ173:$BT173,,T173+1)*R173-ERP_i)*Q173*Ramure*Pc/MaxiM</f>
        <v>6.638910692207854E-3</v>
      </c>
      <c r="Q173" s="305">
        <f t="shared" si="53"/>
        <v>0.8</v>
      </c>
      <c r="R173" s="177">
        <f t="shared" si="54"/>
        <v>0.48668769378061461</v>
      </c>
      <c r="S173" s="809">
        <f t="shared" si="55"/>
        <v>1</v>
      </c>
      <c r="T173" s="176">
        <f t="shared" si="56"/>
        <v>7</v>
      </c>
      <c r="U173" s="251">
        <f t="shared" si="57"/>
        <v>1.4866876937806146</v>
      </c>
      <c r="V173" s="383">
        <f t="shared" si="58"/>
        <v>52.379363039821257</v>
      </c>
      <c r="W173" s="402">
        <f t="shared" si="59"/>
        <v>18.240548721641559</v>
      </c>
      <c r="X173" s="157">
        <f t="shared" si="60"/>
        <v>45450</v>
      </c>
      <c r="Y173" s="385">
        <f t="shared" si="61"/>
        <v>16.883423877647491</v>
      </c>
      <c r="Z173" s="385">
        <f t="shared" si="62"/>
        <v>18.146929788776344</v>
      </c>
      <c r="AA173" s="386">
        <f t="shared" si="63"/>
        <v>21.557232860688522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0.15819762647418273</v>
      </c>
      <c r="AD173" s="231">
        <f>(INDEX(Models!$BJ173:$BT173,,AH173)*(1-AF173)+INDEX(Models!$BJ173:$BT173,,AH173+1)*AF173-ERP_i)*AE173*Ramure*Pc/MaxiM</f>
        <v>1.3370146661521866E-2</v>
      </c>
      <c r="AE173" s="305">
        <f t="shared" si="65"/>
        <v>0.8</v>
      </c>
      <c r="AF173" s="177">
        <f t="shared" si="66"/>
        <v>0.68740444094551822</v>
      </c>
      <c r="AG173" s="809">
        <f t="shared" si="74"/>
        <v>2</v>
      </c>
      <c r="AH173" s="176">
        <f t="shared" si="67"/>
        <v>8</v>
      </c>
      <c r="AI173" s="225">
        <f t="shared" si="68"/>
        <v>2.6874044409455182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IF(t&gt;Tmaj,'2023'!Wh/'2023'!Env_an*'2024'!Env_an,0.001*'[8]mon-tableau'!$B$144)</f>
        <v>39.046744789717557</v>
      </c>
      <c r="C174" s="839"/>
      <c r="D174" s="393">
        <f t="shared" si="50"/>
        <v>41.969887479006566</v>
      </c>
      <c r="E174" s="385">
        <f t="shared" si="75"/>
        <v>46.178702478964546</v>
      </c>
      <c r="F174" s="385">
        <f t="shared" si="51"/>
        <v>46.377851272729501</v>
      </c>
      <c r="G174" s="110">
        <f t="shared" si="76"/>
        <v>0.74410519940659836</v>
      </c>
      <c r="H174" s="414" t="b">
        <f>Wh_hp&gt;='2023'!Maxi_hp</f>
        <v>0</v>
      </c>
      <c r="I174" s="390">
        <f>IF(H174,Wh_hp,'2023'!Maxi_hp)</f>
        <v>59.632877338436153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6.9648571032056489E-2</v>
      </c>
      <c r="M174" s="843"/>
      <c r="N174" s="843"/>
      <c r="O174" s="48">
        <f>IF(t&lt;Tnet,'2023'!Resal+('2023'!Salim-'2023'!Resal)*(1-EXP(('2023'!Tnet-t)/('2023'!Tau_j))),Resal+(Salim-Resal)*(1-EXP((Tnet-t)/(Tau_j))))*Salcycl</f>
        <v>9.1141906853601753E-2</v>
      </c>
      <c r="P174" s="169">
        <f>(INDEX(Models!$BJ174:$BT174,,T174)*(1-R174)+INDEX(Models!$BJ174:$BT174,,T174+1)*R174-ERP_i)*Q174*Ramure*Pc/MaxiM</f>
        <v>6.7404774643358666E-3</v>
      </c>
      <c r="Q174" s="305">
        <f t="shared" si="53"/>
        <v>0.8</v>
      </c>
      <c r="R174" s="177">
        <f t="shared" si="54"/>
        <v>0.49285662335378166</v>
      </c>
      <c r="S174" s="809">
        <f t="shared" si="55"/>
        <v>1</v>
      </c>
      <c r="T174" s="176">
        <f t="shared" si="56"/>
        <v>7</v>
      </c>
      <c r="U174" s="251">
        <f t="shared" si="57"/>
        <v>1.4928566233537817</v>
      </c>
      <c r="V174" s="383">
        <f t="shared" si="58"/>
        <v>52.345834726212978</v>
      </c>
      <c r="W174" s="402">
        <f t="shared" si="59"/>
        <v>39.046744789717557</v>
      </c>
      <c r="X174" s="157">
        <f t="shared" si="60"/>
        <v>45451</v>
      </c>
      <c r="Y174" s="385">
        <f t="shared" si="61"/>
        <v>36.002437957405398</v>
      </c>
      <c r="Z174" s="385">
        <f t="shared" si="62"/>
        <v>38.697675777575348</v>
      </c>
      <c r="AA174" s="386">
        <f t="shared" si="63"/>
        <v>45.977390860064588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0.15833249661003082</v>
      </c>
      <c r="AD174" s="231">
        <f>(INDEX(Models!$BJ174:$BT174,,AH174)*(1-AF174)+INDEX(Models!$BJ174:$BT174,,AH174+1)*AF174-ERP_i)*AE174*Ramure*Pc/MaxiM</f>
        <v>1.3554158857283019E-2</v>
      </c>
      <c r="AE174" s="305">
        <f t="shared" si="65"/>
        <v>0.8</v>
      </c>
      <c r="AF174" s="177">
        <f t="shared" si="66"/>
        <v>0.69357337051868528</v>
      </c>
      <c r="AG174" s="809">
        <f t="shared" si="74"/>
        <v>2</v>
      </c>
      <c r="AH174" s="176">
        <f t="shared" si="67"/>
        <v>8</v>
      </c>
      <c r="AI174" s="225">
        <f t="shared" si="68"/>
        <v>2.6935733705186853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IF(t&gt;Tmaj,'2023'!Wh/'2023'!Env_an*'2024'!Env_an,0.001*'[8]mon-tableau'!$B$145)</f>
        <v>49.584623074616886</v>
      </c>
      <c r="C175" s="839"/>
      <c r="D175" s="393">
        <f t="shared" si="50"/>
        <v>53.297927696258519</v>
      </c>
      <c r="E175" s="385">
        <f t="shared" si="75"/>
        <v>58.654801155061833</v>
      </c>
      <c r="F175" s="385">
        <f t="shared" si="51"/>
        <v>59.028529813091119</v>
      </c>
      <c r="G175" s="110">
        <f t="shared" si="76"/>
        <v>0.9474107656259011</v>
      </c>
      <c r="H175" s="414" t="b">
        <f>Wh_hp&gt;='2023'!Maxi_hp</f>
        <v>0</v>
      </c>
      <c r="I175" s="390">
        <f>IF(H175,Wh_hp,'2023'!Maxi_hp)</f>
        <v>59.456159779115154</v>
      </c>
      <c r="J175" s="85">
        <f>IF(H175,An,'2023'!An_max)</f>
        <v>2021</v>
      </c>
      <c r="K175" s="197">
        <f t="shared" si="52"/>
        <v>45452</v>
      </c>
      <c r="L175" s="147">
        <f>IF(t&lt;Tvie,1-EXP((T0-t)*PertePVj)+'2023'!Pspv,1-EXP((T0-t)*PertePVj)+Pspv)</f>
        <v>6.9670712955361452E-2</v>
      </c>
      <c r="M175" s="843"/>
      <c r="N175" s="843"/>
      <c r="O175" s="48">
        <f>IF(t&lt;Tnet,'2023'!Resal+('2023'!Salim-'2023'!Resal)*(1-EXP(('2023'!Tnet-t)/('2023'!Tau_j))),Resal+(Salim-Resal)*(1-EXP((Tnet-t)/(Tau_j))))*Salcycl</f>
        <v>9.1328814578054709E-2</v>
      </c>
      <c r="P175" s="169">
        <f>(INDEX(Models!$BJ175:$BT175,,T175)*(1-R175)+INDEX(Models!$BJ175:$BT175,,T175+1)*R175-ERP_i)*Q175*Ramure*Pc/MaxiM</f>
        <v>6.8404844286439198E-3</v>
      </c>
      <c r="Q175" s="305">
        <f t="shared" si="53"/>
        <v>0.8</v>
      </c>
      <c r="R175" s="177">
        <f t="shared" si="54"/>
        <v>0.49903076292699566</v>
      </c>
      <c r="S175" s="809">
        <f t="shared" si="55"/>
        <v>1</v>
      </c>
      <c r="T175" s="176">
        <f t="shared" si="56"/>
        <v>7</v>
      </c>
      <c r="U175" s="251">
        <f t="shared" si="57"/>
        <v>1.4990307629269957</v>
      </c>
      <c r="V175" s="383">
        <f t="shared" si="58"/>
        <v>52.310167254568157</v>
      </c>
      <c r="W175" s="402">
        <f t="shared" si="59"/>
        <v>49.584623074616886</v>
      </c>
      <c r="X175" s="157">
        <f t="shared" si="60"/>
        <v>45452</v>
      </c>
      <c r="Y175" s="385">
        <f t="shared" si="61"/>
        <v>45.626236620805727</v>
      </c>
      <c r="Z175" s="385">
        <f t="shared" si="62"/>
        <v>49.043104690110127</v>
      </c>
      <c r="AA175" s="386">
        <f t="shared" si="63"/>
        <v>58.278182059438059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0.15846543325440474</v>
      </c>
      <c r="AD175" s="231">
        <f>(INDEX(Models!$BJ175:$BT175,,AH175)*(1-AF175)+INDEX(Models!$BJ175:$BT175,,AH175+1)*AF175-ERP_i)*AE175*Ramure*Pc/MaxiM</f>
        <v>1.3733873532731604E-2</v>
      </c>
      <c r="AE175" s="305">
        <f t="shared" si="65"/>
        <v>0.8</v>
      </c>
      <c r="AF175" s="177">
        <f t="shared" si="66"/>
        <v>0.69974751009189928</v>
      </c>
      <c r="AG175" s="809">
        <f t="shared" si="74"/>
        <v>2</v>
      </c>
      <c r="AH175" s="176">
        <f t="shared" si="67"/>
        <v>8</v>
      </c>
      <c r="AI175" s="225">
        <f t="shared" si="68"/>
        <v>2.6997475100918993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IF(t&gt;Tmaj,'2023'!Wh/'2023'!Env_an*'2024'!Env_an,0.001*'[8]mon-tableau'!$B$146)</f>
        <v>48.649307011339452</v>
      </c>
      <c r="C176" s="839"/>
      <c r="D176" s="393">
        <f t="shared" si="50"/>
        <v>52.293812037796144</v>
      </c>
      <c r="E176" s="385">
        <f t="shared" si="75"/>
        <v>57.561527952355853</v>
      </c>
      <c r="F176" s="385">
        <f t="shared" si="51"/>
        <v>57.923647038632339</v>
      </c>
      <c r="G176" s="110">
        <f t="shared" si="76"/>
        <v>0.93004018956234702</v>
      </c>
      <c r="H176" s="414" t="b">
        <f>Wh_hp&gt;='2023'!Maxi_hp</f>
        <v>0</v>
      </c>
      <c r="I176" s="390">
        <f>IF(H176,Wh_hp,'2023'!Maxi_hp)</f>
        <v>57.956580464308153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6.9692854363391482E-2</v>
      </c>
      <c r="M176" s="843"/>
      <c r="N176" s="843"/>
      <c r="O176" s="48">
        <f>IF(t&lt;Tnet,'2023'!Resal+('2023'!Salim-'2023'!Resal)*(1-EXP(('2023'!Tnet-t)/('2023'!Tau_j))),Resal+(Salim-Resal)*(1-EXP((Tnet-t)/(Tau_j))))*Salcycl</f>
        <v>9.1514525446924219E-2</v>
      </c>
      <c r="P176" s="169">
        <f>(INDEX(Models!$BJ176:$BT176,,T176)*(1-R176)+INDEX(Models!$BJ176:$BT176,,T176+1)*R176-ERP_i)*Q176*Ramure*Pc/MaxiM</f>
        <v>6.9387615191511733E-3</v>
      </c>
      <c r="Q176" s="305">
        <f t="shared" si="53"/>
        <v>0.8</v>
      </c>
      <c r="R176" s="177">
        <f t="shared" si="54"/>
        <v>0.50520490250020944</v>
      </c>
      <c r="S176" s="809">
        <f t="shared" si="55"/>
        <v>1</v>
      </c>
      <c r="T176" s="176">
        <f t="shared" si="56"/>
        <v>7</v>
      </c>
      <c r="U176" s="251">
        <f t="shared" si="57"/>
        <v>1.5052049025002094</v>
      </c>
      <c r="V176" s="383">
        <f t="shared" si="58"/>
        <v>52.272654851521516</v>
      </c>
      <c r="W176" s="402">
        <f t="shared" si="59"/>
        <v>48.649307011339452</v>
      </c>
      <c r="X176" s="157">
        <f t="shared" si="60"/>
        <v>45453</v>
      </c>
      <c r="Y176" s="385">
        <f t="shared" si="61"/>
        <v>44.77234309040503</v>
      </c>
      <c r="Z176" s="385">
        <f t="shared" si="62"/>
        <v>48.126409971587769</v>
      </c>
      <c r="AA176" s="386">
        <f t="shared" si="63"/>
        <v>57.19776615015661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0.15859633669529249</v>
      </c>
      <c r="AD176" s="231">
        <f>(INDEX(Models!$BJ176:$BT176,,AH176)*(1-AF176)+INDEX(Models!$BJ176:$BT176,,AH176+1)*AF176-ERP_i)*AE176*Ramure*Pc/MaxiM</f>
        <v>1.390900001497582E-2</v>
      </c>
      <c r="AE176" s="305">
        <f t="shared" si="65"/>
        <v>0.8</v>
      </c>
      <c r="AF176" s="177">
        <f t="shared" si="66"/>
        <v>0.70592164966511284</v>
      </c>
      <c r="AG176" s="809">
        <f t="shared" si="74"/>
        <v>2</v>
      </c>
      <c r="AH176" s="176">
        <f t="shared" si="67"/>
        <v>8</v>
      </c>
      <c r="AI176" s="225">
        <f t="shared" si="68"/>
        <v>2.7059216496651128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IF(t&gt;Tmaj,'2023'!Wh/'2023'!Env_an*'2024'!Env_an,0.001*'[8]mon-tableau'!$B$147)</f>
        <v>36.639371072935809</v>
      </c>
      <c r="C177" s="839"/>
      <c r="D177" s="393">
        <f t="shared" si="50"/>
        <v>39.385103367354219</v>
      </c>
      <c r="E177" s="385">
        <f t="shared" si="75"/>
        <v>43.361289420410728</v>
      </c>
      <c r="F177" s="385">
        <f t="shared" si="51"/>
        <v>43.536953311923611</v>
      </c>
      <c r="G177" s="110">
        <f t="shared" si="76"/>
        <v>0.69934852445124085</v>
      </c>
      <c r="H177" s="414" t="b">
        <f>Wh_hp&gt;='2023'!Maxi_hp</f>
        <v>0</v>
      </c>
      <c r="I177" s="390">
        <f>IF(H177,Wh_hp,'2023'!Maxi_hp)</f>
        <v>57.157834054855876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6.9714995256158568E-2</v>
      </c>
      <c r="M177" s="843"/>
      <c r="N177" s="843"/>
      <c r="O177" s="48">
        <f>IF(t&lt;Tnet,'2023'!Resal+('2023'!Salim-'2023'!Resal)*(1-EXP(('2023'!Tnet-t)/('2023'!Tau_j))),Resal+(Salim-Resal)*(1-EXP((Tnet-t)/(Tau_j))))*Salcycl</f>
        <v>9.1698980962149665E-2</v>
      </c>
      <c r="P177" s="169">
        <f>(INDEX(Models!$BJ177:$BT177,,T177)*(1-R177)+INDEX(Models!$BJ177:$BT177,,T177+1)*R177-ERP_i)*Q177*Ramure*Pc/MaxiM</f>
        <v>7.0352310000336392E-3</v>
      </c>
      <c r="Q177" s="305">
        <f t="shared" si="53"/>
        <v>0.8</v>
      </c>
      <c r="R177" s="177">
        <f t="shared" si="54"/>
        <v>0.5113738320733765</v>
      </c>
      <c r="S177" s="809">
        <f t="shared" si="55"/>
        <v>1</v>
      </c>
      <c r="T177" s="176">
        <f t="shared" si="56"/>
        <v>7</v>
      </c>
      <c r="U177" s="251">
        <f t="shared" si="57"/>
        <v>1.5113738320733765</v>
      </c>
      <c r="V177" s="383">
        <f t="shared" si="58"/>
        <v>52.232887278195989</v>
      </c>
      <c r="W177" s="402">
        <f t="shared" si="59"/>
        <v>36.639371072935809</v>
      </c>
      <c r="X177" s="157">
        <f t="shared" si="60"/>
        <v>45454</v>
      </c>
      <c r="Y177" s="385">
        <f t="shared" si="61"/>
        <v>33.797992622458366</v>
      </c>
      <c r="Z177" s="385">
        <f t="shared" si="62"/>
        <v>36.330793735372325</v>
      </c>
      <c r="AA177" s="386">
        <f t="shared" si="63"/>
        <v>43.185401466144789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0.15872511307197487</v>
      </c>
      <c r="AD177" s="231">
        <f>(INDEX(Models!$BJ177:$BT177,,AH177)*(1-AF177)+INDEX(Models!$BJ177:$BT177,,AH177+1)*AF177-ERP_i)*AE177*Ramure*Pc/MaxiM</f>
        <v>1.4079435575755857E-2</v>
      </c>
      <c r="AE177" s="305">
        <f t="shared" si="65"/>
        <v>0.8</v>
      </c>
      <c r="AF177" s="177">
        <f t="shared" si="66"/>
        <v>0.71209057923828034</v>
      </c>
      <c r="AG177" s="809">
        <f t="shared" si="74"/>
        <v>2</v>
      </c>
      <c r="AH177" s="176">
        <f t="shared" si="67"/>
        <v>8</v>
      </c>
      <c r="AI177" s="225">
        <f t="shared" si="68"/>
        <v>2.7120905792382803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IF(t&gt;Tmaj,'2023'!Wh/'2023'!Env_an*'2024'!Env_an,0.001*'[8]mon-tableau'!$B$148)</f>
        <v>47.613579119344017</v>
      </c>
      <c r="C178" s="839"/>
      <c r="D178" s="393">
        <f t="shared" si="50"/>
        <v>51.182930054697337</v>
      </c>
      <c r="E178" s="385">
        <f t="shared" si="75"/>
        <v>56.361549000007365</v>
      </c>
      <c r="F178" s="385">
        <f t="shared" si="51"/>
        <v>56.715200652880682</v>
      </c>
      <c r="G178" s="110">
        <f t="shared" si="76"/>
        <v>0.91148666946306989</v>
      </c>
      <c r="H178" s="414" t="b">
        <f>Wh_hp&gt;='2023'!Maxi_hp</f>
        <v>0</v>
      </c>
      <c r="I178" s="390">
        <f>IF(H178,Wh_hp,'2023'!Maxi_hp)</f>
        <v>63.561322397498678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6.9737135633674813E-2</v>
      </c>
      <c r="M178" s="843"/>
      <c r="N178" s="843"/>
      <c r="O178" s="48">
        <f>IF(t&lt;Tnet,'2023'!Resal+('2023'!Salim-'2023'!Resal)*(1-EXP(('2023'!Tnet-t)/('2023'!Tau_j))),Resal+(Salim-Resal)*(1-EXP((Tnet-t)/(Tau_j))))*Salcycl</f>
        <v>9.1882125974027964E-2</v>
      </c>
      <c r="P178" s="169">
        <f>(INDEX(Models!$BJ178:$BT178,,T178)*(1-R178)+INDEX(Models!$BJ178:$BT178,,T178+1)*R178-ERP_i)*Q178*Ramure*Pc/MaxiM</f>
        <v>7.1286185922905523E-3</v>
      </c>
      <c r="Q178" s="305">
        <f t="shared" si="53"/>
        <v>0.8</v>
      </c>
      <c r="R178" s="177">
        <f t="shared" si="54"/>
        <v>0.51753235921729646</v>
      </c>
      <c r="S178" s="809">
        <f t="shared" si="55"/>
        <v>1</v>
      </c>
      <c r="T178" s="176">
        <f t="shared" si="56"/>
        <v>7</v>
      </c>
      <c r="U178" s="251">
        <f t="shared" si="57"/>
        <v>1.5175323592172965</v>
      </c>
      <c r="V178" s="383">
        <f t="shared" si="58"/>
        <v>52.190331144577037</v>
      </c>
      <c r="W178" s="402">
        <f t="shared" si="59"/>
        <v>47.613579119344017</v>
      </c>
      <c r="X178" s="157">
        <f t="shared" si="60"/>
        <v>45455</v>
      </c>
      <c r="Y178" s="385">
        <f t="shared" si="61"/>
        <v>43.826150179185589</v>
      </c>
      <c r="Z178" s="385">
        <f t="shared" si="62"/>
        <v>47.111576585440723</v>
      </c>
      <c r="AA178" s="386">
        <f t="shared" si="63"/>
        <v>56.008643387066272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0.15885167473419098</v>
      </c>
      <c r="AD178" s="231">
        <f>(INDEX(Models!$BJ178:$BT178,,AH178)*(1-AF178)+INDEX(Models!$BJ178:$BT178,,AH178+1)*AF178-ERP_i)*AE178*Ramure*Pc/MaxiM</f>
        <v>1.4242199126400909E-2</v>
      </c>
      <c r="AE178" s="305">
        <f t="shared" si="65"/>
        <v>0.8</v>
      </c>
      <c r="AF178" s="177">
        <f t="shared" si="66"/>
        <v>0.71824910638220008</v>
      </c>
      <c r="AG178" s="809">
        <f t="shared" si="74"/>
        <v>2</v>
      </c>
      <c r="AH178" s="176">
        <f t="shared" si="67"/>
        <v>8</v>
      </c>
      <c r="AI178" s="225">
        <f t="shared" si="68"/>
        <v>2.7182491063822001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IF(t&gt;Tmaj,'2023'!Wh/'2023'!Env_an*'2024'!Env_an,0.001*'[8]mon-tableau'!$B$149)</f>
        <v>40.45162979938295</v>
      </c>
      <c r="C179" s="839"/>
      <c r="D179" s="393">
        <f t="shared" si="50"/>
        <v>43.485120285342788</v>
      </c>
      <c r="E179" s="385">
        <f t="shared" si="75"/>
        <v>47.894472652109847</v>
      </c>
      <c r="F179" s="385">
        <f t="shared" si="51"/>
        <v>48.130653669260035</v>
      </c>
      <c r="G179" s="110">
        <f t="shared" si="76"/>
        <v>0.77395065922447848</v>
      </c>
      <c r="H179" s="414" t="b">
        <f>Wh_hp&gt;='2023'!Maxi_hp</f>
        <v>0</v>
      </c>
      <c r="I179" s="390">
        <f>IF(H179,Wh_hp,'2023'!Maxi_hp)</f>
        <v>54.436884810261837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6.9759275495952094E-2</v>
      </c>
      <c r="M179" s="843"/>
      <c r="N179" s="843"/>
      <c r="O179" s="48">
        <f>IF(t&lt;Tnet,'2023'!Resal+('2023'!Salim-'2023'!Resal)*(1-EXP(('2023'!Tnet-t)/('2023'!Tau_j))),Resal+(Salim-Resal)*(1-EXP((Tnet-t)/(Tau_j))))*Salcycl</f>
        <v>9.2063908893938368E-2</v>
      </c>
      <c r="P179" s="169">
        <f>(INDEX(Models!$BJ179:$BT179,,T179)*(1-R179)+INDEX(Models!$BJ179:$BT179,,T179+1)*R179-ERP_i)*Q179*Ramure*Pc/MaxiM</f>
        <v>7.2200302190199824E-3</v>
      </c>
      <c r="Q179" s="305">
        <f t="shared" si="53"/>
        <v>0.8</v>
      </c>
      <c r="R179" s="177">
        <f t="shared" si="54"/>
        <v>0.52367532651868753</v>
      </c>
      <c r="S179" s="809">
        <f t="shared" si="55"/>
        <v>1</v>
      </c>
      <c r="T179" s="176">
        <f t="shared" si="56"/>
        <v>7</v>
      </c>
      <c r="U179" s="251">
        <f t="shared" si="57"/>
        <v>1.5236753265186875</v>
      </c>
      <c r="V179" s="383">
        <f t="shared" si="58"/>
        <v>52.144933750674319</v>
      </c>
      <c r="W179" s="402">
        <f t="shared" si="59"/>
        <v>40.45162979938295</v>
      </c>
      <c r="X179" s="157">
        <f t="shared" si="60"/>
        <v>45456</v>
      </c>
      <c r="Y179" s="385">
        <f t="shared" si="61"/>
        <v>37.286733180413201</v>
      </c>
      <c r="Z179" s="385">
        <f t="shared" si="62"/>
        <v>40.082886287624518</v>
      </c>
      <c r="AA179" s="386">
        <f t="shared" si="63"/>
        <v>47.659619053953229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0.15897594057039033</v>
      </c>
      <c r="AD179" s="231">
        <f>(INDEX(Models!$BJ179:$BT179,,AH179)*(1-AF179)+INDEX(Models!$BJ179:$BT179,,AH179+1)*AF179-ERP_i)*AE179*Ramure*Pc/MaxiM</f>
        <v>1.4399481371345677E-2</v>
      </c>
      <c r="AE179" s="305">
        <f t="shared" si="65"/>
        <v>0.8</v>
      </c>
      <c r="AF179" s="177">
        <f t="shared" si="66"/>
        <v>0.72439207368359115</v>
      </c>
      <c r="AG179" s="809">
        <f t="shared" si="74"/>
        <v>2</v>
      </c>
      <c r="AH179" s="176">
        <f t="shared" si="67"/>
        <v>8</v>
      </c>
      <c r="AI179" s="225">
        <f t="shared" si="68"/>
        <v>2.7243920736835912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IF(t&gt;Tmaj,'2023'!Wh/'2023'!Env_an*'2024'!Env_an,0.001*'[8]mon-tableau'!$B$150)</f>
        <v>46.749540765230961</v>
      </c>
      <c r="C180" s="839"/>
      <c r="D180" s="393">
        <f t="shared" si="50"/>
        <v>50.256511223478526</v>
      </c>
      <c r="E180" s="385">
        <f t="shared" si="75"/>
        <v>55.363475239855738</v>
      </c>
      <c r="F180" s="385">
        <f t="shared" si="51"/>
        <v>55.710976901752446</v>
      </c>
      <c r="G180" s="110">
        <f t="shared" si="76"/>
        <v>0.8963929723936469</v>
      </c>
      <c r="H180" s="414" t="b">
        <f>Wh_hp&gt;='2023'!Maxi_hp</f>
        <v>0</v>
      </c>
      <c r="I180" s="390">
        <f>IF(H180,Wh_hp,'2023'!Maxi_hp)</f>
        <v>56.029931246616755</v>
      </c>
      <c r="J180" s="85">
        <f>IF(H180,An,'2023'!An_max)</f>
        <v>2020</v>
      </c>
      <c r="K180" s="197">
        <f t="shared" si="52"/>
        <v>45457</v>
      </c>
      <c r="L180" s="147">
        <f>IF(t&lt;Tvie,1-EXP((T0-t)*PertePVj)+'2023'!Pspv,1-EXP((T0-t)*PertePVj)+Pspv)</f>
        <v>6.9781414843002515E-2</v>
      </c>
      <c r="M180" s="843"/>
      <c r="N180" s="843"/>
      <c r="O180" s="48">
        <f>IF(t&lt;Tnet,'2023'!Resal+('2023'!Salim-'2023'!Resal)*(1-EXP(('2023'!Tnet-t)/('2023'!Tau_j))),Resal+(Salim-Resal)*(1-EXP((Tnet-t)/(Tau_j))))*Salcycl</f>
        <v>9.2244281888951118E-2</v>
      </c>
      <c r="P180" s="169">
        <f>(INDEX(Models!$BJ180:$BT180,,T180)*(1-R180)+INDEX(Models!$BJ180:$BT180,,T180+1)*R180-ERP_i)*Q180*Ramure*Pc/MaxiM</f>
        <v>7.3093282443528768E-3</v>
      </c>
      <c r="Q180" s="305">
        <f t="shared" si="53"/>
        <v>0.8</v>
      </c>
      <c r="R180" s="177">
        <f t="shared" si="54"/>
        <v>0.52979762877525549</v>
      </c>
      <c r="S180" s="809">
        <f t="shared" si="55"/>
        <v>1</v>
      </c>
      <c r="T180" s="176">
        <f t="shared" si="56"/>
        <v>7</v>
      </c>
      <c r="U180" s="251">
        <f t="shared" si="57"/>
        <v>1.5297976287752555</v>
      </c>
      <c r="V180" s="383">
        <f t="shared" si="58"/>
        <v>52.09670754475512</v>
      </c>
      <c r="W180" s="402">
        <f t="shared" si="59"/>
        <v>46.749540765230961</v>
      </c>
      <c r="X180" s="157">
        <f t="shared" si="60"/>
        <v>45457</v>
      </c>
      <c r="Y180" s="385">
        <f t="shared" si="61"/>
        <v>43.037263139197414</v>
      </c>
      <c r="Z180" s="385">
        <f t="shared" si="62"/>
        <v>46.265752830485326</v>
      </c>
      <c r="AA180" s="386">
        <f t="shared" si="63"/>
        <v>55.019186330854602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0.15909783630261307</v>
      </c>
      <c r="AD180" s="231">
        <f>(INDEX(Models!$BJ180:$BT180,,AH180)*(1-AF180)+INDEX(Models!$BJ180:$BT180,,AH180+1)*AF180-ERP_i)*AE180*Ramure*Pc/MaxiM</f>
        <v>1.455107964503401E-2</v>
      </c>
      <c r="AE180" s="305">
        <f t="shared" si="65"/>
        <v>0.8</v>
      </c>
      <c r="AF180" s="177">
        <f t="shared" si="66"/>
        <v>0.73051437594015933</v>
      </c>
      <c r="AG180" s="809">
        <f t="shared" si="74"/>
        <v>2</v>
      </c>
      <c r="AH180" s="176">
        <f t="shared" si="67"/>
        <v>8</v>
      </c>
      <c r="AI180" s="225">
        <f t="shared" si="68"/>
        <v>2.7305143759401593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IF(t&gt;Tmaj,'2023'!Wh/'2023'!Env_an*'2024'!Env_an,0.001*'[8]mon-tableau'!$B$151)</f>
        <v>44.893554832729279</v>
      </c>
      <c r="C181" s="839"/>
      <c r="D181" s="393">
        <f t="shared" si="50"/>
        <v>48.26244500297323</v>
      </c>
      <c r="E181" s="385">
        <f t="shared" si="75"/>
        <v>53.177257350754246</v>
      </c>
      <c r="F181" s="385">
        <f t="shared" si="51"/>
        <v>53.495252593586564</v>
      </c>
      <c r="G181" s="110">
        <f t="shared" si="76"/>
        <v>0.86132013833034737</v>
      </c>
      <c r="H181" s="414" t="b">
        <f>Wh_hp&gt;='2023'!Maxi_hp</f>
        <v>0</v>
      </c>
      <c r="I181" s="390">
        <f>IF(H181,Wh_hp,'2023'!Maxi_hp)</f>
        <v>64.737412852018437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6.9803553674837843E-2</v>
      </c>
      <c r="M181" s="843"/>
      <c r="N181" s="843"/>
      <c r="O181" s="48">
        <f>IF(t&lt;Tnet,'2023'!Resal+('2023'!Salim-'2023'!Resal)*(1-EXP(('2023'!Tnet-t)/('2023'!Tau_j))),Resal+(Salim-Resal)*(1-EXP((Tnet-t)/(Tau_j))))*Salcycl</f>
        <v>9.2423201056857543E-2</v>
      </c>
      <c r="P181" s="169">
        <f>(INDEX(Models!$BJ181:$BT181,,T181)*(1-R181)+INDEX(Models!$BJ181:$BT181,,T181+1)*R181-ERP_i)*Q181*Ramure*Pc/MaxiM</f>
        <v>7.3963771813965575E-3</v>
      </c>
      <c r="Q181" s="305">
        <f t="shared" si="53"/>
        <v>0.8</v>
      </c>
      <c r="R181" s="177">
        <f t="shared" si="54"/>
        <v>0.5358942298195819</v>
      </c>
      <c r="S181" s="809">
        <f t="shared" si="55"/>
        <v>1</v>
      </c>
      <c r="T181" s="176">
        <f t="shared" si="56"/>
        <v>7</v>
      </c>
      <c r="U181" s="251">
        <f t="shared" si="57"/>
        <v>1.5358942298195819</v>
      </c>
      <c r="V181" s="383">
        <f t="shared" si="58"/>
        <v>52.045664542845074</v>
      </c>
      <c r="W181" s="402">
        <f t="shared" si="59"/>
        <v>44.893554832729279</v>
      </c>
      <c r="X181" s="157">
        <f t="shared" si="60"/>
        <v>45458</v>
      </c>
      <c r="Y181" s="385">
        <f t="shared" si="61"/>
        <v>41.344089878970962</v>
      </c>
      <c r="Z181" s="385">
        <f t="shared" si="62"/>
        <v>44.446622046670988</v>
      </c>
      <c r="AA181" s="386">
        <f t="shared" si="63"/>
        <v>52.863387613606605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0.1592172947457724</v>
      </c>
      <c r="AD181" s="231">
        <f>(INDEX(Models!$BJ181:$BT181,,AH181)*(1-AF181)+INDEX(Models!$BJ181:$BT181,,AH181+1)*AF181-ERP_i)*AE181*Ramure*Pc/MaxiM</f>
        <v>1.469679759364134E-2</v>
      </c>
      <c r="AE181" s="305">
        <f t="shared" si="65"/>
        <v>0.8</v>
      </c>
      <c r="AF181" s="177">
        <f t="shared" si="66"/>
        <v>0.73661097698448552</v>
      </c>
      <c r="AG181" s="809">
        <f t="shared" si="74"/>
        <v>2</v>
      </c>
      <c r="AH181" s="176">
        <f t="shared" si="67"/>
        <v>8</v>
      </c>
      <c r="AI181" s="225">
        <f t="shared" si="68"/>
        <v>2.7366109769844855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IF(t&gt;Tmaj,'2023'!Wh/'2023'!Env_an*'2024'!Env_an,0.001*'[8]mon-tableau'!$B$152)</f>
        <v>45.279543114854611</v>
      </c>
      <c r="C182" s="839"/>
      <c r="D182" s="393">
        <f t="shared" si="50"/>
        <v>48.678557045718144</v>
      </c>
      <c r="E182" s="385">
        <f t="shared" si="75"/>
        <v>53.646231716321232</v>
      </c>
      <c r="F182" s="385">
        <f t="shared" si="51"/>
        <v>53.975552716260502</v>
      </c>
      <c r="G182" s="110">
        <f t="shared" si="76"/>
        <v>0.86968851281401527</v>
      </c>
      <c r="H182" s="414" t="b">
        <f>Wh_hp&gt;='2023'!Maxi_hp</f>
        <v>0</v>
      </c>
      <c r="I182" s="390">
        <f>IF(H182,Wh_hp,'2023'!Maxi_hp)</f>
        <v>61.823807905736835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6.982569199147029E-2</v>
      </c>
      <c r="M182" s="843"/>
      <c r="N182" s="843"/>
      <c r="O182" s="48">
        <f>IF(t&lt;Tnet,'2023'!Resal+('2023'!Salim-'2023'!Resal)*(1-EXP(('2023'!Tnet-t)/('2023'!Tau_j))),Resal+(Salim-Resal)*(1-EXP((Tnet-t)/(Tau_j))))*Salcycl</f>
        <v>9.2600626580295928E-2</v>
      </c>
      <c r="P182" s="169">
        <f>(INDEX(Models!$BJ182:$BT182,,T182)*(1-R182)+INDEX(Models!$BJ182:$BT182,,T182+1)*R182-ERP_i)*Q182*Ramure*Pc/MaxiM</f>
        <v>7.4810442167144381E-3</v>
      </c>
      <c r="Q182" s="305">
        <f t="shared" si="53"/>
        <v>0.8</v>
      </c>
      <c r="R182" s="177">
        <f t="shared" si="54"/>
        <v>0.54196017885517356</v>
      </c>
      <c r="S182" s="809">
        <f t="shared" si="55"/>
        <v>1</v>
      </c>
      <c r="T182" s="176">
        <f t="shared" si="56"/>
        <v>7</v>
      </c>
      <c r="U182" s="251">
        <f t="shared" si="57"/>
        <v>1.5419601788551736</v>
      </c>
      <c r="V182" s="383">
        <f t="shared" si="58"/>
        <v>51.991816280888742</v>
      </c>
      <c r="W182" s="402">
        <f t="shared" si="59"/>
        <v>45.279543114854611</v>
      </c>
      <c r="X182" s="157">
        <f t="shared" si="60"/>
        <v>45459</v>
      </c>
      <c r="Y182" s="385">
        <f t="shared" si="61"/>
        <v>41.696319122098714</v>
      </c>
      <c r="Z182" s="385">
        <f t="shared" si="62"/>
        <v>44.826350032575142</v>
      </c>
      <c r="AA182" s="386">
        <f t="shared" si="63"/>
        <v>53.322441593553179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0.15933425602936449</v>
      </c>
      <c r="AD182" s="231">
        <f>(INDEX(Models!$BJ182:$BT182,,AH182)*(1-AF182)+INDEX(Models!$BJ182:$BT182,,AH182+1)*AF182-ERP_i)*AE182*Ramure*Pc/MaxiM</f>
        <v>1.4836445863769667E-2</v>
      </c>
      <c r="AE182" s="305">
        <f t="shared" si="65"/>
        <v>0.8</v>
      </c>
      <c r="AF182" s="177">
        <f t="shared" si="66"/>
        <v>0.74267692602007696</v>
      </c>
      <c r="AG182" s="809">
        <f t="shared" si="74"/>
        <v>2</v>
      </c>
      <c r="AH182" s="176">
        <f t="shared" si="67"/>
        <v>8</v>
      </c>
      <c r="AI182" s="225">
        <f t="shared" si="68"/>
        <v>2.742676926020077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IF(t&gt;Tmaj,'2023'!Wh/'2023'!Env_an*'2024'!Env_an,0.001*'[8]mon-tableau'!$B$153)</f>
        <v>46.789389696971924</v>
      </c>
      <c r="C183" s="839"/>
      <c r="D183" s="393">
        <f t="shared" si="50"/>
        <v>50.302940954870614</v>
      </c>
      <c r="E183" s="385">
        <f t="shared" si="75"/>
        <v>55.447133173165604</v>
      </c>
      <c r="F183" s="385">
        <f t="shared" si="51"/>
        <v>55.809485916805343</v>
      </c>
      <c r="G183" s="110">
        <f t="shared" si="76"/>
        <v>0.89994833296884991</v>
      </c>
      <c r="H183" s="414" t="b">
        <f>Wh_hp&gt;='2023'!Maxi_hp</f>
        <v>0</v>
      </c>
      <c r="I183" s="390">
        <f>IF(H183,Wh_hp,'2023'!Maxi_hp)</f>
        <v>61.050936871155521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6.9847829792911736E-2</v>
      </c>
      <c r="M183" s="843"/>
      <c r="N183" s="843"/>
      <c r="O183" s="48">
        <f>IF(t&lt;Tnet,'2023'!Resal+('2023'!Salim-'2023'!Resal)*(1-EXP(('2023'!Tnet-t)/('2023'!Tau_j))),Resal+(Salim-Resal)*(1-EXP((Tnet-t)/(Tau_j))))*Salcycl</f>
        <v>9.2776522858797603E-2</v>
      </c>
      <c r="P183" s="169">
        <f>(INDEX(Models!$BJ183:$BT183,,T183)*(1-R183)+INDEX(Models!$BJ183:$BT183,,T183+1)*R183-ERP_i)*Q183*Ramure*Pc/MaxiM</f>
        <v>7.5631997110563219E-3</v>
      </c>
      <c r="Q183" s="305">
        <f t="shared" si="53"/>
        <v>0.8</v>
      </c>
      <c r="R183" s="177">
        <f t="shared" si="54"/>
        <v>0.54799062619389982</v>
      </c>
      <c r="S183" s="809">
        <f t="shared" si="55"/>
        <v>1</v>
      </c>
      <c r="T183" s="176">
        <f t="shared" si="56"/>
        <v>7</v>
      </c>
      <c r="U183" s="251">
        <f t="shared" si="57"/>
        <v>1.5479906261938998</v>
      </c>
      <c r="V183" s="383">
        <f t="shared" si="58"/>
        <v>51.935173782375223</v>
      </c>
      <c r="W183" s="402">
        <f t="shared" si="59"/>
        <v>46.789389696971924</v>
      </c>
      <c r="X183" s="157">
        <f t="shared" si="60"/>
        <v>45460</v>
      </c>
      <c r="Y183" s="385">
        <f t="shared" si="61"/>
        <v>43.073384602397859</v>
      </c>
      <c r="Z183" s="385">
        <f t="shared" si="62"/>
        <v>46.307890237796293</v>
      </c>
      <c r="AA183" s="386">
        <f t="shared" si="63"/>
        <v>55.092281057346355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0.15944866777990666</v>
      </c>
      <c r="AD183" s="231">
        <f>(INDEX(Models!$BJ183:$BT183,,AH183)*(1-AF183)+INDEX(Models!$BJ183:$BT183,,AH183+1)*AF183-ERP_i)*AE183*Ramure*Pc/MaxiM</f>
        <v>1.4969842732090283E-2</v>
      </c>
      <c r="AE183" s="305">
        <f t="shared" si="65"/>
        <v>0.8</v>
      </c>
      <c r="AF183" s="177">
        <f t="shared" si="66"/>
        <v>0.74870737335880344</v>
      </c>
      <c r="AG183" s="809">
        <f t="shared" si="74"/>
        <v>2</v>
      </c>
      <c r="AH183" s="176">
        <f t="shared" si="67"/>
        <v>8</v>
      </c>
      <c r="AI183" s="225">
        <f t="shared" si="68"/>
        <v>2.7487073733588034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IF(t&gt;Tmaj,'2023'!Wh/'2023'!Env_an*'2024'!Env_an,0.001*'[8]mon-tableau'!$B$154)</f>
        <v>47.894401630761955</v>
      </c>
      <c r="C184" s="839"/>
      <c r="D184" s="393">
        <f t="shared" si="50"/>
        <v>51.492156941070206</v>
      </c>
      <c r="E184" s="385">
        <f t="shared" si="75"/>
        <v>56.768872370686282</v>
      </c>
      <c r="F184" s="385">
        <f t="shared" si="51"/>
        <v>57.157750167951427</v>
      </c>
      <c r="G184" s="110">
        <f t="shared" si="76"/>
        <v>0.92247223430614922</v>
      </c>
      <c r="H184" s="414" t="b">
        <f>Wh_hp&gt;='2023'!Maxi_hp</f>
        <v>0</v>
      </c>
      <c r="I184" s="390">
        <f>IF(H184,Wh_hp,'2023'!Maxi_hp)</f>
        <v>57.196487657929183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6.9869967079174283E-2</v>
      </c>
      <c r="M184" s="843"/>
      <c r="N184" s="843"/>
      <c r="O184" s="48">
        <f>IF(t&lt;Tnet,'2023'!Resal+('2023'!Salim-'2023'!Resal)*(1-EXP(('2023'!Tnet-t)/('2023'!Tau_j))),Resal+(Salim-Resal)*(1-EXP((Tnet-t)/(Tau_j))))*Salcycl</f>
        <v>9.2950858617737983E-2</v>
      </c>
      <c r="P184" s="169">
        <f>(INDEX(Models!$BJ184:$BT184,,T184)*(1-R184)+INDEX(Models!$BJ184:$BT184,,T184+1)*R184-ERP_i)*Q184*Ramure*Pc/MaxiM</f>
        <v>7.6414019805565291E-3</v>
      </c>
      <c r="Q184" s="305">
        <f t="shared" si="53"/>
        <v>0.8</v>
      </c>
      <c r="R184" s="177">
        <f t="shared" si="54"/>
        <v>0.55398083829119482</v>
      </c>
      <c r="S184" s="809">
        <f t="shared" si="55"/>
        <v>1</v>
      </c>
      <c r="T184" s="176">
        <f t="shared" si="56"/>
        <v>7</v>
      </c>
      <c r="U184" s="251">
        <f t="shared" si="57"/>
        <v>1.5539808382911948</v>
      </c>
      <c r="V184" s="383">
        <f t="shared" si="58"/>
        <v>51.875816299655597</v>
      </c>
      <c r="W184" s="402">
        <f t="shared" si="59"/>
        <v>47.894401630761955</v>
      </c>
      <c r="X184" s="157">
        <f t="shared" si="60"/>
        <v>45461</v>
      </c>
      <c r="Y184" s="385">
        <f t="shared" si="61"/>
        <v>44.080779787525621</v>
      </c>
      <c r="Z184" s="385">
        <f t="shared" si="62"/>
        <v>47.39206156917831</v>
      </c>
      <c r="AA184" s="386">
        <f t="shared" si="63"/>
        <v>56.389616073670084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0.15956048526269342</v>
      </c>
      <c r="AD184" s="231">
        <f>(INDEX(Models!$BJ184:$BT184,,AH184)*(1-AF184)+INDEX(Models!$BJ184:$BT184,,AH184+1)*AF184-ERP_i)*AE184*Ramure*Pc/MaxiM</f>
        <v>1.5093742637542568E-2</v>
      </c>
      <c r="AE184" s="305">
        <f t="shared" si="65"/>
        <v>0.8</v>
      </c>
      <c r="AF184" s="177">
        <f t="shared" si="66"/>
        <v>0.75469758545609844</v>
      </c>
      <c r="AG184" s="809">
        <f t="shared" si="74"/>
        <v>2</v>
      </c>
      <c r="AH184" s="176">
        <f t="shared" si="67"/>
        <v>8</v>
      </c>
      <c r="AI184" s="225">
        <f t="shared" si="68"/>
        <v>2.7546975854560984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IF(t&gt;Tmaj,'2023'!Wh/'2023'!Env_an*'2024'!Env_an,0.001*'[8]mon-tableau'!$B$155)</f>
        <v>29.055813080445915</v>
      </c>
      <c r="C185" s="839"/>
      <c r="D185" s="393">
        <f t="shared" si="50"/>
        <v>31.239185475927261</v>
      </c>
      <c r="E185" s="385">
        <f t="shared" si="75"/>
        <v>34.44701584121858</v>
      </c>
      <c r="F185" s="385">
        <f t="shared" si="51"/>
        <v>34.546327285361727</v>
      </c>
      <c r="G185" s="110">
        <f t="shared" si="76"/>
        <v>0.55805172051140428</v>
      </c>
      <c r="H185" s="414" t="b">
        <f>Wh_hp&gt;='2023'!Maxi_hp</f>
        <v>0</v>
      </c>
      <c r="I185" s="390">
        <f>IF(H185,Wh_hp,'2023'!Maxi_hp)</f>
        <v>54.149543241445002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6.9892103850269699E-2</v>
      </c>
      <c r="M185" s="843"/>
      <c r="N185" s="843"/>
      <c r="O185" s="48">
        <f>IF(t&lt;Tnet,'2023'!Resal+('2023'!Salim-'2023'!Resal)*(1-EXP(('2023'!Tnet-t)/('2023'!Tau_j))),Resal+(Salim-Resal)*(1-EXP((Tnet-t)/(Tau_j))))*Salcycl</f>
        <v>9.3123606993349345E-2</v>
      </c>
      <c r="P185" s="169">
        <f>(INDEX(Models!$BJ185:$BT185,,T185)*(1-R185)+INDEX(Models!$BJ185:$BT185,,T185+1)*R185-ERP_i)*Q185*Ramure*Pc/MaxiM</f>
        <v>7.7166687705271424E-3</v>
      </c>
      <c r="Q185" s="305">
        <f t="shared" si="53"/>
        <v>0.8</v>
      </c>
      <c r="R185" s="177">
        <f t="shared" si="54"/>
        <v>0.55992621198369363</v>
      </c>
      <c r="S185" s="809">
        <f t="shared" si="55"/>
        <v>1</v>
      </c>
      <c r="T185" s="176">
        <f t="shared" si="56"/>
        <v>7</v>
      </c>
      <c r="U185" s="251">
        <f t="shared" si="57"/>
        <v>1.5599262119836936</v>
      </c>
      <c r="V185" s="383">
        <f t="shared" si="58"/>
        <v>51.813693992779683</v>
      </c>
      <c r="W185" s="402">
        <f t="shared" si="59"/>
        <v>29.055813080445915</v>
      </c>
      <c r="X185" s="157">
        <f t="shared" si="60"/>
        <v>45462</v>
      </c>
      <c r="Y185" s="385">
        <f t="shared" si="61"/>
        <v>26.848331504771469</v>
      </c>
      <c r="Z185" s="385">
        <f t="shared" si="62"/>
        <v>28.865824724112844</v>
      </c>
      <c r="AA185" s="386">
        <f t="shared" si="63"/>
        <v>34.350568751948209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0.15966967148176542</v>
      </c>
      <c r="AD185" s="231">
        <f>(INDEX(Models!$BJ185:$BT185,,AH185)*(1-AF185)+INDEX(Models!$BJ185:$BT185,,AH185+1)*AF185-ERP_i)*AE185*Ramure*Pc/MaxiM</f>
        <v>1.5210772276948226E-2</v>
      </c>
      <c r="AE185" s="305">
        <f t="shared" si="65"/>
        <v>0.8</v>
      </c>
      <c r="AF185" s="177">
        <f t="shared" si="66"/>
        <v>0.76064295914859725</v>
      </c>
      <c r="AG185" s="809">
        <f t="shared" si="74"/>
        <v>2</v>
      </c>
      <c r="AH185" s="176">
        <f t="shared" si="67"/>
        <v>8</v>
      </c>
      <c r="AI185" s="225">
        <f t="shared" si="68"/>
        <v>2.7606429591485973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IF(t&gt;Tmaj,'2023'!Wh/'2023'!Env_an*'2024'!Env_an,0.001*'[8]mon-tableau'!$B$156)</f>
        <v>21.048395750986021</v>
      </c>
      <c r="C186" s="839"/>
      <c r="D186" s="393">
        <f t="shared" si="50"/>
        <v>22.630596724101679</v>
      </c>
      <c r="E186" s="385">
        <f t="shared" si="75"/>
        <v>24.959154713298535</v>
      </c>
      <c r="F186" s="385">
        <f t="shared" si="51"/>
        <v>24.988834212607546</v>
      </c>
      <c r="G186" s="110">
        <f t="shared" si="76"/>
        <v>0.40405342607181166</v>
      </c>
      <c r="H186" s="414" t="b">
        <f>Wh_hp&gt;='2023'!Maxi_hp</f>
        <v>0</v>
      </c>
      <c r="I186" s="390">
        <f>IF(H186,Wh_hp,'2023'!Maxi_hp)</f>
        <v>52.018835844669908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6.9914240106210196E-2</v>
      </c>
      <c r="M186" s="843"/>
      <c r="N186" s="843"/>
      <c r="O186" s="48">
        <f>IF(t&lt;Tnet,'2023'!Resal+('2023'!Salim-'2023'!Resal)*(1-EXP(('2023'!Tnet-t)/('2023'!Tau_j))),Resal+(Salim-Resal)*(1-EXP((Tnet-t)/(Tau_j))))*Salcycl</f>
        <v>9.3294745593133874E-2</v>
      </c>
      <c r="P186" s="169">
        <f>(INDEX(Models!$BJ186:$BT186,,T186)*(1-R186)+INDEX(Models!$BJ186:$BT186,,T186+1)*R186-ERP_i)*Q186*Ramure*Pc/MaxiM</f>
        <v>7.7888789169647393E-3</v>
      </c>
      <c r="Q186" s="305">
        <f t="shared" si="53"/>
        <v>0.8</v>
      </c>
      <c r="R186" s="177">
        <f t="shared" si="54"/>
        <v>0.56582228784324573</v>
      </c>
      <c r="S186" s="809">
        <f t="shared" si="55"/>
        <v>1</v>
      </c>
      <c r="T186" s="176">
        <f t="shared" si="56"/>
        <v>7</v>
      </c>
      <c r="U186" s="251">
        <f t="shared" si="57"/>
        <v>1.5658222878432457</v>
      </c>
      <c r="V186" s="383">
        <f t="shared" si="58"/>
        <v>51.748816304533847</v>
      </c>
      <c r="W186" s="402">
        <f t="shared" si="59"/>
        <v>21.048395750986021</v>
      </c>
      <c r="X186" s="157">
        <f t="shared" si="60"/>
        <v>45463</v>
      </c>
      <c r="Y186" s="385">
        <f t="shared" si="61"/>
        <v>19.482656385683512</v>
      </c>
      <c r="Z186" s="385">
        <f t="shared" si="62"/>
        <v>20.947161246623445</v>
      </c>
      <c r="AA186" s="386">
        <f t="shared" si="63"/>
        <v>24.930454454810977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0.15977619723730516</v>
      </c>
      <c r="AD186" s="231">
        <f>(INDEX(Models!$BJ186:$BT186,,AH186)*(1-AF186)+INDEX(Models!$BJ186:$BT186,,AH186+1)*AF186-ERP_i)*AE186*Ramure*Pc/MaxiM</f>
        <v>1.532077276455584E-2</v>
      </c>
      <c r="AE186" s="305">
        <f t="shared" si="65"/>
        <v>0.8</v>
      </c>
      <c r="AF186" s="177">
        <f t="shared" si="66"/>
        <v>0.76653903500814913</v>
      </c>
      <c r="AG186" s="809">
        <f t="shared" si="74"/>
        <v>2</v>
      </c>
      <c r="AH186" s="176">
        <f t="shared" si="67"/>
        <v>8</v>
      </c>
      <c r="AI186" s="225">
        <f t="shared" si="68"/>
        <v>2.7665390350081491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IF(t&gt;Tmaj,'2023'!Wh/'2023'!Env_an*'2024'!Env_an,0.001*'[8]mon-tableau'!$B$157)</f>
        <v>36.884416167827752</v>
      </c>
      <c r="C187" s="839"/>
      <c r="D187" s="393">
        <f t="shared" si="50"/>
        <v>39.657949424071219</v>
      </c>
      <c r="E187" s="385">
        <f t="shared" si="75"/>
        <v>43.746702443659601</v>
      </c>
      <c r="F187" s="385">
        <f t="shared" si="51"/>
        <v>43.950806941311633</v>
      </c>
      <c r="G187" s="110">
        <f t="shared" si="76"/>
        <v>0.71138678587367699</v>
      </c>
      <c r="H187" s="414" t="b">
        <f>Wh_hp&gt;='2023'!Maxi_hp</f>
        <v>0</v>
      </c>
      <c r="I187" s="390">
        <f>IF(H187,Wh_hp,'2023'!Maxi_hp)</f>
        <v>63.102397192098245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6.9936375847007765E-2</v>
      </c>
      <c r="M187" s="843"/>
      <c r="N187" s="843"/>
      <c r="O187" s="48">
        <f>IF(t&lt;Tnet,'2023'!Resal+('2023'!Salim-'2023'!Resal)*(1-EXP(('2023'!Tnet-t)/('2023'!Tau_j))),Resal+(Salim-Resal)*(1-EXP((Tnet-t)/(Tau_j))))*Salcycl</f>
        <v>9.3464256531202397E-2</v>
      </c>
      <c r="P187" s="169">
        <f>(INDEX(Models!$BJ187:$BT187,,T187)*(1-R187)+INDEX(Models!$BJ187:$BT187,,T187+1)*R187-ERP_i)*Q187*Ramure*Pc/MaxiM</f>
        <v>7.8579162128896585E-3</v>
      </c>
      <c r="Q187" s="305">
        <f t="shared" si="53"/>
        <v>0.8</v>
      </c>
      <c r="R187" s="177">
        <f t="shared" si="54"/>
        <v>0.5716647625713509</v>
      </c>
      <c r="S187" s="809">
        <f t="shared" si="55"/>
        <v>1</v>
      </c>
      <c r="T187" s="176">
        <f t="shared" si="56"/>
        <v>7</v>
      </c>
      <c r="U187" s="251">
        <f t="shared" si="57"/>
        <v>1.5716647625713509</v>
      </c>
      <c r="V187" s="383">
        <f t="shared" si="58"/>
        <v>51.681192042794592</v>
      </c>
      <c r="W187" s="402">
        <f t="shared" si="59"/>
        <v>36.884416167827752</v>
      </c>
      <c r="X187" s="157">
        <f t="shared" si="60"/>
        <v>45464</v>
      </c>
      <c r="Y187" s="385">
        <f t="shared" si="61"/>
        <v>34.028593739053875</v>
      </c>
      <c r="Z187" s="385">
        <f t="shared" si="62"/>
        <v>36.587382685828267</v>
      </c>
      <c r="AA187" s="386">
        <f t="shared" si="63"/>
        <v>43.550188636722098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0.15988004113999865</v>
      </c>
      <c r="AD187" s="231">
        <f>(INDEX(Models!$BJ187:$BT187,,AH187)*(1-AF187)+INDEX(Models!$BJ187:$BT187,,AH187+1)*AF187-ERP_i)*AE187*Ramure*Pc/MaxiM</f>
        <v>1.5423594810641482E-2</v>
      </c>
      <c r="AE187" s="305">
        <f t="shared" si="65"/>
        <v>0.8</v>
      </c>
      <c r="AF187" s="177">
        <f t="shared" si="66"/>
        <v>0.7723815097362543</v>
      </c>
      <c r="AG187" s="809">
        <f t="shared" si="74"/>
        <v>2</v>
      </c>
      <c r="AH187" s="176">
        <f t="shared" si="67"/>
        <v>8</v>
      </c>
      <c r="AI187" s="225">
        <f t="shared" si="68"/>
        <v>2.7723815097362543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IF(t&gt;Tmaj,'2023'!Wh/'2023'!Env_an*'2024'!Env_an,0.001*'[8]mon-tableau'!$B$158)</f>
        <v>36.391952083281801</v>
      </c>
      <c r="C188" s="839"/>
      <c r="D188" s="393">
        <f t="shared" si="50"/>
        <v>39.129385641983433</v>
      </c>
      <c r="E188" s="385">
        <f t="shared" si="75"/>
        <v>43.171637900422539</v>
      </c>
      <c r="F188" s="385">
        <f t="shared" si="51"/>
        <v>43.370524148345993</v>
      </c>
      <c r="G188" s="110">
        <f t="shared" si="76"/>
        <v>0.70275791715907043</v>
      </c>
      <c r="H188" s="414" t="b">
        <f>Wh_hp&gt;='2023'!Maxi_hp</f>
        <v>0</v>
      </c>
      <c r="I188" s="390">
        <f>IF(H188,Wh_hp,'2023'!Maxi_hp)</f>
        <v>54.439058781268628</v>
      </c>
      <c r="J188" s="85">
        <f>IF(H188,An,'2023'!An_max)</f>
        <v>2020</v>
      </c>
      <c r="K188" s="197">
        <f t="shared" si="52"/>
        <v>45465</v>
      </c>
      <c r="L188" s="147">
        <f>IF(t&lt;Tvie,1-EXP((T0-t)*PertePVj)+'2023'!Pspv,1-EXP((T0-t)*PertePVj)+Pspv)</f>
        <v>6.9958511072674173E-2</v>
      </c>
      <c r="M188" s="843"/>
      <c r="N188" s="843"/>
      <c r="O188" s="48">
        <f>IF(t&lt;Tnet,'2023'!Resal+('2023'!Salim-'2023'!Resal)*(1-EXP(('2023'!Tnet-t)/('2023'!Tau_j))),Resal+(Salim-Resal)*(1-EXP((Tnet-t)/(Tau_j))))*Salcycl</f>
        <v>9.363212643825912E-2</v>
      </c>
      <c r="P188" s="169">
        <f>(INDEX(Models!$BJ188:$BT188,,T188)*(1-R188)+INDEX(Models!$BJ188:$BT188,,T188+1)*R188-ERP_i)*Q188*Ramure*Pc/MaxiM</f>
        <v>7.9235887054303483E-3</v>
      </c>
      <c r="Q188" s="305">
        <f t="shared" si="53"/>
        <v>0.8</v>
      </c>
      <c r="R188" s="177">
        <f t="shared" si="54"/>
        <v>0.57744950036881715</v>
      </c>
      <c r="S188" s="809">
        <f t="shared" si="55"/>
        <v>1</v>
      </c>
      <c r="T188" s="176">
        <f t="shared" si="56"/>
        <v>7</v>
      </c>
      <c r="U188" s="251">
        <f t="shared" si="57"/>
        <v>1.5774495003688171</v>
      </c>
      <c r="V188" s="383">
        <f t="shared" si="58"/>
        <v>51.610833574674309</v>
      </c>
      <c r="W188" s="402">
        <f t="shared" si="59"/>
        <v>36.391952083281801</v>
      </c>
      <c r="X188" s="157">
        <f t="shared" si="60"/>
        <v>45465</v>
      </c>
      <c r="Y188" s="385">
        <f t="shared" si="61"/>
        <v>33.578999685993274</v>
      </c>
      <c r="Z188" s="385">
        <f t="shared" si="62"/>
        <v>36.104840575146817</v>
      </c>
      <c r="AA188" s="386">
        <f t="shared" si="63"/>
        <v>42.98099057709301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0.15998118958223553</v>
      </c>
      <c r="AD188" s="231">
        <f>(INDEX(Models!$BJ188:$BT188,,AH188)*(1-AF188)+INDEX(Models!$BJ188:$BT188,,AH188+1)*AF188-ERP_i)*AE188*Ramure*Pc/MaxiM</f>
        <v>1.5518940287686451E-2</v>
      </c>
      <c r="AE188" s="305">
        <f t="shared" si="65"/>
        <v>0.8</v>
      </c>
      <c r="AF188" s="177">
        <f t="shared" si="66"/>
        <v>0.77816624753372077</v>
      </c>
      <c r="AG188" s="809">
        <f t="shared" si="74"/>
        <v>2</v>
      </c>
      <c r="AH188" s="176">
        <f t="shared" si="67"/>
        <v>8</v>
      </c>
      <c r="AI188" s="225">
        <f t="shared" si="68"/>
        <v>2.7781662475337208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IF(t&gt;Tmaj,'2023'!Wh/'2023'!Env_an*'2024'!Env_an,0.001*'[8]mon-tableau'!$B$159)</f>
        <v>35.558294345178979</v>
      </c>
      <c r="C189" s="839"/>
      <c r="D189" s="393">
        <f t="shared" si="50"/>
        <v>38.233929416581461</v>
      </c>
      <c r="E189" s="385">
        <f t="shared" si="75"/>
        <v>42.191414313403079</v>
      </c>
      <c r="F189" s="385">
        <f t="shared" si="51"/>
        <v>42.379944360055056</v>
      </c>
      <c r="G189" s="110">
        <f t="shared" si="76"/>
        <v>0.68749520117264717</v>
      </c>
      <c r="H189" s="414" t="b">
        <f>Wh_hp&gt;='2023'!Maxi_hp</f>
        <v>0</v>
      </c>
      <c r="I189" s="390">
        <f>IF(H189,Wh_hp,'2023'!Maxi_hp)</f>
        <v>61.680272578542535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6.9980645783221634E-2</v>
      </c>
      <c r="M189" s="843"/>
      <c r="N189" s="843"/>
      <c r="O189" s="48">
        <f>IF(t&lt;Tnet,'2023'!Resal+('2023'!Salim-'2023'!Resal)*(1-EXP(('2023'!Tnet-t)/('2023'!Tau_j))),Resal+(Salim-Resal)*(1-EXP((Tnet-t)/(Tau_j))))*Salcycl</f>
        <v>9.3798346446149733E-2</v>
      </c>
      <c r="P189" s="169">
        <f>(INDEX(Models!$BJ189:$BT189,,T189)*(1-R189)+INDEX(Models!$BJ189:$BT189,,T189+1)*R189-ERP_i)*Q189*Ramure*Pc/MaxiM</f>
        <v>7.9857031266958693E-3</v>
      </c>
      <c r="Q189" s="305">
        <f t="shared" si="53"/>
        <v>0.8</v>
      </c>
      <c r="R189" s="177">
        <f t="shared" si="54"/>
        <v>0.58317254322666789</v>
      </c>
      <c r="S189" s="809">
        <f t="shared" si="55"/>
        <v>1</v>
      </c>
      <c r="T189" s="176">
        <f t="shared" si="56"/>
        <v>7</v>
      </c>
      <c r="U189" s="251">
        <f t="shared" si="57"/>
        <v>1.5831725432266679</v>
      </c>
      <c r="V189" s="383">
        <f t="shared" si="58"/>
        <v>51.537752934684555</v>
      </c>
      <c r="W189" s="402">
        <f t="shared" si="59"/>
        <v>35.558294345178979</v>
      </c>
      <c r="X189" s="157">
        <f t="shared" si="60"/>
        <v>45466</v>
      </c>
      <c r="Y189" s="385">
        <f t="shared" si="61"/>
        <v>32.816954437547793</v>
      </c>
      <c r="Z189" s="385">
        <f t="shared" si="62"/>
        <v>35.286313439342123</v>
      </c>
      <c r="AA189" s="386">
        <f t="shared" si="63"/>
        <v>42.011498922696376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0.16007963666635622</v>
      </c>
      <c r="AD189" s="231">
        <f>(INDEX(Models!$BJ189:$BT189,,AH189)*(1-AF189)+INDEX(Models!$BJ189:$BT189,,AH189+1)*AF189-ERP_i)*AE189*Ramure*Pc/MaxiM</f>
        <v>1.5606509059871458E-2</v>
      </c>
      <c r="AE189" s="305">
        <f t="shared" si="65"/>
        <v>0.8</v>
      </c>
      <c r="AF189" s="177">
        <f t="shared" si="66"/>
        <v>0.78388929039157151</v>
      </c>
      <c r="AG189" s="809">
        <f t="shared" si="74"/>
        <v>2</v>
      </c>
      <c r="AH189" s="176">
        <f t="shared" si="67"/>
        <v>8</v>
      </c>
      <c r="AI189" s="225">
        <f t="shared" si="68"/>
        <v>2.7838892903915715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IF(t&gt;Tmaj,'2023'!Wh/'2023'!Env_an*'2024'!Env_an,0.001*'[8]mon-tableau'!$B$160)</f>
        <v>28.85612471309263</v>
      </c>
      <c r="C190" s="839"/>
      <c r="D190" s="393">
        <f t="shared" si="50"/>
        <v>31.028183839550131</v>
      </c>
      <c r="E190" s="385">
        <f t="shared" si="75"/>
        <v>34.246041641716289</v>
      </c>
      <c r="F190" s="385">
        <f t="shared" si="51"/>
        <v>34.348957472564436</v>
      </c>
      <c r="G190" s="110">
        <f t="shared" si="76"/>
        <v>0.5578882674637281</v>
      </c>
      <c r="H190" s="414" t="b">
        <f>Wh_hp&gt;='2023'!Maxi_hp</f>
        <v>0</v>
      </c>
      <c r="I190" s="390">
        <f>IF(H190,Wh_hp,'2023'!Maxi_hp)</f>
        <v>58.487024218685626</v>
      </c>
      <c r="J190" s="85">
        <f>IF(H190,An,'2023'!An_max)</f>
        <v>2021</v>
      </c>
      <c r="K190" s="197">
        <f t="shared" si="52"/>
        <v>45467</v>
      </c>
      <c r="L190" s="147">
        <f>IF(t&lt;Tvie,1-EXP((T0-t)*PertePVj)+'2023'!Pspv,1-EXP((T0-t)*PertePVj)+Pspv)</f>
        <v>7.0002779978661916E-2</v>
      </c>
      <c r="M190" s="843"/>
      <c r="N190" s="843"/>
      <c r="O190" s="48">
        <f>IF(t&lt;Tnet,'2023'!Resal+('2023'!Salim-'2023'!Resal)*(1-EXP(('2023'!Tnet-t)/('2023'!Tau_j))),Resal+(Salim-Resal)*(1-EXP((Tnet-t)/(Tau_j))))*Salcycl</f>
        <v>9.3962912147089558E-2</v>
      </c>
      <c r="P190" s="169">
        <f>(INDEX(Models!$BJ190:$BT190,,T190)*(1-R190)+INDEX(Models!$BJ190:$BT190,,T190+1)*R190-ERP_i)*Q190*Ramure*Pc/MaxiM</f>
        <v>8.0441497696398107E-3</v>
      </c>
      <c r="Q190" s="305">
        <f t="shared" si="53"/>
        <v>0.8</v>
      </c>
      <c r="R190" s="177">
        <f t="shared" si="54"/>
        <v>0.58883012009583902</v>
      </c>
      <c r="S190" s="809">
        <f t="shared" si="55"/>
        <v>1</v>
      </c>
      <c r="T190" s="176">
        <f t="shared" si="56"/>
        <v>7</v>
      </c>
      <c r="U190" s="251">
        <f t="shared" si="57"/>
        <v>1.588830120095839</v>
      </c>
      <c r="V190" s="383">
        <f t="shared" si="58"/>
        <v>51.461957413898354</v>
      </c>
      <c r="W190" s="402">
        <f t="shared" si="59"/>
        <v>28.85612471309263</v>
      </c>
      <c r="X190" s="157">
        <f t="shared" si="60"/>
        <v>45467</v>
      </c>
      <c r="Y190" s="385">
        <f t="shared" si="61"/>
        <v>26.670979498811494</v>
      </c>
      <c r="Z190" s="385">
        <f t="shared" si="62"/>
        <v>28.678558306012516</v>
      </c>
      <c r="AA190" s="386">
        <f t="shared" si="63"/>
        <v>34.148270677865632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0.16017538409048909</v>
      </c>
      <c r="AD190" s="231">
        <f>(INDEX(Models!$BJ190:$BT190,,AH190)*(1-AF190)+INDEX(Models!$BJ190:$BT190,,AH190+1)*AF190-ERP_i)*AE190*Ramure*Pc/MaxiM</f>
        <v>1.5686164315460171E-2</v>
      </c>
      <c r="AE190" s="305">
        <f t="shared" si="65"/>
        <v>0.8</v>
      </c>
      <c r="AF190" s="177">
        <f t="shared" si="66"/>
        <v>0.78954686726074286</v>
      </c>
      <c r="AG190" s="809">
        <f t="shared" si="74"/>
        <v>2</v>
      </c>
      <c r="AH190" s="176">
        <f t="shared" si="67"/>
        <v>8</v>
      </c>
      <c r="AI190" s="225">
        <f t="shared" si="68"/>
        <v>2.7895468672607429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IF(t&gt;Tmaj,'2023'!Wh/'2023'!Env_an*'2024'!Env_an,0.001*'[8]mon-tableau'!$B$161)</f>
        <v>10.627221798431794</v>
      </c>
      <c r="C191" s="839"/>
      <c r="D191" s="393">
        <f t="shared" si="50"/>
        <v>11.427426341327948</v>
      </c>
      <c r="E191" s="385">
        <f t="shared" si="75"/>
        <v>12.614805276635195</v>
      </c>
      <c r="F191" s="385">
        <f t="shared" si="51"/>
        <v>12.614805276635195</v>
      </c>
      <c r="G191" s="110">
        <f t="shared" si="76"/>
        <v>0.20514685269461541</v>
      </c>
      <c r="H191" s="414" t="b">
        <f>Wh_hp&gt;='2023'!Maxi_hp</f>
        <v>0</v>
      </c>
      <c r="I191" s="390">
        <f>IF(H191,Wh_hp,'2023'!Maxi_hp)</f>
        <v>59.355416952943592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7.0024913659007232E-2</v>
      </c>
      <c r="M191" s="843"/>
      <c r="N191" s="843"/>
      <c r="O191" s="48">
        <f>IF(t&lt;Tnet,'2023'!Resal+('2023'!Salim-'2023'!Resal)*(1-EXP(('2023'!Tnet-t)/('2023'!Tau_j))),Resal+(Salim-Resal)*(1-EXP((Tnet-t)/(Tau_j))))*Salcycl</f>
        <v>9.4125823527888952E-2</v>
      </c>
      <c r="P191" s="169">
        <f>(INDEX(Models!$BJ191:$BT191,,T191)*(1-R191)+INDEX(Models!$BJ191:$BT191,,T191+1)*R191-ERP_i)*Q191*Ramure*Pc/MaxiM</f>
        <v>8.098825173545255E-3</v>
      </c>
      <c r="Q191" s="305">
        <f t="shared" si="53"/>
        <v>0.8</v>
      </c>
      <c r="R191" s="177">
        <f t="shared" si="54"/>
        <v>0.59441865490483781</v>
      </c>
      <c r="S191" s="809">
        <f t="shared" si="55"/>
        <v>1</v>
      </c>
      <c r="T191" s="176">
        <f t="shared" si="56"/>
        <v>7</v>
      </c>
      <c r="U191" s="251">
        <f t="shared" si="57"/>
        <v>1.5944186549048378</v>
      </c>
      <c r="V191" s="383">
        <f t="shared" si="58"/>
        <v>51.383453601881584</v>
      </c>
      <c r="W191" s="402">
        <f t="shared" si="59"/>
        <v>10.627221798431794</v>
      </c>
      <c r="X191" s="157">
        <f t="shared" si="60"/>
        <v>45468</v>
      </c>
      <c r="Y191" s="385">
        <f t="shared" si="61"/>
        <v>9.851272682775928</v>
      </c>
      <c r="Z191" s="385">
        <f t="shared" si="62"/>
        <v>10.593050101520435</v>
      </c>
      <c r="AA191" s="386">
        <f t="shared" si="63"/>
        <v>12.614805276635195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0.16026844099285481</v>
      </c>
      <c r="AD191" s="231">
        <f>(INDEX(Models!$BJ191:$BT191,,AH191)*(1-AF191)+INDEX(Models!$BJ191:$BT191,,AH191+1)*AF191-ERP_i)*AE191*Ramure*Pc/MaxiM</f>
        <v>1.5757780143053197E-2</v>
      </c>
      <c r="AE191" s="305">
        <f t="shared" si="65"/>
        <v>0.8</v>
      </c>
      <c r="AF191" s="177">
        <f t="shared" si="66"/>
        <v>0.7951354020697412</v>
      </c>
      <c r="AG191" s="809">
        <f t="shared" si="74"/>
        <v>2</v>
      </c>
      <c r="AH191" s="176">
        <f t="shared" si="67"/>
        <v>8</v>
      </c>
      <c r="AI191" s="225">
        <f t="shared" si="68"/>
        <v>2.7951354020697412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IF(t&gt;Tmaj,'2023'!Wh/'2023'!Env_an*'2024'!Env_an,0.001*'[8]mon-tableau'!$B$162)</f>
        <v>11.293166186216846</v>
      </c>
      <c r="C192" s="839"/>
      <c r="D192" s="393">
        <f t="shared" si="50"/>
        <v>12.143803778085113</v>
      </c>
      <c r="E192" s="385">
        <f t="shared" si="75"/>
        <v>13.408005533930133</v>
      </c>
      <c r="F192" s="385">
        <f t="shared" si="51"/>
        <v>13.408005533930133</v>
      </c>
      <c r="G192" s="110">
        <f t="shared" si="76"/>
        <v>0.2183360692136318</v>
      </c>
      <c r="H192" s="414" t="b">
        <f>Wh_hp&gt;='2023'!Maxi_hp</f>
        <v>0</v>
      </c>
      <c r="I192" s="390">
        <f>IF(H192,Wh_hp,'2023'!Maxi_hp)</f>
        <v>59.191456400170118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7.004704682426946E-2</v>
      </c>
      <c r="M192" s="843"/>
      <c r="N192" s="843"/>
      <c r="O192" s="48">
        <f>IF(t&lt;Tnet,'2023'!Resal+('2023'!Salim-'2023'!Resal)*(1-EXP(('2023'!Tnet-t)/('2023'!Tau_j))),Resal+(Salim-Resal)*(1-EXP((Tnet-t)/(Tau_j))))*Salcycl</f>
        <v>9.4287084879689759E-2</v>
      </c>
      <c r="P192" s="169">
        <f>(INDEX(Models!$BJ192:$BT192,,T192)*(1-R192)+INDEX(Models!$BJ192:$BT192,,T192+1)*R192-ERP_i)*Q192*Ramure*Pc/MaxiM</f>
        <v>8.1483578153673224E-3</v>
      </c>
      <c r="Q192" s="305">
        <f t="shared" si="53"/>
        <v>0.8</v>
      </c>
      <c r="R192" s="177">
        <f t="shared" si="54"/>
        <v>0.59993477340609846</v>
      </c>
      <c r="S192" s="809">
        <f t="shared" si="55"/>
        <v>1</v>
      </c>
      <c r="T192" s="176">
        <f t="shared" si="56"/>
        <v>7</v>
      </c>
      <c r="U192" s="251">
        <f t="shared" si="57"/>
        <v>1.5999347734060985</v>
      </c>
      <c r="V192" s="383">
        <f t="shared" si="58"/>
        <v>51.302313298969111</v>
      </c>
      <c r="W192" s="402">
        <f t="shared" si="59"/>
        <v>11.293166186216846</v>
      </c>
      <c r="X192" s="157">
        <f t="shared" si="60"/>
        <v>45469</v>
      </c>
      <c r="Y192" s="385">
        <f t="shared" si="61"/>
        <v>10.469329940886906</v>
      </c>
      <c r="Z192" s="385">
        <f t="shared" si="62"/>
        <v>11.257913537598656</v>
      </c>
      <c r="AA192" s="386">
        <f t="shared" si="63"/>
        <v>13.408005533930133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0.16035882375573912</v>
      </c>
      <c r="AD192" s="231">
        <f>(INDEX(Models!$BJ192:$BT192,,AH192)*(1-AF192)+INDEX(Models!$BJ192:$BT192,,AH192+1)*AF192-ERP_i)*AE192*Ramure*Pc/MaxiM</f>
        <v>1.5818250127038452E-2</v>
      </c>
      <c r="AE192" s="305">
        <f t="shared" si="65"/>
        <v>0.8</v>
      </c>
      <c r="AF192" s="177">
        <f t="shared" si="66"/>
        <v>0.80065152057100208</v>
      </c>
      <c r="AG192" s="809">
        <f t="shared" si="74"/>
        <v>2</v>
      </c>
      <c r="AH192" s="176">
        <f t="shared" si="67"/>
        <v>8</v>
      </c>
      <c r="AI192" s="225">
        <f t="shared" si="68"/>
        <v>2.8006515205710021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IF(t&gt;Tmaj,'2023'!Wh/'2023'!Env_an*'2024'!Env_an,0.001*'[8]mon-tableau'!$B$163)</f>
        <v>51.705266044188789</v>
      </c>
      <c r="C193" s="839"/>
      <c r="D193" s="393">
        <f t="shared" si="50"/>
        <v>55.601196242714238</v>
      </c>
      <c r="E193" s="385">
        <f t="shared" si="75"/>
        <v>61.400247263532883</v>
      </c>
      <c r="F193" s="385">
        <f t="shared" si="51"/>
        <v>61.907521444604448</v>
      </c>
      <c r="G193" s="110">
        <f t="shared" si="76"/>
        <v>1.0095043316533834</v>
      </c>
      <c r="H193" s="414" t="b">
        <f>Wh_hp&gt;='2023'!Maxi_hp</f>
        <v>0</v>
      </c>
      <c r="I193" s="390">
        <f>IF(H193,Wh_hp,'2023'!Maxi_hp)</f>
        <v>61.907521444604455</v>
      </c>
      <c r="J193" s="85">
        <f>IF(H193,An,'2023'!An_max)</f>
        <v>2023</v>
      </c>
      <c r="K193" s="197">
        <f t="shared" si="52"/>
        <v>45470</v>
      </c>
      <c r="L193" s="147">
        <f>IF(t&lt;Tvie,1-EXP((T0-t)*PertePVj)+'2023'!Pspv,1-EXP((T0-t)*PertePVj)+Pspv)</f>
        <v>7.0069179474460591E-2</v>
      </c>
      <c r="M193" s="843"/>
      <c r="N193" s="843"/>
      <c r="O193" s="48">
        <f>IF(t&lt;Tnet,'2023'!Resal+('2023'!Salim-'2023'!Resal)*(1-EXP(('2023'!Tnet-t)/('2023'!Tau_j))),Resal+(Salim-Resal)*(1-EXP((Tnet-t)/(Tau_j))))*Salcycl</f>
        <v>9.4446704683921509E-2</v>
      </c>
      <c r="P193" s="169">
        <f>(INDEX(Models!$BJ193:$BT193,,T193)*(1-R193)+INDEX(Models!$BJ193:$BT193,,T193+1)*R193-ERP_i)*Q193*Ramure*Pc/MaxiM</f>
        <v>8.1940638105740156E-3</v>
      </c>
      <c r="Q193" s="305">
        <f t="shared" si="53"/>
        <v>0.8</v>
      </c>
      <c r="R193" s="177">
        <f t="shared" si="54"/>
        <v>0.60537530884309376</v>
      </c>
      <c r="S193" s="809">
        <f t="shared" si="55"/>
        <v>1</v>
      </c>
      <c r="T193" s="176">
        <f t="shared" si="56"/>
        <v>7</v>
      </c>
      <c r="U193" s="251">
        <f t="shared" si="57"/>
        <v>1.6053753088430938</v>
      </c>
      <c r="V193" s="383">
        <f t="shared" si="58"/>
        <v>51.218468730594772</v>
      </c>
      <c r="W193" s="402">
        <f t="shared" si="59"/>
        <v>51.705266044188789</v>
      </c>
      <c r="X193" s="157">
        <f t="shared" si="60"/>
        <v>45470</v>
      </c>
      <c r="Y193" s="385">
        <f t="shared" si="61"/>
        <v>47.565775357133667</v>
      </c>
      <c r="Z193" s="385">
        <f t="shared" si="62"/>
        <v>51.149799863878506</v>
      </c>
      <c r="AA193" s="386">
        <f t="shared" si="63"/>
        <v>60.925007473265097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0.16044655577065164</v>
      </c>
      <c r="AD193" s="231">
        <f>(INDEX(Models!$BJ193:$BT193,,AH193)*(1-AF193)+INDEX(Models!$BJ193:$BT193,,AH193+1)*AF193-ERP_i)*AE193*Ramure*Pc/MaxiM</f>
        <v>1.5870672067181943E-2</v>
      </c>
      <c r="AE193" s="305">
        <f t="shared" si="65"/>
        <v>0.8</v>
      </c>
      <c r="AF193" s="177">
        <f t="shared" si="66"/>
        <v>0.80609205600799738</v>
      </c>
      <c r="AG193" s="809">
        <f t="shared" si="74"/>
        <v>2</v>
      </c>
      <c r="AH193" s="176">
        <f t="shared" si="67"/>
        <v>8</v>
      </c>
      <c r="AI193" s="225">
        <f t="shared" si="68"/>
        <v>2.8060920560079974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IF(t&gt;Tmaj,'2023'!Wh/'2023'!Env_an*'2024'!Env_an,0.001*'[8]mon-tableau'!$B$164)</f>
        <v>48.681648266730022</v>
      </c>
      <c r="C194" s="839"/>
      <c r="D194" s="393">
        <f t="shared" si="50"/>
        <v>52.350998409310272</v>
      </c>
      <c r="E194" s="385">
        <f t="shared" si="75"/>
        <v>57.82115076993572</v>
      </c>
      <c r="F194" s="385">
        <f t="shared" si="51"/>
        <v>58.268187324755473</v>
      </c>
      <c r="G194" s="110">
        <f t="shared" si="76"/>
        <v>0.95153838949695568</v>
      </c>
      <c r="H194" s="414" t="b">
        <f>Wh_hp&gt;='2023'!Maxi_hp</f>
        <v>0</v>
      </c>
      <c r="I194" s="390">
        <f>IF(H194,Wh_hp,'2023'!Maxi_hp)</f>
        <v>58.29404049517651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7.0091311609592616E-2</v>
      </c>
      <c r="M194" s="843"/>
      <c r="N194" s="843"/>
      <c r="O194" s="48">
        <f>IF(t&lt;Tnet,'2023'!Resal+('2023'!Salim-'2023'!Resal)*(1-EXP(('2023'!Tnet-t)/('2023'!Tau_j))),Resal+(Salim-Resal)*(1-EXP((Tnet-t)/(Tau_j))))*Salcycl</f>
        <v>9.4604695475373812E-2</v>
      </c>
      <c r="P194" s="169">
        <f>(INDEX(Models!$BJ194:$BT194,,T194)*(1-R194)+INDEX(Models!$BJ194:$BT194,,T194+1)*R194-ERP_i)*Q194*Ramure*Pc/MaxiM</f>
        <v>8.2358633822532112E-3</v>
      </c>
      <c r="Q194" s="305">
        <f t="shared" si="53"/>
        <v>0.8</v>
      </c>
      <c r="R194" s="177">
        <f t="shared" si="54"/>
        <v>0.61073730644122048</v>
      </c>
      <c r="S194" s="809">
        <f t="shared" si="55"/>
        <v>1</v>
      </c>
      <c r="T194" s="176">
        <f t="shared" si="56"/>
        <v>7</v>
      </c>
      <c r="U194" s="251">
        <f t="shared" si="57"/>
        <v>1.6107373064412205</v>
      </c>
      <c r="V194" s="383">
        <f t="shared" si="58"/>
        <v>51.131924181402312</v>
      </c>
      <c r="W194" s="402">
        <f t="shared" si="59"/>
        <v>48.681648266730022</v>
      </c>
      <c r="X194" s="157">
        <f t="shared" si="60"/>
        <v>45471</v>
      </c>
      <c r="Y194" s="385">
        <f t="shared" si="61"/>
        <v>44.811482898373299</v>
      </c>
      <c r="Z194" s="385">
        <f t="shared" si="62"/>
        <v>48.189121639392525</v>
      </c>
      <c r="AA194" s="386">
        <f t="shared" si="63"/>
        <v>57.404335285331051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0.16053166716649298</v>
      </c>
      <c r="AD194" s="231">
        <f>(INDEX(Models!$BJ194:$BT194,,AH194)*(1-AF194)+INDEX(Models!$BJ194:$BT194,,AH194+1)*AF194-ERP_i)*AE194*Ramure*Pc/MaxiM</f>
        <v>1.5914956623735304E-2</v>
      </c>
      <c r="AE194" s="305">
        <f t="shared" si="65"/>
        <v>0.8</v>
      </c>
      <c r="AF194" s="177">
        <f t="shared" si="66"/>
        <v>0.81145405360612433</v>
      </c>
      <c r="AG194" s="809">
        <f t="shared" si="74"/>
        <v>2</v>
      </c>
      <c r="AH194" s="176">
        <f t="shared" si="67"/>
        <v>8</v>
      </c>
      <c r="AI194" s="225">
        <f t="shared" si="68"/>
        <v>2.8114540536061243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IF(t&gt;Tmaj,'2023'!Wh/'2023'!Env_an*'2024'!Env_an,0.001*'[8]mon-tableau'!$B$165)</f>
        <v>12.292728003480745</v>
      </c>
      <c r="C195" s="839"/>
      <c r="D195" s="393">
        <f t="shared" si="50"/>
        <v>13.219599653290814</v>
      </c>
      <c r="E195" s="385">
        <f t="shared" si="75"/>
        <v>14.603437025274674</v>
      </c>
      <c r="F195" s="385">
        <f t="shared" si="51"/>
        <v>14.603437025274674</v>
      </c>
      <c r="G195" s="110">
        <f t="shared" si="76"/>
        <v>0.23883975305902178</v>
      </c>
      <c r="H195" s="414" t="b">
        <f>Wh_hp&gt;='2023'!Maxi_hp</f>
        <v>0</v>
      </c>
      <c r="I195" s="390">
        <f>IF(H195,Wh_hp,'2023'!Maxi_hp)</f>
        <v>53.913631634693168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7.0113443229677525E-2</v>
      </c>
      <c r="M195" s="843"/>
      <c r="N195" s="843"/>
      <c r="O195" s="48">
        <f>IF(t&lt;Tnet,'2023'!Resal+('2023'!Salim-'2023'!Resal)*(1-EXP(('2023'!Tnet-t)/('2023'!Tau_j))),Resal+(Salim-Resal)*(1-EXP((Tnet-t)/(Tau_j))))*Salcycl</f>
        <v>9.476107368346269E-2</v>
      </c>
      <c r="P195" s="169">
        <f>(INDEX(Models!$BJ195:$BT195,,T195)*(1-R195)+INDEX(Models!$BJ195:$BT195,,T195+1)*R195-ERP_i)*Q195*Ramure*Pc/MaxiM</f>
        <v>8.2736832705506674E-3</v>
      </c>
      <c r="Q195" s="305">
        <f t="shared" si="53"/>
        <v>0.8</v>
      </c>
      <c r="R195" s="177">
        <f t="shared" si="54"/>
        <v>0.61601802673588724</v>
      </c>
      <c r="S195" s="809">
        <f t="shared" si="55"/>
        <v>1</v>
      </c>
      <c r="T195" s="176">
        <f t="shared" si="56"/>
        <v>7</v>
      </c>
      <c r="U195" s="251">
        <f t="shared" si="57"/>
        <v>1.6160180267358872</v>
      </c>
      <c r="V195" s="383">
        <f t="shared" si="58"/>
        <v>51.042683260672632</v>
      </c>
      <c r="W195" s="402">
        <f t="shared" si="59"/>
        <v>12.292728003480745</v>
      </c>
      <c r="X195" s="157">
        <f t="shared" si="60"/>
        <v>45472</v>
      </c>
      <c r="Y195" s="385">
        <f t="shared" si="61"/>
        <v>11.398472930174416</v>
      </c>
      <c r="Z195" s="385">
        <f t="shared" si="62"/>
        <v>12.257917750487261</v>
      </c>
      <c r="AA195" s="386">
        <f t="shared" si="63"/>
        <v>14.603437025274674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0.16061419450283806</v>
      </c>
      <c r="AD195" s="231">
        <f>(INDEX(Models!$BJ195:$BT195,,AH195)*(1-AF195)+INDEX(Models!$BJ195:$BT195,,AH195+1)*AF195-ERP_i)*AE195*Ramure*Pc/MaxiM</f>
        <v>1.5951024754794159E-2</v>
      </c>
      <c r="AE195" s="305">
        <f t="shared" si="65"/>
        <v>0.8</v>
      </c>
      <c r="AF195" s="177">
        <f t="shared" si="66"/>
        <v>0.81673477390079086</v>
      </c>
      <c r="AG195" s="809">
        <f t="shared" si="74"/>
        <v>2</v>
      </c>
      <c r="AH195" s="176">
        <f t="shared" si="67"/>
        <v>8</v>
      </c>
      <c r="AI195" s="225">
        <f t="shared" si="68"/>
        <v>2.8167347739007909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IF(t&gt;Tmaj,'2023'!Wh/'2023'!Env_an*'2024'!Env_an,0.001*[9]mois!$B$140)</f>
        <v>46.443538859129184</v>
      </c>
      <c r="C196" s="839"/>
      <c r="D196" s="393">
        <f t="shared" si="50"/>
        <v>49.946570249637297</v>
      </c>
      <c r="E196" s="385">
        <f t="shared" si="75"/>
        <v>55.184449723589339</v>
      </c>
      <c r="F196" s="385">
        <f t="shared" si="51"/>
        <v>55.587884724603718</v>
      </c>
      <c r="G196" s="110">
        <f t="shared" si="76"/>
        <v>0.91057392950811189</v>
      </c>
      <c r="H196" s="414" t="b">
        <f>Wh_hp&gt;='2023'!Maxi_hp</f>
        <v>0</v>
      </c>
      <c r="I196" s="390">
        <f>IF(H196,Wh_hp,'2023'!Maxi_hp)</f>
        <v>59.241632276839347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7.0135574334727308E-2</v>
      </c>
      <c r="M196" s="843"/>
      <c r="N196" s="843"/>
      <c r="O196" s="48">
        <f>IF(t&lt;Tnet,'2023'!Resal+('2023'!Salim-'2023'!Resal)*(1-EXP(('2023'!Tnet-t)/('2023'!Tau_j))),Resal+(Salim-Resal)*(1-EXP((Tnet-t)/(Tau_j))))*Salcycl</f>
        <v>9.4915859452939982E-2</v>
      </c>
      <c r="P196" s="169">
        <f>(INDEX(Models!$BJ196:$BT196,,T196)*(1-R196)+INDEX(Models!$BJ196:$BT196,,T196+1)*R196-ERP_i)*Q196*Ramure*Pc/MaxiM</f>
        <v>8.3074566815408979E-3</v>
      </c>
      <c r="Q196" s="305">
        <f t="shared" si="53"/>
        <v>0.8</v>
      </c>
      <c r="R196" s="177">
        <f t="shared" si="54"/>
        <v>0.62121494776101871</v>
      </c>
      <c r="S196" s="809">
        <f t="shared" si="55"/>
        <v>1</v>
      </c>
      <c r="T196" s="176">
        <f t="shared" si="56"/>
        <v>7</v>
      </c>
      <c r="U196" s="251">
        <f t="shared" si="57"/>
        <v>1.6212149477610187</v>
      </c>
      <c r="V196" s="383">
        <f t="shared" si="58"/>
        <v>50.950748912712569</v>
      </c>
      <c r="W196" s="402">
        <f t="shared" si="59"/>
        <v>46.443538859129184</v>
      </c>
      <c r="X196" s="157">
        <f t="shared" si="60"/>
        <v>45473</v>
      </c>
      <c r="Y196" s="385">
        <f t="shared" si="61"/>
        <v>42.777438064010852</v>
      </c>
      <c r="Z196" s="385">
        <f t="shared" si="62"/>
        <v>46.003951633492889</v>
      </c>
      <c r="AA196" s="386">
        <f t="shared" si="63"/>
        <v>54.811905935670993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0.16069418043071515</v>
      </c>
      <c r="AD196" s="231">
        <f>(INDEX(Models!$BJ196:$BT196,,AH196)*(1-AF196)+INDEX(Models!$BJ196:$BT196,,AH196+1)*AF196-ERP_i)*AE196*Ramure*Pc/MaxiM</f>
        <v>1.5978807388165848E-2</v>
      </c>
      <c r="AE196" s="305">
        <f t="shared" si="65"/>
        <v>0.8</v>
      </c>
      <c r="AF196" s="177">
        <f t="shared" si="66"/>
        <v>0.82193169492592233</v>
      </c>
      <c r="AG196" s="809">
        <f t="shared" si="74"/>
        <v>2</v>
      </c>
      <c r="AH196" s="176">
        <f t="shared" si="67"/>
        <v>8</v>
      </c>
      <c r="AI196" s="225">
        <f t="shared" si="68"/>
        <v>2.8219316949259223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IF(t&gt;Tmaj,'2023'!Wh/'2023'!Env_an*'2024'!Env_an,0.001*[9]mois!$B$141)</f>
        <v>48.828871487317549</v>
      </c>
      <c r="C197" s="839"/>
      <c r="D197" s="393">
        <f t="shared" si="50"/>
        <v>52.513067802929044</v>
      </c>
      <c r="E197" s="385">
        <f t="shared" si="75"/>
        <v>58.029918567330128</v>
      </c>
      <c r="F197" s="385">
        <f t="shared" si="51"/>
        <v>58.489785961600639</v>
      </c>
      <c r="G197" s="110">
        <f t="shared" si="76"/>
        <v>0.9596780490930541</v>
      </c>
      <c r="H197" s="414" t="b">
        <f>Wh_hp&gt;='2023'!Maxi_hp</f>
        <v>0</v>
      </c>
      <c r="I197" s="390">
        <f>IF(H197,Wh_hp,'2023'!Maxi_hp)</f>
        <v>58.511459605426658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7.0157704924753955E-2</v>
      </c>
      <c r="M197" s="843"/>
      <c r="N197" s="843"/>
      <c r="O197" s="48">
        <f>IF(t&lt;Tnet,'2023'!Resal+('2023'!Salim-'2023'!Resal)*(1-EXP(('2023'!Tnet-t)/('2023'!Tau_j))),Resal+(Salim-Resal)*(1-EXP((Tnet-t)/(Tau_j))))*Salcycl</f>
        <v>9.5069076445455758E-2</v>
      </c>
      <c r="P197" s="169">
        <f>(INDEX(Models!$BJ197:$BT197,,T197)*(1-R197)+INDEX(Models!$BJ197:$BT197,,T197+1)*R197-ERP_i)*Q197*Ramure*Pc/MaxiM</f>
        <v>8.3371231836474602E-3</v>
      </c>
      <c r="Q197" s="305">
        <f t="shared" si="53"/>
        <v>0.8</v>
      </c>
      <c r="R197" s="177">
        <f t="shared" si="54"/>
        <v>0.62632576613021151</v>
      </c>
      <c r="S197" s="809">
        <f t="shared" si="55"/>
        <v>1</v>
      </c>
      <c r="T197" s="176">
        <f t="shared" si="56"/>
        <v>7</v>
      </c>
      <c r="U197" s="251">
        <f t="shared" si="57"/>
        <v>1.6263257661302115</v>
      </c>
      <c r="V197" s="383">
        <f t="shared" si="58"/>
        <v>50.856123436370915</v>
      </c>
      <c r="W197" s="402">
        <f t="shared" si="59"/>
        <v>48.828871487317549</v>
      </c>
      <c r="X197" s="157">
        <f t="shared" si="60"/>
        <v>45474</v>
      </c>
      <c r="Y197" s="385">
        <f t="shared" si="61"/>
        <v>44.953886398267947</v>
      </c>
      <c r="Z197" s="385">
        <f t="shared" si="62"/>
        <v>48.34571048914281</v>
      </c>
      <c r="AA197" s="386">
        <f t="shared" si="63"/>
        <v>57.607338732953842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0.16077167332350642</v>
      </c>
      <c r="AD197" s="231">
        <f>(INDEX(Models!$BJ197:$BT197,,AH197)*(1-AF197)+INDEX(Models!$BJ197:$BT197,,AH197+1)*AF197-ERP_i)*AE197*Ramure*Pc/MaxiM</f>
        <v>1.5998245015755641E-2</v>
      </c>
      <c r="AE197" s="305">
        <f t="shared" si="65"/>
        <v>0.8</v>
      </c>
      <c r="AF197" s="177">
        <f t="shared" si="66"/>
        <v>0.82704251329511536</v>
      </c>
      <c r="AG197" s="809">
        <f t="shared" si="74"/>
        <v>2</v>
      </c>
      <c r="AH197" s="176">
        <f t="shared" si="67"/>
        <v>8</v>
      </c>
      <c r="AI197" s="225">
        <f t="shared" si="68"/>
        <v>2.8270425132951154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IF(t&gt;Tmaj,'2023'!Wh/'2023'!Env_an*'2024'!Env_an,0.001*[9]mois!$B$142)</f>
        <v>37.798099132235834</v>
      </c>
      <c r="C198" s="839"/>
      <c r="D198" s="393">
        <f t="shared" si="50"/>
        <v>40.650978065448236</v>
      </c>
      <c r="E198" s="385">
        <f t="shared" si="75"/>
        <v>44.92916712932152</v>
      </c>
      <c r="F198" s="385">
        <f t="shared" si="51"/>
        <v>45.169071317660787</v>
      </c>
      <c r="G198" s="110">
        <f t="shared" si="76"/>
        <v>0.74237650648875808</v>
      </c>
      <c r="H198" s="414" t="b">
        <f>Wh_hp&gt;='2023'!Maxi_hp</f>
        <v>0</v>
      </c>
      <c r="I198" s="390">
        <f>IF(H198,Wh_hp,'2023'!Maxi_hp)</f>
        <v>51.855426044960964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7.0179834999769347E-2</v>
      </c>
      <c r="M198" s="843"/>
      <c r="N198" s="843"/>
      <c r="O198" s="48">
        <f>IF(t&lt;Tnet,'2023'!Resal+('2023'!Salim-'2023'!Resal)*(1-EXP(('2023'!Tnet-t)/('2023'!Tau_j))),Resal+(Salim-Resal)*(1-EXP((Tnet-t)/(Tau_j))))*Salcycl</f>
        <v>9.522075162353201E-2</v>
      </c>
      <c r="P198" s="169">
        <f>(INDEX(Models!$BJ198:$BT198,,T198)*(1-R198)+INDEX(Models!$BJ198:$BT198,,T198+1)*R198-ERP_i)*Q198*Ramure*Pc/MaxiM</f>
        <v>8.3611661908985432E-3</v>
      </c>
      <c r="Q198" s="305">
        <f t="shared" si="53"/>
        <v>0.8</v>
      </c>
      <c r="R198" s="177">
        <f t="shared" si="54"/>
        <v>0.63134839705096724</v>
      </c>
      <c r="S198" s="809">
        <f t="shared" si="55"/>
        <v>1</v>
      </c>
      <c r="T198" s="176">
        <f t="shared" si="56"/>
        <v>7</v>
      </c>
      <c r="U198" s="251">
        <f t="shared" si="57"/>
        <v>1.6313483970509672</v>
      </c>
      <c r="V198" s="383">
        <f t="shared" si="58"/>
        <v>50.758883366605545</v>
      </c>
      <c r="W198" s="402">
        <f t="shared" si="59"/>
        <v>37.798099132235834</v>
      </c>
      <c r="X198" s="157">
        <f t="shared" si="60"/>
        <v>45475</v>
      </c>
      <c r="Y198" s="385">
        <f t="shared" si="61"/>
        <v>34.885342975509573</v>
      </c>
      <c r="Z198" s="385">
        <f t="shared" si="62"/>
        <v>37.518376443794288</v>
      </c>
      <c r="AA198" s="386">
        <f t="shared" si="63"/>
        <v>44.709801708019867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0.16084672688082202</v>
      </c>
      <c r="AD198" s="231">
        <f>(INDEX(Models!$BJ198:$BT198,,AH198)*(1-AF198)+INDEX(Models!$BJ198:$BT198,,AH198+1)*AF198-ERP_i)*AE198*Ramure*Pc/MaxiM</f>
        <v>1.6006513096829968E-2</v>
      </c>
      <c r="AE198" s="305">
        <f t="shared" si="65"/>
        <v>0.8</v>
      </c>
      <c r="AF198" s="177">
        <f t="shared" si="66"/>
        <v>0.83206514421587086</v>
      </c>
      <c r="AG198" s="809">
        <f t="shared" si="74"/>
        <v>2</v>
      </c>
      <c r="AH198" s="176">
        <f t="shared" si="67"/>
        <v>8</v>
      </c>
      <c r="AI198" s="225">
        <f t="shared" si="68"/>
        <v>2.8320651442158709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IF(t&gt;Tmaj,'2023'!Wh/'2023'!Env_an*'2024'!Env_an,0.001*[9]mois!$B$143)</f>
        <v>38.736751593990519</v>
      </c>
      <c r="C199" s="839"/>
      <c r="D199" s="393">
        <f t="shared" si="50"/>
        <v>41.661468531335991</v>
      </c>
      <c r="E199" s="385">
        <f t="shared" si="75"/>
        <v>46.053646984160835</v>
      </c>
      <c r="F199" s="385">
        <f t="shared" si="51"/>
        <v>46.311290649881151</v>
      </c>
      <c r="G199" s="110">
        <f t="shared" si="76"/>
        <v>0.76249091113753908</v>
      </c>
      <c r="H199" s="414" t="b">
        <f>Wh_hp&gt;='2023'!Maxi_hp</f>
        <v>0</v>
      </c>
      <c r="I199" s="390">
        <f>IF(H199,Wh_hp,'2023'!Maxi_hp)</f>
        <v>57.973124882145292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7.0201964559785696E-2</v>
      </c>
      <c r="M199" s="843"/>
      <c r="N199" s="843"/>
      <c r="O199" s="48">
        <f>IF(t&lt;Tnet,'2023'!Resal+('2023'!Salim-'2023'!Resal)*(1-EXP(('2023'!Tnet-t)/('2023'!Tau_j))),Resal+(Salim-Resal)*(1-EXP((Tnet-t)/(Tau_j))))*Salcycl</f>
        <v>9.5370915018639785E-2</v>
      </c>
      <c r="P199" s="169">
        <f>(INDEX(Models!$BJ199:$BT199,,T199)*(1-R199)+INDEX(Models!$BJ199:$BT199,,T199+1)*R199-ERP_i)*Q199*Ramure*Pc/MaxiM</f>
        <v>8.3810341894986762E-3</v>
      </c>
      <c r="Q199" s="305">
        <f t="shared" si="53"/>
        <v>0.8</v>
      </c>
      <c r="R199" s="177">
        <f t="shared" si="54"/>
        <v>0.63628097331971567</v>
      </c>
      <c r="S199" s="809">
        <f t="shared" si="55"/>
        <v>1</v>
      </c>
      <c r="T199" s="176">
        <f t="shared" si="56"/>
        <v>7</v>
      </c>
      <c r="U199" s="251">
        <f t="shared" si="57"/>
        <v>1.6362809733197157</v>
      </c>
      <c r="V199" s="383">
        <f t="shared" si="58"/>
        <v>50.658952890068633</v>
      </c>
      <c r="W199" s="402">
        <f t="shared" si="59"/>
        <v>38.736751593990519</v>
      </c>
      <c r="X199" s="157">
        <f t="shared" si="60"/>
        <v>45476</v>
      </c>
      <c r="Y199" s="385">
        <f t="shared" si="61"/>
        <v>35.7470313064888</v>
      </c>
      <c r="Z199" s="385">
        <f t="shared" si="62"/>
        <v>38.446017246707036</v>
      </c>
      <c r="AA199" s="386">
        <f t="shared" si="63"/>
        <v>45.819218360365021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0.1609193997083988</v>
      </c>
      <c r="AD199" s="231">
        <f>(INDEX(Models!$BJ199:$BT199,,AH199)*(1-AF199)+INDEX(Models!$BJ199:$BT199,,AH199+1)*AF199-ERP_i)*AE199*Ramure*Pc/MaxiM</f>
        <v>1.6006893360290864E-2</v>
      </c>
      <c r="AE199" s="305">
        <f t="shared" si="65"/>
        <v>0.8</v>
      </c>
      <c r="AF199" s="177">
        <f t="shared" si="66"/>
        <v>0.83699772048461929</v>
      </c>
      <c r="AG199" s="809">
        <f t="shared" si="74"/>
        <v>2</v>
      </c>
      <c r="AH199" s="176">
        <f t="shared" si="67"/>
        <v>8</v>
      </c>
      <c r="AI199" s="225">
        <f t="shared" si="68"/>
        <v>2.8369977204846193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IF(t&gt;Tmaj,'2023'!Wh/'2023'!Env_an*'2024'!Env_an,0.001*[9]mois!$B$144)</f>
        <v>47.84035634569323</v>
      </c>
      <c r="C200" s="839"/>
      <c r="D200" s="393">
        <f t="shared" si="50"/>
        <v>51.453641696496604</v>
      </c>
      <c r="E200" s="385">
        <f t="shared" si="75"/>
        <v>56.887514275832203</v>
      </c>
      <c r="F200" s="385">
        <f t="shared" si="51"/>
        <v>57.331968292119505</v>
      </c>
      <c r="G200" s="110">
        <f t="shared" si="76"/>
        <v>0.94566367858696732</v>
      </c>
      <c r="H200" s="414" t="b">
        <f>Wh_hp&gt;='2023'!Maxi_hp</f>
        <v>0</v>
      </c>
      <c r="I200" s="390">
        <f>IF(H200,Wh_hp,'2023'!Maxi_hp)</f>
        <v>60.257495392536157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7.0224093604814769E-2</v>
      </c>
      <c r="M200" s="843"/>
      <c r="N200" s="843"/>
      <c r="O200" s="48">
        <f>IF(t&lt;Tnet,'2023'!Resal+('2023'!Salim-'2023'!Resal)*(1-EXP(('2023'!Tnet-t)/('2023'!Tau_j))),Resal+(Salim-Resal)*(1-EXP((Tnet-t)/(Tau_j))))*Salcycl</f>
        <v>9.5519599485191356E-2</v>
      </c>
      <c r="P200" s="169">
        <f>(INDEX(Models!$BJ200:$BT200,,T200)*(1-R200)+INDEX(Models!$BJ200:$BT200,,T200+1)*R200-ERP_i)*Q200*Ramure*Pc/MaxiM</f>
        <v>8.3966972564154061E-3</v>
      </c>
      <c r="Q200" s="305">
        <f t="shared" si="53"/>
        <v>0.8</v>
      </c>
      <c r="R200" s="177">
        <f t="shared" si="54"/>
        <v>0.64112184335168432</v>
      </c>
      <c r="S200" s="809">
        <f t="shared" si="55"/>
        <v>1</v>
      </c>
      <c r="T200" s="176">
        <f t="shared" si="56"/>
        <v>7</v>
      </c>
      <c r="U200" s="251">
        <f t="shared" si="57"/>
        <v>1.6411218433516843</v>
      </c>
      <c r="V200" s="383">
        <f t="shared" si="58"/>
        <v>50.556331888137521</v>
      </c>
      <c r="W200" s="402">
        <f t="shared" si="59"/>
        <v>47.84035634569323</v>
      </c>
      <c r="X200" s="157">
        <f t="shared" si="60"/>
        <v>45477</v>
      </c>
      <c r="Y200" s="385">
        <f t="shared" si="61"/>
        <v>44.06353921532326</v>
      </c>
      <c r="Z200" s="385">
        <f t="shared" si="62"/>
        <v>47.391569207424496</v>
      </c>
      <c r="AA200" s="386">
        <f t="shared" si="63"/>
        <v>56.485090000886302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0.16098975487724501</v>
      </c>
      <c r="AD200" s="231">
        <f>(INDEX(Models!$BJ200:$BT200,,AH200)*(1-AF200)+INDEX(Models!$BJ200:$BT200,,AH200+1)*AF200-ERP_i)*AE200*Ramure*Pc/MaxiM</f>
        <v>1.5999361832561291E-2</v>
      </c>
      <c r="AE200" s="305">
        <f t="shared" si="65"/>
        <v>0.8</v>
      </c>
      <c r="AF200" s="177">
        <f t="shared" si="66"/>
        <v>0.84183859051658816</v>
      </c>
      <c r="AG200" s="809">
        <f t="shared" si="74"/>
        <v>2</v>
      </c>
      <c r="AH200" s="176">
        <f t="shared" si="67"/>
        <v>8</v>
      </c>
      <c r="AI200" s="225">
        <f t="shared" si="68"/>
        <v>2.8418385905165882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IF(t&gt;Tmaj,'2023'!Wh/'2023'!Env_an*'2024'!Env_an,0.001*[9]mois!$B$145)</f>
        <v>43.075574932668253</v>
      </c>
      <c r="C201" s="839"/>
      <c r="D201" s="393">
        <f t="shared" si="50"/>
        <v>46.330088630106893</v>
      </c>
      <c r="E201" s="385">
        <f t="shared" si="75"/>
        <v>51.231217323458068</v>
      </c>
      <c r="F201" s="385">
        <f t="shared" si="51"/>
        <v>51.574297292825932</v>
      </c>
      <c r="G201" s="110">
        <f t="shared" si="76"/>
        <v>0.85230048376800471</v>
      </c>
      <c r="H201" s="414" t="b">
        <f>Wh_hp&gt;='2023'!Maxi_hp</f>
        <v>0</v>
      </c>
      <c r="I201" s="390">
        <f>IF(H201,Wh_hp,'2023'!Maxi_hp)</f>
        <v>59.845160048198764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7.0246222134868669E-2</v>
      </c>
      <c r="M201" s="843"/>
      <c r="N201" s="843"/>
      <c r="O201" s="48">
        <f>IF(t&lt;Tnet,'2023'!Resal+('2023'!Salim-'2023'!Resal)*(1-EXP(('2023'!Tnet-t)/('2023'!Tau_j))),Resal+(Salim-Resal)*(1-EXP((Tnet-t)/(Tau_j))))*Salcycl</f>
        <v>9.566684044236079E-2</v>
      </c>
      <c r="P201" s="169">
        <f>(INDEX(Models!$BJ201:$BT201,,T201)*(1-R201)+INDEX(Models!$BJ201:$BT201,,T201+1)*R201-ERP_i)*Q201*Ramure*Pc/MaxiM</f>
        <v>8.408130601144502E-3</v>
      </c>
      <c r="Q201" s="305">
        <f t="shared" si="53"/>
        <v>0.8</v>
      </c>
      <c r="R201" s="177">
        <f t="shared" si="54"/>
        <v>0.64586956830503572</v>
      </c>
      <c r="S201" s="809">
        <f t="shared" si="55"/>
        <v>1</v>
      </c>
      <c r="T201" s="176">
        <f t="shared" si="56"/>
        <v>7</v>
      </c>
      <c r="U201" s="251">
        <f t="shared" si="57"/>
        <v>1.6458695683050357</v>
      </c>
      <c r="V201" s="383">
        <f t="shared" si="58"/>
        <v>50.451019736207137</v>
      </c>
      <c r="W201" s="402">
        <f t="shared" si="59"/>
        <v>43.075574932668253</v>
      </c>
      <c r="X201" s="157">
        <f t="shared" si="60"/>
        <v>45478</v>
      </c>
      <c r="Y201" s="385">
        <f t="shared" si="61"/>
        <v>39.719728434506038</v>
      </c>
      <c r="Z201" s="385">
        <f t="shared" si="62"/>
        <v>42.720695930603384</v>
      </c>
      <c r="AA201" s="386">
        <f t="shared" si="63"/>
        <v>50.922100424446747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0.16105785946539675</v>
      </c>
      <c r="AD201" s="231">
        <f>(INDEX(Models!$BJ201:$BT201,,AH201)*(1-AF201)+INDEX(Models!$BJ201:$BT201,,AH201+1)*AF201-ERP_i)*AE201*Ramure*Pc/MaxiM</f>
        <v>1.5983901529120385E-2</v>
      </c>
      <c r="AE201" s="305">
        <f t="shared" si="65"/>
        <v>0.8</v>
      </c>
      <c r="AF201" s="177">
        <f t="shared" si="66"/>
        <v>0.84658631546993934</v>
      </c>
      <c r="AG201" s="809">
        <f t="shared" si="74"/>
        <v>2</v>
      </c>
      <c r="AH201" s="176">
        <f t="shared" si="67"/>
        <v>8</v>
      </c>
      <c r="AI201" s="225">
        <f t="shared" si="68"/>
        <v>2.8465863154699393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IF(t&gt;Tmaj,'2023'!Wh/'2023'!Env_an*'2024'!Env_an,0.001*[9]mois!$B$146)</f>
        <v>47.358545777918444</v>
      </c>
      <c r="C202" s="839"/>
      <c r="D202" s="393">
        <f t="shared" si="50"/>
        <v>50.937865550298362</v>
      </c>
      <c r="E202" s="385">
        <f t="shared" si="75"/>
        <v>56.335522713086682</v>
      </c>
      <c r="F202" s="385">
        <f t="shared" si="51"/>
        <v>56.772822471438076</v>
      </c>
      <c r="G202" s="110">
        <f t="shared" si="76"/>
        <v>0.94004166288600621</v>
      </c>
      <c r="H202" s="414" t="b">
        <f>Wh_hp&gt;='2023'!Maxi_hp</f>
        <v>0</v>
      </c>
      <c r="I202" s="390">
        <f>IF(H202,Wh_hp,'2023'!Maxi_hp)</f>
        <v>56.803975288408445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7.0268350149959385E-2</v>
      </c>
      <c r="M202" s="843"/>
      <c r="N202" s="843"/>
      <c r="O202" s="48">
        <f>IF(t&lt;Tnet,'2023'!Resal+('2023'!Salim-'2023'!Resal)*(1-EXP(('2023'!Tnet-t)/('2023'!Tau_j))),Resal+(Salim-Resal)*(1-EXP((Tnet-t)/(Tau_j))))*Salcycl</f>
        <v>9.5812675605732048E-2</v>
      </c>
      <c r="P202" s="169">
        <f>(INDEX(Models!$BJ202:$BT202,,T202)*(1-R202)+INDEX(Models!$BJ202:$BT202,,T202+1)*R202-ERP_i)*Q202*Ramure*Pc/MaxiM</f>
        <v>8.4153142208395239E-3</v>
      </c>
      <c r="Q202" s="305">
        <f t="shared" si="53"/>
        <v>0.8</v>
      </c>
      <c r="R202" s="177">
        <f t="shared" si="54"/>
        <v>0.65052291836308318</v>
      </c>
      <c r="S202" s="809">
        <f t="shared" si="55"/>
        <v>1</v>
      </c>
      <c r="T202" s="176">
        <f t="shared" si="56"/>
        <v>7</v>
      </c>
      <c r="U202" s="251">
        <f t="shared" si="57"/>
        <v>1.6505229183630832</v>
      </c>
      <c r="V202" s="383">
        <f t="shared" si="58"/>
        <v>50.343015338544859</v>
      </c>
      <c r="W202" s="402">
        <f t="shared" si="59"/>
        <v>47.358545777918444</v>
      </c>
      <c r="X202" s="157">
        <f t="shared" si="60"/>
        <v>45479</v>
      </c>
      <c r="Y202" s="385">
        <f t="shared" si="61"/>
        <v>43.631953317254371</v>
      </c>
      <c r="Z202" s="385">
        <f t="shared" si="62"/>
        <v>46.929620309572023</v>
      </c>
      <c r="AA202" s="386">
        <f t="shared" si="63"/>
        <v>55.943438876052056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0.16112378408576197</v>
      </c>
      <c r="AD202" s="231">
        <f>(INDEX(Models!$BJ202:$BT202,,AH202)*(1-AF202)+INDEX(Models!$BJ202:$BT202,,AH202+1)*AF202-ERP_i)*AE202*Ramure*Pc/MaxiM</f>
        <v>1.5960501764500423E-2</v>
      </c>
      <c r="AE202" s="305">
        <f t="shared" si="65"/>
        <v>0.8</v>
      </c>
      <c r="AF202" s="177">
        <f t="shared" si="66"/>
        <v>0.85123966552798702</v>
      </c>
      <c r="AG202" s="809">
        <f t="shared" si="74"/>
        <v>2</v>
      </c>
      <c r="AH202" s="176">
        <f t="shared" si="67"/>
        <v>8</v>
      </c>
      <c r="AI202" s="225">
        <f t="shared" si="68"/>
        <v>2.851239665527987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IF(t&gt;Tmaj,'2023'!Wh/'2023'!Env_an*'2024'!Env_an,0.001*[9]mois!$B$147)</f>
        <v>50.172093318831109</v>
      </c>
      <c r="C203" s="839"/>
      <c r="D203" s="393">
        <f t="shared" si="50"/>
        <v>53.965343058999636</v>
      </c>
      <c r="E203" s="385">
        <f t="shared" si="75"/>
        <v>59.693346109945921</v>
      </c>
      <c r="F203" s="385">
        <f t="shared" si="51"/>
        <v>60.199249430341482</v>
      </c>
      <c r="G203" s="110">
        <f t="shared" si="76"/>
        <v>0.99878657061524678</v>
      </c>
      <c r="H203" s="414" t="b">
        <f>Wh_hp&gt;='2023'!Maxi_hp</f>
        <v>0</v>
      </c>
      <c r="I203" s="390">
        <f>IF(H203,Wh_hp,'2023'!Maxi_hp)</f>
        <v>61.470681296854167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7.0290477650098798E-2</v>
      </c>
      <c r="M203" s="843"/>
      <c r="N203" s="843"/>
      <c r="O203" s="48">
        <f>IF(t&lt;Tnet,'2023'!Resal+('2023'!Salim-'2023'!Resal)*(1-EXP(('2023'!Tnet-t)/('2023'!Tau_j))),Resal+(Salim-Resal)*(1-EXP((Tnet-t)/(Tau_j))))*Salcycl</f>
        <v>9.595714471083909E-2</v>
      </c>
      <c r="P203" s="169">
        <f>(INDEX(Models!$BJ203:$BT203,,T203)*(1-R203)+INDEX(Models!$BJ203:$BT203,,T203+1)*R203-ERP_i)*Q203*Ramure*Pc/MaxiM</f>
        <v>8.4182325248186741E-3</v>
      </c>
      <c r="Q203" s="305">
        <f t="shared" si="53"/>
        <v>0.8</v>
      </c>
      <c r="R203" s="177">
        <f t="shared" si="54"/>
        <v>0.65508086824180611</v>
      </c>
      <c r="S203" s="809">
        <f t="shared" si="55"/>
        <v>1</v>
      </c>
      <c r="T203" s="176">
        <f t="shared" si="56"/>
        <v>7</v>
      </c>
      <c r="U203" s="251">
        <f t="shared" si="57"/>
        <v>1.6550808682418061</v>
      </c>
      <c r="V203" s="383">
        <f t="shared" si="58"/>
        <v>50.232317171289267</v>
      </c>
      <c r="W203" s="402">
        <f t="shared" si="59"/>
        <v>50.172093318831109</v>
      </c>
      <c r="X203" s="157">
        <f t="shared" si="60"/>
        <v>45480</v>
      </c>
      <c r="Y203" s="385">
        <f t="shared" si="61"/>
        <v>46.199960109617969</v>
      </c>
      <c r="Z203" s="385">
        <f t="shared" si="62"/>
        <v>49.692897619080597</v>
      </c>
      <c r="AA203" s="386">
        <f t="shared" si="63"/>
        <v>59.241968480050005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0.16118760240360858</v>
      </c>
      <c r="AD203" s="231">
        <f>(INDEX(Models!$BJ203:$BT203,,AH203)*(1-AF203)+INDEX(Models!$BJ203:$BT203,,AH203+1)*AF203-ERP_i)*AE203*Ramure*Pc/MaxiM</f>
        <v>1.5929157422473628E-2</v>
      </c>
      <c r="AE203" s="305">
        <f t="shared" si="65"/>
        <v>0.8</v>
      </c>
      <c r="AF203" s="177">
        <f t="shared" si="66"/>
        <v>0.85579761540670951</v>
      </c>
      <c r="AG203" s="809">
        <f t="shared" si="74"/>
        <v>2</v>
      </c>
      <c r="AH203" s="176">
        <f t="shared" si="67"/>
        <v>8</v>
      </c>
      <c r="AI203" s="225">
        <f t="shared" si="68"/>
        <v>2.8557976154067095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IF(t&gt;Tmaj,'2023'!Wh/'2023'!Env_an*'2024'!Env_an,0.001*[9]mois!$B$148)</f>
        <v>49.272279482162205</v>
      </c>
      <c r="C204" s="839"/>
      <c r="D204" s="393">
        <f t="shared" si="50"/>
        <v>52.998760365933002</v>
      </c>
      <c r="E204" s="385">
        <f t="shared" si="75"/>
        <v>58.633452068290794</v>
      </c>
      <c r="F204" s="385">
        <f t="shared" si="51"/>
        <v>59.119041351368686</v>
      </c>
      <c r="G204" s="110">
        <f t="shared" si="76"/>
        <v>0.98290595989651175</v>
      </c>
      <c r="H204" s="414" t="b">
        <f>Wh_hp&gt;='2023'!Maxi_hp</f>
        <v>0</v>
      </c>
      <c r="I204" s="390">
        <f>IF(H204,Wh_hp,'2023'!Maxi_hp)</f>
        <v>60.783742606554995</v>
      </c>
      <c r="J204" s="85">
        <f>IF(H204,An,'2023'!An_max)</f>
        <v>2021</v>
      </c>
      <c r="K204" s="197">
        <f t="shared" si="52"/>
        <v>45481</v>
      </c>
      <c r="L204" s="147">
        <f>IF(t&lt;Tvie,1-EXP((T0-t)*PertePVj)+'2023'!Pspv,1-EXP((T0-t)*PertePVj)+Pspv)</f>
        <v>7.0312604635299009E-2</v>
      </c>
      <c r="M204" s="843"/>
      <c r="N204" s="843"/>
      <c r="O204" s="48">
        <f>IF(t&lt;Tnet,'2023'!Resal+('2023'!Salim-'2023'!Resal)*(1-EXP(('2023'!Tnet-t)/('2023'!Tau_j))),Resal+(Salim-Resal)*(1-EXP((Tnet-t)/(Tau_j))))*Salcycl</f>
        <v>9.6100289230711178E-2</v>
      </c>
      <c r="P204" s="169">
        <f>(INDEX(Models!$BJ204:$BT204,,T204)*(1-R204)+INDEX(Models!$BJ204:$BT204,,T204+1)*R204-ERP_i)*Q204*Ramure*Pc/MaxiM</f>
        <v>8.4168739349360852E-3</v>
      </c>
      <c r="Q204" s="305">
        <f t="shared" si="53"/>
        <v>0.8</v>
      </c>
      <c r="R204" s="177">
        <f t="shared" si="54"/>
        <v>0.65954259199234855</v>
      </c>
      <c r="S204" s="809">
        <f t="shared" si="55"/>
        <v>1</v>
      </c>
      <c r="T204" s="176">
        <f t="shared" si="56"/>
        <v>7</v>
      </c>
      <c r="U204" s="251">
        <f t="shared" si="57"/>
        <v>1.6595425919923485</v>
      </c>
      <c r="V204" s="383">
        <f t="shared" si="58"/>
        <v>50.118923316927933</v>
      </c>
      <c r="W204" s="402">
        <f t="shared" si="59"/>
        <v>49.272279482162205</v>
      </c>
      <c r="X204" s="157">
        <f t="shared" si="60"/>
        <v>45481</v>
      </c>
      <c r="Y204" s="385">
        <f t="shared" si="61"/>
        <v>45.384762670797279</v>
      </c>
      <c r="Z204" s="385">
        <f t="shared" si="62"/>
        <v>48.817229207451597</v>
      </c>
      <c r="AA204" s="386">
        <f t="shared" si="63"/>
        <v>58.202317426780745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0.1612493906473004</v>
      </c>
      <c r="AD204" s="231">
        <f>(INDEX(Models!$BJ204:$BT204,,AH204)*(1-AF204)+INDEX(Models!$BJ204:$BT204,,AH204+1)*AF204-ERP_i)*AE204*Ramure*Pc/MaxiM</f>
        <v>1.5889868197850574E-2</v>
      </c>
      <c r="AE204" s="305">
        <f t="shared" si="65"/>
        <v>0.8</v>
      </c>
      <c r="AF204" s="177">
        <f t="shared" si="66"/>
        <v>0.86025933915725217</v>
      </c>
      <c r="AG204" s="809">
        <f t="shared" si="74"/>
        <v>2</v>
      </c>
      <c r="AH204" s="176">
        <f t="shared" si="67"/>
        <v>8</v>
      </c>
      <c r="AI204" s="225">
        <f t="shared" si="68"/>
        <v>2.8602593391572522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IF(t&gt;Tmaj,'2023'!Wh/'2023'!Env_an*'2024'!Env_an,0.001*[9]mois!$B$149)</f>
        <v>48.703688376511757</v>
      </c>
      <c r="C205" s="839"/>
      <c r="D205" s="393">
        <f t="shared" si="50"/>
        <v>52.388413341966526</v>
      </c>
      <c r="E205" s="385">
        <f t="shared" si="75"/>
        <v>57.967312220959307</v>
      </c>
      <c r="F205" s="385">
        <f t="shared" si="51"/>
        <v>58.440639107723428</v>
      </c>
      <c r="G205" s="110">
        <f t="shared" si="76"/>
        <v>0.97372399228957973</v>
      </c>
      <c r="H205" s="414" t="b">
        <f>Wh_hp&gt;='2023'!Maxi_hp</f>
        <v>0</v>
      </c>
      <c r="I205" s="390">
        <f>IF(H205,Wh_hp,'2023'!Maxi_hp)</f>
        <v>60.976537805718309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7.0334731105571896E-2</v>
      </c>
      <c r="M205" s="843"/>
      <c r="N205" s="843"/>
      <c r="O205" s="48">
        <f>IF(t&lt;Tnet,'2023'!Resal+('2023'!Salim-'2023'!Resal)*(1-EXP(('2023'!Tnet-t)/('2023'!Tau_j))),Resal+(Salim-Resal)*(1-EXP((Tnet-t)/(Tau_j))))*Salcycl</f>
        <v>9.6242152089563535E-2</v>
      </c>
      <c r="P205" s="169">
        <f>(INDEX(Models!$BJ205:$BT205,,T205)*(1-R205)+INDEX(Models!$BJ205:$BT205,,T205+1)*R205-ERP_i)*Q205*Ramure*Pc/MaxiM</f>
        <v>8.4113316506337441E-3</v>
      </c>
      <c r="Q205" s="305">
        <f t="shared" si="53"/>
        <v>0.8</v>
      </c>
      <c r="R205" s="177">
        <f t="shared" si="54"/>
        <v>0.66390745716974298</v>
      </c>
      <c r="S205" s="809">
        <f t="shared" si="55"/>
        <v>1</v>
      </c>
      <c r="T205" s="176">
        <f t="shared" si="56"/>
        <v>7</v>
      </c>
      <c r="U205" s="251">
        <f t="shared" si="57"/>
        <v>1.663907457169743</v>
      </c>
      <c r="V205" s="383">
        <f t="shared" si="58"/>
        <v>50.002224879435545</v>
      </c>
      <c r="W205" s="402">
        <f t="shared" si="59"/>
        <v>48.703688376511757</v>
      </c>
      <c r="X205" s="157">
        <f t="shared" si="60"/>
        <v>45482</v>
      </c>
      <c r="Y205" s="385">
        <f t="shared" si="61"/>
        <v>44.871148145741962</v>
      </c>
      <c r="Z205" s="385">
        <f t="shared" si="62"/>
        <v>48.265918548407647</v>
      </c>
      <c r="AA205" s="386">
        <f t="shared" si="63"/>
        <v>57.549123120110387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0.1613092271158994</v>
      </c>
      <c r="AD205" s="231">
        <f>(INDEX(Models!$BJ205:$BT205,,AH205)*(1-AF205)+INDEX(Models!$BJ205:$BT205,,AH205+1)*AF205-ERP_i)*AE205*Ramure*Pc/MaxiM</f>
        <v>1.5842828399039464E-2</v>
      </c>
      <c r="AE205" s="305">
        <f t="shared" si="65"/>
        <v>0.8</v>
      </c>
      <c r="AF205" s="177">
        <f t="shared" si="66"/>
        <v>0.8646242043346466</v>
      </c>
      <c r="AG205" s="809">
        <f t="shared" si="74"/>
        <v>2</v>
      </c>
      <c r="AH205" s="176">
        <f t="shared" si="67"/>
        <v>8</v>
      </c>
      <c r="AI205" s="225">
        <f t="shared" si="68"/>
        <v>2.8646242043346466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IF(t&gt;Tmaj,'2023'!Wh/'2023'!Env_an*'2024'!Env_an,0.001*[9]mois!$B$150)</f>
        <v>47.375057157436274</v>
      </c>
      <c r="C206" s="839"/>
      <c r="D206" s="393">
        <f t="shared" si="50"/>
        <v>50.960476089416247</v>
      </c>
      <c r="E206" s="385">
        <f t="shared" si="75"/>
        <v>56.396087650215691</v>
      </c>
      <c r="F206" s="385">
        <f t="shared" si="51"/>
        <v>56.839243615069265</v>
      </c>
      <c r="G206" s="110">
        <f t="shared" si="76"/>
        <v>0.94916722152117328</v>
      </c>
      <c r="H206" s="414" t="b">
        <f>Wh_hp&gt;='2023'!Maxi_hp</f>
        <v>0</v>
      </c>
      <c r="I206" s="390">
        <f>IF(H206,Wh_hp,'2023'!Maxi_hp)</f>
        <v>60.655127137032757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7.0356857060929562E-2</v>
      </c>
      <c r="M206" s="843"/>
      <c r="N206" s="843"/>
      <c r="O206" s="48">
        <f>IF(t&lt;Tnet,'2023'!Resal+('2023'!Salim-'2023'!Resal)*(1-EXP(('2023'!Tnet-t)/('2023'!Tau_j))),Resal+(Salim-Resal)*(1-EXP((Tnet-t)/(Tau_j))))*Salcycl</f>
        <v>9.6382777374782222E-2</v>
      </c>
      <c r="P206" s="169">
        <f>(INDEX(Models!$BJ206:$BT206,,T206)*(1-R206)+INDEX(Models!$BJ206:$BT206,,T206+1)*R206-ERP_i)*Q206*Ramure*Pc/MaxiM</f>
        <v>8.399699776288308E-3</v>
      </c>
      <c r="Q206" s="305">
        <f t="shared" si="53"/>
        <v>0.8</v>
      </c>
      <c r="R206" s="177">
        <f t="shared" si="54"/>
        <v>0.66817501843978011</v>
      </c>
      <c r="S206" s="809">
        <f t="shared" si="55"/>
        <v>1</v>
      </c>
      <c r="T206" s="176">
        <f t="shared" si="56"/>
        <v>7</v>
      </c>
      <c r="U206" s="251">
        <f t="shared" si="57"/>
        <v>1.6681750184397801</v>
      </c>
      <c r="V206" s="383">
        <f t="shared" si="58"/>
        <v>49.88189889121643</v>
      </c>
      <c r="W206" s="402">
        <f t="shared" si="59"/>
        <v>47.375057157436274</v>
      </c>
      <c r="X206" s="157">
        <f t="shared" si="60"/>
        <v>45483</v>
      </c>
      <c r="Y206" s="385">
        <f t="shared" si="61"/>
        <v>43.664020170087426</v>
      </c>
      <c r="Z206" s="385">
        <f t="shared" si="62"/>
        <v>46.968581978718689</v>
      </c>
      <c r="AA206" s="386">
        <f t="shared" si="63"/>
        <v>56.006134643377685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0.1613671916872346</v>
      </c>
      <c r="AD206" s="231">
        <f>(INDEX(Models!$BJ206:$BT206,,AH206)*(1-AF206)+INDEX(Models!$BJ206:$BT206,,AH206+1)*AF206-ERP_i)*AE206*Ramure*Pc/MaxiM</f>
        <v>1.5790976085482016E-2</v>
      </c>
      <c r="AE206" s="305">
        <f t="shared" si="65"/>
        <v>0.8</v>
      </c>
      <c r="AF206" s="177">
        <f t="shared" si="66"/>
        <v>0.86889176560468373</v>
      </c>
      <c r="AG206" s="809">
        <f t="shared" si="74"/>
        <v>2</v>
      </c>
      <c r="AH206" s="176">
        <f t="shared" si="67"/>
        <v>8</v>
      </c>
      <c r="AI206" s="225">
        <f t="shared" si="68"/>
        <v>2.8688917656046837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IF(t&gt;Tmaj,'2023'!Wh/'2023'!Env_an*'2024'!Env_an,0.001*[9]mois!$B$151)</f>
        <v>47.063704208121408</v>
      </c>
      <c r="C207" s="839"/>
      <c r="D207" s="393">
        <f t="shared" ref="D207:D270" si="77">Wh/(1-Ppv)</f>
        <v>50.626764371957059</v>
      </c>
      <c r="E207" s="385">
        <f t="shared" si="75"/>
        <v>56.035427694046412</v>
      </c>
      <c r="F207" s="385">
        <f t="shared" ref="F207:F270" si="78">Wh_sa/(1-Pvg*MEDIAN((-Sdif+Wh/Env_an)/Csdif,0,1))</f>
        <v>56.472230574551837</v>
      </c>
      <c r="G207" s="110">
        <f t="shared" si="76"/>
        <v>0.94523095160574289</v>
      </c>
      <c r="H207" s="414" t="b">
        <f>Wh_hp&gt;='2023'!Maxi_hp</f>
        <v>0</v>
      </c>
      <c r="I207" s="390">
        <f>IF(H207,Wh_hp,'2023'!Maxi_hp)</f>
        <v>61.032000698200029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7.0378982501383885E-2</v>
      </c>
      <c r="M207" s="843"/>
      <c r="N207" s="843"/>
      <c r="O207" s="48">
        <f>IF(t&lt;Tnet,'2023'!Resal+('2023'!Salim-'2023'!Resal)*(1-EXP(('2023'!Tnet-t)/('2023'!Tau_j))),Resal+(Salim-Resal)*(1-EXP((Tnet-t)/(Tau_j))))*Salcycl</f>
        <v>9.6522210049340043E-2</v>
      </c>
      <c r="P207" s="169">
        <f>(INDEX(Models!$BJ207:$BT207,,T207)*(1-R207)+INDEX(Models!$BJ207:$BT207,,T207+1)*R207-ERP_i)*Q207*Ramure*Pc/MaxiM</f>
        <v>8.383348256540064E-3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0.67234501069584196</v>
      </c>
      <c r="S207" s="80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1.672345010695842</v>
      </c>
      <c r="V207" s="383">
        <f t="shared" ref="V207:V270" si="85">MaxiM*(1-Ppv)*(1-Pvg)*(1-Psa)</f>
        <v>49.75815101027063</v>
      </c>
      <c r="W207" s="402">
        <f t="shared" ref="W207:W270" si="86">Wh*(A207&gt;Tmaj)</f>
        <v>47.063704208121408</v>
      </c>
      <c r="X207" s="157">
        <f t="shared" ref="X207:X270" si="87">t</f>
        <v>45484</v>
      </c>
      <c r="Y207" s="385">
        <f t="shared" ref="Y207:Y270" si="88">Wh_pvt_s*(1-Ppv)</f>
        <v>43.384179532167913</v>
      </c>
      <c r="Z207" s="385">
        <f t="shared" ref="Z207:Z270" si="89">Wh_sa_s*(1-Psa_s)</f>
        <v>46.668673271721175</v>
      </c>
      <c r="AA207" s="386">
        <f t="shared" ref="AA207:AA270" si="90">Wh_hp*(1-Pvg_s*MEDIAN((-Sdif+Wh/Env_an)/Csdif,0,1))</f>
        <v>55.652246130236598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0.16142336532998494</v>
      </c>
      <c r="AD207" s="231">
        <f>(INDEX(Models!$BJ207:$BT207,,AH207)*(1-AF207)+INDEX(Models!$BJ207:$BT207,,AH207+1)*AF207-ERP_i)*AE207*Ramure*Pc/MaxiM</f>
        <v>1.5737568290955153E-2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0.87306175786074558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2.8730617578607456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IF(t&gt;Tmaj,'2023'!Wh/'2023'!Env_an*'2024'!Env_an,0.001*[9]mois!$B$152)</f>
        <v>46.751466170018475</v>
      </c>
      <c r="C208" s="839"/>
      <c r="D208" s="393">
        <f t="shared" si="77"/>
        <v>50.292084622233432</v>
      </c>
      <c r="E208" s="385">
        <f t="shared" si="75"/>
        <v>55.673514089648606</v>
      </c>
      <c r="F208" s="385">
        <f t="shared" si="78"/>
        <v>56.103778476014043</v>
      </c>
      <c r="G208" s="110">
        <f t="shared" si="76"/>
        <v>0.9413182677544838</v>
      </c>
      <c r="H208" s="414" t="b">
        <f>Wh_hp&gt;='2023'!Maxi_hp</f>
        <v>0</v>
      </c>
      <c r="I208" s="390">
        <f>IF(H208,Wh_hp,'2023'!Maxi_hp)</f>
        <v>56.133262205738227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7.0401107426946857E-2</v>
      </c>
      <c r="M208" s="843"/>
      <c r="N208" s="843"/>
      <c r="O208" s="48">
        <f>IF(t&lt;Tnet,'2023'!Resal+('2023'!Salim-'2023'!Resal)*(1-EXP(('2023'!Tnet-t)/('2023'!Tau_j))),Resal+(Salim-Resal)*(1-EXP((Tnet-t)/(Tau_j))))*Salcycl</f>
        <v>9.6660495666749058E-2</v>
      </c>
      <c r="P208" s="169">
        <f>(INDEX(Models!$BJ208:$BT208,,T208)*(1-R208)+INDEX(Models!$BJ208:$BT208,,T208+1)*R208-ERP_i)*Q208*Ramure*Pc/MaxiM</f>
        <v>8.3622350031969089E-3</v>
      </c>
      <c r="Q208" s="305">
        <f t="shared" si="80"/>
        <v>0.8</v>
      </c>
      <c r="R208" s="177">
        <f t="shared" si="81"/>
        <v>0.67641734175665658</v>
      </c>
      <c r="S208" s="809">
        <f t="shared" si="82"/>
        <v>1</v>
      </c>
      <c r="T208" s="176">
        <f t="shared" si="83"/>
        <v>7</v>
      </c>
      <c r="U208" s="251">
        <f t="shared" si="84"/>
        <v>1.6764173417566566</v>
      </c>
      <c r="V208" s="383">
        <f t="shared" si="85"/>
        <v>49.631257918069956</v>
      </c>
      <c r="W208" s="402">
        <f t="shared" si="86"/>
        <v>46.751466170018475</v>
      </c>
      <c r="X208" s="157">
        <f t="shared" si="87"/>
        <v>45485</v>
      </c>
      <c r="Y208" s="385">
        <f t="shared" si="88"/>
        <v>43.103304904073042</v>
      </c>
      <c r="Z208" s="385">
        <f t="shared" si="89"/>
        <v>46.367637965624773</v>
      </c>
      <c r="AA208" s="386">
        <f t="shared" si="90"/>
        <v>55.296853921931842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0.16147782962324311</v>
      </c>
      <c r="AD208" s="231">
        <f>(INDEX(Models!$BJ208:$BT208,,AH208)*(1-AF208)+INDEX(Models!$BJ208:$BT208,,AH208+1)*AF208-ERP_i)*AE208*Ramure*Pc/MaxiM</f>
        <v>1.568266620457464E-2</v>
      </c>
      <c r="AE208" s="305">
        <f t="shared" si="92"/>
        <v>0.8</v>
      </c>
      <c r="AF208" s="177">
        <f t="shared" si="93"/>
        <v>0.8771340889215602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2.8771340889215602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IF(t&gt;Tmaj,'2023'!Wh/'2023'!Env_an*'2024'!Env_an,0.001*[9]mois!$B$153)</f>
        <v>46.079449655922026</v>
      </c>
      <c r="C209" s="839"/>
      <c r="D209" s="393">
        <f t="shared" si="77"/>
        <v>49.570354202175274</v>
      </c>
      <c r="E209" s="385">
        <f t="shared" si="75"/>
        <v>54.88289069845159</v>
      </c>
      <c r="F209" s="385">
        <f t="shared" si="78"/>
        <v>55.298349749642171</v>
      </c>
      <c r="G209" s="110">
        <f t="shared" si="76"/>
        <v>0.93009768005287707</v>
      </c>
      <c r="H209" s="414" t="b">
        <f>Wh_hp&gt;='2023'!Maxi_hp</f>
        <v>0</v>
      </c>
      <c r="I209" s="390">
        <f>IF(H209,Wh_hp,'2023'!Maxi_hp)</f>
        <v>60.641960912358456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7.0423231837630468E-2</v>
      </c>
      <c r="M209" s="843"/>
      <c r="N209" s="843"/>
      <c r="O209" s="48">
        <f>IF(t&lt;Tnet,'2023'!Resal+('2023'!Salim-'2023'!Resal)*(1-EXP(('2023'!Tnet-t)/('2023'!Tau_j))),Resal+(Salim-Resal)*(1-EXP((Tnet-t)/(Tau_j))))*Salcycl</f>
        <v>9.6797680090604188E-2</v>
      </c>
      <c r="P209" s="169">
        <f>(INDEX(Models!$BJ209:$BT209,,T209)*(1-R209)+INDEX(Models!$BJ209:$BT209,,T209+1)*R209-ERP_i)*Q209*Ramure*Pc/MaxiM</f>
        <v>8.3363190458621925E-3</v>
      </c>
      <c r="Q209" s="305">
        <f t="shared" si="80"/>
        <v>0.8</v>
      </c>
      <c r="R209" s="177">
        <f t="shared" si="81"/>
        <v>0.68039208471441626</v>
      </c>
      <c r="S209" s="809">
        <f t="shared" si="82"/>
        <v>1</v>
      </c>
      <c r="T209" s="176">
        <f t="shared" si="83"/>
        <v>7</v>
      </c>
      <c r="U209" s="251">
        <f t="shared" si="84"/>
        <v>1.6803920847144163</v>
      </c>
      <c r="V209" s="383">
        <f t="shared" si="85"/>
        <v>49.501495925762185</v>
      </c>
      <c r="W209" s="402">
        <f t="shared" si="86"/>
        <v>46.079449655922026</v>
      </c>
      <c r="X209" s="157">
        <f t="shared" si="87"/>
        <v>45486</v>
      </c>
      <c r="Y209" s="385">
        <f t="shared" si="88"/>
        <v>42.493736508197621</v>
      </c>
      <c r="Z209" s="385">
        <f t="shared" si="89"/>
        <v>45.712993228306694</v>
      </c>
      <c r="AA209" s="386">
        <f t="shared" si="90"/>
        <v>54.519576793429707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0.16153066628690924</v>
      </c>
      <c r="AD209" s="231">
        <f>(INDEX(Models!$BJ209:$BT209,,AH209)*(1-AF209)+INDEX(Models!$BJ209:$BT209,,AH209+1)*AF209-ERP_i)*AE209*Ramure*Pc/MaxiM</f>
        <v>1.5626329017678044E-2</v>
      </c>
      <c r="AE209" s="305">
        <f t="shared" si="92"/>
        <v>0.8</v>
      </c>
      <c r="AF209" s="177">
        <f t="shared" si="93"/>
        <v>0.88110883187931988</v>
      </c>
      <c r="AG209" s="809">
        <f t="shared" si="99"/>
        <v>2</v>
      </c>
      <c r="AH209" s="176">
        <f t="shared" si="94"/>
        <v>8</v>
      </c>
      <c r="AI209" s="225">
        <f t="shared" si="95"/>
        <v>2.8811088318793199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IF(t&gt;Tmaj,'2023'!Wh/'2023'!Env_an*'2024'!Env_an,0.001*[9]mois!$B$154)</f>
        <v>44.545321660134832</v>
      </c>
      <c r="C210" s="839"/>
      <c r="D210" s="393">
        <f t="shared" si="77"/>
        <v>47.921143673358159</v>
      </c>
      <c r="E210" s="385">
        <f t="shared" si="75"/>
        <v>53.064929417858941</v>
      </c>
      <c r="F210" s="385">
        <f t="shared" si="78"/>
        <v>53.446873182666714</v>
      </c>
      <c r="G210" s="110">
        <f t="shared" si="76"/>
        <v>0.90123721801653001</v>
      </c>
      <c r="H210" s="414" t="b">
        <f>Wh_hp&gt;='2023'!Maxi_hp</f>
        <v>0</v>
      </c>
      <c r="I210" s="390">
        <f>IF(H210,Wh_hp,'2023'!Maxi_hp)</f>
        <v>61.822480130513313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7.0445355733446818E-2</v>
      </c>
      <c r="M210" s="843"/>
      <c r="N210" s="843"/>
      <c r="O210" s="48">
        <f>IF(t&lt;Tnet,'2023'!Resal+('2023'!Salim-'2023'!Resal)*(1-EXP(('2023'!Tnet-t)/('2023'!Tau_j))),Resal+(Salim-Resal)*(1-EXP((Tnet-t)/(Tau_j))))*Salcycl</f>
        <v>9.6933809220702466E-2</v>
      </c>
      <c r="P210" s="169">
        <f>(INDEX(Models!$BJ210:$BT210,,T210)*(1-R210)+INDEX(Models!$BJ210:$BT210,,T210+1)*R210-ERP_i)*Q210*Ramure*Pc/MaxiM</f>
        <v>8.3055602668167718E-3</v>
      </c>
      <c r="Q210" s="305">
        <f t="shared" si="80"/>
        <v>0.8</v>
      </c>
      <c r="R210" s="177">
        <f t="shared" si="81"/>
        <v>0.6842694700005989</v>
      </c>
      <c r="S210" s="809">
        <f t="shared" si="82"/>
        <v>1</v>
      </c>
      <c r="T210" s="176">
        <f t="shared" si="83"/>
        <v>7</v>
      </c>
      <c r="U210" s="251">
        <f t="shared" si="84"/>
        <v>1.6842694700005989</v>
      </c>
      <c r="V210" s="383">
        <f t="shared" si="85"/>
        <v>49.369141022265282</v>
      </c>
      <c r="W210" s="402">
        <f t="shared" si="86"/>
        <v>44.545321660134832</v>
      </c>
      <c r="X210" s="157">
        <f t="shared" si="87"/>
        <v>45487</v>
      </c>
      <c r="Y210" s="385">
        <f t="shared" si="88"/>
        <v>41.096131901023114</v>
      </c>
      <c r="Z210" s="385">
        <f t="shared" si="89"/>
        <v>44.210560567366329</v>
      </c>
      <c r="AA210" s="386">
        <f t="shared" si="90"/>
        <v>52.730926918905027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0.16158195672611989</v>
      </c>
      <c r="AD210" s="231">
        <f>(INDEX(Models!$BJ210:$BT210,,AH210)*(1-AF210)+INDEX(Models!$BJ210:$BT210,,AH210+1)*AF210-ERP_i)*AE210*Ramure*Pc/MaxiM</f>
        <v>1.5568613469754203E-2</v>
      </c>
      <c r="AE210" s="305">
        <f t="shared" si="92"/>
        <v>0.8</v>
      </c>
      <c r="AF210" s="177">
        <f t="shared" si="93"/>
        <v>0.88498621716550252</v>
      </c>
      <c r="AG210" s="809">
        <f t="shared" si="99"/>
        <v>2</v>
      </c>
      <c r="AH210" s="176">
        <f t="shared" si="94"/>
        <v>8</v>
      </c>
      <c r="AI210" s="225">
        <f t="shared" si="95"/>
        <v>2.8849862171655025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IF(t&gt;Tmaj,'2023'!Wh/'2023'!Env_an*'2024'!Env_an,0.001*[9]mois!$B$155)</f>
        <v>46.176258478545044</v>
      </c>
      <c r="C211" s="839"/>
      <c r="D211" s="393">
        <f t="shared" si="77"/>
        <v>49.676861692317765</v>
      </c>
      <c r="E211" s="385">
        <f t="shared" si="75"/>
        <v>55.017335511907469</v>
      </c>
      <c r="F211" s="385">
        <f t="shared" si="78"/>
        <v>55.435098808823525</v>
      </c>
      <c r="G211" s="110">
        <f t="shared" si="76"/>
        <v>0.93719128505285842</v>
      </c>
      <c r="H211" s="414" t="b">
        <f>Wh_hp&gt;='2023'!Maxi_hp</f>
        <v>0</v>
      </c>
      <c r="I211" s="390">
        <f>IF(H211,Wh_hp,'2023'!Maxi_hp)</f>
        <v>59.884372222442117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7.0467479114407677E-2</v>
      </c>
      <c r="M211" s="843"/>
      <c r="N211" s="843"/>
      <c r="O211" s="48">
        <f>IF(t&lt;Tnet,'2023'!Resal+('2023'!Salim-'2023'!Resal)*(1-EXP(('2023'!Tnet-t)/('2023'!Tau_j))),Resal+(Salim-Resal)*(1-EXP((Tnet-t)/(Tau_j))))*Salcycl</f>
        <v>9.706892872763466E-2</v>
      </c>
      <c r="P211" s="169">
        <f>(INDEX(Models!$BJ211:$BT211,,T211)*(1-R211)+INDEX(Models!$BJ211:$BT211,,T211+1)*R211-ERP_i)*Q211*Ramure*Pc/MaxiM</f>
        <v>8.269919151243893E-3</v>
      </c>
      <c r="Q211" s="305">
        <f t="shared" si="80"/>
        <v>0.8</v>
      </c>
      <c r="R211" s="177">
        <f t="shared" si="81"/>
        <v>0.68804987723420874</v>
      </c>
      <c r="S211" s="809">
        <f t="shared" si="82"/>
        <v>1</v>
      </c>
      <c r="T211" s="176">
        <f t="shared" si="83"/>
        <v>7</v>
      </c>
      <c r="U211" s="251">
        <f t="shared" si="84"/>
        <v>1.6880498772342087</v>
      </c>
      <c r="V211" s="383">
        <f t="shared" si="85"/>
        <v>49.234468913860191</v>
      </c>
      <c r="W211" s="402">
        <f t="shared" si="86"/>
        <v>46.176258478545044</v>
      </c>
      <c r="X211" s="157">
        <f t="shared" si="87"/>
        <v>45488</v>
      </c>
      <c r="Y211" s="385">
        <f t="shared" si="88"/>
        <v>42.589487285871257</v>
      </c>
      <c r="Z211" s="385">
        <f t="shared" si="89"/>
        <v>45.81817884681972</v>
      </c>
      <c r="AA211" s="386">
        <f t="shared" si="90"/>
        <v>54.651617082844332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0.16163178159274469</v>
      </c>
      <c r="AD211" s="231">
        <f>(INDEX(Models!$BJ211:$BT211,,AH211)*(1-AF211)+INDEX(Models!$BJ211:$BT211,,AH211+1)*AF211-ERP_i)*AE211*Ramure*Pc/MaxiM</f>
        <v>1.5509573431068778E-2</v>
      </c>
      <c r="AE211" s="305">
        <f t="shared" si="92"/>
        <v>0.8</v>
      </c>
      <c r="AF211" s="177">
        <f t="shared" si="93"/>
        <v>0.88876662439911236</v>
      </c>
      <c r="AG211" s="809">
        <f t="shared" si="99"/>
        <v>2</v>
      </c>
      <c r="AH211" s="176">
        <f t="shared" si="94"/>
        <v>8</v>
      </c>
      <c r="AI211" s="225">
        <f t="shared" si="95"/>
        <v>2.8887666243991124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IF(t&gt;Tmaj,'2023'!Wh/'2023'!Env_an*'2024'!Env_an,0.001*[9]mois!$B$156)</f>
        <v>45.606388875831506</v>
      </c>
      <c r="C212" s="839"/>
      <c r="D212" s="393">
        <f t="shared" si="77"/>
        <v>49.064958254373373</v>
      </c>
      <c r="E212" s="385">
        <f t="shared" si="75"/>
        <v>54.34772469180168</v>
      </c>
      <c r="F212" s="385">
        <f t="shared" si="78"/>
        <v>54.752463024526072</v>
      </c>
      <c r="G212" s="110">
        <f t="shared" si="76"/>
        <v>0.92810602889174354</v>
      </c>
      <c r="H212" s="414" t="b">
        <f>Wh_hp&gt;='2023'!Maxi_hp</f>
        <v>0</v>
      </c>
      <c r="I212" s="390">
        <f>IF(H212,Wh_hp,'2023'!Maxi_hp)</f>
        <v>59.284108427339568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7.0489601980525257E-2</v>
      </c>
      <c r="M212" s="843"/>
      <c r="N212" s="843"/>
      <c r="O212" s="48">
        <f>IF(t&lt;Tnet,'2023'!Resal+('2023'!Salim-'2023'!Resal)*(1-EXP(('2023'!Tnet-t)/('2023'!Tau_j))),Resal+(Salim-Resal)*(1-EXP((Tnet-t)/(Tau_j))))*Salcycl</f>
        <v>9.7203083797640796E-2</v>
      </c>
      <c r="P212" s="169">
        <f>(INDEX(Models!$BJ212:$BT212,,T212)*(1-R212)+INDEX(Models!$BJ212:$BT212,,T212+1)*R212-ERP_i)*Q212*Ramure*Pc/MaxiM</f>
        <v>8.2280181991821032E-3</v>
      </c>
      <c r="Q212" s="305">
        <f t="shared" si="80"/>
        <v>0.8</v>
      </c>
      <c r="R212" s="177">
        <f t="shared" si="81"/>
        <v>0.69173382691410024</v>
      </c>
      <c r="S212" s="809">
        <f t="shared" si="82"/>
        <v>1</v>
      </c>
      <c r="T212" s="176">
        <f t="shared" si="83"/>
        <v>7</v>
      </c>
      <c r="U212" s="251">
        <f t="shared" si="84"/>
        <v>1.6917338269141002</v>
      </c>
      <c r="V212" s="383">
        <f t="shared" si="85"/>
        <v>49.097821326605114</v>
      </c>
      <c r="W212" s="402">
        <f t="shared" si="86"/>
        <v>45.606388875831506</v>
      </c>
      <c r="X212" s="157">
        <f t="shared" si="87"/>
        <v>45489</v>
      </c>
      <c r="Y212" s="385">
        <f t="shared" si="88"/>
        <v>42.07200124710392</v>
      </c>
      <c r="Z212" s="385">
        <f t="shared" si="89"/>
        <v>45.262539651786057</v>
      </c>
      <c r="AA212" s="386">
        <f t="shared" si="90"/>
        <v>53.991973888042217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0.16168022036678123</v>
      </c>
      <c r="AD212" s="231">
        <f>(INDEX(Models!$BJ212:$BT212,,AH212)*(1-AF212)+INDEX(Models!$BJ212:$BT212,,AH212+1)*AF212-ERP_i)*AE212*Ramure*Pc/MaxiM</f>
        <v>1.5460157710167887E-2</v>
      </c>
      <c r="AE212" s="305">
        <f t="shared" si="92"/>
        <v>0.8</v>
      </c>
      <c r="AF212" s="177">
        <f t="shared" si="93"/>
        <v>0.89245057407900408</v>
      </c>
      <c r="AG212" s="809">
        <f t="shared" si="99"/>
        <v>2</v>
      </c>
      <c r="AH212" s="176">
        <f t="shared" si="94"/>
        <v>8</v>
      </c>
      <c r="AI212" s="225">
        <f t="shared" si="95"/>
        <v>2.8924505740790041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IF(t&gt;Tmaj,'2023'!Wh/'2023'!Env_an*'2024'!Env_an,0.001*[9]mois!$B$157)</f>
        <v>45.69320504318695</v>
      </c>
      <c r="C213" s="839"/>
      <c r="D213" s="393">
        <f t="shared" si="77"/>
        <v>49.159528139652011</v>
      </c>
      <c r="E213" s="385">
        <f t="shared" si="75"/>
        <v>54.460514107721849</v>
      </c>
      <c r="F213" s="385">
        <f t="shared" si="78"/>
        <v>54.866618662614506</v>
      </c>
      <c r="G213" s="110">
        <f t="shared" si="76"/>
        <v>0.93255464170940083</v>
      </c>
      <c r="H213" s="414" t="b">
        <f>Wh_hp&gt;='2023'!Maxi_hp</f>
        <v>0</v>
      </c>
      <c r="I213" s="390">
        <f>IF(H213,Wh_hp,'2023'!Maxi_hp)</f>
        <v>54.898695193030804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7.0511724331811326E-2</v>
      </c>
      <c r="M213" s="843"/>
      <c r="N213" s="843"/>
      <c r="O213" s="48">
        <f>IF(t&lt;Tnet,'2023'!Resal+('2023'!Salim-'2023'!Resal)*(1-EXP(('2023'!Tnet-t)/('2023'!Tau_j))),Resal+(Salim-Resal)*(1-EXP((Tnet-t)/(Tau_j))))*Salcycl</f>
        <v>9.7336318889399184E-2</v>
      </c>
      <c r="P213" s="169">
        <f>(INDEX(Models!$BJ213:$BT213,,T213)*(1-R213)+INDEX(Models!$BJ213:$BT213,,T213+1)*R213-ERP_i)*Q213*Ramure*Pc/MaxiM</f>
        <v>8.181380811671031E-3</v>
      </c>
      <c r="Q213" s="305">
        <f t="shared" si="80"/>
        <v>0.8</v>
      </c>
      <c r="R213" s="177">
        <f t="shared" si="81"/>
        <v>0.69532197201364876</v>
      </c>
      <c r="S213" s="809">
        <f t="shared" si="82"/>
        <v>1</v>
      </c>
      <c r="T213" s="176">
        <f t="shared" si="83"/>
        <v>7</v>
      </c>
      <c r="U213" s="251">
        <f t="shared" si="84"/>
        <v>1.6953219720136488</v>
      </c>
      <c r="V213" s="383">
        <f t="shared" si="85"/>
        <v>48.959395839697159</v>
      </c>
      <c r="W213" s="402">
        <f t="shared" si="86"/>
        <v>45.69320504318695</v>
      </c>
      <c r="X213" s="157">
        <f t="shared" si="87"/>
        <v>45490</v>
      </c>
      <c r="Y213" s="385">
        <f t="shared" si="88"/>
        <v>42.153603903995119</v>
      </c>
      <c r="Z213" s="385">
        <f t="shared" si="89"/>
        <v>45.351410025792759</v>
      </c>
      <c r="AA213" s="386">
        <f t="shared" si="90"/>
        <v>54.101025576515603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0.16172735096025445</v>
      </c>
      <c r="AD213" s="231">
        <f>(INDEX(Models!$BJ213:$BT213,,AH213)*(1-AF213)+INDEX(Models!$BJ213:$BT213,,AH213+1)*AF213-ERP_i)*AE213*Ramure*Pc/MaxiM</f>
        <v>1.5423635388214736E-2</v>
      </c>
      <c r="AE213" s="305">
        <f t="shared" si="92"/>
        <v>0.8</v>
      </c>
      <c r="AF213" s="177">
        <f t="shared" si="93"/>
        <v>0.89603871917855216</v>
      </c>
      <c r="AG213" s="809">
        <f t="shared" si="99"/>
        <v>2</v>
      </c>
      <c r="AH213" s="176">
        <f t="shared" si="94"/>
        <v>8</v>
      </c>
      <c r="AI213" s="225">
        <f t="shared" si="95"/>
        <v>2.8960387191785522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IF(t&gt;Tmaj,'2023'!Wh/'2023'!Env_an*'2024'!Env_an,0.001*[9]mois!$B$158)</f>
        <v>38.855425764229651</v>
      </c>
      <c r="C214" s="839"/>
      <c r="D214" s="393">
        <f t="shared" si="77"/>
        <v>41.804024389751312</v>
      </c>
      <c r="E214" s="385">
        <f t="shared" si="75"/>
        <v>46.318641079572814</v>
      </c>
      <c r="F214" s="385">
        <f t="shared" si="78"/>
        <v>46.586958993810669</v>
      </c>
      <c r="G214" s="110">
        <f t="shared" si="76"/>
        <v>0.7940026550206607</v>
      </c>
      <c r="H214" s="414" t="b">
        <f>Wh_hp&gt;='2023'!Maxi_hp</f>
        <v>0</v>
      </c>
      <c r="I214" s="390">
        <f>IF(H214,Wh_hp,'2023'!Maxi_hp)</f>
        <v>58.756624023834831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7.0533846168277986E-2</v>
      </c>
      <c r="M214" s="843"/>
      <c r="N214" s="843"/>
      <c r="O214" s="48">
        <f>IF(t&lt;Tnet,'2023'!Resal+('2023'!Salim-'2023'!Resal)*(1-EXP(('2023'!Tnet-t)/('2023'!Tau_j))),Resal+(Salim-Resal)*(1-EXP((Tnet-t)/(Tau_j))))*Salcycl</f>
        <v>9.7468677504282702E-2</v>
      </c>
      <c r="P214" s="169">
        <f>(INDEX(Models!$BJ214:$BT214,,T214)*(1-R214)+INDEX(Models!$BJ214:$BT214,,T214+1)*R214-ERP_i)*Q214*Ramure*Pc/MaxiM</f>
        <v>8.1299716386256573E-3</v>
      </c>
      <c r="Q214" s="305">
        <f t="shared" si="80"/>
        <v>0.8</v>
      </c>
      <c r="R214" s="177">
        <f t="shared" si="81"/>
        <v>0.6988150895323253</v>
      </c>
      <c r="S214" s="809">
        <f t="shared" si="82"/>
        <v>1</v>
      </c>
      <c r="T214" s="176">
        <f t="shared" si="83"/>
        <v>7</v>
      </c>
      <c r="U214" s="251">
        <f t="shared" si="84"/>
        <v>1.6988150895323253</v>
      </c>
      <c r="V214" s="383">
        <f t="shared" si="85"/>
        <v>48.819467478743391</v>
      </c>
      <c r="W214" s="402">
        <f t="shared" si="86"/>
        <v>38.855425764229651</v>
      </c>
      <c r="X214" s="157">
        <f t="shared" si="87"/>
        <v>45491</v>
      </c>
      <c r="Y214" s="385">
        <f t="shared" si="88"/>
        <v>35.900066565228329</v>
      </c>
      <c r="Z214" s="385">
        <f t="shared" si="89"/>
        <v>38.624393601886837</v>
      </c>
      <c r="AA214" s="386">
        <f t="shared" si="90"/>
        <v>46.078693589473723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0.16177324934597878</v>
      </c>
      <c r="AD214" s="231">
        <f>(INDEX(Models!$BJ214:$BT214,,AH214)*(1-AF214)+INDEX(Models!$BJ214:$BT214,,AH214+1)*AF214-ERP_i)*AE214*Ramure*Pc/MaxiM</f>
        <v>1.5400325892854737E-2</v>
      </c>
      <c r="AE214" s="305">
        <f t="shared" si="92"/>
        <v>0.8</v>
      </c>
      <c r="AF214" s="177">
        <f t="shared" si="93"/>
        <v>0.89953183669722891</v>
      </c>
      <c r="AG214" s="809">
        <f t="shared" si="99"/>
        <v>2</v>
      </c>
      <c r="AH214" s="176">
        <f t="shared" si="94"/>
        <v>8</v>
      </c>
      <c r="AI214" s="225">
        <f t="shared" si="95"/>
        <v>2.8995318366972289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IF(t&gt;Tmaj,'2023'!Wh/'2023'!Env_an*'2024'!Env_an,0.001*[9]mois!$B$159)</f>
        <v>37.483235877059116</v>
      </c>
      <c r="C215" s="839"/>
      <c r="D215" s="393">
        <f t="shared" si="77"/>
        <v>40.328663766694632</v>
      </c>
      <c r="E215" s="385">
        <f t="shared" si="75"/>
        <v>44.69046187155665</v>
      </c>
      <c r="F215" s="385">
        <f t="shared" si="78"/>
        <v>44.934057110217253</v>
      </c>
      <c r="G215" s="110">
        <f t="shared" si="76"/>
        <v>0.76796556067568633</v>
      </c>
      <c r="H215" s="414" t="b">
        <f>Wh_hp&gt;='2023'!Maxi_hp</f>
        <v>0</v>
      </c>
      <c r="I215" s="390">
        <f>IF(H215,Wh_hp,'2023'!Maxi_hp)</f>
        <v>56.850317250869089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7.0555967489937227E-2</v>
      </c>
      <c r="M215" s="843"/>
      <c r="N215" s="843"/>
      <c r="O215" s="48">
        <f>IF(t&lt;Tnet,'2023'!Resal+('2023'!Salim-'2023'!Resal)*(1-EXP(('2023'!Tnet-t)/('2023'!Tau_j))),Resal+(Salim-Resal)*(1-EXP((Tnet-t)/(Tau_j))))*Salcycl</f>
        <v>9.7600201971465655E-2</v>
      </c>
      <c r="P215" s="169">
        <f>(INDEX(Models!$BJ215:$BT215,,T215)*(1-R215)+INDEX(Models!$BJ215:$BT215,,T215+1)*R215-ERP_i)*Q215*Ramure*Pc/MaxiM</f>
        <v>8.0737550974316376E-3</v>
      </c>
      <c r="Q215" s="305">
        <f t="shared" si="80"/>
        <v>0.8</v>
      </c>
      <c r="R215" s="177">
        <f t="shared" si="81"/>
        <v>0.70221407205484754</v>
      </c>
      <c r="S215" s="809">
        <f t="shared" si="82"/>
        <v>1</v>
      </c>
      <c r="T215" s="176">
        <f t="shared" si="83"/>
        <v>7</v>
      </c>
      <c r="U215" s="251">
        <f t="shared" si="84"/>
        <v>1.7022140720548475</v>
      </c>
      <c r="V215" s="383">
        <f t="shared" si="85"/>
        <v>48.678311152180456</v>
      </c>
      <c r="W215" s="402">
        <f t="shared" si="86"/>
        <v>37.483235877059116</v>
      </c>
      <c r="X215" s="157">
        <f t="shared" si="87"/>
        <v>45492</v>
      </c>
      <c r="Y215" s="385">
        <f t="shared" si="88"/>
        <v>34.64382464619289</v>
      </c>
      <c r="Z215" s="385">
        <f t="shared" si="89"/>
        <v>37.273707113524139</v>
      </c>
      <c r="AA215" s="386">
        <f t="shared" si="90"/>
        <v>44.469705426556104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0.16181798921327484</v>
      </c>
      <c r="AD215" s="231">
        <f>(INDEX(Models!$BJ215:$BT215,,AH215)*(1-AF215)+INDEX(Models!$BJ215:$BT215,,AH215+1)*AF215-ERP_i)*AE215*Ramure*Pc/MaxiM</f>
        <v>1.5390537982491403E-2</v>
      </c>
      <c r="AE215" s="305">
        <f t="shared" si="92"/>
        <v>0.8</v>
      </c>
      <c r="AF215" s="177">
        <f t="shared" si="93"/>
        <v>0.90293081921975116</v>
      </c>
      <c r="AG215" s="809">
        <f t="shared" si="99"/>
        <v>2</v>
      </c>
      <c r="AH215" s="176">
        <f t="shared" si="94"/>
        <v>8</v>
      </c>
      <c r="AI215" s="225">
        <f t="shared" si="95"/>
        <v>2.9029308192197512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IF(t&gt;Tmaj,'2023'!Wh/'2023'!Env_an*'2024'!Env_an,0.001*[9]mois!$B$160)</f>
        <v>44.415426801184736</v>
      </c>
      <c r="C216" s="839"/>
      <c r="D216" s="393">
        <f t="shared" si="77"/>
        <v>47.788228620295676</v>
      </c>
      <c r="E216" s="385">
        <f t="shared" si="75"/>
        <v>52.96449848644685</v>
      </c>
      <c r="F216" s="385">
        <f t="shared" si="78"/>
        <v>53.340058244556218</v>
      </c>
      <c r="G216" s="110">
        <f t="shared" si="76"/>
        <v>0.91420330820079043</v>
      </c>
      <c r="H216" s="414" t="b">
        <f>Wh_hp&gt;='2023'!Maxi_hp</f>
        <v>0</v>
      </c>
      <c r="I216" s="390">
        <f>IF(H216,Wh_hp,'2023'!Maxi_hp)</f>
        <v>53.378703386572745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7.0578088296801039E-2</v>
      </c>
      <c r="M216" s="843"/>
      <c r="N216" s="843"/>
      <c r="O216" s="48">
        <f>IF(t&lt;Tnet,'2023'!Resal+('2023'!Salim-'2023'!Resal)*(1-EXP(('2023'!Tnet-t)/('2023'!Tau_j))),Resal+(Salim-Resal)*(1-EXP((Tnet-t)/(Tau_j))))*Salcycl</f>
        <v>9.7730933249103411E-2</v>
      </c>
      <c r="P216" s="169">
        <f>(INDEX(Models!$BJ216:$BT216,,T216)*(1-R216)+INDEX(Models!$BJ216:$BT216,,T216+1)*R216-ERP_i)*Q216*Ramure*Pc/MaxiM</f>
        <v>8.012695247863369E-3</v>
      </c>
      <c r="Q216" s="305">
        <f t="shared" si="80"/>
        <v>0.8</v>
      </c>
      <c r="R216" s="177">
        <f t="shared" si="81"/>
        <v>0.70551991936451941</v>
      </c>
      <c r="S216" s="809">
        <f t="shared" si="82"/>
        <v>1</v>
      </c>
      <c r="T216" s="176">
        <f t="shared" si="83"/>
        <v>7</v>
      </c>
      <c r="U216" s="251">
        <f t="shared" si="84"/>
        <v>1.7055199193645194</v>
      </c>
      <c r="V216" s="383">
        <f t="shared" si="85"/>
        <v>48.5362016868607</v>
      </c>
      <c r="W216" s="402">
        <f t="shared" si="86"/>
        <v>44.415426801184736</v>
      </c>
      <c r="X216" s="157">
        <f t="shared" si="87"/>
        <v>45493</v>
      </c>
      <c r="Y216" s="385">
        <f t="shared" si="88"/>
        <v>40.98898220354787</v>
      </c>
      <c r="Z216" s="385">
        <f t="shared" si="89"/>
        <v>44.101587973576059</v>
      </c>
      <c r="AA216" s="386">
        <f t="shared" si="90"/>
        <v>52.618505685058153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0.16186164165244626</v>
      </c>
      <c r="AD216" s="231">
        <f>(INDEX(Models!$BJ216:$BT216,,AH216)*(1-AF216)+INDEX(Models!$BJ216:$BT216,,AH216+1)*AF216-ERP_i)*AE216*Ramure*Pc/MaxiM</f>
        <v>1.5394569412014026E-2</v>
      </c>
      <c r="AE216" s="305">
        <f t="shared" si="92"/>
        <v>0.8</v>
      </c>
      <c r="AF216" s="177">
        <f t="shared" si="93"/>
        <v>0.90623666652942303</v>
      </c>
      <c r="AG216" s="809">
        <f t="shared" si="99"/>
        <v>2</v>
      </c>
      <c r="AH216" s="176">
        <f t="shared" si="94"/>
        <v>8</v>
      </c>
      <c r="AI216" s="225">
        <f t="shared" si="95"/>
        <v>2.906236666529423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IF(t&gt;Tmaj,'2023'!Wh/'2023'!Env_an*'2024'!Env_an,0.001*[9]mois!$B$161)</f>
        <v>33.681177252401717</v>
      </c>
      <c r="C217" s="839"/>
      <c r="D217" s="393">
        <f t="shared" si="77"/>
        <v>36.239708211321187</v>
      </c>
      <c r="E217" s="385">
        <f t="shared" si="75"/>
        <v>40.170865715566578</v>
      </c>
      <c r="F217" s="385">
        <f t="shared" si="78"/>
        <v>40.352267047055442</v>
      </c>
      <c r="G217" s="110">
        <f t="shared" si="76"/>
        <v>0.69357388510626572</v>
      </c>
      <c r="H217" s="414" t="b">
        <f>Wh_hp&gt;='2023'!Maxi_hp</f>
        <v>0</v>
      </c>
      <c r="I217" s="390">
        <f>IF(H217,Wh_hp,'2023'!Maxi_hp)</f>
        <v>52.403107161067176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7.0600208588881302E-2</v>
      </c>
      <c r="M217" s="843"/>
      <c r="N217" s="843"/>
      <c r="O217" s="48">
        <f>IF(t&lt;Tnet,'2023'!Resal+('2023'!Salim-'2023'!Resal)*(1-EXP(('2023'!Tnet-t)/('2023'!Tau_j))),Resal+(Salim-Resal)*(1-EXP((Tnet-t)/(Tau_j))))*Salcycl</f>
        <v>9.7860910742633769E-2</v>
      </c>
      <c r="P217" s="169">
        <f>(INDEX(Models!$BJ217:$BT217,,T217)*(1-R217)+INDEX(Models!$BJ217:$BT217,,T217+1)*R217-ERP_i)*Q217*Ramure*Pc/MaxiM</f>
        <v>7.9467557019539791E-3</v>
      </c>
      <c r="Q217" s="305">
        <f t="shared" si="80"/>
        <v>0.8</v>
      </c>
      <c r="R217" s="177">
        <f t="shared" si="81"/>
        <v>0.70873373015325436</v>
      </c>
      <c r="S217" s="809">
        <f t="shared" si="82"/>
        <v>1</v>
      </c>
      <c r="T217" s="176">
        <f t="shared" si="83"/>
        <v>7</v>
      </c>
      <c r="U217" s="251">
        <f t="shared" si="84"/>
        <v>1.7087337301532544</v>
      </c>
      <c r="V217" s="383">
        <f t="shared" si="85"/>
        <v>48.393413854778139</v>
      </c>
      <c r="W217" s="402">
        <f t="shared" si="86"/>
        <v>33.681177252401717</v>
      </c>
      <c r="X217" s="157">
        <f t="shared" si="87"/>
        <v>45494</v>
      </c>
      <c r="Y217" s="385">
        <f t="shared" si="88"/>
        <v>31.157382225094352</v>
      </c>
      <c r="Z217" s="385">
        <f t="shared" si="89"/>
        <v>33.524197566031006</v>
      </c>
      <c r="AA217" s="386">
        <f t="shared" si="90"/>
        <v>40.00043975980428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0.16190427486952602</v>
      </c>
      <c r="AD217" s="231">
        <f>(INDEX(Models!$BJ217:$BT217,,AH217)*(1-AF217)+INDEX(Models!$BJ217:$BT217,,AH217+1)*AF217-ERP_i)*AE217*Ramure*Pc/MaxiM</f>
        <v>1.541270661090895E-2</v>
      </c>
      <c r="AE217" s="305">
        <f t="shared" si="92"/>
        <v>0.8</v>
      </c>
      <c r="AF217" s="177">
        <f t="shared" si="93"/>
        <v>0.90945047731815798</v>
      </c>
      <c r="AG217" s="809">
        <f t="shared" si="99"/>
        <v>2</v>
      </c>
      <c r="AH217" s="176">
        <f t="shared" si="94"/>
        <v>8</v>
      </c>
      <c r="AI217" s="225">
        <f t="shared" si="95"/>
        <v>2.909450477318158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IF(t&gt;Tmaj,'2023'!Wh/'2023'!Env_an*'2024'!Env_an,0.001*[9]mois!$B$162)</f>
        <v>42.554204433077871</v>
      </c>
      <c r="C218" s="839"/>
      <c r="D218" s="393">
        <f t="shared" si="77"/>
        <v>45.787848935803702</v>
      </c>
      <c r="E218" s="385">
        <f t="shared" si="75"/>
        <v>50.762028884417774</v>
      </c>
      <c r="F218" s="385">
        <f t="shared" si="78"/>
        <v>51.096592350476584</v>
      </c>
      <c r="G218" s="110">
        <f t="shared" si="76"/>
        <v>0.88076920498217182</v>
      </c>
      <c r="H218" s="414" t="b">
        <f>Wh_hp&gt;='2023'!Maxi_hp</f>
        <v>0</v>
      </c>
      <c r="I218" s="390">
        <f>IF(H218,Wh_hp,'2023'!Maxi_hp)</f>
        <v>54.77401411835254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7.0622328366190007E-2</v>
      </c>
      <c r="M218" s="843"/>
      <c r="N218" s="843"/>
      <c r="O218" s="48">
        <f>IF(t&lt;Tnet,'2023'!Resal+('2023'!Salim-'2023'!Resal)*(1-EXP(('2023'!Tnet-t)/('2023'!Tau_j))),Resal+(Salim-Resal)*(1-EXP((Tnet-t)/(Tau_j))))*Salcycl</f>
        <v>9.7990172141070031E-2</v>
      </c>
      <c r="P218" s="169">
        <f>(INDEX(Models!$BJ218:$BT218,,T218)*(1-R218)+INDEX(Models!$BJ218:$BT218,,T218+1)*R218-ERP_i)*Q218*Ramure*Pc/MaxiM</f>
        <v>7.8758995696938776E-3</v>
      </c>
      <c r="Q218" s="305">
        <f t="shared" si="80"/>
        <v>0.8</v>
      </c>
      <c r="R218" s="177">
        <f t="shared" si="81"/>
        <v>0.71185669386661288</v>
      </c>
      <c r="S218" s="809">
        <f t="shared" si="82"/>
        <v>1</v>
      </c>
      <c r="T218" s="176">
        <f t="shared" si="83"/>
        <v>7</v>
      </c>
      <c r="U218" s="251">
        <f t="shared" si="84"/>
        <v>1.7118566938666129</v>
      </c>
      <c r="V218" s="383">
        <f t="shared" si="85"/>
        <v>48.250222398971069</v>
      </c>
      <c r="W218" s="402">
        <f t="shared" si="86"/>
        <v>42.554204433077871</v>
      </c>
      <c r="X218" s="157">
        <f t="shared" si="87"/>
        <v>45495</v>
      </c>
      <c r="Y218" s="385">
        <f t="shared" si="88"/>
        <v>39.286518638568317</v>
      </c>
      <c r="Z218" s="385">
        <f t="shared" si="89"/>
        <v>42.271855498211117</v>
      </c>
      <c r="AA218" s="386">
        <f t="shared" si="90"/>
        <v>50.440488530027181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0.16194595393248978</v>
      </c>
      <c r="AD218" s="231">
        <f>(INDEX(Models!$BJ218:$BT218,,AH218)*(1-AF218)+INDEX(Models!$BJ218:$BT218,,AH218+1)*AF218-ERP_i)*AE218*Ramure*Pc/MaxiM</f>
        <v>1.5445224363629861E-2</v>
      </c>
      <c r="AE218" s="305">
        <f t="shared" si="92"/>
        <v>0.8</v>
      </c>
      <c r="AF218" s="177">
        <f t="shared" si="93"/>
        <v>0.91257344103151627</v>
      </c>
      <c r="AG218" s="809">
        <f t="shared" si="99"/>
        <v>2</v>
      </c>
      <c r="AH218" s="176">
        <f t="shared" si="94"/>
        <v>8</v>
      </c>
      <c r="AI218" s="225">
        <f t="shared" si="95"/>
        <v>2.9125734410315163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IF(t&gt;Tmaj,'2023'!Wh/'2023'!Env_an*'2024'!Env_an,0.001*[9]mois!$B$163)</f>
        <v>44.154238943818797</v>
      </c>
      <c r="C219" s="839"/>
      <c r="D219" s="393">
        <f t="shared" si="77"/>
        <v>47.510598964151853</v>
      </c>
      <c r="E219" s="385">
        <f t="shared" si="75"/>
        <v>52.679439933491487</v>
      </c>
      <c r="F219" s="385">
        <f t="shared" si="78"/>
        <v>53.044624895229148</v>
      </c>
      <c r="G219" s="110">
        <f t="shared" si="76"/>
        <v>0.91698758787866197</v>
      </c>
      <c r="H219" s="414" t="b">
        <f>Wh_hp&gt;='2023'!Maxi_hp</f>
        <v>0</v>
      </c>
      <c r="I219" s="390">
        <f>IF(H219,Wh_hp,'2023'!Maxi_hp)</f>
        <v>54.951989772892752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7.0644447628739254E-2</v>
      </c>
      <c r="M219" s="843"/>
      <c r="N219" s="843"/>
      <c r="O219" s="48">
        <f>IF(t&lt;Tnet,'2023'!Resal+('2023'!Salim-'2023'!Resal)*(1-EXP(('2023'!Tnet-t)/('2023'!Tau_j))),Resal+(Salim-Resal)*(1-EXP((Tnet-t)/(Tau_j))))*Salcycl</f>
        <v>9.8118753271966522E-2</v>
      </c>
      <c r="P219" s="169">
        <f>(INDEX(Models!$BJ219:$BT219,,T219)*(1-R219)+INDEX(Models!$BJ219:$BT219,,T219+1)*R219-ERP_i)*Q219*Ramure*Pc/MaxiM</f>
        <v>7.8000593720150549E-3</v>
      </c>
      <c r="Q219" s="305">
        <f t="shared" si="80"/>
        <v>0.8</v>
      </c>
      <c r="R219" s="177">
        <f t="shared" si="81"/>
        <v>0.71489008271806553</v>
      </c>
      <c r="S219" s="809">
        <f t="shared" si="82"/>
        <v>1</v>
      </c>
      <c r="T219" s="176">
        <f t="shared" si="83"/>
        <v>7</v>
      </c>
      <c r="U219" s="251">
        <f t="shared" si="84"/>
        <v>1.7148900827180655</v>
      </c>
      <c r="V219" s="383">
        <f t="shared" si="85"/>
        <v>48.107011287494437</v>
      </c>
      <c r="W219" s="402">
        <f t="shared" si="86"/>
        <v>44.154238943818797</v>
      </c>
      <c r="X219" s="157">
        <f t="shared" si="87"/>
        <v>45496</v>
      </c>
      <c r="Y219" s="385">
        <f t="shared" si="88"/>
        <v>40.746914376138882</v>
      </c>
      <c r="Z219" s="385">
        <f t="shared" si="89"/>
        <v>43.844268506464168</v>
      </c>
      <c r="AA219" s="386">
        <f t="shared" si="90"/>
        <v>52.319301648317897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0.16198674054981782</v>
      </c>
      <c r="AD219" s="231">
        <f>(INDEX(Models!$BJ219:$BT219,,AH219)*(1-AF219)+INDEX(Models!$BJ219:$BT219,,AH219+1)*AF219-ERP_i)*AE219*Ramure*Pc/MaxiM</f>
        <v>1.5492325759774403E-2</v>
      </c>
      <c r="AE219" s="305">
        <f t="shared" si="92"/>
        <v>0.8</v>
      </c>
      <c r="AF219" s="177">
        <f t="shared" si="93"/>
        <v>0.91560682988296893</v>
      </c>
      <c r="AG219" s="809">
        <f t="shared" si="99"/>
        <v>2</v>
      </c>
      <c r="AH219" s="176">
        <f t="shared" si="94"/>
        <v>8</v>
      </c>
      <c r="AI219" s="225">
        <f t="shared" si="95"/>
        <v>2.9156068298829689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IF(t&gt;Tmaj,'2023'!Wh/'2023'!Env_an*'2024'!Env_an,0.001*[9]mois!$B$164)</f>
        <v>23.911621895480955</v>
      </c>
      <c r="C220" s="839"/>
      <c r="D220" s="393">
        <f t="shared" si="77"/>
        <v>25.729862964522699</v>
      </c>
      <c r="E220" s="385">
        <f t="shared" si="75"/>
        <v>28.533150498509073</v>
      </c>
      <c r="F220" s="385">
        <f t="shared" si="78"/>
        <v>28.595794879684643</v>
      </c>
      <c r="G220" s="110">
        <f t="shared" si="76"/>
        <v>0.4957732646524558</v>
      </c>
      <c r="H220" s="414" t="b">
        <f>Wh_hp&gt;='2023'!Maxi_hp</f>
        <v>0</v>
      </c>
      <c r="I220" s="390">
        <f>IF(H220,Wh_hp,'2023'!Maxi_hp)</f>
        <v>56.624993980258836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7.0666566376540924E-2</v>
      </c>
      <c r="M220" s="843"/>
      <c r="N220" s="843"/>
      <c r="O220" s="48">
        <f>IF(t&lt;Tnet,'2023'!Resal+('2023'!Salim-'2023'!Resal)*(1-EXP(('2023'!Tnet-t)/('2023'!Tau_j))),Resal+(Salim-Resal)*(1-EXP((Tnet-t)/(Tau_j))))*Salcycl</f>
        <v>9.8246687975548072E-2</v>
      </c>
      <c r="P220" s="169">
        <f>(INDEX(Models!$BJ220:$BT220,,T220)*(1-R220)+INDEX(Models!$BJ220:$BT220,,T220+1)*R220-ERP_i)*Q220*Ramure*Pc/MaxiM</f>
        <v>7.7238661537539499E-3</v>
      </c>
      <c r="Q220" s="305">
        <f t="shared" si="80"/>
        <v>0.8</v>
      </c>
      <c r="R220" s="177">
        <f t="shared" si="81"/>
        <v>0.71783524390262743</v>
      </c>
      <c r="S220" s="809">
        <f t="shared" si="82"/>
        <v>1</v>
      </c>
      <c r="T220" s="176">
        <f t="shared" si="83"/>
        <v>7</v>
      </c>
      <c r="U220" s="251">
        <f t="shared" si="84"/>
        <v>1.7178352439026274</v>
      </c>
      <c r="V220" s="383">
        <f t="shared" si="85"/>
        <v>47.963506257983106</v>
      </c>
      <c r="W220" s="402">
        <f t="shared" si="86"/>
        <v>23.911621895480955</v>
      </c>
      <c r="X220" s="157">
        <f t="shared" si="87"/>
        <v>45497</v>
      </c>
      <c r="Y220" s="385">
        <f t="shared" si="88"/>
        <v>22.170853506253785</v>
      </c>
      <c r="Z220" s="385">
        <f t="shared" si="89"/>
        <v>23.856726449418602</v>
      </c>
      <c r="AA220" s="386">
        <f t="shared" si="90"/>
        <v>28.469554157359575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0.1620266928819652</v>
      </c>
      <c r="AD220" s="231">
        <f>(INDEX(Models!$BJ220:$BT220,,AH220)*(1-AF220)+INDEX(Models!$BJ220:$BT220,,AH220+1)*AF220-ERP_i)*AE220*Ramure*Pc/MaxiM</f>
        <v>1.5565106145103518E-2</v>
      </c>
      <c r="AE220" s="305">
        <f t="shared" si="92"/>
        <v>0.8</v>
      </c>
      <c r="AF220" s="177">
        <f t="shared" si="93"/>
        <v>0.91855199106753105</v>
      </c>
      <c r="AG220" s="809">
        <f t="shared" si="99"/>
        <v>2</v>
      </c>
      <c r="AH220" s="176">
        <f t="shared" si="94"/>
        <v>8</v>
      </c>
      <c r="AI220" s="225">
        <f t="shared" si="95"/>
        <v>2.918551991067531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IF(t&gt;Tmaj,'2023'!Wh/'2023'!Env_an*'2024'!Env_an,0.001*[9]mois!$B$165)</f>
        <v>48.519281883038317</v>
      </c>
      <c r="C221" s="839"/>
      <c r="D221" s="393">
        <f t="shared" si="77"/>
        <v>52.209933398536016</v>
      </c>
      <c r="E221" s="385">
        <f t="shared" si="75"/>
        <v>57.906420025253055</v>
      </c>
      <c r="F221" s="385">
        <f t="shared" si="78"/>
        <v>58.352794111069464</v>
      </c>
      <c r="G221" s="110">
        <f t="shared" si="76"/>
        <v>1.014639607517938</v>
      </c>
      <c r="H221" s="414" t="b">
        <f>Wh_hp&gt;='2023'!Maxi_hp</f>
        <v>1</v>
      </c>
      <c r="I221" s="390">
        <f>IF(H221,Wh_hp,'2023'!Maxi_hp)</f>
        <v>58.352794111069464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7.0688684609607005E-2</v>
      </c>
      <c r="M221" s="843"/>
      <c r="N221" s="843"/>
      <c r="O221" s="48">
        <f>IF(t&lt;Tnet,'2023'!Resal+('2023'!Salim-'2023'!Resal)*(1-EXP(('2023'!Tnet-t)/('2023'!Tau_j))),Resal+(Salim-Resal)*(1-EXP((Tnet-t)/(Tau_j))))*Salcycl</f>
        <v>9.8374007998297833E-2</v>
      </c>
      <c r="P221" s="169">
        <f>(INDEX(Models!$BJ221:$BT221,,T221)*(1-R221)+INDEX(Models!$BJ221:$BT221,,T221+1)*R221-ERP_i)*Q221*Ramure*Pc/MaxiM</f>
        <v>7.6495751851534824E-3</v>
      </c>
      <c r="Q221" s="305">
        <f t="shared" si="80"/>
        <v>0.8</v>
      </c>
      <c r="R221" s="177">
        <f t="shared" si="81"/>
        <v>0.72069359203605821</v>
      </c>
      <c r="S221" s="809">
        <f t="shared" si="82"/>
        <v>1</v>
      </c>
      <c r="T221" s="176">
        <f t="shared" si="83"/>
        <v>7</v>
      </c>
      <c r="U221" s="251">
        <f t="shared" si="84"/>
        <v>1.7206935920360582</v>
      </c>
      <c r="V221" s="383">
        <f t="shared" si="85"/>
        <v>47.819227165523927</v>
      </c>
      <c r="W221" s="402">
        <f t="shared" si="86"/>
        <v>48.519281883038317</v>
      </c>
      <c r="X221" s="157">
        <f t="shared" si="87"/>
        <v>45498</v>
      </c>
      <c r="Y221" s="385">
        <f t="shared" si="88"/>
        <v>44.727796544906667</v>
      </c>
      <c r="Z221" s="385">
        <f t="shared" si="89"/>
        <v>48.130046201059152</v>
      </c>
      <c r="AA221" s="386">
        <f t="shared" si="90"/>
        <v>57.43893727784365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0.16206586538597542</v>
      </c>
      <c r="AD221" s="231">
        <f>(INDEX(Models!$BJ221:$BT221,,AH221)*(1-AF221)+INDEX(Models!$BJ221:$BT221,,AH221+1)*AF221-ERP_i)*AE221*Ramure*Pc/MaxiM</f>
        <v>1.5660892458489121E-2</v>
      </c>
      <c r="AE221" s="305">
        <f t="shared" si="92"/>
        <v>0.8</v>
      </c>
      <c r="AF221" s="177">
        <f t="shared" si="93"/>
        <v>0.92141033920096183</v>
      </c>
      <c r="AG221" s="809">
        <f t="shared" si="99"/>
        <v>2</v>
      </c>
      <c r="AH221" s="176">
        <f t="shared" si="94"/>
        <v>8</v>
      </c>
      <c r="AI221" s="225">
        <f t="shared" si="95"/>
        <v>2.9214103392009618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IF(t&gt;Tmaj,'2023'!Wh/'2023'!Env_an*'2024'!Env_an,0.001*[9]mois!$B$166)</f>
        <v>47.490488290097773</v>
      </c>
      <c r="C222" s="839"/>
      <c r="D222" s="393">
        <f t="shared" si="77"/>
        <v>51.104100218818353</v>
      </c>
      <c r="E222" s="385">
        <f t="shared" si="75"/>
        <v>56.687900535336397</v>
      </c>
      <c r="F222" s="385">
        <f t="shared" si="78"/>
        <v>57.118329400537895</v>
      </c>
      <c r="G222" s="110">
        <f t="shared" si="76"/>
        <v>0.9961131946210211</v>
      </c>
      <c r="H222" s="414" t="b">
        <f>Wh_hp&gt;='2023'!Maxi_hp</f>
        <v>0</v>
      </c>
      <c r="I222" s="390">
        <f>IF(H222,Wh_hp,'2023'!Maxi_hp)</f>
        <v>57.120088666927721</v>
      </c>
      <c r="J222" s="85">
        <f>IF(H222,An,'2023'!An_max)</f>
        <v>2022</v>
      </c>
      <c r="K222" s="197">
        <f t="shared" si="79"/>
        <v>45499</v>
      </c>
      <c r="L222" s="147">
        <f>IF(t&lt;Tvie,1-EXP((T0-t)*PertePVj)+'2023'!Pspv,1-EXP((T0-t)*PertePVj)+Pspv)</f>
        <v>7.071080232794949E-2</v>
      </c>
      <c r="M222" s="843"/>
      <c r="N222" s="843"/>
      <c r="O222" s="48">
        <f>IF(t&lt;Tnet,'2023'!Resal+('2023'!Salim-'2023'!Resal)*(1-EXP(('2023'!Tnet-t)/('2023'!Tau_j))),Resal+(Salim-Resal)*(1-EXP((Tnet-t)/(Tau_j))))*Salcycl</f>
        <v>9.8500742906105304E-2</v>
      </c>
      <c r="P222" s="169">
        <f>(INDEX(Models!$BJ222:$BT222,,T222)*(1-R222)+INDEX(Models!$BJ222:$BT222,,T222+1)*R222-ERP_i)*Q222*Ramure*Pc/MaxiM</f>
        <v>7.5773614248767635E-3</v>
      </c>
      <c r="Q222" s="305">
        <f t="shared" si="80"/>
        <v>0.8</v>
      </c>
      <c r="R222" s="177">
        <f t="shared" si="81"/>
        <v>0.72346660184201728</v>
      </c>
      <c r="S222" s="809">
        <f t="shared" si="82"/>
        <v>1</v>
      </c>
      <c r="T222" s="176">
        <f t="shared" si="83"/>
        <v>7</v>
      </c>
      <c r="U222" s="251">
        <f t="shared" si="84"/>
        <v>1.7234666018420173</v>
      </c>
      <c r="V222" s="383">
        <f t="shared" si="85"/>
        <v>47.673795412285287</v>
      </c>
      <c r="W222" s="402">
        <f t="shared" si="86"/>
        <v>47.490488290097773</v>
      </c>
      <c r="X222" s="157">
        <f t="shared" si="87"/>
        <v>45499</v>
      </c>
      <c r="Y222" s="385">
        <f t="shared" si="88"/>
        <v>43.777071074460068</v>
      </c>
      <c r="Z222" s="385">
        <f t="shared" si="89"/>
        <v>47.108124342912198</v>
      </c>
      <c r="AA222" s="386">
        <f t="shared" si="90"/>
        <v>56.221943652006068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0.16210430869315343</v>
      </c>
      <c r="AD222" s="231">
        <f>(INDEX(Models!$BJ222:$BT222,,AH222)*(1-AF222)+INDEX(Models!$BJ222:$BT222,,AH222+1)*AF222-ERP_i)*AE222*Ramure*Pc/MaxiM</f>
        <v>1.5780165648404298E-2</v>
      </c>
      <c r="AE222" s="305">
        <f t="shared" si="92"/>
        <v>0.8</v>
      </c>
      <c r="AF222" s="177">
        <f t="shared" si="93"/>
        <v>0.9241833490069209</v>
      </c>
      <c r="AG222" s="809">
        <f t="shared" si="99"/>
        <v>2</v>
      </c>
      <c r="AH222" s="176">
        <f t="shared" si="94"/>
        <v>8</v>
      </c>
      <c r="AI222" s="225">
        <f t="shared" si="95"/>
        <v>2.9241833490069209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IF(t&gt;Tmaj,'2023'!Wh/'2023'!Env_an*'2024'!Env_an,0.001*[9]mois!$B$167)</f>
        <v>40.13689056830416</v>
      </c>
      <c r="C223" s="839"/>
      <c r="D223" s="393">
        <f t="shared" si="77"/>
        <v>43.19198582615472</v>
      </c>
      <c r="E223" s="385">
        <f t="shared" si="75"/>
        <v>47.91798954874892</v>
      </c>
      <c r="F223" s="385">
        <f t="shared" si="78"/>
        <v>48.199464209257513</v>
      </c>
      <c r="G223" s="110">
        <f t="shared" si="76"/>
        <v>0.84309351800665433</v>
      </c>
      <c r="H223" s="414" t="b">
        <f>Wh_hp&gt;='2023'!Maxi_hp</f>
        <v>0</v>
      </c>
      <c r="I223" s="390">
        <f>IF(H223,Wh_hp,'2023'!Maxi_hp)</f>
        <v>54.720346355997435</v>
      </c>
      <c r="J223" s="85">
        <f>IF(H223,An,'2023'!An_max)</f>
        <v>2019</v>
      </c>
      <c r="K223" s="197">
        <f t="shared" si="79"/>
        <v>45500</v>
      </c>
      <c r="L223" s="147">
        <f>IF(t&lt;Tvie,1-EXP((T0-t)*PertePVj)+'2023'!Pspv,1-EXP((T0-t)*PertePVj)+Pspv)</f>
        <v>7.0732919531580368E-2</v>
      </c>
      <c r="M223" s="843"/>
      <c r="N223" s="843"/>
      <c r="O223" s="48">
        <f>IF(t&lt;Tnet,'2023'!Resal+('2023'!Salim-'2023'!Resal)*(1-EXP(('2023'!Tnet-t)/('2023'!Tau_j))),Resal+(Salim-Resal)*(1-EXP((Tnet-t)/(Tau_j))))*Salcycl</f>
        <v>9.862692001688099E-2</v>
      </c>
      <c r="P223" s="169">
        <f>(INDEX(Models!$BJ223:$BT223,,T223)*(1-R223)+INDEX(Models!$BJ223:$BT223,,T223+1)*R223-ERP_i)*Q223*Ramure*Pc/MaxiM</f>
        <v>7.5073937311063415E-3</v>
      </c>
      <c r="Q223" s="305">
        <f t="shared" si="80"/>
        <v>0.8</v>
      </c>
      <c r="R223" s="177">
        <f t="shared" si="81"/>
        <v>0.72615580110591527</v>
      </c>
      <c r="S223" s="809">
        <f t="shared" si="82"/>
        <v>1</v>
      </c>
      <c r="T223" s="176">
        <f t="shared" si="83"/>
        <v>7</v>
      </c>
      <c r="U223" s="251">
        <f t="shared" si="84"/>
        <v>1.7261558011059153</v>
      </c>
      <c r="V223" s="383">
        <f t="shared" si="85"/>
        <v>47.526833076782651</v>
      </c>
      <c r="W223" s="402">
        <f t="shared" si="86"/>
        <v>40.13689056830416</v>
      </c>
      <c r="X223" s="157">
        <f t="shared" si="87"/>
        <v>45500</v>
      </c>
      <c r="Y223" s="385">
        <f t="shared" si="88"/>
        <v>37.062970615890713</v>
      </c>
      <c r="Z223" s="385">
        <f t="shared" si="89"/>
        <v>39.884088648882539</v>
      </c>
      <c r="AA223" s="386">
        <f t="shared" si="90"/>
        <v>47.602448097620403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0.16214206951939722</v>
      </c>
      <c r="AD223" s="231">
        <f>(INDEX(Models!$BJ223:$BT223,,AH223)*(1-AF223)+INDEX(Models!$BJ223:$BT223,,AH223+1)*AF223-ERP_i)*AE223*Ramure*Pc/MaxiM</f>
        <v>1.5923404990614221E-2</v>
      </c>
      <c r="AE223" s="305">
        <f t="shared" si="92"/>
        <v>0.8</v>
      </c>
      <c r="AF223" s="177">
        <f t="shared" si="93"/>
        <v>0.92687254827081889</v>
      </c>
      <c r="AG223" s="809">
        <f t="shared" si="99"/>
        <v>2</v>
      </c>
      <c r="AH223" s="176">
        <f t="shared" si="94"/>
        <v>8</v>
      </c>
      <c r="AI223" s="225">
        <f t="shared" si="95"/>
        <v>2.9268725482708189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IF(t&gt;Tmaj,'2023'!Wh/'2023'!Env_an*'2024'!Env_an,0.001*[9]mois!$B$168)</f>
        <v>27.817138849211151</v>
      </c>
      <c r="C224" s="839"/>
      <c r="D224" s="393">
        <f t="shared" si="77"/>
        <v>29.935205390913705</v>
      </c>
      <c r="E224" s="385">
        <f t="shared" si="75"/>
        <v>33.215301599612324</v>
      </c>
      <c r="F224" s="385">
        <f t="shared" si="78"/>
        <v>33.316976349192103</v>
      </c>
      <c r="G224" s="110">
        <f t="shared" si="76"/>
        <v>0.58454815805728888</v>
      </c>
      <c r="H224" s="414" t="b">
        <f>Wh_hp&gt;='2023'!Maxi_hp</f>
        <v>0</v>
      </c>
      <c r="I224" s="390">
        <f>IF(H224,Wh_hp,'2023'!Maxi_hp)</f>
        <v>57.337532868317645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7.075503622051163E-2</v>
      </c>
      <c r="M224" s="843"/>
      <c r="N224" s="843"/>
      <c r="O224" s="48">
        <f>IF(t&lt;Tnet,'2023'!Resal+('2023'!Salim-'2023'!Resal)*(1-EXP(('2023'!Tnet-t)/('2023'!Tau_j))),Resal+(Salim-Resal)*(1-EXP((Tnet-t)/(Tau_j))))*Salcycl</f>
        <v>9.8752564352355715E-2</v>
      </c>
      <c r="P224" s="169">
        <f>(INDEX(Models!$BJ224:$BT224,,T224)*(1-R224)+INDEX(Models!$BJ224:$BT224,,T224+1)*R224-ERP_i)*Q224*Ramure*Pc/MaxiM</f>
        <v>7.4398351558115526E-3</v>
      </c>
      <c r="Q224" s="305">
        <f t="shared" si="80"/>
        <v>0.8</v>
      </c>
      <c r="R224" s="177">
        <f t="shared" si="81"/>
        <v>0.72876276391075523</v>
      </c>
      <c r="S224" s="809">
        <f t="shared" si="82"/>
        <v>1</v>
      </c>
      <c r="T224" s="176">
        <f t="shared" si="83"/>
        <v>7</v>
      </c>
      <c r="U224" s="251">
        <f t="shared" si="84"/>
        <v>1.7287627639107552</v>
      </c>
      <c r="V224" s="383">
        <f t="shared" si="85"/>
        <v>47.377962904762441</v>
      </c>
      <c r="W224" s="402">
        <f t="shared" si="86"/>
        <v>27.817138849211151</v>
      </c>
      <c r="X224" s="157">
        <f t="shared" si="87"/>
        <v>45501</v>
      </c>
      <c r="Y224" s="385">
        <f t="shared" si="88"/>
        <v>25.767419266247167</v>
      </c>
      <c r="Z224" s="385">
        <f t="shared" si="89"/>
        <v>27.729415031149767</v>
      </c>
      <c r="AA224" s="386">
        <f t="shared" si="90"/>
        <v>33.097071259492346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0.16217919060748062</v>
      </c>
      <c r="AD224" s="231">
        <f>(INDEX(Models!$BJ224:$BT224,,AH224)*(1-AF224)+INDEX(Models!$BJ224:$BT224,,AH224+1)*AF224-ERP_i)*AE224*Ramure*Pc/MaxiM</f>
        <v>1.6091090699037656E-2</v>
      </c>
      <c r="AE224" s="305">
        <f t="shared" si="92"/>
        <v>0.8</v>
      </c>
      <c r="AF224" s="177">
        <f t="shared" si="93"/>
        <v>0.92947951107565885</v>
      </c>
      <c r="AG224" s="809">
        <f t="shared" si="99"/>
        <v>2</v>
      </c>
      <c r="AH224" s="176">
        <f t="shared" si="94"/>
        <v>8</v>
      </c>
      <c r="AI224" s="225">
        <f t="shared" si="95"/>
        <v>2.9294795110756588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IF(t&gt;Tmaj,'2023'!Wh/'2023'!Env_an*'2024'!Env_an,0.001*[9]mois!$B$169)</f>
        <v>44.334926929350218</v>
      </c>
      <c r="C225" s="839"/>
      <c r="D225" s="393">
        <f t="shared" si="77"/>
        <v>47.711834726845531</v>
      </c>
      <c r="E225" s="385">
        <f t="shared" si="75"/>
        <v>52.947124550324311</v>
      </c>
      <c r="F225" s="385">
        <f t="shared" si="78"/>
        <v>53.30585773718223</v>
      </c>
      <c r="G225" s="110">
        <f t="shared" si="76"/>
        <v>0.9381563774825481</v>
      </c>
      <c r="H225" s="414" t="b">
        <f>Wh_hp&gt;='2023'!Maxi_hp</f>
        <v>0</v>
      </c>
      <c r="I225" s="390">
        <f>IF(H225,Wh_hp,'2023'!Maxi_hp)</f>
        <v>53.331314939696405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7.0777152394755155E-2</v>
      </c>
      <c r="M225" s="843"/>
      <c r="N225" s="843"/>
      <c r="O225" s="48">
        <f>IF(t&lt;Tnet,'2023'!Resal+('2023'!Salim-'2023'!Resal)*(1-EXP(('2023'!Tnet-t)/('2023'!Tau_j))),Resal+(Salim-Resal)*(1-EXP((Tnet-t)/(Tau_j))))*Salcycl</f>
        <v>9.8877698608596437E-2</v>
      </c>
      <c r="P225" s="169">
        <f>(INDEX(Models!$BJ225:$BT225,,T225)*(1-R225)+INDEX(Models!$BJ225:$BT225,,T225+1)*R225-ERP_i)*Q225*Ramure*Pc/MaxiM</f>
        <v>7.3748432847064449E-3</v>
      </c>
      <c r="Q225" s="305">
        <f t="shared" si="80"/>
        <v>0.8</v>
      </c>
      <c r="R225" s="177">
        <f t="shared" si="81"/>
        <v>0.73128910416701398</v>
      </c>
      <c r="S225" s="809">
        <f t="shared" si="82"/>
        <v>1</v>
      </c>
      <c r="T225" s="176">
        <f t="shared" si="83"/>
        <v>7</v>
      </c>
      <c r="U225" s="251">
        <f t="shared" si="84"/>
        <v>1.731289104167014</v>
      </c>
      <c r="V225" s="383">
        <f t="shared" si="85"/>
        <v>47.226808297063698</v>
      </c>
      <c r="W225" s="402">
        <f t="shared" si="86"/>
        <v>44.334926929350218</v>
      </c>
      <c r="X225" s="157">
        <f t="shared" si="87"/>
        <v>45502</v>
      </c>
      <c r="Y225" s="385">
        <f t="shared" si="88"/>
        <v>40.881357480599455</v>
      </c>
      <c r="Z225" s="385">
        <f t="shared" si="89"/>
        <v>43.995213404359589</v>
      </c>
      <c r="AA225" s="386">
        <f t="shared" si="90"/>
        <v>52.513772299471277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0.16221571070028526</v>
      </c>
      <c r="AD225" s="231">
        <f>(INDEX(Models!$BJ225:$BT225,,AH225)*(1-AF225)+INDEX(Models!$BJ225:$BT225,,AH225+1)*AF225-ERP_i)*AE225*Ramure*Pc/MaxiM</f>
        <v>1.6283706624360985E-2</v>
      </c>
      <c r="AE225" s="305">
        <f t="shared" si="92"/>
        <v>0.8</v>
      </c>
      <c r="AF225" s="177">
        <f t="shared" si="93"/>
        <v>0.9320058513319176</v>
      </c>
      <c r="AG225" s="809">
        <f t="shared" si="99"/>
        <v>2</v>
      </c>
      <c r="AH225" s="176">
        <f t="shared" si="94"/>
        <v>8</v>
      </c>
      <c r="AI225" s="225">
        <f t="shared" si="95"/>
        <v>2.9320058513319176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IF(t&gt;Tmaj,'2023'!Wh/'2023'!Env_an*'2024'!Env_an,0.001*[9]mois!$B$170)</f>
        <v>45.303692338558797</v>
      </c>
      <c r="C226" s="839"/>
      <c r="D226" s="393">
        <f t="shared" si="77"/>
        <v>48.755549561068733</v>
      </c>
      <c r="E226" s="385">
        <f t="shared" si="75"/>
        <v>54.112848341061984</v>
      </c>
      <c r="F226" s="385">
        <f t="shared" si="78"/>
        <v>54.49050639721483</v>
      </c>
      <c r="G226" s="110">
        <f t="shared" si="76"/>
        <v>0.96204360218393103</v>
      </c>
      <c r="H226" s="414" t="b">
        <f>Wh_hp&gt;='2023'!Maxi_hp</f>
        <v>0</v>
      </c>
      <c r="I226" s="390">
        <f>IF(H226,Wh_hp,'2023'!Maxi_hp)</f>
        <v>55.057825166695693</v>
      </c>
      <c r="J226" s="85">
        <f>IF(H226,An,'2023'!An_max)</f>
        <v>2019</v>
      </c>
      <c r="K226" s="197">
        <f t="shared" si="79"/>
        <v>45503</v>
      </c>
      <c r="L226" s="147">
        <f>IF(t&lt;Tvie,1-EXP((T0-t)*PertePVj)+'2023'!Pspv,1-EXP((T0-t)*PertePVj)+Pspv)</f>
        <v>7.0799268054323045E-2</v>
      </c>
      <c r="M226" s="843"/>
      <c r="N226" s="843"/>
      <c r="O226" s="48">
        <f>IF(t&lt;Tnet,'2023'!Resal+('2023'!Salim-'2023'!Resal)*(1-EXP(('2023'!Tnet-t)/('2023'!Tau_j))),Resal+(Salim-Resal)*(1-EXP((Tnet-t)/(Tau_j))))*Salcycl</f>
        <v>9.9002343144595134E-2</v>
      </c>
      <c r="P226" s="169">
        <f>(INDEX(Models!$BJ226:$BT226,,T226)*(1-R226)+INDEX(Models!$BJ226:$BT226,,T226+1)*R226-ERP_i)*Q226*Ramure*Pc/MaxiM</f>
        <v>7.3238508577718941E-3</v>
      </c>
      <c r="Q226" s="305">
        <f t="shared" si="80"/>
        <v>0.8</v>
      </c>
      <c r="R226" s="177">
        <f t="shared" si="81"/>
        <v>0.73373646944558191</v>
      </c>
      <c r="S226" s="809">
        <f t="shared" si="82"/>
        <v>1</v>
      </c>
      <c r="T226" s="176">
        <f t="shared" si="83"/>
        <v>7</v>
      </c>
      <c r="U226" s="251">
        <f t="shared" si="84"/>
        <v>1.7337364694455819</v>
      </c>
      <c r="V226" s="383">
        <f t="shared" si="85"/>
        <v>47.072458393215037</v>
      </c>
      <c r="W226" s="402">
        <f t="shared" si="86"/>
        <v>45.303692338558797</v>
      </c>
      <c r="X226" s="157">
        <f t="shared" si="87"/>
        <v>45503</v>
      </c>
      <c r="Y226" s="385">
        <f t="shared" si="88"/>
        <v>41.753919697459516</v>
      </c>
      <c r="Z226" s="385">
        <f t="shared" si="89"/>
        <v>44.93530650802429</v>
      </c>
      <c r="AA226" s="386">
        <f t="shared" si="90"/>
        <v>53.638192528964098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0.16225166454369866</v>
      </c>
      <c r="AD226" s="231">
        <f>(INDEX(Models!$BJ226:$BT226,,AH226)*(1-AF226)+INDEX(Models!$BJ226:$BT226,,AH226+1)*AF226-ERP_i)*AE226*Ramure*Pc/MaxiM</f>
        <v>1.6528760748989832E-2</v>
      </c>
      <c r="AE226" s="305">
        <f t="shared" si="92"/>
        <v>0.8</v>
      </c>
      <c r="AF226" s="177">
        <f t="shared" si="93"/>
        <v>0.93445321661048553</v>
      </c>
      <c r="AG226" s="809">
        <f t="shared" si="99"/>
        <v>2</v>
      </c>
      <c r="AH226" s="176">
        <f t="shared" si="94"/>
        <v>8</v>
      </c>
      <c r="AI226" s="225">
        <f t="shared" si="95"/>
        <v>2.9344532166104855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IF(t&gt;Tmaj,'2023'!Wh/'2023'!Env_an*'2024'!Env_an,0.001*'[10]mon-tableau (1)'!$B$140)</f>
        <v>45.247340140884027</v>
      </c>
      <c r="C227" s="839"/>
      <c r="D227" s="393">
        <f t="shared" si="77"/>
        <v>48.696062654426768</v>
      </c>
      <c r="E227" s="385">
        <f t="shared" si="75"/>
        <v>54.054274566465658</v>
      </c>
      <c r="F227" s="385">
        <f t="shared" si="78"/>
        <v>54.430862073649919</v>
      </c>
      <c r="G227" s="110">
        <f t="shared" si="76"/>
        <v>0.96410522697180967</v>
      </c>
      <c r="H227" s="414" t="b">
        <f>Wh_hp&gt;='2023'!Maxi_hp</f>
        <v>0</v>
      </c>
      <c r="I227" s="390">
        <f>IF(H227,Wh_hp,'2023'!Maxi_hp)</f>
        <v>54.44583213474823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7.0821383199227289E-2</v>
      </c>
      <c r="M227" s="843"/>
      <c r="N227" s="843"/>
      <c r="O227" s="48">
        <f>IF(t&lt;Tnet,'2023'!Resal+('2023'!Salim-'2023'!Resal)*(1-EXP(('2023'!Tnet-t)/('2023'!Tau_j))),Resal+(Salim-Resal)*(1-EXP((Tnet-t)/(Tau_j))))*Salcycl</f>
        <v>9.9126515988118127E-2</v>
      </c>
      <c r="P227" s="169">
        <f>(INDEX(Models!$BJ227:$BT227,,T227)*(1-R227)+INDEX(Models!$BJ227:$BT227,,T227+1)*R227-ERP_i)*Q227*Ramure*Pc/MaxiM</f>
        <v>7.2886468085071173E-3</v>
      </c>
      <c r="Q227" s="305">
        <f t="shared" si="80"/>
        <v>0.8</v>
      </c>
      <c r="R227" s="177">
        <f t="shared" si="81"/>
        <v>0.73610653511998492</v>
      </c>
      <c r="S227" s="809">
        <f t="shared" si="82"/>
        <v>1</v>
      </c>
      <c r="T227" s="176">
        <f t="shared" si="83"/>
        <v>7</v>
      </c>
      <c r="U227" s="251">
        <f t="shared" si="84"/>
        <v>1.7361065351199849</v>
      </c>
      <c r="V227" s="383">
        <f t="shared" si="85"/>
        <v>46.914465752145595</v>
      </c>
      <c r="W227" s="402">
        <f t="shared" si="86"/>
        <v>45.247340140884027</v>
      </c>
      <c r="X227" s="157">
        <f t="shared" si="87"/>
        <v>45504</v>
      </c>
      <c r="Y227" s="385">
        <f t="shared" si="88"/>
        <v>41.691905397736825</v>
      </c>
      <c r="Z227" s="385">
        <f t="shared" si="89"/>
        <v>44.86963501300211</v>
      </c>
      <c r="AA227" s="386">
        <f t="shared" si="90"/>
        <v>53.562066548139939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0.16228708291763419</v>
      </c>
      <c r="AD227" s="231">
        <f>(INDEX(Models!$BJ227:$BT227,,AH227)*(1-AF227)+INDEX(Models!$BJ227:$BT227,,AH227+1)*AF227-ERP_i)*AE227*Ramure*Pc/MaxiM</f>
        <v>1.6815065857070991E-2</v>
      </c>
      <c r="AE227" s="305">
        <f t="shared" si="92"/>
        <v>0.8</v>
      </c>
      <c r="AF227" s="177">
        <f t="shared" si="93"/>
        <v>0.93682328228488831</v>
      </c>
      <c r="AG227" s="809">
        <f t="shared" si="99"/>
        <v>2</v>
      </c>
      <c r="AH227" s="176">
        <f t="shared" si="94"/>
        <v>8</v>
      </c>
      <c r="AI227" s="225">
        <f t="shared" si="95"/>
        <v>2.9368232822848883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IF(t&gt;Tmaj,'2023'!Wh/'2023'!Env_an*'2024'!Env_an,0.001*'[10]mon-tableau (1)'!$B$141)</f>
        <v>45.260478641230506</v>
      </c>
      <c r="C228" s="839"/>
      <c r="D228" s="393">
        <f t="shared" si="77"/>
        <v>48.711361902436785</v>
      </c>
      <c r="E228" s="385">
        <f t="shared" si="75"/>
        <v>54.078683869089836</v>
      </c>
      <c r="F228" s="385">
        <f t="shared" si="78"/>
        <v>54.456513609443689</v>
      </c>
      <c r="G228" s="110">
        <f t="shared" si="76"/>
        <v>0.96776474122365608</v>
      </c>
      <c r="H228" s="414" t="b">
        <f>Wh_hp&gt;='2023'!Maxi_hp</f>
        <v>0</v>
      </c>
      <c r="I228" s="390">
        <f>IF(H228,Wh_hp,'2023'!Maxi_hp)</f>
        <v>54.855614137032767</v>
      </c>
      <c r="J228" s="85">
        <f>IF(H228,An,'2023'!An_max)</f>
        <v>2019</v>
      </c>
      <c r="K228" s="197">
        <f t="shared" si="79"/>
        <v>45505</v>
      </c>
      <c r="L228" s="147">
        <f>IF(t&lt;Tvie,1-EXP((T0-t)*PertePVj)+'2023'!Pspv,1-EXP((T0-t)*PertePVj)+Pspv)</f>
        <v>7.0843497829479657E-2</v>
      </c>
      <c r="M228" s="843"/>
      <c r="N228" s="843"/>
      <c r="O228" s="48">
        <f>IF(t&lt;Tnet,'2023'!Resal+('2023'!Salim-'2023'!Resal)*(1-EXP(('2023'!Tnet-t)/('2023'!Tau_j))),Resal+(Salim-Resal)*(1-EXP((Tnet-t)/(Tau_j))))*Salcycl</f>
        <v>9.9250232857846787E-2</v>
      </c>
      <c r="P228" s="169">
        <f>(INDEX(Models!$BJ228:$BT228,,T228)*(1-R228)+INDEX(Models!$BJ228:$BT228,,T228+1)*R228-ERP_i)*Q228*Ramure*Pc/MaxiM</f>
        <v>7.2696046419894128E-3</v>
      </c>
      <c r="Q228" s="305">
        <f t="shared" si="80"/>
        <v>0.8</v>
      </c>
      <c r="R228" s="177">
        <f t="shared" si="81"/>
        <v>0.73840099882154897</v>
      </c>
      <c r="S228" s="809">
        <f t="shared" si="82"/>
        <v>1</v>
      </c>
      <c r="T228" s="176">
        <f t="shared" si="83"/>
        <v>7</v>
      </c>
      <c r="U228" s="251">
        <f t="shared" si="84"/>
        <v>1.738400998821549</v>
      </c>
      <c r="V228" s="383">
        <f t="shared" si="85"/>
        <v>46.752451307874935</v>
      </c>
      <c r="W228" s="402">
        <f t="shared" si="86"/>
        <v>45.260478641230506</v>
      </c>
      <c r="X228" s="157">
        <f t="shared" si="87"/>
        <v>45505</v>
      </c>
      <c r="Y228" s="385">
        <f t="shared" si="88"/>
        <v>41.691856908223379</v>
      </c>
      <c r="Z228" s="385">
        <f t="shared" si="89"/>
        <v>44.87065075779023</v>
      </c>
      <c r="AA228" s="386">
        <f t="shared" si="90"/>
        <v>53.56551129002753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0.16232199269338535</v>
      </c>
      <c r="AD228" s="231">
        <f>(INDEX(Models!$BJ228:$BT228,,AH228)*(1-AF228)+INDEX(Models!$BJ228:$BT228,,AH228+1)*AF228-ERP_i)*AE228*Ramure*Pc/MaxiM</f>
        <v>1.7143262971265366E-2</v>
      </c>
      <c r="AE228" s="305">
        <f t="shared" si="92"/>
        <v>0.8</v>
      </c>
      <c r="AF228" s="177">
        <f t="shared" si="93"/>
        <v>0.93911774598645259</v>
      </c>
      <c r="AG228" s="809">
        <f t="shared" si="99"/>
        <v>2</v>
      </c>
      <c r="AH228" s="176">
        <f t="shared" si="94"/>
        <v>8</v>
      </c>
      <c r="AI228" s="225">
        <f t="shared" si="95"/>
        <v>2.9391177459864526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IF(t&gt;Tmaj,'2023'!Wh/'2023'!Env_an*'2024'!Env_an,0.001*'[10]mon-tableau (1)'!$B$142)</f>
        <v>42.232262750995886</v>
      </c>
      <c r="C229" s="839"/>
      <c r="D229" s="393">
        <f t="shared" si="77"/>
        <v>45.453341619834816</v>
      </c>
      <c r="E229" s="385">
        <f t="shared" si="75"/>
        <v>50.468581574319437</v>
      </c>
      <c r="F229" s="385">
        <f t="shared" si="78"/>
        <v>50.788389438682181</v>
      </c>
      <c r="G229" s="110">
        <f t="shared" si="76"/>
        <v>0.90565824015241503</v>
      </c>
      <c r="H229" s="414" t="b">
        <f>Wh_hp&gt;='2023'!Maxi_hp</f>
        <v>0</v>
      </c>
      <c r="I229" s="390">
        <f>IF(H229,Wh_hp,'2023'!Maxi_hp)</f>
        <v>54.652362848660495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7.0865611945092361E-2</v>
      </c>
      <c r="M229" s="843"/>
      <c r="N229" s="843"/>
      <c r="O229" s="48">
        <f>IF(t&lt;Tnet,'2023'!Resal+('2023'!Salim-'2023'!Resal)*(1-EXP(('2023'!Tnet-t)/('2023'!Tau_j))),Resal+(Salim-Resal)*(1-EXP((Tnet-t)/(Tau_j))))*Salcycl</f>
        <v>9.9373507200697445E-2</v>
      </c>
      <c r="P229" s="169">
        <f>(INDEX(Models!$BJ229:$BT229,,T229)*(1-R229)+INDEX(Models!$BJ229:$BT229,,T229+1)*R229-ERP_i)*Q229*Ramure*Pc/MaxiM</f>
        <v>7.2670957318556224E-3</v>
      </c>
      <c r="Q229" s="305">
        <f t="shared" si="80"/>
        <v>0.8</v>
      </c>
      <c r="R229" s="177">
        <f t="shared" si="81"/>
        <v>0.74062157520881655</v>
      </c>
      <c r="S229" s="809">
        <f t="shared" si="82"/>
        <v>1</v>
      </c>
      <c r="T229" s="176">
        <f t="shared" si="83"/>
        <v>7</v>
      </c>
      <c r="U229" s="251">
        <f t="shared" si="84"/>
        <v>1.7406215752088166</v>
      </c>
      <c r="V229" s="383">
        <f t="shared" si="85"/>
        <v>46.586036968866736</v>
      </c>
      <c r="W229" s="402">
        <f t="shared" si="86"/>
        <v>42.232262750995886</v>
      </c>
      <c r="X229" s="157">
        <f t="shared" si="87"/>
        <v>45506</v>
      </c>
      <c r="Y229" s="385">
        <f t="shared" si="88"/>
        <v>38.927900651902021</v>
      </c>
      <c r="Z229" s="385">
        <f t="shared" si="89"/>
        <v>41.89695393084682</v>
      </c>
      <c r="AA229" s="386">
        <f t="shared" si="90"/>
        <v>50.017638500324765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0.16235641691530911</v>
      </c>
      <c r="AD229" s="231">
        <f>(INDEX(Models!$BJ229:$BT229,,AH229)*(1-AF229)+INDEX(Models!$BJ229:$BT229,,AH229+1)*AF229-ERP_i)*AE229*Ramure*Pc/MaxiM</f>
        <v>1.751401850489754E-2</v>
      </c>
      <c r="AE229" s="305">
        <f t="shared" si="92"/>
        <v>0.8</v>
      </c>
      <c r="AF229" s="177">
        <f t="shared" si="93"/>
        <v>0.94133832237372017</v>
      </c>
      <c r="AG229" s="809">
        <f t="shared" si="99"/>
        <v>2</v>
      </c>
      <c r="AH229" s="176">
        <f t="shared" si="94"/>
        <v>8</v>
      </c>
      <c r="AI229" s="225">
        <f t="shared" si="95"/>
        <v>2.9413383223737202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IF(t&gt;Tmaj,'2023'!Wh/'2023'!Env_an*'2024'!Env_an,0.001*'[10]mon-tableau (1)'!$B$143)</f>
        <v>41.757919239499081</v>
      </c>
      <c r="C230" s="839"/>
      <c r="D230" s="393">
        <f t="shared" si="77"/>
        <v>44.943889331396377</v>
      </c>
      <c r="E230" s="385">
        <f t="shared" si="75"/>
        <v>49.909724789597789</v>
      </c>
      <c r="F230" s="385">
        <f t="shared" si="78"/>
        <v>50.22300674996832</v>
      </c>
      <c r="G230" s="110">
        <f t="shared" si="76"/>
        <v>0.89872245625187341</v>
      </c>
      <c r="H230" s="414" t="b">
        <f>Wh_hp&gt;='2023'!Maxi_hp</f>
        <v>0</v>
      </c>
      <c r="I230" s="390">
        <f>IF(H230,Wh_hp,'2023'!Maxi_hp)</f>
        <v>51.450131759098554</v>
      </c>
      <c r="J230" s="85">
        <f>IF(H230,An,'2023'!An_max)</f>
        <v>2019</v>
      </c>
      <c r="K230" s="197">
        <f t="shared" si="79"/>
        <v>45507</v>
      </c>
      <c r="L230" s="147">
        <f>IF(t&lt;Tvie,1-EXP((T0-t)*PertePVj)+'2023'!Pspv,1-EXP((T0-t)*PertePVj)+Pspv)</f>
        <v>7.0887725546077279E-2</v>
      </c>
      <c r="M230" s="843"/>
      <c r="N230" s="843"/>
      <c r="O230" s="48">
        <f>IF(t&lt;Tnet,'2023'!Resal+('2023'!Salim-'2023'!Resal)*(1-EXP(('2023'!Tnet-t)/('2023'!Tau_j))),Resal+(Salim-Resal)*(1-EXP((Tnet-t)/(Tau_j))))*Salcycl</f>
        <v>9.9496350243077153E-2</v>
      </c>
      <c r="P230" s="169">
        <f>(INDEX(Models!$BJ230:$BT230,,T230)*(1-R230)+INDEX(Models!$BJ230:$BT230,,T230+1)*R230-ERP_i)*Q230*Ramure*Pc/MaxiM</f>
        <v>7.2814914563859266E-3</v>
      </c>
      <c r="Q230" s="305">
        <f t="shared" si="80"/>
        <v>0.8</v>
      </c>
      <c r="R230" s="177">
        <f t="shared" si="81"/>
        <v>0.74276999105042885</v>
      </c>
      <c r="S230" s="809">
        <f t="shared" si="82"/>
        <v>1</v>
      </c>
      <c r="T230" s="176">
        <f t="shared" si="83"/>
        <v>7</v>
      </c>
      <c r="U230" s="251">
        <f t="shared" si="84"/>
        <v>1.7427699910504288</v>
      </c>
      <c r="V230" s="383">
        <f t="shared" si="85"/>
        <v>46.414845588918233</v>
      </c>
      <c r="W230" s="402">
        <f t="shared" si="86"/>
        <v>41.757919239499081</v>
      </c>
      <c r="X230" s="157">
        <f t="shared" si="87"/>
        <v>45507</v>
      </c>
      <c r="Y230" s="385">
        <f t="shared" si="88"/>
        <v>38.484935553606768</v>
      </c>
      <c r="Z230" s="385">
        <f t="shared" si="89"/>
        <v>41.42118946413224</v>
      </c>
      <c r="AA230" s="386">
        <f t="shared" si="90"/>
        <v>49.451663666611296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0.16239037490463756</v>
      </c>
      <c r="AD230" s="231">
        <f>(INDEX(Models!$BJ230:$BT230,,AH230)*(1-AF230)+INDEX(Models!$BJ230:$BT230,,AH230+1)*AF230-ERP_i)*AE230*Ramure*Pc/MaxiM</f>
        <v>1.7928029002255895E-2</v>
      </c>
      <c r="AE230" s="305">
        <f t="shared" si="92"/>
        <v>0.8</v>
      </c>
      <c r="AF230" s="177">
        <f t="shared" si="93"/>
        <v>0.94348673821533247</v>
      </c>
      <c r="AG230" s="809">
        <f t="shared" si="99"/>
        <v>2</v>
      </c>
      <c r="AH230" s="176">
        <f t="shared" si="94"/>
        <v>8</v>
      </c>
      <c r="AI230" s="225">
        <f t="shared" si="95"/>
        <v>2.9434867382153325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IF(t&gt;Tmaj,'2023'!Wh/'2023'!Env_an*'2024'!Env_an,0.001*'[10]mon-tableau (1)'!$B$144)</f>
        <v>39.770604116732436</v>
      </c>
      <c r="C231" s="839"/>
      <c r="D231" s="393">
        <f t="shared" si="77"/>
        <v>42.805968430655838</v>
      </c>
      <c r="E231" s="385">
        <f t="shared" si="75"/>
        <v>47.542048917211787</v>
      </c>
      <c r="F231" s="385">
        <f t="shared" si="78"/>
        <v>47.821891797044266</v>
      </c>
      <c r="G231" s="110">
        <f t="shared" si="76"/>
        <v>0.85885443452048138</v>
      </c>
      <c r="H231" s="414" t="b">
        <f>Wh_hp&gt;='2023'!Maxi_hp</f>
        <v>0</v>
      </c>
      <c r="I231" s="390">
        <f>IF(H231,Wh_hp,'2023'!Maxi_hp)</f>
        <v>55.321706068538063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7.0909838632446404E-2</v>
      </c>
      <c r="M231" s="843"/>
      <c r="N231" s="843"/>
      <c r="O231" s="48">
        <f>IF(t&lt;Tnet,'2023'!Resal+('2023'!Salim-'2023'!Resal)*(1-EXP(('2023'!Tnet-t)/('2023'!Tau_j))),Resal+(Salim-Resal)*(1-EXP((Tnet-t)/(Tau_j))))*Salcycl</f>
        <v>9.9618771054718558E-2</v>
      </c>
      <c r="P231" s="169">
        <f>(INDEX(Models!$BJ231:$BT231,,T231)*(1-R231)+INDEX(Models!$BJ231:$BT231,,T231+1)*R231-ERP_i)*Q231*Ramure*Pc/MaxiM</f>
        <v>7.3131654055146574E-3</v>
      </c>
      <c r="Q231" s="305">
        <f t="shared" si="80"/>
        <v>0.8</v>
      </c>
      <c r="R231" s="177">
        <f t="shared" si="81"/>
        <v>0.74484798061879953</v>
      </c>
      <c r="S231" s="809">
        <f t="shared" si="82"/>
        <v>1</v>
      </c>
      <c r="T231" s="176">
        <f t="shared" si="83"/>
        <v>7</v>
      </c>
      <c r="U231" s="251">
        <f t="shared" si="84"/>
        <v>1.7448479806187995</v>
      </c>
      <c r="V231" s="383">
        <f t="shared" si="85"/>
        <v>46.238500929391016</v>
      </c>
      <c r="W231" s="402">
        <f t="shared" si="86"/>
        <v>39.770604116732436</v>
      </c>
      <c r="X231" s="157">
        <f t="shared" si="87"/>
        <v>45508</v>
      </c>
      <c r="Y231" s="385">
        <f t="shared" si="88"/>
        <v>36.666724754381079</v>
      </c>
      <c r="Z231" s="385">
        <f t="shared" si="89"/>
        <v>39.465195391166674</v>
      </c>
      <c r="AA231" s="386">
        <f t="shared" si="90"/>
        <v>47.118338931931447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0.16242388238305117</v>
      </c>
      <c r="AD231" s="231">
        <f>(INDEX(Models!$BJ231:$BT231,,AH231)*(1-AF231)+INDEX(Models!$BJ231:$BT231,,AH231+1)*AF231-ERP_i)*AE231*Ramure*Pc/MaxiM</f>
        <v>1.8386026034229643E-2</v>
      </c>
      <c r="AE231" s="305">
        <f t="shared" si="92"/>
        <v>0.8</v>
      </c>
      <c r="AF231" s="177">
        <f t="shared" si="93"/>
        <v>0.94556472778370315</v>
      </c>
      <c r="AG231" s="809">
        <f t="shared" si="99"/>
        <v>2</v>
      </c>
      <c r="AH231" s="176">
        <f t="shared" si="94"/>
        <v>8</v>
      </c>
      <c r="AI231" s="225">
        <f t="shared" si="95"/>
        <v>2.9455647277837032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IF(t&gt;Tmaj,'2023'!Wh/'2023'!Env_an*'2024'!Env_an,0.001*'[10]mon-tableau (1)'!$B$145)</f>
        <v>40.834766980968993</v>
      </c>
      <c r="C232" s="839"/>
      <c r="D232" s="393">
        <f t="shared" si="77"/>
        <v>43.952396203805506</v>
      </c>
      <c r="E232" s="385">
        <f t="shared" si="75"/>
        <v>48.821933796984695</v>
      </c>
      <c r="F232" s="385">
        <f t="shared" si="78"/>
        <v>49.125034810168117</v>
      </c>
      <c r="G232" s="110">
        <f t="shared" si="76"/>
        <v>0.88555700026754058</v>
      </c>
      <c r="H232" s="414" t="b">
        <f>Wh_hp&gt;='2023'!Maxi_hp</f>
        <v>0</v>
      </c>
      <c r="I232" s="390">
        <f>IF(H232,Wh_hp,'2023'!Maxi_hp)</f>
        <v>54.962682458177952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7.0931951204211724E-2</v>
      </c>
      <c r="M232" s="843"/>
      <c r="N232" s="843"/>
      <c r="O232" s="48">
        <f>IF(t&lt;Tnet,'2023'!Resal+('2023'!Salim-'2023'!Resal)*(1-EXP(('2023'!Tnet-t)/('2023'!Tau_j))),Resal+(Salim-Resal)*(1-EXP((Tnet-t)/(Tau_j))))*Salcycl</f>
        <v>9.9740776623640032E-2</v>
      </c>
      <c r="P232" s="169">
        <f>(INDEX(Models!$BJ232:$BT232,,T232)*(1-R232)+INDEX(Models!$BJ232:$BT232,,T232+1)*R232-ERP_i)*Q232*Ramure*Pc/MaxiM</f>
        <v>7.3624956599028712E-3</v>
      </c>
      <c r="Q232" s="305">
        <f t="shared" si="80"/>
        <v>0.8</v>
      </c>
      <c r="R232" s="177">
        <f t="shared" si="81"/>
        <v>0.74685728139023744</v>
      </c>
      <c r="S232" s="809">
        <f t="shared" si="82"/>
        <v>1</v>
      </c>
      <c r="T232" s="176">
        <f t="shared" si="83"/>
        <v>7</v>
      </c>
      <c r="U232" s="251">
        <f t="shared" si="84"/>
        <v>1.7468572813902374</v>
      </c>
      <c r="V232" s="383">
        <f t="shared" si="85"/>
        <v>46.0566276296274</v>
      </c>
      <c r="W232" s="402">
        <f t="shared" si="86"/>
        <v>40.834766980968993</v>
      </c>
      <c r="X232" s="157">
        <f t="shared" si="87"/>
        <v>45509</v>
      </c>
      <c r="Y232" s="385">
        <f t="shared" si="88"/>
        <v>37.620792360072045</v>
      </c>
      <c r="Z232" s="385">
        <f t="shared" si="89"/>
        <v>40.493042903406526</v>
      </c>
      <c r="AA232" s="386">
        <f t="shared" si="90"/>
        <v>48.34741686581426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0.16245695161350909</v>
      </c>
      <c r="AD232" s="231">
        <f>(INDEX(Models!$BJ232:$BT232,,AH232)*(1-AF232)+INDEX(Models!$BJ232:$BT232,,AH232+1)*AF232-ERP_i)*AE232*Ramure*Pc/MaxiM</f>
        <v>1.8888781268781924E-2</v>
      </c>
      <c r="AE232" s="305">
        <f t="shared" si="92"/>
        <v>0.8</v>
      </c>
      <c r="AF232" s="177">
        <f t="shared" si="93"/>
        <v>0.94757402855514083</v>
      </c>
      <c r="AG232" s="809">
        <f t="shared" si="99"/>
        <v>2</v>
      </c>
      <c r="AH232" s="176">
        <f t="shared" si="94"/>
        <v>8</v>
      </c>
      <c r="AI232" s="225">
        <f t="shared" si="95"/>
        <v>2.9475740285551408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IF(t&gt;Tmaj,'2023'!Wh/'2023'!Env_an*'2024'!Env_an,0.001*'[10]mon-tableau (1)'!$B$146)</f>
        <v>43.280378445996291</v>
      </c>
      <c r="C233" s="839"/>
      <c r="D233" s="393">
        <f t="shared" si="77"/>
        <v>46.585832556278788</v>
      </c>
      <c r="E233" s="385">
        <f t="shared" ref="E233:E296" si="100">Wh_pvt/(1-Psa)</f>
        <v>51.754121929907328</v>
      </c>
      <c r="F233" s="385">
        <f t="shared" si="78"/>
        <v>52.110058553048894</v>
      </c>
      <c r="G233" s="110">
        <f t="shared" ref="G233:G296" si="101">+Wh_hp/MaxiM</f>
        <v>0.94297544697950297</v>
      </c>
      <c r="H233" s="414" t="b">
        <f>Wh_hp&gt;='2023'!Maxi_hp</f>
        <v>0</v>
      </c>
      <c r="I233" s="390">
        <f>IF(H233,Wh_hp,'2023'!Maxi_hp)</f>
        <v>52.959519523212762</v>
      </c>
      <c r="J233" s="85">
        <f>IF(H233,An,'2023'!An_max)</f>
        <v>2020</v>
      </c>
      <c r="K233" s="197">
        <f t="shared" si="79"/>
        <v>45510</v>
      </c>
      <c r="L233" s="147">
        <f>IF(t&lt;Tvie,1-EXP((T0-t)*PertePVj)+'2023'!Pspv,1-EXP((T0-t)*PertePVj)+Pspv)</f>
        <v>7.095406326138512E-2</v>
      </c>
      <c r="M233" s="843"/>
      <c r="N233" s="843"/>
      <c r="O233" s="48">
        <f>IF(t&lt;Tnet,'2023'!Resal+('2023'!Salim-'2023'!Resal)*(1-EXP(('2023'!Tnet-t)/('2023'!Tau_j))),Resal+(Salim-Resal)*(1-EXP((Tnet-t)/(Tau_j))))*Salcycl</f>
        <v>9.9862371940696068E-2</v>
      </c>
      <c r="P233" s="169">
        <f>(INDEX(Models!$BJ233:$BT233,,T233)*(1-R233)+INDEX(Models!$BJ233:$BT233,,T233+1)*R233-ERP_i)*Q233*Ramure*Pc/MaxiM</f>
        <v>7.4296854462208061E-3</v>
      </c>
      <c r="Q233" s="305">
        <f t="shared" si="80"/>
        <v>0.8</v>
      </c>
      <c r="R233" s="177">
        <f t="shared" si="81"/>
        <v>0.74879963004571382</v>
      </c>
      <c r="S233" s="809">
        <f t="shared" si="82"/>
        <v>1</v>
      </c>
      <c r="T233" s="176">
        <f t="shared" si="83"/>
        <v>7</v>
      </c>
      <c r="U233" s="251">
        <f t="shared" si="84"/>
        <v>1.7487996300457138</v>
      </c>
      <c r="V233" s="383">
        <f t="shared" si="85"/>
        <v>45.869981357773199</v>
      </c>
      <c r="W233" s="402">
        <f t="shared" si="86"/>
        <v>43.280378445996291</v>
      </c>
      <c r="X233" s="157">
        <f t="shared" si="87"/>
        <v>45510</v>
      </c>
      <c r="Y233" s="385">
        <f t="shared" si="88"/>
        <v>39.821567723696596</v>
      </c>
      <c r="Z233" s="385">
        <f t="shared" si="89"/>
        <v>42.862861941454582</v>
      </c>
      <c r="AA233" s="386">
        <f t="shared" si="90"/>
        <v>51.178900595485977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0.16248959155572162</v>
      </c>
      <c r="AD233" s="231">
        <f>(INDEX(Models!$BJ233:$BT233,,AH233)*(1-AF233)+INDEX(Models!$BJ233:$BT233,,AH233+1)*AF233-ERP_i)*AE233*Ramure*Pc/MaxiM</f>
        <v>1.9436636399975855E-2</v>
      </c>
      <c r="AE233" s="305">
        <f t="shared" si="92"/>
        <v>0.8</v>
      </c>
      <c r="AF233" s="177">
        <f t="shared" si="93"/>
        <v>0.94951637721061743</v>
      </c>
      <c r="AG233" s="809">
        <f t="shared" si="99"/>
        <v>2</v>
      </c>
      <c r="AH233" s="176">
        <f t="shared" si="94"/>
        <v>8</v>
      </c>
      <c r="AI233" s="225">
        <f t="shared" si="95"/>
        <v>2.9495163772106174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IF(t&gt;Tmaj,'2023'!Wh/'2023'!Env_an*'2024'!Env_an,0.001*'[10]mon-tableau (1)'!$B$147)</f>
        <v>42.942118715497791</v>
      </c>
      <c r="C234" s="839"/>
      <c r="D234" s="393">
        <f t="shared" si="77"/>
        <v>46.222839017543095</v>
      </c>
      <c r="E234" s="385">
        <f t="shared" si="100"/>
        <v>51.357771889449452</v>
      </c>
      <c r="F234" s="385">
        <f t="shared" si="78"/>
        <v>51.713660776260021</v>
      </c>
      <c r="G234" s="110">
        <f t="shared" si="101"/>
        <v>0.939474925707523</v>
      </c>
      <c r="H234" s="414" t="b">
        <f>Wh_hp&gt;='2023'!Maxi_hp</f>
        <v>0</v>
      </c>
      <c r="I234" s="390">
        <f>IF(H234,Wh_hp,'2023'!Maxi_hp)</f>
        <v>52.507741008384137</v>
      </c>
      <c r="J234" s="85">
        <f>IF(H234,An,'2023'!An_max)</f>
        <v>2019</v>
      </c>
      <c r="K234" s="197">
        <f t="shared" si="79"/>
        <v>45511</v>
      </c>
      <c r="L234" s="147">
        <f>IF(t&lt;Tvie,1-EXP((T0-t)*PertePVj)+'2023'!Pspv,1-EXP((T0-t)*PertePVj)+Pspv)</f>
        <v>7.0976174803978692E-2</v>
      </c>
      <c r="M234" s="843"/>
      <c r="N234" s="843"/>
      <c r="O234" s="48">
        <f>IF(t&lt;Tnet,'2023'!Resal+('2023'!Salim-'2023'!Resal)*(1-EXP(('2023'!Tnet-t)/('2023'!Tau_j))),Resal+(Salim-Resal)*(1-EXP((Tnet-t)/(Tau_j))))*Salcycl</f>
        <v>9.9983560092123794E-2</v>
      </c>
      <c r="P234" s="169">
        <f>(INDEX(Models!$BJ234:$BT234,,T234)*(1-R234)+INDEX(Models!$BJ234:$BT234,,T234+1)*R234-ERP_i)*Q234*Ramure*Pc/MaxiM</f>
        <v>7.5260956241963621E-3</v>
      </c>
      <c r="Q234" s="305">
        <f t="shared" si="80"/>
        <v>0.8</v>
      </c>
      <c r="R234" s="177">
        <f t="shared" si="81"/>
        <v>0.75067675876521944</v>
      </c>
      <c r="S234" s="809">
        <f t="shared" si="82"/>
        <v>1</v>
      </c>
      <c r="T234" s="176">
        <f t="shared" si="83"/>
        <v>7</v>
      </c>
      <c r="U234" s="251">
        <f t="shared" si="84"/>
        <v>1.7506767587652194</v>
      </c>
      <c r="V234" s="383">
        <f t="shared" si="85"/>
        <v>45.67898861467657</v>
      </c>
      <c r="W234" s="402">
        <f t="shared" si="86"/>
        <v>42.942118715497791</v>
      </c>
      <c r="X234" s="157">
        <f t="shared" si="87"/>
        <v>45511</v>
      </c>
      <c r="Y234" s="385">
        <f t="shared" si="88"/>
        <v>39.496999318303352</v>
      </c>
      <c r="Z234" s="385">
        <f t="shared" si="89"/>
        <v>42.514517116899128</v>
      </c>
      <c r="AA234" s="386">
        <f t="shared" si="90"/>
        <v>50.764924418000355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0.16252180803357566</v>
      </c>
      <c r="AD234" s="231">
        <f>(INDEX(Models!$BJ234:$BT234,,AH234)*(1-AF234)+INDEX(Models!$BJ234:$BT234,,AH234+1)*AF234-ERP_i)*AE234*Ramure*Pc/MaxiM</f>
        <v>2.0063229898534905E-2</v>
      </c>
      <c r="AE234" s="305">
        <f t="shared" si="92"/>
        <v>0.8</v>
      </c>
      <c r="AF234" s="177">
        <f t="shared" si="93"/>
        <v>0.95139350593012306</v>
      </c>
      <c r="AG234" s="809">
        <f t="shared" si="99"/>
        <v>2</v>
      </c>
      <c r="AH234" s="176">
        <f t="shared" si="94"/>
        <v>8</v>
      </c>
      <c r="AI234" s="225">
        <f t="shared" si="95"/>
        <v>2.9513935059301231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IF(t&gt;Tmaj,'2023'!Wh/'2023'!Env_an*'2024'!Env_an,0.001*'[10]mon-tableau (1)'!$B$148)</f>
        <v>42.161816429908178</v>
      </c>
      <c r="C235" s="839"/>
      <c r="D235" s="393">
        <f t="shared" si="77"/>
        <v>45.384002835417661</v>
      </c>
      <c r="E235" s="385">
        <f t="shared" si="100"/>
        <v>50.432516759065301</v>
      </c>
      <c r="F235" s="385">
        <f t="shared" si="78"/>
        <v>50.78032225502146</v>
      </c>
      <c r="G235" s="110">
        <f t="shared" si="101"/>
        <v>0.92621890802796936</v>
      </c>
      <c r="H235" s="414" t="b">
        <f>Wh_hp&gt;='2023'!Maxi_hp</f>
        <v>0</v>
      </c>
      <c r="I235" s="390">
        <f>IF(H235,Wh_hp,'2023'!Maxi_hp)</f>
        <v>52.165063941951729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7.0998285832004432E-2</v>
      </c>
      <c r="M235" s="843"/>
      <c r="N235" s="843"/>
      <c r="O235" s="48">
        <f>IF(t&lt;Tnet,'2023'!Resal+('2023'!Salim-'2023'!Resal)*(1-EXP(('2023'!Tnet-t)/('2023'!Tau_j))),Resal+(Salim-Resal)*(1-EXP((Tnet-t)/(Tau_j))))*Salcycl</f>
        <v>0.10010434235844799</v>
      </c>
      <c r="P235" s="169">
        <f>(INDEX(Models!$BJ235:$BT235,,T235)*(1-R235)+INDEX(Models!$BJ235:$BT235,,T235+1)*R235-ERP_i)*Q235*Ramure*Pc/MaxiM</f>
        <v>7.6470985998082991E-3</v>
      </c>
      <c r="Q235" s="305">
        <f t="shared" si="80"/>
        <v>0.8</v>
      </c>
      <c r="R235" s="177">
        <f t="shared" si="81"/>
        <v>0.75249039180757338</v>
      </c>
      <c r="S235" s="809">
        <f t="shared" si="82"/>
        <v>1</v>
      </c>
      <c r="T235" s="176">
        <f t="shared" si="83"/>
        <v>7</v>
      </c>
      <c r="U235" s="251">
        <f t="shared" si="84"/>
        <v>1.7524903918075734</v>
      </c>
      <c r="V235" s="383">
        <f t="shared" si="85"/>
        <v>45.483787872357425</v>
      </c>
      <c r="W235" s="402">
        <f t="shared" si="86"/>
        <v>42.161816429908178</v>
      </c>
      <c r="X235" s="157">
        <f t="shared" si="87"/>
        <v>45512</v>
      </c>
      <c r="Y235" s="385">
        <f t="shared" si="88"/>
        <v>38.772017674166953</v>
      </c>
      <c r="Z235" s="385">
        <f t="shared" si="89"/>
        <v>41.735141155138528</v>
      </c>
      <c r="AA235" s="386">
        <f t="shared" si="90"/>
        <v>49.836194113541524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0.16255360391177567</v>
      </c>
      <c r="AD235" s="231">
        <f>(INDEX(Models!$BJ235:$BT235,,AH235)*(1-AF235)+INDEX(Models!$BJ235:$BT235,,AH235+1)*AF235-ERP_i)*AE235*Ramure*Pc/MaxiM</f>
        <v>2.0758271714202286E-2</v>
      </c>
      <c r="AE235" s="305">
        <f t="shared" si="92"/>
        <v>0.8</v>
      </c>
      <c r="AF235" s="177">
        <f t="shared" si="93"/>
        <v>0.953207138972477</v>
      </c>
      <c r="AG235" s="809">
        <f t="shared" si="99"/>
        <v>2</v>
      </c>
      <c r="AH235" s="176">
        <f t="shared" si="94"/>
        <v>8</v>
      </c>
      <c r="AI235" s="225">
        <f t="shared" si="95"/>
        <v>2.953207138972477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IF(t&gt;Tmaj,'2023'!Wh/'2023'!Env_an*'2024'!Env_an,0.001*'[10]mon-tableau (1)'!$B$149)</f>
        <v>39.369911738317697</v>
      </c>
      <c r="C236" s="839"/>
      <c r="D236" s="393">
        <f t="shared" si="77"/>
        <v>42.379737492017959</v>
      </c>
      <c r="E236" s="385">
        <f t="shared" si="100"/>
        <v>47.100357561278187</v>
      </c>
      <c r="F236" s="385">
        <f t="shared" si="78"/>
        <v>47.400834353174105</v>
      </c>
      <c r="G236" s="110">
        <f t="shared" si="101"/>
        <v>0.8681223773549408</v>
      </c>
      <c r="H236" s="414" t="b">
        <f>Wh_hp&gt;='2023'!Maxi_hp</f>
        <v>0</v>
      </c>
      <c r="I236" s="390">
        <f>IF(H236,Wh_hp,'2023'!Maxi_hp)</f>
        <v>48.556121526495438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7.1020396345474107E-2</v>
      </c>
      <c r="M236" s="843"/>
      <c r="N236" s="843"/>
      <c r="O236" s="48">
        <f>IF(t&lt;Tnet,'2023'!Resal+('2023'!Salim-'2023'!Resal)*(1-EXP(('2023'!Tnet-t)/('2023'!Tau_j))),Resal+(Salim-Resal)*(1-EXP((Tnet-t)/(Tau_j))))*Salcycl</f>
        <v>0.1002247183180858</v>
      </c>
      <c r="P236" s="169">
        <f>(INDEX(Models!$BJ236:$BT236,,T236)*(1-R236)+INDEX(Models!$BJ236:$BT236,,T236+1)*R236-ERP_i)*Q236*Ramure*Pc/MaxiM</f>
        <v>7.7930895955834458E-3</v>
      </c>
      <c r="Q236" s="305">
        <f t="shared" si="80"/>
        <v>0.8</v>
      </c>
      <c r="R236" s="177">
        <f t="shared" si="81"/>
        <v>0.75424224236664994</v>
      </c>
      <c r="S236" s="809">
        <f t="shared" si="82"/>
        <v>1</v>
      </c>
      <c r="T236" s="176">
        <f t="shared" si="83"/>
        <v>7</v>
      </c>
      <c r="U236" s="251">
        <f t="shared" si="84"/>
        <v>1.7542422423666499</v>
      </c>
      <c r="V236" s="383">
        <f t="shared" si="85"/>
        <v>45.284285489578679</v>
      </c>
      <c r="W236" s="402">
        <f t="shared" si="86"/>
        <v>39.369911738317697</v>
      </c>
      <c r="X236" s="157">
        <f t="shared" si="87"/>
        <v>45513</v>
      </c>
      <c r="Y236" s="385">
        <f t="shared" si="88"/>
        <v>36.22949907999984</v>
      </c>
      <c r="Z236" s="385">
        <f t="shared" si="89"/>
        <v>38.999240604934819</v>
      </c>
      <c r="AA236" s="386">
        <f t="shared" si="90"/>
        <v>46.570982893708909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0.16258497927895202</v>
      </c>
      <c r="AD236" s="231">
        <f>(INDEX(Models!$BJ236:$BT236,,AH236)*(1-AF236)+INDEX(Models!$BJ236:$BT236,,AH236+1)*AF236-ERP_i)*AE236*Ramure*Pc/MaxiM</f>
        <v>2.152281623426703E-2</v>
      </c>
      <c r="AE236" s="305">
        <f t="shared" si="92"/>
        <v>0.8</v>
      </c>
      <c r="AF236" s="177">
        <f t="shared" si="93"/>
        <v>0.95495898953155356</v>
      </c>
      <c r="AG236" s="809">
        <f t="shared" si="99"/>
        <v>2</v>
      </c>
      <c r="AH236" s="176">
        <f t="shared" si="94"/>
        <v>8</v>
      </c>
      <c r="AI236" s="225">
        <f t="shared" si="95"/>
        <v>2.9549589895315536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IF(t&gt;Tmaj,'2023'!Wh/'2023'!Env_an*'2024'!Env_an,0.001*'[10]mon-tableau (1)'!$B$150)</f>
        <v>37.537377387213802</v>
      </c>
      <c r="C237" s="839"/>
      <c r="D237" s="393">
        <f t="shared" si="77"/>
        <v>40.408067800280143</v>
      </c>
      <c r="E237" s="385">
        <f t="shared" si="100"/>
        <v>44.915054876465248</v>
      </c>
      <c r="F237" s="385">
        <f t="shared" si="78"/>
        <v>45.188931263113062</v>
      </c>
      <c r="G237" s="110">
        <f t="shared" si="101"/>
        <v>0.83108154553674374</v>
      </c>
      <c r="H237" s="414" t="b">
        <f>Wh_hp&gt;='2023'!Maxi_hp</f>
        <v>0</v>
      </c>
      <c r="I237" s="390">
        <f>IF(H237,Wh_hp,'2023'!Maxi_hp)</f>
        <v>47.670695144219835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7.1042506344399931E-2</v>
      </c>
      <c r="M237" s="843"/>
      <c r="N237" s="843"/>
      <c r="O237" s="48">
        <f>IF(t&lt;Tnet,'2023'!Resal+('2023'!Salim-'2023'!Resal)*(1-EXP(('2023'!Tnet-t)/('2023'!Tau_j))),Resal+(Salim-Resal)*(1-EXP((Tnet-t)/(Tau_j))))*Salcycl</f>
        <v>0.10034468595398943</v>
      </c>
      <c r="P237" s="169">
        <f>(INDEX(Models!$BJ237:$BT237,,T237)*(1-R237)+INDEX(Models!$BJ237:$BT237,,T237+1)*R237-ERP_i)*Q237*Ramure*Pc/MaxiM</f>
        <v>7.964473450631936E-3</v>
      </c>
      <c r="Q237" s="305">
        <f t="shared" si="80"/>
        <v>0.8</v>
      </c>
      <c r="R237" s="177">
        <f t="shared" si="81"/>
        <v>0.75593400969426106</v>
      </c>
      <c r="S237" s="809">
        <f t="shared" si="82"/>
        <v>1</v>
      </c>
      <c r="T237" s="176">
        <f t="shared" si="83"/>
        <v>7</v>
      </c>
      <c r="U237" s="251">
        <f t="shared" si="84"/>
        <v>1.7559340096942611</v>
      </c>
      <c r="V237" s="383">
        <f t="shared" si="85"/>
        <v>45.080388356819107</v>
      </c>
      <c r="W237" s="402">
        <f t="shared" si="86"/>
        <v>37.537377387213802</v>
      </c>
      <c r="X237" s="157">
        <f t="shared" si="87"/>
        <v>45514</v>
      </c>
      <c r="Y237" s="385">
        <f t="shared" si="88"/>
        <v>34.554140397288791</v>
      </c>
      <c r="Z237" s="385">
        <f t="shared" si="89"/>
        <v>37.196686213609816</v>
      </c>
      <c r="AA237" s="386">
        <f t="shared" si="90"/>
        <v>44.420102577559973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0.1626159316345043</v>
      </c>
      <c r="AD237" s="231">
        <f>(INDEX(Models!$BJ237:$BT237,,AH237)*(1-AF237)+INDEX(Models!$BJ237:$BT237,,AH237+1)*AF237-ERP_i)*AE237*Ramure*Pc/MaxiM</f>
        <v>2.235795399932029E-2</v>
      </c>
      <c r="AE237" s="305">
        <f t="shared" si="92"/>
        <v>0.8</v>
      </c>
      <c r="AF237" s="177">
        <f t="shared" si="93"/>
        <v>0.95665075685916445</v>
      </c>
      <c r="AG237" s="809">
        <f t="shared" si="99"/>
        <v>2</v>
      </c>
      <c r="AH237" s="176">
        <f t="shared" si="94"/>
        <v>8</v>
      </c>
      <c r="AI237" s="225">
        <f t="shared" si="95"/>
        <v>2.9566507568591645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IF(t&gt;Tmaj,'2023'!Wh/'2023'!Env_an*'2024'!Env_an,0.001*'[10]mon-tableau (1)'!$B$151)</f>
        <v>38.824291185999236</v>
      </c>
      <c r="C238" s="839"/>
      <c r="D238" s="393">
        <f t="shared" si="77"/>
        <v>41.794393719470776</v>
      </c>
      <c r="E238" s="385">
        <f t="shared" si="100"/>
        <v>46.462181560544515</v>
      </c>
      <c r="F238" s="385">
        <f t="shared" si="78"/>
        <v>46.770409349134361</v>
      </c>
      <c r="G238" s="110">
        <f t="shared" si="101"/>
        <v>0.86385436900260759</v>
      </c>
      <c r="H238" s="414" t="b">
        <f>Wh_hp&gt;='2023'!Maxi_hp</f>
        <v>0</v>
      </c>
      <c r="I238" s="390">
        <f>IF(H238,Wh_hp,'2023'!Maxi_hp)</f>
        <v>46.829298793552006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7.1064615828793781E-2</v>
      </c>
      <c r="M238" s="843"/>
      <c r="N238" s="843"/>
      <c r="O238" s="48">
        <f>IF(t&lt;Tnet,'2023'!Resal+('2023'!Salim-'2023'!Resal)*(1-EXP(('2023'!Tnet-t)/('2023'!Tau_j))),Resal+(Salim-Resal)*(1-EXP((Tnet-t)/(Tau_j))))*Salcycl</f>
        <v>0.10046424176168266</v>
      </c>
      <c r="P238" s="169">
        <f>(INDEX(Models!$BJ238:$BT238,,T238)*(1-R238)+INDEX(Models!$BJ238:$BT238,,T238+1)*R238-ERP_i)*Q238*Ramure*Pc/MaxiM</f>
        <v>8.1616658476569449E-3</v>
      </c>
      <c r="Q238" s="305">
        <f t="shared" si="80"/>
        <v>0.8</v>
      </c>
      <c r="R238" s="177">
        <f t="shared" si="81"/>
        <v>0.75756737647934047</v>
      </c>
      <c r="S238" s="809">
        <f t="shared" si="82"/>
        <v>1</v>
      </c>
      <c r="T238" s="176">
        <f t="shared" si="83"/>
        <v>7</v>
      </c>
      <c r="U238" s="251">
        <f t="shared" si="84"/>
        <v>1.7575673764793405</v>
      </c>
      <c r="V238" s="383">
        <f t="shared" si="85"/>
        <v>44.872003876699559</v>
      </c>
      <c r="W238" s="402">
        <f t="shared" si="86"/>
        <v>38.824291185999236</v>
      </c>
      <c r="X238" s="157">
        <f t="shared" si="87"/>
        <v>45515</v>
      </c>
      <c r="Y238" s="385">
        <f t="shared" si="88"/>
        <v>35.696819475926219</v>
      </c>
      <c r="Z238" s="385">
        <f t="shared" si="89"/>
        <v>38.427666858416451</v>
      </c>
      <c r="AA238" s="386">
        <f t="shared" si="90"/>
        <v>45.891806558028016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0.16264645607650066</v>
      </c>
      <c r="AD238" s="231">
        <f>(INDEX(Models!$BJ238:$BT238,,AH238)*(1-AF238)+INDEX(Models!$BJ238:$BT238,,AH238+1)*AF238-ERP_i)*AE238*Ramure*Pc/MaxiM</f>
        <v>2.3264814722370516E-2</v>
      </c>
      <c r="AE238" s="305">
        <f t="shared" si="92"/>
        <v>0.8</v>
      </c>
      <c r="AF238" s="177">
        <f t="shared" si="93"/>
        <v>0.95828412364424409</v>
      </c>
      <c r="AG238" s="809">
        <f t="shared" si="99"/>
        <v>2</v>
      </c>
      <c r="AH238" s="176">
        <f t="shared" si="94"/>
        <v>8</v>
      </c>
      <c r="AI238" s="225">
        <f t="shared" si="95"/>
        <v>2.9582841236442441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IF(t&gt;Tmaj,'2023'!Wh/'2023'!Env_an*'2024'!Env_an,0.001*'[10]mon-tableau (1)'!$B$152)</f>
        <v>30.100642531651559</v>
      </c>
      <c r="C239" s="839"/>
      <c r="D239" s="393">
        <f t="shared" si="77"/>
        <v>32.404147227982669</v>
      </c>
      <c r="E239" s="385">
        <f t="shared" si="100"/>
        <v>36.027961389974834</v>
      </c>
      <c r="F239" s="385">
        <f t="shared" si="78"/>
        <v>36.190098707859065</v>
      </c>
      <c r="G239" s="110">
        <f t="shared" si="101"/>
        <v>0.67136625550815032</v>
      </c>
      <c r="H239" s="414" t="b">
        <f>Wh_hp&gt;='2023'!Maxi_hp</f>
        <v>0</v>
      </c>
      <c r="I239" s="390">
        <f>IF(H239,Wh_hp,'2023'!Maxi_hp)</f>
        <v>47.124763109850662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7.108672479866765E-2</v>
      </c>
      <c r="M239" s="843"/>
      <c r="N239" s="843"/>
      <c r="O239" s="48">
        <f>IF(t&lt;Tnet,'2023'!Resal+('2023'!Salim-'2023'!Resal)*(1-EXP(('2023'!Tnet-t)/('2023'!Tau_j))),Resal+(Salim-Resal)*(1-EXP((Tnet-t)/(Tau_j))))*Salcycl</f>
        <v>0.10058338085708429</v>
      </c>
      <c r="P239" s="169">
        <f>(INDEX(Models!$BJ239:$BT239,,T239)*(1-R239)+INDEX(Models!$BJ239:$BT239,,T239+1)*R239-ERP_i)*Q239*Ramure*Pc/MaxiM</f>
        <v>8.3850945543633825E-3</v>
      </c>
      <c r="Q239" s="305">
        <f t="shared" si="80"/>
        <v>0.8</v>
      </c>
      <c r="R239" s="177">
        <f t="shared" si="81"/>
        <v>0.75914400647263269</v>
      </c>
      <c r="S239" s="809">
        <f t="shared" si="82"/>
        <v>1</v>
      </c>
      <c r="T239" s="176">
        <f t="shared" si="83"/>
        <v>7</v>
      </c>
      <c r="U239" s="251">
        <f t="shared" si="84"/>
        <v>1.7591440064726327</v>
      </c>
      <c r="V239" s="383">
        <f t="shared" si="85"/>
        <v>44.659039948016009</v>
      </c>
      <c r="W239" s="402">
        <f t="shared" si="86"/>
        <v>30.100642531651559</v>
      </c>
      <c r="X239" s="157">
        <f t="shared" si="87"/>
        <v>45516</v>
      </c>
      <c r="Y239" s="385">
        <f t="shared" si="88"/>
        <v>27.784055699420055</v>
      </c>
      <c r="Z239" s="385">
        <f t="shared" si="89"/>
        <v>29.910279507414884</v>
      </c>
      <c r="AA239" s="386">
        <f t="shared" si="90"/>
        <v>35.721296646166522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0.16267654548803329</v>
      </c>
      <c r="AD239" s="231">
        <f>(INDEX(Models!$BJ239:$BT239,,AH239)*(1-AF239)+INDEX(Models!$BJ239:$BT239,,AH239+1)*AF239-ERP_i)*AE239*Ramure*Pc/MaxiM</f>
        <v>2.4244570379407068E-2</v>
      </c>
      <c r="AE239" s="305">
        <f t="shared" si="92"/>
        <v>0.8</v>
      </c>
      <c r="AF239" s="177">
        <f t="shared" si="93"/>
        <v>0.95986075363753631</v>
      </c>
      <c r="AG239" s="809">
        <f t="shared" si="99"/>
        <v>2</v>
      </c>
      <c r="AH239" s="176">
        <f t="shared" si="94"/>
        <v>8</v>
      </c>
      <c r="AI239" s="225">
        <f t="shared" si="95"/>
        <v>2.9598607536375363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IF(t&gt;Tmaj,'2023'!Wh/'2023'!Env_an*'2024'!Env_an,0.001*'[10]mon-tableau (1)'!$B$153)</f>
        <v>27.227867390126207</v>
      </c>
      <c r="C240" s="839"/>
      <c r="D240" s="393">
        <f t="shared" si="77"/>
        <v>29.312225548994256</v>
      </c>
      <c r="E240" s="385">
        <f t="shared" si="100"/>
        <v>32.594566776928765</v>
      </c>
      <c r="F240" s="385">
        <f t="shared" si="78"/>
        <v>32.72109201526488</v>
      </c>
      <c r="G240" s="110">
        <f t="shared" si="101"/>
        <v>0.60973611167349728</v>
      </c>
      <c r="H240" s="414" t="b">
        <f>Wh_hp&gt;='2023'!Maxi_hp</f>
        <v>0</v>
      </c>
      <c r="I240" s="390">
        <f>IF(H240,Wh_hp,'2023'!Maxi_hp)</f>
        <v>53.688303667232056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7.1108833254033416E-2</v>
      </c>
      <c r="M240" s="843"/>
      <c r="N240" s="843"/>
      <c r="O240" s="48">
        <f>IF(t&lt;Tnet,'2023'!Resal+('2023'!Salim-'2023'!Resal)*(1-EXP(('2023'!Tnet-t)/('2023'!Tau_j))),Resal+(Salim-Resal)*(1-EXP((Tnet-t)/(Tau_j))))*Salcycl</f>
        <v>0.10070209708256739</v>
      </c>
      <c r="P240" s="169">
        <f>(INDEX(Models!$BJ240:$BT240,,T240)*(1-R240)+INDEX(Models!$BJ240:$BT240,,T240+1)*R240-ERP_i)*Q240*Ramure*Pc/MaxiM</f>
        <v>8.6565409666673164E-3</v>
      </c>
      <c r="Q240" s="305">
        <f t="shared" si="80"/>
        <v>0.8</v>
      </c>
      <c r="R240" s="177">
        <f t="shared" si="81"/>
        <v>0.76066554234577133</v>
      </c>
      <c r="S240" s="809">
        <f t="shared" si="82"/>
        <v>1</v>
      </c>
      <c r="T240" s="176">
        <f t="shared" si="83"/>
        <v>7</v>
      </c>
      <c r="U240" s="251">
        <f t="shared" si="84"/>
        <v>1.7606655423457713</v>
      </c>
      <c r="V240" s="383">
        <f t="shared" si="85"/>
        <v>44.440448301941977</v>
      </c>
      <c r="W240" s="402">
        <f t="shared" si="86"/>
        <v>27.227867390126207</v>
      </c>
      <c r="X240" s="157">
        <f t="shared" si="87"/>
        <v>45517</v>
      </c>
      <c r="Y240" s="385">
        <f t="shared" si="88"/>
        <v>25.161222268732384</v>
      </c>
      <c r="Z240" s="385">
        <f t="shared" si="89"/>
        <v>27.087373816757893</v>
      </c>
      <c r="AA240" s="386">
        <f t="shared" si="90"/>
        <v>32.351097687006536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0.16270619071954276</v>
      </c>
      <c r="AD240" s="231">
        <f>(INDEX(Models!$BJ240:$BT240,,AH240)*(1-AF240)+INDEX(Models!$BJ240:$BT240,,AH240+1)*AF240-ERP_i)*AE240*Ramure*Pc/MaxiM</f>
        <v>2.5314088336228956E-2</v>
      </c>
      <c r="AE240" s="305">
        <f t="shared" si="92"/>
        <v>0.8</v>
      </c>
      <c r="AF240" s="177">
        <f t="shared" si="93"/>
        <v>0.96138228951067495</v>
      </c>
      <c r="AG240" s="809">
        <f t="shared" si="99"/>
        <v>2</v>
      </c>
      <c r="AH240" s="176">
        <f t="shared" si="94"/>
        <v>8</v>
      </c>
      <c r="AI240" s="225">
        <f t="shared" si="95"/>
        <v>2.9613822895106749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IF(t&gt;Tmaj,'2023'!Wh/'2023'!Env_an*'2024'!Env_an,0.001*'[10]mon-tableau (1)'!$B$154)</f>
        <v>33.188983114144492</v>
      </c>
      <c r="C241" s="839"/>
      <c r="D241" s="393">
        <f t="shared" si="77"/>
        <v>35.730529292082366</v>
      </c>
      <c r="E241" s="385">
        <f t="shared" si="100"/>
        <v>39.736809666187717</v>
      </c>
      <c r="F241" s="385">
        <f t="shared" si="78"/>
        <v>39.967441500234862</v>
      </c>
      <c r="G241" s="110">
        <f t="shared" si="101"/>
        <v>0.74818729626120184</v>
      </c>
      <c r="H241" s="414" t="b">
        <f>Wh_hp&gt;='2023'!Maxi_hp</f>
        <v>0</v>
      </c>
      <c r="I241" s="390">
        <f>IF(H241,Wh_hp,'2023'!Maxi_hp)</f>
        <v>46.59214980096219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7.113094119490318E-2</v>
      </c>
      <c r="M241" s="843"/>
      <c r="N241" s="843"/>
      <c r="O241" s="48">
        <f>IF(t&lt;Tnet,'2023'!Resal+('2023'!Salim-'2023'!Resal)*(1-EXP(('2023'!Tnet-t)/('2023'!Tau_j))),Resal+(Salim-Resal)*(1-EXP((Tnet-t)/(Tau_j))))*Salcycl</f>
        <v>0.10082038310977744</v>
      </c>
      <c r="P241" s="169">
        <f>(INDEX(Models!$BJ241:$BT241,,T241)*(1-R241)+INDEX(Models!$BJ241:$BT241,,T241+1)*R241-ERP_i)*Q241*Ramure*Pc/MaxiM</f>
        <v>8.9643984849545524E-3</v>
      </c>
      <c r="Q241" s="305">
        <f t="shared" si="80"/>
        <v>0.8</v>
      </c>
      <c r="R241" s="177">
        <f t="shared" si="81"/>
        <v>0.76213360377341965</v>
      </c>
      <c r="S241" s="809">
        <f t="shared" si="82"/>
        <v>1</v>
      </c>
      <c r="T241" s="176">
        <f t="shared" si="83"/>
        <v>7</v>
      </c>
      <c r="U241" s="251">
        <f t="shared" si="84"/>
        <v>1.7621336037734197</v>
      </c>
      <c r="V241" s="383">
        <f t="shared" si="85"/>
        <v>44.216689539326772</v>
      </c>
      <c r="W241" s="402">
        <f t="shared" si="86"/>
        <v>33.188983114144492</v>
      </c>
      <c r="X241" s="157">
        <f t="shared" si="87"/>
        <v>45518</v>
      </c>
      <c r="Y241" s="385">
        <f t="shared" si="88"/>
        <v>30.553902976698417</v>
      </c>
      <c r="Z241" s="385">
        <f t="shared" si="89"/>
        <v>32.893659969687391</v>
      </c>
      <c r="AA241" s="386">
        <f t="shared" si="90"/>
        <v>39.287053595711093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0.16273538076476324</v>
      </c>
      <c r="AD241" s="231">
        <f>(INDEX(Models!$BJ241:$BT241,,AH241)*(1-AF241)+INDEX(Models!$BJ241:$BT241,,AH241+1)*AF241-ERP_i)*AE241*Ramure*Pc/MaxiM</f>
        <v>2.6445908153543734E-2</v>
      </c>
      <c r="AE241" s="305">
        <f t="shared" si="92"/>
        <v>0.8</v>
      </c>
      <c r="AF241" s="177">
        <f t="shared" si="93"/>
        <v>0.96285035093832327</v>
      </c>
      <c r="AG241" s="809">
        <f t="shared" si="99"/>
        <v>2</v>
      </c>
      <c r="AH241" s="176">
        <f t="shared" si="94"/>
        <v>8</v>
      </c>
      <c r="AI241" s="225">
        <f t="shared" si="95"/>
        <v>2.9628503509383233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IF(t&gt;Tmaj,'2023'!Wh/'2023'!Env_an*'2024'!Env_an,0.001*'[10]mon-tableau (1)'!$B$155)</f>
        <v>30.059678259075103</v>
      </c>
      <c r="C242" s="839"/>
      <c r="D242" s="393">
        <f t="shared" si="77"/>
        <v>32.362358744308473</v>
      </c>
      <c r="E242" s="385">
        <f t="shared" si="100"/>
        <v>35.995701122591271</v>
      </c>
      <c r="F242" s="385">
        <f t="shared" si="78"/>
        <v>36.180160035461128</v>
      </c>
      <c r="G242" s="110">
        <f t="shared" si="101"/>
        <v>0.68047360145894675</v>
      </c>
      <c r="H242" s="414" t="b">
        <f>Wh_hp&gt;='2023'!Maxi_hp</f>
        <v>0</v>
      </c>
      <c r="I242" s="390">
        <f>IF(H242,Wh_hp,'2023'!Maxi_hp)</f>
        <v>52.312778726424021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7.1153048621288822E-2</v>
      </c>
      <c r="M242" s="843"/>
      <c r="N242" s="843"/>
      <c r="O242" s="48">
        <f>IF(t&lt;Tnet,'2023'!Resal+('2023'!Salim-'2023'!Resal)*(1-EXP(('2023'!Tnet-t)/('2023'!Tau_j))),Resal+(Salim-Resal)*(1-EXP((Tnet-t)/(Tau_j))))*Salcycl</f>
        <v>0.10093823053782601</v>
      </c>
      <c r="P242" s="169">
        <f>(INDEX(Models!$BJ242:$BT242,,T242)*(1-R242)+INDEX(Models!$BJ242:$BT242,,T242+1)*R242-ERP_i)*Q242*Ramure*Pc/MaxiM</f>
        <v>9.3092286128261606E-3</v>
      </c>
      <c r="Q242" s="305">
        <f t="shared" si="80"/>
        <v>0.8</v>
      </c>
      <c r="R242" s="177">
        <f t="shared" si="81"/>
        <v>0.76354978572704213</v>
      </c>
      <c r="S242" s="809">
        <f t="shared" si="82"/>
        <v>1</v>
      </c>
      <c r="T242" s="176">
        <f t="shared" si="83"/>
        <v>7</v>
      </c>
      <c r="U242" s="251">
        <f t="shared" si="84"/>
        <v>1.7635497857270421</v>
      </c>
      <c r="V242" s="383">
        <f t="shared" si="85"/>
        <v>43.987675235396459</v>
      </c>
      <c r="W242" s="402">
        <f t="shared" si="86"/>
        <v>30.059678259075103</v>
      </c>
      <c r="X242" s="157">
        <f t="shared" si="87"/>
        <v>45519</v>
      </c>
      <c r="Y242" s="385">
        <f t="shared" si="88"/>
        <v>27.710083315209289</v>
      </c>
      <c r="Z242" s="385">
        <f t="shared" si="89"/>
        <v>29.832776297622019</v>
      </c>
      <c r="AA242" s="386">
        <f t="shared" si="90"/>
        <v>35.632462012149432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0.16276410292810869</v>
      </c>
      <c r="AD242" s="231">
        <f>(INDEX(Models!$BJ242:$BT242,,AH242)*(1-AF242)+INDEX(Models!$BJ242:$BT242,,AH242+1)*AF242-ERP_i)*AE242*Ramure*Pc/MaxiM</f>
        <v>2.7641093783301561E-2</v>
      </c>
      <c r="AE242" s="305">
        <f t="shared" si="92"/>
        <v>0.8</v>
      </c>
      <c r="AF242" s="177">
        <f t="shared" si="93"/>
        <v>0.96426653289194597</v>
      </c>
      <c r="AG242" s="809">
        <f t="shared" si="99"/>
        <v>2</v>
      </c>
      <c r="AH242" s="176">
        <f t="shared" si="94"/>
        <v>8</v>
      </c>
      <c r="AI242" s="225">
        <f t="shared" si="95"/>
        <v>2.964266532891946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IF(t&gt;Tmaj,'2023'!Wh/'2023'!Env_an*'2024'!Env_an,0.001*'[10]mon-tableau (1)'!$B$156)</f>
        <v>23.978264301159225</v>
      </c>
      <c r="C243" s="839"/>
      <c r="D243" s="393">
        <f t="shared" si="77"/>
        <v>25.815700822391562</v>
      </c>
      <c r="E243" s="385">
        <f t="shared" si="100"/>
        <v>28.717795765245789</v>
      </c>
      <c r="F243" s="385">
        <f t="shared" si="78"/>
        <v>28.816754220557705</v>
      </c>
      <c r="G243" s="110">
        <f t="shared" si="101"/>
        <v>0.54459189158711074</v>
      </c>
      <c r="H243" s="414" t="b">
        <f>Wh_hp&gt;='2023'!Maxi_hp</f>
        <v>0</v>
      </c>
      <c r="I243" s="390">
        <f>IF(H243,Wh_hp,'2023'!Maxi_hp)</f>
        <v>51.695304108145685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7.1175155533202333E-2</v>
      </c>
      <c r="M243" s="843"/>
      <c r="N243" s="843"/>
      <c r="O243" s="48">
        <f>IF(t&lt;Tnet,'2023'!Resal+('2023'!Salim-'2023'!Resal)*(1-EXP(('2023'!Tnet-t)/('2023'!Tau_j))),Resal+(Salim-Resal)*(1-EXP((Tnet-t)/(Tau_j))))*Salcycl</f>
        <v>0.1010556299855831</v>
      </c>
      <c r="P243" s="169">
        <f>(INDEX(Models!$BJ243:$BT243,,T243)*(1-R243)+INDEX(Models!$BJ243:$BT243,,T243+1)*R243-ERP_i)*Q243*Ramure*Pc/MaxiM</f>
        <v>9.6916186636554942E-3</v>
      </c>
      <c r="Q243" s="305">
        <f t="shared" si="80"/>
        <v>0.8</v>
      </c>
      <c r="R243" s="177">
        <f t="shared" si="81"/>
        <v>0.76491565696886532</v>
      </c>
      <c r="S243" s="809">
        <f t="shared" si="82"/>
        <v>1</v>
      </c>
      <c r="T243" s="176">
        <f t="shared" si="83"/>
        <v>7</v>
      </c>
      <c r="U243" s="251">
        <f t="shared" si="84"/>
        <v>1.7649156569688653</v>
      </c>
      <c r="V243" s="383">
        <f t="shared" si="85"/>
        <v>43.753317349959204</v>
      </c>
      <c r="W243" s="402">
        <f t="shared" si="86"/>
        <v>23.978264301159225</v>
      </c>
      <c r="X243" s="157">
        <f t="shared" si="87"/>
        <v>45520</v>
      </c>
      <c r="Y243" s="385">
        <f t="shared" si="88"/>
        <v>22.178989753082316</v>
      </c>
      <c r="Z243" s="385">
        <f t="shared" si="89"/>
        <v>23.878549206782267</v>
      </c>
      <c r="AA243" s="386">
        <f t="shared" si="90"/>
        <v>28.521656492989898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0.16279234298151021</v>
      </c>
      <c r="AD243" s="231">
        <f>(INDEX(Models!$BJ243:$BT243,,AH243)*(1-AF243)+INDEX(Models!$BJ243:$BT243,,AH243+1)*AF243-ERP_i)*AE243*Ramure*Pc/MaxiM</f>
        <v>2.8900760779701776E-2</v>
      </c>
      <c r="AE243" s="305">
        <f t="shared" si="92"/>
        <v>0.8</v>
      </c>
      <c r="AF243" s="177">
        <f t="shared" si="93"/>
        <v>0.96563240413376894</v>
      </c>
      <c r="AG243" s="809">
        <f t="shared" si="99"/>
        <v>2</v>
      </c>
      <c r="AH243" s="176">
        <f t="shared" si="94"/>
        <v>8</v>
      </c>
      <c r="AI243" s="225">
        <f t="shared" si="95"/>
        <v>2.9656324041337689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IF(t&gt;Tmaj,'2023'!Wh/'2023'!Env_an*'2024'!Env_an,0.001*'[10]mon-tableau (1)'!$B$157)</f>
        <v>32.336172586659004</v>
      </c>
      <c r="C244" s="839"/>
      <c r="D244" s="393">
        <f t="shared" si="77"/>
        <v>34.81489799855089</v>
      </c>
      <c r="E244" s="385">
        <f t="shared" si="100"/>
        <v>38.73368444500769</v>
      </c>
      <c r="F244" s="385">
        <f t="shared" si="78"/>
        <v>38.983233024900414</v>
      </c>
      <c r="G244" s="110">
        <f t="shared" si="101"/>
        <v>0.7403538483076213</v>
      </c>
      <c r="H244" s="414" t="b">
        <f>Wh_hp&gt;='2023'!Maxi_hp</f>
        <v>0</v>
      </c>
      <c r="I244" s="390">
        <f>IF(H244,Wh_hp,'2023'!Maxi_hp)</f>
        <v>51.933307624444232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7.1197261930655703E-2</v>
      </c>
      <c r="M244" s="843"/>
      <c r="N244" s="843"/>
      <c r="O244" s="48">
        <f>IF(t&lt;Tnet,'2023'!Resal+('2023'!Salim-'2023'!Resal)*(1-EXP(('2023'!Tnet-t)/('2023'!Tau_j))),Resal+(Salim-Resal)*(1-EXP((Tnet-t)/(Tau_j))))*Salcycl</f>
        <v>0.10117257117691743</v>
      </c>
      <c r="P244" s="169">
        <f>(INDEX(Models!$BJ244:$BT244,,T244)*(1-R244)+INDEX(Models!$BJ244:$BT244,,T244+1)*R244-ERP_i)*Q244*Ramure*Pc/MaxiM</f>
        <v>1.0112183427745048E-2</v>
      </c>
      <c r="Q244" s="305">
        <f t="shared" si="80"/>
        <v>0.8</v>
      </c>
      <c r="R244" s="177">
        <f t="shared" si="81"/>
        <v>0.76623275873464181</v>
      </c>
      <c r="S244" s="809">
        <f t="shared" si="82"/>
        <v>1</v>
      </c>
      <c r="T244" s="176">
        <f t="shared" si="83"/>
        <v>7</v>
      </c>
      <c r="U244" s="251">
        <f t="shared" si="84"/>
        <v>1.7662327587346418</v>
      </c>
      <c r="V244" s="383">
        <f t="shared" si="85"/>
        <v>43.513528226049452</v>
      </c>
      <c r="W244" s="402">
        <f t="shared" si="86"/>
        <v>32.336172586659004</v>
      </c>
      <c r="X244" s="157">
        <f t="shared" si="87"/>
        <v>45521</v>
      </c>
      <c r="Y244" s="385">
        <f t="shared" si="88"/>
        <v>29.732378923793547</v>
      </c>
      <c r="Z244" s="385">
        <f t="shared" si="89"/>
        <v>32.011510846314636</v>
      </c>
      <c r="AA244" s="386">
        <f t="shared" si="90"/>
        <v>38.237313490884844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0.16282008530893105</v>
      </c>
      <c r="AD244" s="231">
        <f>(INDEX(Models!$BJ244:$BT244,,AH244)*(1-AF244)+INDEX(Models!$BJ244:$BT244,,AH244+1)*AF244-ERP_i)*AE244*Ramure*Pc/MaxiM</f>
        <v>3.0226079240947393E-2</v>
      </c>
      <c r="AE244" s="305">
        <f t="shared" si="92"/>
        <v>0.8</v>
      </c>
      <c r="AF244" s="177">
        <f t="shared" si="93"/>
        <v>0.96694950589954543</v>
      </c>
      <c r="AG244" s="809">
        <f t="shared" si="99"/>
        <v>2</v>
      </c>
      <c r="AH244" s="176">
        <f t="shared" si="94"/>
        <v>8</v>
      </c>
      <c r="AI244" s="225">
        <f t="shared" si="95"/>
        <v>2.9669495058995454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IF(t&gt;Tmaj,'2023'!Wh/'2023'!Env_an*'2024'!Env_an,0.001*'[10]mon-tableau (1)'!$B$158)</f>
        <v>33.549453986499188</v>
      </c>
      <c r="C245" s="839"/>
      <c r="D245" s="393">
        <f t="shared" si="77"/>
        <v>36.122043057168575</v>
      </c>
      <c r="E245" s="385">
        <f t="shared" si="100"/>
        <v>40.19317087049469</v>
      </c>
      <c r="F245" s="385">
        <f t="shared" si="78"/>
        <v>40.483818427324188</v>
      </c>
      <c r="G245" s="110">
        <f t="shared" si="101"/>
        <v>0.77273397357807405</v>
      </c>
      <c r="H245" s="414" t="b">
        <f>Wh_hp&gt;='2023'!Maxi_hp</f>
        <v>0</v>
      </c>
      <c r="I245" s="390">
        <f>IF(H245,Wh_hp,'2023'!Maxi_hp)</f>
        <v>43.525494254603814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7.1219367813661033E-2</v>
      </c>
      <c r="M245" s="843"/>
      <c r="N245" s="843"/>
      <c r="O245" s="48">
        <f>IF(t&lt;Tnet,'2023'!Resal+('2023'!Salim-'2023'!Resal)*(1-EXP(('2023'!Tnet-t)/('2023'!Tau_j))),Resal+(Salim-Resal)*(1-EXP((Tnet-t)/(Tau_j))))*Salcycl</f>
        <v>0.10128904301786948</v>
      </c>
      <c r="P245" s="169">
        <f>(INDEX(Models!$BJ245:$BT245,,T245)*(1-R245)+INDEX(Models!$BJ245:$BT245,,T245+1)*R245-ERP_i)*Q245*Ramure*Pc/MaxiM</f>
        <v>1.0571566911182531E-2</v>
      </c>
      <c r="Q245" s="305">
        <f t="shared" si="80"/>
        <v>0.8</v>
      </c>
      <c r="R245" s="177">
        <f t="shared" si="81"/>
        <v>0.76750260359396894</v>
      </c>
      <c r="S245" s="809">
        <f t="shared" si="82"/>
        <v>1</v>
      </c>
      <c r="T245" s="176">
        <f t="shared" si="83"/>
        <v>7</v>
      </c>
      <c r="U245" s="251">
        <f t="shared" si="84"/>
        <v>1.7675026035939689</v>
      </c>
      <c r="V245" s="383">
        <f t="shared" si="85"/>
        <v>43.268220605618566</v>
      </c>
      <c r="W245" s="402">
        <f t="shared" si="86"/>
        <v>33.549453986499188</v>
      </c>
      <c r="X245" s="157">
        <f t="shared" si="87"/>
        <v>45522</v>
      </c>
      <c r="Y245" s="385">
        <f t="shared" si="88"/>
        <v>30.801530608456829</v>
      </c>
      <c r="Z245" s="385">
        <f t="shared" si="89"/>
        <v>33.163407527082448</v>
      </c>
      <c r="AA245" s="386">
        <f t="shared" si="90"/>
        <v>39.614526768578543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0.16284731303701938</v>
      </c>
      <c r="AD245" s="231">
        <f>(INDEX(Models!$BJ245:$BT245,,AH245)*(1-AF245)+INDEX(Models!$BJ245:$BT245,,AH245+1)*AF245-ERP_i)*AE245*Ramure*Pc/MaxiM</f>
        <v>3.1618276912450761E-2</v>
      </c>
      <c r="AE245" s="305">
        <f t="shared" si="92"/>
        <v>0.8</v>
      </c>
      <c r="AF245" s="177">
        <f t="shared" si="93"/>
        <v>0.96821935075887255</v>
      </c>
      <c r="AG245" s="809">
        <f t="shared" si="99"/>
        <v>2</v>
      </c>
      <c r="AH245" s="176">
        <f t="shared" si="94"/>
        <v>8</v>
      </c>
      <c r="AI245" s="225">
        <f t="shared" si="95"/>
        <v>2.9682193507588726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IF(t&gt;Tmaj,'2023'!Wh/'2023'!Env_an*'2024'!Env_an,0.001*'[10]mon-tableau (1)'!$B$159)</f>
        <v>40.440990191109492</v>
      </c>
      <c r="C246" s="839"/>
      <c r="D246" s="393">
        <f t="shared" si="77"/>
        <v>43.543062080596485</v>
      </c>
      <c r="E246" s="385">
        <f t="shared" si="100"/>
        <v>48.45682839531765</v>
      </c>
      <c r="F246" s="385">
        <f t="shared" si="78"/>
        <v>48.952387343770376</v>
      </c>
      <c r="G246" s="110">
        <f t="shared" si="101"/>
        <v>0.93921020675175892</v>
      </c>
      <c r="H246" s="414" t="b">
        <f>Wh_hp&gt;='2023'!Maxi_hp</f>
        <v>0</v>
      </c>
      <c r="I246" s="390">
        <f>IF(H246,Wh_hp,'2023'!Maxi_hp)</f>
        <v>48.990722574028382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7.1241473182230092E-2</v>
      </c>
      <c r="M246" s="843"/>
      <c r="N246" s="843"/>
      <c r="O246" s="48">
        <f>IF(t&lt;Tnet,'2023'!Resal+('2023'!Salim-'2023'!Resal)*(1-EXP(('2023'!Tnet-t)/('2023'!Tau_j))),Resal+(Salim-Resal)*(1-EXP((Tnet-t)/(Tau_j))))*Salcycl</f>
        <v>0.10140503366489373</v>
      </c>
      <c r="P246" s="169">
        <f>(INDEX(Models!$BJ246:$BT246,,T246)*(1-R246)+INDEX(Models!$BJ246:$BT246,,T246+1)*R246-ERP_i)*Q246*Ramure*Pc/MaxiM</f>
        <v>1.1070444164250333E-2</v>
      </c>
      <c r="Q246" s="305">
        <f t="shared" si="80"/>
        <v>0.8</v>
      </c>
      <c r="R246" s="177">
        <f t="shared" si="81"/>
        <v>0.76872667447711107</v>
      </c>
      <c r="S246" s="809">
        <f t="shared" si="82"/>
        <v>1</v>
      </c>
      <c r="T246" s="176">
        <f t="shared" si="83"/>
        <v>7</v>
      </c>
      <c r="U246" s="251">
        <f t="shared" si="84"/>
        <v>1.7687266744771111</v>
      </c>
      <c r="V246" s="383">
        <f t="shared" si="85"/>
        <v>43.017307628295512</v>
      </c>
      <c r="W246" s="402">
        <f t="shared" si="86"/>
        <v>40.440990191109492</v>
      </c>
      <c r="X246" s="157">
        <f t="shared" si="87"/>
        <v>45523</v>
      </c>
      <c r="Y246" s="385">
        <f t="shared" si="88"/>
        <v>36.908633804618212</v>
      </c>
      <c r="Z246" s="385">
        <f t="shared" si="89"/>
        <v>39.739752302548702</v>
      </c>
      <c r="AA246" s="386">
        <f t="shared" si="90"/>
        <v>47.471650252735756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0.1628740081506114</v>
      </c>
      <c r="AD246" s="231">
        <f>(INDEX(Models!$BJ246:$BT246,,AH246)*(1-AF246)+INDEX(Models!$BJ246:$BT246,,AH246+1)*AF246-ERP_i)*AE246*Ramure*Pc/MaxiM</f>
        <v>3.3078642489283688E-2</v>
      </c>
      <c r="AE246" s="305">
        <f t="shared" si="92"/>
        <v>0.8</v>
      </c>
      <c r="AF246" s="177">
        <f t="shared" si="93"/>
        <v>0.96944342164201469</v>
      </c>
      <c r="AG246" s="809">
        <f t="shared" si="99"/>
        <v>2</v>
      </c>
      <c r="AH246" s="176">
        <f t="shared" si="94"/>
        <v>8</v>
      </c>
      <c r="AI246" s="225">
        <f t="shared" si="95"/>
        <v>2.9694434216420147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IF(t&gt;Tmaj,'2023'!Wh/'2023'!Env_an*'2024'!Env_an,0.001*'[10]mon-tableau (1)'!$B$160)</f>
        <v>26.002343487137036</v>
      </c>
      <c r="C247" s="839"/>
      <c r="D247" s="393">
        <f t="shared" si="77"/>
        <v>27.997549005519073</v>
      </c>
      <c r="E247" s="385">
        <f t="shared" si="100"/>
        <v>31.161033678043292</v>
      </c>
      <c r="F247" s="385">
        <f t="shared" si="78"/>
        <v>31.321069465004921</v>
      </c>
      <c r="G247" s="110">
        <f t="shared" si="101"/>
        <v>0.60411079053060279</v>
      </c>
      <c r="H247" s="414" t="b">
        <f>Wh_hp&gt;='2023'!Maxi_hp</f>
        <v>0</v>
      </c>
      <c r="I247" s="390">
        <f>IF(H247,Wh_hp,'2023'!Maxi_hp)</f>
        <v>48.833127388179392</v>
      </c>
      <c r="J247" s="85">
        <f>IF(H247,An,'2023'!An_max)</f>
        <v>2019</v>
      </c>
      <c r="K247" s="197">
        <f t="shared" si="79"/>
        <v>45524</v>
      </c>
      <c r="L247" s="147">
        <f>IF(t&lt;Tvie,1-EXP((T0-t)*PertePVj)+'2023'!Pspv,1-EXP((T0-t)*PertePVj)+Pspv)</f>
        <v>7.1263578036374869E-2</v>
      </c>
      <c r="M247" s="843"/>
      <c r="N247" s="843"/>
      <c r="O247" s="48">
        <f>IF(t&lt;Tnet,'2023'!Resal+('2023'!Salim-'2023'!Resal)*(1-EXP(('2023'!Tnet-t)/('2023'!Tau_j))),Resal+(Salim-Resal)*(1-EXP((Tnet-t)/(Tau_j))))*Salcycl</f>
        <v>0.10152053058346629</v>
      </c>
      <c r="P247" s="169">
        <f>(INDEX(Models!$BJ247:$BT247,,T247)*(1-R247)+INDEX(Models!$BJ247:$BT247,,T247+1)*R247-ERP_i)*Q247*Ramure*Pc/MaxiM</f>
        <v>1.1609407128115073E-2</v>
      </c>
      <c r="Q247" s="305">
        <f t="shared" si="80"/>
        <v>0.8</v>
      </c>
      <c r="R247" s="177">
        <f t="shared" si="81"/>
        <v>0.7699064238575084</v>
      </c>
      <c r="S247" s="809">
        <f t="shared" si="82"/>
        <v>1</v>
      </c>
      <c r="T247" s="176">
        <f t="shared" si="83"/>
        <v>7</v>
      </c>
      <c r="U247" s="251">
        <f t="shared" si="84"/>
        <v>1.7699064238575084</v>
      </c>
      <c r="V247" s="383">
        <f t="shared" si="85"/>
        <v>42.761135402523315</v>
      </c>
      <c r="W247" s="402">
        <f t="shared" si="86"/>
        <v>26.002343487137036</v>
      </c>
      <c r="X247" s="157">
        <f t="shared" si="87"/>
        <v>45524</v>
      </c>
      <c r="Y247" s="385">
        <f t="shared" si="88"/>
        <v>23.97951359324836</v>
      </c>
      <c r="Z247" s="385">
        <f t="shared" si="89"/>
        <v>25.819503818476864</v>
      </c>
      <c r="AA247" s="386">
        <f t="shared" si="90"/>
        <v>30.843995334107987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0.16290015159206464</v>
      </c>
      <c r="AD247" s="231">
        <f>(INDEX(Models!$BJ247:$BT247,,AH247)*(1-AF247)+INDEX(Models!$BJ247:$BT247,,AH247+1)*AF247-ERP_i)*AE247*Ramure*Pc/MaxiM</f>
        <v>3.4608183088462745E-2</v>
      </c>
      <c r="AE247" s="305">
        <f t="shared" si="92"/>
        <v>0.8</v>
      </c>
      <c r="AF247" s="177">
        <f t="shared" si="93"/>
        <v>0.97062317102241202</v>
      </c>
      <c r="AG247" s="809">
        <f t="shared" si="99"/>
        <v>2</v>
      </c>
      <c r="AH247" s="176">
        <f t="shared" si="94"/>
        <v>8</v>
      </c>
      <c r="AI247" s="225">
        <f t="shared" si="95"/>
        <v>2.970623171022412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IF(t&gt;Tmaj,'2023'!Wh/'2023'!Env_an*'2024'!Env_an,0.001*'[10]mon-tableau (1)'!$B$161)</f>
        <v>22.831956757470611</v>
      </c>
      <c r="C248" s="839"/>
      <c r="D248" s="393">
        <f t="shared" si="77"/>
        <v>24.584478051211672</v>
      </c>
      <c r="E248" s="385">
        <f t="shared" si="100"/>
        <v>27.365817120837189</v>
      </c>
      <c r="F248" s="385">
        <f t="shared" si="78"/>
        <v>27.479460330441572</v>
      </c>
      <c r="G248" s="110">
        <f t="shared" si="101"/>
        <v>0.53287740075348455</v>
      </c>
      <c r="H248" s="414" t="b">
        <f>Wh_hp&gt;='2023'!Maxi_hp</f>
        <v>0</v>
      </c>
      <c r="I248" s="390">
        <f>IF(H248,Wh_hp,'2023'!Maxi_hp)</f>
        <v>52.442438256662555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7.1285682376107468E-2</v>
      </c>
      <c r="M248" s="843"/>
      <c r="N248" s="843"/>
      <c r="O248" s="48">
        <f>IF(t&lt;Tnet,'2023'!Resal+('2023'!Salim-'2023'!Resal)*(1-EXP(('2023'!Tnet-t)/('2023'!Tau_j))),Resal+(Salim-Resal)*(1-EXP((Tnet-t)/(Tau_j))))*Salcycl</f>
        <v>0.10163552059652248</v>
      </c>
      <c r="P248" s="169">
        <f>(INDEX(Models!$BJ248:$BT248,,T248)*(1-R248)+INDEX(Models!$BJ248:$BT248,,T248+1)*R248-ERP_i)*Q248*Ramure*Pc/MaxiM</f>
        <v>1.2202948042007307E-2</v>
      </c>
      <c r="Q248" s="305">
        <f t="shared" si="80"/>
        <v>0.8</v>
      </c>
      <c r="R248" s="177">
        <f t="shared" si="81"/>
        <v>0.77104327307945031</v>
      </c>
      <c r="S248" s="809">
        <f t="shared" si="82"/>
        <v>1</v>
      </c>
      <c r="T248" s="176">
        <f t="shared" si="83"/>
        <v>7</v>
      </c>
      <c r="U248" s="251">
        <f t="shared" si="84"/>
        <v>1.7710432730794503</v>
      </c>
      <c r="V248" s="383">
        <f t="shared" si="85"/>
        <v>42.499452538014197</v>
      </c>
      <c r="W248" s="402">
        <f t="shared" si="86"/>
        <v>22.831956757470611</v>
      </c>
      <c r="X248" s="157">
        <f t="shared" si="87"/>
        <v>45525</v>
      </c>
      <c r="Y248" s="385">
        <f t="shared" si="88"/>
        <v>21.100545392122509</v>
      </c>
      <c r="Z248" s="385">
        <f t="shared" si="89"/>
        <v>22.72016807720599</v>
      </c>
      <c r="AA248" s="386">
        <f t="shared" si="90"/>
        <v>27.142356073777943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0.16292572334367836</v>
      </c>
      <c r="AD248" s="231">
        <f>(INDEX(Models!$BJ248:$BT248,,AH248)*(1-AF248)+INDEX(Models!$BJ248:$BT248,,AH248+1)*AF248-ERP_i)*AE248*Ramure*Pc/MaxiM</f>
        <v>3.6198077677727362E-2</v>
      </c>
      <c r="AE248" s="305">
        <f t="shared" si="92"/>
        <v>0.8</v>
      </c>
      <c r="AF248" s="177">
        <f t="shared" si="93"/>
        <v>0.97176002024435393</v>
      </c>
      <c r="AG248" s="809">
        <f t="shared" si="99"/>
        <v>2</v>
      </c>
      <c r="AH248" s="176">
        <f t="shared" si="94"/>
        <v>8</v>
      </c>
      <c r="AI248" s="225">
        <f t="shared" si="95"/>
        <v>2.9717600202443539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IF(t&gt;Tmaj,'2023'!Wh/'2023'!Env_an*'2024'!Env_an,0.001*'[10]mon-tableau (1)'!$B$162)</f>
        <v>39.919720330461701</v>
      </c>
      <c r="C249" s="839"/>
      <c r="D249" s="393">
        <f t="shared" si="77"/>
        <v>42.984876730236657</v>
      </c>
      <c r="E249" s="385">
        <f t="shared" si="100"/>
        <v>47.854023098225795</v>
      </c>
      <c r="F249" s="385">
        <f t="shared" si="78"/>
        <v>48.427180048579579</v>
      </c>
      <c r="G249" s="110">
        <f t="shared" si="101"/>
        <v>0.94427184209134229</v>
      </c>
      <c r="H249" s="414" t="b">
        <f>Wh_hp&gt;='2023'!Maxi_hp</f>
        <v>0</v>
      </c>
      <c r="I249" s="390">
        <f>IF(H249,Wh_hp,'2023'!Maxi_hp)</f>
        <v>49.838510164075387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7.1307786201439766E-2</v>
      </c>
      <c r="M249" s="843"/>
      <c r="N249" s="843"/>
      <c r="O249" s="48">
        <f>IF(t&lt;Tnet,'2023'!Resal+('2023'!Salim-'2023'!Resal)*(1-EXP(('2023'!Tnet-t)/('2023'!Tau_j))),Resal+(Salim-Resal)*(1-EXP((Tnet-t)/(Tau_j))))*Salcycl</f>
        <v>0.10174998992236586</v>
      </c>
      <c r="P249" s="169">
        <f>(INDEX(Models!$BJ249:$BT249,,T249)*(1-R249)+INDEX(Models!$BJ249:$BT249,,T249+1)*R249-ERP_i)*Q249*Ramure*Pc/MaxiM</f>
        <v>1.2840028736728449E-2</v>
      </c>
      <c r="Q249" s="305">
        <f t="shared" si="80"/>
        <v>0.8</v>
      </c>
      <c r="R249" s="177">
        <f t="shared" si="81"/>
        <v>0.77213861182071386</v>
      </c>
      <c r="S249" s="809">
        <f t="shared" si="82"/>
        <v>1</v>
      </c>
      <c r="T249" s="176">
        <f t="shared" si="83"/>
        <v>7</v>
      </c>
      <c r="U249" s="251">
        <f t="shared" si="84"/>
        <v>1.7721386118207139</v>
      </c>
      <c r="V249" s="383">
        <f t="shared" si="85"/>
        <v>42.232686926822936</v>
      </c>
      <c r="W249" s="402">
        <f t="shared" si="86"/>
        <v>39.919720330461701</v>
      </c>
      <c r="X249" s="157">
        <f t="shared" si="87"/>
        <v>45526</v>
      </c>
      <c r="Y249" s="385">
        <f t="shared" si="88"/>
        <v>36.333283718500475</v>
      </c>
      <c r="Z249" s="385">
        <f t="shared" si="89"/>
        <v>39.123062709753064</v>
      </c>
      <c r="AA249" s="386">
        <f t="shared" si="90"/>
        <v>46.73925756375656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0.16295070249274538</v>
      </c>
      <c r="AD249" s="231">
        <f>(INDEX(Models!$BJ249:$BT249,,AH249)*(1-AF249)+INDEX(Models!$BJ249:$BT249,,AH249+1)*AF249-ERP_i)*AE249*Ramure*Pc/MaxiM</f>
        <v>3.7813330532099176E-2</v>
      </c>
      <c r="AE249" s="305">
        <f t="shared" si="92"/>
        <v>0.8</v>
      </c>
      <c r="AF249" s="177">
        <f t="shared" si="93"/>
        <v>0.97285535898561726</v>
      </c>
      <c r="AG249" s="809">
        <f t="shared" si="99"/>
        <v>2</v>
      </c>
      <c r="AH249" s="176">
        <f t="shared" si="94"/>
        <v>8</v>
      </c>
      <c r="AI249" s="225">
        <f t="shared" si="95"/>
        <v>2.9728553589856173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IF(t&gt;Tmaj,'2023'!Wh/'2023'!Env_an*'2024'!Env_an,0.001*'[10]mon-tableau (1)'!$B$163)</f>
        <v>36.948243047116428</v>
      </c>
      <c r="C250" s="839"/>
      <c r="D250" s="393">
        <f t="shared" si="77"/>
        <v>39.786187398360475</v>
      </c>
      <c r="E250" s="385">
        <f t="shared" si="100"/>
        <v>44.298618517249075</v>
      </c>
      <c r="F250" s="385">
        <f t="shared" si="78"/>
        <v>44.801017658787053</v>
      </c>
      <c r="G250" s="110">
        <f t="shared" si="101"/>
        <v>0.87848804706432571</v>
      </c>
      <c r="H250" s="414" t="b">
        <f>Wh_hp&gt;='2023'!Maxi_hp</f>
        <v>0</v>
      </c>
      <c r="I250" s="390">
        <f>IF(H250,Wh_hp,'2023'!Maxi_hp)</f>
        <v>49.324626465187585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7.1329889512383754E-2</v>
      </c>
      <c r="M250" s="843"/>
      <c r="N250" s="843"/>
      <c r="O250" s="48">
        <f>IF(t&lt;Tnet,'2023'!Resal+('2023'!Salim-'2023'!Resal)*(1-EXP(('2023'!Tnet-t)/('2023'!Tau_j))),Resal+(Salim-Resal)*(1-EXP((Tnet-t)/(Tau_j))))*Salcycl</f>
        <v>0.10186392420186963</v>
      </c>
      <c r="P250" s="169">
        <f>(INDEX(Models!$BJ250:$BT250,,T250)*(1-R250)+INDEX(Models!$BJ250:$BT250,,T250+1)*R250-ERP_i)*Q250*Ramure*Pc/MaxiM</f>
        <v>1.3521494946138234E-2</v>
      </c>
      <c r="Q250" s="305">
        <f t="shared" si="80"/>
        <v>0.8</v>
      </c>
      <c r="R250" s="177">
        <f t="shared" si="81"/>
        <v>0.77319379768031093</v>
      </c>
      <c r="S250" s="809">
        <f t="shared" si="82"/>
        <v>1</v>
      </c>
      <c r="T250" s="176">
        <f t="shared" si="83"/>
        <v>7</v>
      </c>
      <c r="U250" s="251">
        <f t="shared" si="84"/>
        <v>1.7731937976803109</v>
      </c>
      <c r="V250" s="383">
        <f t="shared" si="85"/>
        <v>41.960751545580031</v>
      </c>
      <c r="W250" s="402">
        <f t="shared" si="86"/>
        <v>36.948243047116428</v>
      </c>
      <c r="X250" s="157">
        <f t="shared" si="87"/>
        <v>45527</v>
      </c>
      <c r="Y250" s="385">
        <f t="shared" si="88"/>
        <v>33.685210901676399</v>
      </c>
      <c r="Z250" s="385">
        <f t="shared" si="89"/>
        <v>36.272526186924793</v>
      </c>
      <c r="AA250" s="386">
        <f t="shared" si="90"/>
        <v>43.335060604482962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0.1629750672790696</v>
      </c>
      <c r="AD250" s="231">
        <f>(INDEX(Models!$BJ250:$BT250,,AH250)*(1-AF250)+INDEX(Models!$BJ250:$BT250,,AH250+1)*AF250-ERP_i)*AE250*Ramure*Pc/MaxiM</f>
        <v>3.9454547713493687E-2</v>
      </c>
      <c r="AE250" s="305">
        <f t="shared" si="92"/>
        <v>0.8</v>
      </c>
      <c r="AF250" s="177">
        <f t="shared" si="93"/>
        <v>0.97391054484521433</v>
      </c>
      <c r="AG250" s="809">
        <f t="shared" si="99"/>
        <v>2</v>
      </c>
      <c r="AH250" s="176">
        <f t="shared" si="94"/>
        <v>8</v>
      </c>
      <c r="AI250" s="225">
        <f t="shared" si="95"/>
        <v>2.9739105448452143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IF(t&gt;Tmaj,'2023'!Wh/'2023'!Env_an*'2024'!Env_an,0.001*'[10]mon-tableau (1)'!$B$164)</f>
        <v>26.899084180341344</v>
      </c>
      <c r="C251" s="839"/>
      <c r="D251" s="393">
        <f t="shared" si="77"/>
        <v>28.965855692968209</v>
      </c>
      <c r="E251" s="385">
        <f t="shared" si="100"/>
        <v>32.255148970755393</v>
      </c>
      <c r="F251" s="385">
        <f t="shared" si="78"/>
        <v>32.483468256645445</v>
      </c>
      <c r="G251" s="110">
        <f t="shared" si="101"/>
        <v>0.64062458091958652</v>
      </c>
      <c r="H251" s="414" t="b">
        <f>Wh_hp&gt;='2023'!Maxi_hp</f>
        <v>0</v>
      </c>
      <c r="I251" s="390">
        <f>IF(H251,Wh_hp,'2023'!Maxi_hp)</f>
        <v>46.238410109379274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7.1351992308951423E-2</v>
      </c>
      <c r="M251" s="843"/>
      <c r="N251" s="843"/>
      <c r="O251" s="48">
        <f>IF(t&lt;Tnet,'2023'!Resal+('2023'!Salim-'2023'!Resal)*(1-EXP(('2023'!Tnet-t)/('2023'!Tau_j))),Resal+(Salim-Resal)*(1-EXP((Tnet-t)/(Tau_j))))*Salcycl</f>
        <v>0.10197730851497447</v>
      </c>
      <c r="P251" s="169">
        <f>(INDEX(Models!$BJ251:$BT251,,T251)*(1-R251)+INDEX(Models!$BJ251:$BT251,,T251+1)*R251-ERP_i)*Q251*Ramure*Pc/MaxiM</f>
        <v>1.4248234523386992E-2</v>
      </c>
      <c r="Q251" s="305">
        <f t="shared" si="80"/>
        <v>0.8</v>
      </c>
      <c r="R251" s="177">
        <f t="shared" si="81"/>
        <v>0.77421015588186837</v>
      </c>
      <c r="S251" s="809">
        <f t="shared" si="82"/>
        <v>1</v>
      </c>
      <c r="T251" s="176">
        <f t="shared" si="83"/>
        <v>7</v>
      </c>
      <c r="U251" s="251">
        <f t="shared" si="84"/>
        <v>1.7742101558818684</v>
      </c>
      <c r="V251" s="383">
        <f t="shared" si="85"/>
        <v>41.683559675371924</v>
      </c>
      <c r="W251" s="402">
        <f t="shared" si="86"/>
        <v>26.899084180341344</v>
      </c>
      <c r="X251" s="157">
        <f t="shared" si="87"/>
        <v>45528</v>
      </c>
      <c r="Y251" s="385">
        <f t="shared" si="88"/>
        <v>24.736536842050491</v>
      </c>
      <c r="Z251" s="385">
        <f t="shared" si="89"/>
        <v>26.637150607316087</v>
      </c>
      <c r="AA251" s="386">
        <f t="shared" si="90"/>
        <v>31.824506885024896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0.16299879512507803</v>
      </c>
      <c r="AD251" s="231">
        <f>(INDEX(Models!$BJ251:$BT251,,AH251)*(1-AF251)+INDEX(Models!$BJ251:$BT251,,AH251+1)*AF251-ERP_i)*AE251*Ramure*Pc/MaxiM</f>
        <v>4.112239633240538E-2</v>
      </c>
      <c r="AE251" s="305">
        <f t="shared" si="92"/>
        <v>0.8</v>
      </c>
      <c r="AF251" s="177">
        <f t="shared" si="93"/>
        <v>0.97492690304677199</v>
      </c>
      <c r="AG251" s="809">
        <f t="shared" si="99"/>
        <v>2</v>
      </c>
      <c r="AH251" s="176">
        <f t="shared" si="94"/>
        <v>8</v>
      </c>
      <c r="AI251" s="225">
        <f t="shared" si="95"/>
        <v>2.974926903046772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IF(t&gt;Tmaj,'2023'!Wh/'2023'!Env_an*'2024'!Env_an,0.001*'[10]mon-tableau (1)'!$B$165)</f>
        <v>35.729203518848692</v>
      </c>
      <c r="C252" s="839"/>
      <c r="D252" s="393">
        <f t="shared" si="77"/>
        <v>38.475346542392899</v>
      </c>
      <c r="E252" s="385">
        <f t="shared" si="100"/>
        <v>42.849898097692119</v>
      </c>
      <c r="F252" s="385">
        <f t="shared" si="78"/>
        <v>43.373914464406866</v>
      </c>
      <c r="G252" s="110">
        <f t="shared" si="101"/>
        <v>0.86043478518704708</v>
      </c>
      <c r="H252" s="414" t="b">
        <f>Wh_hp&gt;='2023'!Maxi_hp</f>
        <v>0</v>
      </c>
      <c r="I252" s="390">
        <f>IF(H252,Wh_hp,'2023'!Maxi_hp)</f>
        <v>47.616086487227513</v>
      </c>
      <c r="J252" s="85">
        <f>IF(H252,An,'2023'!An_max)</f>
        <v>2021</v>
      </c>
      <c r="K252" s="197">
        <f t="shared" si="79"/>
        <v>45529</v>
      </c>
      <c r="L252" s="147">
        <f>IF(t&lt;Tvie,1-EXP((T0-t)*PertePVj)+'2023'!Pspv,1-EXP((T0-t)*PertePVj)+Pspv)</f>
        <v>7.1374094591154763E-2</v>
      </c>
      <c r="M252" s="843"/>
      <c r="N252" s="843"/>
      <c r="O252" s="48">
        <f>IF(t&lt;Tnet,'2023'!Resal+('2023'!Salim-'2023'!Resal)*(1-EXP(('2023'!Tnet-t)/('2023'!Tau_j))),Resal+(Salim-Resal)*(1-EXP((Tnet-t)/(Tau_j))))*Salcycl</f>
        <v>0.10209012738666996</v>
      </c>
      <c r="P252" s="169">
        <f>(INDEX(Models!$BJ252:$BT252,,T252)*(1-R252)+INDEX(Models!$BJ252:$BT252,,T252+1)*R252-ERP_i)*Q252*Ramure*Pc/MaxiM</f>
        <v>1.502116683059861E-2</v>
      </c>
      <c r="Q252" s="305">
        <f t="shared" si="80"/>
        <v>0.8</v>
      </c>
      <c r="R252" s="177">
        <f t="shared" si="81"/>
        <v>0.77518897908355289</v>
      </c>
      <c r="S252" s="809">
        <f t="shared" si="82"/>
        <v>1</v>
      </c>
      <c r="T252" s="176">
        <f t="shared" si="83"/>
        <v>7</v>
      </c>
      <c r="U252" s="251">
        <f t="shared" si="84"/>
        <v>1.7751889790835529</v>
      </c>
      <c r="V252" s="383">
        <f t="shared" si="85"/>
        <v>41.401025477174642</v>
      </c>
      <c r="W252" s="402">
        <f t="shared" si="86"/>
        <v>35.729203518848692</v>
      </c>
      <c r="X252" s="157">
        <f t="shared" si="87"/>
        <v>45529</v>
      </c>
      <c r="Y252" s="385">
        <f t="shared" si="88"/>
        <v>32.550960885490575</v>
      </c>
      <c r="Z252" s="385">
        <f t="shared" si="89"/>
        <v>35.052824496813273</v>
      </c>
      <c r="AA252" s="386">
        <f t="shared" si="90"/>
        <v>41.880215184295757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0.16302186264894414</v>
      </c>
      <c r="AD252" s="231">
        <f>(INDEX(Models!$BJ252:$BT252,,AH252)*(1-AF252)+INDEX(Models!$BJ252:$BT252,,AH252+1)*AF252-ERP_i)*AE252*Ramure*Pc/MaxiM</f>
        <v>4.2817567363326141E-2</v>
      </c>
      <c r="AE252" s="305">
        <f t="shared" si="92"/>
        <v>0.8</v>
      </c>
      <c r="AF252" s="177">
        <f t="shared" si="93"/>
        <v>0.97590572624845651</v>
      </c>
      <c r="AG252" s="809">
        <f t="shared" si="99"/>
        <v>2</v>
      </c>
      <c r="AH252" s="176">
        <f t="shared" si="94"/>
        <v>8</v>
      </c>
      <c r="AI252" s="225">
        <f t="shared" si="95"/>
        <v>2.9759057262484565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IF(t&gt;Tmaj,'2023'!Wh/'2023'!Env_an*'2024'!Env_an,0.001*'[10]mon-tableau (1)'!$B$166)</f>
        <v>38.499108529139868</v>
      </c>
      <c r="C253" s="839"/>
      <c r="D253" s="393">
        <f t="shared" si="77"/>
        <v>41.459132924275558</v>
      </c>
      <c r="E253" s="385">
        <f t="shared" si="100"/>
        <v>46.17870586643599</v>
      </c>
      <c r="F253" s="385">
        <f t="shared" si="78"/>
        <v>46.853509902476212</v>
      </c>
      <c r="G253" s="110">
        <f t="shared" si="101"/>
        <v>0.93505328810218324</v>
      </c>
      <c r="H253" s="414" t="b">
        <f>Wh_hp&gt;='2023'!Maxi_hp</f>
        <v>0</v>
      </c>
      <c r="I253" s="390">
        <f>IF(H253,Wh_hp,'2023'!Maxi_hp)</f>
        <v>46.908830165667723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7.1396196359005654E-2</v>
      </c>
      <c r="M253" s="843"/>
      <c r="N253" s="843"/>
      <c r="O253" s="48">
        <f>IF(t&lt;Tnet,'2023'!Resal+('2023'!Salim-'2023'!Resal)*(1-EXP(('2023'!Tnet-t)/('2023'!Tau_j))),Resal+(Salim-Resal)*(1-EXP((Tnet-t)/(Tau_j))))*Salcycl</f>
        <v>0.1022023647828285</v>
      </c>
      <c r="P253" s="169">
        <f>(INDEX(Models!$BJ253:$BT253,,T253)*(1-R253)+INDEX(Models!$BJ253:$BT253,,T253+1)*R253-ERP_i)*Q253*Ramure*Pc/MaxiM</f>
        <v>1.5841253302522146E-2</v>
      </c>
      <c r="Q253" s="305">
        <f t="shared" si="80"/>
        <v>0.8</v>
      </c>
      <c r="R253" s="177">
        <f t="shared" si="81"/>
        <v>0.77613152728584955</v>
      </c>
      <c r="S253" s="809">
        <f t="shared" si="82"/>
        <v>1</v>
      </c>
      <c r="T253" s="176">
        <f t="shared" si="83"/>
        <v>7</v>
      </c>
      <c r="U253" s="251">
        <f t="shared" si="84"/>
        <v>1.7761315272858496</v>
      </c>
      <c r="V253" s="383">
        <f t="shared" si="85"/>
        <v>41.113063657121941</v>
      </c>
      <c r="W253" s="402">
        <f t="shared" si="86"/>
        <v>38.499108529139868</v>
      </c>
      <c r="X253" s="157">
        <f t="shared" si="87"/>
        <v>45530</v>
      </c>
      <c r="Y253" s="385">
        <f t="shared" si="88"/>
        <v>34.93994523860097</v>
      </c>
      <c r="Z253" s="385">
        <f t="shared" si="89"/>
        <v>37.626321474889231</v>
      </c>
      <c r="AA253" s="386">
        <f t="shared" si="90"/>
        <v>44.956165579654161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0.1630442456614272</v>
      </c>
      <c r="AD253" s="231">
        <f>(INDEX(Models!$BJ253:$BT253,,AH253)*(1-AF253)+INDEX(Models!$BJ253:$BT253,,AH253+1)*AF253-ERP_i)*AE253*Ramure*Pc/MaxiM</f>
        <v>4.4540800609756938E-2</v>
      </c>
      <c r="AE253" s="305">
        <f t="shared" si="92"/>
        <v>0.8</v>
      </c>
      <c r="AF253" s="177">
        <f t="shared" si="93"/>
        <v>0.97684827445075317</v>
      </c>
      <c r="AG253" s="809">
        <f t="shared" si="99"/>
        <v>2</v>
      </c>
      <c r="AH253" s="176">
        <f t="shared" si="94"/>
        <v>8</v>
      </c>
      <c r="AI253" s="225">
        <f t="shared" si="95"/>
        <v>2.9768482744507532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IF(t&gt;Tmaj,'2023'!Wh/'2023'!Env_an*'2024'!Env_an,0.001*'[10]mon-tableau (1)'!$B$167)</f>
        <v>37.344325980532332</v>
      </c>
      <c r="C254" s="839"/>
      <c r="D254" s="393">
        <f t="shared" si="77"/>
        <v>40.216521480571963</v>
      </c>
      <c r="E254" s="385">
        <f t="shared" si="100"/>
        <v>44.800210389928345</v>
      </c>
      <c r="F254" s="385">
        <f t="shared" si="78"/>
        <v>45.467131638768706</v>
      </c>
      <c r="G254" s="110">
        <f t="shared" si="101"/>
        <v>0.91296754512764877</v>
      </c>
      <c r="H254" s="414" t="b">
        <f>Wh_hp&gt;='2023'!Maxi_hp</f>
        <v>0</v>
      </c>
      <c r="I254" s="390">
        <f>IF(H254,Wh_hp,'2023'!Maxi_hp)</f>
        <v>48.563065558192143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7.1418297612516085E-2</v>
      </c>
      <c r="M254" s="843"/>
      <c r="N254" s="843"/>
      <c r="O254" s="48">
        <f>IF(t&lt;Tnet,'2023'!Resal+('2023'!Salim-'2023'!Resal)*(1-EXP(('2023'!Tnet-t)/('2023'!Tau_j))),Resal+(Salim-Resal)*(1-EXP((Tnet-t)/(Tau_j))))*Salcycl</f>
        <v>0.10231400409643727</v>
      </c>
      <c r="P254" s="169">
        <f>(INDEX(Models!$BJ254:$BT254,,T254)*(1-R254)+INDEX(Models!$BJ254:$BT254,,T254+1)*R254-ERP_i)*Q254*Ramure*Pc/MaxiM</f>
        <v>1.6699495785479312E-2</v>
      </c>
      <c r="Q254" s="305">
        <f t="shared" si="80"/>
        <v>0.8</v>
      </c>
      <c r="R254" s="177">
        <f t="shared" si="81"/>
        <v>0.7770390278289212</v>
      </c>
      <c r="S254" s="809">
        <f t="shared" si="82"/>
        <v>1</v>
      </c>
      <c r="T254" s="176">
        <f t="shared" si="83"/>
        <v>7</v>
      </c>
      <c r="U254" s="251">
        <f t="shared" si="84"/>
        <v>1.7770390278289212</v>
      </c>
      <c r="V254" s="383">
        <f t="shared" si="85"/>
        <v>40.82000480256319</v>
      </c>
      <c r="W254" s="402">
        <f t="shared" si="86"/>
        <v>37.344325980532332</v>
      </c>
      <c r="X254" s="157">
        <f t="shared" si="87"/>
        <v>45531</v>
      </c>
      <c r="Y254" s="385">
        <f t="shared" si="88"/>
        <v>33.899659162250039</v>
      </c>
      <c r="Z254" s="385">
        <f t="shared" si="89"/>
        <v>36.506921335075148</v>
      </c>
      <c r="AA254" s="386">
        <f t="shared" si="90"/>
        <v>43.619828813620778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0.1630659191474072</v>
      </c>
      <c r="AD254" s="231">
        <f>(INDEX(Models!$BJ254:$BT254,,AH254)*(1-AF254)+INDEX(Models!$BJ254:$BT254,,AH254+1)*AF254-ERP_i)*AE254*Ramure*Pc/MaxiM</f>
        <v>4.6255874732889203E-2</v>
      </c>
      <c r="AE254" s="305">
        <f t="shared" si="92"/>
        <v>0.8</v>
      </c>
      <c r="AF254" s="177">
        <f t="shared" si="93"/>
        <v>0.97775577499382482</v>
      </c>
      <c r="AG254" s="809">
        <f t="shared" si="99"/>
        <v>2</v>
      </c>
      <c r="AH254" s="176">
        <f t="shared" si="94"/>
        <v>8</v>
      </c>
      <c r="AI254" s="225">
        <f t="shared" si="95"/>
        <v>2.9777557749938248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IF(t&gt;Tmaj,'2023'!Wh/'2023'!Env_an*'2024'!Env_an,0.001*'[10]mon-tableau (1)'!$B$168)</f>
        <v>26.500162584416643</v>
      </c>
      <c r="C255" s="839"/>
      <c r="D255" s="393">
        <f t="shared" si="77"/>
        <v>28.539000121667748</v>
      </c>
      <c r="E255" s="385">
        <f t="shared" si="100"/>
        <v>31.795672802739979</v>
      </c>
      <c r="F255" s="385">
        <f t="shared" si="78"/>
        <v>32.080748389739803</v>
      </c>
      <c r="G255" s="110">
        <f t="shared" si="101"/>
        <v>0.64822600179263257</v>
      </c>
      <c r="H255" s="414" t="b">
        <f>Wh_hp&gt;='2023'!Maxi_hp</f>
        <v>0</v>
      </c>
      <c r="I255" s="390">
        <f>IF(H255,Wh_hp,'2023'!Maxi_hp)</f>
        <v>47.495208459406513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7.1440398351698159E-2</v>
      </c>
      <c r="M255" s="843"/>
      <c r="N255" s="843"/>
      <c r="O255" s="48">
        <f>IF(t&lt;Tnet,'2023'!Resal+('2023'!Salim-'2023'!Resal)*(1-EXP(('2023'!Tnet-t)/('2023'!Tau_j))),Resal+(Salim-Resal)*(1-EXP((Tnet-t)/(Tau_j))))*Salcycl</f>
        <v>0.10242502812494624</v>
      </c>
      <c r="P255" s="169">
        <f>(INDEX(Models!$BJ255:$BT255,,T255)*(1-R255)+INDEX(Models!$BJ255:$BT255,,T255+1)*R255-ERP_i)*Q255*Ramure*Pc/MaxiM</f>
        <v>1.7573636525169009E-2</v>
      </c>
      <c r="Q255" s="305">
        <f t="shared" si="80"/>
        <v>0.8</v>
      </c>
      <c r="R255" s="177">
        <f t="shared" si="81"/>
        <v>0.77791267547167475</v>
      </c>
      <c r="S255" s="809">
        <f t="shared" si="82"/>
        <v>1</v>
      </c>
      <c r="T255" s="176">
        <f t="shared" si="83"/>
        <v>7</v>
      </c>
      <c r="U255" s="251">
        <f t="shared" si="84"/>
        <v>1.7779126754716748</v>
      </c>
      <c r="V255" s="383">
        <f t="shared" si="85"/>
        <v>40.522718349768034</v>
      </c>
      <c r="W255" s="402">
        <f t="shared" si="86"/>
        <v>26.500162584416643</v>
      </c>
      <c r="X255" s="157">
        <f t="shared" si="87"/>
        <v>45532</v>
      </c>
      <c r="Y255" s="385">
        <f t="shared" si="88"/>
        <v>24.326284868749678</v>
      </c>
      <c r="Z255" s="385">
        <f t="shared" si="89"/>
        <v>26.19787122503249</v>
      </c>
      <c r="AA255" s="386">
        <f t="shared" si="90"/>
        <v>31.302975047599844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0.16308685723336028</v>
      </c>
      <c r="AD255" s="231">
        <f>(INDEX(Models!$BJ255:$BT255,,AH255)*(1-AF255)+INDEX(Models!$BJ255:$BT255,,AH255+1)*AF255-ERP_i)*AE255*Ramure*Pc/MaxiM</f>
        <v>4.7946252282002499E-2</v>
      </c>
      <c r="AE255" s="305">
        <f t="shared" si="92"/>
        <v>0.8</v>
      </c>
      <c r="AF255" s="177">
        <f t="shared" si="93"/>
        <v>0.97862942263657837</v>
      </c>
      <c r="AG255" s="809">
        <f t="shared" si="99"/>
        <v>2</v>
      </c>
      <c r="AH255" s="176">
        <f t="shared" si="94"/>
        <v>8</v>
      </c>
      <c r="AI255" s="225">
        <f t="shared" si="95"/>
        <v>2.9786294226365784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IF(t&gt;Tmaj,'2023'!Wh/'2023'!Env_an*'2024'!Env_an,0.001*'[10]mon-tableau (1)'!$B$169)</f>
        <v>37.250128956399024</v>
      </c>
      <c r="C256" s="839"/>
      <c r="D256" s="393">
        <f t="shared" si="77"/>
        <v>40.116989243078542</v>
      </c>
      <c r="E256" s="385">
        <f t="shared" si="100"/>
        <v>44.700359316853323</v>
      </c>
      <c r="F256" s="385">
        <f t="shared" si="78"/>
        <v>45.451017315821993</v>
      </c>
      <c r="G256" s="110">
        <f t="shared" si="101"/>
        <v>0.92429879522871483</v>
      </c>
      <c r="H256" s="414" t="b">
        <f>Wh_hp&gt;='2023'!Maxi_hp</f>
        <v>0</v>
      </c>
      <c r="I256" s="390">
        <f>IF(H256,Wh_hp,'2023'!Maxi_hp)</f>
        <v>46.563941644559634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7.1462498576563643E-2</v>
      </c>
      <c r="M256" s="843"/>
      <c r="N256" s="843"/>
      <c r="O256" s="48">
        <f>IF(t&lt;Tnet,'2023'!Resal+('2023'!Salim-'2023'!Resal)*(1-EXP(('2023'!Tnet-t)/('2023'!Tau_j))),Resal+(Salim-Resal)*(1-EXP((Tnet-t)/(Tau_j))))*Salcycl</f>
        <v>0.10253541903961202</v>
      </c>
      <c r="P256" s="169">
        <f>(INDEX(Models!$BJ256:$BT256,,T256)*(1-R256)+INDEX(Models!$BJ256:$BT256,,T256+1)*R256-ERP_i)*Q256*Ramure*Pc/MaxiM</f>
        <v>1.8464159941776213E-2</v>
      </c>
      <c r="Q256" s="305">
        <f t="shared" si="80"/>
        <v>0.8</v>
      </c>
      <c r="R256" s="177">
        <f t="shared" si="81"/>
        <v>0.77875363254508456</v>
      </c>
      <c r="S256" s="809">
        <f t="shared" si="82"/>
        <v>1</v>
      </c>
      <c r="T256" s="176">
        <f t="shared" si="83"/>
        <v>7</v>
      </c>
      <c r="U256" s="251">
        <f t="shared" si="84"/>
        <v>1.7787536325450846</v>
      </c>
      <c r="V256" s="383">
        <f t="shared" si="85"/>
        <v>40.221119087766745</v>
      </c>
      <c r="W256" s="402">
        <f t="shared" si="86"/>
        <v>37.250128956399024</v>
      </c>
      <c r="X256" s="157">
        <f t="shared" si="87"/>
        <v>45533</v>
      </c>
      <c r="Y256" s="385">
        <f t="shared" si="88"/>
        <v>33.752017329237624</v>
      </c>
      <c r="Z256" s="385">
        <f t="shared" si="89"/>
        <v>36.349654459293461</v>
      </c>
      <c r="AA256" s="386">
        <f t="shared" si="90"/>
        <v>43.434054172751509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0.16310703314226815</v>
      </c>
      <c r="AD256" s="231">
        <f>(INDEX(Models!$BJ256:$BT256,,AH256)*(1-AF256)+INDEX(Models!$BJ256:$BT256,,AH256+1)*AF256-ERP_i)*AE256*Ramure*Pc/MaxiM</f>
        <v>4.9611847367892099E-2</v>
      </c>
      <c r="AE256" s="305">
        <f t="shared" si="92"/>
        <v>0.8</v>
      </c>
      <c r="AF256" s="177">
        <f t="shared" si="93"/>
        <v>0.97947037970998796</v>
      </c>
      <c r="AG256" s="809">
        <f t="shared" si="99"/>
        <v>2</v>
      </c>
      <c r="AH256" s="176">
        <f t="shared" si="94"/>
        <v>8</v>
      </c>
      <c r="AI256" s="225">
        <f t="shared" si="95"/>
        <v>2.979470379709988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IF(t&gt;Tmaj,'2023'!Wh/'2023'!Env_an*'2024'!Env_an,0.001*'[10]mon-tableau (1)'!$B$170)</f>
        <v>20.512018512805167</v>
      </c>
      <c r="C257" s="839"/>
      <c r="D257" s="393">
        <f t="shared" si="77"/>
        <v>22.091198998924192</v>
      </c>
      <c r="E257" s="385">
        <f t="shared" si="100"/>
        <v>24.618130948345794</v>
      </c>
      <c r="F257" s="385">
        <f t="shared" si="78"/>
        <v>24.764716997032878</v>
      </c>
      <c r="G257" s="110">
        <f t="shared" si="101"/>
        <v>0.50693666966113105</v>
      </c>
      <c r="H257" s="414" t="b">
        <f>Wh_hp&gt;='2023'!Maxi_hp</f>
        <v>0</v>
      </c>
      <c r="I257" s="390">
        <f>IF(H257,Wh_hp,'2023'!Maxi_hp)</f>
        <v>46.070387290584499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7.148459828712464E-2</v>
      </c>
      <c r="M257" s="843"/>
      <c r="N257" s="843"/>
      <c r="O257" s="48">
        <f>IF(t&lt;Tnet,'2023'!Resal+('2023'!Salim-'2023'!Resal)*(1-EXP(('2023'!Tnet-t)/('2023'!Tau_j))),Resal+(Salim-Resal)*(1-EXP((Tnet-t)/(Tau_j))))*Salcycl</f>
        <v>0.10264515834787202</v>
      </c>
      <c r="P257" s="169">
        <f>(INDEX(Models!$BJ257:$BT257,,T257)*(1-R257)+INDEX(Models!$BJ257:$BT257,,T257+1)*R257-ERP_i)*Q257*Ramure*Pc/MaxiM</f>
        <v>1.9371576859879985E-2</v>
      </c>
      <c r="Q257" s="305">
        <f t="shared" si="80"/>
        <v>0.8</v>
      </c>
      <c r="R257" s="177">
        <f t="shared" si="81"/>
        <v>0.77956302917272469</v>
      </c>
      <c r="S257" s="809">
        <f t="shared" si="82"/>
        <v>1</v>
      </c>
      <c r="T257" s="176">
        <f t="shared" si="83"/>
        <v>7</v>
      </c>
      <c r="U257" s="251">
        <f t="shared" si="84"/>
        <v>1.7795630291727247</v>
      </c>
      <c r="V257" s="383">
        <f t="shared" si="85"/>
        <v>39.915122024512016</v>
      </c>
      <c r="W257" s="402">
        <f t="shared" si="86"/>
        <v>20.512018512805167</v>
      </c>
      <c r="X257" s="157">
        <f t="shared" si="87"/>
        <v>45534</v>
      </c>
      <c r="Y257" s="385">
        <f t="shared" si="88"/>
        <v>18.942058860370729</v>
      </c>
      <c r="Z257" s="385">
        <f t="shared" si="89"/>
        <v>20.400371200550293</v>
      </c>
      <c r="AA257" s="386">
        <f t="shared" si="90"/>
        <v>24.376885191583881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0.163126419137687</v>
      </c>
      <c r="AD257" s="231">
        <f>(INDEX(Models!$BJ257:$BT257,,AH257)*(1-AF257)+INDEX(Models!$BJ257:$BT257,,AH257+1)*AF257-ERP_i)*AE257*Ramure*Pc/MaxiM</f>
        <v>5.1252583006715868E-2</v>
      </c>
      <c r="AE257" s="305">
        <f t="shared" si="92"/>
        <v>0.8</v>
      </c>
      <c r="AF257" s="177">
        <f t="shared" si="93"/>
        <v>0.98027977633762831</v>
      </c>
      <c r="AG257" s="809">
        <f t="shared" si="99"/>
        <v>2</v>
      </c>
      <c r="AH257" s="176">
        <f t="shared" si="94"/>
        <v>8</v>
      </c>
      <c r="AI257" s="225">
        <f t="shared" si="95"/>
        <v>2.9802797763376283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IF(t&gt;Tmaj,'2023'!Wh/'2023'!Env_an*'2024'!Env_an,0.001*'[11]mon-tableau (3)'!$B$136)</f>
        <v>32.989264375416212</v>
      </c>
      <c r="C258" s="839"/>
      <c r="D258" s="393">
        <f t="shared" si="77"/>
        <v>35.529889430544571</v>
      </c>
      <c r="E258" s="385">
        <f t="shared" si="100"/>
        <v>39.598837346210246</v>
      </c>
      <c r="F258" s="385">
        <f t="shared" si="78"/>
        <v>40.220372889518586</v>
      </c>
      <c r="G258" s="110">
        <f t="shared" si="101"/>
        <v>0.8288670688528742</v>
      </c>
      <c r="H258" s="414" t="b">
        <f>Wh_hp&gt;='2023'!Maxi_hp</f>
        <v>0</v>
      </c>
      <c r="I258" s="390">
        <f>IF(H258,Wh_hp,'2023'!Maxi_hp)</f>
        <v>47.663426724874789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7.1506697483393139E-2</v>
      </c>
      <c r="M258" s="843"/>
      <c r="N258" s="843"/>
      <c r="O258" s="48">
        <f>IF(t&lt;Tnet,'2023'!Resal+('2023'!Salim-'2023'!Resal)*(1-EXP(('2023'!Tnet-t)/('2023'!Tau_j))),Resal+(Salim-Resal)*(1-EXP((Tnet-t)/(Tau_j))))*Salcycl</f>
        <v>0.10275422684992262</v>
      </c>
      <c r="P258" s="169">
        <f>(INDEX(Models!$BJ258:$BT258,,T258)*(1-R258)+INDEX(Models!$BJ258:$BT258,,T258+1)*R258-ERP_i)*Q258*Ramure*Pc/MaxiM</f>
        <v>2.0296425927011429E-2</v>
      </c>
      <c r="Q258" s="305">
        <f t="shared" si="80"/>
        <v>0.8</v>
      </c>
      <c r="R258" s="177">
        <f t="shared" si="81"/>
        <v>0.78034196355187069</v>
      </c>
      <c r="S258" s="809">
        <f t="shared" si="82"/>
        <v>1</v>
      </c>
      <c r="T258" s="176">
        <f t="shared" si="83"/>
        <v>7</v>
      </c>
      <c r="U258" s="251">
        <f t="shared" si="84"/>
        <v>1.7803419635518707</v>
      </c>
      <c r="V258" s="383">
        <f t="shared" si="85"/>
        <v>39.604642397217553</v>
      </c>
      <c r="W258" s="402">
        <f t="shared" si="86"/>
        <v>32.989264375416212</v>
      </c>
      <c r="X258" s="157">
        <f t="shared" si="87"/>
        <v>45535</v>
      </c>
      <c r="Y258" s="385">
        <f t="shared" si="88"/>
        <v>29.993830412228476</v>
      </c>
      <c r="Z258" s="385">
        <f t="shared" si="89"/>
        <v>32.303766037872968</v>
      </c>
      <c r="AA258" s="386">
        <f t="shared" si="90"/>
        <v>38.601389147663731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0.16314498645891115</v>
      </c>
      <c r="AD258" s="231">
        <f>(INDEX(Models!$BJ258:$BT258,,AH258)*(1-AF258)+INDEX(Models!$BJ258:$BT258,,AH258+1)*AF258-ERP_i)*AE258*Ramure*Pc/MaxiM</f>
        <v>5.2868390146581325E-2</v>
      </c>
      <c r="AE258" s="305">
        <f t="shared" si="92"/>
        <v>0.8</v>
      </c>
      <c r="AF258" s="177">
        <f t="shared" si="93"/>
        <v>0.98105871071677431</v>
      </c>
      <c r="AG258" s="809">
        <f t="shared" si="99"/>
        <v>2</v>
      </c>
      <c r="AH258" s="176">
        <f t="shared" si="94"/>
        <v>8</v>
      </c>
      <c r="AI258" s="225">
        <f t="shared" si="95"/>
        <v>2.9810587107167743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IF(t&gt;Tmaj,'2023'!Wh/'2023'!Env_an*'2024'!Env_an,0.001*'[11]mon-tableau (3)'!$B$137)</f>
        <v>31.761400034884293</v>
      </c>
      <c r="C259" s="839"/>
      <c r="D259" s="393">
        <f t="shared" si="77"/>
        <v>34.208276900466686</v>
      </c>
      <c r="E259" s="385">
        <f t="shared" si="100"/>
        <v>38.130477088031569</v>
      </c>
      <c r="F259" s="385">
        <f t="shared" si="78"/>
        <v>38.727875613178497</v>
      </c>
      <c r="G259" s="110">
        <f t="shared" si="101"/>
        <v>0.80361872468366013</v>
      </c>
      <c r="H259" s="414" t="b">
        <f>Wh_hp&gt;='2023'!Maxi_hp</f>
        <v>0</v>
      </c>
      <c r="I259" s="390">
        <f>IF(H259,Wh_hp,'2023'!Maxi_hp)</f>
        <v>47.150040214573764</v>
      </c>
      <c r="J259" s="85">
        <f>IF(H259,An,'2023'!An_max)</f>
        <v>2020</v>
      </c>
      <c r="K259" s="197">
        <f t="shared" si="79"/>
        <v>45536</v>
      </c>
      <c r="L259" s="147">
        <f>IF(t&lt;Tvie,1-EXP((T0-t)*PertePVj)+'2023'!Pspv,1-EXP((T0-t)*PertePVj)+Pspv)</f>
        <v>7.152879616538102E-2</v>
      </c>
      <c r="M259" s="843"/>
      <c r="N259" s="843"/>
      <c r="O259" s="48">
        <f>IF(t&lt;Tnet,'2023'!Resal+('2023'!Salim-'2023'!Resal)*(1-EXP(('2023'!Tnet-t)/('2023'!Tau_j))),Resal+(Salim-Resal)*(1-EXP((Tnet-t)/(Tau_j))))*Salcycl</f>
        <v>0.10286260459080356</v>
      </c>
      <c r="P259" s="169">
        <f>(INDEX(Models!$BJ259:$BT259,,T259)*(1-R259)+INDEX(Models!$BJ259:$BT259,,T259+1)*R259-ERP_i)*Q259*Ramure*Pc/MaxiM</f>
        <v>2.1239275122392928E-2</v>
      </c>
      <c r="Q259" s="305">
        <f t="shared" si="80"/>
        <v>0.8</v>
      </c>
      <c r="R259" s="177">
        <f t="shared" si="81"/>
        <v>0.78109150228891844</v>
      </c>
      <c r="S259" s="809">
        <f t="shared" si="82"/>
        <v>1</v>
      </c>
      <c r="T259" s="176">
        <f t="shared" si="83"/>
        <v>7</v>
      </c>
      <c r="U259" s="251">
        <f t="shared" si="84"/>
        <v>1.7810915022889184</v>
      </c>
      <c r="V259" s="383">
        <f t="shared" si="85"/>
        <v>39.289595697624144</v>
      </c>
      <c r="W259" s="402">
        <f t="shared" si="86"/>
        <v>31.761400034884293</v>
      </c>
      <c r="X259" s="157">
        <f t="shared" si="87"/>
        <v>45536</v>
      </c>
      <c r="Y259" s="385">
        <f t="shared" si="88"/>
        <v>28.900599188761273</v>
      </c>
      <c r="Z259" s="385">
        <f t="shared" si="89"/>
        <v>31.127081884070041</v>
      </c>
      <c r="AA259" s="386">
        <f t="shared" si="90"/>
        <v>37.196097830875239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0.16316270524935303</v>
      </c>
      <c r="AD259" s="231">
        <f>(INDEX(Models!$BJ259:$BT259,,AH259)*(1-AF259)+INDEX(Models!$BJ259:$BT259,,AH259+1)*AF259-ERP_i)*AE259*Ramure*Pc/MaxiM</f>
        <v>5.4459206668958544E-2</v>
      </c>
      <c r="AE259" s="305">
        <f t="shared" si="92"/>
        <v>0.8</v>
      </c>
      <c r="AF259" s="177">
        <f t="shared" si="93"/>
        <v>0.98180824945382206</v>
      </c>
      <c r="AG259" s="809">
        <f t="shared" si="99"/>
        <v>2</v>
      </c>
      <c r="AH259" s="176">
        <f t="shared" si="94"/>
        <v>8</v>
      </c>
      <c r="AI259" s="225">
        <f t="shared" si="95"/>
        <v>2.9818082494538221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IF(t&gt;Tmaj,'2023'!Wh/'2023'!Env_an*'2024'!Env_an,0.001*'[11]mon-tableau (3)'!$B$138)</f>
        <v>29.551190113779729</v>
      </c>
      <c r="C260" s="839"/>
      <c r="D260" s="393">
        <f t="shared" si="77"/>
        <v>31.828551434225655</v>
      </c>
      <c r="E260" s="385">
        <f t="shared" si="100"/>
        <v>35.482158950233419</v>
      </c>
      <c r="F260" s="385">
        <f t="shared" si="78"/>
        <v>36.005513070677985</v>
      </c>
      <c r="G260" s="110">
        <f t="shared" si="101"/>
        <v>0.75240970523082906</v>
      </c>
      <c r="H260" s="414" t="b">
        <f>Wh_hp&gt;='2023'!Maxi_hp</f>
        <v>0</v>
      </c>
      <c r="I260" s="390">
        <f>IF(H260,Wh_hp,'2023'!Maxi_hp)</f>
        <v>48.613808475226271</v>
      </c>
      <c r="J260" s="85">
        <f>IF(H260,An,'2023'!An_max)</f>
        <v>2019</v>
      </c>
      <c r="K260" s="197">
        <f t="shared" si="79"/>
        <v>45537</v>
      </c>
      <c r="L260" s="147">
        <f>IF(t&lt;Tvie,1-EXP((T0-t)*PertePVj)+'2023'!Pspv,1-EXP((T0-t)*PertePVj)+Pspv)</f>
        <v>7.1550894333100273E-2</v>
      </c>
      <c r="M260" s="843"/>
      <c r="N260" s="843"/>
      <c r="O260" s="48">
        <f>IF(t&lt;Tnet,'2023'!Resal+('2023'!Salim-'2023'!Resal)*(1-EXP(('2023'!Tnet-t)/('2023'!Tau_j))),Resal+(Salim-Resal)*(1-EXP((Tnet-t)/(Tau_j))))*Salcycl</f>
        <v>0.10297027080940149</v>
      </c>
      <c r="P260" s="169">
        <f>(INDEX(Models!$BJ260:$BT260,,T260)*(1-R260)+INDEX(Models!$BJ260:$BT260,,T260+1)*R260-ERP_i)*Q260*Ramure*Pc/MaxiM</f>
        <v>2.2200723380447176E-2</v>
      </c>
      <c r="Q260" s="305">
        <f t="shared" si="80"/>
        <v>0.8</v>
      </c>
      <c r="R260" s="177">
        <f t="shared" si="81"/>
        <v>0.78181268078326904</v>
      </c>
      <c r="S260" s="809">
        <f t="shared" si="82"/>
        <v>1</v>
      </c>
      <c r="T260" s="176">
        <f t="shared" si="83"/>
        <v>7</v>
      </c>
      <c r="U260" s="251">
        <f t="shared" si="84"/>
        <v>1.781812680783269</v>
      </c>
      <c r="V260" s="383">
        <f t="shared" si="85"/>
        <v>38.969897682306964</v>
      </c>
      <c r="W260" s="402">
        <f t="shared" si="86"/>
        <v>29.551190113779729</v>
      </c>
      <c r="X260" s="157">
        <f t="shared" si="87"/>
        <v>45537</v>
      </c>
      <c r="Y260" s="385">
        <f t="shared" si="88"/>
        <v>26.948184911241498</v>
      </c>
      <c r="Z260" s="385">
        <f t="shared" si="89"/>
        <v>29.024945736669938</v>
      </c>
      <c r="AA260" s="386">
        <f t="shared" si="90"/>
        <v>34.684794743274352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0.16317954448042113</v>
      </c>
      <c r="AD260" s="231">
        <f>(INDEX(Models!$BJ260:$BT260,,AH260)*(1-AF260)+INDEX(Models!$BJ260:$BT260,,AH260+1)*AF260-ERP_i)*AE260*Ramure*Pc/MaxiM</f>
        <v>5.6024976406544968E-2</v>
      </c>
      <c r="AE260" s="305">
        <f t="shared" si="92"/>
        <v>0.8</v>
      </c>
      <c r="AF260" s="177">
        <f t="shared" si="93"/>
        <v>0.98252942794817244</v>
      </c>
      <c r="AG260" s="809">
        <f t="shared" si="99"/>
        <v>2</v>
      </c>
      <c r="AH260" s="176">
        <f t="shared" si="94"/>
        <v>8</v>
      </c>
      <c r="AI260" s="225">
        <f t="shared" si="95"/>
        <v>2.9825294279481724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IF(t&gt;Tmaj,'2023'!Wh/'2023'!Env_an*'2024'!Env_an,0.001*'[11]mon-tableau (3)'!$B$139)</f>
        <v>34.30019989971133</v>
      </c>
      <c r="C261" s="839"/>
      <c r="D261" s="393">
        <f t="shared" si="77"/>
        <v>36.944422774929556</v>
      </c>
      <c r="E261" s="385">
        <f t="shared" si="100"/>
        <v>41.190192662054919</v>
      </c>
      <c r="F261" s="385">
        <f t="shared" si="78"/>
        <v>42.007578056547679</v>
      </c>
      <c r="G261" s="110">
        <f t="shared" si="101"/>
        <v>0.884194321745158</v>
      </c>
      <c r="H261" s="414" t="b">
        <f>Wh_hp&gt;='2023'!Maxi_hp</f>
        <v>0</v>
      </c>
      <c r="I261" s="390">
        <f>IF(H261,Wh_hp,'2023'!Maxi_hp)</f>
        <v>47.996366652785198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7.1572991986562889E-2</v>
      </c>
      <c r="M261" s="843"/>
      <c r="N261" s="843"/>
      <c r="O261" s="48">
        <f>IF(t&lt;Tnet,'2023'!Resal+('2023'!Salim-'2023'!Resal)*(1-EXP(('2023'!Tnet-t)/('2023'!Tau_j))),Resal+(Salim-Resal)*(1-EXP((Tnet-t)/(Tau_j))))*Salcycl</f>
        <v>0.10307720388588112</v>
      </c>
      <c r="P261" s="169">
        <f>(INDEX(Models!$BJ261:$BT261,,T261)*(1-R261)+INDEX(Models!$BJ261:$BT261,,T261+1)*R261-ERP_i)*Q261*Ramure*Pc/MaxiM</f>
        <v>2.3181501700395978E-2</v>
      </c>
      <c r="Q261" s="305">
        <f t="shared" si="80"/>
        <v>0.8</v>
      </c>
      <c r="R261" s="177">
        <f t="shared" si="81"/>
        <v>0.78250650365418606</v>
      </c>
      <c r="S261" s="809">
        <f t="shared" si="82"/>
        <v>1</v>
      </c>
      <c r="T261" s="176">
        <f t="shared" si="83"/>
        <v>7</v>
      </c>
      <c r="U261" s="251">
        <f t="shared" si="84"/>
        <v>1.7825065036541861</v>
      </c>
      <c r="V261" s="383">
        <f t="shared" si="85"/>
        <v>38.645294803615748</v>
      </c>
      <c r="W261" s="402">
        <f t="shared" si="86"/>
        <v>34.30019989971133</v>
      </c>
      <c r="X261" s="157">
        <f t="shared" si="87"/>
        <v>45538</v>
      </c>
      <c r="Y261" s="385">
        <f t="shared" si="88"/>
        <v>31.059222214203004</v>
      </c>
      <c r="Z261" s="385">
        <f t="shared" si="89"/>
        <v>33.453596185941073</v>
      </c>
      <c r="AA261" s="386">
        <f t="shared" si="90"/>
        <v>39.977790584895544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0.16319547187331182</v>
      </c>
      <c r="AD261" s="231">
        <f>(INDEX(Models!$BJ261:$BT261,,AH261)*(1-AF261)+INDEX(Models!$BJ261:$BT261,,AH261+1)*AF261-ERP_i)*AE261*Ramure*Pc/MaxiM</f>
        <v>5.7565894916370541E-2</v>
      </c>
      <c r="AE261" s="305">
        <f t="shared" si="92"/>
        <v>0.8</v>
      </c>
      <c r="AF261" s="177">
        <f t="shared" si="93"/>
        <v>0.98322325081908968</v>
      </c>
      <c r="AG261" s="809">
        <f t="shared" si="99"/>
        <v>2</v>
      </c>
      <c r="AH261" s="176">
        <f t="shared" si="94"/>
        <v>8</v>
      </c>
      <c r="AI261" s="225">
        <f t="shared" si="95"/>
        <v>2.9832232508190897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IF(t&gt;Tmaj,'2023'!Wh/'2023'!Env_an*'2024'!Env_an,0.001*'[11]mon-tableau (3)'!$B$140)</f>
        <v>30.59711649820666</v>
      </c>
      <c r="C262" s="839"/>
      <c r="D262" s="393">
        <f t="shared" si="77"/>
        <v>32.956650853338687</v>
      </c>
      <c r="E262" s="385">
        <f t="shared" si="100"/>
        <v>36.748483654007408</v>
      </c>
      <c r="F262" s="385">
        <f t="shared" si="78"/>
        <v>37.392154436303677</v>
      </c>
      <c r="G262" s="110">
        <f t="shared" si="101"/>
        <v>0.79289063134949578</v>
      </c>
      <c r="H262" s="414" t="b">
        <f>Wh_hp&gt;='2023'!Maxi_hp</f>
        <v>0</v>
      </c>
      <c r="I262" s="390">
        <f>IF(H262,Wh_hp,'2023'!Maxi_hp)</f>
        <v>45.417444264252914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7.1595089125780859E-2</v>
      </c>
      <c r="M262" s="843"/>
      <c r="N262" s="843"/>
      <c r="O262" s="48">
        <f>IF(t&lt;Tnet,'2023'!Resal+('2023'!Salim-'2023'!Resal)*(1-EXP(('2023'!Tnet-t)/('2023'!Tau_j))),Resal+(Salim-Resal)*(1-EXP((Tnet-t)/(Tau_j))))*Salcycl</f>
        <v>0.10318338128912762</v>
      </c>
      <c r="P262" s="169">
        <f>(INDEX(Models!$BJ262:$BT262,,T262)*(1-R262)+INDEX(Models!$BJ262:$BT262,,T262+1)*R262-ERP_i)*Q262*Ramure*Pc/MaxiM</f>
        <v>2.4170132578870258E-2</v>
      </c>
      <c r="Q262" s="305">
        <f t="shared" si="80"/>
        <v>0.8</v>
      </c>
      <c r="R262" s="177">
        <f t="shared" si="81"/>
        <v>0.78317394520551242</v>
      </c>
      <c r="S262" s="809">
        <f t="shared" si="82"/>
        <v>1</v>
      </c>
      <c r="T262" s="176">
        <f t="shared" si="83"/>
        <v>7</v>
      </c>
      <c r="U262" s="251">
        <f t="shared" si="84"/>
        <v>1.7831739452055124</v>
      </c>
      <c r="V262" s="383">
        <f t="shared" si="85"/>
        <v>38.316195937994117</v>
      </c>
      <c r="W262" s="402">
        <f t="shared" si="86"/>
        <v>30.59711649820666</v>
      </c>
      <c r="X262" s="157">
        <f t="shared" si="87"/>
        <v>45539</v>
      </c>
      <c r="Y262" s="385">
        <f t="shared" si="88"/>
        <v>27.827673909881252</v>
      </c>
      <c r="Z262" s="385">
        <f t="shared" si="89"/>
        <v>29.973639285985382</v>
      </c>
      <c r="AA262" s="386">
        <f t="shared" si="90"/>
        <v>35.819806094448879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0.16321045382123103</v>
      </c>
      <c r="AD262" s="231">
        <f>(INDEX(Models!$BJ262:$BT262,,AH262)*(1-AF262)+INDEX(Models!$BJ262:$BT262,,AH262+1)*AF262-ERP_i)*AE262*Ramure*Pc/MaxiM</f>
        <v>5.904240013383915E-2</v>
      </c>
      <c r="AE262" s="305">
        <f t="shared" si="92"/>
        <v>0.8</v>
      </c>
      <c r="AF262" s="177">
        <f t="shared" si="93"/>
        <v>0.98389069237041582</v>
      </c>
      <c r="AG262" s="809">
        <f t="shared" si="99"/>
        <v>2</v>
      </c>
      <c r="AH262" s="176">
        <f t="shared" si="94"/>
        <v>8</v>
      </c>
      <c r="AI262" s="225">
        <f t="shared" si="95"/>
        <v>2.9838906923704158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IF(t&gt;Tmaj,'2023'!Wh/'2023'!Env_an*'2024'!Env_an,0.001*'[11]mon-tableau (3)'!$B$141)</f>
        <v>35.000789185216846</v>
      </c>
      <c r="C263" s="839"/>
      <c r="D263" s="393">
        <f t="shared" si="77"/>
        <v>37.700815491205894</v>
      </c>
      <c r="E263" s="385">
        <f t="shared" si="100"/>
        <v>42.043430070241214</v>
      </c>
      <c r="F263" s="385">
        <f t="shared" si="78"/>
        <v>43.003707560317565</v>
      </c>
      <c r="G263" s="110">
        <f t="shared" si="101"/>
        <v>0.91881685585926387</v>
      </c>
      <c r="H263" s="414" t="b">
        <f>Wh_hp&gt;='2023'!Maxi_hp</f>
        <v>0</v>
      </c>
      <c r="I263" s="390">
        <f>IF(H263,Wh_hp,'2023'!Maxi_hp)</f>
        <v>48.931389708757251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7.161718575076606E-2</v>
      </c>
      <c r="M263" s="843"/>
      <c r="N263" s="843"/>
      <c r="O263" s="48">
        <f>IF(t&lt;Tnet,'2023'!Resal+('2023'!Salim-'2023'!Resal)*(1-EXP(('2023'!Tnet-t)/('2023'!Tau_j))),Resal+(Salim-Resal)*(1-EXP((Tnet-t)/(Tau_j))))*Salcycl</f>
        <v>0.10328877952584251</v>
      </c>
      <c r="P263" s="169">
        <f>(INDEX(Models!$BJ263:$BT263,,T263)*(1-R263)+INDEX(Models!$BJ263:$BT263,,T263+1)*R263-ERP_i)*Q263*Ramure*Pc/MaxiM</f>
        <v>2.5151532337525581E-2</v>
      </c>
      <c r="Q263" s="305">
        <f t="shared" si="80"/>
        <v>0.8</v>
      </c>
      <c r="R263" s="177">
        <f t="shared" si="81"/>
        <v>0.78381594992347026</v>
      </c>
      <c r="S263" s="809">
        <f t="shared" si="82"/>
        <v>1</v>
      </c>
      <c r="T263" s="176">
        <f t="shared" si="83"/>
        <v>7</v>
      </c>
      <c r="U263" s="251">
        <f t="shared" si="84"/>
        <v>1.7838159499234703</v>
      </c>
      <c r="V263" s="383">
        <f t="shared" si="85"/>
        <v>37.983392903840738</v>
      </c>
      <c r="W263" s="402">
        <f t="shared" si="86"/>
        <v>35.000789185216846</v>
      </c>
      <c r="X263" s="157">
        <f t="shared" si="87"/>
        <v>45540</v>
      </c>
      <c r="Y263" s="385">
        <f t="shared" si="88"/>
        <v>31.613985970738145</v>
      </c>
      <c r="Z263" s="385">
        <f t="shared" si="89"/>
        <v>34.052747945688537</v>
      </c>
      <c r="AA263" s="386">
        <f t="shared" si="90"/>
        <v>40.695199760519614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0.16322445531463492</v>
      </c>
      <c r="AD263" s="231">
        <f>(INDEX(Models!$BJ263:$BT263,,AH263)*(1-AF263)+INDEX(Models!$BJ263:$BT263,,AH263+1)*AF263-ERP_i)*AE263*Ramure*Pc/MaxiM</f>
        <v>6.0464302431406394E-2</v>
      </c>
      <c r="AE263" s="305">
        <f t="shared" si="92"/>
        <v>0.8</v>
      </c>
      <c r="AF263" s="177">
        <f t="shared" si="93"/>
        <v>0.98453269708837388</v>
      </c>
      <c r="AG263" s="809">
        <f t="shared" si="99"/>
        <v>2</v>
      </c>
      <c r="AH263" s="176">
        <f t="shared" si="94"/>
        <v>8</v>
      </c>
      <c r="AI263" s="225">
        <f t="shared" si="95"/>
        <v>2.9845326970883739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IF(t&gt;Tmaj,'2023'!Wh/'2023'!Env_an*'2024'!Env_an,0.001*'[11]mon-tableau (3)'!$B$142)</f>
        <v>29.887167798536776</v>
      </c>
      <c r="C264" s="839"/>
      <c r="D264" s="393">
        <f t="shared" si="77"/>
        <v>32.193486017445821</v>
      </c>
      <c r="E264" s="385">
        <f t="shared" si="100"/>
        <v>35.905920263390989</v>
      </c>
      <c r="F264" s="385">
        <f t="shared" si="78"/>
        <v>36.580189755437928</v>
      </c>
      <c r="G264" s="110">
        <f t="shared" si="101"/>
        <v>0.78765551065253037</v>
      </c>
      <c r="H264" s="414" t="b">
        <f>Wh_hp&gt;='2023'!Maxi_hp</f>
        <v>0</v>
      </c>
      <c r="I264" s="390">
        <f>IF(H264,Wh_hp,'2023'!Maxi_hp)</f>
        <v>44.353228487080955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7.1639281861530596E-2</v>
      </c>
      <c r="M264" s="843"/>
      <c r="N264" s="843"/>
      <c r="O264" s="48">
        <f>IF(t&lt;Tnet,'2023'!Resal+('2023'!Salim-'2023'!Resal)*(1-EXP(('2023'!Tnet-t)/('2023'!Tau_j))),Resal+(Salim-Resal)*(1-EXP((Tnet-t)/(Tau_j))))*Salcycl</f>
        <v>0.10339337409297095</v>
      </c>
      <c r="P264" s="169">
        <f>(INDEX(Models!$BJ264:$BT264,,T264)*(1-R264)+INDEX(Models!$BJ264:$BT264,,T264+1)*R264-ERP_i)*Q264*Ramure*Pc/MaxiM</f>
        <v>2.6125606501319825E-2</v>
      </c>
      <c r="Q264" s="305">
        <f t="shared" si="80"/>
        <v>0.8</v>
      </c>
      <c r="R264" s="177">
        <f t="shared" si="81"/>
        <v>0.78443343300311552</v>
      </c>
      <c r="S264" s="809">
        <f t="shared" si="82"/>
        <v>1</v>
      </c>
      <c r="T264" s="176">
        <f t="shared" si="83"/>
        <v>7</v>
      </c>
      <c r="U264" s="251">
        <f t="shared" si="84"/>
        <v>1.7844334330031155</v>
      </c>
      <c r="V264" s="383">
        <f t="shared" si="85"/>
        <v>37.647078957526986</v>
      </c>
      <c r="W264" s="402">
        <f t="shared" si="86"/>
        <v>29.887167798536776</v>
      </c>
      <c r="X264" s="157">
        <f t="shared" si="87"/>
        <v>45541</v>
      </c>
      <c r="Y264" s="385">
        <f t="shared" si="88"/>
        <v>27.176510221624316</v>
      </c>
      <c r="Z264" s="385">
        <f t="shared" si="89"/>
        <v>29.273653754025823</v>
      </c>
      <c r="AA264" s="386">
        <f t="shared" si="90"/>
        <v>34.984421087807632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0.16323743987211672</v>
      </c>
      <c r="AD264" s="231">
        <f>(INDEX(Models!$BJ264:$BT264,,AH264)*(1-AF264)+INDEX(Models!$BJ264:$BT264,,AH264+1)*AF264-ERP_i)*AE264*Ramure*Pc/MaxiM</f>
        <v>6.1830506599195936E-2</v>
      </c>
      <c r="AE264" s="305">
        <f t="shared" si="92"/>
        <v>0.8</v>
      </c>
      <c r="AF264" s="177">
        <f t="shared" si="93"/>
        <v>0.98515018016801914</v>
      </c>
      <c r="AG264" s="809">
        <f t="shared" si="99"/>
        <v>2</v>
      </c>
      <c r="AH264" s="176">
        <f t="shared" si="94"/>
        <v>8</v>
      </c>
      <c r="AI264" s="225">
        <f t="shared" si="95"/>
        <v>2.9851501801680191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IF(t&gt;Tmaj,'2023'!Wh/'2023'!Env_an*'2024'!Env_an,0.001*'[11]mon-tableau (3)'!$B$143)</f>
        <v>27.299469338213083</v>
      </c>
      <c r="C265" s="839"/>
      <c r="D265" s="393">
        <f t="shared" si="77"/>
        <v>29.406801220295595</v>
      </c>
      <c r="E265" s="385">
        <f t="shared" si="100"/>
        <v>32.801681415458859</v>
      </c>
      <c r="F265" s="385">
        <f t="shared" si="78"/>
        <v>33.359106777767046</v>
      </c>
      <c r="G265" s="110">
        <f t="shared" si="101"/>
        <v>0.72401680916678091</v>
      </c>
      <c r="H265" s="414" t="b">
        <f>Wh_hp&gt;='2023'!Maxi_hp</f>
        <v>0</v>
      </c>
      <c r="I265" s="390">
        <f>IF(H265,Wh_hp,'2023'!Maxi_hp)</f>
        <v>42.753480627950061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7.1661377458086234E-2</v>
      </c>
      <c r="M265" s="843"/>
      <c r="N265" s="843"/>
      <c r="O265" s="48">
        <f>IF(t&lt;Tnet,'2023'!Resal+('2023'!Salim-'2023'!Resal)*(1-EXP(('2023'!Tnet-t)/('2023'!Tau_j))),Resal+(Salim-Resal)*(1-EXP((Tnet-t)/(Tau_j))))*Salcycl</f>
        <v>0.10349713943515453</v>
      </c>
      <c r="P265" s="169">
        <f>(INDEX(Models!$BJ265:$BT265,,T265)*(1-R265)+INDEX(Models!$BJ265:$BT265,,T265+1)*R265-ERP_i)*Q265*Ramure*Pc/MaxiM</f>
        <v>2.7092237987693248E-2</v>
      </c>
      <c r="Q265" s="305">
        <f t="shared" si="80"/>
        <v>0.8</v>
      </c>
      <c r="R265" s="177">
        <f t="shared" si="81"/>
        <v>0.78502728089933038</v>
      </c>
      <c r="S265" s="809">
        <f t="shared" si="82"/>
        <v>1</v>
      </c>
      <c r="T265" s="176">
        <f t="shared" si="83"/>
        <v>7</v>
      </c>
      <c r="U265" s="251">
        <f t="shared" si="84"/>
        <v>1.7850272808993304</v>
      </c>
      <c r="V265" s="383">
        <f t="shared" si="85"/>
        <v>37.307447065722293</v>
      </c>
      <c r="W265" s="402">
        <f t="shared" si="86"/>
        <v>27.299469338213083</v>
      </c>
      <c r="X265" s="157">
        <f t="shared" si="87"/>
        <v>45542</v>
      </c>
      <c r="Y265" s="385">
        <f t="shared" si="88"/>
        <v>24.903820011755641</v>
      </c>
      <c r="Z265" s="385">
        <f t="shared" si="89"/>
        <v>26.826224189149528</v>
      </c>
      <c r="AA265" s="386">
        <f t="shared" si="90"/>
        <v>32.059998774622535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0.16324936947957283</v>
      </c>
      <c r="AD265" s="231">
        <f>(INDEX(Models!$BJ265:$BT265,,AH265)*(1-AF265)+INDEX(Models!$BJ265:$BT265,,AH265+1)*AF265-ERP_i)*AE265*Ramure*Pc/MaxiM</f>
        <v>6.3139831038849251E-2</v>
      </c>
      <c r="AE265" s="305">
        <f t="shared" si="92"/>
        <v>0.8</v>
      </c>
      <c r="AF265" s="177">
        <f t="shared" si="93"/>
        <v>0.985744028064234</v>
      </c>
      <c r="AG265" s="809">
        <f t="shared" si="99"/>
        <v>2</v>
      </c>
      <c r="AH265" s="176">
        <f t="shared" si="94"/>
        <v>8</v>
      </c>
      <c r="AI265" s="225">
        <f t="shared" si="95"/>
        <v>2.985744028064234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IF(t&gt;Tmaj,'2023'!Wh/'2023'!Env_an*'2024'!Env_an,0.001*'[11]mon-tableau (3)'!$B$144)</f>
        <v>20.309417053638963</v>
      </c>
      <c r="C266" s="839"/>
      <c r="D266" s="393">
        <f t="shared" si="77"/>
        <v>21.877685523081254</v>
      </c>
      <c r="E266" s="385">
        <f t="shared" si="100"/>
        <v>24.406165458232838</v>
      </c>
      <c r="F266" s="385">
        <f t="shared" si="78"/>
        <v>24.652577196884547</v>
      </c>
      <c r="G266" s="110">
        <f t="shared" si="101"/>
        <v>0.53940692311254479</v>
      </c>
      <c r="H266" s="414" t="b">
        <f>Wh_hp&gt;='2023'!Maxi_hp</f>
        <v>0</v>
      </c>
      <c r="I266" s="390">
        <f>IF(H266,Wh_hp,'2023'!Maxi_hp)</f>
        <v>43.385482084784094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7.1683472540445187E-2</v>
      </c>
      <c r="M266" s="843"/>
      <c r="N266" s="843"/>
      <c r="O266" s="48">
        <f>IF(t&lt;Tnet,'2023'!Resal+('2023'!Salim-'2023'!Resal)*(1-EXP(('2023'!Tnet-t)/('2023'!Tau_j))),Resal+(Salim-Resal)*(1-EXP((Tnet-t)/(Tau_j))))*Salcycl</f>
        <v>0.10360004890889819</v>
      </c>
      <c r="P266" s="169">
        <f>(INDEX(Models!$BJ266:$BT266,,T266)*(1-R266)+INDEX(Models!$BJ266:$BT266,,T266+1)*R266-ERP_i)*Q266*Ramure*Pc/MaxiM</f>
        <v>2.8051286076688803E-2</v>
      </c>
      <c r="Q266" s="305">
        <f t="shared" si="80"/>
        <v>0.8</v>
      </c>
      <c r="R266" s="177">
        <f t="shared" si="81"/>
        <v>0.78559835189855676</v>
      </c>
      <c r="S266" s="809">
        <f t="shared" si="82"/>
        <v>1</v>
      </c>
      <c r="T266" s="176">
        <f t="shared" si="83"/>
        <v>7</v>
      </c>
      <c r="U266" s="251">
        <f t="shared" si="84"/>
        <v>1.7855983518985568</v>
      </c>
      <c r="V266" s="383">
        <f t="shared" si="85"/>
        <v>36.964689917424401</v>
      </c>
      <c r="W266" s="402">
        <f t="shared" si="86"/>
        <v>20.309417053638963</v>
      </c>
      <c r="X266" s="157">
        <f t="shared" si="87"/>
        <v>45543</v>
      </c>
      <c r="Y266" s="385">
        <f t="shared" si="88"/>
        <v>18.709760794552672</v>
      </c>
      <c r="Z266" s="385">
        <f t="shared" si="89"/>
        <v>20.154505754361704</v>
      </c>
      <c r="AA266" s="386">
        <f t="shared" si="90"/>
        <v>24.08694538460167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0.16326020454025278</v>
      </c>
      <c r="AD266" s="231">
        <f>(INDEX(Models!$BJ266:$BT266,,AH266)*(1-AF266)+INDEX(Models!$BJ266:$BT266,,AH266+1)*AF266-ERP_i)*AE266*Ramure*Pc/MaxiM</f>
        <v>6.4391006155959801E-2</v>
      </c>
      <c r="AE266" s="305">
        <f t="shared" si="92"/>
        <v>0.8</v>
      </c>
      <c r="AF266" s="177">
        <f t="shared" si="93"/>
        <v>0.98631509906346038</v>
      </c>
      <c r="AG266" s="809">
        <f t="shared" si="99"/>
        <v>2</v>
      </c>
      <c r="AH266" s="176">
        <f t="shared" si="94"/>
        <v>8</v>
      </c>
      <c r="AI266" s="225">
        <f t="shared" si="95"/>
        <v>2.9863150990634604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IF(t&gt;Tmaj,'2023'!Wh/'2023'!Env_an*'2024'!Env_an,0.001*'[11]mon-tableau (3)'!$B$145)</f>
        <v>34.712088364790766</v>
      </c>
      <c r="C267" s="839"/>
      <c r="D267" s="393">
        <f t="shared" si="77"/>
        <v>37.393403574200264</v>
      </c>
      <c r="E267" s="385">
        <f t="shared" si="100"/>
        <v>41.719837256103872</v>
      </c>
      <c r="F267" s="385">
        <f t="shared" si="78"/>
        <v>42.870702377038185</v>
      </c>
      <c r="G267" s="110">
        <f t="shared" si="101"/>
        <v>0.94582400013601731</v>
      </c>
      <c r="H267" s="414" t="b">
        <f>Wh_hp&gt;='2023'!Maxi_hp</f>
        <v>0</v>
      </c>
      <c r="I267" s="390">
        <f>IF(H267,Wh_hp,'2023'!Maxi_hp)</f>
        <v>42.945778972423717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7.1705567108619223E-2</v>
      </c>
      <c r="M267" s="843"/>
      <c r="N267" s="843"/>
      <c r="O267" s="48">
        <f>IF(t&lt;Tnet,'2023'!Resal+('2023'!Salim-'2023'!Resal)*(1-EXP(('2023'!Tnet-t)/('2023'!Tau_j))),Resal+(Salim-Resal)*(1-EXP((Tnet-t)/(Tau_j))))*Salcycl</f>
        <v>0.10370207475511256</v>
      </c>
      <c r="P267" s="169">
        <f>(INDEX(Models!$BJ267:$BT267,,T267)*(1-R267)+INDEX(Models!$BJ267:$BT267,,T267+1)*R267-ERP_i)*Q267*Ramure*Pc/MaxiM</f>
        <v>2.9002585355807884E-2</v>
      </c>
      <c r="Q267" s="305">
        <f t="shared" si="80"/>
        <v>0.8</v>
      </c>
      <c r="R267" s="177">
        <f t="shared" si="81"/>
        <v>0.78614747670775453</v>
      </c>
      <c r="S267" s="809">
        <f t="shared" si="82"/>
        <v>1</v>
      </c>
      <c r="T267" s="176">
        <f t="shared" si="83"/>
        <v>7</v>
      </c>
      <c r="U267" s="251">
        <f t="shared" si="84"/>
        <v>1.7861474767077545</v>
      </c>
      <c r="V267" s="383">
        <f t="shared" si="85"/>
        <v>36.618999933816482</v>
      </c>
      <c r="W267" s="402">
        <f t="shared" si="86"/>
        <v>34.712088364790766</v>
      </c>
      <c r="X267" s="157">
        <f t="shared" si="87"/>
        <v>45544</v>
      </c>
      <c r="Y267" s="385">
        <f t="shared" si="88"/>
        <v>31.277661693590634</v>
      </c>
      <c r="Z267" s="385">
        <f t="shared" si="89"/>
        <v>33.693686599163755</v>
      </c>
      <c r="AA267" s="386">
        <f t="shared" si="90"/>
        <v>40.26828573959866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0.16326990383823656</v>
      </c>
      <c r="AD267" s="231">
        <f>(INDEX(Models!$BJ267:$BT267,,AH267)*(1-AF267)+INDEX(Models!$BJ267:$BT267,,AH267+1)*AF267-ERP_i)*AE267*Ramure*Pc/MaxiM</f>
        <v>6.5582672796130934E-2</v>
      </c>
      <c r="AE267" s="305">
        <f t="shared" si="92"/>
        <v>0.8</v>
      </c>
      <c r="AF267" s="177">
        <f t="shared" si="93"/>
        <v>0.98686422387265793</v>
      </c>
      <c r="AG267" s="809">
        <f t="shared" si="99"/>
        <v>2</v>
      </c>
      <c r="AH267" s="176">
        <f t="shared" si="94"/>
        <v>8</v>
      </c>
      <c r="AI267" s="225">
        <f t="shared" si="95"/>
        <v>2.9868642238726579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IF(t&gt;Tmaj,'2023'!Wh/'2023'!Env_an*'2024'!Env_an,0.001*'[11]mon-tableau (3)'!$B$146)</f>
        <v>33.748979969684299</v>
      </c>
      <c r="C268" s="839"/>
      <c r="D268" s="393">
        <f t="shared" si="77"/>
        <v>36.356765743933956</v>
      </c>
      <c r="E268" s="385">
        <f t="shared" si="100"/>
        <v>40.567836506927989</v>
      </c>
      <c r="F268" s="385">
        <f t="shared" si="78"/>
        <v>41.691028588009836</v>
      </c>
      <c r="G268" s="110">
        <f t="shared" si="101"/>
        <v>0.92760477920923579</v>
      </c>
      <c r="H268" s="414" t="b">
        <f>Wh_hp&gt;='2023'!Maxi_hp</f>
        <v>0</v>
      </c>
      <c r="I268" s="390">
        <f>IF(H268,Wh_hp,'2023'!Maxi_hp)</f>
        <v>43.805127981597593</v>
      </c>
      <c r="J268" s="85">
        <f>IF(H268,An,'2023'!An_max)</f>
        <v>2019</v>
      </c>
      <c r="K268" s="197">
        <f t="shared" si="79"/>
        <v>45545</v>
      </c>
      <c r="L268" s="147">
        <f>IF(t&lt;Tvie,1-EXP((T0-t)*PertePVj)+'2023'!Pspv,1-EXP((T0-t)*PertePVj)+Pspv)</f>
        <v>7.1727661162620332E-2</v>
      </c>
      <c r="M268" s="843"/>
      <c r="N268" s="843"/>
      <c r="O268" s="48">
        <f>IF(t&lt;Tnet,'2023'!Resal+('2023'!Salim-'2023'!Resal)*(1-EXP(('2023'!Tnet-t)/('2023'!Tau_j))),Resal+(Salim-Resal)*(1-EXP((Tnet-t)/(Tau_j))))*Salcycl</f>
        <v>0.10380318808164418</v>
      </c>
      <c r="P268" s="169">
        <f>(INDEX(Models!$BJ268:$BT268,,T268)*(1-R268)+INDEX(Models!$BJ268:$BT268,,T268+1)*R268-ERP_i)*Q268*Ramure*Pc/MaxiM</f>
        <v>2.9913070591564089E-2</v>
      </c>
      <c r="Q268" s="305">
        <f t="shared" si="80"/>
        <v>0.8</v>
      </c>
      <c r="R268" s="177">
        <f t="shared" si="81"/>
        <v>0.78667545905735858</v>
      </c>
      <c r="S268" s="809">
        <f t="shared" si="82"/>
        <v>1</v>
      </c>
      <c r="T268" s="176">
        <f t="shared" si="83"/>
        <v>7</v>
      </c>
      <c r="U268" s="251">
        <f t="shared" si="84"/>
        <v>1.7866754590573586</v>
      </c>
      <c r="V268" s="383">
        <f t="shared" si="85"/>
        <v>36.271798448120407</v>
      </c>
      <c r="W268" s="402">
        <f t="shared" si="86"/>
        <v>33.748979969684299</v>
      </c>
      <c r="X268" s="157">
        <f t="shared" si="87"/>
        <v>45545</v>
      </c>
      <c r="Y268" s="385">
        <f t="shared" si="88"/>
        <v>30.437846516289827</v>
      </c>
      <c r="Z268" s="385">
        <f t="shared" si="89"/>
        <v>32.789780803349039</v>
      </c>
      <c r="AA268" s="386">
        <f t="shared" si="90"/>
        <v>39.188401212735421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0.16327842451778732</v>
      </c>
      <c r="AD268" s="231">
        <f>(INDEX(Models!$BJ268:$BT268,,AH268)*(1-AF268)+INDEX(Models!$BJ268:$BT268,,AH268+1)*AF268-ERP_i)*AE268*Ramure*Pc/MaxiM</f>
        <v>6.6650460417116711E-2</v>
      </c>
      <c r="AE268" s="305">
        <f t="shared" si="92"/>
        <v>0.8</v>
      </c>
      <c r="AF268" s="177">
        <f t="shared" si="93"/>
        <v>0.9873922062222622</v>
      </c>
      <c r="AG268" s="809">
        <f t="shared" si="99"/>
        <v>2</v>
      </c>
      <c r="AH268" s="176">
        <f t="shared" si="94"/>
        <v>8</v>
      </c>
      <c r="AI268" s="225">
        <f t="shared" si="95"/>
        <v>2.9873922062222622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IF(t&gt;Tmaj,'2023'!Wh/'2023'!Env_an*'2024'!Env_an,0.001*'[11]mon-tableau (3)'!$B$147)</f>
        <v>24.293213411873914</v>
      </c>
      <c r="C269" s="839"/>
      <c r="D269" s="393">
        <f t="shared" si="77"/>
        <v>26.170974405815553</v>
      </c>
      <c r="E269" s="385">
        <f t="shared" si="100"/>
        <v>29.205526730290437</v>
      </c>
      <c r="F269" s="385">
        <f t="shared" si="78"/>
        <v>29.697061651597156</v>
      </c>
      <c r="G269" s="110">
        <f t="shared" si="101"/>
        <v>0.66646765377666251</v>
      </c>
      <c r="H269" s="414" t="b">
        <f>Wh_hp&gt;='2023'!Maxi_hp</f>
        <v>0</v>
      </c>
      <c r="I269" s="390">
        <f>IF(H269,Wh_hp,'2023'!Maxi_hp)</f>
        <v>44.561569210056845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7.1749754702460616E-2</v>
      </c>
      <c r="M269" s="843"/>
      <c r="N269" s="843"/>
      <c r="O269" s="48">
        <f>IF(t&lt;Tnet,'2023'!Resal+('2023'!Salim-'2023'!Resal)*(1-EXP(('2023'!Tnet-t)/('2023'!Tau_j))),Resal+(Salim-Resal)*(1-EXP((Tnet-t)/(Tau_j))))*Salcycl</f>
        <v>0.10390335885733591</v>
      </c>
      <c r="P269" s="169">
        <f>(INDEX(Models!$BJ269:$BT269,,T269)*(1-R269)+INDEX(Models!$BJ269:$BT269,,T269+1)*R269-ERP_i)*Q269*Ramure*Pc/MaxiM</f>
        <v>3.0792877336073225E-2</v>
      </c>
      <c r="Q269" s="305">
        <f t="shared" si="80"/>
        <v>0.8</v>
      </c>
      <c r="R269" s="177">
        <f t="shared" si="81"/>
        <v>0.78718307631526296</v>
      </c>
      <c r="S269" s="809">
        <f t="shared" si="82"/>
        <v>1</v>
      </c>
      <c r="T269" s="176">
        <f t="shared" si="83"/>
        <v>7</v>
      </c>
      <c r="U269" s="251">
        <f t="shared" si="84"/>
        <v>1.787183076315263</v>
      </c>
      <c r="V269" s="383">
        <f t="shared" si="85"/>
        <v>35.922861467911261</v>
      </c>
      <c r="W269" s="402">
        <f t="shared" si="86"/>
        <v>24.293213411873914</v>
      </c>
      <c r="X269" s="157">
        <f t="shared" si="87"/>
        <v>45546</v>
      </c>
      <c r="Y269" s="385">
        <f t="shared" si="88"/>
        <v>22.226623654511172</v>
      </c>
      <c r="Z269" s="385">
        <f t="shared" si="89"/>
        <v>23.944646141608825</v>
      </c>
      <c r="AA269" s="386">
        <f t="shared" si="90"/>
        <v>28.61747047171097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0.16328572208089953</v>
      </c>
      <c r="AD269" s="231">
        <f>(INDEX(Models!$BJ269:$BT269,,AH269)*(1-AF269)+INDEX(Models!$BJ269:$BT269,,AH269+1)*AF269-ERP_i)*AE269*Ramure*Pc/MaxiM</f>
        <v>6.7632465841826889E-2</v>
      </c>
      <c r="AE269" s="305">
        <f t="shared" si="92"/>
        <v>0.8</v>
      </c>
      <c r="AF269" s="177">
        <f t="shared" si="93"/>
        <v>0.98789982348016636</v>
      </c>
      <c r="AG269" s="809">
        <f t="shared" si="99"/>
        <v>2</v>
      </c>
      <c r="AH269" s="176">
        <f t="shared" si="94"/>
        <v>8</v>
      </c>
      <c r="AI269" s="225">
        <f t="shared" si="95"/>
        <v>2.9878998234801664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IF(t&gt;Tmaj,'2023'!Wh/'2023'!Env_an*'2024'!Env_an,0.001*'[11]mon-tableau (3)'!$B$148)</f>
        <v>11.803436647134834</v>
      </c>
      <c r="C270" s="839"/>
      <c r="D270" s="393">
        <f t="shared" si="77"/>
        <v>12.716094225590767</v>
      </c>
      <c r="E270" s="385">
        <f t="shared" si="100"/>
        <v>14.192109932449958</v>
      </c>
      <c r="F270" s="385">
        <f t="shared" si="78"/>
        <v>14.212548686468864</v>
      </c>
      <c r="G270" s="110">
        <f t="shared" si="101"/>
        <v>0.32177838649853818</v>
      </c>
      <c r="H270" s="414" t="b">
        <f>Wh_hp&gt;='2023'!Maxi_hp</f>
        <v>0</v>
      </c>
      <c r="I270" s="390">
        <f>IF(H270,Wh_hp,'2023'!Maxi_hp)</f>
        <v>41.322642207532596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7.1771847728151955E-2</v>
      </c>
      <c r="M270" s="843"/>
      <c r="N270" s="843"/>
      <c r="O270" s="48">
        <f>IF(t&lt;Tnet,'2023'!Resal+('2023'!Salim-'2023'!Resal)*(1-EXP(('2023'!Tnet-t)/('2023'!Tau_j))),Resal+(Salim-Resal)*(1-EXP((Tnet-t)/(Tau_j))))*Salcycl</f>
        <v>0.10400255591906828</v>
      </c>
      <c r="P270" s="169">
        <f>(INDEX(Models!$BJ270:$BT270,,T270)*(1-R270)+INDEX(Models!$BJ270:$BT270,,T270+1)*R270-ERP_i)*Q270*Ramure*Pc/MaxiM</f>
        <v>3.1641215555212931E-2</v>
      </c>
      <c r="Q270" s="305">
        <f t="shared" si="80"/>
        <v>0.8</v>
      </c>
      <c r="R270" s="177">
        <f t="shared" si="81"/>
        <v>0.78767108010911513</v>
      </c>
      <c r="S270" s="809">
        <f t="shared" si="82"/>
        <v>1</v>
      </c>
      <c r="T270" s="176">
        <f t="shared" si="83"/>
        <v>7</v>
      </c>
      <c r="U270" s="251">
        <f t="shared" si="84"/>
        <v>1.7876710801091151</v>
      </c>
      <c r="V270" s="383">
        <f t="shared" si="85"/>
        <v>35.572378048884659</v>
      </c>
      <c r="W270" s="402">
        <f t="shared" si="86"/>
        <v>11.803436647134834</v>
      </c>
      <c r="X270" s="157">
        <f t="shared" si="87"/>
        <v>45547</v>
      </c>
      <c r="Y270" s="385">
        <f t="shared" si="88"/>
        <v>11.003884735702677</v>
      </c>
      <c r="Z270" s="385">
        <f t="shared" si="89"/>
        <v>11.854719886237618</v>
      </c>
      <c r="AA270" s="386">
        <f t="shared" si="90"/>
        <v>14.168283738063613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0.16329175040520399</v>
      </c>
      <c r="AD270" s="231">
        <f>(INDEX(Models!$BJ270:$BT270,,AH270)*(1-AF270)+INDEX(Models!$BJ270:$BT270,,AH270+1)*AF270-ERP_i)*AE270*Ramure*Pc/MaxiM</f>
        <v>6.8526524304531447E-2</v>
      </c>
      <c r="AE270" s="305">
        <f t="shared" si="92"/>
        <v>0.8</v>
      </c>
      <c r="AF270" s="177">
        <f t="shared" si="93"/>
        <v>0.98838782727401853</v>
      </c>
      <c r="AG270" s="809">
        <f t="shared" si="99"/>
        <v>2</v>
      </c>
      <c r="AH270" s="176">
        <f t="shared" si="94"/>
        <v>8</v>
      </c>
      <c r="AI270" s="225">
        <f t="shared" si="95"/>
        <v>2.9883878272740185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IF(t&gt;Tmaj,'2023'!Wh/'2023'!Env_an*'2024'!Env_an,0.001*'[11]mon-tableau (3)'!$B$149)</f>
        <v>26.712133642985012</v>
      </c>
      <c r="C271" s="839"/>
      <c r="D271" s="393">
        <f t="shared" ref="D271:D334" si="102">Wh/(1-Ppv)</f>
        <v>28.778236644871004</v>
      </c>
      <c r="E271" s="385">
        <f t="shared" si="100"/>
        <v>32.122179528873957</v>
      </c>
      <c r="F271" s="385">
        <f t="shared" ref="F271:F334" si="103">Wh_sa/(1-Pvg*MEDIAN((-Sdif+Wh/Env_an)/Csdif,0,1))</f>
        <v>32.819797667396074</v>
      </c>
      <c r="G271" s="110">
        <f t="shared" si="101"/>
        <v>0.74974515790343899</v>
      </c>
      <c r="H271" s="414" t="b">
        <f>Wh_hp&gt;='2023'!Maxi_hp</f>
        <v>0</v>
      </c>
      <c r="I271" s="390">
        <f>IF(H271,Wh_hp,'2023'!Maxi_hp)</f>
        <v>40.506292806876168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7.1793940239706228E-2</v>
      </c>
      <c r="M271" s="843"/>
      <c r="N271" s="843"/>
      <c r="O271" s="48">
        <f>IF(t&lt;Tnet,'2023'!Resal+('2023'!Salim-'2023'!Resal)*(1-EXP(('2023'!Tnet-t)/('2023'!Tau_j))),Resal+(Salim-Resal)*(1-EXP((Tnet-t)/(Tau_j))))*Salcycl</f>
        <v>0.10410074699312198</v>
      </c>
      <c r="P271" s="169">
        <f>(INDEX(Models!$BJ271:$BT271,,T271)*(1-R271)+INDEX(Models!$BJ271:$BT271,,T271+1)*R271-ERP_i)*Q271*Ramure*Pc/MaxiM</f>
        <v>3.2457245511799467E-2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0.78814019695443793</v>
      </c>
      <c r="S271" s="80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1.7881401969544379</v>
      </c>
      <c r="V271" s="383">
        <f t="shared" ref="V271:V334" si="110">MaxiM*(1-Ppv)*(1-Pvg)*(1-Psa)</f>
        <v>35.220536618978834</v>
      </c>
      <c r="W271" s="402">
        <f t="shared" ref="W271:W334" si="111">Wh*(A271&gt;Tmaj)</f>
        <v>26.712133642985012</v>
      </c>
      <c r="X271" s="157">
        <f t="shared" ref="X271:X334" si="112">t</f>
        <v>45548</v>
      </c>
      <c r="Y271" s="385">
        <f t="shared" ref="Y271:Y334" si="113">Wh_pvt_s*(1-Ppv)</f>
        <v>24.33164872995393</v>
      </c>
      <c r="Z271" s="385">
        <f t="shared" ref="Z271:Z334" si="114">Wh_sa_s*(1-Psa_s)</f>
        <v>26.213628400828906</v>
      </c>
      <c r="AA271" s="386">
        <f t="shared" ref="AA271:AA334" si="115">Wh_hp*(1-Pvg_s*MEDIAN((-Sdif+Wh/Env_an)/Csdif,0,1))</f>
        <v>31.329649276644982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0.16329646178420099</v>
      </c>
      <c r="AD271" s="231">
        <f>(INDEX(Models!$BJ271:$BT271,,AH271)*(1-AF271)+INDEX(Models!$BJ271:$BT271,,AH271+1)*AF271-ERP_i)*AE271*Ramure*Pc/MaxiM</f>
        <v>6.9330353522749938E-2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0.98885694411934155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2.9888569441193416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IF(t&gt;Tmaj,'2023'!Wh/'2023'!Env_an*'2024'!Env_an,0.001*'[11]mon-tableau (3)'!$B$150)</f>
        <v>29.085731928095232</v>
      </c>
      <c r="C272" s="839"/>
      <c r="D272" s="393">
        <f t="shared" si="102"/>
        <v>31.336171425367855</v>
      </c>
      <c r="E272" s="385">
        <f t="shared" si="100"/>
        <v>34.981131860501591</v>
      </c>
      <c r="F272" s="385">
        <f t="shared" si="103"/>
        <v>35.8915532589996</v>
      </c>
      <c r="G272" s="110">
        <f t="shared" si="101"/>
        <v>0.82743885564573405</v>
      </c>
      <c r="H272" s="414" t="b">
        <f>Wh_hp&gt;='2023'!Maxi_hp</f>
        <v>0</v>
      </c>
      <c r="I272" s="390">
        <f>IF(H272,Wh_hp,'2023'!Maxi_hp)</f>
        <v>40.691044739305312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7.1816032237135535E-2</v>
      </c>
      <c r="M272" s="843"/>
      <c r="N272" s="843"/>
      <c r="O272" s="48">
        <f>IF(t&lt;Tnet,'2023'!Resal+('2023'!Salim-'2023'!Resal)*(1-EXP(('2023'!Tnet-t)/('2023'!Tau_j))),Resal+(Salim-Resal)*(1-EXP((Tnet-t)/(Tau_j))))*Salcycl</f>
        <v>0.10419789873207019</v>
      </c>
      <c r="P272" s="169">
        <f>(INDEX(Models!$BJ272:$BT272,,T272)*(1-R272)+INDEX(Models!$BJ272:$BT272,,T272+1)*R272-ERP_i)*Q272*Ramure*Pc/MaxiM</f>
        <v>3.324007688299447E-2</v>
      </c>
      <c r="Q272" s="305">
        <f t="shared" si="105"/>
        <v>0.8</v>
      </c>
      <c r="R272" s="177">
        <f t="shared" si="106"/>
        <v>0.78859112888631544</v>
      </c>
      <c r="S272" s="809">
        <f t="shared" si="107"/>
        <v>1</v>
      </c>
      <c r="T272" s="176">
        <f t="shared" si="108"/>
        <v>7</v>
      </c>
      <c r="U272" s="251">
        <f t="shared" si="109"/>
        <v>1.7885911288863154</v>
      </c>
      <c r="V272" s="383">
        <f t="shared" si="110"/>
        <v>34.867524959319411</v>
      </c>
      <c r="W272" s="402">
        <f t="shared" si="111"/>
        <v>29.085731928095232</v>
      </c>
      <c r="X272" s="157">
        <f t="shared" si="112"/>
        <v>45549</v>
      </c>
      <c r="Y272" s="385">
        <f t="shared" si="113"/>
        <v>26.383958632599704</v>
      </c>
      <c r="Z272" s="385">
        <f t="shared" si="114"/>
        <v>28.425354831533102</v>
      </c>
      <c r="AA272" s="386">
        <f t="shared" si="115"/>
        <v>33.973166337308172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0.16329980699157418</v>
      </c>
      <c r="AD272" s="231">
        <f>(INDEX(Models!$BJ272:$BT272,,AH272)*(1-AF272)+INDEX(Models!$BJ272:$BT272,,AH272+1)*AF272-ERP_i)*AE272*Ramure*Pc/MaxiM</f>
        <v>7.0041553146220278E-2</v>
      </c>
      <c r="AE272" s="305">
        <f t="shared" si="117"/>
        <v>0.8</v>
      </c>
      <c r="AF272" s="177">
        <f t="shared" si="118"/>
        <v>0.98930787605121928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2.9893078760512193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IF(t&gt;Tmaj,'2023'!Wh/'2023'!Env_an*'2024'!Env_an,0.001*'[11]mon-tableau (3)'!$B$151)</f>
        <v>26.886766281431473</v>
      </c>
      <c r="C273" s="839"/>
      <c r="D273" s="393">
        <f t="shared" si="102"/>
        <v>28.967755483778987</v>
      </c>
      <c r="E273" s="385">
        <f t="shared" si="100"/>
        <v>32.340695197362102</v>
      </c>
      <c r="F273" s="385">
        <f t="shared" si="103"/>
        <v>33.110821453963084</v>
      </c>
      <c r="G273" s="110">
        <f t="shared" si="101"/>
        <v>0.77046332277402241</v>
      </c>
      <c r="H273" s="414" t="b">
        <f>Wh_hp&gt;='2023'!Maxi_hp</f>
        <v>0</v>
      </c>
      <c r="I273" s="390">
        <f>IF(H273,Wh_hp,'2023'!Maxi_hp)</f>
        <v>39.509966115704373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7.1838123720451869E-2</v>
      </c>
      <c r="M273" s="843"/>
      <c r="N273" s="843"/>
      <c r="O273" s="48">
        <f>IF(t&lt;Tnet,'2023'!Resal+('2023'!Salim-'2023'!Resal)*(1-EXP(('2023'!Tnet-t)/('2023'!Tau_j))),Resal+(Salim-Resal)*(1-EXP((Tnet-t)/(Tau_j))))*Salcycl</f>
        <v>0.10429397676826163</v>
      </c>
      <c r="P273" s="169">
        <f>(INDEX(Models!$BJ273:$BT273,,T273)*(1-R273)+INDEX(Models!$BJ273:$BT273,,T273+1)*R273-ERP_i)*Q273*Ramure*Pc/MaxiM</f>
        <v>3.3988767995506368E-2</v>
      </c>
      <c r="Q273" s="305">
        <f t="shared" si="105"/>
        <v>0.8</v>
      </c>
      <c r="R273" s="177">
        <f t="shared" si="106"/>
        <v>0.7890245540925902</v>
      </c>
      <c r="S273" s="809">
        <f t="shared" si="107"/>
        <v>1</v>
      </c>
      <c r="T273" s="176">
        <f t="shared" si="108"/>
        <v>7</v>
      </c>
      <c r="U273" s="251">
        <f t="shared" si="109"/>
        <v>1.7890245540925902</v>
      </c>
      <c r="V273" s="383">
        <f t="shared" si="110"/>
        <v>34.513530174331066</v>
      </c>
      <c r="W273" s="402">
        <f t="shared" si="111"/>
        <v>26.886766281431473</v>
      </c>
      <c r="X273" s="157">
        <f t="shared" si="112"/>
        <v>45550</v>
      </c>
      <c r="Y273" s="385">
        <f t="shared" si="113"/>
        <v>24.470274271850172</v>
      </c>
      <c r="Z273" s="385">
        <f t="shared" si="114"/>
        <v>26.364231172623708</v>
      </c>
      <c r="AA273" s="386">
        <f t="shared" si="115"/>
        <v>31.509843257911932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0.16330173537109524</v>
      </c>
      <c r="AD273" s="231">
        <f>(INDEX(Models!$BJ273:$BT273,,AH273)*(1-AF273)+INDEX(Models!$BJ273:$BT273,,AH273+1)*AF273-ERP_i)*AE273*Ramure*Pc/MaxiM</f>
        <v>7.0657604522683951E-2</v>
      </c>
      <c r="AE273" s="305">
        <f t="shared" si="117"/>
        <v>0.8</v>
      </c>
      <c r="AF273" s="177">
        <f t="shared" si="118"/>
        <v>0.98974130125749404</v>
      </c>
      <c r="AG273" s="809">
        <f t="shared" si="124"/>
        <v>2</v>
      </c>
      <c r="AH273" s="176">
        <f t="shared" si="119"/>
        <v>8</v>
      </c>
      <c r="AI273" s="225">
        <f t="shared" si="120"/>
        <v>2.989741301257494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IF(t&gt;Tmaj,'2023'!Wh/'2023'!Env_an*'2024'!Env_an,0.001*'[11]mon-tableau (3)'!$B$152)</f>
        <v>33.844389716944036</v>
      </c>
      <c r="C274" s="839"/>
      <c r="D274" s="393">
        <f t="shared" si="102"/>
        <v>36.464754827450712</v>
      </c>
      <c r="E274" s="385">
        <f t="shared" si="100"/>
        <v>40.714945015281614</v>
      </c>
      <c r="F274" s="385">
        <f t="shared" si="103"/>
        <v>42.15871703297011</v>
      </c>
      <c r="G274" s="110">
        <f t="shared" si="101"/>
        <v>0.99032936110738323</v>
      </c>
      <c r="H274" s="414" t="b">
        <f>Wh_hp&gt;='2023'!Maxi_hp</f>
        <v>0</v>
      </c>
      <c r="I274" s="390">
        <f>IF(H274,Wh_hp,'2023'!Maxi_hp)</f>
        <v>42.174056181974457</v>
      </c>
      <c r="J274" s="85">
        <f>IF(H274,An,'2023'!An_max)</f>
        <v>2022</v>
      </c>
      <c r="K274" s="197">
        <f t="shared" si="104"/>
        <v>45551</v>
      </c>
      <c r="L274" s="147">
        <f>IF(t&lt;Tvie,1-EXP((T0-t)*PertePVj)+'2023'!Pspv,1-EXP((T0-t)*PertePVj)+Pspv)</f>
        <v>7.1860214689666996E-2</v>
      </c>
      <c r="M274" s="843"/>
      <c r="N274" s="843"/>
      <c r="O274" s="48">
        <f>IF(t&lt;Tnet,'2023'!Resal+('2023'!Salim-'2023'!Resal)*(1-EXP(('2023'!Tnet-t)/('2023'!Tau_j))),Resal+(Salim-Resal)*(1-EXP((Tnet-t)/(Tau_j))))*Salcycl</f>
        <v>0.10438894578478915</v>
      </c>
      <c r="P274" s="169">
        <f>(INDEX(Models!$BJ274:$BT274,,T274)*(1-R274)+INDEX(Models!$BJ274:$BT274,,T274+1)*R274-ERP_i)*Q274*Ramure*Pc/MaxiM</f>
        <v>3.4702325187219739E-2</v>
      </c>
      <c r="Q274" s="305">
        <f t="shared" si="105"/>
        <v>0.8</v>
      </c>
      <c r="R274" s="177">
        <f t="shared" si="106"/>
        <v>0.78944112754670837</v>
      </c>
      <c r="S274" s="809">
        <f t="shared" si="107"/>
        <v>1</v>
      </c>
      <c r="T274" s="176">
        <f t="shared" si="108"/>
        <v>7</v>
      </c>
      <c r="U274" s="251">
        <f t="shared" si="109"/>
        <v>1.7894411275467084</v>
      </c>
      <c r="V274" s="383">
        <f t="shared" si="110"/>
        <v>34.158738661477393</v>
      </c>
      <c r="W274" s="402">
        <f t="shared" si="111"/>
        <v>33.844389716944036</v>
      </c>
      <c r="X274" s="157">
        <f t="shared" si="112"/>
        <v>45551</v>
      </c>
      <c r="Y274" s="385">
        <f t="shared" si="113"/>
        <v>30.439687653745334</v>
      </c>
      <c r="Z274" s="385">
        <f t="shared" si="114"/>
        <v>32.796447405352325</v>
      </c>
      <c r="AA274" s="386">
        <f t="shared" si="115"/>
        <v>39.197482301897637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0.16330219495335868</v>
      </c>
      <c r="AD274" s="231">
        <f>(INDEX(Models!$BJ274:$BT274,,AH274)*(1-AF274)+INDEX(Models!$BJ274:$BT274,,AH274+1)*AF274-ERP_i)*AE274*Ramure*Pc/MaxiM</f>
        <v>7.1175870798417057E-2</v>
      </c>
      <c r="AE274" s="305">
        <f t="shared" si="117"/>
        <v>0.8</v>
      </c>
      <c r="AF274" s="177">
        <f t="shared" si="118"/>
        <v>0.99015787471161198</v>
      </c>
      <c r="AG274" s="809">
        <f t="shared" si="124"/>
        <v>2</v>
      </c>
      <c r="AH274" s="176">
        <f t="shared" si="119"/>
        <v>8</v>
      </c>
      <c r="AI274" s="225">
        <f t="shared" si="120"/>
        <v>2.990157874711612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IF(t&gt;Tmaj,'2023'!Wh/'2023'!Env_an*'2024'!Env_an,0.001*'[11]mon-tableau (3)'!$B$153)</f>
        <v>33.903692480450438</v>
      </c>
      <c r="C275" s="839"/>
      <c r="D275" s="393">
        <f t="shared" si="102"/>
        <v>36.529518474205638</v>
      </c>
      <c r="E275" s="385">
        <f t="shared" si="100"/>
        <v>40.791530563939098</v>
      </c>
      <c r="F275" s="385">
        <f t="shared" si="103"/>
        <v>42.287790753707363</v>
      </c>
      <c r="G275" s="110">
        <f t="shared" si="101"/>
        <v>1.0030596920998256</v>
      </c>
      <c r="H275" s="414" t="b">
        <f>Wh_hp&gt;='2023'!Maxi_hp</f>
        <v>1</v>
      </c>
      <c r="I275" s="390">
        <f>IF(H275,Wh_hp,'2023'!Maxi_hp)</f>
        <v>42.287790753707363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7.1882305144793018E-2</v>
      </c>
      <c r="M275" s="843"/>
      <c r="N275" s="843"/>
      <c r="O275" s="48">
        <f>IF(t&lt;Tnet,'2023'!Resal+('2023'!Salim-'2023'!Resal)*(1-EXP(('2023'!Tnet-t)/('2023'!Tau_j))),Resal+(Salim-Resal)*(1-EXP((Tnet-t)/(Tau_j))))*Salcycl</f>
        <v>0.10448276960465921</v>
      </c>
      <c r="P275" s="169">
        <f>(INDEX(Models!$BJ275:$BT275,,T275)*(1-R275)+INDEX(Models!$BJ275:$BT275,,T275+1)*R275-ERP_i)*Q275*Ramure*Pc/MaxiM</f>
        <v>3.5382794019266355E-2</v>
      </c>
      <c r="Q275" s="305">
        <f t="shared" si="105"/>
        <v>0.8</v>
      </c>
      <c r="R275" s="177">
        <f t="shared" si="106"/>
        <v>0.78984148163853751</v>
      </c>
      <c r="S275" s="809">
        <f t="shared" si="107"/>
        <v>1</v>
      </c>
      <c r="T275" s="176">
        <f t="shared" si="108"/>
        <v>7</v>
      </c>
      <c r="U275" s="251">
        <f t="shared" si="109"/>
        <v>1.7898414816385375</v>
      </c>
      <c r="V275" s="383">
        <f t="shared" si="110"/>
        <v>33.800274048970856</v>
      </c>
      <c r="W275" s="402">
        <f t="shared" si="111"/>
        <v>33.903692480450438</v>
      </c>
      <c r="X275" s="157">
        <f t="shared" si="112"/>
        <v>45552</v>
      </c>
      <c r="Y275" s="385">
        <f t="shared" si="113"/>
        <v>30.487543352197232</v>
      </c>
      <c r="Z275" s="385">
        <f t="shared" si="114"/>
        <v>32.848790106252103</v>
      </c>
      <c r="AA275" s="386">
        <f t="shared" si="115"/>
        <v>39.259991122421098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0.16330113260029769</v>
      </c>
      <c r="AD275" s="231">
        <f>(INDEX(Models!$BJ275:$BT275,,AH275)*(1-AF275)+INDEX(Models!$BJ275:$BT275,,AH275+1)*AF275-ERP_i)*AE275*Ramure*Pc/MaxiM</f>
        <v>7.1599853700581861E-2</v>
      </c>
      <c r="AE275" s="305">
        <f t="shared" si="117"/>
        <v>0.8</v>
      </c>
      <c r="AF275" s="177">
        <f t="shared" si="118"/>
        <v>0.99055822880344113</v>
      </c>
      <c r="AG275" s="809">
        <f t="shared" si="124"/>
        <v>2</v>
      </c>
      <c r="AH275" s="176">
        <f t="shared" si="119"/>
        <v>8</v>
      </c>
      <c r="AI275" s="225">
        <f t="shared" si="120"/>
        <v>2.9905582288034411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IF(t&gt;Tmaj,'2023'!Wh/'2023'!Env_an*'2024'!Env_an,0.001*'[11]mon-tableau (3)'!$B$154)</f>
        <v>32.397259632490211</v>
      </c>
      <c r="C276" s="839"/>
      <c r="D276" s="393">
        <f t="shared" si="102"/>
        <v>34.907243888399535</v>
      </c>
      <c r="E276" s="385">
        <f t="shared" si="100"/>
        <v>38.984013091518293</v>
      </c>
      <c r="F276" s="385">
        <f t="shared" si="103"/>
        <v>40.372441230896683</v>
      </c>
      <c r="G276" s="110">
        <f t="shared" si="101"/>
        <v>0.96728830432883484</v>
      </c>
      <c r="H276" s="414" t="b">
        <f>Wh_hp&gt;='2023'!Maxi_hp</f>
        <v>0</v>
      </c>
      <c r="I276" s="390">
        <f>IF(H276,Wh_hp,'2023'!Maxi_hp)</f>
        <v>40.423517538055499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7.1904395085841927E-2</v>
      </c>
      <c r="M276" s="843"/>
      <c r="N276" s="843"/>
      <c r="O276" s="48">
        <f>IF(t&lt;Tnet,'2023'!Resal+('2023'!Salim-'2023'!Resal)*(1-EXP(('2023'!Tnet-t)/('2023'!Tau_j))),Resal+(Salim-Resal)*(1-EXP((Tnet-t)/(Tau_j))))*Salcycl</f>
        <v>0.10457541129868279</v>
      </c>
      <c r="P276" s="169">
        <f>(INDEX(Models!$BJ276:$BT276,,T276)*(1-R276)+INDEX(Models!$BJ276:$BT276,,T276+1)*R276-ERP_i)*Q276*Ramure*Pc/MaxiM</f>
        <v>3.5989825085379901E-2</v>
      </c>
      <c r="Q276" s="305">
        <f t="shared" si="105"/>
        <v>0.8</v>
      </c>
      <c r="R276" s="177">
        <f t="shared" si="106"/>
        <v>0.79022622680165155</v>
      </c>
      <c r="S276" s="809">
        <f t="shared" si="107"/>
        <v>1</v>
      </c>
      <c r="T276" s="176">
        <f t="shared" si="108"/>
        <v>7</v>
      </c>
      <c r="U276" s="251">
        <f t="shared" si="109"/>
        <v>1.7902262268016516</v>
      </c>
      <c r="V276" s="383">
        <f t="shared" si="110"/>
        <v>33.437394129986792</v>
      </c>
      <c r="W276" s="402">
        <f t="shared" si="111"/>
        <v>32.397259632490211</v>
      </c>
      <c r="X276" s="157">
        <f t="shared" si="112"/>
        <v>45553</v>
      </c>
      <c r="Y276" s="385">
        <f t="shared" si="113"/>
        <v>29.197503010114243</v>
      </c>
      <c r="Z276" s="385">
        <f t="shared" si="114"/>
        <v>31.45958547321727</v>
      </c>
      <c r="AA276" s="386">
        <f t="shared" si="115"/>
        <v>37.599532514663181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0.163298494178124</v>
      </c>
      <c r="AD276" s="231">
        <f>(INDEX(Models!$BJ276:$BT276,,AH276)*(1-AF276)+INDEX(Models!$BJ276:$BT276,,AH276+1)*AF276-ERP_i)*AE276*Ramure*Pc/MaxiM</f>
        <v>7.1877324324216688E-2</v>
      </c>
      <c r="AE276" s="305">
        <f t="shared" si="117"/>
        <v>0.8</v>
      </c>
      <c r="AF276" s="177">
        <f t="shared" si="118"/>
        <v>0.99094297396655495</v>
      </c>
      <c r="AG276" s="809">
        <f t="shared" si="124"/>
        <v>2</v>
      </c>
      <c r="AH276" s="176">
        <f t="shared" si="119"/>
        <v>8</v>
      </c>
      <c r="AI276" s="225">
        <f t="shared" si="120"/>
        <v>2.990942973966555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IF(t&gt;Tmaj,'2023'!Wh/'2023'!Env_an*'2024'!Env_an,0.001*'[11]mon-tableau (3)'!$B$155)</f>
        <v>33.080801120204015</v>
      </c>
      <c r="C277" s="839"/>
      <c r="D277" s="393">
        <f t="shared" si="102"/>
        <v>35.644591261543418</v>
      </c>
      <c r="E277" s="385">
        <f t="shared" si="100"/>
        <v>39.811538975390938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Wh_hp&gt;='2023'!Maxi_hp</f>
        <v>1</v>
      </c>
      <c r="I277" s="390">
        <f>IF(H277,Wh_hp,'2023'!Maxi_hp)</f>
        <v>41.321180250587048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7.19264845128256E-2</v>
      </c>
      <c r="M277" s="843"/>
      <c r="N277" s="843"/>
      <c r="O277" s="48">
        <f>IF(t&lt;Tnet,'2023'!Resal+('2023'!Salim-'2023'!Resal)*(1-EXP(('2023'!Tnet-t)/('2023'!Tau_j))),Resal+(Salim-Resal)*(1-EXP((Tnet-t)/(Tau_j))))*Salcycl</f>
        <v>0.10466683331240408</v>
      </c>
      <c r="P277" s="169">
        <f>(INDEX(Models!$BJ277:$BT277,,T277)*(1-R277)+INDEX(Models!$BJ277:$BT277,,T277+1)*R277-ERP_i)*Q277*Ramure*Pc/MaxiM</f>
        <v>3.6534321286107535E-2</v>
      </c>
      <c r="Q277" s="305">
        <f t="shared" si="105"/>
        <v>0.8</v>
      </c>
      <c r="R277" s="177">
        <f t="shared" si="106"/>
        <v>0.79059595213572198</v>
      </c>
      <c r="S277" s="809">
        <f t="shared" si="107"/>
        <v>1</v>
      </c>
      <c r="T277" s="176">
        <f t="shared" si="108"/>
        <v>7</v>
      </c>
      <c r="U277" s="251">
        <f t="shared" si="109"/>
        <v>1.790595952135722</v>
      </c>
      <c r="V277" s="383">
        <f t="shared" si="110"/>
        <v>33.070819633234407</v>
      </c>
      <c r="W277" s="402">
        <f t="shared" si="111"/>
        <v>33.080801120204015</v>
      </c>
      <c r="X277" s="157">
        <f t="shared" si="112"/>
        <v>45554</v>
      </c>
      <c r="Y277" s="385">
        <f t="shared" si="113"/>
        <v>29.775155311447278</v>
      </c>
      <c r="Z277" s="385">
        <f t="shared" si="114"/>
        <v>32.082755099220108</v>
      </c>
      <c r="AA277" s="386">
        <f t="shared" si="115"/>
        <v>38.34413009755977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0.16329422475901034</v>
      </c>
      <c r="AD277" s="231">
        <f>(INDEX(Models!$BJ277:$BT277,,AH277)*(1-AF277)+INDEX(Models!$BJ277:$BT277,,AH277+1)*AF277-ERP_i)*AE277*Ramure*Pc/MaxiM</f>
        <v>7.2046590512984801E-2</v>
      </c>
      <c r="AE277" s="305">
        <f t="shared" si="117"/>
        <v>0.8</v>
      </c>
      <c r="AF277" s="177">
        <f t="shared" si="118"/>
        <v>0.9913126993006256</v>
      </c>
      <c r="AG277" s="809">
        <f t="shared" si="124"/>
        <v>2</v>
      </c>
      <c r="AH277" s="176">
        <f t="shared" si="119"/>
        <v>8</v>
      </c>
      <c r="AI277" s="225">
        <f t="shared" si="120"/>
        <v>2.9913126993006256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IF(t&gt;Tmaj,'2023'!Wh/'2023'!Env_an*'2024'!Env_an,0.001*'[11]mon-tableau (3)'!$B$156)</f>
        <v>32.194283091847552</v>
      </c>
      <c r="C278" s="839"/>
      <c r="D278" s="393">
        <f t="shared" si="102"/>
        <v>34.690192989291219</v>
      </c>
      <c r="E278" s="385">
        <f t="shared" si="100"/>
        <v>38.749471257260865</v>
      </c>
      <c r="F278" s="385">
        <f t="shared" si="103"/>
        <v>40.204596851545382</v>
      </c>
      <c r="G278" s="110">
        <f t="shared" si="101"/>
        <v>0.9836440087119207</v>
      </c>
      <c r="H278" s="414" t="b">
        <f>Wh_hp&gt;='2023'!Maxi_hp</f>
        <v>0</v>
      </c>
      <c r="I278" s="390">
        <f>IF(H278,Wh_hp,'2023'!Maxi_hp)</f>
        <v>40.230485089809569</v>
      </c>
      <c r="J278" s="85">
        <f>IF(H278,An,'2023'!An_max)</f>
        <v>2022</v>
      </c>
      <c r="K278" s="197">
        <f t="shared" si="104"/>
        <v>45555</v>
      </c>
      <c r="L278" s="147">
        <f>IF(t&lt;Tvie,1-EXP((T0-t)*PertePVj)+'2023'!Pspv,1-EXP((T0-t)*PertePVj)+Pspv)</f>
        <v>7.1948573425756029E-2</v>
      </c>
      <c r="M278" s="843"/>
      <c r="N278" s="843"/>
      <c r="O278" s="48">
        <f>IF(t&lt;Tnet,'2023'!Resal+('2023'!Salim-'2023'!Resal)*(1-EXP(('2023'!Tnet-t)/('2023'!Tau_j))),Resal+(Salim-Resal)*(1-EXP((Tnet-t)/(Tau_j))))*Salcycl</f>
        <v>0.10475699761216786</v>
      </c>
      <c r="P278" s="169">
        <f>(INDEX(Models!$BJ278:$BT278,,T278)*(1-R278)+INDEX(Models!$BJ278:$BT278,,T278+1)*R278-ERP_i)*Q278*Ramure*Pc/MaxiM</f>
        <v>3.7013545436152935E-2</v>
      </c>
      <c r="Q278" s="305">
        <f t="shared" si="105"/>
        <v>0.8</v>
      </c>
      <c r="R278" s="177">
        <f t="shared" si="106"/>
        <v>0.7909512260228273</v>
      </c>
      <c r="S278" s="809">
        <f t="shared" si="107"/>
        <v>1</v>
      </c>
      <c r="T278" s="176">
        <f t="shared" si="108"/>
        <v>7</v>
      </c>
      <c r="U278" s="251">
        <f t="shared" si="109"/>
        <v>1.7909512260228273</v>
      </c>
      <c r="V278" s="383">
        <f t="shared" si="110"/>
        <v>32.701744167884641</v>
      </c>
      <c r="W278" s="402">
        <f t="shared" si="111"/>
        <v>32.194283091847552</v>
      </c>
      <c r="X278" s="157">
        <f t="shared" si="112"/>
        <v>45555</v>
      </c>
      <c r="Y278" s="385">
        <f t="shared" si="113"/>
        <v>29.018245478857867</v>
      </c>
      <c r="Z278" s="385">
        <f t="shared" si="114"/>
        <v>31.267928315108744</v>
      </c>
      <c r="AA278" s="386">
        <f t="shared" si="115"/>
        <v>37.370013053586824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0.16328826885149816</v>
      </c>
      <c r="AD278" s="231">
        <f>(INDEX(Models!$BJ278:$BT278,,AH278)*(1-AF278)+INDEX(Models!$BJ278:$BT278,,AH278+1)*AF278-ERP_i)*AE278*Ramure*Pc/MaxiM</f>
        <v>7.2102364641527958E-2</v>
      </c>
      <c r="AE278" s="305">
        <f t="shared" si="117"/>
        <v>0.8</v>
      </c>
      <c r="AF278" s="177">
        <f t="shared" si="118"/>
        <v>0.99166797318773092</v>
      </c>
      <c r="AG278" s="809">
        <f t="shared" si="124"/>
        <v>2</v>
      </c>
      <c r="AH278" s="176">
        <f t="shared" si="119"/>
        <v>8</v>
      </c>
      <c r="AI278" s="225">
        <f t="shared" si="120"/>
        <v>2.9916679731877309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IF(t&gt;Tmaj,'2023'!Wh/'2023'!Env_an*'2024'!Env_an,0.001*'[11]mon-tableau (3)'!$B$157)</f>
        <v>31.079664808580286</v>
      </c>
      <c r="C279" s="839"/>
      <c r="D279" s="393">
        <f t="shared" si="102"/>
        <v>33.489959347284838</v>
      </c>
      <c r="E279" s="385">
        <f t="shared" si="100"/>
        <v>37.412505924572613</v>
      </c>
      <c r="F279" s="385">
        <f t="shared" si="103"/>
        <v>38.783692714373082</v>
      </c>
      <c r="G279" s="110">
        <f t="shared" si="101"/>
        <v>0.95922282202286102</v>
      </c>
      <c r="H279" s="414" t="b">
        <f>Wh_hp&gt;='2023'!Maxi_hp</f>
        <v>0</v>
      </c>
      <c r="I279" s="390">
        <f>IF(H279,Wh_hp,'2023'!Maxi_hp)</f>
        <v>38.846406402200635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7.1970661824645205E-2</v>
      </c>
      <c r="M279" s="843"/>
      <c r="N279" s="843"/>
      <c r="O279" s="48">
        <f>IF(t&lt;Tnet,'2023'!Resal+('2023'!Salim-'2023'!Resal)*(1-EXP(('2023'!Tnet-t)/('2023'!Tau_j))),Resal+(Salim-Resal)*(1-EXP((Tnet-t)/(Tau_j))))*Salcycl</f>
        <v>0.10484586585020596</v>
      </c>
      <c r="P279" s="169">
        <f>(INDEX(Models!$BJ279:$BT279,,T279)*(1-R279)+INDEX(Models!$BJ279:$BT279,,T279+1)*R279-ERP_i)*Q279*Ramure*Pc/MaxiM</f>
        <v>3.7424546500054875E-2</v>
      </c>
      <c r="Q279" s="305">
        <f t="shared" si="105"/>
        <v>0.8</v>
      </c>
      <c r="R279" s="177">
        <f t="shared" si="106"/>
        <v>0.79129259673659957</v>
      </c>
      <c r="S279" s="809">
        <f t="shared" si="107"/>
        <v>1</v>
      </c>
      <c r="T279" s="176">
        <f t="shared" si="108"/>
        <v>7</v>
      </c>
      <c r="U279" s="251">
        <f t="shared" si="109"/>
        <v>1.7912925967365996</v>
      </c>
      <c r="V279" s="383">
        <f t="shared" si="110"/>
        <v>32.331359341031337</v>
      </c>
      <c r="W279" s="402">
        <f t="shared" si="111"/>
        <v>31.079664808580286</v>
      </c>
      <c r="X279" s="157">
        <f t="shared" si="112"/>
        <v>45556</v>
      </c>
      <c r="Y279" s="385">
        <f t="shared" si="113"/>
        <v>28.066035678675512</v>
      </c>
      <c r="Z279" s="385">
        <f t="shared" si="114"/>
        <v>30.242616827025703</v>
      </c>
      <c r="AA279" s="386">
        <f t="shared" si="115"/>
        <v>36.144274611687507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0.16328057065927287</v>
      </c>
      <c r="AD279" s="231">
        <f>(INDEX(Models!$BJ279:$BT279,,AH279)*(1-AF279)+INDEX(Models!$BJ279:$BT279,,AH279+1)*AF279-ERP_i)*AE279*Ramure*Pc/MaxiM</f>
        <v>7.2039073196888778E-2</v>
      </c>
      <c r="AE279" s="305">
        <f t="shared" si="117"/>
        <v>0.8</v>
      </c>
      <c r="AF279" s="177">
        <f t="shared" si="118"/>
        <v>0.99200934390150319</v>
      </c>
      <c r="AG279" s="809">
        <f t="shared" si="124"/>
        <v>2</v>
      </c>
      <c r="AH279" s="176">
        <f t="shared" si="119"/>
        <v>8</v>
      </c>
      <c r="AI279" s="225">
        <f t="shared" si="120"/>
        <v>2.9920093439015032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IF(t&gt;Tmaj,'2023'!Wh/'2023'!Env_an*'2024'!Env_an,0.001*'[11]mon-tableau (3)'!$B$158)</f>
        <v>20.106136036255112</v>
      </c>
      <c r="C280" s="839"/>
      <c r="D280" s="393">
        <f t="shared" si="102"/>
        <v>21.665925594828348</v>
      </c>
      <c r="E280" s="385">
        <f t="shared" si="100"/>
        <v>24.205936836316809</v>
      </c>
      <c r="F280" s="385">
        <f t="shared" si="103"/>
        <v>24.643454699963115</v>
      </c>
      <c r="G280" s="110">
        <f t="shared" si="101"/>
        <v>0.61627060186460492</v>
      </c>
      <c r="H280" s="414" t="b">
        <f>Wh_hp&gt;='2023'!Maxi_hp</f>
        <v>0</v>
      </c>
      <c r="I280" s="390">
        <f>IF(H280,Wh_hp,'2023'!Maxi_hp)</f>
        <v>37.625376650076369</v>
      </c>
      <c r="J280" s="85">
        <f>IF(H280,An,'2023'!An_max)</f>
        <v>2019</v>
      </c>
      <c r="K280" s="197">
        <f t="shared" si="104"/>
        <v>45557</v>
      </c>
      <c r="L280" s="147">
        <f>IF(t&lt;Tvie,1-EXP((T0-t)*PertePVj)+'2023'!Pspv,1-EXP((T0-t)*PertePVj)+Pspv)</f>
        <v>7.1992749709505005E-2</v>
      </c>
      <c r="M280" s="843"/>
      <c r="N280" s="843"/>
      <c r="O280" s="48">
        <f>IF(t&lt;Tnet,'2023'!Resal+('2023'!Salim-'2023'!Resal)*(1-EXP(('2023'!Tnet-t)/('2023'!Tau_j))),Resal+(Salim-Resal)*(1-EXP((Tnet-t)/(Tau_j))))*Salcycl</f>
        <v>0.10493339954839569</v>
      </c>
      <c r="P280" s="169">
        <f>(INDEX(Models!$BJ280:$BT280,,T280)*(1-R280)+INDEX(Models!$BJ280:$BT280,,T280+1)*R280-ERP_i)*Q280*Ramure*Pc/MaxiM</f>
        <v>3.7764370914347346E-2</v>
      </c>
      <c r="Q280" s="305">
        <f t="shared" si="105"/>
        <v>0.8</v>
      </c>
      <c r="R280" s="177">
        <f t="shared" si="106"/>
        <v>0.79162059304327759</v>
      </c>
      <c r="S280" s="809">
        <f t="shared" si="107"/>
        <v>1</v>
      </c>
      <c r="T280" s="176">
        <f t="shared" si="108"/>
        <v>7</v>
      </c>
      <c r="U280" s="251">
        <f t="shared" si="109"/>
        <v>1.7916205930432776</v>
      </c>
      <c r="V280" s="383">
        <f t="shared" si="110"/>
        <v>31.960848021229367</v>
      </c>
      <c r="W280" s="402">
        <f t="shared" si="111"/>
        <v>20.106136036255112</v>
      </c>
      <c r="X280" s="157">
        <f t="shared" si="112"/>
        <v>45557</v>
      </c>
      <c r="Y280" s="385">
        <f t="shared" si="113"/>
        <v>18.489034392627186</v>
      </c>
      <c r="Z280" s="385">
        <f t="shared" si="114"/>
        <v>19.923372782744472</v>
      </c>
      <c r="AA280" s="386">
        <f t="shared" si="115"/>
        <v>23.81102430238834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0.1632710743675953</v>
      </c>
      <c r="AD280" s="231">
        <f>(INDEX(Models!$BJ280:$BT280,,AH280)*(1-AF280)+INDEX(Models!$BJ280:$BT280,,AH280+1)*AF280-ERP_i)*AE280*Ramure*Pc/MaxiM</f>
        <v>7.1851261185999937E-2</v>
      </c>
      <c r="AE280" s="305">
        <f t="shared" si="117"/>
        <v>0.8</v>
      </c>
      <c r="AF280" s="177">
        <f t="shared" si="118"/>
        <v>0.99233734020818121</v>
      </c>
      <c r="AG280" s="809">
        <f t="shared" si="124"/>
        <v>2</v>
      </c>
      <c r="AH280" s="176">
        <f t="shared" si="119"/>
        <v>8</v>
      </c>
      <c r="AI280" s="225">
        <f t="shared" si="120"/>
        <v>2.9923373402081812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IF(t&gt;Tmaj,'2023'!Wh/'2023'!Env_an*'2024'!Env_an,0.001*'[11]mon-tableau (3)'!$B$159)</f>
        <v>14.652291333937525</v>
      </c>
      <c r="C281" s="839"/>
      <c r="D281" s="393">
        <f t="shared" si="102"/>
        <v>15.78935948484142</v>
      </c>
      <c r="E281" s="385">
        <f t="shared" si="100"/>
        <v>17.642128011351943</v>
      </c>
      <c r="F281" s="385">
        <f t="shared" si="103"/>
        <v>17.800540661389636</v>
      </c>
      <c r="G281" s="110">
        <f t="shared" si="101"/>
        <v>0.45017420103399092</v>
      </c>
      <c r="H281" s="414" t="b">
        <f>Wh_hp&gt;='2023'!Maxi_hp</f>
        <v>0</v>
      </c>
      <c r="I281" s="390">
        <f>IF(H281,Wh_hp,'2023'!Maxi_hp)</f>
        <v>36.227444973424483</v>
      </c>
      <c r="J281" s="85">
        <f>IF(H281,An,'2023'!An_max)</f>
        <v>2018</v>
      </c>
      <c r="K281" s="197">
        <f t="shared" si="104"/>
        <v>45558</v>
      </c>
      <c r="L281" s="147">
        <f>IF(t&lt;Tvie,1-EXP((T0-t)*PertePVj)+'2023'!Pspv,1-EXP((T0-t)*PertePVj)+Pspv)</f>
        <v>7.2014837080347532E-2</v>
      </c>
      <c r="M281" s="843"/>
      <c r="N281" s="843"/>
      <c r="O281" s="48">
        <f>IF(t&lt;Tnet,'2023'!Resal+('2023'!Salim-'2023'!Resal)*(1-EXP(('2023'!Tnet-t)/('2023'!Tau_j))),Resal+(Salim-Resal)*(1-EXP((Tnet-t)/(Tau_j))))*Salcycl</f>
        <v>0.10501956030011493</v>
      </c>
      <c r="P281" s="169">
        <f>(INDEX(Models!$BJ281:$BT281,,T281)*(1-R281)+INDEX(Models!$BJ281:$BT281,,T281+1)*R281-ERP_i)*Q281*Ramure*Pc/MaxiM</f>
        <v>3.8029779168017058E-2</v>
      </c>
      <c r="Q281" s="305">
        <f t="shared" si="105"/>
        <v>0.8</v>
      </c>
      <c r="R281" s="177">
        <f t="shared" si="106"/>
        <v>0.791935724793841</v>
      </c>
      <c r="S281" s="809">
        <f t="shared" si="107"/>
        <v>1</v>
      </c>
      <c r="T281" s="176">
        <f t="shared" si="108"/>
        <v>7</v>
      </c>
      <c r="U281" s="251">
        <f t="shared" si="109"/>
        <v>1.791935724793841</v>
      </c>
      <c r="V281" s="383">
        <f t="shared" si="110"/>
        <v>31.591394385495381</v>
      </c>
      <c r="W281" s="402">
        <f t="shared" si="111"/>
        <v>14.652291333937525</v>
      </c>
      <c r="X281" s="157">
        <f t="shared" si="112"/>
        <v>45558</v>
      </c>
      <c r="Y281" s="385">
        <f t="shared" si="113"/>
        <v>13.59044078446197</v>
      </c>
      <c r="Z281" s="385">
        <f t="shared" si="114"/>
        <v>14.645105684344511</v>
      </c>
      <c r="AA281" s="386">
        <f t="shared" si="115"/>
        <v>17.502570525637655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0.16325972445633333</v>
      </c>
      <c r="AD281" s="231">
        <f>(INDEX(Models!$BJ281:$BT281,,AH281)*(1-AF281)+INDEX(Models!$BJ281:$BT281,,AH281+1)*AF281-ERP_i)*AE281*Ramure*Pc/MaxiM</f>
        <v>7.1533040187229224E-2</v>
      </c>
      <c r="AE281" s="305">
        <f t="shared" si="117"/>
        <v>0.8</v>
      </c>
      <c r="AF281" s="177">
        <f t="shared" si="118"/>
        <v>0.99265247195874462</v>
      </c>
      <c r="AG281" s="809">
        <f t="shared" si="124"/>
        <v>2</v>
      </c>
      <c r="AH281" s="176">
        <f t="shared" si="119"/>
        <v>8</v>
      </c>
      <c r="AI281" s="225">
        <f t="shared" si="120"/>
        <v>2.9926524719587446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IF(t&gt;Tmaj,'2023'!Wh/'2023'!Env_an*'2024'!Env_an,0.001*'[11]mon-tableau (3)'!$B$160)</f>
        <v>26.960031620353391</v>
      </c>
      <c r="C282" s="839"/>
      <c r="D282" s="393">
        <f t="shared" si="102"/>
        <v>29.052914190012903</v>
      </c>
      <c r="E282" s="385">
        <f t="shared" si="100"/>
        <v>32.465140366994518</v>
      </c>
      <c r="F282" s="385">
        <f t="shared" si="103"/>
        <v>33.495054316855231</v>
      </c>
      <c r="G282" s="110">
        <f t="shared" si="101"/>
        <v>0.85678071762513397</v>
      </c>
      <c r="H282" s="414" t="b">
        <f>Wh_hp&gt;='2023'!Maxi_hp</f>
        <v>0</v>
      </c>
      <c r="I282" s="390">
        <f>IF(H282,Wh_hp,'2023'!Maxi_hp)</f>
        <v>37.737616608562853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7.2036923937184666E-2</v>
      </c>
      <c r="M282" s="843"/>
      <c r="N282" s="843"/>
      <c r="O282" s="48">
        <f>IF(t&lt;Tnet,'2023'!Resal+('2023'!Salim-'2023'!Resal)*(1-EXP(('2023'!Tnet-t)/('2023'!Tau_j))),Resal+(Salim-Resal)*(1-EXP((Tnet-t)/(Tau_j))))*Salcycl</f>
        <v>0.10510430998938895</v>
      </c>
      <c r="P282" s="169">
        <f>(INDEX(Models!$BJ282:$BT282,,T282)*(1-R282)+INDEX(Models!$BJ282:$BT282,,T282+1)*R282-ERP_i)*Q282*Ramure*Pc/MaxiM</f>
        <v>3.8201955386466535E-2</v>
      </c>
      <c r="Q282" s="305">
        <f t="shared" si="105"/>
        <v>0.8</v>
      </c>
      <c r="R282" s="177">
        <f t="shared" si="106"/>
        <v>0.79223848350650306</v>
      </c>
      <c r="S282" s="809">
        <f t="shared" si="107"/>
        <v>1</v>
      </c>
      <c r="T282" s="176">
        <f t="shared" si="108"/>
        <v>7</v>
      </c>
      <c r="U282" s="251">
        <f t="shared" si="109"/>
        <v>1.7922384835065031</v>
      </c>
      <c r="V282" s="383">
        <f t="shared" si="110"/>
        <v>31.224680598601356</v>
      </c>
      <c r="W282" s="402">
        <f t="shared" si="111"/>
        <v>26.960031620353391</v>
      </c>
      <c r="X282" s="157">
        <f t="shared" si="112"/>
        <v>45559</v>
      </c>
      <c r="Y282" s="385">
        <f t="shared" si="113"/>
        <v>24.520164700931794</v>
      </c>
      <c r="Z282" s="385">
        <f t="shared" si="114"/>
        <v>26.423642635617092</v>
      </c>
      <c r="AA282" s="386">
        <f t="shared" si="115"/>
        <v>31.57876431128761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0.16324646603818685</v>
      </c>
      <c r="AD282" s="231">
        <f>(INDEX(Models!$BJ282:$BT282,,AH282)*(1-AF282)+INDEX(Models!$BJ282:$BT282,,AH282+1)*AF282-ERP_i)*AE282*Ramure*Pc/MaxiM</f>
        <v>7.107974924519328E-2</v>
      </c>
      <c r="AE282" s="305">
        <f t="shared" si="117"/>
        <v>0.8</v>
      </c>
      <c r="AF282" s="177">
        <f t="shared" si="118"/>
        <v>0.99295523067140667</v>
      </c>
      <c r="AG282" s="809">
        <f t="shared" si="124"/>
        <v>2</v>
      </c>
      <c r="AH282" s="176">
        <f t="shared" si="119"/>
        <v>8</v>
      </c>
      <c r="AI282" s="225">
        <f t="shared" si="120"/>
        <v>2.9929552306714067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IF(t&gt;Tmaj,'2023'!Wh/'2023'!Env_an*'2024'!Env_an,0.001*'[11]mon-tableau (3)'!$B$161)</f>
        <v>23.397596621319565</v>
      </c>
      <c r="C283" s="839"/>
      <c r="D283" s="393">
        <f t="shared" si="102"/>
        <v>25.214530751982782</v>
      </c>
      <c r="E283" s="385">
        <f t="shared" si="100"/>
        <v>28.178566884732568</v>
      </c>
      <c r="F283" s="385">
        <f t="shared" si="103"/>
        <v>28.903396439426</v>
      </c>
      <c r="G283" s="110">
        <f t="shared" si="101"/>
        <v>0.7478747169915434</v>
      </c>
      <c r="H283" s="414" t="b">
        <f>Wh_hp&gt;='2023'!Maxi_hp</f>
        <v>0</v>
      </c>
      <c r="I283" s="390">
        <f>IF(H283,Wh_hp,'2023'!Maxi_hp)</f>
        <v>38.347746104915672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7.2059010280028285E-2</v>
      </c>
      <c r="M283" s="843"/>
      <c r="N283" s="843"/>
      <c r="O283" s="48">
        <f>IF(t&lt;Tnet,'2023'!Resal+('2023'!Salim-'2023'!Resal)*(1-EXP(('2023'!Tnet-t)/('2023'!Tau_j))),Resal+(Salim-Resal)*(1-EXP((Tnet-t)/(Tau_j))))*Salcycl</f>
        <v>0.10518761102629863</v>
      </c>
      <c r="P283" s="169">
        <f>(INDEX(Models!$BJ283:$BT283,,T283)*(1-R283)+INDEX(Models!$BJ283:$BT283,,T283+1)*R283-ERP_i)*Q283*Ramure*Pc/MaxiM</f>
        <v>3.8314214421706766E-2</v>
      </c>
      <c r="Q283" s="305">
        <f t="shared" si="105"/>
        <v>0.8</v>
      </c>
      <c r="R283" s="177">
        <f t="shared" si="106"/>
        <v>0.79252934293895638</v>
      </c>
      <c r="S283" s="809">
        <f t="shared" si="107"/>
        <v>1</v>
      </c>
      <c r="T283" s="176">
        <f t="shared" si="108"/>
        <v>7</v>
      </c>
      <c r="U283" s="251">
        <f t="shared" si="109"/>
        <v>1.7925293429389564</v>
      </c>
      <c r="V283" s="383">
        <f t="shared" si="110"/>
        <v>30.860685782028394</v>
      </c>
      <c r="W283" s="402">
        <f t="shared" si="111"/>
        <v>23.397596621319565</v>
      </c>
      <c r="X283" s="157">
        <f t="shared" si="112"/>
        <v>45560</v>
      </c>
      <c r="Y283" s="385">
        <f t="shared" si="113"/>
        <v>21.406253749983303</v>
      </c>
      <c r="Z283" s="385">
        <f t="shared" si="114"/>
        <v>23.068550680623723</v>
      </c>
      <c r="AA283" s="386">
        <f t="shared" si="115"/>
        <v>27.568609067745115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0.16323124522036178</v>
      </c>
      <c r="AD283" s="231">
        <f>(INDEX(Models!$BJ283:$BT283,,AH283)*(1-AF283)+INDEX(Models!$BJ283:$BT283,,AH283+1)*AF283-ERP_i)*AE283*Ramure*Pc/MaxiM</f>
        <v>7.0556352503587147E-2</v>
      </c>
      <c r="AE283" s="305">
        <f t="shared" si="117"/>
        <v>0.8</v>
      </c>
      <c r="AF283" s="177">
        <f t="shared" si="118"/>
        <v>0.99324609010386</v>
      </c>
      <c r="AG283" s="809">
        <f t="shared" si="124"/>
        <v>2</v>
      </c>
      <c r="AH283" s="176">
        <f t="shared" si="119"/>
        <v>8</v>
      </c>
      <c r="AI283" s="225">
        <f t="shared" si="120"/>
        <v>2.99324609010386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IF(t&gt;Tmaj,'2023'!Wh/'2023'!Env_an*'2024'!Env_an,0.001*'[11]mon-tableau (3)'!$B$162)</f>
        <v>15.161170039156064</v>
      </c>
      <c r="C284" s="839"/>
      <c r="D284" s="393">
        <f t="shared" si="102"/>
        <v>16.338895538801538</v>
      </c>
      <c r="E284" s="385">
        <f t="shared" si="100"/>
        <v>18.261246485258422</v>
      </c>
      <c r="F284" s="385">
        <f t="shared" si="103"/>
        <v>18.460636163397986</v>
      </c>
      <c r="G284" s="110">
        <f t="shared" si="101"/>
        <v>0.48322749875539739</v>
      </c>
      <c r="H284" s="414" t="b">
        <f>Wh_hp&gt;='2023'!Maxi_hp</f>
        <v>0</v>
      </c>
      <c r="I284" s="390">
        <f>IF(H284,Wh_hp,'2023'!Maxi_hp)</f>
        <v>36.969576410748687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7.2081096108890491E-2</v>
      </c>
      <c r="M284" s="843"/>
      <c r="N284" s="843"/>
      <c r="O284" s="48">
        <f>IF(t&lt;Tnet,'2023'!Resal+('2023'!Salim-'2023'!Resal)*(1-EXP(('2023'!Tnet-t)/('2023'!Tau_j))),Resal+(Salim-Resal)*(1-EXP((Tnet-t)/(Tau_j))))*Salcycl</f>
        <v>0.10526942659739706</v>
      </c>
      <c r="P284" s="169">
        <f>(INDEX(Models!$BJ284:$BT284,,T284)*(1-R284)+INDEX(Models!$BJ284:$BT284,,T284+1)*R284-ERP_i)*Q284*Ramure*Pc/MaxiM</f>
        <v>3.8363331162085006E-2</v>
      </c>
      <c r="Q284" s="305">
        <f t="shared" si="105"/>
        <v>0.8</v>
      </c>
      <c r="R284" s="177">
        <f t="shared" si="106"/>
        <v>0.79280875964983943</v>
      </c>
      <c r="S284" s="809">
        <f t="shared" si="107"/>
        <v>1</v>
      </c>
      <c r="T284" s="176">
        <f t="shared" si="108"/>
        <v>7</v>
      </c>
      <c r="U284" s="251">
        <f t="shared" si="109"/>
        <v>1.7928087596498394</v>
      </c>
      <c r="V284" s="383">
        <f t="shared" si="110"/>
        <v>30.500596851889568</v>
      </c>
      <c r="W284" s="402">
        <f t="shared" si="111"/>
        <v>15.161170039156064</v>
      </c>
      <c r="X284" s="157">
        <f t="shared" si="112"/>
        <v>45561</v>
      </c>
      <c r="Y284" s="385">
        <f t="shared" si="113"/>
        <v>14.051796444574261</v>
      </c>
      <c r="Z284" s="385">
        <f t="shared" si="114"/>
        <v>15.143345378189673</v>
      </c>
      <c r="AA284" s="386">
        <f t="shared" si="115"/>
        <v>18.09703502435201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0.16321400948761752</v>
      </c>
      <c r="AD284" s="231">
        <f>(INDEX(Models!$BJ284:$BT284,,AH284)*(1-AF284)+INDEX(Models!$BJ284:$BT284,,AH284+1)*AF284-ERP_i)*AE284*Ramure*Pc/MaxiM</f>
        <v>6.9958239755863919E-2</v>
      </c>
      <c r="AE284" s="305">
        <f t="shared" si="117"/>
        <v>0.8</v>
      </c>
      <c r="AF284" s="177">
        <f t="shared" si="118"/>
        <v>0.99352550681474305</v>
      </c>
      <c r="AG284" s="809">
        <f t="shared" si="124"/>
        <v>2</v>
      </c>
      <c r="AH284" s="176">
        <f t="shared" si="119"/>
        <v>8</v>
      </c>
      <c r="AI284" s="225">
        <f t="shared" si="120"/>
        <v>2.9935255068147431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IF(t&gt;Tmaj,'2023'!Wh/'2023'!Env_an*'2024'!Env_an,0.001*'[11]mon-tableau (3)'!$B$163)</f>
        <v>16.686983445802923</v>
      </c>
      <c r="C285" s="839"/>
      <c r="D285" s="393">
        <f t="shared" si="102"/>
        <v>17.983662743243112</v>
      </c>
      <c r="E285" s="385">
        <f t="shared" si="100"/>
        <v>20.101332513896576</v>
      </c>
      <c r="F285" s="385">
        <f t="shared" si="103"/>
        <v>20.384457476438357</v>
      </c>
      <c r="G285" s="110">
        <f t="shared" si="101"/>
        <v>0.53981765166009688</v>
      </c>
      <c r="H285" s="414" t="b">
        <f>Wh_hp&gt;='2023'!Maxi_hp</f>
        <v>0</v>
      </c>
      <c r="I285" s="390">
        <f>IF(H285,Wh_hp,'2023'!Maxi_hp)</f>
        <v>35.211477825551697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7.2103181423783275E-2</v>
      </c>
      <c r="M285" s="843"/>
      <c r="N285" s="843"/>
      <c r="O285" s="48">
        <f>IF(t&lt;Tnet,'2023'!Resal+('2023'!Salim-'2023'!Resal)*(1-EXP(('2023'!Tnet-t)/('2023'!Tau_j))),Resal+(Salim-Resal)*(1-EXP((Tnet-t)/(Tau_j))))*Salcycl</f>
        <v>0.10534972092966792</v>
      </c>
      <c r="P285" s="169">
        <f>(INDEX(Models!$BJ285:$BT285,,T285)*(1-R285)+INDEX(Models!$BJ285:$BT285,,T285+1)*R285-ERP_i)*Q285*Ramure*Pc/MaxiM</f>
        <v>3.8345979607923505E-2</v>
      </c>
      <c r="Q285" s="305">
        <f t="shared" si="105"/>
        <v>0.8</v>
      </c>
      <c r="R285" s="177">
        <f t="shared" si="106"/>
        <v>0.79307717354898344</v>
      </c>
      <c r="S285" s="809">
        <f t="shared" si="107"/>
        <v>1</v>
      </c>
      <c r="T285" s="176">
        <f t="shared" si="108"/>
        <v>7</v>
      </c>
      <c r="U285" s="251">
        <f t="shared" si="109"/>
        <v>1.7930771735489834</v>
      </c>
      <c r="V285" s="383">
        <f t="shared" si="110"/>
        <v>30.145598792399259</v>
      </c>
      <c r="W285" s="402">
        <f t="shared" si="111"/>
        <v>16.686983445802923</v>
      </c>
      <c r="X285" s="157">
        <f t="shared" si="112"/>
        <v>45562</v>
      </c>
      <c r="Y285" s="385">
        <f t="shared" si="113"/>
        <v>15.430711675924707</v>
      </c>
      <c r="Z285" s="385">
        <f t="shared" si="114"/>
        <v>16.629771076919841</v>
      </c>
      <c r="AA285" s="386">
        <f t="shared" si="115"/>
        <v>19.872927714458687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0.16319470810429521</v>
      </c>
      <c r="AD285" s="231">
        <f>(INDEX(Models!$BJ285:$BT285,,AH285)*(1-AF285)+INDEX(Models!$BJ285:$BT285,,AH285+1)*AF285-ERP_i)*AE285*Ramure*Pc/MaxiM</f>
        <v>6.928075025819723E-2</v>
      </c>
      <c r="AE285" s="305">
        <f t="shared" si="117"/>
        <v>0.8</v>
      </c>
      <c r="AF285" s="177">
        <f t="shared" si="118"/>
        <v>0.99379392071388706</v>
      </c>
      <c r="AG285" s="809">
        <f t="shared" si="124"/>
        <v>2</v>
      </c>
      <c r="AH285" s="176">
        <f t="shared" si="119"/>
        <v>8</v>
      </c>
      <c r="AI285" s="225">
        <f t="shared" si="120"/>
        <v>2.9937939207138871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IF(t&gt;Tmaj,'2023'!Wh/'2023'!Env_an*'2024'!Env_an,0.001*'[11]mon-tableau (3)'!$B$164)</f>
        <v>19.259142217187335</v>
      </c>
      <c r="C286" s="839"/>
      <c r="D286" s="393">
        <f t="shared" si="102"/>
        <v>20.75618778714545</v>
      </c>
      <c r="E286" s="385">
        <f t="shared" si="100"/>
        <v>23.202378847290234</v>
      </c>
      <c r="F286" s="385">
        <f t="shared" si="103"/>
        <v>23.65006904119166</v>
      </c>
      <c r="G286" s="110">
        <f t="shared" si="101"/>
        <v>0.63361341979279651</v>
      </c>
      <c r="H286" s="414" t="b">
        <f>Wh_hp&gt;='2023'!Maxi_hp</f>
        <v>0</v>
      </c>
      <c r="I286" s="390">
        <f>IF(H286,Wh_hp,'2023'!Maxi_hp)</f>
        <v>37.209601495836544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7.2125266224718404E-2</v>
      </c>
      <c r="M286" s="843"/>
      <c r="N286" s="843"/>
      <c r="O286" s="48">
        <f>IF(t&lt;Tnet,'2023'!Resal+('2023'!Salim-'2023'!Resal)*(1-EXP(('2023'!Tnet-t)/('2023'!Tau_j))),Resal+(Salim-Resal)*(1-EXP((Tnet-t)/(Tau_j))))*Salcycl</f>
        <v>0.10542845956635483</v>
      </c>
      <c r="P286" s="169">
        <f>(INDEX(Models!$BJ286:$BT286,,T286)*(1-R286)+INDEX(Models!$BJ286:$BT286,,T286+1)*R286-ERP_i)*Q286*Ramure*Pc/MaxiM</f>
        <v>3.8258757722714601E-2</v>
      </c>
      <c r="Q286" s="305">
        <f t="shared" si="105"/>
        <v>0.8</v>
      </c>
      <c r="R286" s="177">
        <f t="shared" si="106"/>
        <v>0.79333500843607574</v>
      </c>
      <c r="S286" s="809">
        <f t="shared" si="107"/>
        <v>1</v>
      </c>
      <c r="T286" s="176">
        <f t="shared" si="108"/>
        <v>7</v>
      </c>
      <c r="U286" s="251">
        <f t="shared" si="109"/>
        <v>1.7933350084360757</v>
      </c>
      <c r="V286" s="383">
        <f t="shared" si="110"/>
        <v>29.796874567102357</v>
      </c>
      <c r="W286" s="402">
        <f t="shared" si="111"/>
        <v>19.259142217187335</v>
      </c>
      <c r="X286" s="157">
        <f t="shared" si="112"/>
        <v>45563</v>
      </c>
      <c r="Y286" s="385">
        <f t="shared" si="113"/>
        <v>17.741013698680398</v>
      </c>
      <c r="Z286" s="385">
        <f t="shared" si="114"/>
        <v>19.120052581340172</v>
      </c>
      <c r="AA286" s="386">
        <f t="shared" si="115"/>
        <v>22.848281980873431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0.16317329253263796</v>
      </c>
      <c r="AD286" s="231">
        <f>(INDEX(Models!$BJ286:$BT286,,AH286)*(1-AF286)+INDEX(Models!$BJ286:$BT286,,AH286+1)*AF286-ERP_i)*AE286*Ramure*Pc/MaxiM</f>
        <v>6.8519206593738349E-2</v>
      </c>
      <c r="AE286" s="305">
        <f t="shared" si="117"/>
        <v>0.8</v>
      </c>
      <c r="AF286" s="177">
        <f t="shared" si="118"/>
        <v>0.99405175560097936</v>
      </c>
      <c r="AG286" s="809">
        <f t="shared" si="124"/>
        <v>2</v>
      </c>
      <c r="AH286" s="176">
        <f t="shared" si="119"/>
        <v>8</v>
      </c>
      <c r="AI286" s="225">
        <f t="shared" si="120"/>
        <v>2.9940517556009794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IF(t&gt;Tmaj,'2023'!Wh/'2023'!Env_an*'2024'!Env_an,0.001*'[11]mon-tableau (3)'!$B$165)</f>
        <v>20.662077531873962</v>
      </c>
      <c r="C287" s="839"/>
      <c r="D287" s="393">
        <f t="shared" si="102"/>
        <v>22.26870564336809</v>
      </c>
      <c r="E287" s="385">
        <f t="shared" si="100"/>
        <v>24.895299382173203</v>
      </c>
      <c r="F287" s="385">
        <f t="shared" si="103"/>
        <v>25.451416562651591</v>
      </c>
      <c r="G287" s="110">
        <f t="shared" si="101"/>
        <v>0.68981299983907152</v>
      </c>
      <c r="H287" s="414" t="b">
        <f>Wh_hp&gt;='2023'!Maxi_hp</f>
        <v>0</v>
      </c>
      <c r="I287" s="390">
        <f>IF(H287,Wh_hp,'2023'!Maxi_hp)</f>
        <v>35.36597547612849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7.2147350511708092E-2</v>
      </c>
      <c r="M287" s="843"/>
      <c r="N287" s="843"/>
      <c r="O287" s="48">
        <f>IF(t&lt;Tnet,'2023'!Resal+('2023'!Salim-'2023'!Resal)*(1-EXP(('2023'!Tnet-t)/('2023'!Tau_j))),Resal+(Salim-Resal)*(1-EXP((Tnet-t)/(Tau_j))))*Salcycl</f>
        <v>0.10550560965279815</v>
      </c>
      <c r="P287" s="169">
        <f>(INDEX(Models!$BJ287:$BT287,,T287)*(1-R287)+INDEX(Models!$BJ287:$BT287,,T287+1)*R287-ERP_i)*Q287*Ramure*Pc/MaxiM</f>
        <v>3.8098216673037644E-2</v>
      </c>
      <c r="Q287" s="305">
        <f t="shared" si="105"/>
        <v>0.8</v>
      </c>
      <c r="R287" s="177">
        <f t="shared" si="106"/>
        <v>0.79358267252744663</v>
      </c>
      <c r="S287" s="809">
        <f t="shared" si="107"/>
        <v>1</v>
      </c>
      <c r="T287" s="176">
        <f t="shared" si="108"/>
        <v>7</v>
      </c>
      <c r="U287" s="251">
        <f t="shared" si="109"/>
        <v>1.7935826725274466</v>
      </c>
      <c r="V287" s="383">
        <f t="shared" si="110"/>
        <v>29.455605043348438</v>
      </c>
      <c r="W287" s="402">
        <f t="shared" si="111"/>
        <v>20.662077531873962</v>
      </c>
      <c r="X287" s="157">
        <f t="shared" si="112"/>
        <v>45564</v>
      </c>
      <c r="Y287" s="385">
        <f t="shared" si="113"/>
        <v>18.99538774713476</v>
      </c>
      <c r="Z287" s="385">
        <f t="shared" si="114"/>
        <v>20.472418500513697</v>
      </c>
      <c r="AA287" s="386">
        <f t="shared" si="115"/>
        <v>24.463657255161916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0.16314971686443386</v>
      </c>
      <c r="AD287" s="231">
        <f>(INDEX(Models!$BJ287:$BT287,,AH287)*(1-AF287)+INDEX(Models!$BJ287:$BT287,,AH287+1)*AF287-ERP_i)*AE287*Ramure*Pc/MaxiM</f>
        <v>6.7668954383281674E-2</v>
      </c>
      <c r="AE287" s="305">
        <f t="shared" si="117"/>
        <v>0.8</v>
      </c>
      <c r="AF287" s="177">
        <f t="shared" si="118"/>
        <v>0.99429941969235003</v>
      </c>
      <c r="AG287" s="809">
        <f t="shared" si="124"/>
        <v>2</v>
      </c>
      <c r="AH287" s="176">
        <f t="shared" si="119"/>
        <v>8</v>
      </c>
      <c r="AI287" s="225">
        <f t="shared" si="120"/>
        <v>2.99429941969235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IF(t&gt;Tmaj,'2023'!Wh/'2023'!Env_an*'2024'!Env_an,0.001*'[12]mon-tableau (1)'!$B$140)</f>
        <v>26.232831769696773</v>
      </c>
      <c r="C288" s="839"/>
      <c r="D288" s="393">
        <f t="shared" si="102"/>
        <v>28.273299823308463</v>
      </c>
      <c r="E288" s="385">
        <f t="shared" si="100"/>
        <v>31.610804618527926</v>
      </c>
      <c r="F288" s="385">
        <f t="shared" si="103"/>
        <v>32.67244171883344</v>
      </c>
      <c r="G288" s="110">
        <f t="shared" si="101"/>
        <v>0.89576365118882117</v>
      </c>
      <c r="H288" s="414" t="b">
        <f>Wh_hp&gt;='2023'!Maxi_hp</f>
        <v>0</v>
      </c>
      <c r="I288" s="390">
        <f>IF(H288,Wh_hp,'2023'!Maxi_hp)</f>
        <v>35.633737494395717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7.2169434284763995E-2</v>
      </c>
      <c r="M288" s="843"/>
      <c r="N288" s="843"/>
      <c r="O288" s="48">
        <f>IF(t&lt;Tnet,'2023'!Resal+('2023'!Salim-'2023'!Resal)*(1-EXP(('2023'!Tnet-t)/('2023'!Tau_j))),Resal+(Salim-Resal)*(1-EXP((Tnet-t)/(Tau_j))))*Salcycl</f>
        <v>0.10558114023023836</v>
      </c>
      <c r="P288" s="169">
        <f>(INDEX(Models!$BJ288:$BT288,,T288)*(1-R288)+INDEX(Models!$BJ288:$BT288,,T288+1)*R288-ERP_i)*Q288*Ramure*Pc/MaxiM</f>
        <v>3.7860894815888474E-2</v>
      </c>
      <c r="Q288" s="305">
        <f t="shared" si="105"/>
        <v>0.8</v>
      </c>
      <c r="R288" s="177">
        <f t="shared" si="106"/>
        <v>0.79382055897074455</v>
      </c>
      <c r="S288" s="809">
        <f t="shared" si="107"/>
        <v>1</v>
      </c>
      <c r="T288" s="176">
        <f t="shared" si="108"/>
        <v>7</v>
      </c>
      <c r="U288" s="251">
        <f t="shared" si="109"/>
        <v>1.7938205589707445</v>
      </c>
      <c r="V288" s="383">
        <f t="shared" si="110"/>
        <v>29.122968915532926</v>
      </c>
      <c r="W288" s="402">
        <f t="shared" si="111"/>
        <v>26.232831769696773</v>
      </c>
      <c r="X288" s="157">
        <f t="shared" si="112"/>
        <v>45565</v>
      </c>
      <c r="Y288" s="385">
        <f t="shared" si="113"/>
        <v>23.916669595343421</v>
      </c>
      <c r="Z288" s="385">
        <f t="shared" si="114"/>
        <v>25.776979633029008</v>
      </c>
      <c r="AA288" s="386">
        <f t="shared" si="115"/>
        <v>30.801430237494859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0.163123938262761</v>
      </c>
      <c r="AD288" s="231">
        <f>(INDEX(Models!$BJ288:$BT288,,AH288)*(1-AF288)+INDEX(Models!$BJ288:$BT288,,AH288+1)*AF288-ERP_i)*AE288*Ramure*Pc/MaxiM</f>
        <v>6.6725408215193391E-2</v>
      </c>
      <c r="AE288" s="305">
        <f t="shared" si="117"/>
        <v>0.8</v>
      </c>
      <c r="AF288" s="177">
        <f t="shared" si="118"/>
        <v>0.99453730613564817</v>
      </c>
      <c r="AG288" s="809">
        <f t="shared" si="124"/>
        <v>2</v>
      </c>
      <c r="AH288" s="176">
        <f t="shared" si="119"/>
        <v>8</v>
      </c>
      <c r="AI288" s="225">
        <f t="shared" si="120"/>
        <v>2.9945373061356482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IF(t&gt;Tmaj,'2023'!Wh/'2023'!Env_an*'2024'!Env_an,0.001*'[12]mon-tableau (1)'!$B$141)</f>
        <v>27.988487047191743</v>
      </c>
      <c r="C289" s="839"/>
      <c r="D289" s="393">
        <f t="shared" si="102"/>
        <v>30.166233200520441</v>
      </c>
      <c r="E289" s="385">
        <f t="shared" si="100"/>
        <v>33.729974406563827</v>
      </c>
      <c r="F289" s="385">
        <f t="shared" si="103"/>
        <v>34.991083584772561</v>
      </c>
      <c r="G289" s="110">
        <f t="shared" si="101"/>
        <v>0.97040006441185733</v>
      </c>
      <c r="H289" s="414" t="b">
        <f>Wh_hp&gt;='2023'!Maxi_hp</f>
        <v>0</v>
      </c>
      <c r="I289" s="390">
        <f>IF(H289,Wh_hp,'2023'!Maxi_hp)</f>
        <v>36.768753531604595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7.2191517543898326E-2</v>
      </c>
      <c r="M289" s="843"/>
      <c r="N289" s="843"/>
      <c r="O289" s="48">
        <f>IF(t&lt;Tnet,'2023'!Resal+('2023'!Salim-'2023'!Resal)*(1-EXP(('2023'!Tnet-t)/('2023'!Tau_j))),Resal+(Salim-Resal)*(1-EXP((Tnet-t)/(Tau_j))))*Salcycl</f>
        <v>0.10565502253538281</v>
      </c>
      <c r="P289" s="169">
        <f>(INDEX(Models!$BJ289:$BT289,,T289)*(1-R289)+INDEX(Models!$BJ289:$BT289,,T289+1)*R289-ERP_i)*Q289*Ramure*Pc/MaxiM</f>
        <v>3.7547115430431724E-2</v>
      </c>
      <c r="Q289" s="305">
        <f t="shared" si="105"/>
        <v>0.8</v>
      </c>
      <c r="R289" s="177">
        <f t="shared" si="106"/>
        <v>0.7940490463473322</v>
      </c>
      <c r="S289" s="809">
        <f t="shared" si="107"/>
        <v>1</v>
      </c>
      <c r="T289" s="176">
        <f t="shared" si="108"/>
        <v>7</v>
      </c>
      <c r="U289" s="251">
        <f t="shared" si="109"/>
        <v>1.7940490463473322</v>
      </c>
      <c r="V289" s="383">
        <f t="shared" si="110"/>
        <v>28.797147082712712</v>
      </c>
      <c r="W289" s="402">
        <f t="shared" si="111"/>
        <v>27.988487047191743</v>
      </c>
      <c r="X289" s="157">
        <f t="shared" si="112"/>
        <v>45566</v>
      </c>
      <c r="Y289" s="385">
        <f t="shared" si="113"/>
        <v>25.456888277180813</v>
      </c>
      <c r="Z289" s="385">
        <f t="shared" si="114"/>
        <v>27.437654169523373</v>
      </c>
      <c r="AA289" s="386">
        <f t="shared" si="115"/>
        <v>32.7847058466051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0.16309591741038668</v>
      </c>
      <c r="AD289" s="231">
        <f>(INDEX(Models!$BJ289:$BT289,,AH289)*(1-AF289)+INDEX(Models!$BJ289:$BT289,,AH289+1)*AF289-ERP_i)*AE289*Ramure*Pc/MaxiM</f>
        <v>6.5690680116830352E-2</v>
      </c>
      <c r="AE289" s="305">
        <f t="shared" si="117"/>
        <v>0.8</v>
      </c>
      <c r="AF289" s="177">
        <f t="shared" si="118"/>
        <v>0.9947657935122356</v>
      </c>
      <c r="AG289" s="809">
        <f t="shared" si="124"/>
        <v>2</v>
      </c>
      <c r="AH289" s="176">
        <f t="shared" si="119"/>
        <v>8</v>
      </c>
      <c r="AI289" s="225">
        <f t="shared" si="120"/>
        <v>2.9947657935122356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IF(t&gt;Tmaj,'2023'!Wh/'2023'!Env_an*'2024'!Env_an,0.001*'[12]mon-tableau (1)'!$B$142)</f>
        <v>26.80910723809103</v>
      </c>
      <c r="C290" s="839"/>
      <c r="D290" s="393">
        <f t="shared" si="102"/>
        <v>28.895775198305842</v>
      </c>
      <c r="E290" s="385">
        <f t="shared" si="100"/>
        <v>32.312037420203495</v>
      </c>
      <c r="F290" s="385">
        <f t="shared" si="103"/>
        <v>33.451098838699679</v>
      </c>
      <c r="G290" s="110">
        <f t="shared" si="101"/>
        <v>0.93845104075351116</v>
      </c>
      <c r="H290" s="414" t="b">
        <f>Wh_hp&gt;='2023'!Maxi_hp</f>
        <v>0</v>
      </c>
      <c r="I290" s="390">
        <f>IF(H290,Wh_hp,'2023'!Maxi_hp)</f>
        <v>34.895336094635255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7.2213600289122964E-2</v>
      </c>
      <c r="M290" s="843"/>
      <c r="N290" s="843"/>
      <c r="O290" s="48">
        <f>IF(t&lt;Tnet,'2023'!Resal+('2023'!Salim-'2023'!Resal)*(1-EXP(('2023'!Tnet-t)/('2023'!Tau_j))),Resal+(Salim-Resal)*(1-EXP((Tnet-t)/(Tau_j))))*Salcycl</f>
        <v>0.10572723030339135</v>
      </c>
      <c r="P290" s="169">
        <f>(INDEX(Models!$BJ290:$BT290,,T290)*(1-R290)+INDEX(Models!$BJ290:$BT290,,T290+1)*R290-ERP_i)*Q290*Ramure*Pc/MaxiM</f>
        <v>3.7158012140080243E-2</v>
      </c>
      <c r="Q290" s="305">
        <f t="shared" si="105"/>
        <v>0.8</v>
      </c>
      <c r="R290" s="177">
        <f t="shared" si="106"/>
        <v>0.79426849916227793</v>
      </c>
      <c r="S290" s="809">
        <f t="shared" si="107"/>
        <v>1</v>
      </c>
      <c r="T290" s="176">
        <f t="shared" si="108"/>
        <v>7</v>
      </c>
      <c r="U290" s="251">
        <f t="shared" si="109"/>
        <v>1.7942684991622779</v>
      </c>
      <c r="V290" s="383">
        <f t="shared" si="110"/>
        <v>28.475528804008192</v>
      </c>
      <c r="W290" s="402">
        <f t="shared" si="111"/>
        <v>26.80910723809103</v>
      </c>
      <c r="X290" s="157">
        <f t="shared" si="112"/>
        <v>45567</v>
      </c>
      <c r="Y290" s="385">
        <f t="shared" si="113"/>
        <v>24.437004334780394</v>
      </c>
      <c r="Z290" s="385">
        <f t="shared" si="114"/>
        <v>26.339041337958406</v>
      </c>
      <c r="AA290" s="386">
        <f t="shared" si="115"/>
        <v>31.470855941257629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0.16306561896117749</v>
      </c>
      <c r="AD290" s="231">
        <f>(INDEX(Models!$BJ290:$BT290,,AH290)*(1-AF290)+INDEX(Models!$BJ290:$BT290,,AH290+1)*AF290-ERP_i)*AE290*Ramure*Pc/MaxiM</f>
        <v>6.459870243046599E-2</v>
      </c>
      <c r="AE290" s="305">
        <f t="shared" si="117"/>
        <v>0.8</v>
      </c>
      <c r="AF290" s="177">
        <f t="shared" si="118"/>
        <v>0.99498524632718155</v>
      </c>
      <c r="AG290" s="809">
        <f t="shared" si="124"/>
        <v>2</v>
      </c>
      <c r="AH290" s="176">
        <f t="shared" si="119"/>
        <v>8</v>
      </c>
      <c r="AI290" s="225">
        <f t="shared" si="120"/>
        <v>2.9949852463271815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IF(t&gt;Tmaj,'2023'!Wh/'2023'!Env_an*'2024'!Env_an,0.001*'[12]mon-tableau (1)'!$B$143)</f>
        <v>28.163762913479282</v>
      </c>
      <c r="C291" s="839"/>
      <c r="D291" s="393">
        <f t="shared" si="102"/>
        <v>30.356592059922662</v>
      </c>
      <c r="E291" s="385">
        <f t="shared" si="100"/>
        <v>33.948239028562206</v>
      </c>
      <c r="F291" s="385">
        <f t="shared" si="103"/>
        <v>35.243063599626083</v>
      </c>
      <c r="G291" s="110">
        <f t="shared" si="101"/>
        <v>1.0002513885874347</v>
      </c>
      <c r="H291" s="414" t="b">
        <f>Wh_hp&gt;='2023'!Maxi_hp</f>
        <v>1</v>
      </c>
      <c r="I291" s="390">
        <f>IF(H291,Wh_hp,'2023'!Maxi_hp)</f>
        <v>35.243063599626083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7.223568252044979E-2</v>
      </c>
      <c r="M291" s="843"/>
      <c r="N291" s="843"/>
      <c r="O291" s="48">
        <f>IF(t&lt;Tnet,'2023'!Resal+('2023'!Salim-'2023'!Resal)*(1-EXP(('2023'!Tnet-t)/('2023'!Tau_j))),Resal+(Salim-Resal)*(1-EXP((Tnet-t)/(Tau_j))))*Salcycl</f>
        <v>0.10579774007181135</v>
      </c>
      <c r="P291" s="169">
        <f>(INDEX(Models!$BJ291:$BT291,,T291)*(1-R291)+INDEX(Models!$BJ291:$BT291,,T291+1)*R291-ERP_i)*Q291*Ramure*Pc/MaxiM</f>
        <v>3.6739841512461888E-2</v>
      </c>
      <c r="Q291" s="305">
        <f t="shared" si="105"/>
        <v>0.8</v>
      </c>
      <c r="R291" s="177">
        <f t="shared" si="106"/>
        <v>0.79447926832187443</v>
      </c>
      <c r="S291" s="809">
        <f t="shared" si="107"/>
        <v>1</v>
      </c>
      <c r="T291" s="176">
        <f t="shared" si="108"/>
        <v>7</v>
      </c>
      <c r="U291" s="251">
        <f t="shared" si="109"/>
        <v>1.7944792683218744</v>
      </c>
      <c r="V291" s="383">
        <f t="shared" si="110"/>
        <v>28.156684644299709</v>
      </c>
      <c r="W291" s="402">
        <f t="shared" si="111"/>
        <v>28.163762913479282</v>
      </c>
      <c r="X291" s="157">
        <f t="shared" si="112"/>
        <v>45568</v>
      </c>
      <c r="Y291" s="385">
        <f t="shared" si="113"/>
        <v>25.628454473714072</v>
      </c>
      <c r="Z291" s="385">
        <f t="shared" si="114"/>
        <v>27.623884634126355</v>
      </c>
      <c r="AA291" s="386">
        <f t="shared" si="115"/>
        <v>33.004748132096928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0.16303301199071157</v>
      </c>
      <c r="AD291" s="231">
        <f>(INDEX(Models!$BJ291:$BT291,,AH291)*(1-AF291)+INDEX(Models!$BJ291:$BT291,,AH291+1)*AF291-ERP_i)*AE291*Ramure*Pc/MaxiM</f>
        <v>6.3510808622009307E-2</v>
      </c>
      <c r="AE291" s="305">
        <f t="shared" si="117"/>
        <v>0.8</v>
      </c>
      <c r="AF291" s="177">
        <f t="shared" si="118"/>
        <v>0.99519601548677805</v>
      </c>
      <c r="AG291" s="809">
        <f t="shared" si="124"/>
        <v>2</v>
      </c>
      <c r="AH291" s="176">
        <f t="shared" si="119"/>
        <v>8</v>
      </c>
      <c r="AI291" s="225">
        <f t="shared" si="120"/>
        <v>2.9951960154867781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IF(t&gt;Tmaj,'2023'!Wh/'2023'!Env_an*'2024'!Env_an,0.001*'[12]mon-tableau (1)'!$B$144)</f>
        <v>28.411642747171246</v>
      </c>
      <c r="C292" s="839"/>
      <c r="D292" s="393">
        <f t="shared" si="102"/>
        <v>30.624500698550211</v>
      </c>
      <c r="E292" s="385">
        <f t="shared" si="100"/>
        <v>34.25048024355921</v>
      </c>
      <c r="F292" s="385">
        <f t="shared" si="103"/>
        <v>35.540310062015891</v>
      </c>
      <c r="G292" s="110">
        <f t="shared" si="101"/>
        <v>1.0205110662343277</v>
      </c>
      <c r="H292" s="414" t="b">
        <f>Wh_hp&gt;='2023'!Maxi_hp</f>
        <v>1</v>
      </c>
      <c r="I292" s="390">
        <f>IF(H292,Wh_hp,'2023'!Maxi_hp)</f>
        <v>35.540310062015891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7.2257764237890904E-2</v>
      </c>
      <c r="M292" s="843"/>
      <c r="N292" s="843"/>
      <c r="O292" s="48">
        <f>IF(t&lt;Tnet,'2023'!Resal+('2023'!Salim-'2023'!Resal)*(1-EXP(('2023'!Tnet-t)/('2023'!Tau_j))),Resal+(Salim-Resal)*(1-EXP((Tnet-t)/(Tau_j))))*Salcycl</f>
        <v>0.105866531482894</v>
      </c>
      <c r="P292" s="169">
        <f>(INDEX(Models!$BJ292:$BT292,,T292)*(1-R292)+INDEX(Models!$BJ292:$BT292,,T292+1)*R292-ERP_i)*Q292*Ramure*Pc/MaxiM</f>
        <v>3.6292024920604259E-2</v>
      </c>
      <c r="Q292" s="305">
        <f t="shared" si="105"/>
        <v>0.8</v>
      </c>
      <c r="R292" s="177">
        <f t="shared" si="106"/>
        <v>0.79468169159865232</v>
      </c>
      <c r="S292" s="809">
        <f t="shared" si="107"/>
        <v>1</v>
      </c>
      <c r="T292" s="176">
        <f t="shared" si="108"/>
        <v>7</v>
      </c>
      <c r="U292" s="251">
        <f t="shared" si="109"/>
        <v>1.7946816915986523</v>
      </c>
      <c r="V292" s="383">
        <f t="shared" si="110"/>
        <v>27.840602309203586</v>
      </c>
      <c r="W292" s="402">
        <f t="shared" si="111"/>
        <v>28.411642747171246</v>
      </c>
      <c r="X292" s="157">
        <f t="shared" si="112"/>
        <v>45569</v>
      </c>
      <c r="Y292" s="385">
        <f t="shared" si="113"/>
        <v>25.874968884191688</v>
      </c>
      <c r="Z292" s="385">
        <f t="shared" si="114"/>
        <v>27.890256460013667</v>
      </c>
      <c r="AA292" s="386">
        <f t="shared" si="115"/>
        <v>33.321615488684834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0.16299807044215844</v>
      </c>
      <c r="AD292" s="231">
        <f>(INDEX(Models!$BJ292:$BT292,,AH292)*(1-AF292)+INDEX(Models!$BJ292:$BT292,,AH292+1)*AF292-ERP_i)*AE292*Ramure*Pc/MaxiM</f>
        <v>6.2427552530058245E-2</v>
      </c>
      <c r="AE292" s="305">
        <f t="shared" si="117"/>
        <v>0.8</v>
      </c>
      <c r="AF292" s="177">
        <f t="shared" si="118"/>
        <v>0.99539843876355594</v>
      </c>
      <c r="AG292" s="809">
        <f t="shared" si="124"/>
        <v>2</v>
      </c>
      <c r="AH292" s="176">
        <f t="shared" si="119"/>
        <v>8</v>
      </c>
      <c r="AI292" s="225">
        <f t="shared" si="120"/>
        <v>2.9953984387635559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IF(t&gt;Tmaj,'2023'!Wh/'2023'!Env_an*'2024'!Env_an,0.001*'[12]mon-tableau (1)'!$B$145)</f>
        <v>10.368525872513672</v>
      </c>
      <c r="C293" s="839"/>
      <c r="D293" s="393">
        <f t="shared" si="102"/>
        <v>11.176350779451981</v>
      </c>
      <c r="E293" s="385">
        <f t="shared" si="100"/>
        <v>12.500582310458491</v>
      </c>
      <c r="F293" s="385">
        <f t="shared" si="103"/>
        <v>12.549806915046629</v>
      </c>
      <c r="G293" s="110">
        <f t="shared" si="101"/>
        <v>0.36460407422264735</v>
      </c>
      <c r="H293" s="414" t="b">
        <f>Wh_hp&gt;='2023'!Maxi_hp</f>
        <v>0</v>
      </c>
      <c r="I293" s="390">
        <f>IF(H293,Wh_hp,'2023'!Maxi_hp)</f>
        <v>31.212763298231373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7.2279845441458185E-2</v>
      </c>
      <c r="M293" s="843"/>
      <c r="N293" s="843"/>
      <c r="O293" s="48">
        <f>IF(t&lt;Tnet,'2023'!Resal+('2023'!Salim-'2023'!Resal)*(1-EXP(('2023'!Tnet-t)/('2023'!Tau_j))),Resal+(Salim-Resal)*(1-EXP((Tnet-t)/(Tau_j))))*Salcycl</f>
        <v>0.10593358758164437</v>
      </c>
      <c r="P293" s="169">
        <f>(INDEX(Models!$BJ293:$BT293,,T293)*(1-R293)+INDEX(Models!$BJ293:$BT293,,T293+1)*R293-ERP_i)*Q293*Ramure*Pc/MaxiM</f>
        <v>3.5813999911555441E-2</v>
      </c>
      <c r="Q293" s="305">
        <f t="shared" si="105"/>
        <v>0.8</v>
      </c>
      <c r="R293" s="177">
        <f t="shared" si="106"/>
        <v>0.79487609408389925</v>
      </c>
      <c r="S293" s="809">
        <f t="shared" si="107"/>
        <v>1</v>
      </c>
      <c r="T293" s="176">
        <f t="shared" si="108"/>
        <v>7</v>
      </c>
      <c r="U293" s="251">
        <f t="shared" si="109"/>
        <v>1.7948760940838993</v>
      </c>
      <c r="V293" s="383">
        <f t="shared" si="110"/>
        <v>27.527268540327533</v>
      </c>
      <c r="W293" s="402">
        <f t="shared" si="111"/>
        <v>10.368525872513672</v>
      </c>
      <c r="X293" s="157">
        <f t="shared" si="112"/>
        <v>45570</v>
      </c>
      <c r="Y293" s="385">
        <f t="shared" si="113"/>
        <v>9.6799247733063574</v>
      </c>
      <c r="Z293" s="385">
        <f t="shared" si="114"/>
        <v>10.434099901508096</v>
      </c>
      <c r="AA293" s="386">
        <f t="shared" si="115"/>
        <v>12.465484976047717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0.1629607735633955</v>
      </c>
      <c r="AD293" s="231">
        <f>(INDEX(Models!$BJ293:$BT293,,AH293)*(1-AF293)+INDEX(Models!$BJ293:$BT293,,AH293+1)*AF293-ERP_i)*AE293*Ramure*Pc/MaxiM</f>
        <v>6.1349521059982058E-2</v>
      </c>
      <c r="AE293" s="305">
        <f t="shared" si="117"/>
        <v>0.8</v>
      </c>
      <c r="AF293" s="177">
        <f t="shared" si="118"/>
        <v>0.99559284124880287</v>
      </c>
      <c r="AG293" s="809">
        <f t="shared" si="124"/>
        <v>2</v>
      </c>
      <c r="AH293" s="176">
        <f t="shared" si="119"/>
        <v>8</v>
      </c>
      <c r="AI293" s="225">
        <f t="shared" si="120"/>
        <v>2.9955928412488029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IF(t&gt;Tmaj,'2023'!Wh/'2023'!Env_an*'2024'!Env_an,0.001*'[12]mon-tableau (1)'!$B$146)</f>
        <v>20.922634134415656</v>
      </c>
      <c r="C294" s="839"/>
      <c r="D294" s="393">
        <f t="shared" si="102"/>
        <v>22.55327969709014</v>
      </c>
      <c r="E294" s="385">
        <f t="shared" si="100"/>
        <v>25.227351033069574</v>
      </c>
      <c r="F294" s="385">
        <f t="shared" si="103"/>
        <v>25.838206427001431</v>
      </c>
      <c r="G294" s="110">
        <f t="shared" si="101"/>
        <v>0.75955989966132242</v>
      </c>
      <c r="H294" s="414" t="b">
        <f>Wh_hp&gt;='2023'!Maxi_hp</f>
        <v>0</v>
      </c>
      <c r="I294" s="390">
        <f>IF(H294,Wh_hp,'2023'!Maxi_hp)</f>
        <v>34.247356004135384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7.2301926131163624E-2</v>
      </c>
      <c r="M294" s="843"/>
      <c r="N294" s="843"/>
      <c r="O294" s="48">
        <f>IF(t&lt;Tnet,'2023'!Resal+('2023'!Salim-'2023'!Resal)*(1-EXP(('2023'!Tnet-t)/('2023'!Tau_j))),Resal+(Salim-Resal)*(1-EXP((Tnet-t)/(Tau_j))))*Salcycl</f>
        <v>0.10599889510690587</v>
      </c>
      <c r="P294" s="169">
        <f>(INDEX(Models!$BJ294:$BT294,,T294)*(1-R294)+INDEX(Models!$BJ294:$BT294,,T294+1)*R294-ERP_i)*Q294*Ramure*Pc/MaxiM</f>
        <v>3.530522182415588E-2</v>
      </c>
      <c r="Q294" s="305">
        <f t="shared" si="105"/>
        <v>0.8</v>
      </c>
      <c r="R294" s="177">
        <f t="shared" si="106"/>
        <v>0.79506278862772684</v>
      </c>
      <c r="S294" s="809">
        <f t="shared" si="107"/>
        <v>1</v>
      </c>
      <c r="T294" s="176">
        <f t="shared" si="108"/>
        <v>7</v>
      </c>
      <c r="U294" s="251">
        <f t="shared" si="109"/>
        <v>1.7950627886277268</v>
      </c>
      <c r="V294" s="383">
        <f t="shared" si="110"/>
        <v>27.216669107014582</v>
      </c>
      <c r="W294" s="402">
        <f t="shared" si="111"/>
        <v>20.922634134415656</v>
      </c>
      <c r="X294" s="157">
        <f t="shared" si="112"/>
        <v>45571</v>
      </c>
      <c r="Y294" s="385">
        <f t="shared" si="113"/>
        <v>19.254935602552859</v>
      </c>
      <c r="Z294" s="385">
        <f t="shared" si="114"/>
        <v>20.755605886140106</v>
      </c>
      <c r="AA294" s="386">
        <f t="shared" si="115"/>
        <v>24.795280400839136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0.16292110633128057</v>
      </c>
      <c r="AD294" s="231">
        <f>(INDEX(Models!$BJ294:$BT294,,AH294)*(1-AF294)+INDEX(Models!$BJ294:$BT294,,AH294+1)*AF294-ERP_i)*AE294*Ramure*Pc/MaxiM</f>
        <v>6.0277334154067871E-2</v>
      </c>
      <c r="AE294" s="305">
        <f t="shared" si="117"/>
        <v>0.8</v>
      </c>
      <c r="AF294" s="177">
        <f t="shared" si="118"/>
        <v>0.99577953579263045</v>
      </c>
      <c r="AG294" s="809">
        <f t="shared" si="124"/>
        <v>2</v>
      </c>
      <c r="AH294" s="176">
        <f t="shared" si="119"/>
        <v>8</v>
      </c>
      <c r="AI294" s="225">
        <f t="shared" si="120"/>
        <v>2.9957795357926305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IF(t&gt;Tmaj,'2023'!Wh/'2023'!Env_an*'2024'!Env_an,0.001*'[12]mon-tableau (1)'!$B$147)</f>
        <v>13.628135471576696</v>
      </c>
      <c r="C295" s="839"/>
      <c r="D295" s="393">
        <f t="shared" si="102"/>
        <v>14.690619962390658</v>
      </c>
      <c r="E295" s="385">
        <f t="shared" si="100"/>
        <v>16.433608674887967</v>
      </c>
      <c r="F295" s="385">
        <f t="shared" si="103"/>
        <v>16.60385751681352</v>
      </c>
      <c r="G295" s="110">
        <f t="shared" si="101"/>
        <v>0.49391399910882022</v>
      </c>
      <c r="H295" s="414" t="b">
        <f>Wh_hp&gt;='2023'!Maxi_hp</f>
        <v>0</v>
      </c>
      <c r="I295" s="390">
        <f>IF(H295,Wh_hp,'2023'!Maxi_hp)</f>
        <v>32.97035211319082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7.2324006307019101E-2</v>
      </c>
      <c r="M295" s="843"/>
      <c r="N295" s="843"/>
      <c r="O295" s="48">
        <f>IF(t&lt;Tnet,'2023'!Resal+('2023'!Salim-'2023'!Resal)*(1-EXP(('2023'!Tnet-t)/('2023'!Tau_j))),Resal+(Salim-Resal)*(1-EXP((Tnet-t)/(Tau_j))))*Salcycl</f>
        <v>0.10606244477275123</v>
      </c>
      <c r="P295" s="169">
        <f>(INDEX(Models!$BJ295:$BT295,,T295)*(1-R295)+INDEX(Models!$BJ295:$BT295,,T295+1)*R295-ERP_i)*Q295*Ramure*Pc/MaxiM</f>
        <v>3.4765165261817998E-2</v>
      </c>
      <c r="Q295" s="305">
        <f t="shared" si="105"/>
        <v>0.8</v>
      </c>
      <c r="R295" s="177">
        <f t="shared" si="106"/>
        <v>0.79524207626676024</v>
      </c>
      <c r="S295" s="809">
        <f t="shared" si="107"/>
        <v>1</v>
      </c>
      <c r="T295" s="176">
        <f t="shared" si="108"/>
        <v>7</v>
      </c>
      <c r="U295" s="251">
        <f t="shared" si="109"/>
        <v>1.7952420762667602</v>
      </c>
      <c r="V295" s="383">
        <f t="shared" si="110"/>
        <v>26.908788805927479</v>
      </c>
      <c r="W295" s="402">
        <f t="shared" si="111"/>
        <v>13.628135471576696</v>
      </c>
      <c r="X295" s="157">
        <f t="shared" si="112"/>
        <v>45572</v>
      </c>
      <c r="Y295" s="385">
        <f t="shared" si="113"/>
        <v>12.668992976765749</v>
      </c>
      <c r="Z295" s="385">
        <f t="shared" si="114"/>
        <v>13.656700251918577</v>
      </c>
      <c r="AA295" s="386">
        <f t="shared" si="115"/>
        <v>16.313891574158916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0.16287905985897999</v>
      </c>
      <c r="AD295" s="231">
        <f>(INDEX(Models!$BJ295:$BT295,,AH295)*(1-AF295)+INDEX(Models!$BJ295:$BT295,,AH295+1)*AF295-ERP_i)*AE295*Ramure*Pc/MaxiM</f>
        <v>5.9211644570799929E-2</v>
      </c>
      <c r="AE295" s="305">
        <f t="shared" si="117"/>
        <v>0.8</v>
      </c>
      <c r="AF295" s="177">
        <f t="shared" si="118"/>
        <v>0.99595882343166409</v>
      </c>
      <c r="AG295" s="809">
        <f t="shared" si="124"/>
        <v>2</v>
      </c>
      <c r="AH295" s="176">
        <f t="shared" si="119"/>
        <v>8</v>
      </c>
      <c r="AI295" s="225">
        <f t="shared" si="120"/>
        <v>2.9959588234316641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IF(t&gt;Tmaj,'2023'!Wh/'2023'!Env_an*'2024'!Env_an,0.001*'[12]mon-tableau (1)'!$B$148)</f>
        <v>26.079791117733908</v>
      </c>
      <c r="C296" s="839"/>
      <c r="D296" s="393">
        <f t="shared" si="102"/>
        <v>28.113707842193627</v>
      </c>
      <c r="E296" s="385">
        <f t="shared" si="100"/>
        <v>31.451471036684115</v>
      </c>
      <c r="F296" s="385">
        <f t="shared" si="103"/>
        <v>32.53290052732595</v>
      </c>
      <c r="G296" s="110">
        <f t="shared" si="101"/>
        <v>0.97934460886592856</v>
      </c>
      <c r="H296" s="414" t="b">
        <f>Wh_hp&gt;='2023'!Maxi_hp</f>
        <v>0</v>
      </c>
      <c r="I296" s="390">
        <f>IF(H296,Wh_hp,'2023'!Maxi_hp)</f>
        <v>32.555897741774473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7.2346085969036605E-2</v>
      </c>
      <c r="M296" s="843"/>
      <c r="N296" s="843"/>
      <c r="O296" s="48">
        <f>IF(t&lt;Tnet,'2023'!Resal+('2023'!Salim-'2023'!Resal)*(1-EXP(('2023'!Tnet-t)/('2023'!Tau_j))),Resal+(Salim-Resal)*(1-EXP((Tnet-t)/(Tau_j))))*Salcycl</f>
        <v>0.10612423153745071</v>
      </c>
      <c r="P296" s="169">
        <f>(INDEX(Models!$BJ296:$BT296,,T296)*(1-R296)+INDEX(Models!$BJ296:$BT296,,T296+1)*R296-ERP_i)*Q296*Ramure*Pc/MaxiM</f>
        <v>3.4202702157208227E-2</v>
      </c>
      <c r="Q296" s="305">
        <f t="shared" si="105"/>
        <v>0.8</v>
      </c>
      <c r="R296" s="177">
        <f t="shared" si="106"/>
        <v>0.79541424663955529</v>
      </c>
      <c r="S296" s="809">
        <f t="shared" si="107"/>
        <v>1</v>
      </c>
      <c r="T296" s="176">
        <f t="shared" si="108"/>
        <v>7</v>
      </c>
      <c r="U296" s="251">
        <f t="shared" si="109"/>
        <v>1.7954142466395553</v>
      </c>
      <c r="V296" s="383">
        <f t="shared" si="110"/>
        <v>26.603353178287268</v>
      </c>
      <c r="W296" s="402">
        <f t="shared" si="111"/>
        <v>26.079791117733908</v>
      </c>
      <c r="X296" s="157">
        <f t="shared" si="112"/>
        <v>45573</v>
      </c>
      <c r="Y296" s="385">
        <f t="shared" si="113"/>
        <v>23.835959231100546</v>
      </c>
      <c r="Z296" s="385">
        <f t="shared" si="114"/>
        <v>25.694883480333104</v>
      </c>
      <c r="AA296" s="386">
        <f t="shared" si="115"/>
        <v>30.69272148110494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0.16283463178228119</v>
      </c>
      <c r="AD296" s="231">
        <f>(INDEX(Models!$BJ296:$BT296,,AH296)*(1-AF296)+INDEX(Models!$BJ296:$BT296,,AH296+1)*AF296-ERP_i)*AE296*Ramure*Pc/MaxiM</f>
        <v>5.8199907047548807E-2</v>
      </c>
      <c r="AE296" s="305">
        <f t="shared" si="117"/>
        <v>0.8</v>
      </c>
      <c r="AF296" s="177">
        <f t="shared" si="118"/>
        <v>0.99613099380445913</v>
      </c>
      <c r="AG296" s="809">
        <f t="shared" si="124"/>
        <v>2</v>
      </c>
      <c r="AH296" s="176">
        <f t="shared" si="119"/>
        <v>8</v>
      </c>
      <c r="AI296" s="225">
        <f t="shared" si="120"/>
        <v>2.9961309938044591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IF(t&gt;Tmaj,'2023'!Wh/'2023'!Env_an*'2024'!Env_an,0.001*'[12]mon-tableau (1)'!$B$149)</f>
        <v>21.800384121867403</v>
      </c>
      <c r="C297" s="839"/>
      <c r="D297" s="393">
        <f t="shared" si="102"/>
        <v>23.501116824674732</v>
      </c>
      <c r="E297" s="385">
        <f t="shared" ref="E297:E360" si="125">Wh_pvt/(1-Psa)</f>
        <v>26.293021746806524</v>
      </c>
      <c r="F297" s="385">
        <f t="shared" si="103"/>
        <v>26.978666774301452</v>
      </c>
      <c r="G297" s="110">
        <f t="shared" ref="G297:G360" si="126">+Wh_hp/MaxiM</f>
        <v>0.82192398355137941</v>
      </c>
      <c r="H297" s="414" t="b">
        <f>Wh_hp&gt;='2023'!Maxi_hp</f>
        <v>0</v>
      </c>
      <c r="I297" s="390">
        <f>IF(H297,Wh_hp,'2023'!Maxi_hp)</f>
        <v>27.381561766744639</v>
      </c>
      <c r="J297" s="85">
        <f>IF(H297,An,'2023'!An_max)</f>
        <v>2021</v>
      </c>
      <c r="K297" s="197">
        <f t="shared" si="104"/>
        <v>45574</v>
      </c>
      <c r="L297" s="147">
        <f>IF(t&lt;Tvie,1-EXP((T0-t)*PertePVj)+'2023'!Pspv,1-EXP((T0-t)*PertePVj)+Pspv)</f>
        <v>7.2368165117228128E-2</v>
      </c>
      <c r="M297" s="843"/>
      <c r="N297" s="843"/>
      <c r="O297" s="48">
        <f>IF(t&lt;Tnet,'2023'!Resal+('2023'!Salim-'2023'!Resal)*(1-EXP(('2023'!Tnet-t)/('2023'!Tau_j))),Resal+(Salim-Resal)*(1-EXP((Tnet-t)/(Tau_j))))*Salcycl</f>
        <v>0.10618425485731355</v>
      </c>
      <c r="P297" s="169">
        <f>(INDEX(Models!$BJ297:$BT297,,T297)*(1-R297)+INDEX(Models!$BJ297:$BT297,,T297+1)*R297-ERP_i)*Q297*Ramure*Pc/MaxiM</f>
        <v>3.3634913360007311E-2</v>
      </c>
      <c r="Q297" s="305">
        <f t="shared" si="105"/>
        <v>0.8</v>
      </c>
      <c r="R297" s="177">
        <f t="shared" si="106"/>
        <v>0.79557957838986448</v>
      </c>
      <c r="S297" s="809">
        <f t="shared" si="107"/>
        <v>1</v>
      </c>
      <c r="T297" s="176">
        <f t="shared" si="108"/>
        <v>7</v>
      </c>
      <c r="U297" s="251">
        <f t="shared" si="109"/>
        <v>1.7955795783898645</v>
      </c>
      <c r="V297" s="383">
        <f t="shared" si="110"/>
        <v>26.299876383426763</v>
      </c>
      <c r="W297" s="402">
        <f t="shared" si="111"/>
        <v>21.800384121867403</v>
      </c>
      <c r="X297" s="157">
        <f t="shared" si="112"/>
        <v>45574</v>
      </c>
      <c r="Y297" s="385">
        <f t="shared" si="113"/>
        <v>20.046076084636194</v>
      </c>
      <c r="Z297" s="385">
        <f t="shared" si="114"/>
        <v>21.609948398514685</v>
      </c>
      <c r="AA297" s="386">
        <f t="shared" si="115"/>
        <v>25.811794292590772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0.16278782662087996</v>
      </c>
      <c r="AD297" s="231">
        <f>(INDEX(Models!$BJ297:$BT297,,AH297)*(1-AF297)+INDEX(Models!$BJ297:$BT297,,AH297+1)*AF297-ERP_i)*AE297*Ramure*Pc/MaxiM</f>
        <v>5.7241944812041569E-2</v>
      </c>
      <c r="AE297" s="305">
        <f t="shared" si="117"/>
        <v>0.8</v>
      </c>
      <c r="AF297" s="177">
        <f t="shared" si="118"/>
        <v>0.9962963255547681</v>
      </c>
      <c r="AG297" s="809">
        <f t="shared" si="124"/>
        <v>2</v>
      </c>
      <c r="AH297" s="176">
        <f t="shared" si="119"/>
        <v>8</v>
      </c>
      <c r="AI297" s="225">
        <f t="shared" si="120"/>
        <v>2.9962963255547681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IF(t&gt;Tmaj,'2023'!Wh/'2023'!Env_an*'2024'!Env_an,0.001*'[12]mon-tableau (1)'!$B$150)</f>
        <v>17.632761308944382</v>
      </c>
      <c r="C298" s="839"/>
      <c r="D298" s="393">
        <f t="shared" si="102"/>
        <v>19.008813986883833</v>
      </c>
      <c r="E298" s="385">
        <f t="shared" si="125"/>
        <v>21.268425036255266</v>
      </c>
      <c r="F298" s="385">
        <f t="shared" si="103"/>
        <v>21.655278177715878</v>
      </c>
      <c r="G298" s="110">
        <f t="shared" si="126"/>
        <v>0.66773112880226082</v>
      </c>
      <c r="H298" s="414" t="b">
        <f>Wh_hp&gt;='2023'!Maxi_hp</f>
        <v>0</v>
      </c>
      <c r="I298" s="390">
        <f>IF(H298,Wh_hp,'2023'!Maxi_hp)</f>
        <v>33.346419914552634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7.239024375160566E-2</v>
      </c>
      <c r="M298" s="843"/>
      <c r="N298" s="843"/>
      <c r="O298" s="48">
        <f>IF(t&lt;Tnet,'2023'!Resal+('2023'!Salim-'2023'!Resal)*(1-EXP(('2023'!Tnet-t)/('2023'!Tau_j))),Resal+(Salim-Resal)*(1-EXP((Tnet-t)/(Tau_j))))*Salcycl</f>
        <v>0.10624251892274972</v>
      </c>
      <c r="P298" s="169">
        <f>(INDEX(Models!$BJ298:$BT298,,T298)*(1-R298)+INDEX(Models!$BJ298:$BT298,,T298+1)*R298-ERP_i)*Q298*Ramure*Pc/MaxiM</f>
        <v>3.3061976818594699E-2</v>
      </c>
      <c r="Q298" s="305">
        <f t="shared" si="105"/>
        <v>0.8</v>
      </c>
      <c r="R298" s="177">
        <f t="shared" si="106"/>
        <v>0.79573833955790407</v>
      </c>
      <c r="S298" s="809">
        <f t="shared" si="107"/>
        <v>1</v>
      </c>
      <c r="T298" s="176">
        <f t="shared" si="108"/>
        <v>7</v>
      </c>
      <c r="U298" s="251">
        <f t="shared" si="109"/>
        <v>1.7957383395579041</v>
      </c>
      <c r="V298" s="383">
        <f t="shared" si="110"/>
        <v>25.998349644817683</v>
      </c>
      <c r="W298" s="402">
        <f t="shared" si="111"/>
        <v>17.632761308944382</v>
      </c>
      <c r="X298" s="157">
        <f t="shared" si="112"/>
        <v>45575</v>
      </c>
      <c r="Y298" s="385">
        <f t="shared" si="113"/>
        <v>16.306625558102542</v>
      </c>
      <c r="Z298" s="385">
        <f t="shared" si="114"/>
        <v>17.579187204814144</v>
      </c>
      <c r="AA298" s="386">
        <f t="shared" si="115"/>
        <v>20.996057363827465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0.16273865611074162</v>
      </c>
      <c r="AD298" s="231">
        <f>(INDEX(Models!$BJ298:$BT298,,AH298)*(1-AF298)+INDEX(Models!$BJ298:$BT298,,AH298+1)*AF298-ERP_i)*AE298*Ramure*Pc/MaxiM</f>
        <v>5.6339579368086777E-2</v>
      </c>
      <c r="AE298" s="305">
        <f t="shared" si="117"/>
        <v>0.8</v>
      </c>
      <c r="AF298" s="177">
        <f t="shared" si="118"/>
        <v>0.99645508672280769</v>
      </c>
      <c r="AG298" s="809">
        <f t="shared" si="124"/>
        <v>2</v>
      </c>
      <c r="AH298" s="176">
        <f t="shared" si="119"/>
        <v>8</v>
      </c>
      <c r="AI298" s="225">
        <f t="shared" si="120"/>
        <v>2.9964550867228077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IF(t&gt;Tmaj,'2023'!Wh/'2023'!Env_an*'2024'!Env_an,0.001*'[12]mon-tableau (1)'!$B$151)</f>
        <v>20.454615476859686</v>
      </c>
      <c r="C299" s="839"/>
      <c r="D299" s="393">
        <f t="shared" si="102"/>
        <v>22.051409218958057</v>
      </c>
      <c r="E299" s="385">
        <f t="shared" si="125"/>
        <v>24.674259097952355</v>
      </c>
      <c r="F299" s="385">
        <f t="shared" si="103"/>
        <v>25.255499449139531</v>
      </c>
      <c r="G299" s="110">
        <f t="shared" si="126"/>
        <v>0.78822288885233149</v>
      </c>
      <c r="H299" s="414" t="b">
        <f>Wh_hp&gt;='2023'!Maxi_hp</f>
        <v>0</v>
      </c>
      <c r="I299" s="390">
        <f>IF(H299,Wh_hp,'2023'!Maxi_hp)</f>
        <v>31.597576410466939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7.2412321872181079E-2</v>
      </c>
      <c r="M299" s="843"/>
      <c r="N299" s="843"/>
      <c r="O299" s="48">
        <f>IF(t&lt;Tnet,'2023'!Resal+('2023'!Salim-'2023'!Resal)*(1-EXP(('2023'!Tnet-t)/('2023'!Tau_j))),Resal+(Salim-Resal)*(1-EXP((Tnet-t)/(Tau_j))))*Salcycl</f>
        <v>0.10629903287397832</v>
      </c>
      <c r="P299" s="169">
        <f>(INDEX(Models!$BJ299:$BT299,,T299)*(1-R299)+INDEX(Models!$BJ299:$BT299,,T299+1)*R299-ERP_i)*Q299*Ramure*Pc/MaxiM</f>
        <v>3.2484089289872155E-2</v>
      </c>
      <c r="Q299" s="305">
        <f t="shared" si="105"/>
        <v>0.8</v>
      </c>
      <c r="R299" s="177">
        <f t="shared" si="106"/>
        <v>0.79589078795978585</v>
      </c>
      <c r="S299" s="809">
        <f t="shared" si="107"/>
        <v>1</v>
      </c>
      <c r="T299" s="176">
        <f t="shared" si="108"/>
        <v>7</v>
      </c>
      <c r="U299" s="251">
        <f t="shared" si="109"/>
        <v>1.7958907879597859</v>
      </c>
      <c r="V299" s="383">
        <f t="shared" si="110"/>
        <v>25.698763873928833</v>
      </c>
      <c r="W299" s="402">
        <f t="shared" si="111"/>
        <v>20.454615476859686</v>
      </c>
      <c r="X299" s="157">
        <f t="shared" si="112"/>
        <v>45576</v>
      </c>
      <c r="Y299" s="385">
        <f t="shared" si="113"/>
        <v>18.844247718546868</v>
      </c>
      <c r="Z299" s="385">
        <f t="shared" si="114"/>
        <v>20.315327772120519</v>
      </c>
      <c r="AA299" s="386">
        <f t="shared" si="115"/>
        <v>24.262529253499004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0.16268713950377794</v>
      </c>
      <c r="AD299" s="231">
        <f>(INDEX(Models!$BJ299:$BT299,,AH299)*(1-AF299)+INDEX(Models!$BJ299:$BT299,,AH299+1)*AF299-ERP_i)*AE299*Ramure*Pc/MaxiM</f>
        <v>5.5494654546069881E-2</v>
      </c>
      <c r="AE299" s="305">
        <f t="shared" si="117"/>
        <v>0.8</v>
      </c>
      <c r="AF299" s="177">
        <f t="shared" si="118"/>
        <v>0.99660753512468947</v>
      </c>
      <c r="AG299" s="809">
        <f t="shared" si="124"/>
        <v>2</v>
      </c>
      <c r="AH299" s="176">
        <f t="shared" si="119"/>
        <v>8</v>
      </c>
      <c r="AI299" s="225">
        <f t="shared" si="120"/>
        <v>2.9966075351246895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IF(t&gt;Tmaj,'2023'!Wh/'2023'!Env_an*'2024'!Env_an,0.001*'[12]mon-tableau (1)'!$B$152)</f>
        <v>17.910522259063374</v>
      </c>
      <c r="C300" s="839"/>
      <c r="D300" s="393">
        <f t="shared" si="102"/>
        <v>19.309170423097456</v>
      </c>
      <c r="E300" s="385">
        <f t="shared" si="125"/>
        <v>21.607175927839059</v>
      </c>
      <c r="F300" s="385">
        <f t="shared" si="103"/>
        <v>22.013595161763238</v>
      </c>
      <c r="G300" s="110">
        <f t="shared" si="126"/>
        <v>0.69545348762085635</v>
      </c>
      <c r="H300" s="414" t="b">
        <f>Wh_hp&gt;='2023'!Maxi_hp</f>
        <v>0</v>
      </c>
      <c r="I300" s="390">
        <f>IF(H300,Wh_hp,'2023'!Maxi_hp)</f>
        <v>31.501015093356781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7.2434399478966377E-2</v>
      </c>
      <c r="M300" s="843"/>
      <c r="N300" s="843"/>
      <c r="O300" s="48">
        <f>IF(t&lt;Tnet,'2023'!Resal+('2023'!Salim-'2023'!Resal)*(1-EXP(('2023'!Tnet-t)/('2023'!Tau_j))),Resal+(Salim-Resal)*(1-EXP((Tnet-t)/(Tau_j))))*Salcycl</f>
        <v>0.10635381099391217</v>
      </c>
      <c r="P300" s="169">
        <f>(INDEX(Models!$BJ300:$BT300,,T300)*(1-R300)+INDEX(Models!$BJ300:$BT300,,T300+1)*R300-ERP_i)*Q300*Ramure*Pc/MaxiM</f>
        <v>3.1901466032556801E-2</v>
      </c>
      <c r="Q300" s="305">
        <f t="shared" si="105"/>
        <v>0.8</v>
      </c>
      <c r="R300" s="177">
        <f t="shared" si="106"/>
        <v>0.79603717155529896</v>
      </c>
      <c r="S300" s="809">
        <f t="shared" si="107"/>
        <v>1</v>
      </c>
      <c r="T300" s="176">
        <f t="shared" si="108"/>
        <v>7</v>
      </c>
      <c r="U300" s="251">
        <f t="shared" si="109"/>
        <v>1.796037171555299</v>
      </c>
      <c r="V300" s="383">
        <f t="shared" si="110"/>
        <v>25.401109705687755</v>
      </c>
      <c r="W300" s="402">
        <f t="shared" si="111"/>
        <v>17.910522259063374</v>
      </c>
      <c r="X300" s="157">
        <f t="shared" si="112"/>
        <v>45577</v>
      </c>
      <c r="Y300" s="385">
        <f t="shared" si="113"/>
        <v>16.556879435256768</v>
      </c>
      <c r="Z300" s="385">
        <f t="shared" si="114"/>
        <v>17.849820461168903</v>
      </c>
      <c r="AA300" s="386">
        <f t="shared" si="115"/>
        <v>21.316611399567876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0.16263330383126692</v>
      </c>
      <c r="AD300" s="231">
        <f>(INDEX(Models!$BJ300:$BT300,,AH300)*(1-AF300)+INDEX(Models!$BJ300:$BT300,,AH300+1)*AF300-ERP_i)*AE300*Ramure*Pc/MaxiM</f>
        <v>5.4709034314716971E-2</v>
      </c>
      <c r="AE300" s="305">
        <f t="shared" si="117"/>
        <v>0.8</v>
      </c>
      <c r="AF300" s="177">
        <f t="shared" si="118"/>
        <v>0.99675391872020258</v>
      </c>
      <c r="AG300" s="809">
        <f t="shared" si="124"/>
        <v>2</v>
      </c>
      <c r="AH300" s="176">
        <f t="shared" si="119"/>
        <v>8</v>
      </c>
      <c r="AI300" s="225">
        <f t="shared" si="120"/>
        <v>2.9967539187202026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IF(t&gt;Tmaj,'2023'!Wh/'2023'!Env_an*'2024'!Env_an,0.001*'[12]mon-tableau (1)'!$B$153)</f>
        <v>16.922707330406496</v>
      </c>
      <c r="C301" s="839"/>
      <c r="D301" s="393">
        <f t="shared" si="102"/>
        <v>18.244650415824534</v>
      </c>
      <c r="E301" s="385">
        <f t="shared" si="125"/>
        <v>20.41717853688278</v>
      </c>
      <c r="F301" s="385">
        <f t="shared" si="103"/>
        <v>20.764650108931296</v>
      </c>
      <c r="G301" s="110">
        <f t="shared" si="126"/>
        <v>0.66407150981386864</v>
      </c>
      <c r="H301" s="414" t="b">
        <f>Wh_hp&gt;='2023'!Maxi_hp</f>
        <v>0</v>
      </c>
      <c r="I301" s="390">
        <f>IF(H301,Wh_hp,'2023'!Maxi_hp)</f>
        <v>32.224976238135895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7.2456476571973544E-2</v>
      </c>
      <c r="M301" s="843"/>
      <c r="N301" s="843"/>
      <c r="O301" s="48">
        <f>IF(t&lt;Tnet,'2023'!Resal+('2023'!Salim-'2023'!Resal)*(1-EXP(('2023'!Tnet-t)/('2023'!Tau_j))),Resal+(Salim-Resal)*(1-EXP((Tnet-t)/(Tau_j))))*Salcycl</f>
        <v>0.10640687287588074</v>
      </c>
      <c r="P301" s="169">
        <f>(INDEX(Models!$BJ301:$BT301,,T301)*(1-R301)+INDEX(Models!$BJ301:$BT301,,T301+1)*R301-ERP_i)*Q301*Ramure*Pc/MaxiM</f>
        <v>3.1314340353506893E-2</v>
      </c>
      <c r="Q301" s="305">
        <f t="shared" si="105"/>
        <v>0.8</v>
      </c>
      <c r="R301" s="177">
        <f t="shared" si="106"/>
        <v>0.79617772880423576</v>
      </c>
      <c r="S301" s="809">
        <f t="shared" si="107"/>
        <v>1</v>
      </c>
      <c r="T301" s="176">
        <f t="shared" si="108"/>
        <v>7</v>
      </c>
      <c r="U301" s="251">
        <f t="shared" si="109"/>
        <v>1.7961777288042358</v>
      </c>
      <c r="V301" s="383">
        <f t="shared" si="110"/>
        <v>25.10537753926085</v>
      </c>
      <c r="W301" s="402">
        <f t="shared" si="111"/>
        <v>16.922707330406496</v>
      </c>
      <c r="X301" s="157">
        <f t="shared" si="112"/>
        <v>45578</v>
      </c>
      <c r="Y301" s="385">
        <f t="shared" si="113"/>
        <v>15.663569818142744</v>
      </c>
      <c r="Z301" s="385">
        <f t="shared" si="114"/>
        <v>16.887153456964622</v>
      </c>
      <c r="AA301" s="386">
        <f t="shared" si="115"/>
        <v>20.165623788711134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0.16257718412766495</v>
      </c>
      <c r="AD301" s="231">
        <f>(INDEX(Models!$BJ301:$BT301,,AH301)*(1-AF301)+INDEX(Models!$BJ301:$BT301,,AH301+1)*AF301-ERP_i)*AE301*Ramure*Pc/MaxiM</f>
        <v>5.3984600701273616E-2</v>
      </c>
      <c r="AE301" s="305">
        <f t="shared" si="117"/>
        <v>0.8</v>
      </c>
      <c r="AF301" s="177">
        <f t="shared" si="118"/>
        <v>0.99689447596913938</v>
      </c>
      <c r="AG301" s="809">
        <f t="shared" si="124"/>
        <v>2</v>
      </c>
      <c r="AH301" s="176">
        <f t="shared" si="119"/>
        <v>8</v>
      </c>
      <c r="AI301" s="225">
        <f t="shared" si="120"/>
        <v>2.9968944759691394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IF(t&gt;Tmaj,'2023'!Wh/'2023'!Env_an*'2024'!Env_an,0.001*'[12]mon-tableau (1)'!$B$154)</f>
        <v>24.458063692498971</v>
      </c>
      <c r="C302" s="839"/>
      <c r="D302" s="393">
        <f t="shared" si="102"/>
        <v>26.369270247706076</v>
      </c>
      <c r="E302" s="385">
        <f t="shared" si="125"/>
        <v>29.510954645122919</v>
      </c>
      <c r="F302" s="385">
        <f t="shared" si="103"/>
        <v>30.426727848716482</v>
      </c>
      <c r="G302" s="110">
        <f t="shared" si="126"/>
        <v>0.98511732827317655</v>
      </c>
      <c r="H302" s="414" t="b">
        <f>Wh_hp&gt;='2023'!Maxi_hp</f>
        <v>0</v>
      </c>
      <c r="I302" s="390">
        <f>IF(H302,Wh_hp,'2023'!Maxi_hp)</f>
        <v>30.440535467920558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7.247855315121457E-2</v>
      </c>
      <c r="M302" s="843"/>
      <c r="N302" s="843"/>
      <c r="O302" s="48">
        <f>IF(t&lt;Tnet,'2023'!Resal+('2023'!Salim-'2023'!Resal)*(1-EXP(('2023'!Tnet-t)/('2023'!Tau_j))),Resal+(Salim-Resal)*(1-EXP((Tnet-t)/(Tau_j))))*Salcycl</f>
        <v>0.1064582435640065</v>
      </c>
      <c r="P302" s="169">
        <f>(INDEX(Models!$BJ302:$BT302,,T302)*(1-R302)+INDEX(Models!$BJ302:$BT302,,T302+1)*R302-ERP_i)*Q302*Ramure*Pc/MaxiM</f>
        <v>3.0722963008040911E-2</v>
      </c>
      <c r="Q302" s="305">
        <f t="shared" si="105"/>
        <v>0.8</v>
      </c>
      <c r="R302" s="177">
        <f t="shared" si="106"/>
        <v>0.79631268901147512</v>
      </c>
      <c r="S302" s="809">
        <f t="shared" si="107"/>
        <v>1</v>
      </c>
      <c r="T302" s="176">
        <f t="shared" si="108"/>
        <v>7</v>
      </c>
      <c r="U302" s="251">
        <f t="shared" si="109"/>
        <v>1.7963126890114751</v>
      </c>
      <c r="V302" s="383">
        <f t="shared" si="110"/>
        <v>24.811557581722916</v>
      </c>
      <c r="W302" s="402">
        <f t="shared" si="111"/>
        <v>24.458063692498971</v>
      </c>
      <c r="X302" s="157">
        <f t="shared" si="112"/>
        <v>45579</v>
      </c>
      <c r="Y302" s="385">
        <f t="shared" si="113"/>
        <v>22.400286604074747</v>
      </c>
      <c r="Z302" s="385">
        <f t="shared" si="114"/>
        <v>24.150693959884986</v>
      </c>
      <c r="AA302" s="386">
        <f t="shared" si="115"/>
        <v>28.8372976501241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0.16251882361171752</v>
      </c>
      <c r="AD302" s="231">
        <f>(INDEX(Models!$BJ302:$BT302,,AH302)*(1-AF302)+INDEX(Models!$BJ302:$BT302,,AH302+1)*AF302-ERP_i)*AE302*Ramure*Pc/MaxiM</f>
        <v>5.3323251874586863E-2</v>
      </c>
      <c r="AE302" s="305">
        <f t="shared" si="117"/>
        <v>0.8</v>
      </c>
      <c r="AF302" s="177">
        <f t="shared" si="118"/>
        <v>0.99702943617637896</v>
      </c>
      <c r="AG302" s="809">
        <f t="shared" si="124"/>
        <v>2</v>
      </c>
      <c r="AH302" s="176">
        <f t="shared" si="119"/>
        <v>8</v>
      </c>
      <c r="AI302" s="225">
        <f t="shared" si="120"/>
        <v>2.997029436176379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IF(t&gt;Tmaj,'2023'!Wh/'2023'!Env_an*'2024'!Env_an,0.001*'[12]mon-tableau (1)'!$B$155)</f>
        <v>23.037646222432386</v>
      </c>
      <c r="C303" s="839"/>
      <c r="D303" s="393">
        <f t="shared" si="102"/>
        <v>24.838449435255637</v>
      </c>
      <c r="E303" s="385">
        <f t="shared" si="125"/>
        <v>27.799295513730254</v>
      </c>
      <c r="F303" s="385">
        <f t="shared" si="103"/>
        <v>28.586197600478535</v>
      </c>
      <c r="G303" s="110">
        <f t="shared" si="126"/>
        <v>0.93706144783680745</v>
      </c>
      <c r="H303" s="414" t="b">
        <f>Wh_hp&gt;='2023'!Maxi_hp</f>
        <v>0</v>
      </c>
      <c r="I303" s="390">
        <f>IF(H303,Wh_hp,'2023'!Maxi_hp)</f>
        <v>30.080595648759999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7.2500629216701223E-2</v>
      </c>
      <c r="M303" s="843"/>
      <c r="N303" s="843"/>
      <c r="O303" s="48">
        <f>IF(t&lt;Tnet,'2023'!Resal+('2023'!Salim-'2023'!Resal)*(1-EXP(('2023'!Tnet-t)/('2023'!Tau_j))),Resal+(Salim-Resal)*(1-EXP((Tnet-t)/(Tau_j))))*Salcycl</f>
        <v>0.10650795366422997</v>
      </c>
      <c r="P303" s="169">
        <f>(INDEX(Models!$BJ303:$BT303,,T303)*(1-R303)+INDEX(Models!$BJ303:$BT303,,T303+1)*R303-ERP_i)*Q303*Ramure*Pc/MaxiM</f>
        <v>3.0128076820849867E-2</v>
      </c>
      <c r="Q303" s="305">
        <f t="shared" si="105"/>
        <v>0.8</v>
      </c>
      <c r="R303" s="177">
        <f t="shared" si="106"/>
        <v>0.79644227266103473</v>
      </c>
      <c r="S303" s="809">
        <f t="shared" si="107"/>
        <v>1</v>
      </c>
      <c r="T303" s="176">
        <f t="shared" si="108"/>
        <v>7</v>
      </c>
      <c r="U303" s="251">
        <f t="shared" si="109"/>
        <v>1.7964422726610347</v>
      </c>
      <c r="V303" s="383">
        <f t="shared" si="110"/>
        <v>24.519241001639944</v>
      </c>
      <c r="W303" s="402">
        <f t="shared" si="111"/>
        <v>23.037646222432386</v>
      </c>
      <c r="X303" s="157">
        <f t="shared" si="112"/>
        <v>45580</v>
      </c>
      <c r="Y303" s="385">
        <f t="shared" si="113"/>
        <v>21.136499109820566</v>
      </c>
      <c r="Z303" s="385">
        <f t="shared" si="114"/>
        <v>22.788693745387892</v>
      </c>
      <c r="AA303" s="386">
        <f t="shared" si="115"/>
        <v>27.209024975248255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0.16245827382206776</v>
      </c>
      <c r="AD303" s="231">
        <f>(INDEX(Models!$BJ303:$BT303,,AH303)*(1-AF303)+INDEX(Models!$BJ303:$BT303,,AH303+1)*AF303-ERP_i)*AE303*Ramure*Pc/MaxiM</f>
        <v>5.2727732391669099E-2</v>
      </c>
      <c r="AE303" s="305">
        <f t="shared" si="117"/>
        <v>0.8</v>
      </c>
      <c r="AF303" s="177">
        <f t="shared" si="118"/>
        <v>0.99715901982593813</v>
      </c>
      <c r="AG303" s="809">
        <f t="shared" si="124"/>
        <v>2</v>
      </c>
      <c r="AH303" s="176">
        <f t="shared" si="119"/>
        <v>8</v>
      </c>
      <c r="AI303" s="225">
        <f t="shared" si="120"/>
        <v>2.9971590198259381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IF(t&gt;Tmaj,'2023'!Wh/'2023'!Env_an*'2024'!Env_an,0.001*'[12]mon-tableau (1)'!$B$156)</f>
        <v>15.337665626297561</v>
      </c>
      <c r="C304" s="839"/>
      <c r="D304" s="393">
        <f t="shared" si="102"/>
        <v>16.536971530357896</v>
      </c>
      <c r="E304" s="385">
        <f t="shared" si="125"/>
        <v>18.509243175923309</v>
      </c>
      <c r="F304" s="385">
        <f t="shared" si="103"/>
        <v>18.773228954603322</v>
      </c>
      <c r="G304" s="110">
        <f t="shared" si="126"/>
        <v>0.62311967542825752</v>
      </c>
      <c r="H304" s="414" t="b">
        <f>Wh_hp&gt;='2023'!Maxi_hp</f>
        <v>0</v>
      </c>
      <c r="I304" s="390">
        <f>IF(H304,Wh_hp,'2023'!Maxi_hp)</f>
        <v>27.817595190845999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7.2522704768445606E-2</v>
      </c>
      <c r="M304" s="843"/>
      <c r="N304" s="843"/>
      <c r="O304" s="48">
        <f>IF(t&lt;Tnet,'2023'!Resal+('2023'!Salim-'2023'!Resal)*(1-EXP(('2023'!Tnet-t)/('2023'!Tau_j))),Resal+(Salim-Resal)*(1-EXP((Tnet-t)/(Tau_j))))*Salcycl</f>
        <v>0.10655603942417985</v>
      </c>
      <c r="P304" s="169">
        <f>(INDEX(Models!$BJ304:$BT304,,T304)*(1-R304)+INDEX(Models!$BJ304:$BT304,,T304+1)*R304-ERP_i)*Q304*Ramure*Pc/MaxiM</f>
        <v>2.9553455263718591E-2</v>
      </c>
      <c r="Q304" s="305">
        <f t="shared" si="105"/>
        <v>0.8</v>
      </c>
      <c r="R304" s="177">
        <f t="shared" si="106"/>
        <v>0.79656669173932837</v>
      </c>
      <c r="S304" s="809">
        <f t="shared" si="107"/>
        <v>1</v>
      </c>
      <c r="T304" s="176">
        <f t="shared" si="108"/>
        <v>7</v>
      </c>
      <c r="U304" s="251">
        <f t="shared" si="109"/>
        <v>1.7965666917393284</v>
      </c>
      <c r="V304" s="383">
        <f t="shared" si="110"/>
        <v>24.227563164709515</v>
      </c>
      <c r="W304" s="402">
        <f t="shared" si="111"/>
        <v>15.337665626297561</v>
      </c>
      <c r="X304" s="157">
        <f t="shared" si="112"/>
        <v>45581</v>
      </c>
      <c r="Y304" s="385">
        <f t="shared" si="113"/>
        <v>14.221677231308066</v>
      </c>
      <c r="Z304" s="385">
        <f t="shared" si="114"/>
        <v>15.333720086115397</v>
      </c>
      <c r="AA304" s="386">
        <f t="shared" si="115"/>
        <v>18.306637344765189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0.16239559470488463</v>
      </c>
      <c r="AD304" s="231">
        <f>(INDEX(Models!$BJ304:$BT304,,AH304)*(1-AF304)+INDEX(Models!$BJ304:$BT304,,AH304+1)*AF304-ERP_i)*AE304*Ramure*Pc/MaxiM</f>
        <v>5.2235367892648377E-2</v>
      </c>
      <c r="AE304" s="305">
        <f t="shared" si="117"/>
        <v>0.8</v>
      </c>
      <c r="AF304" s="177">
        <f t="shared" si="118"/>
        <v>0.99728343890423199</v>
      </c>
      <c r="AG304" s="809">
        <f t="shared" si="124"/>
        <v>2</v>
      </c>
      <c r="AH304" s="176">
        <f t="shared" si="119"/>
        <v>8</v>
      </c>
      <c r="AI304" s="225">
        <f t="shared" si="120"/>
        <v>2.997283438904232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IF(t&gt;Tmaj,'2023'!Wh/'2023'!Env_an*'2024'!Env_an,0.001*'[12]mon-tableau (1)'!$B$157)</f>
        <v>22.802206902357273</v>
      </c>
      <c r="C305" s="839"/>
      <c r="D305" s="393">
        <f t="shared" si="102"/>
        <v>24.585776656256176</v>
      </c>
      <c r="E305" s="385">
        <f t="shared" si="125"/>
        <v>27.5194164227516</v>
      </c>
      <c r="F305" s="385">
        <f t="shared" si="103"/>
        <v>28.284118579979218</v>
      </c>
      <c r="G305" s="110">
        <f t="shared" si="126"/>
        <v>0.95068201148103693</v>
      </c>
      <c r="H305" s="414" t="b">
        <f>Wh_hp&gt;='2023'!Maxi_hp</f>
        <v>0</v>
      </c>
      <c r="I305" s="390">
        <f>IF(H305,Wh_hp,'2023'!Maxi_hp)</f>
        <v>30.068535736268366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7.2544779806459708E-2</v>
      </c>
      <c r="M305" s="843"/>
      <c r="N305" s="843"/>
      <c r="O305" s="48">
        <f>IF(t&lt;Tnet,'2023'!Resal+('2023'!Salim-'2023'!Resal)*(1-EXP(('2023'!Tnet-t)/('2023'!Tau_j))),Resal+(Salim-Resal)*(1-EXP((Tnet-t)/(Tau_j))))*Salcycl</f>
        <v>0.10660254278030572</v>
      </c>
      <c r="P305" s="169">
        <f>(INDEX(Models!$BJ305:$BT305,,T305)*(1-R305)+INDEX(Models!$BJ305:$BT305,,T305+1)*R305-ERP_i)*Q305*Ramure*Pc/MaxiM</f>
        <v>2.8999978302890712E-2</v>
      </c>
      <c r="Q305" s="305">
        <f t="shared" si="105"/>
        <v>0.8</v>
      </c>
      <c r="R305" s="177">
        <f t="shared" si="106"/>
        <v>0.79668615004785703</v>
      </c>
      <c r="S305" s="809">
        <f t="shared" si="107"/>
        <v>1</v>
      </c>
      <c r="T305" s="176">
        <f t="shared" si="108"/>
        <v>7</v>
      </c>
      <c r="U305" s="251">
        <f t="shared" si="109"/>
        <v>1.796686150047857</v>
      </c>
      <c r="V305" s="383">
        <f t="shared" si="110"/>
        <v>23.936699879143376</v>
      </c>
      <c r="W305" s="402">
        <f t="shared" si="111"/>
        <v>22.802206902357273</v>
      </c>
      <c r="X305" s="157">
        <f t="shared" si="112"/>
        <v>45582</v>
      </c>
      <c r="Y305" s="385">
        <f t="shared" si="113"/>
        <v>20.91246821386434</v>
      </c>
      <c r="Z305" s="385">
        <f t="shared" si="114"/>
        <v>22.548224171405653</v>
      </c>
      <c r="AA305" s="386">
        <f t="shared" si="115"/>
        <v>26.917816296100664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0.16233085465138539</v>
      </c>
      <c r="AD305" s="231">
        <f>(INDEX(Models!$BJ305:$BT305,,AH305)*(1-AF305)+INDEX(Models!$BJ305:$BT305,,AH305+1)*AF305-ERP_i)*AE305*Ramure*Pc/MaxiM</f>
        <v>5.1814600250792979E-2</v>
      </c>
      <c r="AE305" s="305">
        <f t="shared" si="117"/>
        <v>0.8</v>
      </c>
      <c r="AF305" s="177">
        <f t="shared" si="118"/>
        <v>0.99740289721276065</v>
      </c>
      <c r="AG305" s="809">
        <f t="shared" si="124"/>
        <v>2</v>
      </c>
      <c r="AH305" s="176">
        <f t="shared" si="119"/>
        <v>8</v>
      </c>
      <c r="AI305" s="225">
        <f t="shared" si="120"/>
        <v>2.9974028972127607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IF(t&gt;Tmaj,'2023'!Wh/'2023'!Env_an*'2024'!Env_an,0.001*'[12]mon-tableau (1)'!$B$158)</f>
        <v>12.009326907797538</v>
      </c>
      <c r="C306" s="839"/>
      <c r="D306" s="393">
        <f t="shared" si="102"/>
        <v>12.948994721480968</v>
      </c>
      <c r="E306" s="385">
        <f t="shared" si="125"/>
        <v>14.494832539563861</v>
      </c>
      <c r="F306" s="385">
        <f t="shared" si="103"/>
        <v>14.618409574382502</v>
      </c>
      <c r="G306" s="110">
        <f t="shared" si="126"/>
        <v>0.49761053984544917</v>
      </c>
      <c r="H306" s="414" t="b">
        <f>Wh_hp&gt;='2023'!Maxi_hp</f>
        <v>0</v>
      </c>
      <c r="I306" s="390">
        <f>IF(H306,Wh_hp,'2023'!Maxi_hp)</f>
        <v>28.870083274747984</v>
      </c>
      <c r="J306" s="85">
        <f>IF(H306,An,'2023'!An_max)</f>
        <v>2021</v>
      </c>
      <c r="K306" s="197">
        <f t="shared" si="104"/>
        <v>45583</v>
      </c>
      <c r="L306" s="147">
        <f>IF(t&lt;Tvie,1-EXP((T0-t)*PertePVj)+'2023'!Pspv,1-EXP((T0-t)*PertePVj)+Pspv)</f>
        <v>7.2566854330755409E-2</v>
      </c>
      <c r="M306" s="843"/>
      <c r="N306" s="843"/>
      <c r="O306" s="48">
        <f>IF(t&lt;Tnet,'2023'!Resal+('2023'!Salim-'2023'!Resal)*(1-EXP(('2023'!Tnet-t)/('2023'!Tau_j))),Resal+(Salim-Resal)*(1-EXP((Tnet-t)/(Tau_j))))*Salcycl</f>
        <v>0.10664751137093209</v>
      </c>
      <c r="P306" s="169">
        <f>(INDEX(Models!$BJ306:$BT306,,T306)*(1-R306)+INDEX(Models!$BJ306:$BT306,,T306+1)*R306-ERP_i)*Q306*Ramure*Pc/MaxiM</f>
        <v>2.8468248891336125E-2</v>
      </c>
      <c r="Q306" s="305">
        <f t="shared" si="105"/>
        <v>0.8</v>
      </c>
      <c r="R306" s="177">
        <f t="shared" si="106"/>
        <v>0.79680084350557312</v>
      </c>
      <c r="S306" s="809">
        <f t="shared" si="107"/>
        <v>1</v>
      </c>
      <c r="T306" s="176">
        <f t="shared" si="108"/>
        <v>7</v>
      </c>
      <c r="U306" s="251">
        <f t="shared" si="109"/>
        <v>1.7968008435055731</v>
      </c>
      <c r="V306" s="383">
        <f t="shared" si="110"/>
        <v>23.646834857692134</v>
      </c>
      <c r="W306" s="402">
        <f t="shared" si="111"/>
        <v>12.009326907797538</v>
      </c>
      <c r="X306" s="157">
        <f t="shared" si="112"/>
        <v>45583</v>
      </c>
      <c r="Y306" s="385">
        <f t="shared" si="113"/>
        <v>11.18410732730338</v>
      </c>
      <c r="Z306" s="385">
        <f t="shared" si="114"/>
        <v>12.059205970294302</v>
      </c>
      <c r="AA306" s="386">
        <f t="shared" si="115"/>
        <v>14.394997766126881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0.16226413048350535</v>
      </c>
      <c r="AD306" s="231">
        <f>(INDEX(Models!$BJ306:$BT306,,AH306)*(1-AF306)+INDEX(Models!$BJ306:$BT306,,AH306+1)*AF306-ERP_i)*AE306*Ramure*Pc/MaxiM</f>
        <v>5.1467030035301654E-2</v>
      </c>
      <c r="AE306" s="305">
        <f t="shared" si="117"/>
        <v>0.8</v>
      </c>
      <c r="AF306" s="177">
        <f t="shared" si="118"/>
        <v>0.99751759067047674</v>
      </c>
      <c r="AG306" s="809">
        <f t="shared" si="124"/>
        <v>2</v>
      </c>
      <c r="AH306" s="176">
        <f t="shared" si="119"/>
        <v>8</v>
      </c>
      <c r="AI306" s="225">
        <f t="shared" si="120"/>
        <v>2.9975175906704767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IF(t&gt;Tmaj,'2023'!Wh/'2023'!Env_an*'2024'!Env_an,0.001*'[12]mon-tableau (1)'!$B$159)</f>
        <v>5.344160499226132</v>
      </c>
      <c r="C307" s="839"/>
      <c r="D307" s="393">
        <f t="shared" si="102"/>
        <v>5.7624506139097651</v>
      </c>
      <c r="E307" s="385">
        <f t="shared" si="125"/>
        <v>6.4506801166505872</v>
      </c>
      <c r="F307" s="385">
        <f t="shared" si="103"/>
        <v>6.4506801166505872</v>
      </c>
      <c r="G307" s="110">
        <f t="shared" si="126"/>
        <v>0.22239531961623332</v>
      </c>
      <c r="H307" s="414" t="b">
        <f>Wh_hp&gt;='2023'!Maxi_hp</f>
        <v>0</v>
      </c>
      <c r="I307" s="390">
        <f>IF(H307,Wh_hp,'2023'!Maxi_hp)</f>
        <v>24.548923439144371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7.2588928341344588E-2</v>
      </c>
      <c r="M307" s="843"/>
      <c r="N307" s="843"/>
      <c r="O307" s="48">
        <f>IF(t&lt;Tnet,'2023'!Resal+('2023'!Salim-'2023'!Resal)*(1-EXP(('2023'!Tnet-t)/('2023'!Tau_j))),Resal+(Salim-Resal)*(1-EXP((Tnet-t)/(Tau_j))))*Salcycl</f>
        <v>0.10669099851414954</v>
      </c>
      <c r="P307" s="169">
        <f>(INDEX(Models!$BJ307:$BT307,,T307)*(1-R307)+INDEX(Models!$BJ307:$BT307,,T307+1)*R307-ERP_i)*Q307*Ramure*Pc/MaxiM</f>
        <v>2.7958884541949846E-2</v>
      </c>
      <c r="Q307" s="305">
        <f t="shared" si="105"/>
        <v>0.8</v>
      </c>
      <c r="R307" s="177">
        <f t="shared" si="106"/>
        <v>0.79691096044116527</v>
      </c>
      <c r="S307" s="809">
        <f t="shared" si="107"/>
        <v>1</v>
      </c>
      <c r="T307" s="176">
        <f t="shared" si="108"/>
        <v>7</v>
      </c>
      <c r="U307" s="251">
        <f t="shared" si="109"/>
        <v>1.7969109604411653</v>
      </c>
      <c r="V307" s="383">
        <f t="shared" si="110"/>
        <v>23.358152239079047</v>
      </c>
      <c r="W307" s="402">
        <f t="shared" si="111"/>
        <v>5.344160499226132</v>
      </c>
      <c r="X307" s="157">
        <f t="shared" si="112"/>
        <v>45584</v>
      </c>
      <c r="Y307" s="385">
        <f t="shared" si="113"/>
        <v>5.0121085403289563</v>
      </c>
      <c r="Z307" s="385">
        <f t="shared" si="114"/>
        <v>5.4044087821432889</v>
      </c>
      <c r="AA307" s="386">
        <f t="shared" si="115"/>
        <v>6.4506801166505872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0.16219550738636809</v>
      </c>
      <c r="AD307" s="231">
        <f>(INDEX(Models!$BJ307:$BT307,,AH307)*(1-AF307)+INDEX(Models!$BJ307:$BT307,,AH307+1)*AF307-ERP_i)*AE307*Ramure*Pc/MaxiM</f>
        <v>5.1194267946717151E-2</v>
      </c>
      <c r="AE307" s="305">
        <f t="shared" si="117"/>
        <v>0.8</v>
      </c>
      <c r="AF307" s="177">
        <f t="shared" si="118"/>
        <v>0.99762770760606889</v>
      </c>
      <c r="AG307" s="809">
        <f t="shared" si="124"/>
        <v>2</v>
      </c>
      <c r="AH307" s="176">
        <f t="shared" si="119"/>
        <v>8</v>
      </c>
      <c r="AI307" s="225">
        <f t="shared" si="120"/>
        <v>2.9976277076060689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IF(t&gt;Tmaj,'2023'!Wh/'2023'!Env_an*'2024'!Env_an,0.001*'[12]mon-tableau (1)'!$B$160)</f>
        <v>12.497960039216919</v>
      </c>
      <c r="C308" s="839"/>
      <c r="D308" s="393">
        <f t="shared" si="102"/>
        <v>13.476502378171357</v>
      </c>
      <c r="E308" s="385">
        <f t="shared" si="125"/>
        <v>15.086758305071253</v>
      </c>
      <c r="F308" s="385">
        <f t="shared" si="103"/>
        <v>15.23125258281202</v>
      </c>
      <c r="G308" s="110">
        <f t="shared" si="126"/>
        <v>0.53188453035067063</v>
      </c>
      <c r="H308" s="414" t="b">
        <f>Wh_hp&gt;='2023'!Maxi_hp</f>
        <v>0</v>
      </c>
      <c r="I308" s="390">
        <f>IF(H308,Wh_hp,'2023'!Maxi_hp)</f>
        <v>22.767117495614556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7.2611001838239458E-2</v>
      </c>
      <c r="M308" s="843"/>
      <c r="N308" s="843"/>
      <c r="O308" s="48">
        <f>IF(t&lt;Tnet,'2023'!Resal+('2023'!Salim-'2023'!Resal)*(1-EXP(('2023'!Tnet-t)/('2023'!Tau_j))),Resal+(Salim-Resal)*(1-EXP((Tnet-t)/(Tau_j))))*Salcycl</f>
        <v>0.1067330631497309</v>
      </c>
      <c r="P308" s="169">
        <f>(INDEX(Models!$BJ308:$BT308,,T308)*(1-R308)+INDEX(Models!$BJ308:$BT308,,T308+1)*R308-ERP_i)*Q308*Ramure*Pc/MaxiM</f>
        <v>2.7472515350956239E-2</v>
      </c>
      <c r="Q308" s="305">
        <f t="shared" si="105"/>
        <v>0.8</v>
      </c>
      <c r="R308" s="177">
        <f t="shared" si="106"/>
        <v>0.79701668187550778</v>
      </c>
      <c r="S308" s="809">
        <f t="shared" si="107"/>
        <v>1</v>
      </c>
      <c r="T308" s="176">
        <f t="shared" si="108"/>
        <v>7</v>
      </c>
      <c r="U308" s="251">
        <f t="shared" si="109"/>
        <v>1.7970166818755078</v>
      </c>
      <c r="V308" s="383">
        <f t="shared" si="110"/>
        <v>23.070836617080158</v>
      </c>
      <c r="W308" s="402">
        <f t="shared" si="111"/>
        <v>12.497960039216919</v>
      </c>
      <c r="X308" s="157">
        <f t="shared" si="112"/>
        <v>45585</v>
      </c>
      <c r="Y308" s="385">
        <f t="shared" si="113"/>
        <v>11.626808210590122</v>
      </c>
      <c r="Z308" s="385">
        <f t="shared" si="114"/>
        <v>12.537142702400386</v>
      </c>
      <c r="AA308" s="386">
        <f t="shared" si="115"/>
        <v>14.963024175785922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0.16212507878662963</v>
      </c>
      <c r="AD308" s="231">
        <f>(INDEX(Models!$BJ308:$BT308,,AH308)*(1-AF308)+INDEX(Models!$BJ308:$BT308,,AH308+1)*AF308-ERP_i)*AE308*Ramure*Pc/MaxiM</f>
        <v>5.0997929778280666E-2</v>
      </c>
      <c r="AE308" s="305">
        <f t="shared" si="117"/>
        <v>0.8</v>
      </c>
      <c r="AF308" s="177">
        <f t="shared" si="118"/>
        <v>0.9977334290404114</v>
      </c>
      <c r="AG308" s="809">
        <f t="shared" si="124"/>
        <v>2</v>
      </c>
      <c r="AH308" s="176">
        <f t="shared" si="119"/>
        <v>8</v>
      </c>
      <c r="AI308" s="225">
        <f t="shared" si="120"/>
        <v>2.9977334290404114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IF(t&gt;Tmaj,'2023'!Wh/'2023'!Env_an*'2024'!Env_an,0.001*'[12]mon-tableau (1)'!$B$161)</f>
        <v>21.793749628034792</v>
      </c>
      <c r="C309" s="839"/>
      <c r="D309" s="393">
        <f t="shared" si="102"/>
        <v>23.50067598522428</v>
      </c>
      <c r="E309" s="385">
        <f t="shared" si="125"/>
        <v>26.309881180385023</v>
      </c>
      <c r="F309" s="385">
        <f t="shared" si="103"/>
        <v>26.993658193768926</v>
      </c>
      <c r="G309" s="110">
        <f t="shared" si="126"/>
        <v>0.95484496723552159</v>
      </c>
      <c r="H309" s="414" t="b">
        <f>Wh_hp&gt;='2023'!Maxi_hp</f>
        <v>0</v>
      </c>
      <c r="I309" s="390">
        <f>IF(H309,Wh_hp,'2023'!Maxi_hp)</f>
        <v>27.02636286510641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7.2633074821451676E-2</v>
      </c>
      <c r="M309" s="843"/>
      <c r="N309" s="843"/>
      <c r="O309" s="48">
        <f>IF(t&lt;Tnet,'2023'!Resal+('2023'!Salim-'2023'!Resal)*(1-EXP(('2023'!Tnet-t)/('2023'!Tau_j))),Resal+(Salim-Resal)*(1-EXP((Tnet-t)/(Tau_j))))*Salcycl</f>
        <v>0.10677376974454399</v>
      </c>
      <c r="P309" s="169">
        <f>(INDEX(Models!$BJ309:$BT309,,T309)*(1-R309)+INDEX(Models!$BJ309:$BT309,,T309+1)*R309-ERP_i)*Q309*Ramure*Pc/MaxiM</f>
        <v>2.7009781949618838E-2</v>
      </c>
      <c r="Q309" s="305">
        <f t="shared" si="105"/>
        <v>0.8</v>
      </c>
      <c r="R309" s="177">
        <f t="shared" si="106"/>
        <v>0.79711818179452276</v>
      </c>
      <c r="S309" s="809">
        <f t="shared" si="107"/>
        <v>1</v>
      </c>
      <c r="T309" s="176">
        <f t="shared" si="108"/>
        <v>7</v>
      </c>
      <c r="U309" s="251">
        <f t="shared" si="109"/>
        <v>1.7971181817945228</v>
      </c>
      <c r="V309" s="383">
        <f t="shared" si="110"/>
        <v>22.785073068729488</v>
      </c>
      <c r="W309" s="402">
        <f t="shared" si="111"/>
        <v>21.793749628034792</v>
      </c>
      <c r="X309" s="157">
        <f t="shared" si="112"/>
        <v>45586</v>
      </c>
      <c r="Y309" s="385">
        <f t="shared" si="113"/>
        <v>19.975415955203481</v>
      </c>
      <c r="Z309" s="385">
        <f t="shared" si="114"/>
        <v>21.539927091272489</v>
      </c>
      <c r="AA309" s="386">
        <f t="shared" si="115"/>
        <v>25.705594396423447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0.16205294617620467</v>
      </c>
      <c r="AD309" s="231">
        <f>(INDEX(Models!$BJ309:$BT309,,AH309)*(1-AF309)+INDEX(Models!$BJ309:$BT309,,AH309+1)*AF309-ERP_i)*AE309*Ramure*Pc/MaxiM</f>
        <v>5.0879631257751162E-2</v>
      </c>
      <c r="AE309" s="305">
        <f t="shared" si="117"/>
        <v>0.8</v>
      </c>
      <c r="AF309" s="177">
        <f t="shared" si="118"/>
        <v>0.99783492895942638</v>
      </c>
      <c r="AG309" s="809">
        <f t="shared" si="124"/>
        <v>2</v>
      </c>
      <c r="AH309" s="176">
        <f t="shared" si="119"/>
        <v>8</v>
      </c>
      <c r="AI309" s="225">
        <f t="shared" si="120"/>
        <v>2.9978349289594264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IF(t&gt;Tmaj,'2023'!Wh/'2023'!Env_an*'2024'!Env_an,0.001*'[12]mon-tableau (1)'!$B$162)</f>
        <v>13.52489091424378</v>
      </c>
      <c r="C310" s="839"/>
      <c r="D310" s="393">
        <f t="shared" si="102"/>
        <v>14.584532253275775</v>
      </c>
      <c r="E310" s="385">
        <f t="shared" si="125"/>
        <v>16.328647109389237</v>
      </c>
      <c r="F310" s="385">
        <f t="shared" si="103"/>
        <v>16.517627015973435</v>
      </c>
      <c r="G310" s="110">
        <f t="shared" si="126"/>
        <v>0.59187858157662199</v>
      </c>
      <c r="H310" s="414" t="b">
        <f>Wh_hp&gt;='2023'!Maxi_hp</f>
        <v>0</v>
      </c>
      <c r="I310" s="390">
        <f>IF(H310,Wh_hp,'2023'!Maxi_hp)</f>
        <v>29.192406870940115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7.2655147290993344E-2</v>
      </c>
      <c r="M310" s="843"/>
      <c r="N310" s="843"/>
      <c r="O310" s="48">
        <f>IF(t&lt;Tnet,'2023'!Resal+('2023'!Salim-'2023'!Resal)*(1-EXP(('2023'!Tnet-t)/('2023'!Tau_j))),Resal+(Salim-Resal)*(1-EXP((Tnet-t)/(Tau_j))))*Salcycl</f>
        <v>0.10681318816122659</v>
      </c>
      <c r="P310" s="169">
        <f>(INDEX(Models!$BJ310:$BT310,,T310)*(1-R310)+INDEX(Models!$BJ310:$BT310,,T310+1)*R310-ERP_i)*Q310*Ramure*Pc/MaxiM</f>
        <v>2.6598803971157298E-2</v>
      </c>
      <c r="Q310" s="305">
        <f t="shared" si="105"/>
        <v>0.8</v>
      </c>
      <c r="R310" s="177">
        <f t="shared" si="106"/>
        <v>0.7972156274127089</v>
      </c>
      <c r="S310" s="809">
        <f t="shared" si="107"/>
        <v>1</v>
      </c>
      <c r="T310" s="176">
        <f t="shared" si="108"/>
        <v>7</v>
      </c>
      <c r="U310" s="251">
        <f t="shared" si="109"/>
        <v>1.7972156274127089</v>
      </c>
      <c r="V310" s="383">
        <f t="shared" si="110"/>
        <v>22.500412181706071</v>
      </c>
      <c r="W310" s="402">
        <f t="shared" si="111"/>
        <v>13.52489091424378</v>
      </c>
      <c r="X310" s="157">
        <f t="shared" si="112"/>
        <v>45587</v>
      </c>
      <c r="Y310" s="385">
        <f t="shared" si="113"/>
        <v>12.555628505693656</v>
      </c>
      <c r="Z310" s="385">
        <f t="shared" si="114"/>
        <v>13.539330561889161</v>
      </c>
      <c r="AA310" s="386">
        <f t="shared" si="115"/>
        <v>16.156318395607762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0.16197921888132957</v>
      </c>
      <c r="AD310" s="231">
        <f>(INDEX(Models!$BJ310:$BT310,,AH310)*(1-AF310)+INDEX(Models!$BJ310:$BT310,,AH310+1)*AF310-ERP_i)*AE310*Ramure*Pc/MaxiM</f>
        <v>5.0853962941896258E-2</v>
      </c>
      <c r="AE310" s="305">
        <f t="shared" si="117"/>
        <v>0.8</v>
      </c>
      <c r="AF310" s="177">
        <f t="shared" si="118"/>
        <v>0.99793237457761252</v>
      </c>
      <c r="AG310" s="809">
        <f t="shared" si="124"/>
        <v>2</v>
      </c>
      <c r="AH310" s="176">
        <f t="shared" si="119"/>
        <v>8</v>
      </c>
      <c r="AI310" s="225">
        <f t="shared" si="120"/>
        <v>2.9979323745776125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IF(t&gt;Tmaj,'2023'!Wh/'2023'!Env_an*'2024'!Env_an,0.001*'[12]mon-tableau (1)'!$B$163)</f>
        <v>16.22933177370961</v>
      </c>
      <c r="C311" s="839"/>
      <c r="D311" s="393">
        <f t="shared" si="102"/>
        <v>17.501275834644101</v>
      </c>
      <c r="E311" s="385">
        <f t="shared" si="125"/>
        <v>19.595032346335369</v>
      </c>
      <c r="F311" s="385">
        <f t="shared" si="103"/>
        <v>19.916305719046512</v>
      </c>
      <c r="G311" s="110">
        <f t="shared" si="126"/>
        <v>0.72298382746849355</v>
      </c>
      <c r="H311" s="414" t="b">
        <f>Wh_hp&gt;='2023'!Maxi_hp</f>
        <v>0</v>
      </c>
      <c r="I311" s="390">
        <f>IF(H311,Wh_hp,'2023'!Maxi_hp)</f>
        <v>28.410947539123171</v>
      </c>
      <c r="J311" s="85">
        <f>IF(H311,An,'2023'!An_max)</f>
        <v>2018</v>
      </c>
      <c r="K311" s="197">
        <f t="shared" si="104"/>
        <v>45588</v>
      </c>
      <c r="L311" s="147">
        <f>IF(t&lt;Tvie,1-EXP((T0-t)*PertePVj)+'2023'!Pspv,1-EXP((T0-t)*PertePVj)+Pspv)</f>
        <v>7.2677219246876451E-2</v>
      </c>
      <c r="M311" s="843"/>
      <c r="N311" s="843"/>
      <c r="O311" s="48">
        <f>IF(t&lt;Tnet,'2023'!Resal+('2023'!Salim-'2023'!Resal)*(1-EXP(('2023'!Tnet-t)/('2023'!Tau_j))),Resal+(Salim-Resal)*(1-EXP((Tnet-t)/(Tau_j))))*Salcycl</f>
        <v>0.1068513934901892</v>
      </c>
      <c r="P311" s="169">
        <f>(INDEX(Models!$BJ311:$BT311,,T311)*(1-R311)+INDEX(Models!$BJ311:$BT311,,T311+1)*R311-ERP_i)*Q311*Ramure*Pc/MaxiM</f>
        <v>2.623063044220399E-2</v>
      </c>
      <c r="Q311" s="305">
        <f t="shared" si="105"/>
        <v>0.8</v>
      </c>
      <c r="R311" s="177">
        <f t="shared" si="106"/>
        <v>0.79730917942758017</v>
      </c>
      <c r="S311" s="809">
        <f t="shared" si="107"/>
        <v>1</v>
      </c>
      <c r="T311" s="176">
        <f t="shared" si="108"/>
        <v>7</v>
      </c>
      <c r="U311" s="251">
        <f t="shared" si="109"/>
        <v>1.7973091794275802</v>
      </c>
      <c r="V311" s="383">
        <f t="shared" si="110"/>
        <v>22.217283911181472</v>
      </c>
      <c r="W311" s="402">
        <f t="shared" si="111"/>
        <v>16.22933177370961</v>
      </c>
      <c r="X311" s="157">
        <f t="shared" si="112"/>
        <v>45588</v>
      </c>
      <c r="Y311" s="385">
        <f t="shared" si="113"/>
        <v>14.99442301274847</v>
      </c>
      <c r="Z311" s="385">
        <f t="shared" si="114"/>
        <v>16.169583368339961</v>
      </c>
      <c r="AA311" s="386">
        <f t="shared" si="115"/>
        <v>19.293235660532915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0.16190401377736935</v>
      </c>
      <c r="AD311" s="231">
        <f>(INDEX(Models!$BJ311:$BT311,,AH311)*(1-AF311)+INDEX(Models!$BJ311:$BT311,,AH311+1)*AF311-ERP_i)*AE311*Ramure*Pc/MaxiM</f>
        <v>5.0871070660334507E-2</v>
      </c>
      <c r="AE311" s="305">
        <f t="shared" si="117"/>
        <v>0.8</v>
      </c>
      <c r="AF311" s="177">
        <f t="shared" si="118"/>
        <v>0.99802592659248379</v>
      </c>
      <c r="AG311" s="809">
        <f t="shared" si="124"/>
        <v>2</v>
      </c>
      <c r="AH311" s="176">
        <f t="shared" si="119"/>
        <v>8</v>
      </c>
      <c r="AI311" s="225">
        <f t="shared" si="120"/>
        <v>2.9980259265924838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IF(t&gt;Tmaj,'2023'!Wh/'2023'!Env_an*'2024'!Env_an,0.001*'[12]mon-tableau (1)'!$B$164)</f>
        <v>16.311366037031561</v>
      </c>
      <c r="C312" s="839"/>
      <c r="D312" s="393">
        <f t="shared" si="102"/>
        <v>17.590158050405424</v>
      </c>
      <c r="E312" s="385">
        <f t="shared" si="125"/>
        <v>19.695365447333781</v>
      </c>
      <c r="F312" s="385">
        <f t="shared" si="103"/>
        <v>20.024102046526128</v>
      </c>
      <c r="G312" s="110">
        <f t="shared" si="126"/>
        <v>0.73641898063819911</v>
      </c>
      <c r="H312" s="414" t="b">
        <f>Wh_hp&gt;='2023'!Maxi_hp</f>
        <v>0</v>
      </c>
      <c r="I312" s="390">
        <f>IF(H312,Wh_hp,'2023'!Maxi_hp)</f>
        <v>27.544324929727701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7.2699290689112878E-2</v>
      </c>
      <c r="M312" s="843"/>
      <c r="N312" s="843"/>
      <c r="O312" s="48">
        <f>IF(t&lt;Tnet,'2023'!Resal+('2023'!Salim-'2023'!Resal)*(1-EXP(('2023'!Tnet-t)/('2023'!Tau_j))),Resal+(Salim-Resal)*(1-EXP((Tnet-t)/(Tau_j))))*Salcycl</f>
        <v>0.1068884658453161</v>
      </c>
      <c r="P312" s="169">
        <f>(INDEX(Models!$BJ312:$BT312,,T312)*(1-R312)+INDEX(Models!$BJ312:$BT312,,T312+1)*R312-ERP_i)*Q312*Ramure*Pc/MaxiM</f>
        <v>2.5906475549899419E-2</v>
      </c>
      <c r="Q312" s="305">
        <f t="shared" si="105"/>
        <v>0.8</v>
      </c>
      <c r="R312" s="177">
        <f t="shared" si="106"/>
        <v>0.79739899226527</v>
      </c>
      <c r="S312" s="809">
        <f t="shared" si="107"/>
        <v>1</v>
      </c>
      <c r="T312" s="176">
        <f t="shared" si="108"/>
        <v>7</v>
      </c>
      <c r="U312" s="251">
        <f t="shared" si="109"/>
        <v>1.79739899226527</v>
      </c>
      <c r="V312" s="383">
        <f t="shared" si="110"/>
        <v>21.935878029950409</v>
      </c>
      <c r="W312" s="402">
        <f t="shared" si="111"/>
        <v>16.311366037031561</v>
      </c>
      <c r="X312" s="157">
        <f t="shared" si="112"/>
        <v>45589</v>
      </c>
      <c r="Y312" s="385">
        <f t="shared" si="113"/>
        <v>15.061166792588983</v>
      </c>
      <c r="Z312" s="385">
        <f t="shared" si="114"/>
        <v>16.241944647903392</v>
      </c>
      <c r="AA312" s="386">
        <f t="shared" si="115"/>
        <v>19.377805612732196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0.16182745495023365</v>
      </c>
      <c r="AD312" s="231">
        <f>(INDEX(Models!$BJ312:$BT312,,AH312)*(1-AF312)+INDEX(Models!$BJ312:$BT312,,AH312+1)*AF312-ERP_i)*AE312*Ramure*Pc/MaxiM</f>
        <v>5.0932152979635395E-2</v>
      </c>
      <c r="AE312" s="305">
        <f t="shared" si="117"/>
        <v>0.8</v>
      </c>
      <c r="AF312" s="177">
        <f t="shared" si="118"/>
        <v>0.9981157394301734</v>
      </c>
      <c r="AG312" s="809">
        <f t="shared" si="124"/>
        <v>2</v>
      </c>
      <c r="AH312" s="176">
        <f t="shared" si="119"/>
        <v>8</v>
      </c>
      <c r="AI312" s="225">
        <f t="shared" si="120"/>
        <v>2.9981157394301734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IF(t&gt;Tmaj,'2023'!Wh/'2023'!Env_an*'2024'!Env_an,0.001*'[12]mon-tableau (1)'!$B$165)</f>
        <v>10.62844266914955</v>
      </c>
      <c r="C313" s="839"/>
      <c r="D313" s="393">
        <f t="shared" si="102"/>
        <v>11.461972948812614</v>
      </c>
      <c r="E313" s="385">
        <f t="shared" si="125"/>
        <v>12.834270811439666</v>
      </c>
      <c r="F313" s="385">
        <f t="shared" si="103"/>
        <v>12.924541103306039</v>
      </c>
      <c r="G313" s="110">
        <f t="shared" si="126"/>
        <v>0.48156242715482006</v>
      </c>
      <c r="H313" s="414" t="b">
        <f>Wh_hp&gt;='2023'!Maxi_hp</f>
        <v>0</v>
      </c>
      <c r="I313" s="390">
        <f>IF(H313,Wh_hp,'2023'!Maxi_hp)</f>
        <v>27.696361546697236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7.2721361617714614E-2</v>
      </c>
      <c r="M313" s="843"/>
      <c r="N313" s="843"/>
      <c r="O313" s="48">
        <f>IF(t&lt;Tnet,'2023'!Resal+('2023'!Salim-'2023'!Resal)*(1-EXP(('2023'!Tnet-t)/('2023'!Tau_j))),Resal+(Salim-Resal)*(1-EXP((Tnet-t)/(Tau_j))))*Salcycl</f>
        <v>0.10692449012404129</v>
      </c>
      <c r="P313" s="169">
        <f>(INDEX(Models!$BJ313:$BT313,,T313)*(1-R313)+INDEX(Models!$BJ313:$BT313,,T313+1)*R313-ERP_i)*Q313*Ramure*Pc/MaxiM</f>
        <v>2.5627330500752922E-2</v>
      </c>
      <c r="Q313" s="305">
        <f t="shared" si="105"/>
        <v>0.8</v>
      </c>
      <c r="R313" s="177">
        <f t="shared" si="106"/>
        <v>0.79748521431754549</v>
      </c>
      <c r="S313" s="809">
        <f t="shared" si="107"/>
        <v>1</v>
      </c>
      <c r="T313" s="176">
        <f t="shared" si="108"/>
        <v>7</v>
      </c>
      <c r="U313" s="251">
        <f t="shared" si="109"/>
        <v>1.7974852143175455</v>
      </c>
      <c r="V313" s="383">
        <f t="shared" si="110"/>
        <v>21.656390129729854</v>
      </c>
      <c r="W313" s="402">
        <f t="shared" si="111"/>
        <v>10.62844266914955</v>
      </c>
      <c r="X313" s="157">
        <f t="shared" si="112"/>
        <v>45590</v>
      </c>
      <c r="Y313" s="385">
        <f t="shared" si="113"/>
        <v>9.9063980782481362</v>
      </c>
      <c r="Z313" s="385">
        <f t="shared" si="114"/>
        <v>10.683302373416765</v>
      </c>
      <c r="AA313" s="386">
        <f t="shared" si="115"/>
        <v>12.744763745631191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0.16174967330571979</v>
      </c>
      <c r="AD313" s="231">
        <f>(INDEX(Models!$BJ313:$BT313,,AH313)*(1-AF313)+INDEX(Models!$BJ313:$BT313,,AH313+1)*AF313-ERP_i)*AE313*Ramure*Pc/MaxiM</f>
        <v>5.1037984550946637E-2</v>
      </c>
      <c r="AE313" s="305">
        <f t="shared" si="117"/>
        <v>0.8</v>
      </c>
      <c r="AF313" s="177">
        <f t="shared" si="118"/>
        <v>0.99820196148244911</v>
      </c>
      <c r="AG313" s="809">
        <f t="shared" si="124"/>
        <v>2</v>
      </c>
      <c r="AH313" s="176">
        <f t="shared" si="119"/>
        <v>8</v>
      </c>
      <c r="AI313" s="225">
        <f t="shared" si="120"/>
        <v>2.9982019614824491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IF(t&gt;Tmaj,'2023'!Wh/'2023'!Env_an*'2024'!Env_an,0.001*'[12]mon-tableau (1)'!$B$166)</f>
        <v>10.25896500789554</v>
      </c>
      <c r="C314" s="839"/>
      <c r="D314" s="393">
        <f t="shared" si="102"/>
        <v>11.063782519637277</v>
      </c>
      <c r="E314" s="385">
        <f t="shared" si="125"/>
        <v>12.388893012248301</v>
      </c>
      <c r="F314" s="385">
        <f t="shared" si="103"/>
        <v>12.470260281721441</v>
      </c>
      <c r="G314" s="110">
        <f t="shared" si="126"/>
        <v>0.4707473060576865</v>
      </c>
      <c r="H314" s="414" t="b">
        <f>Wh_hp&gt;='2023'!Maxi_hp</f>
        <v>0</v>
      </c>
      <c r="I314" s="390">
        <f>IF(H314,Wh_hp,'2023'!Maxi_hp)</f>
        <v>24.453755622088135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7.2743432032693539E-2</v>
      </c>
      <c r="M314" s="843"/>
      <c r="N314" s="843"/>
      <c r="O314" s="48">
        <f>IF(t&lt;Tnet,'2023'!Resal+('2023'!Salim-'2023'!Resal)*(1-EXP(('2023'!Tnet-t)/('2023'!Tau_j))),Resal+(Salim-Resal)*(1-EXP((Tnet-t)/(Tau_j))))*Salcycl</f>
        <v>0.10695955573278024</v>
      </c>
      <c r="P314" s="169">
        <f>(INDEX(Models!$BJ314:$BT314,,T314)*(1-R314)+INDEX(Models!$BJ314:$BT314,,T314+1)*R314-ERP_i)*Q314*Ramure*Pc/MaxiM</f>
        <v>2.5394183996767572E-2</v>
      </c>
      <c r="Q314" s="305">
        <f t="shared" si="105"/>
        <v>0.8</v>
      </c>
      <c r="R314" s="177">
        <f t="shared" si="106"/>
        <v>0.79756798817047825</v>
      </c>
      <c r="S314" s="809">
        <f t="shared" si="107"/>
        <v>1</v>
      </c>
      <c r="T314" s="176">
        <f t="shared" si="108"/>
        <v>7</v>
      </c>
      <c r="U314" s="251">
        <f t="shared" si="109"/>
        <v>1.7975679881704782</v>
      </c>
      <c r="V314" s="383">
        <f t="shared" si="110"/>
        <v>21.379016360035898</v>
      </c>
      <c r="W314" s="402">
        <f t="shared" si="111"/>
        <v>10.25896500789554</v>
      </c>
      <c r="X314" s="157">
        <f t="shared" si="112"/>
        <v>45591</v>
      </c>
      <c r="Y314" s="385">
        <f t="shared" si="113"/>
        <v>9.5662102918737091</v>
      </c>
      <c r="Z314" s="385">
        <f t="shared" si="114"/>
        <v>10.316681080883967</v>
      </c>
      <c r="AA314" s="386">
        <f t="shared" si="115"/>
        <v>12.30624098063555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0.16167080612855292</v>
      </c>
      <c r="AD314" s="231">
        <f>(INDEX(Models!$BJ314:$BT314,,AH314)*(1-AF314)+INDEX(Models!$BJ314:$BT314,,AH314+1)*AF314-ERP_i)*AE314*Ramure*Pc/MaxiM</f>
        <v>5.1189333718163692E-2</v>
      </c>
      <c r="AE314" s="305">
        <f t="shared" si="117"/>
        <v>0.8</v>
      </c>
      <c r="AF314" s="177">
        <f t="shared" si="118"/>
        <v>0.99828473533538187</v>
      </c>
      <c r="AG314" s="809">
        <f t="shared" si="124"/>
        <v>2</v>
      </c>
      <c r="AH314" s="176">
        <f t="shared" si="119"/>
        <v>8</v>
      </c>
      <c r="AI314" s="225">
        <f t="shared" si="120"/>
        <v>2.9982847353353819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IF(t&gt;Tmaj,'2023'!Wh/'2023'!Env_an*'2024'!Env_an,0.001*'[12]mon-tableau (1)'!$B$167)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Wh_hp&gt;='2023'!Maxi_hp</f>
        <v>0</v>
      </c>
      <c r="I315" s="390">
        <f>IF(H315,Wh_hp,'2023'!Maxi_hp)</f>
        <v>25.702565660135079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7.2765501934061755E-2</v>
      </c>
      <c r="M315" s="843"/>
      <c r="N315" s="843"/>
      <c r="O315" s="48">
        <f>IF(t&lt;Tnet,'2023'!Resal+('2023'!Salim-'2023'!Resal)*(1-EXP(('2023'!Tnet-t)/('2023'!Tau_j))),Resal+(Salim-Resal)*(1-EXP((Tnet-t)/(Tau_j))))*Salcycl</f>
        <v>0.10699375627899851</v>
      </c>
      <c r="P315" s="169">
        <f>(INDEX(Models!$BJ315:$BT315,,T315)*(1-R315)+INDEX(Models!$BJ315:$BT315,,T315+1)*R315-ERP_i)*Q315*Ramure*Pc/MaxiM</f>
        <v>2.5208019134107203E-2</v>
      </c>
      <c r="Q315" s="305">
        <f t="shared" si="105"/>
        <v>0.8</v>
      </c>
      <c r="R315" s="177">
        <f t="shared" si="106"/>
        <v>0.79764745082501665</v>
      </c>
      <c r="S315" s="809">
        <f t="shared" si="107"/>
        <v>1</v>
      </c>
      <c r="T315" s="176">
        <f t="shared" si="108"/>
        <v>7</v>
      </c>
      <c r="U315" s="251">
        <f t="shared" si="109"/>
        <v>1.7976474508250166</v>
      </c>
      <c r="V315" s="383">
        <f t="shared" si="110"/>
        <v>21.103953385678302</v>
      </c>
      <c r="W315" s="402">
        <f t="shared" si="111"/>
        <v>0</v>
      </c>
      <c r="X315" s="157">
        <f t="shared" si="112"/>
        <v>45592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0.16159099659333037</v>
      </c>
      <c r="AD315" s="231">
        <f>(INDEX(Models!$BJ315:$BT315,,AH315)*(1-AF315)+INDEX(Models!$BJ315:$BT315,,AH315+1)*AF315-ERP_i)*AE315*Ramure*Pc/MaxiM</f>
        <v>5.1386958913042444E-2</v>
      </c>
      <c r="AE315" s="305">
        <f t="shared" si="117"/>
        <v>0.8</v>
      </c>
      <c r="AF315" s="177">
        <f t="shared" si="118"/>
        <v>0.99836419798992004</v>
      </c>
      <c r="AG315" s="809">
        <f t="shared" si="124"/>
        <v>2</v>
      </c>
      <c r="AH315" s="176">
        <f t="shared" si="119"/>
        <v>8</v>
      </c>
      <c r="AI315" s="225">
        <f t="shared" si="120"/>
        <v>2.99836419798992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IF(t&gt;Tmaj,'2023'!Wh/'2023'!Env_an*'2024'!Env_an,0.001*'[12]mon-tableau (1)'!$B$168)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Wh_hp&gt;='2023'!Maxi_hp</f>
        <v>0</v>
      </c>
      <c r="I316" s="390">
        <f>IF(H316,Wh_hp,'2023'!Maxi_hp)</f>
        <v>24.397649963595786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7.2787571321831029E-2</v>
      </c>
      <c r="M316" s="843"/>
      <c r="N316" s="843"/>
      <c r="O316" s="48">
        <f>IF(t&lt;Tnet,'2023'!Resal+('2023'!Salim-'2023'!Resal)*(1-EXP(('2023'!Tnet-t)/('2023'!Tau_j))),Resal+(Salim-Resal)*(1-EXP((Tnet-t)/(Tau_j))))*Salcycl</f>
        <v>0.10702718923149085</v>
      </c>
      <c r="P316" s="169">
        <f>(INDEX(Models!$BJ316:$BT316,,T316)*(1-R316)+INDEX(Models!$BJ316:$BT316,,T316+1)*R316-ERP_i)*Q316*Ramure*Pc/MaxiM</f>
        <v>2.5069810205824813E-2</v>
      </c>
      <c r="Q316" s="305">
        <f t="shared" si="105"/>
        <v>0.8</v>
      </c>
      <c r="R316" s="177">
        <f t="shared" si="106"/>
        <v>0.79772373390970008</v>
      </c>
      <c r="S316" s="809">
        <f t="shared" si="107"/>
        <v>1</v>
      </c>
      <c r="T316" s="176">
        <f t="shared" si="108"/>
        <v>7</v>
      </c>
      <c r="U316" s="251">
        <f t="shared" si="109"/>
        <v>1.7977237339097001</v>
      </c>
      <c r="V316" s="383">
        <f t="shared" si="110"/>
        <v>20.831398344716632</v>
      </c>
      <c r="W316" s="402">
        <f t="shared" si="111"/>
        <v>0</v>
      </c>
      <c r="X316" s="157">
        <f t="shared" si="112"/>
        <v>45593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0.16151039323000493</v>
      </c>
      <c r="AD316" s="231">
        <f>(INDEX(Models!$BJ316:$BT316,,AH316)*(1-AF316)+INDEX(Models!$BJ316:$BT316,,AH316+1)*AF316-ERP_i)*AE316*Ramure*Pc/MaxiM</f>
        <v>5.1631604823340602E-2</v>
      </c>
      <c r="AE316" s="305">
        <f t="shared" si="117"/>
        <v>0.8</v>
      </c>
      <c r="AF316" s="177">
        <f t="shared" si="118"/>
        <v>0.9984404810746037</v>
      </c>
      <c r="AG316" s="809">
        <f t="shared" si="124"/>
        <v>2</v>
      </c>
      <c r="AH316" s="176">
        <f t="shared" si="119"/>
        <v>8</v>
      </c>
      <c r="AI316" s="225">
        <f t="shared" si="120"/>
        <v>2.9984404810746037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IF(t&gt;Tmaj,'2023'!Wh/'2023'!Env_an*'2024'!Env_an,0.001*'[12]mon-tableau (1)'!$B$169)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Wh_hp&gt;='2023'!Maxi_hp</f>
        <v>0</v>
      </c>
      <c r="I317" s="390">
        <f>IF(H317,Wh_hp,'2023'!Maxi_hp)</f>
        <v>23.315037308519852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7.2809640196013464E-2</v>
      </c>
      <c r="M317" s="843"/>
      <c r="N317" s="843"/>
      <c r="O317" s="48">
        <f>IF(t&lt;Tnet,'2023'!Resal+('2023'!Salim-'2023'!Resal)*(1-EXP(('2023'!Tnet-t)/('2023'!Tau_j))),Resal+(Salim-Resal)*(1-EXP((Tnet-t)/(Tau_j))))*Salcycl</f>
        <v>0.10705995555072795</v>
      </c>
      <c r="P317" s="169">
        <f>(INDEX(Models!$BJ317:$BT317,,T317)*(1-R317)+INDEX(Models!$BJ317:$BT317,,T317+1)*R317-ERP_i)*Q317*Ramure*Pc/MaxiM</f>
        <v>2.4982716520161197E-2</v>
      </c>
      <c r="Q317" s="305">
        <f t="shared" si="105"/>
        <v>0.8</v>
      </c>
      <c r="R317" s="177">
        <f t="shared" si="106"/>
        <v>0.79779696388575116</v>
      </c>
      <c r="S317" s="809">
        <f t="shared" si="107"/>
        <v>1</v>
      </c>
      <c r="T317" s="176">
        <f t="shared" si="108"/>
        <v>7</v>
      </c>
      <c r="U317" s="251">
        <f t="shared" si="109"/>
        <v>1.7977969638857512</v>
      </c>
      <c r="V317" s="383">
        <f t="shared" si="110"/>
        <v>20.559694171002608</v>
      </c>
      <c r="W317" s="402">
        <f t="shared" si="111"/>
        <v>0</v>
      </c>
      <c r="X317" s="157">
        <f t="shared" si="112"/>
        <v>45594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0.16142914934694841</v>
      </c>
      <c r="AD317" s="231">
        <f>(INDEX(Models!$BJ317:$BT317,,AH317)*(1-AF317)+INDEX(Models!$BJ317:$BT317,,AH317+1)*AF317-ERP_i)*AE317*Ramure*Pc/MaxiM</f>
        <v>5.1928565217241977E-2</v>
      </c>
      <c r="AE317" s="305">
        <f t="shared" si="117"/>
        <v>0.8</v>
      </c>
      <c r="AF317" s="177">
        <f t="shared" si="118"/>
        <v>0.99851371105065478</v>
      </c>
      <c r="AG317" s="809">
        <f t="shared" si="124"/>
        <v>2</v>
      </c>
      <c r="AH317" s="176">
        <f t="shared" si="119"/>
        <v>8</v>
      </c>
      <c r="AI317" s="225">
        <f t="shared" si="120"/>
        <v>2.9985137110506548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IF(t&gt;Tmaj,'2023'!Wh/'2023'!Env_an*'2024'!Env_an,0.001*'[12]mon-tableau (1)'!$B$170)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Wh_hp&gt;='2023'!Maxi_hp</f>
        <v>0</v>
      </c>
      <c r="I318" s="390">
        <f>IF(H318,Wh_hp,'2023'!Maxi_hp)</f>
        <v>25.066473522391494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7.2831708556620939E-2</v>
      </c>
      <c r="M318" s="843"/>
      <c r="N318" s="843"/>
      <c r="O318" s="48">
        <f>IF(t&lt;Tnet,'2023'!Resal+('2023'!Salim-'2023'!Resal)*(1-EXP(('2023'!Tnet-t)/('2023'!Tau_j))),Resal+(Salim-Resal)*(1-EXP((Tnet-t)/(Tau_j))))*Salcycl</f>
        <v>0.10709215929139763</v>
      </c>
      <c r="P318" s="169">
        <f>(INDEX(Models!$BJ318:$BT318,,T318)*(1-R318)+INDEX(Models!$BJ318:$BT318,,T318+1)*R318-ERP_i)*Q318*Ramure*Pc/MaxiM</f>
        <v>2.4965187459319017E-2</v>
      </c>
      <c r="Q318" s="305">
        <f t="shared" si="105"/>
        <v>0.8</v>
      </c>
      <c r="R318" s="177">
        <f t="shared" si="106"/>
        <v>0.79786726224478421</v>
      </c>
      <c r="S318" s="809">
        <f t="shared" si="107"/>
        <v>1</v>
      </c>
      <c r="T318" s="176">
        <f t="shared" si="108"/>
        <v>7</v>
      </c>
      <c r="U318" s="251">
        <f t="shared" si="109"/>
        <v>1.7978672622447842</v>
      </c>
      <c r="V318" s="383">
        <f t="shared" si="110"/>
        <v>20.287167190018071</v>
      </c>
      <c r="W318" s="402">
        <f t="shared" si="111"/>
        <v>0</v>
      </c>
      <c r="X318" s="157">
        <f t="shared" si="112"/>
        <v>45595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0.1613474224150227</v>
      </c>
      <c r="AD318" s="231">
        <f>(INDEX(Models!$BJ318:$BT318,,AH318)*(1-AF318)+INDEX(Models!$BJ318:$BT318,,AH318+1)*AF318-ERP_i)*AE318*Ramure*Pc/MaxiM</f>
        <v>5.2281223189809545E-2</v>
      </c>
      <c r="AE318" s="305">
        <f t="shared" si="117"/>
        <v>0.8</v>
      </c>
      <c r="AF318" s="177">
        <f t="shared" si="118"/>
        <v>0.99858400940968783</v>
      </c>
      <c r="AG318" s="809">
        <f t="shared" si="124"/>
        <v>2</v>
      </c>
      <c r="AH318" s="176">
        <f t="shared" si="119"/>
        <v>8</v>
      </c>
      <c r="AI318" s="225">
        <f t="shared" si="120"/>
        <v>2.9985840094096878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IF(t&gt;Tmaj,'2023'!Wh/'2023'!Env_an*'2024'!Env_an,0.001*'[13]mon-tableau (3)'!$B$136)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Wh_hp&gt;='2023'!Maxi_hp</f>
        <v>0</v>
      </c>
      <c r="I319" s="390">
        <f>IF(H319,Wh_hp,'2023'!Maxi_hp)</f>
        <v>24.353652394890183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7.2853776403665443E-2</v>
      </c>
      <c r="M319" s="843"/>
      <c r="N319" s="843"/>
      <c r="O319" s="48">
        <f>IF(t&lt;Tnet,'2023'!Resal+('2023'!Salim-'2023'!Resal)*(1-EXP(('2023'!Tnet-t)/('2023'!Tau_j))),Resal+(Salim-Resal)*(1-EXP((Tnet-t)/(Tau_j))))*Salcycl</f>
        <v>0.1071239071795218</v>
      </c>
      <c r="P319" s="169">
        <f>(INDEX(Models!$BJ319:$BT319,,T319)*(1-R319)+INDEX(Models!$BJ319:$BT319,,T319+1)*R319-ERP_i)*Q319*Ramure*Pc/MaxiM</f>
        <v>2.499238210241015E-2</v>
      </c>
      <c r="Q319" s="305">
        <f t="shared" si="105"/>
        <v>0.8</v>
      </c>
      <c r="R319" s="177">
        <f t="shared" si="106"/>
        <v>0.79793474569935441</v>
      </c>
      <c r="S319" s="809">
        <f t="shared" si="107"/>
        <v>1</v>
      </c>
      <c r="T319" s="176">
        <f t="shared" si="108"/>
        <v>7</v>
      </c>
      <c r="U319" s="251">
        <f t="shared" si="109"/>
        <v>1.7979347456993544</v>
      </c>
      <c r="V319" s="383">
        <f t="shared" si="110"/>
        <v>20.015010338458282</v>
      </c>
      <c r="W319" s="402">
        <f t="shared" si="111"/>
        <v>0</v>
      </c>
      <c r="X319" s="157">
        <f t="shared" si="112"/>
        <v>45596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0.16126537341644523</v>
      </c>
      <c r="AD319" s="231">
        <f>(INDEX(Models!$BJ319:$BT319,,AH319)*(1-AF319)+INDEX(Models!$BJ319:$BT319,,AH319+1)*AF319-ERP_i)*AE319*Ramure*Pc/MaxiM</f>
        <v>5.2651029975893056E-2</v>
      </c>
      <c r="AE319" s="305">
        <f t="shared" si="117"/>
        <v>0.8</v>
      </c>
      <c r="AF319" s="177">
        <f t="shared" si="118"/>
        <v>0.99865149286425803</v>
      </c>
      <c r="AG319" s="809">
        <f t="shared" si="124"/>
        <v>2</v>
      </c>
      <c r="AH319" s="176">
        <f t="shared" si="119"/>
        <v>8</v>
      </c>
      <c r="AI319" s="225">
        <f t="shared" si="120"/>
        <v>2.998651492864258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IF(t&gt;Tmaj,'2023'!Wh/'2023'!Env_an*'2024'!Env_an,0.001*'[13]mon-tableau (3)'!$B$137)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Wh_hp&gt;='2023'!Maxi_hp</f>
        <v>0</v>
      </c>
      <c r="I320" s="390">
        <f>IF(H320,Wh_hp,'2023'!Maxi_hp)</f>
        <v>23.216009548028094</v>
      </c>
      <c r="J320" s="85">
        <f>IF(H320,An,'2023'!An_max)</f>
        <v>2021</v>
      </c>
      <c r="K320" s="197">
        <f t="shared" si="104"/>
        <v>45597</v>
      </c>
      <c r="L320" s="147">
        <f>IF(t&lt;Tvie,1-EXP((T0-t)*PertePVj)+'2023'!Pspv,1-EXP((T0-t)*PertePVj)+Pspv)</f>
        <v>7.2875843737158857E-2</v>
      </c>
      <c r="M320" s="843"/>
      <c r="N320" s="843"/>
      <c r="O320" s="48">
        <f>IF(t&lt;Tnet,'2023'!Resal+('2023'!Salim-'2023'!Resal)*(1-EXP(('2023'!Tnet-t)/('2023'!Tau_j))),Resal+(Salim-Resal)*(1-EXP((Tnet-t)/(Tau_j))))*Salcycl</f>
        <v>0.10715530816676784</v>
      </c>
      <c r="P320" s="169">
        <f>(INDEX(Models!$BJ320:$BT320,,T320)*(1-R320)+INDEX(Models!$BJ320:$BT320,,T320+1)*R320-ERP_i)*Q320*Ramure*Pc/MaxiM</f>
        <v>2.5064656317535804E-2</v>
      </c>
      <c r="Q320" s="305">
        <f t="shared" si="105"/>
        <v>0.8</v>
      </c>
      <c r="R320" s="177">
        <f t="shared" si="106"/>
        <v>0.79799952636657911</v>
      </c>
      <c r="S320" s="809">
        <f t="shared" si="107"/>
        <v>1</v>
      </c>
      <c r="T320" s="176">
        <f t="shared" si="108"/>
        <v>7</v>
      </c>
      <c r="U320" s="251">
        <f t="shared" si="109"/>
        <v>1.7979995263665791</v>
      </c>
      <c r="V320" s="383">
        <f t="shared" si="110"/>
        <v>19.743878131998382</v>
      </c>
      <c r="W320" s="402">
        <f t="shared" si="111"/>
        <v>0</v>
      </c>
      <c r="X320" s="157">
        <f t="shared" si="112"/>
        <v>45597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0.16118316616256606</v>
      </c>
      <c r="AD320" s="231">
        <f>(INDEX(Models!$BJ320:$BT320,,AH320)*(1-AF320)+INDEX(Models!$BJ320:$BT320,,AH320+1)*AF320-ERP_i)*AE320*Ramure*Pc/MaxiM</f>
        <v>5.3037185477894849E-2</v>
      </c>
      <c r="AE320" s="305">
        <f t="shared" si="117"/>
        <v>0.8</v>
      </c>
      <c r="AF320" s="177">
        <f t="shared" si="118"/>
        <v>0.99871627353148273</v>
      </c>
      <c r="AG320" s="809">
        <f t="shared" si="124"/>
        <v>2</v>
      </c>
      <c r="AH320" s="176">
        <f t="shared" si="119"/>
        <v>8</v>
      </c>
      <c r="AI320" s="225">
        <f t="shared" si="120"/>
        <v>2.9987162735314827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IF(t&gt;Tmaj,'2023'!Wh/'2023'!Env_an*'2024'!Env_an,0.001*'[13]mon-tableau (3)'!$B$138)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Wh_hp&gt;='2023'!Maxi_hp</f>
        <v>0</v>
      </c>
      <c r="I321" s="390">
        <f>IF(H321,Wh_hp,'2023'!Maxi_hp)</f>
        <v>24.561857270116509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7.2897910557113171E-2</v>
      </c>
      <c r="M321" s="843"/>
      <c r="N321" s="843"/>
      <c r="O321" s="48">
        <f>IF(t&lt;Tnet,'2023'!Resal+('2023'!Salim-'2023'!Resal)*(1-EXP(('2023'!Tnet-t)/('2023'!Tau_j))),Resal+(Salim-Resal)*(1-EXP((Tnet-t)/(Tau_j))))*Salcycl</f>
        <v>0.10718647296478973</v>
      </c>
      <c r="P321" s="169">
        <f>(INDEX(Models!$BJ321:$BT321,,T321)*(1-R321)+INDEX(Models!$BJ321:$BT321,,T321+1)*R321-ERP_i)*Q321*Ramure*Pc/MaxiM</f>
        <v>2.5182349016686024E-2</v>
      </c>
      <c r="Q321" s="305">
        <f t="shared" si="105"/>
        <v>0.8</v>
      </c>
      <c r="R321" s="177">
        <f t="shared" si="106"/>
        <v>0.79806171194505104</v>
      </c>
      <c r="S321" s="809">
        <f t="shared" si="107"/>
        <v>1</v>
      </c>
      <c r="T321" s="176">
        <f t="shared" si="108"/>
        <v>7</v>
      </c>
      <c r="U321" s="251">
        <f t="shared" si="109"/>
        <v>1.798061711945051</v>
      </c>
      <c r="V321" s="383">
        <f t="shared" si="110"/>
        <v>19.474425106895104</v>
      </c>
      <c r="W321" s="402">
        <f t="shared" si="111"/>
        <v>0</v>
      </c>
      <c r="X321" s="157">
        <f t="shared" si="112"/>
        <v>45598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0.16110096658497244</v>
      </c>
      <c r="AD321" s="231">
        <f>(INDEX(Models!$BJ321:$BT321,,AH321)*(1-AF321)+INDEX(Models!$BJ321:$BT321,,AH321+1)*AF321-ERP_i)*AE321*Ramure*Pc/MaxiM</f>
        <v>5.3438797869684251E-2</v>
      </c>
      <c r="AE321" s="305">
        <f t="shared" si="117"/>
        <v>0.8</v>
      </c>
      <c r="AF321" s="177">
        <f t="shared" si="118"/>
        <v>0.99877845910995466</v>
      </c>
      <c r="AG321" s="809">
        <f t="shared" si="124"/>
        <v>2</v>
      </c>
      <c r="AH321" s="176">
        <f t="shared" si="119"/>
        <v>8</v>
      </c>
      <c r="AI321" s="225">
        <f t="shared" si="120"/>
        <v>2.9987784591099547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IF(t&gt;Tmaj,'2023'!Wh/'2023'!Env_an*'2024'!Env_an,0.001*'[13]mon-tableau (3)'!$B$139)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Wh_hp&gt;='2023'!Maxi_hp</f>
        <v>0</v>
      </c>
      <c r="I322" s="390">
        <f>IF(H322,Wh_hp,'2023'!Maxi_hp)</f>
        <v>20.723995905929119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7.2919976863540487E-2</v>
      </c>
      <c r="M322" s="843"/>
      <c r="N322" s="843"/>
      <c r="O322" s="48">
        <f>IF(t&lt;Tnet,'2023'!Resal+('2023'!Salim-'2023'!Resal)*(1-EXP(('2023'!Tnet-t)/('2023'!Tau_j))),Resal+(Salim-Resal)*(1-EXP((Tnet-t)/(Tau_j))))*Salcycl</f>
        <v>0.10721751356262794</v>
      </c>
      <c r="P322" s="169">
        <f>(INDEX(Models!$BJ322:$BT322,,T322)*(1-R322)+INDEX(Models!$BJ322:$BT322,,T322+1)*R322-ERP_i)*Q322*Ramure*Pc/MaxiM</f>
        <v>2.5345769133902313E-2</v>
      </c>
      <c r="Q322" s="305">
        <f t="shared" si="105"/>
        <v>0.8</v>
      </c>
      <c r="R322" s="177">
        <f t="shared" si="106"/>
        <v>0.79812140588525793</v>
      </c>
      <c r="S322" s="809">
        <f t="shared" si="107"/>
        <v>1</v>
      </c>
      <c r="T322" s="176">
        <f t="shared" si="108"/>
        <v>7</v>
      </c>
      <c r="U322" s="251">
        <f t="shared" si="109"/>
        <v>1.7981214058852579</v>
      </c>
      <c r="V322" s="383">
        <f t="shared" si="110"/>
        <v>19.20730577350707</v>
      </c>
      <c r="W322" s="402">
        <f t="shared" si="111"/>
        <v>0</v>
      </c>
      <c r="X322" s="157">
        <f t="shared" si="112"/>
        <v>45599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0.16101894200459871</v>
      </c>
      <c r="AD322" s="231">
        <f>(INDEX(Models!$BJ322:$BT322,,AH322)*(1-AF322)+INDEX(Models!$BJ322:$BT322,,AH322+1)*AF322-ERP_i)*AE322*Ramure*Pc/MaxiM</f>
        <v>5.3854871641630345E-2</v>
      </c>
      <c r="AE322" s="305">
        <f t="shared" si="117"/>
        <v>0.8</v>
      </c>
      <c r="AF322" s="177">
        <f t="shared" si="118"/>
        <v>0.99883815305016155</v>
      </c>
      <c r="AG322" s="809">
        <f t="shared" si="124"/>
        <v>2</v>
      </c>
      <c r="AH322" s="176">
        <f t="shared" si="119"/>
        <v>8</v>
      </c>
      <c r="AI322" s="225">
        <f t="shared" si="120"/>
        <v>2.9988381530501615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IF(t&gt;Tmaj,'2023'!Wh/'2023'!Env_an*'2024'!Env_an,0.001*'[13]mon-tableau (3)'!$B$140)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Wh_hp&gt;='2023'!Maxi_hp</f>
        <v>0</v>
      </c>
      <c r="I323" s="390">
        <f>IF(H323,Wh_hp,'2023'!Maxi_hp)</f>
        <v>15.637654954165301</v>
      </c>
      <c r="J323" s="85">
        <f>IF(H323,An,'2023'!An_max)</f>
        <v>2020</v>
      </c>
      <c r="K323" s="197">
        <f t="shared" si="104"/>
        <v>45600</v>
      </c>
      <c r="L323" s="147">
        <f>IF(t&lt;Tvie,1-EXP((T0-t)*PertePVj)+'2023'!Pspv,1-EXP((T0-t)*PertePVj)+Pspv)</f>
        <v>7.294204265645246E-2</v>
      </c>
      <c r="M323" s="843"/>
      <c r="N323" s="843"/>
      <c r="O323" s="48">
        <f>IF(t&lt;Tnet,'2023'!Resal+('2023'!Salim-'2023'!Resal)*(1-EXP(('2023'!Tnet-t)/('2023'!Tau_j))),Resal+(Salim-Resal)*(1-EXP((Tnet-t)/(Tau_j))))*Salcycl</f>
        <v>0.10724854273036778</v>
      </c>
      <c r="P323" s="169">
        <f>(INDEX(Models!$BJ323:$BT323,,T323)*(1-R323)+INDEX(Models!$BJ323:$BT323,,T323+1)*R323-ERP_i)*Q323*Ramure*Pc/MaxiM</f>
        <v>2.5555181444370214E-2</v>
      </c>
      <c r="Q323" s="305">
        <f t="shared" si="105"/>
        <v>0.8</v>
      </c>
      <c r="R323" s="177">
        <f t="shared" si="106"/>
        <v>0.79817870755372522</v>
      </c>
      <c r="S323" s="809">
        <f t="shared" si="107"/>
        <v>1</v>
      </c>
      <c r="T323" s="176">
        <f t="shared" si="108"/>
        <v>7</v>
      </c>
      <c r="U323" s="251">
        <f t="shared" si="109"/>
        <v>1.7981787075537252</v>
      </c>
      <c r="V323" s="383">
        <f t="shared" si="110"/>
        <v>18.943174550687225</v>
      </c>
      <c r="W323" s="402">
        <f t="shared" si="111"/>
        <v>0</v>
      </c>
      <c r="X323" s="157">
        <f t="shared" si="112"/>
        <v>45600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0.16093726038374292</v>
      </c>
      <c r="AD323" s="231">
        <f>(INDEX(Models!$BJ323:$BT323,,AH323)*(1-AF323)+INDEX(Models!$BJ323:$BT323,,AH323+1)*AF323-ERP_i)*AE323*Ramure*Pc/MaxiM</f>
        <v>5.4284295447669037E-2</v>
      </c>
      <c r="AE323" s="305">
        <f t="shared" si="117"/>
        <v>0.8</v>
      </c>
      <c r="AF323" s="177">
        <f t="shared" si="118"/>
        <v>0.99889545471862906</v>
      </c>
      <c r="AG323" s="809">
        <f t="shared" si="124"/>
        <v>2</v>
      </c>
      <c r="AH323" s="176">
        <f t="shared" si="119"/>
        <v>8</v>
      </c>
      <c r="AI323" s="225">
        <f t="shared" si="120"/>
        <v>2.9988954547186291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IF(t&gt;Tmaj,'2023'!Wh/'2023'!Env_an*'2024'!Env_an,0.001*'[13]mon-tableau (3)'!$B$141)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Wh_hp&gt;='2023'!Maxi_hp</f>
        <v>0</v>
      </c>
      <c r="I324" s="390">
        <f>IF(H324,Wh_hp,'2023'!Maxi_hp)</f>
        <v>19.931335355516538</v>
      </c>
      <c r="J324" s="85">
        <f>IF(H324,An,'2023'!An_max)</f>
        <v>2020</v>
      </c>
      <c r="K324" s="197">
        <f t="shared" si="104"/>
        <v>45601</v>
      </c>
      <c r="L324" s="147">
        <f>IF(t&lt;Tvie,1-EXP((T0-t)*PertePVj)+'2023'!Pspv,1-EXP((T0-t)*PertePVj)+Pspv)</f>
        <v>7.2964107935861305E-2</v>
      </c>
      <c r="M324" s="843"/>
      <c r="N324" s="843"/>
      <c r="O324" s="48">
        <f>IF(t&lt;Tnet,'2023'!Resal+('2023'!Salim-'2023'!Resal)*(1-EXP(('2023'!Tnet-t)/('2023'!Tau_j))),Resal+(Salim-Resal)*(1-EXP((Tnet-t)/(Tau_j))))*Salcycl</f>
        <v>0.10727967351239957</v>
      </c>
      <c r="P324" s="169">
        <f>(INDEX(Models!$BJ324:$BT324,,T324)*(1-R324)+INDEX(Models!$BJ324:$BT324,,T324+1)*R324-ERP_i)*Q324*Ramure*Pc/MaxiM</f>
        <v>2.5813800965780988E-2</v>
      </c>
      <c r="Q324" s="305">
        <f t="shared" si="105"/>
        <v>0.8</v>
      </c>
      <c r="R324" s="177">
        <f t="shared" si="106"/>
        <v>0.79823371239108831</v>
      </c>
      <c r="S324" s="809">
        <f t="shared" si="107"/>
        <v>1</v>
      </c>
      <c r="T324" s="176">
        <f t="shared" si="108"/>
        <v>7</v>
      </c>
      <c r="U324" s="251">
        <f t="shared" si="109"/>
        <v>1.7982337123910883</v>
      </c>
      <c r="V324" s="383">
        <f t="shared" si="110"/>
        <v>18.682627992930826</v>
      </c>
      <c r="W324" s="402">
        <f t="shared" si="111"/>
        <v>0</v>
      </c>
      <c r="X324" s="157">
        <f t="shared" si="112"/>
        <v>45601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0.16085608956607758</v>
      </c>
      <c r="AD324" s="231">
        <f>(INDEX(Models!$BJ324:$BT324,,AH324)*(1-AF324)+INDEX(Models!$BJ324:$BT324,,AH324+1)*AF324-ERP_i)*AE324*Ramure*Pc/MaxiM</f>
        <v>5.4712402368088817E-2</v>
      </c>
      <c r="AE324" s="305">
        <f t="shared" si="117"/>
        <v>0.8</v>
      </c>
      <c r="AF324" s="177">
        <f t="shared" si="118"/>
        <v>0.99895045955599215</v>
      </c>
      <c r="AG324" s="809">
        <f t="shared" si="124"/>
        <v>2</v>
      </c>
      <c r="AH324" s="176">
        <f t="shared" si="119"/>
        <v>8</v>
      </c>
      <c r="AI324" s="225">
        <f t="shared" si="120"/>
        <v>2.9989504595559922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IF(t&gt;Tmaj,'2023'!Wh/'2023'!Env_an*'2024'!Env_an,0.001*'[13]mon-tableau (3)'!$B$142)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Wh_hp&gt;='2023'!Maxi_hp</f>
        <v>0</v>
      </c>
      <c r="I325" s="390">
        <f>IF(H325,Wh_hp,'2023'!Maxi_hp)</f>
        <v>13.60303974842923</v>
      </c>
      <c r="J325" s="85">
        <f>IF(H325,An,'2023'!An_max)</f>
        <v>2020</v>
      </c>
      <c r="K325" s="197">
        <f t="shared" si="104"/>
        <v>45602</v>
      </c>
      <c r="L325" s="147">
        <f>IF(t&lt;Tvie,1-EXP((T0-t)*PertePVj)+'2023'!Pspv,1-EXP((T0-t)*PertePVj)+Pspv)</f>
        <v>7.298617270177879E-2</v>
      </c>
      <c r="M325" s="843"/>
      <c r="N325" s="843"/>
      <c r="O325" s="48">
        <f>IF(t&lt;Tnet,'2023'!Resal+('2023'!Salim-'2023'!Resal)*(1-EXP(('2023'!Tnet-t)/('2023'!Tau_j))),Resal+(Salim-Resal)*(1-EXP((Tnet-t)/(Tau_j))))*Salcycl</f>
        <v>0.10731101871373996</v>
      </c>
      <c r="P325" s="169">
        <f>(INDEX(Models!$BJ325:$BT325,,T325)*(1-R325)+INDEX(Models!$BJ325:$BT325,,T325+1)*R325-ERP_i)*Q325*Ramure*Pc/MaxiM</f>
        <v>2.60914677233039E-2</v>
      </c>
      <c r="Q325" s="305">
        <f t="shared" si="105"/>
        <v>0.8</v>
      </c>
      <c r="R325" s="177">
        <f t="shared" si="106"/>
        <v>0.79828651206429369</v>
      </c>
      <c r="S325" s="809">
        <f t="shared" si="107"/>
        <v>1</v>
      </c>
      <c r="T325" s="176">
        <f t="shared" si="108"/>
        <v>7</v>
      </c>
      <c r="U325" s="251">
        <f t="shared" si="109"/>
        <v>1.7982865120642937</v>
      </c>
      <c r="V325" s="383">
        <f t="shared" si="110"/>
        <v>18.426895577098886</v>
      </c>
      <c r="W325" s="402">
        <f t="shared" si="111"/>
        <v>0</v>
      </c>
      <c r="X325" s="157">
        <f t="shared" si="112"/>
        <v>45602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0.16077559650988091</v>
      </c>
      <c r="AD325" s="231">
        <f>(INDEX(Models!$BJ325:$BT325,,AH325)*(1-AF325)+INDEX(Models!$BJ325:$BT325,,AH325+1)*AF325-ERP_i)*AE325*Ramure*Pc/MaxiM</f>
        <v>5.5123260178068477E-2</v>
      </c>
      <c r="AE325" s="305">
        <f t="shared" si="117"/>
        <v>0.8</v>
      </c>
      <c r="AF325" s="177">
        <f t="shared" si="118"/>
        <v>0.9990032592291973</v>
      </c>
      <c r="AG325" s="809">
        <f t="shared" si="124"/>
        <v>2</v>
      </c>
      <c r="AH325" s="176">
        <f t="shared" si="119"/>
        <v>8</v>
      </c>
      <c r="AI325" s="225">
        <f t="shared" si="120"/>
        <v>2.9990032592291973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IF(t&gt;Tmaj,'2023'!Wh/'2023'!Env_an*'2024'!Env_an,0.001*'[13]mon-tableau (3)'!$B$143)</f>
        <v>0.906132877751609</v>
      </c>
      <c r="C326" s="839"/>
      <c r="D326" s="393">
        <f t="shared" si="102"/>
        <v>0.97749830567464946</v>
      </c>
      <c r="E326" s="385">
        <f t="shared" si="125"/>
        <v>1.0950431875072071</v>
      </c>
      <c r="F326" s="385">
        <f t="shared" si="103"/>
        <v>1.0950431875072071</v>
      </c>
      <c r="G326" s="110">
        <f t="shared" si="126"/>
        <v>4.8536092484859489E-2</v>
      </c>
      <c r="H326" s="414" t="b">
        <f>Wh_hp&gt;='2023'!Maxi_hp</f>
        <v>0</v>
      </c>
      <c r="I326" s="390">
        <f>IF(H326,Wh_hp,'2023'!Maxi_hp)</f>
        <v>20.0155602932596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7.3008236954217015E-2</v>
      </c>
      <c r="M326" s="843"/>
      <c r="N326" s="843"/>
      <c r="O326" s="48">
        <f>IF(t&lt;Tnet,'2023'!Resal+('2023'!Salim-'2023'!Resal)*(1-EXP(('2023'!Tnet-t)/('2023'!Tau_j))),Resal+(Salim-Resal)*(1-EXP((Tnet-t)/(Tau_j))))*Salcycl</f>
        <v>0.10734269038296174</v>
      </c>
      <c r="P326" s="169">
        <f>(INDEX(Models!$BJ326:$BT326,,T326)*(1-R326)+INDEX(Models!$BJ326:$BT326,,T326+1)*R326-ERP_i)*Q326*Ramure*Pc/MaxiM</f>
        <v>2.6387695552936536E-2</v>
      </c>
      <c r="Q326" s="305">
        <f t="shared" si="105"/>
        <v>0.8</v>
      </c>
      <c r="R326" s="177">
        <f t="shared" si="106"/>
        <v>0.79833719461313279</v>
      </c>
      <c r="S326" s="809">
        <f t="shared" si="107"/>
        <v>1</v>
      </c>
      <c r="T326" s="176">
        <f t="shared" si="108"/>
        <v>7</v>
      </c>
      <c r="U326" s="251">
        <f t="shared" si="109"/>
        <v>1.7983371946131328</v>
      </c>
      <c r="V326" s="383">
        <f t="shared" si="110"/>
        <v>18.176620203165236</v>
      </c>
      <c r="W326" s="402">
        <f t="shared" si="111"/>
        <v>0.906132877751609</v>
      </c>
      <c r="X326" s="157">
        <f t="shared" si="112"/>
        <v>45603</v>
      </c>
      <c r="Y326" s="385">
        <f t="shared" si="113"/>
        <v>0.85197420005989166</v>
      </c>
      <c r="Z326" s="385">
        <f t="shared" si="114"/>
        <v>0.91907418601066215</v>
      </c>
      <c r="AA326" s="386">
        <f t="shared" si="115"/>
        <v>1.0950431875072071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0.16069594651981409</v>
      </c>
      <c r="AD326" s="231">
        <f>(INDEX(Models!$BJ326:$BT326,,AH326)*(1-AF326)+INDEX(Models!$BJ326:$BT326,,AH326+1)*AF326-ERP_i)*AE326*Ramure*Pc/MaxiM</f>
        <v>5.5514820968689496E-2</v>
      </c>
      <c r="AE326" s="305">
        <f t="shared" si="117"/>
        <v>0.8</v>
      </c>
      <c r="AF326" s="177">
        <f t="shared" si="118"/>
        <v>0.99905394177803641</v>
      </c>
      <c r="AG326" s="809">
        <f t="shared" si="124"/>
        <v>2</v>
      </c>
      <c r="AH326" s="176">
        <f t="shared" si="119"/>
        <v>8</v>
      </c>
      <c r="AI326" s="225">
        <f t="shared" si="120"/>
        <v>2.9990539417780364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IF(t&gt;Tmaj,'2023'!Wh/'2023'!Env_an*'2024'!Env_an,0.001*'[13]mon-tableau (3)'!$B$144)</f>
        <v>7.1971294449020151</v>
      </c>
      <c r="C327" s="839"/>
      <c r="D327" s="393">
        <f t="shared" si="102"/>
        <v>7.7641474692042545</v>
      </c>
      <c r="E327" s="385">
        <f t="shared" si="125"/>
        <v>8.6981047174951147</v>
      </c>
      <c r="F327" s="385">
        <f t="shared" si="103"/>
        <v>8.7318615061014011</v>
      </c>
      <c r="G327" s="110">
        <f t="shared" si="126"/>
        <v>0.39214609631080888</v>
      </c>
      <c r="H327" s="414" t="b">
        <f>Wh_hp&gt;='2023'!Maxi_hp</f>
        <v>0</v>
      </c>
      <c r="I327" s="390">
        <f>IF(H327,Wh_hp,'2023'!Maxi_hp)</f>
        <v>17.157196529957051</v>
      </c>
      <c r="J327" s="85">
        <f>IF(H327,An,'2023'!An_max)</f>
        <v>2021</v>
      </c>
      <c r="K327" s="197">
        <f t="shared" si="104"/>
        <v>45604</v>
      </c>
      <c r="L327" s="147">
        <f>IF(t&lt;Tvie,1-EXP((T0-t)*PertePVj)+'2023'!Pspv,1-EXP((T0-t)*PertePVj)+Pspv)</f>
        <v>7.303030069318775E-2</v>
      </c>
      <c r="M327" s="843"/>
      <c r="N327" s="843"/>
      <c r="O327" s="48">
        <f>IF(t&lt;Tnet,'2023'!Resal+('2023'!Salim-'2023'!Resal)*(1-EXP(('2023'!Tnet-t)/('2023'!Tau_j))),Resal+(Salim-Resal)*(1-EXP((Tnet-t)/(Tau_j))))*Salcycl</f>
        <v>0.1073747992953369</v>
      </c>
      <c r="P327" s="169">
        <f>(INDEX(Models!$BJ327:$BT327,,T327)*(1-R327)+INDEX(Models!$BJ327:$BT327,,T327+1)*R327-ERP_i)*Q327*Ramure*Pc/MaxiM</f>
        <v>2.6701904672943845E-2</v>
      </c>
      <c r="Q327" s="305">
        <f t="shared" si="105"/>
        <v>0.8</v>
      </c>
      <c r="R327" s="177">
        <f t="shared" si="106"/>
        <v>0.79838584459129613</v>
      </c>
      <c r="S327" s="809">
        <f t="shared" si="107"/>
        <v>1</v>
      </c>
      <c r="T327" s="176">
        <f t="shared" si="108"/>
        <v>7</v>
      </c>
      <c r="U327" s="251">
        <f t="shared" si="109"/>
        <v>1.7983858445912961</v>
      </c>
      <c r="V327" s="383">
        <f t="shared" si="110"/>
        <v>17.932444615104821</v>
      </c>
      <c r="W327" s="402">
        <f t="shared" si="111"/>
        <v>7.1971294449020151</v>
      </c>
      <c r="X327" s="157">
        <f t="shared" si="112"/>
        <v>45604</v>
      </c>
      <c r="Y327" s="385">
        <f t="shared" si="113"/>
        <v>6.7391354539662585</v>
      </c>
      <c r="Z327" s="385">
        <f t="shared" si="114"/>
        <v>7.2700709192606645</v>
      </c>
      <c r="AA327" s="386">
        <f t="shared" si="115"/>
        <v>8.6612113172730201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0.16061730248262276</v>
      </c>
      <c r="AD327" s="231">
        <f>(INDEX(Models!$BJ327:$BT327,,AH327)*(1-AF327)+INDEX(Models!$BJ327:$BT327,,AH327+1)*AF327-ERP_i)*AE327*Ramure*Pc/MaxiM</f>
        <v>5.5884895604957574E-2</v>
      </c>
      <c r="AE327" s="305">
        <f t="shared" si="117"/>
        <v>0.8</v>
      </c>
      <c r="AF327" s="177">
        <f t="shared" si="118"/>
        <v>0.99910259175619975</v>
      </c>
      <c r="AG327" s="809">
        <f t="shared" si="124"/>
        <v>2</v>
      </c>
      <c r="AH327" s="176">
        <f t="shared" si="119"/>
        <v>8</v>
      </c>
      <c r="AI327" s="225">
        <f t="shared" si="120"/>
        <v>2.9991025917561998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IF(t&gt;Tmaj,'2023'!Wh/'2023'!Env_an*'2024'!Env_an,0.001*'[13]mon-tableau (3)'!$B$145)</f>
        <v>16.102642708410663</v>
      </c>
      <c r="C328" s="839"/>
      <c r="D328" s="393">
        <f t="shared" si="102"/>
        <v>17.371685391512663</v>
      </c>
      <c r="E328" s="385">
        <f t="shared" si="125"/>
        <v>19.462055198557032</v>
      </c>
      <c r="F328" s="385">
        <f t="shared" si="103"/>
        <v>19.931605657650348</v>
      </c>
      <c r="G328" s="110">
        <f t="shared" si="126"/>
        <v>0.90677142073098582</v>
      </c>
      <c r="H328" s="414" t="b">
        <f>Wh_hp&gt;='2023'!Maxi_hp</f>
        <v>0</v>
      </c>
      <c r="I328" s="390">
        <f>IF(H328,Wh_hp,'2023'!Maxi_hp)</f>
        <v>19.985849148012122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7.3052363918703095E-2</v>
      </c>
      <c r="M328" s="843"/>
      <c r="N328" s="843"/>
      <c r="O328" s="48">
        <f>IF(t&lt;Tnet,'2023'!Resal+('2023'!Salim-'2023'!Resal)*(1-EXP(('2023'!Tnet-t)/('2023'!Tau_j))),Resal+(Salim-Resal)*(1-EXP((Tnet-t)/(Tau_j))))*Salcycl</f>
        <v>0.1074074544398247</v>
      </c>
      <c r="P328" s="169">
        <f>(INDEX(Models!$BJ328:$BT328,,T328)*(1-R328)+INDEX(Models!$BJ328:$BT328,,T328+1)*R328-ERP_i)*Q328*Ramure*Pc/MaxiM</f>
        <v>2.7033411259264947E-2</v>
      </c>
      <c r="Q328" s="305">
        <f t="shared" si="105"/>
        <v>0.8</v>
      </c>
      <c r="R328" s="177">
        <f t="shared" si="106"/>
        <v>0.79843254320213841</v>
      </c>
      <c r="S328" s="809">
        <f t="shared" si="107"/>
        <v>1</v>
      </c>
      <c r="T328" s="176">
        <f t="shared" si="108"/>
        <v>7</v>
      </c>
      <c r="U328" s="251">
        <f t="shared" si="109"/>
        <v>1.7984325432021384</v>
      </c>
      <c r="V328" s="383">
        <f t="shared" si="110"/>
        <v>17.695011377978641</v>
      </c>
      <c r="W328" s="402">
        <f t="shared" si="111"/>
        <v>16.102642708410663</v>
      </c>
      <c r="X328" s="157">
        <f t="shared" si="112"/>
        <v>45605</v>
      </c>
      <c r="Y328" s="385">
        <f t="shared" si="113"/>
        <v>14.749492226342106</v>
      </c>
      <c r="Z328" s="385">
        <f t="shared" si="114"/>
        <v>15.911893673623348</v>
      </c>
      <c r="AA328" s="386">
        <f t="shared" si="115"/>
        <v>18.954911895366742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0.16053982411214565</v>
      </c>
      <c r="AD328" s="231">
        <f>(INDEX(Models!$BJ328:$BT328,,AH328)*(1-AF328)+INDEX(Models!$BJ328:$BT328,,AH328+1)*AF328-ERP_i)*AE328*Ramure*Pc/MaxiM</f>
        <v>5.6231153944893052E-2</v>
      </c>
      <c r="AE328" s="305">
        <f t="shared" si="117"/>
        <v>0.8</v>
      </c>
      <c r="AF328" s="177">
        <f t="shared" si="118"/>
        <v>0.99914929036704203</v>
      </c>
      <c r="AG328" s="809">
        <f t="shared" si="124"/>
        <v>2</v>
      </c>
      <c r="AH328" s="176">
        <f t="shared" si="119"/>
        <v>8</v>
      </c>
      <c r="AI328" s="225">
        <f t="shared" si="120"/>
        <v>2.999149290367042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IF(t&gt;Tmaj,'2023'!Wh/'2023'!Env_an*'2024'!Env_an,0.001*'[13]mon-tableau (3)'!$B$146)</f>
        <v>17.428063554513933</v>
      </c>
      <c r="C329" s="839"/>
      <c r="D329" s="393">
        <f t="shared" si="102"/>
        <v>18.802009627553733</v>
      </c>
      <c r="E329" s="385">
        <f t="shared" si="125"/>
        <v>21.065279297878327</v>
      </c>
      <c r="F329" s="385">
        <f t="shared" si="103"/>
        <v>21.656474491589176</v>
      </c>
      <c r="G329" s="110">
        <f t="shared" si="126"/>
        <v>0.99780245392982825</v>
      </c>
      <c r="H329" s="414" t="b">
        <f>Wh_hp&gt;='2023'!Maxi_hp</f>
        <v>0</v>
      </c>
      <c r="I329" s="390">
        <f>IF(H329,Wh_hp,'2023'!Maxi_hp)</f>
        <v>21.657878919803085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7.307442663077493E-2</v>
      </c>
      <c r="M329" s="843"/>
      <c r="N329" s="843"/>
      <c r="O329" s="48">
        <f>IF(t&lt;Tnet,'2023'!Resal+('2023'!Salim-'2023'!Resal)*(1-EXP(('2023'!Tnet-t)/('2023'!Tau_j))),Resal+(Salim-Resal)*(1-EXP((Tnet-t)/(Tau_j))))*Salcycl</f>
        <v>0.10744076251353323</v>
      </c>
      <c r="P329" s="169">
        <f>(INDEX(Models!$BJ329:$BT329,,T329)*(1-R329)+INDEX(Models!$BJ329:$BT329,,T329+1)*R329-ERP_i)*Q329*Ramure*Pc/MaxiM</f>
        <v>2.7381417062536412E-2</v>
      </c>
      <c r="Q329" s="305">
        <f t="shared" si="105"/>
        <v>0.8</v>
      </c>
      <c r="R329" s="177">
        <f t="shared" si="106"/>
        <v>0.79847736842933514</v>
      </c>
      <c r="S329" s="809">
        <f t="shared" si="107"/>
        <v>1</v>
      </c>
      <c r="T329" s="176">
        <f t="shared" si="108"/>
        <v>7</v>
      </c>
      <c r="U329" s="251">
        <f t="shared" si="109"/>
        <v>1.7984773684293351</v>
      </c>
      <c r="V329" s="383">
        <f t="shared" si="110"/>
        <v>17.464962876866526</v>
      </c>
      <c r="W329" s="402">
        <f t="shared" si="111"/>
        <v>17.428063554513933</v>
      </c>
      <c r="X329" s="157">
        <f t="shared" si="112"/>
        <v>45606</v>
      </c>
      <c r="Y329" s="385">
        <f t="shared" si="113"/>
        <v>15.902633559062341</v>
      </c>
      <c r="Z329" s="385">
        <f t="shared" si="114"/>
        <v>17.156321948545266</v>
      </c>
      <c r="AA329" s="386">
        <f t="shared" si="115"/>
        <v>20.435472865729835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0.16046366720897789</v>
      </c>
      <c r="AD329" s="231">
        <f>(INDEX(Models!$BJ329:$BT329,,AH329)*(1-AF329)+INDEX(Models!$BJ329:$BT329,,AH329+1)*AF329-ERP_i)*AE329*Ramure*Pc/MaxiM</f>
        <v>5.6551127457307213E-2</v>
      </c>
      <c r="AE329" s="305">
        <f t="shared" si="117"/>
        <v>0.8</v>
      </c>
      <c r="AF329" s="177">
        <f t="shared" si="118"/>
        <v>0.99919411559423876</v>
      </c>
      <c r="AG329" s="809">
        <f t="shared" si="124"/>
        <v>2</v>
      </c>
      <c r="AH329" s="176">
        <f t="shared" si="119"/>
        <v>8</v>
      </c>
      <c r="AI329" s="225">
        <f t="shared" si="120"/>
        <v>2.9991941155942388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IF(t&gt;Tmaj,'2023'!Wh/'2023'!Env_an*'2024'!Env_an,0.001*'[13]mon-tableau (3)'!$B$147)</f>
        <v>17.62464356032768</v>
      </c>
      <c r="C330" s="839"/>
      <c r="D330" s="393">
        <f t="shared" si="102"/>
        <v>19.014539645091592</v>
      </c>
      <c r="E330" s="385">
        <f t="shared" si="125"/>
        <v>21.304205449221261</v>
      </c>
      <c r="F330" s="385">
        <f t="shared" si="103"/>
        <v>21.912158265711369</v>
      </c>
      <c r="G330" s="110">
        <f t="shared" si="126"/>
        <v>1.0221367254498743</v>
      </c>
      <c r="H330" s="414" t="b">
        <f>Wh_hp&gt;='2023'!Maxi_hp</f>
        <v>1</v>
      </c>
      <c r="I330" s="390">
        <f>IF(H330,Wh_hp,'2023'!Maxi_hp)</f>
        <v>21.912158265711369</v>
      </c>
      <c r="J330" s="85">
        <f>IF(H330,An,'2023'!An_max)</f>
        <v>2024</v>
      </c>
      <c r="K330" s="197">
        <f t="shared" si="104"/>
        <v>45607</v>
      </c>
      <c r="L330" s="147">
        <f>IF(t&lt;Tvie,1-EXP((T0-t)*PertePVj)+'2023'!Pspv,1-EXP((T0-t)*PertePVj)+Pspv)</f>
        <v>7.3096488829415246E-2</v>
      </c>
      <c r="M330" s="843"/>
      <c r="N330" s="843"/>
      <c r="O330" s="48">
        <f>IF(t&lt;Tnet,'2023'!Resal+('2023'!Salim-'2023'!Resal)*(1-EXP(('2023'!Tnet-t)/('2023'!Tau_j))),Resal+(Salim-Resal)*(1-EXP((Tnet-t)/(Tau_j))))*Salcycl</f>
        <v>0.1074748274272469</v>
      </c>
      <c r="P330" s="169">
        <f>(INDEX(Models!$BJ330:$BT330,,T330)*(1-R330)+INDEX(Models!$BJ330:$BT330,,T330+1)*R330-ERP_i)*Q330*Ramure*Pc/MaxiM</f>
        <v>2.7744999334065944E-2</v>
      </c>
      <c r="Q330" s="305">
        <f t="shared" si="105"/>
        <v>0.8</v>
      </c>
      <c r="R330" s="177">
        <f t="shared" si="106"/>
        <v>0.79852039516261097</v>
      </c>
      <c r="S330" s="809">
        <f t="shared" si="107"/>
        <v>1</v>
      </c>
      <c r="T330" s="176">
        <f t="shared" si="108"/>
        <v>7</v>
      </c>
      <c r="U330" s="251">
        <f t="shared" si="109"/>
        <v>1.798520395162611</v>
      </c>
      <c r="V330" s="383">
        <f t="shared" si="110"/>
        <v>17.242941302760183</v>
      </c>
      <c r="W330" s="402">
        <f t="shared" si="111"/>
        <v>17.62464356032768</v>
      </c>
      <c r="X330" s="157">
        <f t="shared" si="112"/>
        <v>45607</v>
      </c>
      <c r="Y330" s="385">
        <f t="shared" si="113"/>
        <v>16.083559346279177</v>
      </c>
      <c r="Z330" s="385">
        <f t="shared" si="114"/>
        <v>17.351924070248995</v>
      </c>
      <c r="AA330" s="386">
        <f t="shared" si="115"/>
        <v>20.666622659395095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0.16038898294004666</v>
      </c>
      <c r="AD330" s="231">
        <f>(INDEX(Models!$BJ330:$BT330,,AH330)*(1-AF330)+INDEX(Models!$BJ330:$BT330,,AH330+1)*AF330-ERP_i)*AE330*Ramure*Pc/MaxiM</f>
        <v>5.6842214774676741E-2</v>
      </c>
      <c r="AE330" s="305">
        <f t="shared" si="117"/>
        <v>0.8</v>
      </c>
      <c r="AF330" s="177">
        <f t="shared" si="118"/>
        <v>0.99923714232751459</v>
      </c>
      <c r="AG330" s="809">
        <f t="shared" si="124"/>
        <v>2</v>
      </c>
      <c r="AH330" s="176">
        <f t="shared" si="119"/>
        <v>8</v>
      </c>
      <c r="AI330" s="225">
        <f t="shared" si="120"/>
        <v>2.9992371423275146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IF(t&gt;Tmaj,'2023'!Wh/'2023'!Env_an*'2024'!Env_an,0.001*'[13]mon-tableau (3)'!$B$148)</f>
        <v>16.982614596879174</v>
      </c>
      <c r="C331" s="839"/>
      <c r="D331" s="393">
        <f t="shared" si="102"/>
        <v>18.32231576789944</v>
      </c>
      <c r="E331" s="385">
        <f t="shared" si="125"/>
        <v>20.529429609251245</v>
      </c>
      <c r="F331" s="385">
        <f t="shared" si="103"/>
        <v>21.121234408196536</v>
      </c>
      <c r="G331" s="110">
        <f t="shared" si="126"/>
        <v>0.99723809758877391</v>
      </c>
      <c r="H331" s="414" t="b">
        <f>Wh_hp&gt;='2023'!Maxi_hp</f>
        <v>0</v>
      </c>
      <c r="I331" s="390">
        <f>IF(H331,Wh_hp,'2023'!Maxi_hp)</f>
        <v>21.123000933531273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7.3118550514636033E-2</v>
      </c>
      <c r="M331" s="843"/>
      <c r="N331" s="843"/>
      <c r="O331" s="48">
        <f>IF(t&lt;Tnet,'2023'!Resal+('2023'!Salim-'2023'!Resal)*(1-EXP(('2023'!Tnet-t)/('2023'!Tau_j))),Resal+(Salim-Resal)*(1-EXP((Tnet-t)/(Tau_j))))*Salcycl</f>
        <v>0.10750974982554844</v>
      </c>
      <c r="P331" s="169">
        <f>(INDEX(Models!$BJ331:$BT331,,T331)*(1-R331)+INDEX(Models!$BJ331:$BT331,,T331+1)*R331-ERP_i)*Q331*Ramure*Pc/MaxiM</f>
        <v>2.8126002030453394E-2</v>
      </c>
      <c r="Q331" s="305">
        <f t="shared" si="105"/>
        <v>0.8</v>
      </c>
      <c r="R331" s="177">
        <f t="shared" si="106"/>
        <v>0.7985616953187118</v>
      </c>
      <c r="S331" s="809">
        <f t="shared" si="107"/>
        <v>1</v>
      </c>
      <c r="T331" s="176">
        <f t="shared" si="108"/>
        <v>7</v>
      </c>
      <c r="U331" s="251">
        <f t="shared" si="109"/>
        <v>1.7985616953187118</v>
      </c>
      <c r="V331" s="383">
        <f t="shared" si="110"/>
        <v>17.027781498365037</v>
      </c>
      <c r="W331" s="402">
        <f t="shared" si="111"/>
        <v>16.982614596879174</v>
      </c>
      <c r="X331" s="157">
        <f t="shared" si="112"/>
        <v>45608</v>
      </c>
      <c r="Y331" s="385">
        <f t="shared" si="113"/>
        <v>15.503195154787138</v>
      </c>
      <c r="Z331" s="385">
        <f t="shared" si="114"/>
        <v>16.726189917162586</v>
      </c>
      <c r="AA331" s="386">
        <f t="shared" si="115"/>
        <v>19.919622461172345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0.16031591714323151</v>
      </c>
      <c r="AD331" s="231">
        <f>(INDEX(Models!$BJ331:$BT331,,AH331)*(1-AF331)+INDEX(Models!$BJ331:$BT331,,AH331+1)*AF331-ERP_i)*AE331*Ramure*Pc/MaxiM</f>
        <v>5.7107580273176854E-2</v>
      </c>
      <c r="AE331" s="305">
        <f t="shared" si="117"/>
        <v>0.8</v>
      </c>
      <c r="AF331" s="177">
        <f t="shared" si="118"/>
        <v>0.99927844248361541</v>
      </c>
      <c r="AG331" s="809">
        <f t="shared" si="124"/>
        <v>2</v>
      </c>
      <c r="AH331" s="176">
        <f t="shared" si="119"/>
        <v>8</v>
      </c>
      <c r="AI331" s="225">
        <f t="shared" si="120"/>
        <v>2.9992784424836154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IF(t&gt;Tmaj,'2023'!Wh/'2023'!Env_an*'2024'!Env_an,0.001*'[13]mon-tableau (3)'!$B$149)</f>
        <v>7.0221630639289012</v>
      </c>
      <c r="C332" s="839"/>
      <c r="D332" s="393">
        <f t="shared" si="102"/>
        <v>7.5762981445394235</v>
      </c>
      <c r="E332" s="385">
        <f t="shared" si="125"/>
        <v>8.4892834531000148</v>
      </c>
      <c r="F332" s="385">
        <f t="shared" si="103"/>
        <v>8.5301174422102317</v>
      </c>
      <c r="G332" s="110">
        <f t="shared" si="126"/>
        <v>0.4075796780375649</v>
      </c>
      <c r="H332" s="414" t="b">
        <f>Wh_hp&gt;='2023'!Maxi_hp</f>
        <v>0</v>
      </c>
      <c r="I332" s="390">
        <f>IF(H332,Wh_hp,'2023'!Maxi_hp)</f>
        <v>16.142697199455277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7.3140611686449059E-2</v>
      </c>
      <c r="M332" s="843"/>
      <c r="N332" s="843"/>
      <c r="O332" s="48">
        <f>IF(t&lt;Tnet,'2023'!Resal+('2023'!Salim-'2023'!Resal)*(1-EXP(('2023'!Tnet-t)/('2023'!Tau_j))),Resal+(Salim-Resal)*(1-EXP((Tnet-t)/(Tau_j))))*Salcycl</f>
        <v>0.10754562662496549</v>
      </c>
      <c r="P332" s="169">
        <f>(INDEX(Models!$BJ332:$BT332,,T332)*(1-R332)+INDEX(Models!$BJ332:$BT332,,T332+1)*R332-ERP_i)*Q332*Ramure*Pc/MaxiM</f>
        <v>2.8510589199485036E-2</v>
      </c>
      <c r="Q332" s="305">
        <f t="shared" si="105"/>
        <v>0.8</v>
      </c>
      <c r="R332" s="177">
        <f t="shared" si="106"/>
        <v>0.79860133795778587</v>
      </c>
      <c r="S332" s="809">
        <f t="shared" si="107"/>
        <v>1</v>
      </c>
      <c r="T332" s="176">
        <f t="shared" si="108"/>
        <v>7</v>
      </c>
      <c r="U332" s="251">
        <f t="shared" si="109"/>
        <v>1.7986013379577859</v>
      </c>
      <c r="V332" s="383">
        <f t="shared" si="110"/>
        <v>16.818235723773093</v>
      </c>
      <c r="W332" s="402">
        <f t="shared" si="111"/>
        <v>7.0221630639289012</v>
      </c>
      <c r="X332" s="157">
        <f t="shared" si="112"/>
        <v>45609</v>
      </c>
      <c r="Y332" s="385">
        <f t="shared" si="113"/>
        <v>6.5753823745306068</v>
      </c>
      <c r="Z332" s="385">
        <f t="shared" si="114"/>
        <v>7.0942609606563041</v>
      </c>
      <c r="AA332" s="386">
        <f t="shared" si="115"/>
        <v>8.4480088395749799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0.16024460966198315</v>
      </c>
      <c r="AD332" s="231">
        <f>(INDEX(Models!$BJ332:$BT332,,AH332)*(1-AF332)+INDEX(Models!$BJ332:$BT332,,AH332+1)*AF332-ERP_i)*AE332*Ramure*Pc/MaxiM</f>
        <v>5.7328825581033194E-2</v>
      </c>
      <c r="AE332" s="305">
        <f t="shared" si="117"/>
        <v>0.8</v>
      </c>
      <c r="AF332" s="177">
        <f t="shared" si="118"/>
        <v>0.99931808512268949</v>
      </c>
      <c r="AG332" s="809">
        <f t="shared" si="124"/>
        <v>2</v>
      </c>
      <c r="AH332" s="176">
        <f t="shared" si="119"/>
        <v>8</v>
      </c>
      <c r="AI332" s="225">
        <f t="shared" si="120"/>
        <v>2.9993180851226895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IF(t&gt;Tmaj,'2023'!Wh/'2023'!Env_an*'2024'!Env_an,0.001*'[13]mon-tableau (3)'!$B$150)</f>
        <v>9.5844729377366544</v>
      </c>
      <c r="C333" s="839"/>
      <c r="D333" s="393">
        <f t="shared" si="102"/>
        <v>10.341051931933988</v>
      </c>
      <c r="E333" s="385">
        <f t="shared" si="125"/>
        <v>11.587684596013796</v>
      </c>
      <c r="F333" s="385">
        <f t="shared" si="103"/>
        <v>11.72158490234934</v>
      </c>
      <c r="G333" s="110">
        <f t="shared" si="126"/>
        <v>0.56668027984519587</v>
      </c>
      <c r="H333" s="414" t="b">
        <f>Wh_hp&gt;='2023'!Maxi_hp</f>
        <v>0</v>
      </c>
      <c r="I333" s="390">
        <f>IF(H333,Wh_hp,'2023'!Maxi_hp)</f>
        <v>20.45344773267831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7.3162672344866425E-2</v>
      </c>
      <c r="M333" s="843"/>
      <c r="N333" s="843"/>
      <c r="O333" s="48">
        <f>IF(t&lt;Tnet,'2023'!Resal+('2023'!Salim-'2023'!Resal)*(1-EXP(('2023'!Tnet-t)/('2023'!Tau_j))),Resal+(Salim-Resal)*(1-EXP((Tnet-t)/(Tau_j))))*Salcycl</f>
        <v>0.10758255057344716</v>
      </c>
      <c r="P333" s="169">
        <f>(INDEX(Models!$BJ333:$BT333,,T333)*(1-R333)+INDEX(Models!$BJ333:$BT333,,T333+1)*R333-ERP_i)*Q333*Ramure*Pc/MaxiM</f>
        <v>2.8881580257775111E-2</v>
      </c>
      <c r="Q333" s="305">
        <f t="shared" si="105"/>
        <v>0.8</v>
      </c>
      <c r="R333" s="177">
        <f t="shared" si="106"/>
        <v>0.79863938939533985</v>
      </c>
      <c r="S333" s="809">
        <f t="shared" si="107"/>
        <v>1</v>
      </c>
      <c r="T333" s="176">
        <f t="shared" si="108"/>
        <v>7</v>
      </c>
      <c r="U333" s="251">
        <f t="shared" si="109"/>
        <v>1.7986393893953398</v>
      </c>
      <c r="V333" s="383">
        <f t="shared" si="110"/>
        <v>16.614680698211192</v>
      </c>
      <c r="W333" s="402">
        <f t="shared" si="111"/>
        <v>9.5844729377366544</v>
      </c>
      <c r="X333" s="157">
        <f t="shared" si="112"/>
        <v>45610</v>
      </c>
      <c r="Y333" s="385">
        <f t="shared" si="113"/>
        <v>8.916333125587375</v>
      </c>
      <c r="Z333" s="385">
        <f t="shared" si="114"/>
        <v>9.6201705083948106</v>
      </c>
      <c r="AA333" s="386">
        <f t="shared" si="115"/>
        <v>11.454973032942865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0.16017519371467961</v>
      </c>
      <c r="AD333" s="231">
        <f>(INDEX(Models!$BJ333:$BT333,,AH333)*(1-AF333)+INDEX(Models!$BJ333:$BT333,,AH333+1)*AF333-ERP_i)*AE333*Ramure*Pc/MaxiM</f>
        <v>5.7506754948286297E-2</v>
      </c>
      <c r="AE333" s="305">
        <f t="shared" si="117"/>
        <v>0.8</v>
      </c>
      <c r="AF333" s="177">
        <f t="shared" si="118"/>
        <v>0.99935613656024369</v>
      </c>
      <c r="AG333" s="809">
        <f t="shared" si="124"/>
        <v>2</v>
      </c>
      <c r="AH333" s="176">
        <f t="shared" si="119"/>
        <v>8</v>
      </c>
      <c r="AI333" s="225">
        <f t="shared" si="120"/>
        <v>2.9993561365602437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IF(t&gt;Tmaj,'2023'!Wh/'2023'!Env_an*'2024'!Env_an,0.001*'[13]mon-tableau (3)'!$B$151)</f>
        <v>17.167665506492096</v>
      </c>
      <c r="C334" s="839"/>
      <c r="D334" s="393">
        <f t="shared" si="102"/>
        <v>18.523287334932697</v>
      </c>
      <c r="E334" s="385">
        <f t="shared" si="125"/>
        <v>20.757188634190307</v>
      </c>
      <c r="F334" s="385">
        <f t="shared" si="103"/>
        <v>21.382378556542086</v>
      </c>
      <c r="G334" s="110">
        <f t="shared" si="126"/>
        <v>1.0457124086047511</v>
      </c>
      <c r="H334" s="414" t="b">
        <f>Wh_hp&gt;='2023'!Maxi_hp</f>
        <v>1</v>
      </c>
      <c r="I334" s="390">
        <f>IF(H334,Wh_hp,'2023'!Maxi_hp)</f>
        <v>21.382378556542086</v>
      </c>
      <c r="J334" s="85">
        <f>IF(H334,An,'2023'!An_max)</f>
        <v>2024</v>
      </c>
      <c r="K334" s="197">
        <f t="shared" si="104"/>
        <v>45611</v>
      </c>
      <c r="L334" s="147">
        <f>IF(t&lt;Tvie,1-EXP((T0-t)*PertePVj)+'2023'!Pspv,1-EXP((T0-t)*PertePVj)+Pspv)</f>
        <v>7.3184732489900012E-2</v>
      </c>
      <c r="M334" s="843"/>
      <c r="N334" s="843"/>
      <c r="O334" s="48">
        <f>IF(t&lt;Tnet,'2023'!Resal+('2023'!Salim-'2023'!Resal)*(1-EXP(('2023'!Tnet-t)/('2023'!Tau_j))),Resal+(Salim-Resal)*(1-EXP((Tnet-t)/(Tau_j))))*Salcycl</f>
        <v>0.10762060983432165</v>
      </c>
      <c r="P334" s="169">
        <f>(INDEX(Models!$BJ334:$BT334,,T334)*(1-R334)+INDEX(Models!$BJ334:$BT334,,T334+1)*R334-ERP_i)*Q334*Ramure*Pc/MaxiM</f>
        <v>2.9238558315604211E-2</v>
      </c>
      <c r="Q334" s="305">
        <f t="shared" si="105"/>
        <v>0.8</v>
      </c>
      <c r="R334" s="177">
        <f t="shared" si="106"/>
        <v>0.79867591330992749</v>
      </c>
      <c r="S334" s="809">
        <f t="shared" si="107"/>
        <v>1</v>
      </c>
      <c r="T334" s="176">
        <f t="shared" si="108"/>
        <v>7</v>
      </c>
      <c r="U334" s="251">
        <f t="shared" si="109"/>
        <v>1.7986759133099275</v>
      </c>
      <c r="V334" s="383">
        <f t="shared" si="110"/>
        <v>16.417195937646156</v>
      </c>
      <c r="W334" s="402">
        <f t="shared" si="111"/>
        <v>17.167665506492096</v>
      </c>
      <c r="X334" s="157">
        <f t="shared" si="112"/>
        <v>45611</v>
      </c>
      <c r="Y334" s="385">
        <f t="shared" si="113"/>
        <v>15.685173820797491</v>
      </c>
      <c r="Z334" s="385">
        <f t="shared" si="114"/>
        <v>16.923732668901639</v>
      </c>
      <c r="AA334" s="386">
        <f t="shared" si="115"/>
        <v>20.149886585756658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0.16010779530319974</v>
      </c>
      <c r="AD334" s="231">
        <f>(INDEX(Models!$BJ334:$BT334,,AH334)*(1-AF334)+INDEX(Models!$BJ334:$BT334,,AH334+1)*AF334-ERP_i)*AE334*Ramure*Pc/MaxiM</f>
        <v>5.764054581328782E-2</v>
      </c>
      <c r="AE334" s="305">
        <f t="shared" si="117"/>
        <v>0.8</v>
      </c>
      <c r="AF334" s="177">
        <f t="shared" si="118"/>
        <v>0.99939266047483111</v>
      </c>
      <c r="AG334" s="809">
        <f t="shared" si="124"/>
        <v>2</v>
      </c>
      <c r="AH334" s="176">
        <f t="shared" si="119"/>
        <v>8</v>
      </c>
      <c r="AI334" s="225">
        <f t="shared" si="120"/>
        <v>2.9993926604748311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IF(t&gt;Tmaj,'2023'!Wh/'2023'!Env_an*'2024'!Env_an,0.001*'[13]mon-tableau (3)'!$B$152)</f>
        <v>10.043661394669115</v>
      </c>
      <c r="C335" s="839"/>
      <c r="D335" s="393">
        <f t="shared" ref="D335:D380" si="127">Wh/(1-Ppv)</f>
        <v>10.837003669524607</v>
      </c>
      <c r="E335" s="385">
        <f t="shared" si="125"/>
        <v>12.144476661874981</v>
      </c>
      <c r="F335" s="385">
        <f t="shared" ref="F335:F380" si="128">Wh_sa/(1-Pvg*MEDIAN((-Sdif+Wh/Env_an)/Csdif,0,1))</f>
        <v>12.310422919271003</v>
      </c>
      <c r="G335" s="110">
        <f t="shared" si="126"/>
        <v>0.60888842933467446</v>
      </c>
      <c r="H335" s="414" t="b">
        <f>Wh_hp&gt;='2023'!Maxi_hp</f>
        <v>0</v>
      </c>
      <c r="I335" s="390">
        <f>IF(H335,Wh_hp,'2023'!Maxi_hp)</f>
        <v>19.633088626435899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7.320679212156192E-2</v>
      </c>
      <c r="M335" s="843"/>
      <c r="N335" s="843"/>
      <c r="O335" s="48">
        <f>IF(t&lt;Tnet,'2023'!Resal+('2023'!Salim-'2023'!Resal)*(1-EXP(('2023'!Tnet-t)/('2023'!Tau_j))),Resal+(Salim-Resal)*(1-EXP((Tnet-t)/(Tau_j))))*Salcycl</f>
        <v>0.10765988759770186</v>
      </c>
      <c r="P335" s="169">
        <f>(INDEX(Models!$BJ335:$BT335,,T335)*(1-R335)+INDEX(Models!$BJ335:$BT335,,T335+1)*R335-ERP_i)*Q335*Ramure*Pc/MaxiM</f>
        <v>2.9581089318769429E-2</v>
      </c>
      <c r="Q335" s="305">
        <f t="shared" ref="Q335:Q380" si="130">IF(OR(t&lt;Ttai,Notai),Dd+PousD*Croivg,Dens+PousD*(Croivg-Croi_tai))</f>
        <v>0.8</v>
      </c>
      <c r="R335" s="177">
        <f t="shared" ref="R335:R379" si="131">(Hp_vg-S335)/(INDEX(Echel_vg,T335+1)-S335)</f>
        <v>0.79871097084672038</v>
      </c>
      <c r="S335" s="809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1.7987109708467204</v>
      </c>
      <c r="V335" s="383">
        <f t="shared" ref="V335:V380" si="135">MaxiM*(1-Ppv)*(1-Pvg)*(1-Psa)</f>
        <v>16.225861370552195</v>
      </c>
      <c r="W335" s="402">
        <f t="shared" ref="W335:W380" si="136">Wh*(A335&gt;Tmaj)</f>
        <v>10.043661394669115</v>
      </c>
      <c r="X335" s="157">
        <f t="shared" ref="X335:X380" si="137">t</f>
        <v>45612</v>
      </c>
      <c r="Y335" s="385">
        <f t="shared" ref="Y335:Y380" si="138">Wh_pvt_s*(1-Ppv)</f>
        <v>9.3311464058292994</v>
      </c>
      <c r="Z335" s="385">
        <f t="shared" ref="Z335:Z380" si="139">Wh_sa_s*(1-Psa_s)</f>
        <v>10.06820758558387</v>
      </c>
      <c r="AA335" s="386">
        <f t="shared" ref="AA335:AA380" si="140">Wh_hp*(1-Pvg_s*MEDIAN((-Sdif+Wh/Env_an)/Csdif,0,1))</f>
        <v>11.98656834080758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0.16004253266489629</v>
      </c>
      <c r="AD335" s="231">
        <f>(INDEX(Models!$BJ335:$BT335,,AH335)*(1-AF335)+INDEX(Models!$BJ335:$BT335,,AH335+1)*AF335-ERP_i)*AE335*Ramure*Pc/MaxiM</f>
        <v>5.7729359867133644E-2</v>
      </c>
      <c r="AE335" s="305">
        <f t="shared" ref="AE335:AE380" si="142">IF(OR(t&lt;Ttai,Notai),Dd_s+PousD*Croivg,Dens_s+PousD*(Croivg-Croi_tai))</f>
        <v>0.8</v>
      </c>
      <c r="AF335" s="177">
        <f t="shared" ref="AF335:AF379" si="143">(Hp_vg_s-AG335)/(INDEX(Echel_vg,AH335+1)-AG335)</f>
        <v>0.99942771801162422</v>
      </c>
      <c r="AG335" s="809">
        <f t="shared" si="124"/>
        <v>2</v>
      </c>
      <c r="AH335" s="176">
        <f t="shared" ref="AH335:AH380" si="144">MIN(MATCH(Hp_vg_s,Echel_vg),10)</f>
        <v>8</v>
      </c>
      <c r="AI335" s="225">
        <f t="shared" ref="AI335:AI380" si="145">IF(OR(t&lt;Ttai,Notai),Hdd_s+PousH*Croivg,Hdtai_s+PousH*(Croivg-Croi_tai))</f>
        <v>2.9994277180116242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IF(t&gt;Tmaj,'2023'!Wh/'2023'!Env_an*'2024'!Env_an,0.001*'[13]mon-tableau (3)'!$B$153)</f>
        <v>10.409720349513318</v>
      </c>
      <c r="C336" s="839"/>
      <c r="D336" s="393">
        <f t="shared" si="127"/>
        <v>11.232244727773164</v>
      </c>
      <c r="E336" s="385">
        <f t="shared" si="125"/>
        <v>12.587975501422903</v>
      </c>
      <c r="F336" s="385">
        <f t="shared" si="128"/>
        <v>12.778498905724367</v>
      </c>
      <c r="G336" s="110">
        <f t="shared" si="126"/>
        <v>0.6390734040599042</v>
      </c>
      <c r="H336" s="414" t="b">
        <f>Wh_hp&gt;='2023'!Maxi_hp</f>
        <v>0</v>
      </c>
      <c r="I336" s="390">
        <f>IF(H336,Wh_hp,'2023'!Maxi_hp)</f>
        <v>18.436950655926712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7.3228851239863918E-2</v>
      </c>
      <c r="M336" s="843"/>
      <c r="N336" s="843"/>
      <c r="O336" s="48">
        <f>IF(t&lt;Tnet,'2023'!Resal+('2023'!Salim-'2023'!Resal)*(1-EXP(('2023'!Tnet-t)/('2023'!Tau_j))),Resal+(Salim-Resal)*(1-EXP((Tnet-t)/(Tau_j))))*Salcycl</f>
        <v>0.10770046172210078</v>
      </c>
      <c r="P336" s="169">
        <f>(INDEX(Models!$BJ336:$BT336,,T336)*(1-R336)+INDEX(Models!$BJ336:$BT336,,T336+1)*R336-ERP_i)*Q336*Ramure*Pc/MaxiM</f>
        <v>2.9908720444847291E-2</v>
      </c>
      <c r="Q336" s="305">
        <f t="shared" si="130"/>
        <v>0.8</v>
      </c>
      <c r="R336" s="177">
        <f t="shared" si="131"/>
        <v>0.79874462071711649</v>
      </c>
      <c r="S336" s="809">
        <f t="shared" si="132"/>
        <v>1</v>
      </c>
      <c r="T336" s="176">
        <f t="shared" si="133"/>
        <v>7</v>
      </c>
      <c r="U336" s="251">
        <f t="shared" si="134"/>
        <v>1.7987446207171165</v>
      </c>
      <c r="V336" s="383">
        <f t="shared" si="135"/>
        <v>16.040757383351384</v>
      </c>
      <c r="W336" s="402">
        <f t="shared" si="136"/>
        <v>10.409720349513318</v>
      </c>
      <c r="X336" s="157">
        <f t="shared" si="137"/>
        <v>45613</v>
      </c>
      <c r="Y336" s="385">
        <f t="shared" si="138"/>
        <v>9.6616422105941222</v>
      </c>
      <c r="Z336" s="385">
        <f t="shared" si="139"/>
        <v>10.425057171362935</v>
      </c>
      <c r="AA336" s="386">
        <f t="shared" si="140"/>
        <v>12.410479705077172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0.15997951577181937</v>
      </c>
      <c r="AD336" s="231">
        <f>(INDEX(Models!$BJ336:$BT336,,AH336)*(1-AF336)+INDEX(Models!$BJ336:$BT336,,AH336+1)*AF336-ERP_i)*AE336*Ramure*Pc/MaxiM</f>
        <v>5.7772342620315498E-2</v>
      </c>
      <c r="AE336" s="305">
        <f t="shared" si="142"/>
        <v>0.8</v>
      </c>
      <c r="AF336" s="177">
        <f t="shared" si="143"/>
        <v>0.99946136788202011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2.9994613678820201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IF(t&gt;Tmaj,'2023'!Wh/'2023'!Env_an*'2024'!Env_an,0.001*'[13]mon-tableau (3)'!$B$154)</f>
        <v>6.8276205993252397</v>
      </c>
      <c r="C337" s="839"/>
      <c r="D337" s="393">
        <f t="shared" si="127"/>
        <v>7.3672806068598025</v>
      </c>
      <c r="E337" s="385">
        <f t="shared" si="125"/>
        <v>8.2568987288678546</v>
      </c>
      <c r="F337" s="385">
        <f t="shared" si="128"/>
        <v>8.3036604092448041</v>
      </c>
      <c r="G337" s="110">
        <f t="shared" si="126"/>
        <v>0.41979552375953061</v>
      </c>
      <c r="H337" s="414" t="b">
        <f>Wh_hp&gt;='2023'!Maxi_hp</f>
        <v>0</v>
      </c>
      <c r="I337" s="390">
        <f>IF(H337,Wh_hp,'2023'!Maxi_hp)</f>
        <v>19.188007096665945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7.3250909844817885E-2</v>
      </c>
      <c r="M337" s="843"/>
      <c r="N337" s="843"/>
      <c r="O337" s="48">
        <f>IF(t&lt;Tnet,'2023'!Resal+('2023'!Salim-'2023'!Resal)*(1-EXP(('2023'!Tnet-t)/('2023'!Tau_j))),Resal+(Salim-Resal)*(1-EXP((Tnet-t)/(Tau_j))))*Salcycl</f>
        <v>0.10774240440878363</v>
      </c>
      <c r="P337" s="169">
        <f>(INDEX(Models!$BJ337:$BT337,,T337)*(1-R337)+INDEX(Models!$BJ337:$BT337,,T337+1)*R337-ERP_i)*Q337*Ramure*Pc/MaxiM</f>
        <v>3.0220978730010884E-2</v>
      </c>
      <c r="Q337" s="305">
        <f t="shared" si="130"/>
        <v>0.8</v>
      </c>
      <c r="R337" s="177">
        <f t="shared" si="131"/>
        <v>0.7987769192945211</v>
      </c>
      <c r="S337" s="809">
        <f t="shared" si="132"/>
        <v>1</v>
      </c>
      <c r="T337" s="176">
        <f t="shared" si="133"/>
        <v>7</v>
      </c>
      <c r="U337" s="251">
        <f t="shared" si="134"/>
        <v>1.7987769192945211</v>
      </c>
      <c r="V337" s="383">
        <f t="shared" si="135"/>
        <v>15.861964857170481</v>
      </c>
      <c r="W337" s="402">
        <f t="shared" si="136"/>
        <v>6.8276205993252397</v>
      </c>
      <c r="X337" s="157">
        <f t="shared" si="137"/>
        <v>45614</v>
      </c>
      <c r="Y337" s="385">
        <f t="shared" si="138"/>
        <v>6.3951770556860188</v>
      </c>
      <c r="Z337" s="385">
        <f t="shared" si="139"/>
        <v>6.9006564167386024</v>
      </c>
      <c r="AA337" s="386">
        <f t="shared" si="140"/>
        <v>8.2142735650018146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0.15991884588067301</v>
      </c>
      <c r="AD337" s="231">
        <f>(INDEX(Models!$BJ337:$BT337,,AH337)*(1-AF337)+INDEX(Models!$BJ337:$BT337,,AH337+1)*AF337-ERP_i)*AE337*Ramure*Pc/MaxiM</f>
        <v>5.7768623728538693E-2</v>
      </c>
      <c r="AE337" s="305">
        <f t="shared" si="142"/>
        <v>0.8</v>
      </c>
      <c r="AF337" s="177">
        <f t="shared" si="143"/>
        <v>0.99949366645942472</v>
      </c>
      <c r="AG337" s="809">
        <f t="shared" si="149"/>
        <v>2</v>
      </c>
      <c r="AH337" s="176">
        <f t="shared" si="144"/>
        <v>8</v>
      </c>
      <c r="AI337" s="225">
        <f t="shared" si="145"/>
        <v>2.9994936664594247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IF(t&gt;Tmaj,'2023'!Wh/'2023'!Env_an*'2024'!Env_an,0.001*'[13]mon-tableau (3)'!$B$155)</f>
        <v>10.867231905975469</v>
      </c>
      <c r="C338" s="839"/>
      <c r="D338" s="393">
        <f t="shared" si="127"/>
        <v>11.726464784109252</v>
      </c>
      <c r="E338" s="385">
        <f t="shared" si="125"/>
        <v>13.14310458897131</v>
      </c>
      <c r="F338" s="385">
        <f t="shared" si="128"/>
        <v>13.371841892139656</v>
      </c>
      <c r="G338" s="110">
        <f t="shared" si="126"/>
        <v>0.68318972786948862</v>
      </c>
      <c r="H338" s="414" t="b">
        <f>Wh_hp&gt;='2023'!Maxi_hp</f>
        <v>0</v>
      </c>
      <c r="I338" s="390">
        <f>IF(H338,Wh_hp,'2023'!Maxi_hp)</f>
        <v>20.296414509075642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7.3272967936436034E-2</v>
      </c>
      <c r="M338" s="843"/>
      <c r="N338" s="843"/>
      <c r="O338" s="48">
        <f>IF(t&lt;Tnet,'2023'!Resal+('2023'!Salim-'2023'!Resal)*(1-EXP(('2023'!Tnet-t)/('2023'!Tau_j))),Resal+(Salim-Resal)*(1-EXP((Tnet-t)/(Tau_j))))*Salcycl</f>
        <v>0.10778578191113189</v>
      </c>
      <c r="P338" s="169">
        <f>(INDEX(Models!$BJ338:$BT338,,T338)*(1-R338)+INDEX(Models!$BJ338:$BT338,,T338+1)*R338-ERP_i)*Q338*Ramure*Pc/MaxiM</f>
        <v>3.0497494437239148E-2</v>
      </c>
      <c r="Q338" s="305">
        <f t="shared" si="130"/>
        <v>0.8</v>
      </c>
      <c r="R338" s="177">
        <f t="shared" si="131"/>
        <v>0.79880792070644802</v>
      </c>
      <c r="S338" s="809">
        <f t="shared" si="132"/>
        <v>1</v>
      </c>
      <c r="T338" s="176">
        <f t="shared" si="133"/>
        <v>7</v>
      </c>
      <c r="U338" s="251">
        <f t="shared" si="134"/>
        <v>1.798807920706448</v>
      </c>
      <c r="V338" s="383">
        <f t="shared" si="135"/>
        <v>15.689886859312583</v>
      </c>
      <c r="W338" s="402">
        <f t="shared" si="136"/>
        <v>10.867231905975469</v>
      </c>
      <c r="X338" s="157">
        <f t="shared" si="137"/>
        <v>45615</v>
      </c>
      <c r="Y338" s="385">
        <f t="shared" si="138"/>
        <v>10.074112365113386</v>
      </c>
      <c r="Z338" s="385">
        <f t="shared" si="139"/>
        <v>10.87063613832558</v>
      </c>
      <c r="AA338" s="386">
        <f t="shared" si="140"/>
        <v>12.939086458960567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0.15986061513659225</v>
      </c>
      <c r="AD338" s="231">
        <f>(INDEX(Models!$BJ338:$BT338,,AH338)*(1-AF338)+INDEX(Models!$BJ338:$BT338,,AH338+1)*AF338-ERP_i)*AE338*Ramure*Pc/MaxiM</f>
        <v>5.7699186941758997E-2</v>
      </c>
      <c r="AE338" s="305">
        <f t="shared" si="142"/>
        <v>0.8</v>
      </c>
      <c r="AF338" s="177">
        <f t="shared" si="143"/>
        <v>0.99952466787135164</v>
      </c>
      <c r="AG338" s="809">
        <f t="shared" si="149"/>
        <v>2</v>
      </c>
      <c r="AH338" s="176">
        <f t="shared" si="144"/>
        <v>8</v>
      </c>
      <c r="AI338" s="225">
        <f t="shared" si="145"/>
        <v>2.9995246678713516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IF(t&gt;Tmaj,'2023'!Wh/'2023'!Env_an*'2024'!Env_an,0.001*'[13]mon-tableau (3)'!$B$156)</f>
        <v>2.9536643924995234</v>
      </c>
      <c r="C339" s="839"/>
      <c r="D339" s="393">
        <f t="shared" si="127"/>
        <v>3.1872758578209965</v>
      </c>
      <c r="E339" s="385">
        <f t="shared" si="125"/>
        <v>3.5725009754201276</v>
      </c>
      <c r="F339" s="385">
        <f t="shared" si="128"/>
        <v>3.5725009754201276</v>
      </c>
      <c r="G339" s="110">
        <f t="shared" si="126"/>
        <v>0.18440901744712243</v>
      </c>
      <c r="H339" s="414" t="b">
        <f>Wh_hp&gt;='2023'!Maxi_hp</f>
        <v>0</v>
      </c>
      <c r="I339" s="390">
        <f>IF(H339,Wh_hp,'2023'!Maxi_hp)</f>
        <v>20.252187824566644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7.3295025514730133E-2</v>
      </c>
      <c r="M339" s="843"/>
      <c r="N339" s="843"/>
      <c r="O339" s="48">
        <f>IF(t&lt;Tnet,'2023'!Resal+('2023'!Salim-'2023'!Resal)*(1-EXP(('2023'!Tnet-t)/('2023'!Tau_j))),Resal+(Salim-Resal)*(1-EXP((Tnet-t)/(Tau_j))))*Salcycl</f>
        <v>0.10783065428101898</v>
      </c>
      <c r="P339" s="169">
        <f>(INDEX(Models!$BJ339:$BT339,,T339)*(1-R339)+INDEX(Models!$BJ339:$BT339,,T339+1)*R339-ERP_i)*Q339*Ramure*Pc/MaxiM</f>
        <v>3.0734264108524895E-2</v>
      </c>
      <c r="Q339" s="305">
        <f t="shared" si="130"/>
        <v>0.8</v>
      </c>
      <c r="R339" s="177">
        <f t="shared" si="131"/>
        <v>0.79883767692307006</v>
      </c>
      <c r="S339" s="809">
        <f t="shared" si="132"/>
        <v>1</v>
      </c>
      <c r="T339" s="176">
        <f t="shared" si="133"/>
        <v>7</v>
      </c>
      <c r="U339" s="251">
        <f t="shared" si="134"/>
        <v>1.7988376769230701</v>
      </c>
      <c r="V339" s="383">
        <f t="shared" si="135"/>
        <v>15.524651292030248</v>
      </c>
      <c r="W339" s="402">
        <f t="shared" si="136"/>
        <v>2.9536643924995234</v>
      </c>
      <c r="X339" s="157">
        <f t="shared" si="137"/>
        <v>45616</v>
      </c>
      <c r="Y339" s="385">
        <f t="shared" si="138"/>
        <v>2.78159560527298</v>
      </c>
      <c r="Z339" s="385">
        <f t="shared" si="139"/>
        <v>3.0015977920243633</v>
      </c>
      <c r="AA339" s="386">
        <f t="shared" si="140"/>
        <v>3.5725009754201276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0.15980490623340585</v>
      </c>
      <c r="AD339" s="231">
        <f>(INDEX(Models!$BJ339:$BT339,,AH339)*(1-AF339)+INDEX(Models!$BJ339:$BT339,,AH339+1)*AF339-ERP_i)*AE339*Ramure*Pc/MaxiM</f>
        <v>5.7577429658261549E-2</v>
      </c>
      <c r="AE339" s="305">
        <f t="shared" si="142"/>
        <v>0.8</v>
      </c>
      <c r="AF339" s="177">
        <f t="shared" si="143"/>
        <v>0.99955442408797346</v>
      </c>
      <c r="AG339" s="809">
        <f t="shared" si="149"/>
        <v>2</v>
      </c>
      <c r="AH339" s="176">
        <f t="shared" si="144"/>
        <v>8</v>
      </c>
      <c r="AI339" s="225">
        <f t="shared" si="145"/>
        <v>2.9995544240879735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IF(t&gt;Tmaj,'2023'!Wh/'2023'!Env_an*'2024'!Env_an,0.001*'[13]mon-tableau (3)'!$B$157)</f>
        <v>6.5839224561478877</v>
      </c>
      <c r="C340" s="839"/>
      <c r="D340" s="393">
        <f t="shared" si="127"/>
        <v>7.1048276949749942</v>
      </c>
      <c r="E340" s="385">
        <f t="shared" si="125"/>
        <v>7.963955971875408</v>
      </c>
      <c r="F340" s="385">
        <f t="shared" si="128"/>
        <v>8.0094203714998837</v>
      </c>
      <c r="G340" s="110">
        <f t="shared" si="126"/>
        <v>0.41758184242184387</v>
      </c>
      <c r="H340" s="414" t="b">
        <f>Wh_hp&gt;='2023'!Maxi_hp</f>
        <v>0</v>
      </c>
      <c r="I340" s="390">
        <f>IF(H340,Wh_hp,'2023'!Maxi_hp)</f>
        <v>19.238098983375799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7.3317082579712062E-2</v>
      </c>
      <c r="M340" s="843"/>
      <c r="N340" s="843"/>
      <c r="O340" s="48">
        <f>IF(t&lt;Tnet,'2023'!Resal+('2023'!Salim-'2023'!Resal)*(1-EXP(('2023'!Tnet-t)/('2023'!Tau_j))),Resal+(Salim-Resal)*(1-EXP((Tnet-t)/(Tau_j))))*Salcycl</f>
        <v>0.10787707515390749</v>
      </c>
      <c r="P340" s="169">
        <f>(INDEX(Models!$BJ340:$BT340,,T340)*(1-R340)+INDEX(Models!$BJ340:$BT340,,T340+1)*R340-ERP_i)*Q340*Ramure*Pc/MaxiM</f>
        <v>3.0930479356285033E-2</v>
      </c>
      <c r="Q340" s="305">
        <f t="shared" si="130"/>
        <v>0.8</v>
      </c>
      <c r="R340" s="177">
        <f t="shared" si="131"/>
        <v>0.79886623784235233</v>
      </c>
      <c r="S340" s="809">
        <f t="shared" si="132"/>
        <v>1</v>
      </c>
      <c r="T340" s="176">
        <f t="shared" si="133"/>
        <v>7</v>
      </c>
      <c r="U340" s="251">
        <f t="shared" si="134"/>
        <v>1.7988662378423523</v>
      </c>
      <c r="V340" s="383">
        <f t="shared" si="135"/>
        <v>15.366334152895465</v>
      </c>
      <c r="W340" s="402">
        <f t="shared" si="136"/>
        <v>6.5839224561478877</v>
      </c>
      <c r="X340" s="157">
        <f t="shared" si="137"/>
        <v>45617</v>
      </c>
      <c r="Y340" s="385">
        <f t="shared" si="138"/>
        <v>6.1707861690195118</v>
      </c>
      <c r="Z340" s="385">
        <f t="shared" si="139"/>
        <v>6.6590049875936286</v>
      </c>
      <c r="AA340" s="386">
        <f t="shared" si="140"/>
        <v>7.9250451536155104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0.15975179213260343</v>
      </c>
      <c r="AD340" s="231">
        <f>(INDEX(Models!$BJ340:$BT340,,AH340)*(1-AF340)+INDEX(Models!$BJ340:$BT340,,AH340+1)*AF340-ERP_i)*AE340*Ramure*Pc/MaxiM</f>
        <v>5.7402406201569826E-2</v>
      </c>
      <c r="AE340" s="305">
        <f t="shared" si="142"/>
        <v>0.8</v>
      </c>
      <c r="AF340" s="177">
        <f t="shared" si="143"/>
        <v>0.99958298500725595</v>
      </c>
      <c r="AG340" s="809">
        <f t="shared" si="149"/>
        <v>2</v>
      </c>
      <c r="AH340" s="176">
        <f t="shared" si="144"/>
        <v>8</v>
      </c>
      <c r="AI340" s="225">
        <f t="shared" si="145"/>
        <v>2.999582985007256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IF(t&gt;Tmaj,'2023'!Wh/'2023'!Env_an*'2024'!Env_an,0.001*'[13]mon-tableau (3)'!$B$158)</f>
        <v>9.0413091644813584</v>
      </c>
      <c r="C341" s="839"/>
      <c r="D341" s="393">
        <f t="shared" si="127"/>
        <v>9.7568695801034302</v>
      </c>
      <c r="E341" s="385">
        <f t="shared" si="125"/>
        <v>10.937276105343525</v>
      </c>
      <c r="F341" s="385">
        <f t="shared" si="128"/>
        <v>11.082077138246818</v>
      </c>
      <c r="G341" s="110">
        <f t="shared" si="126"/>
        <v>0.5833867104842716</v>
      </c>
      <c r="H341" s="414" t="b">
        <f>Wh_hp&gt;='2023'!Maxi_hp</f>
        <v>0</v>
      </c>
      <c r="I341" s="390">
        <f>IF(H341,Wh_hp,'2023'!Maxi_hp)</f>
        <v>18.879598059880493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7.3339139131394032E-2</v>
      </c>
      <c r="M341" s="843"/>
      <c r="N341" s="843"/>
      <c r="O341" s="48">
        <f>IF(t&lt;Tnet,'2023'!Resal+('2023'!Salim-'2023'!Resal)*(1-EXP(('2023'!Tnet-t)/('2023'!Tau_j))),Resal+(Salim-Resal)*(1-EXP((Tnet-t)/(Tau_j))))*Salcycl</f>
        <v>0.10792509157407063</v>
      </c>
      <c r="P341" s="169">
        <f>(INDEX(Models!$BJ341:$BT341,,T341)*(1-R341)+INDEX(Models!$BJ341:$BT341,,T341+1)*R341-ERP_i)*Q341*Ramure*Pc/MaxiM</f>
        <v>3.1085137946584181E-2</v>
      </c>
      <c r="Q341" s="305">
        <f t="shared" si="130"/>
        <v>0.8</v>
      </c>
      <c r="R341" s="177">
        <f t="shared" si="131"/>
        <v>0.79889365137189206</v>
      </c>
      <c r="S341" s="809">
        <f t="shared" si="132"/>
        <v>1</v>
      </c>
      <c r="T341" s="176">
        <f t="shared" si="133"/>
        <v>7</v>
      </c>
      <c r="U341" s="251">
        <f t="shared" si="134"/>
        <v>1.7988936513718921</v>
      </c>
      <c r="V341" s="383">
        <f t="shared" si="135"/>
        <v>15.215015492930242</v>
      </c>
      <c r="W341" s="402">
        <f t="shared" si="136"/>
        <v>9.0413091644813584</v>
      </c>
      <c r="X341" s="157">
        <f t="shared" si="137"/>
        <v>45618</v>
      </c>
      <c r="Y341" s="385">
        <f t="shared" si="138"/>
        <v>8.4219237629402279</v>
      </c>
      <c r="Z341" s="385">
        <f t="shared" si="139"/>
        <v>9.0884638799203561</v>
      </c>
      <c r="AA341" s="386">
        <f t="shared" si="140"/>
        <v>10.815754287834631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0.15970133584276225</v>
      </c>
      <c r="AD341" s="231">
        <f>(INDEX(Models!$BJ341:$BT341,,AH341)*(1-AF341)+INDEX(Models!$BJ341:$BT341,,AH341+1)*AF341-ERP_i)*AE341*Ramure*Pc/MaxiM</f>
        <v>5.717281415333117E-2</v>
      </c>
      <c r="AE341" s="305">
        <f t="shared" si="142"/>
        <v>0.8</v>
      </c>
      <c r="AF341" s="177">
        <f t="shared" si="143"/>
        <v>0.99961039853679567</v>
      </c>
      <c r="AG341" s="809">
        <f t="shared" si="149"/>
        <v>2</v>
      </c>
      <c r="AH341" s="176">
        <f t="shared" si="144"/>
        <v>8</v>
      </c>
      <c r="AI341" s="225">
        <f t="shared" si="145"/>
        <v>2.9996103985367957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IF(t&gt;Tmaj,'2023'!Wh/'2023'!Env_an*'2024'!Env_an,0.001*'[13]mon-tableau (3)'!$B$159)</f>
        <v>10.034355608105811</v>
      </c>
      <c r="C342" s="839"/>
      <c r="D342" s="393">
        <f t="shared" si="127"/>
        <v>10.828766889321457</v>
      </c>
      <c r="E342" s="385">
        <f t="shared" si="125"/>
        <v>12.13952947497526</v>
      </c>
      <c r="F342" s="385">
        <f t="shared" si="128"/>
        <v>12.34072707305222</v>
      </c>
      <c r="G342" s="110">
        <f t="shared" si="126"/>
        <v>0.65573463847671043</v>
      </c>
      <c r="H342" s="414" t="b">
        <f>Wh_hp&gt;='2023'!Maxi_hp</f>
        <v>0</v>
      </c>
      <c r="I342" s="390">
        <f>IF(H342,Wh_hp,'2023'!Maxi_hp)</f>
        <v>17.858943426555001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7.3361195169787702E-2</v>
      </c>
      <c r="M342" s="843"/>
      <c r="N342" s="843"/>
      <c r="O342" s="48">
        <f>IF(t&lt;Tnet,'2023'!Resal+('2023'!Salim-'2023'!Resal)*(1-EXP(('2023'!Tnet-t)/('2023'!Tau_j))),Resal+(Salim-Resal)*(1-EXP((Tnet-t)/(Tau_j))))*Salcycl</f>
        <v>0.10797474386102396</v>
      </c>
      <c r="P342" s="169">
        <f>(INDEX(Models!$BJ342:$BT342,,T342)*(1-R342)+INDEX(Models!$BJ342:$BT342,,T342+1)*R342-ERP_i)*Q342*Ramure*Pc/MaxiM</f>
        <v>3.1197367177889668E-2</v>
      </c>
      <c r="Q342" s="305">
        <f t="shared" si="130"/>
        <v>0.8</v>
      </c>
      <c r="R342" s="177">
        <f t="shared" si="131"/>
        <v>0.79891996350758965</v>
      </c>
      <c r="S342" s="809">
        <f t="shared" si="132"/>
        <v>1</v>
      </c>
      <c r="T342" s="176">
        <f t="shared" si="133"/>
        <v>7</v>
      </c>
      <c r="U342" s="251">
        <f t="shared" si="134"/>
        <v>1.7989199635075896</v>
      </c>
      <c r="V342" s="383">
        <f t="shared" si="135"/>
        <v>15.07077432384885</v>
      </c>
      <c r="W342" s="402">
        <f t="shared" si="136"/>
        <v>10.034355608105811</v>
      </c>
      <c r="X342" s="157">
        <f t="shared" si="137"/>
        <v>45619</v>
      </c>
      <c r="Y342" s="385">
        <f t="shared" si="138"/>
        <v>9.3240069352070503</v>
      </c>
      <c r="Z342" s="385">
        <f t="shared" si="139"/>
        <v>10.062180524498414</v>
      </c>
      <c r="AA342" s="386">
        <f t="shared" si="140"/>
        <v>11.973848412846952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0.15965359026071149</v>
      </c>
      <c r="AD342" s="231">
        <f>(INDEX(Models!$BJ342:$BT342,,AH342)*(1-AF342)+INDEX(Models!$BJ342:$BT342,,AH342+1)*AF342-ERP_i)*AE342*Ramure*Pc/MaxiM</f>
        <v>5.6887598965162052E-2</v>
      </c>
      <c r="AE342" s="305">
        <f t="shared" si="142"/>
        <v>0.8</v>
      </c>
      <c r="AF342" s="177">
        <f t="shared" si="143"/>
        <v>0.99963671067249305</v>
      </c>
      <c r="AG342" s="809">
        <f t="shared" si="149"/>
        <v>2</v>
      </c>
      <c r="AH342" s="176">
        <f t="shared" si="144"/>
        <v>8</v>
      </c>
      <c r="AI342" s="225">
        <f t="shared" si="145"/>
        <v>2.999636710672493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IF(t&gt;Tmaj,'2023'!Wh/'2023'!Env_an*'2024'!Env_an,0.001*'[13]mon-tableau (3)'!$B$160)</f>
        <v>4.8296913606095178</v>
      </c>
      <c r="C343" s="839"/>
      <c r="D343" s="393">
        <f t="shared" si="127"/>
        <v>5.2121779195460123</v>
      </c>
      <c r="E343" s="385">
        <f t="shared" si="125"/>
        <v>5.8434195418193129</v>
      </c>
      <c r="F343" s="385">
        <f t="shared" si="128"/>
        <v>5.8495358266760782</v>
      </c>
      <c r="G343" s="110">
        <f t="shared" si="126"/>
        <v>0.31362521382275843</v>
      </c>
      <c r="H343" s="414" t="b">
        <f>Wh_hp&gt;='2023'!Maxi_hp</f>
        <v>0</v>
      </c>
      <c r="I343" s="390">
        <f>IF(H343,Wh_hp,'2023'!Maxi_hp)</f>
        <v>17.941310299000229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7.3383250694905172E-2</v>
      </c>
      <c r="M343" s="843"/>
      <c r="N343" s="843"/>
      <c r="O343" s="48">
        <f>IF(t&lt;Tnet,'2023'!Resal+('2023'!Salim-'2023'!Resal)*(1-EXP(('2023'!Tnet-t)/('2023'!Tau_j))),Resal+(Salim-Resal)*(1-EXP((Tnet-t)/(Tau_j))))*Salcycl</f>
        <v>0.10802606551792569</v>
      </c>
      <c r="P343" s="169">
        <f>(INDEX(Models!$BJ343:$BT343,,T343)*(1-R343)+INDEX(Models!$BJ343:$BT343,,T343+1)*R343-ERP_i)*Q343*Ramure*Pc/MaxiM</f>
        <v>3.1266462866472361E-2</v>
      </c>
      <c r="Q343" s="305">
        <f t="shared" si="130"/>
        <v>0.8</v>
      </c>
      <c r="R343" s="177">
        <f t="shared" si="131"/>
        <v>0.79894521840926647</v>
      </c>
      <c r="S343" s="809">
        <f t="shared" si="132"/>
        <v>1</v>
      </c>
      <c r="T343" s="176">
        <f t="shared" si="133"/>
        <v>7</v>
      </c>
      <c r="U343" s="251">
        <f t="shared" si="134"/>
        <v>1.7989452184092665</v>
      </c>
      <c r="V343" s="383">
        <f t="shared" si="135"/>
        <v>14.933688202421497</v>
      </c>
      <c r="W343" s="402">
        <f t="shared" si="136"/>
        <v>4.8296913606095178</v>
      </c>
      <c r="X343" s="157">
        <f t="shared" si="137"/>
        <v>45620</v>
      </c>
      <c r="Y343" s="385">
        <f t="shared" si="138"/>
        <v>4.546541161846692</v>
      </c>
      <c r="Z343" s="385">
        <f t="shared" si="139"/>
        <v>4.9066036905293542</v>
      </c>
      <c r="AA343" s="386">
        <f t="shared" si="140"/>
        <v>5.8384744052492463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0.1596085980752211</v>
      </c>
      <c r="AD343" s="231">
        <f>(INDEX(Models!$BJ343:$BT343,,AH343)*(1-AF343)+INDEX(Models!$BJ343:$BT343,,AH343+1)*AF343-ERP_i)*AE343*Ramure*Pc/MaxiM</f>
        <v>5.6546012880665568E-2</v>
      </c>
      <c r="AE343" s="305">
        <f t="shared" si="142"/>
        <v>0.8</v>
      </c>
      <c r="AF343" s="177">
        <f t="shared" si="143"/>
        <v>0.99966196557417009</v>
      </c>
      <c r="AG343" s="809">
        <f t="shared" si="149"/>
        <v>2</v>
      </c>
      <c r="AH343" s="176">
        <f t="shared" si="144"/>
        <v>8</v>
      </c>
      <c r="AI343" s="225">
        <f t="shared" si="145"/>
        <v>2.9996619655741701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IF(t&gt;Tmaj,'2023'!Wh/'2023'!Env_an*'2024'!Env_an,0.001*'[13]mon-tableau (3)'!$B$161)</f>
        <v>9.248677224485844</v>
      </c>
      <c r="C344" s="839"/>
      <c r="D344" s="393">
        <f t="shared" si="127"/>
        <v>9.9813621656232936</v>
      </c>
      <c r="E344" s="385">
        <f t="shared" si="125"/>
        <v>11.190860061043033</v>
      </c>
      <c r="F344" s="385">
        <f t="shared" si="128"/>
        <v>11.355711749354123</v>
      </c>
      <c r="G344" s="110">
        <f t="shared" si="126"/>
        <v>0.61411437599100327</v>
      </c>
      <c r="H344" s="414" t="b">
        <f>Wh_hp&gt;='2023'!Maxi_hp</f>
        <v>0</v>
      </c>
      <c r="I344" s="390">
        <f>IF(H344,Wh_hp,'2023'!Maxi_hp)</f>
        <v>17.978894299225775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7.3405305706758323E-2</v>
      </c>
      <c r="M344" s="843"/>
      <c r="N344" s="843"/>
      <c r="O344" s="48">
        <f>IF(t&lt;Tnet,'2023'!Resal+('2023'!Salim-'2023'!Resal)*(1-EXP(('2023'!Tnet-t)/('2023'!Tau_j))),Resal+(Salim-Resal)*(1-EXP((Tnet-t)/(Tau_j))))*Salcycl</f>
        <v>0.10807908318237061</v>
      </c>
      <c r="P344" s="169">
        <f>(INDEX(Models!$BJ344:$BT344,,T344)*(1-R344)+INDEX(Models!$BJ344:$BT344,,T344+1)*R344-ERP_i)*Q344*Ramure*Pc/MaxiM</f>
        <v>3.1291735606760032E-2</v>
      </c>
      <c r="Q344" s="305">
        <f t="shared" si="130"/>
        <v>0.8</v>
      </c>
      <c r="R344" s="177">
        <f t="shared" si="131"/>
        <v>0.79896945847334444</v>
      </c>
      <c r="S344" s="809">
        <f t="shared" si="132"/>
        <v>1</v>
      </c>
      <c r="T344" s="176">
        <f t="shared" si="133"/>
        <v>7</v>
      </c>
      <c r="U344" s="251">
        <f t="shared" si="134"/>
        <v>1.7989694584733444</v>
      </c>
      <c r="V344" s="383">
        <f t="shared" si="135"/>
        <v>14.803835779235195</v>
      </c>
      <c r="W344" s="402">
        <f t="shared" si="136"/>
        <v>9.248677224485844</v>
      </c>
      <c r="X344" s="157">
        <f t="shared" si="137"/>
        <v>45621</v>
      </c>
      <c r="Y344" s="385">
        <f t="shared" si="138"/>
        <v>8.6128131337158802</v>
      </c>
      <c r="Z344" s="385">
        <f t="shared" si="139"/>
        <v>9.2951245962888738</v>
      </c>
      <c r="AA344" s="386">
        <f t="shared" si="140"/>
        <v>11.059915387559711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0.15956639173351078</v>
      </c>
      <c r="AD344" s="231">
        <f>(INDEX(Models!$BJ344:$BT344,,AH344)*(1-AF344)+INDEX(Models!$BJ344:$BT344,,AH344+1)*AF344-ERP_i)*AE344*Ramure*Pc/MaxiM</f>
        <v>5.6147326372814846E-2</v>
      </c>
      <c r="AE344" s="305">
        <f t="shared" si="142"/>
        <v>0.8</v>
      </c>
      <c r="AF344" s="177">
        <f t="shared" si="143"/>
        <v>0.99968620563824828</v>
      </c>
      <c r="AG344" s="809">
        <f t="shared" si="149"/>
        <v>2</v>
      </c>
      <c r="AH344" s="176">
        <f t="shared" si="144"/>
        <v>8</v>
      </c>
      <c r="AI344" s="225">
        <f t="shared" si="145"/>
        <v>2.9996862056382483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IF(t&gt;Tmaj,'2023'!Wh/'2023'!Env_an*'2024'!Env_an,0.001*'[13]mon-tableau (3)'!$B$162)</f>
        <v>10.426629373654601</v>
      </c>
      <c r="C345" s="839"/>
      <c r="D345" s="393">
        <f t="shared" si="127"/>
        <v>11.252900124447326</v>
      </c>
      <c r="E345" s="385">
        <f t="shared" si="125"/>
        <v>12.617251706749114</v>
      </c>
      <c r="F345" s="385">
        <f t="shared" si="128"/>
        <v>12.852840881413396</v>
      </c>
      <c r="G345" s="110">
        <f t="shared" si="126"/>
        <v>0.70089115103834143</v>
      </c>
      <c r="H345" s="414" t="b">
        <f>Wh_hp&gt;='2023'!Maxi_hp</f>
        <v>0</v>
      </c>
      <c r="I345" s="390">
        <f>IF(H345,Wh_hp,'2023'!Maxi_hp)</f>
        <v>16.263070033899286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7.3427360205359143E-2</v>
      </c>
      <c r="M345" s="843"/>
      <c r="N345" s="843"/>
      <c r="O345" s="48">
        <f>IF(t&lt;Tnet,'2023'!Resal+('2023'!Salim-'2023'!Resal)*(1-EXP(('2023'!Tnet-t)/('2023'!Tau_j))),Resal+(Salim-Resal)*(1-EXP((Tnet-t)/(Tau_j))))*Salcycl</f>
        <v>0.10813381661966691</v>
      </c>
      <c r="P345" s="169">
        <f>(INDEX(Models!$BJ345:$BT345,,T345)*(1-R345)+INDEX(Models!$BJ345:$BT345,,T345+1)*R345-ERP_i)*Q345*Ramure*Pc/MaxiM</f>
        <v>3.127504128634865E-2</v>
      </c>
      <c r="Q345" s="305">
        <f t="shared" si="130"/>
        <v>0.8</v>
      </c>
      <c r="R345" s="177">
        <f t="shared" si="131"/>
        <v>0.79899272440269709</v>
      </c>
      <c r="S345" s="809">
        <f t="shared" si="132"/>
        <v>1</v>
      </c>
      <c r="T345" s="176">
        <f t="shared" si="133"/>
        <v>7</v>
      </c>
      <c r="U345" s="251">
        <f t="shared" si="134"/>
        <v>1.7989927244026971</v>
      </c>
      <c r="V345" s="383">
        <f t="shared" si="135"/>
        <v>14.680072911559954</v>
      </c>
      <c r="W345" s="402">
        <f t="shared" si="136"/>
        <v>10.426629373654601</v>
      </c>
      <c r="X345" s="157">
        <f t="shared" si="137"/>
        <v>45622</v>
      </c>
      <c r="Y345" s="385">
        <f t="shared" si="138"/>
        <v>9.6825464306343374</v>
      </c>
      <c r="Z345" s="385">
        <f t="shared" si="139"/>
        <v>10.44985143612735</v>
      </c>
      <c r="AA345" s="386">
        <f t="shared" si="140"/>
        <v>12.433298101119945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0.15952699347037561</v>
      </c>
      <c r="AD345" s="231">
        <f>(INDEX(Models!$BJ345:$BT345,,AH345)*(1-AF345)+INDEX(Models!$BJ345:$BT345,,AH345+1)*AF345-ERP_i)*AE345*Ramure*Pc/MaxiM</f>
        <v>5.5695334022732752E-2</v>
      </c>
      <c r="AE345" s="305">
        <f t="shared" si="142"/>
        <v>0.8</v>
      </c>
      <c r="AF345" s="177">
        <f t="shared" si="143"/>
        <v>0.9997094715676007</v>
      </c>
      <c r="AG345" s="809">
        <f t="shared" si="149"/>
        <v>2</v>
      </c>
      <c r="AH345" s="176">
        <f t="shared" si="144"/>
        <v>8</v>
      </c>
      <c r="AI345" s="225">
        <f t="shared" si="145"/>
        <v>2.9997094715676007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IF(t&gt;Tmaj,'2023'!Wh/'2023'!Env_an*'2024'!Env_an,0.001*'[13]mon-tableau (3)'!$B$163)</f>
        <v>8.8723784927026923</v>
      </c>
      <c r="C346" s="839"/>
      <c r="D346" s="393">
        <f t="shared" si="127"/>
        <v>9.5757086861622991</v>
      </c>
      <c r="E346" s="385">
        <f t="shared" si="125"/>
        <v>10.737389891680248</v>
      </c>
      <c r="F346" s="385">
        <f t="shared" si="128"/>
        <v>10.887576741134284</v>
      </c>
      <c r="G346" s="110">
        <f t="shared" si="126"/>
        <v>0.59853912421626965</v>
      </c>
      <c r="H346" s="414" t="b">
        <f>Wh_hp&gt;='2023'!Maxi_hp</f>
        <v>0</v>
      </c>
      <c r="I346" s="390">
        <f>IF(H346,Wh_hp,'2023'!Maxi_hp)</f>
        <v>12.704962668086491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7.3449414190719625E-2</v>
      </c>
      <c r="M346" s="843"/>
      <c r="N346" s="843"/>
      <c r="O346" s="48">
        <f>IF(t&lt;Tnet,'2023'!Resal+('2023'!Salim-'2023'!Resal)*(1-EXP(('2023'!Tnet-t)/('2023'!Tau_j))),Resal+(Salim-Resal)*(1-EXP((Tnet-t)/(Tau_j))))*Salcycl</f>
        <v>0.10819027875834755</v>
      </c>
      <c r="P346" s="169">
        <f>(INDEX(Models!$BJ346:$BT346,,T346)*(1-R346)+INDEX(Models!$BJ346:$BT346,,T346+1)*R346-ERP_i)*Q346*Ramure*Pc/MaxiM</f>
        <v>3.121855479342896E-2</v>
      </c>
      <c r="Q346" s="305">
        <f t="shared" si="130"/>
        <v>0.8</v>
      </c>
      <c r="R346" s="177">
        <f t="shared" si="131"/>
        <v>0.7990150552737787</v>
      </c>
      <c r="S346" s="809">
        <f t="shared" si="132"/>
        <v>1</v>
      </c>
      <c r="T346" s="176">
        <f t="shared" si="133"/>
        <v>7</v>
      </c>
      <c r="U346" s="251">
        <f t="shared" si="134"/>
        <v>1.7990150552737787</v>
      </c>
      <c r="V346" s="383">
        <f t="shared" si="135"/>
        <v>14.561490616374925</v>
      </c>
      <c r="W346" s="402">
        <f t="shared" si="136"/>
        <v>8.8723784927026923</v>
      </c>
      <c r="X346" s="157">
        <f t="shared" si="137"/>
        <v>45623</v>
      </c>
      <c r="Y346" s="385">
        <f t="shared" si="138"/>
        <v>8.2721534160539889</v>
      </c>
      <c r="Z346" s="385">
        <f t="shared" si="139"/>
        <v>8.9279026345105734</v>
      </c>
      <c r="AA346" s="386">
        <f t="shared" si="140"/>
        <v>10.622011691575484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0.1594904153992355</v>
      </c>
      <c r="AD346" s="231">
        <f>(INDEX(Models!$BJ346:$BT346,,AH346)*(1-AF346)+INDEX(Models!$BJ346:$BT346,,AH346+1)*AF346-ERP_i)*AE346*Ramure*Pc/MaxiM</f>
        <v>5.5201617724915358E-2</v>
      </c>
      <c r="AE346" s="305">
        <f t="shared" si="142"/>
        <v>0.8</v>
      </c>
      <c r="AF346" s="177">
        <f t="shared" si="143"/>
        <v>0.99973180243868232</v>
      </c>
      <c r="AG346" s="809">
        <f t="shared" si="149"/>
        <v>2</v>
      </c>
      <c r="AH346" s="176">
        <f t="shared" si="144"/>
        <v>8</v>
      </c>
      <c r="AI346" s="225">
        <f t="shared" si="145"/>
        <v>2.9997318024386823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IF(t&gt;Tmaj,'2023'!Wh/'2023'!Env_an*'2024'!Env_an,0.001*'[13]mon-tableau (3)'!$B$164)</f>
        <v>11.839249840915505</v>
      </c>
      <c r="C347" s="839"/>
      <c r="D347" s="393">
        <f t="shared" si="127"/>
        <v>12.77807366714466</v>
      </c>
      <c r="E347" s="385">
        <f t="shared" si="125"/>
        <v>14.32918623619954</v>
      </c>
      <c r="F347" s="385">
        <f t="shared" si="128"/>
        <v>14.668103234294346</v>
      </c>
      <c r="G347" s="110">
        <f t="shared" si="126"/>
        <v>0.81268501979429408</v>
      </c>
      <c r="H347" s="414" t="b">
        <f>Wh_hp&gt;='2023'!Maxi_hp</f>
        <v>0</v>
      </c>
      <c r="I347" s="390">
        <f>IF(H347,Wh_hp,'2023'!Maxi_hp)</f>
        <v>18.062192612165116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7.3471467662851647E-2</v>
      </c>
      <c r="M347" s="843"/>
      <c r="N347" s="843"/>
      <c r="O347" s="48">
        <f>IF(t&lt;Tnet,'2023'!Resal+('2023'!Salim-'2023'!Resal)*(1-EXP(('2023'!Tnet-t)/('2023'!Tau_j))),Resal+(Salim-Resal)*(1-EXP((Tnet-t)/(Tau_j))))*Salcycl</f>
        <v>0.10824847576733521</v>
      </c>
      <c r="P347" s="169">
        <f>(INDEX(Models!$BJ347:$BT347,,T347)*(1-R347)+INDEX(Models!$BJ347:$BT347,,T347+1)*R347-ERP_i)*Q347*Ramure*Pc/MaxiM</f>
        <v>3.1138404985740876E-2</v>
      </c>
      <c r="Q347" s="305">
        <f t="shared" si="130"/>
        <v>0.8</v>
      </c>
      <c r="R347" s="177">
        <f t="shared" si="131"/>
        <v>0.79903648860113385</v>
      </c>
      <c r="S347" s="809">
        <f t="shared" si="132"/>
        <v>1</v>
      </c>
      <c r="T347" s="176">
        <f t="shared" si="133"/>
        <v>7</v>
      </c>
      <c r="U347" s="251">
        <f t="shared" si="134"/>
        <v>1.7990364886011339</v>
      </c>
      <c r="V347" s="383">
        <f t="shared" si="135"/>
        <v>14.448278446320524</v>
      </c>
      <c r="W347" s="402">
        <f t="shared" si="136"/>
        <v>11.839249840915505</v>
      </c>
      <c r="X347" s="157">
        <f t="shared" si="137"/>
        <v>45624</v>
      </c>
      <c r="Y347" s="385">
        <f t="shared" si="138"/>
        <v>10.959766125589796</v>
      </c>
      <c r="Z347" s="385">
        <f t="shared" si="139"/>
        <v>11.828849024156893</v>
      </c>
      <c r="AA347" s="386">
        <f t="shared" si="140"/>
        <v>14.072860323213552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0.15945665966392791</v>
      </c>
      <c r="AD347" s="231">
        <f>(INDEX(Models!$BJ347:$BT347,,AH347)*(1-AF347)+INDEX(Models!$BJ347:$BT347,,AH347+1)*AF347-ERP_i)*AE347*Ramure*Pc/MaxiM</f>
        <v>5.4688655140690975E-2</v>
      </c>
      <c r="AE347" s="305">
        <f t="shared" si="142"/>
        <v>0.8</v>
      </c>
      <c r="AF347" s="177">
        <f t="shared" si="143"/>
        <v>0.99975323576603747</v>
      </c>
      <c r="AG347" s="809">
        <f t="shared" si="149"/>
        <v>2</v>
      </c>
      <c r="AH347" s="176">
        <f t="shared" si="144"/>
        <v>8</v>
      </c>
      <c r="AI347" s="225">
        <f t="shared" si="145"/>
        <v>2.9997532357660375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IF(t&gt;Tmaj,'2023'!Wh/'2023'!Env_an*'2024'!Env_an,0.001*'[13]mon-tableau (3)'!$B$165)</f>
        <v>3.5470460042848693</v>
      </c>
      <c r="C348" s="839"/>
      <c r="D348" s="393">
        <f t="shared" si="127"/>
        <v>3.8284092807049208</v>
      </c>
      <c r="E348" s="385">
        <f t="shared" si="125"/>
        <v>4.2934230977451167</v>
      </c>
      <c r="F348" s="385">
        <f t="shared" si="128"/>
        <v>4.2934230977451167</v>
      </c>
      <c r="G348" s="110">
        <f t="shared" si="126"/>
        <v>0.23966217638305332</v>
      </c>
      <c r="H348" s="414" t="b">
        <f>Wh_hp&gt;='2023'!Maxi_hp</f>
        <v>0</v>
      </c>
      <c r="I348" s="390">
        <f>IF(H348,Wh_hp,'2023'!Maxi_hp)</f>
        <v>16.943177507664462</v>
      </c>
      <c r="J348" s="85">
        <f>IF(H348,An,'2023'!An_max)</f>
        <v>2021</v>
      </c>
      <c r="K348" s="197">
        <f t="shared" si="129"/>
        <v>45625</v>
      </c>
      <c r="L348" s="147">
        <f>IF(t&lt;Tvie,1-EXP((T0-t)*PertePVj)+'2023'!Pspv,1-EXP((T0-t)*PertePVj)+Pspv)</f>
        <v>7.3493520621767089E-2</v>
      </c>
      <c r="M348" s="843"/>
      <c r="N348" s="843"/>
      <c r="O348" s="48">
        <f>IF(t&lt;Tnet,'2023'!Resal+('2023'!Salim-'2023'!Resal)*(1-EXP(('2023'!Tnet-t)/('2023'!Tau_j))),Resal+(Salim-Resal)*(1-EXP((Tnet-t)/(Tau_j))))*Salcycl</f>
        <v>0.10830840717385128</v>
      </c>
      <c r="P348" s="169">
        <f>(INDEX(Models!$BJ348:$BT348,,T348)*(1-R348)+INDEX(Models!$BJ348:$BT348,,T348+1)*R348-ERP_i)*Q348*Ramure*Pc/MaxiM</f>
        <v>3.1033393865016912E-2</v>
      </c>
      <c r="Q348" s="305">
        <f t="shared" si="130"/>
        <v>0.8</v>
      </c>
      <c r="R348" s="177">
        <f t="shared" si="131"/>
        <v>0.79905706039938473</v>
      </c>
      <c r="S348" s="809">
        <f t="shared" si="132"/>
        <v>1</v>
      </c>
      <c r="T348" s="176">
        <f t="shared" si="133"/>
        <v>7</v>
      </c>
      <c r="U348" s="251">
        <f t="shared" si="134"/>
        <v>1.7990570603993847</v>
      </c>
      <c r="V348" s="383">
        <f t="shared" si="135"/>
        <v>14.340890917569054</v>
      </c>
      <c r="W348" s="402">
        <f t="shared" si="136"/>
        <v>3.5470460042848693</v>
      </c>
      <c r="X348" s="157">
        <f t="shared" si="137"/>
        <v>45625</v>
      </c>
      <c r="Y348" s="385">
        <f t="shared" si="138"/>
        <v>3.3437072525476852</v>
      </c>
      <c r="Z348" s="385">
        <f t="shared" si="139"/>
        <v>3.608941034920345</v>
      </c>
      <c r="AA348" s="386">
        <f t="shared" si="140"/>
        <v>4.2934230977451167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0.15942571864959171</v>
      </c>
      <c r="AD348" s="231">
        <f>(INDEX(Models!$BJ348:$BT348,,AH348)*(1-AF348)+INDEX(Models!$BJ348:$BT348,,AH348+1)*AF348-ERP_i)*AE348*Ramure*Pc/MaxiM</f>
        <v>5.4154676942506141E-2</v>
      </c>
      <c r="AE348" s="305">
        <f t="shared" si="142"/>
        <v>0.8</v>
      </c>
      <c r="AF348" s="177">
        <f t="shared" si="143"/>
        <v>0.99977380756428857</v>
      </c>
      <c r="AG348" s="809">
        <f t="shared" si="149"/>
        <v>2</v>
      </c>
      <c r="AH348" s="176">
        <f t="shared" si="144"/>
        <v>8</v>
      </c>
      <c r="AI348" s="225">
        <f t="shared" si="145"/>
        <v>2.9997738075642886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IF(t&gt;Tmaj,'2023'!Wh/'2023'!Env_an*'2024'!Env_an,0.001*'[14]mon-tableau (2)'!$B$140)</f>
        <v>3.1767908534228595</v>
      </c>
      <c r="C349" s="839"/>
      <c r="D349" s="393">
        <f t="shared" si="127"/>
        <v>3.4288658946387582</v>
      </c>
      <c r="E349" s="385">
        <f t="shared" si="125"/>
        <v>3.8456155002966748</v>
      </c>
      <c r="F349" s="385">
        <f t="shared" si="128"/>
        <v>3.8456155002966748</v>
      </c>
      <c r="G349" s="110">
        <f t="shared" si="126"/>
        <v>0.21619856546334953</v>
      </c>
      <c r="H349" s="414" t="b">
        <f>Wh_hp&gt;='2023'!Maxi_hp</f>
        <v>0</v>
      </c>
      <c r="I349" s="390">
        <f>IF(H349,Wh_hp,'2023'!Maxi_hp)</f>
        <v>17.003353982063814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7.3515573067477941E-2</v>
      </c>
      <c r="M349" s="843"/>
      <c r="N349" s="843"/>
      <c r="O349" s="48">
        <f>IF(t&lt;Tnet,'2023'!Resal+('2023'!Salim-'2023'!Resal)*(1-EXP(('2023'!Tnet-t)/('2023'!Tau_j))),Resal+(Salim-Resal)*(1-EXP((Tnet-t)/(Tau_j))))*Salcycl</f>
        <v>0.10837006602084005</v>
      </c>
      <c r="P349" s="169">
        <f>(INDEX(Models!$BJ349:$BT349,,T349)*(1-R349)+INDEX(Models!$BJ349:$BT349,,T349+1)*R349-ERP_i)*Q349*Ramure*Pc/MaxiM</f>
        <v>3.0902304143618917E-2</v>
      </c>
      <c r="Q349" s="305">
        <f t="shared" si="130"/>
        <v>0.8</v>
      </c>
      <c r="R349" s="177">
        <f t="shared" si="131"/>
        <v>0.79907680524279545</v>
      </c>
      <c r="S349" s="809">
        <f t="shared" si="132"/>
        <v>1</v>
      </c>
      <c r="T349" s="176">
        <f t="shared" si="133"/>
        <v>7</v>
      </c>
      <c r="U349" s="251">
        <f t="shared" si="134"/>
        <v>1.7990768052427955</v>
      </c>
      <c r="V349" s="383">
        <f t="shared" si="135"/>
        <v>14.239783181131303</v>
      </c>
      <c r="W349" s="402">
        <f t="shared" si="136"/>
        <v>3.1767908534228595</v>
      </c>
      <c r="X349" s="157">
        <f t="shared" si="137"/>
        <v>45626</v>
      </c>
      <c r="Y349" s="385">
        <f t="shared" si="138"/>
        <v>2.9949847941866024</v>
      </c>
      <c r="Z349" s="385">
        <f t="shared" si="139"/>
        <v>3.2326337142035242</v>
      </c>
      <c r="AA349" s="386">
        <f t="shared" si="140"/>
        <v>3.8456155002966748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0.15939757525053178</v>
      </c>
      <c r="AD349" s="231">
        <f>(INDEX(Models!$BJ349:$BT349,,AH349)*(1-AF349)+INDEX(Models!$BJ349:$BT349,,AH349+1)*AF349-ERP_i)*AE349*Ramure*Pc/MaxiM</f>
        <v>5.3597912208978596E-2</v>
      </c>
      <c r="AE349" s="305">
        <f t="shared" si="142"/>
        <v>0.8</v>
      </c>
      <c r="AF349" s="177">
        <f t="shared" si="143"/>
        <v>0.99979355240769907</v>
      </c>
      <c r="AG349" s="809">
        <f t="shared" si="149"/>
        <v>2</v>
      </c>
      <c r="AH349" s="176">
        <f t="shared" si="144"/>
        <v>8</v>
      </c>
      <c r="AI349" s="225">
        <f t="shared" si="145"/>
        <v>2.9997935524076991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IF(t&gt;Tmaj,'2023'!Wh/'2023'!Env_an*'2024'!Env_an,0.001*'[14]mon-tableau (2)'!$B$141)</f>
        <v>5.3052930789850095</v>
      </c>
      <c r="C350" s="839"/>
      <c r="D350" s="393">
        <f t="shared" si="127"/>
        <v>5.7263988502339211</v>
      </c>
      <c r="E350" s="385">
        <f t="shared" si="125"/>
        <v>6.4228506329484629</v>
      </c>
      <c r="F350" s="385">
        <f t="shared" si="128"/>
        <v>6.4440926998306418</v>
      </c>
      <c r="G350" s="110">
        <f t="shared" si="126"/>
        <v>0.36472564832520638</v>
      </c>
      <c r="H350" s="414" t="b">
        <f>Wh_hp&gt;='2023'!Maxi_hp</f>
        <v>0</v>
      </c>
      <c r="I350" s="390">
        <f>IF(H350,Wh_hp,'2023'!Maxi_hp)</f>
        <v>9.0516021673760747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7.3537624999996193E-2</v>
      </c>
      <c r="M350" s="843"/>
      <c r="N350" s="843"/>
      <c r="O350" s="48">
        <f>IF(t&lt;Tnet,'2023'!Resal+('2023'!Salim-'2023'!Resal)*(1-EXP(('2023'!Tnet-t)/('2023'!Tau_j))),Resal+(Salim-Resal)*(1-EXP((Tnet-t)/(Tau_j))))*Salcycl</f>
        <v>0.10843343906237307</v>
      </c>
      <c r="P350" s="169">
        <f>(INDEX(Models!$BJ350:$BT350,,T350)*(1-R350)+INDEX(Models!$BJ350:$BT350,,T350+1)*R350-ERP_i)*Q350*Ramure*Pc/MaxiM</f>
        <v>3.0743913029891545E-2</v>
      </c>
      <c r="Q350" s="305">
        <f t="shared" si="130"/>
        <v>0.8</v>
      </c>
      <c r="R350" s="177">
        <f t="shared" si="131"/>
        <v>0.79909575632250163</v>
      </c>
      <c r="S350" s="809">
        <f t="shared" si="132"/>
        <v>1</v>
      </c>
      <c r="T350" s="176">
        <f t="shared" si="133"/>
        <v>7</v>
      </c>
      <c r="U350" s="251">
        <f t="shared" si="134"/>
        <v>1.7990957563225016</v>
      </c>
      <c r="V350" s="383">
        <f t="shared" si="135"/>
        <v>14.145410965718098</v>
      </c>
      <c r="W350" s="402">
        <f t="shared" si="136"/>
        <v>5.3052930789850095</v>
      </c>
      <c r="X350" s="157">
        <f t="shared" si="137"/>
        <v>45627</v>
      </c>
      <c r="Y350" s="385">
        <f t="shared" si="138"/>
        <v>4.9901953559928405</v>
      </c>
      <c r="Z350" s="385">
        <f t="shared" si="139"/>
        <v>5.3862903563599325</v>
      </c>
      <c r="AA350" s="386">
        <f t="shared" si="140"/>
        <v>6.407461633812094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0.15937220319251749</v>
      </c>
      <c r="AD350" s="231">
        <f>(INDEX(Models!$BJ350:$BT350,,AH350)*(1-AF350)+INDEX(Models!$BJ350:$BT350,,AH350+1)*AF350-ERP_i)*AE350*Ramure*Pc/MaxiM</f>
        <v>5.3016606816697696E-2</v>
      </c>
      <c r="AE350" s="305">
        <f t="shared" si="142"/>
        <v>0.8</v>
      </c>
      <c r="AF350" s="177">
        <f t="shared" si="143"/>
        <v>0.99981250348740502</v>
      </c>
      <c r="AG350" s="809">
        <f t="shared" si="149"/>
        <v>2</v>
      </c>
      <c r="AH350" s="176">
        <f t="shared" si="144"/>
        <v>8</v>
      </c>
      <c r="AI350" s="225">
        <f t="shared" si="145"/>
        <v>2.999812503487405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IF(t&gt;Tmaj,'2023'!Wh/'2023'!Env_an*'2024'!Env_an,0.001*'[14]mon-tableau (2)'!$B$142)</f>
        <v>5.9595739976808373</v>
      </c>
      <c r="C351" s="839"/>
      <c r="D351" s="393">
        <f t="shared" si="127"/>
        <v>6.4327661976620885</v>
      </c>
      <c r="E351" s="385">
        <f t="shared" si="125"/>
        <v>7.2156538694966397</v>
      </c>
      <c r="F351" s="385">
        <f t="shared" si="128"/>
        <v>7.2548991819013242</v>
      </c>
      <c r="G351" s="110">
        <f t="shared" si="126"/>
        <v>0.41320210060381851</v>
      </c>
      <c r="H351" s="414" t="b">
        <f>Wh_hp&gt;='2023'!Maxi_hp</f>
        <v>0</v>
      </c>
      <c r="I351" s="390">
        <f>IF(H351,Wh_hp,'2023'!Maxi_hp)</f>
        <v>12.664538267846305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7.3559676419333725E-2</v>
      </c>
      <c r="M351" s="843"/>
      <c r="N351" s="843"/>
      <c r="O351" s="48">
        <f>IF(t&lt;Tnet,'2023'!Resal+('2023'!Salim-'2023'!Resal)*(1-EXP(('2023'!Tnet-t)/('2023'!Tau_j))),Resal+(Salim-Resal)*(1-EXP((Tnet-t)/(Tau_j))))*Salcycl</f>
        <v>0.1084985069952039</v>
      </c>
      <c r="P351" s="169">
        <f>(INDEX(Models!$BJ351:$BT351,,T351)*(1-R351)+INDEX(Models!$BJ351:$BT351,,T351+1)*R351-ERP_i)*Q351*Ramure*Pc/MaxiM</f>
        <v>3.0557007704110593E-2</v>
      </c>
      <c r="Q351" s="305">
        <f t="shared" si="130"/>
        <v>0.8</v>
      </c>
      <c r="R351" s="177">
        <f t="shared" si="131"/>
        <v>0.79911394550149684</v>
      </c>
      <c r="S351" s="809">
        <f t="shared" si="132"/>
        <v>1</v>
      </c>
      <c r="T351" s="176">
        <f t="shared" si="133"/>
        <v>7</v>
      </c>
      <c r="U351" s="251">
        <f t="shared" si="134"/>
        <v>1.7991139455014968</v>
      </c>
      <c r="V351" s="383">
        <f t="shared" si="135"/>
        <v>14.058230539911689</v>
      </c>
      <c r="W351" s="402">
        <f t="shared" si="136"/>
        <v>5.9595739976808373</v>
      </c>
      <c r="X351" s="157">
        <f t="shared" si="137"/>
        <v>45628</v>
      </c>
      <c r="Y351" s="385">
        <f t="shared" si="138"/>
        <v>5.5977835675166112</v>
      </c>
      <c r="Z351" s="385">
        <f t="shared" si="139"/>
        <v>6.0422494844366579</v>
      </c>
      <c r="AA351" s="386">
        <f t="shared" si="140"/>
        <v>7.1875886220578531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0.15934956740655493</v>
      </c>
      <c r="AD351" s="231">
        <f>(INDEX(Models!$BJ351:$BT351,,AH351)*(1-AF351)+INDEX(Models!$BJ351:$BT351,,AH351+1)*AF351-ERP_i)*AE351*Ramure*Pc/MaxiM</f>
        <v>5.2409043773070756E-2</v>
      </c>
      <c r="AE351" s="305">
        <f t="shared" si="142"/>
        <v>0.8</v>
      </c>
      <c r="AF351" s="177">
        <f t="shared" si="143"/>
        <v>0.99983069266640046</v>
      </c>
      <c r="AG351" s="809">
        <f t="shared" si="149"/>
        <v>2</v>
      </c>
      <c r="AH351" s="176">
        <f t="shared" si="144"/>
        <v>8</v>
      </c>
      <c r="AI351" s="225">
        <f t="shared" si="145"/>
        <v>2.9998306926664005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IF(t&gt;Tmaj,'2023'!Wh/'2023'!Env_an*'2024'!Env_an,0.001*'[14]mon-tableau (2)'!$B$143)</f>
        <v>11.623434788007863</v>
      </c>
      <c r="C352" s="839"/>
      <c r="D352" s="393">
        <f t="shared" si="127"/>
        <v>12.546638090861391</v>
      </c>
      <c r="E352" s="385">
        <f t="shared" si="125"/>
        <v>14.074656632589992</v>
      </c>
      <c r="F352" s="385">
        <f t="shared" si="128"/>
        <v>14.406649554541968</v>
      </c>
      <c r="G352" s="110">
        <f t="shared" si="126"/>
        <v>0.82530071980863284</v>
      </c>
      <c r="H352" s="414" t="b">
        <f>Wh_hp&gt;='2023'!Maxi_hp</f>
        <v>0</v>
      </c>
      <c r="I352" s="390">
        <f>IF(H352,Wh_hp,'2023'!Maxi_hp)</f>
        <v>14.483247185091793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7.3581727325502638E-2</v>
      </c>
      <c r="M352" s="843"/>
      <c r="N352" s="843"/>
      <c r="O352" s="48">
        <f>IF(t&lt;Tnet,'2023'!Resal+('2023'!Salim-'2023'!Resal)*(1-EXP(('2023'!Tnet-t)/('2023'!Tau_j))),Resal+(Salim-Resal)*(1-EXP((Tnet-t)/(Tau_j))))*Salcycl</f>
        <v>0.10856524472436939</v>
      </c>
      <c r="P352" s="169">
        <f>(INDEX(Models!$BJ352:$BT352,,T352)*(1-R352)+INDEX(Models!$BJ352:$BT352,,T352+1)*R352-ERP_i)*Q352*Ramure*Pc/MaxiM</f>
        <v>3.0349107310828294E-2</v>
      </c>
      <c r="Q352" s="305">
        <f t="shared" si="130"/>
        <v>0.8</v>
      </c>
      <c r="R352" s="177">
        <f t="shared" si="131"/>
        <v>0.79913140336745858</v>
      </c>
      <c r="S352" s="809">
        <f t="shared" si="132"/>
        <v>1</v>
      </c>
      <c r="T352" s="176">
        <f t="shared" si="133"/>
        <v>7</v>
      </c>
      <c r="U352" s="251">
        <f t="shared" si="134"/>
        <v>1.7991314033674586</v>
      </c>
      <c r="V352" s="383">
        <f t="shared" si="135"/>
        <v>13.978573185234808</v>
      </c>
      <c r="W352" s="402">
        <f t="shared" si="136"/>
        <v>11.623434788007863</v>
      </c>
      <c r="X352" s="157">
        <f t="shared" si="137"/>
        <v>45629</v>
      </c>
      <c r="Y352" s="385">
        <f t="shared" si="138"/>
        <v>10.778797073070209</v>
      </c>
      <c r="Z352" s="385">
        <f t="shared" si="139"/>
        <v>11.634914153790017</v>
      </c>
      <c r="AA352" s="386">
        <f t="shared" si="140"/>
        <v>13.840043008758196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0.15932962445078655</v>
      </c>
      <c r="AD352" s="231">
        <f>(INDEX(Models!$BJ352:$BT352,,AH352)*(1-AF352)+INDEX(Models!$BJ352:$BT352,,AH352+1)*AF352-ERP_i)*AE352*Ramure*Pc/MaxiM</f>
        <v>5.1796293607418886E-2</v>
      </c>
      <c r="AE352" s="305">
        <f t="shared" si="142"/>
        <v>0.8</v>
      </c>
      <c r="AF352" s="177">
        <f t="shared" si="143"/>
        <v>0.9998481505323622</v>
      </c>
      <c r="AG352" s="809">
        <f t="shared" si="149"/>
        <v>2</v>
      </c>
      <c r="AH352" s="176">
        <f t="shared" si="144"/>
        <v>8</v>
      </c>
      <c r="AI352" s="225">
        <f t="shared" si="145"/>
        <v>2.9998481505323622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IF(t&gt;Tmaj,'2023'!Wh/'2023'!Env_an*'2024'!Env_an,0.001*'[14]mon-tableau (2)'!$B$144)</f>
        <v>14.545663409095567</v>
      </c>
      <c r="C353" s="839"/>
      <c r="D353" s="393">
        <f t="shared" si="127"/>
        <v>15.701341455466199</v>
      </c>
      <c r="E353" s="385">
        <f t="shared" si="125"/>
        <v>17.614913280345313</v>
      </c>
      <c r="F353" s="385">
        <f t="shared" si="128"/>
        <v>18.16232390520457</v>
      </c>
      <c r="G353" s="110">
        <f t="shared" si="126"/>
        <v>1.0459540036296502</v>
      </c>
      <c r="H353" s="414" t="b">
        <f>Wh_hp&gt;='2023'!Maxi_hp</f>
        <v>1</v>
      </c>
      <c r="I353" s="390">
        <f>IF(H353,Wh_hp,'2023'!Maxi_hp)</f>
        <v>18.16232390520457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7.360377771851459E-2</v>
      </c>
      <c r="M353" s="843"/>
      <c r="N353" s="843"/>
      <c r="O353" s="48">
        <f>IF(t&lt;Tnet,'2023'!Resal+('2023'!Salim-'2023'!Resal)*(1-EXP(('2023'!Tnet-t)/('2023'!Tau_j))),Resal+(Salim-Resal)*(1-EXP((Tnet-t)/(Tau_j))))*Salcycl</f>
        <v>0.10863362166047534</v>
      </c>
      <c r="P353" s="169">
        <f>(INDEX(Models!$BJ353:$BT353,,T353)*(1-R353)+INDEX(Models!$BJ353:$BT353,,T353+1)*R353-ERP_i)*Q353*Ramure*Pc/MaxiM</f>
        <v>3.0139899922299544E-2</v>
      </c>
      <c r="Q353" s="305">
        <f t="shared" si="130"/>
        <v>0.8</v>
      </c>
      <c r="R353" s="177">
        <f t="shared" si="131"/>
        <v>0.79914815928350147</v>
      </c>
      <c r="S353" s="809">
        <f t="shared" si="132"/>
        <v>1</v>
      </c>
      <c r="T353" s="176">
        <f t="shared" si="133"/>
        <v>7</v>
      </c>
      <c r="U353" s="251">
        <f t="shared" si="134"/>
        <v>1.7991481592835015</v>
      </c>
      <c r="V353" s="383">
        <f t="shared" si="135"/>
        <v>13.906599485846868</v>
      </c>
      <c r="W353" s="402">
        <f t="shared" si="136"/>
        <v>14.545663409095567</v>
      </c>
      <c r="X353" s="157">
        <f t="shared" si="137"/>
        <v>45630</v>
      </c>
      <c r="Y353" s="385">
        <f t="shared" si="138"/>
        <v>13.420832282341944</v>
      </c>
      <c r="Z353" s="385">
        <f t="shared" si="139"/>
        <v>14.487140555571075</v>
      </c>
      <c r="AA353" s="386">
        <f t="shared" si="140"/>
        <v>17.232488296806093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0.15931232297681852</v>
      </c>
      <c r="AD353" s="231">
        <f>(INDEX(Models!$BJ353:$BT353,,AH353)*(1-AF353)+INDEX(Models!$BJ353:$BT353,,AH353+1)*AF353-ERP_i)*AE353*Ramure*Pc/MaxiM</f>
        <v>5.1195849895179134E-2</v>
      </c>
      <c r="AE353" s="305">
        <f t="shared" si="142"/>
        <v>0.8</v>
      </c>
      <c r="AF353" s="177">
        <f t="shared" si="143"/>
        <v>0.99986490644840487</v>
      </c>
      <c r="AG353" s="809">
        <f t="shared" si="149"/>
        <v>2</v>
      </c>
      <c r="AH353" s="176">
        <f t="shared" si="144"/>
        <v>8</v>
      </c>
      <c r="AI353" s="225">
        <f t="shared" si="145"/>
        <v>2.9998649064484049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IF(t&gt;Tmaj,'2023'!Wh/'2023'!Env_an*'2024'!Env_an,0.001*'[14]mon-tableau (2)'!$B$145)</f>
        <v>8.1071082221371551</v>
      </c>
      <c r="C354" s="839"/>
      <c r="D354" s="393">
        <f t="shared" si="127"/>
        <v>8.751440253477206</v>
      </c>
      <c r="E354" s="385">
        <f t="shared" si="125"/>
        <v>9.818776642166533</v>
      </c>
      <c r="F354" s="385">
        <f t="shared" si="128"/>
        <v>9.9401780535621338</v>
      </c>
      <c r="G354" s="110">
        <f t="shared" si="126"/>
        <v>0.57515313079198715</v>
      </c>
      <c r="H354" s="414" t="b">
        <f>Wh_hp&gt;='2023'!Maxi_hp</f>
        <v>0</v>
      </c>
      <c r="I354" s="390">
        <f>IF(H354,Wh_hp,'2023'!Maxi_hp)</f>
        <v>13.343805020579753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7.3625827598381793E-2</v>
      </c>
      <c r="M354" s="843"/>
      <c r="N354" s="843"/>
      <c r="O354" s="48">
        <f>IF(t&lt;Tnet,'2023'!Resal+('2023'!Salim-'2023'!Resal)*(1-EXP(('2023'!Tnet-t)/('2023'!Tau_j))),Resal+(Salim-Resal)*(1-EXP((Tnet-t)/(Tau_j))))*Salcycl</f>
        <v>0.10870360204607091</v>
      </c>
      <c r="P354" s="169">
        <f>(INDEX(Models!$BJ354:$BT354,,T354)*(1-R354)+INDEX(Models!$BJ354:$BT354,,T354+1)*R354-ERP_i)*Q354*Ramure*Pc/MaxiM</f>
        <v>2.9928407127172808E-2</v>
      </c>
      <c r="Q354" s="305">
        <f t="shared" si="130"/>
        <v>0.8</v>
      </c>
      <c r="R354" s="177">
        <f t="shared" si="131"/>
        <v>0.79916424143692888</v>
      </c>
      <c r="S354" s="809">
        <f t="shared" si="132"/>
        <v>1</v>
      </c>
      <c r="T354" s="176">
        <f t="shared" si="133"/>
        <v>7</v>
      </c>
      <c r="U354" s="251">
        <f t="shared" si="134"/>
        <v>1.7991642414369289</v>
      </c>
      <c r="V354" s="383">
        <f t="shared" si="135"/>
        <v>13.842771570993946</v>
      </c>
      <c r="W354" s="402">
        <f t="shared" si="136"/>
        <v>8.1071082221371551</v>
      </c>
      <c r="X354" s="157">
        <f t="shared" si="137"/>
        <v>45631</v>
      </c>
      <c r="Y354" s="385">
        <f t="shared" si="138"/>
        <v>7.5815876275171181</v>
      </c>
      <c r="Z354" s="385">
        <f t="shared" si="139"/>
        <v>8.1841526387354993</v>
      </c>
      <c r="AA354" s="386">
        <f t="shared" si="140"/>
        <v>9.7348986751756108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0.1592976042364547</v>
      </c>
      <c r="AD354" s="231">
        <f>(INDEX(Models!$BJ354:$BT354,,AH354)*(1-AF354)+INDEX(Models!$BJ354:$BT354,,AH354+1)*AF354-ERP_i)*AE354*Ramure*Pc/MaxiM</f>
        <v>5.0606370556474878E-2</v>
      </c>
      <c r="AE354" s="305">
        <f t="shared" si="142"/>
        <v>0.8</v>
      </c>
      <c r="AF354" s="177">
        <f t="shared" si="143"/>
        <v>0.9998809886018325</v>
      </c>
      <c r="AG354" s="809">
        <f t="shared" si="149"/>
        <v>2</v>
      </c>
      <c r="AH354" s="176">
        <f t="shared" si="144"/>
        <v>8</v>
      </c>
      <c r="AI354" s="225">
        <f t="shared" si="145"/>
        <v>2.9998809886018325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IF(t&gt;Tmaj,'2023'!Wh/'2023'!Env_an*'2024'!Env_an,0.001*'[14]mon-tableau (2)'!$B$146)</f>
        <v>12.943372060478364</v>
      </c>
      <c r="C355" s="839"/>
      <c r="D355" s="393">
        <f t="shared" si="127"/>
        <v>13.972410424314372</v>
      </c>
      <c r="E355" s="385">
        <f t="shared" si="125"/>
        <v>15.677761174140384</v>
      </c>
      <c r="F355" s="385">
        <f t="shared" si="128"/>
        <v>16.114706053871821</v>
      </c>
      <c r="G355" s="110">
        <f t="shared" si="126"/>
        <v>0.93626448637989368</v>
      </c>
      <c r="H355" s="414" t="b">
        <f>Wh_hp&gt;='2023'!Maxi_hp</f>
        <v>0</v>
      </c>
      <c r="I355" s="390">
        <f>IF(H355,Wh_hp,'2023'!Maxi_hp)</f>
        <v>16.145056868445899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7.3647876965116016E-2</v>
      </c>
      <c r="M355" s="843"/>
      <c r="N355" s="843"/>
      <c r="O355" s="48">
        <f>IF(t&lt;Tnet,'2023'!Resal+('2023'!Salim-'2023'!Resal)*(1-EXP(('2023'!Tnet-t)/('2023'!Tau_j))),Resal+(Salim-Resal)*(1-EXP((Tnet-t)/(Tau_j))))*Salcycl</f>
        <v>0.10877514530830433</v>
      </c>
      <c r="P355" s="169">
        <f>(INDEX(Models!$BJ355:$BT355,,T355)*(1-R355)+INDEX(Models!$BJ355:$BT355,,T355+1)*R355-ERP_i)*Q355*Ramure*Pc/MaxiM</f>
        <v>2.9713663160817177E-2</v>
      </c>
      <c r="Q355" s="305">
        <f t="shared" si="130"/>
        <v>0.8</v>
      </c>
      <c r="R355" s="177">
        <f t="shared" si="131"/>
        <v>0.79917967688607106</v>
      </c>
      <c r="S355" s="809">
        <f t="shared" si="132"/>
        <v>1</v>
      </c>
      <c r="T355" s="176">
        <f t="shared" si="133"/>
        <v>7</v>
      </c>
      <c r="U355" s="251">
        <f t="shared" si="134"/>
        <v>1.7991796768860711</v>
      </c>
      <c r="V355" s="383">
        <f t="shared" si="135"/>
        <v>13.787551396089464</v>
      </c>
      <c r="W355" s="402">
        <f t="shared" si="136"/>
        <v>12.943372060478364</v>
      </c>
      <c r="X355" s="157">
        <f t="shared" si="137"/>
        <v>45632</v>
      </c>
      <c r="Y355" s="385">
        <f t="shared" si="138"/>
        <v>11.977174680858274</v>
      </c>
      <c r="Z355" s="385">
        <f t="shared" si="139"/>
        <v>12.92939734581603</v>
      </c>
      <c r="AA355" s="386">
        <f t="shared" si="140"/>
        <v>15.37905656233262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0.1592854026245312</v>
      </c>
      <c r="AD355" s="231">
        <f>(INDEX(Models!$BJ355:$BT355,,AH355)*(1-AF355)+INDEX(Models!$BJ355:$BT355,,AH355+1)*AF355-ERP_i)*AE355*Ramure*Pc/MaxiM</f>
        <v>5.0026541584507152E-2</v>
      </c>
      <c r="AE355" s="305">
        <f t="shared" si="142"/>
        <v>0.8</v>
      </c>
      <c r="AF355" s="177">
        <f t="shared" si="143"/>
        <v>0.99989642405097445</v>
      </c>
      <c r="AG355" s="809">
        <f t="shared" si="149"/>
        <v>2</v>
      </c>
      <c r="AH355" s="176">
        <f t="shared" si="144"/>
        <v>8</v>
      </c>
      <c r="AI355" s="225">
        <f t="shared" si="145"/>
        <v>2.9998964240509745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IF(t&gt;Tmaj,'2023'!Wh/'2023'!Env_an*'2024'!Env_an,0.001*'[14]mon-tableau (2)'!$B$147)</f>
        <v>3.803620137623505</v>
      </c>
      <c r="C356" s="839"/>
      <c r="D356" s="393">
        <f t="shared" si="127"/>
        <v>4.1061175099872518</v>
      </c>
      <c r="E356" s="385">
        <f t="shared" si="125"/>
        <v>4.6076521863467965</v>
      </c>
      <c r="F356" s="385">
        <f t="shared" si="128"/>
        <v>4.6076521863467965</v>
      </c>
      <c r="G356" s="110">
        <f t="shared" si="126"/>
        <v>0.26863589015629519</v>
      </c>
      <c r="H356" s="414" t="b">
        <f>Wh_hp&gt;='2023'!Maxi_hp</f>
        <v>0</v>
      </c>
      <c r="I356" s="390">
        <f>IF(H356,Wh_hp,'2023'!Maxi_hp)</f>
        <v>13.163873636421526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7.3669925818729359E-2</v>
      </c>
      <c r="M356" s="843"/>
      <c r="N356" s="843"/>
      <c r="O356" s="48">
        <f>IF(t&lt;Tnet,'2023'!Resal+('2023'!Salim-'2023'!Resal)*(1-EXP(('2023'!Tnet-t)/('2023'!Tau_j))),Resal+(Salim-Resal)*(1-EXP((Tnet-t)/(Tau_j))))*Salcycl</f>
        <v>0.10884820643486752</v>
      </c>
      <c r="P356" s="169">
        <f>(INDEX(Models!$BJ356:$BT356,,T356)*(1-R356)+INDEX(Models!$BJ356:$BT356,,T356+1)*R356-ERP_i)*Q356*Ramure*Pc/MaxiM</f>
        <v>2.9494723910258317E-2</v>
      </c>
      <c r="Q356" s="305">
        <f t="shared" si="130"/>
        <v>0.8</v>
      </c>
      <c r="R356" s="177">
        <f t="shared" si="131"/>
        <v>0.79919449160527201</v>
      </c>
      <c r="S356" s="809">
        <f t="shared" si="132"/>
        <v>1</v>
      </c>
      <c r="T356" s="176">
        <f t="shared" si="133"/>
        <v>7</v>
      </c>
      <c r="U356" s="251">
        <f t="shared" si="134"/>
        <v>1.799194491605272</v>
      </c>
      <c r="V356" s="383">
        <f t="shared" si="135"/>
        <v>13.741400710296331</v>
      </c>
      <c r="W356" s="402">
        <f t="shared" si="136"/>
        <v>3.803620137623505</v>
      </c>
      <c r="X356" s="157">
        <f t="shared" si="137"/>
        <v>45633</v>
      </c>
      <c r="Y356" s="385">
        <f t="shared" si="138"/>
        <v>3.5883853965084578</v>
      </c>
      <c r="Z356" s="385">
        <f t="shared" si="139"/>
        <v>3.8737654066559624</v>
      </c>
      <c r="AA356" s="386">
        <f t="shared" si="140"/>
        <v>4.6076521863467965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0.15927564625330387</v>
      </c>
      <c r="AD356" s="231">
        <f>(INDEX(Models!$BJ356:$BT356,,AH356)*(1-AF356)+INDEX(Models!$BJ356:$BT356,,AH356+1)*AF356-ERP_i)*AE356*Ramure*Pc/MaxiM</f>
        <v>4.9455085776487752E-2</v>
      </c>
      <c r="AE356" s="305">
        <f t="shared" si="142"/>
        <v>0.8</v>
      </c>
      <c r="AF356" s="177">
        <f t="shared" si="143"/>
        <v>0.99991123877017563</v>
      </c>
      <c r="AG356" s="809">
        <f t="shared" si="149"/>
        <v>2</v>
      </c>
      <c r="AH356" s="176">
        <f t="shared" si="144"/>
        <v>8</v>
      </c>
      <c r="AI356" s="225">
        <f t="shared" si="145"/>
        <v>2.9999112387701756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IF(t&gt;Tmaj,'2023'!Wh/'2023'!Env_an*'2024'!Env_an,0.001*'[14]mon-tableau (2)'!$B$148)</f>
        <v>4.5002687793063672</v>
      </c>
      <c r="C357" s="839"/>
      <c r="D357" s="393">
        <f t="shared" si="127"/>
        <v>4.858285423168696</v>
      </c>
      <c r="E357" s="385">
        <f t="shared" si="125"/>
        <v>5.4521483393907078</v>
      </c>
      <c r="F357" s="385">
        <f t="shared" si="128"/>
        <v>5.4586243953673694</v>
      </c>
      <c r="G357" s="110">
        <f t="shared" si="126"/>
        <v>0.31913912473144079</v>
      </c>
      <c r="H357" s="414" t="b">
        <f>Wh_hp&gt;='2023'!Maxi_hp</f>
        <v>0</v>
      </c>
      <c r="I357" s="390">
        <f>IF(H357,Wh_hp,'2023'!Maxi_hp)</f>
        <v>9.5730272396475531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7.3691974159233592E-2</v>
      </c>
      <c r="M357" s="843"/>
      <c r="N357" s="843"/>
      <c r="O357" s="48">
        <f>IF(t&lt;Tnet,'2023'!Resal+('2023'!Salim-'2023'!Resal)*(1-EXP(('2023'!Tnet-t)/('2023'!Tau_j))),Resal+(Salim-Resal)*(1-EXP((Tnet-t)/(Tau_j))))*Salcycl</f>
        <v>0.10892273637007779</v>
      </c>
      <c r="P357" s="169">
        <f>(INDEX(Models!$BJ357:$BT357,,T357)*(1-R357)+INDEX(Models!$BJ357:$BT357,,T357+1)*R357-ERP_i)*Q357*Ramure*Pc/MaxiM</f>
        <v>2.9270676499061666E-2</v>
      </c>
      <c r="Q357" s="305">
        <f t="shared" si="130"/>
        <v>0.8</v>
      </c>
      <c r="R357" s="177">
        <f t="shared" si="131"/>
        <v>0.79920871052810405</v>
      </c>
      <c r="S357" s="809">
        <f t="shared" si="132"/>
        <v>1</v>
      </c>
      <c r="T357" s="176">
        <f t="shared" si="133"/>
        <v>7</v>
      </c>
      <c r="U357" s="251">
        <f t="shared" si="134"/>
        <v>1.799208710528104</v>
      </c>
      <c r="V357" s="383">
        <f t="shared" si="135"/>
        <v>13.704781016565406</v>
      </c>
      <c r="W357" s="402">
        <f t="shared" si="136"/>
        <v>4.5002687793063672</v>
      </c>
      <c r="X357" s="157">
        <f t="shared" si="137"/>
        <v>45634</v>
      </c>
      <c r="Y357" s="385">
        <f t="shared" si="138"/>
        <v>4.2426247469835445</v>
      </c>
      <c r="Z357" s="385">
        <f t="shared" si="139"/>
        <v>4.5801446480318599</v>
      </c>
      <c r="AA357" s="386">
        <f t="shared" si="140"/>
        <v>5.4478074477175351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0.1592682575536328</v>
      </c>
      <c r="AD357" s="231">
        <f>(INDEX(Models!$BJ357:$BT357,,AH357)*(1-AF357)+INDEX(Models!$BJ357:$BT357,,AH357+1)*AF357-ERP_i)*AE357*Ramure*Pc/MaxiM</f>
        <v>4.8890771868961139E-2</v>
      </c>
      <c r="AE357" s="305">
        <f t="shared" si="142"/>
        <v>0.8</v>
      </c>
      <c r="AF357" s="177">
        <f t="shared" si="143"/>
        <v>0.99992545769300767</v>
      </c>
      <c r="AG357" s="809">
        <f t="shared" si="149"/>
        <v>2</v>
      </c>
      <c r="AH357" s="176">
        <f t="shared" si="144"/>
        <v>8</v>
      </c>
      <c r="AI357" s="225">
        <f t="shared" si="145"/>
        <v>2.9999254576930077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IF(t&gt;Tmaj,'2023'!Wh/'2023'!Env_an*'2024'!Env_an,0.001*'[14]mon-tableau (2)'!$B$149)</f>
        <v>9.1747569898153909</v>
      </c>
      <c r="C358" s="839"/>
      <c r="D358" s="393">
        <f t="shared" si="127"/>
        <v>9.9048859721409581</v>
      </c>
      <c r="E358" s="385">
        <f t="shared" si="125"/>
        <v>11.116578367280052</v>
      </c>
      <c r="F358" s="385">
        <f t="shared" si="128"/>
        <v>11.290240138239307</v>
      </c>
      <c r="G358" s="110">
        <f t="shared" si="126"/>
        <v>0.66145482621387908</v>
      </c>
      <c r="H358" s="414" t="b">
        <f>Wh_hp&gt;='2023'!Maxi_hp</f>
        <v>0</v>
      </c>
      <c r="I358" s="390">
        <f>IF(H358,Wh_hp,'2023'!Maxi_hp)</f>
        <v>15.549770066457318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7.3714021986640704E-2</v>
      </c>
      <c r="M358" s="843"/>
      <c r="N358" s="843"/>
      <c r="O358" s="48">
        <f>IF(t&lt;Tnet,'2023'!Resal+('2023'!Salim-'2023'!Resal)*(1-EXP(('2023'!Tnet-t)/('2023'!Tau_j))),Resal+(Salim-Resal)*(1-EXP((Tnet-t)/(Tau_j))))*Salcycl</f>
        <v>0.10899868242781663</v>
      </c>
      <c r="P358" s="169">
        <f>(INDEX(Models!$BJ358:$BT358,,T358)*(1-R358)+INDEX(Models!$BJ358:$BT358,,T358+1)*R358-ERP_i)*Q358*Ramure*Pc/MaxiM</f>
        <v>2.904064928191457E-2</v>
      </c>
      <c r="Q358" s="305">
        <f t="shared" si="130"/>
        <v>0.8</v>
      </c>
      <c r="R358" s="177">
        <f t="shared" si="131"/>
        <v>0.7992223575888775</v>
      </c>
      <c r="S358" s="809">
        <f t="shared" si="132"/>
        <v>1</v>
      </c>
      <c r="T358" s="176">
        <f t="shared" si="133"/>
        <v>7</v>
      </c>
      <c r="U358" s="251">
        <f t="shared" si="134"/>
        <v>1.7992223575888775</v>
      </c>
      <c r="V358" s="383">
        <f t="shared" si="135"/>
        <v>13.678153534106658</v>
      </c>
      <c r="W358" s="402">
        <f t="shared" si="136"/>
        <v>9.1747569898153909</v>
      </c>
      <c r="X358" s="157">
        <f t="shared" si="137"/>
        <v>45635</v>
      </c>
      <c r="Y358" s="385">
        <f t="shared" si="138"/>
        <v>8.5673360193289199</v>
      </c>
      <c r="Z358" s="385">
        <f t="shared" si="139"/>
        <v>9.2491263202576057</v>
      </c>
      <c r="AA358" s="386">
        <f t="shared" si="140"/>
        <v>11.00121442653656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0.15926315389805129</v>
      </c>
      <c r="AD358" s="231">
        <f>(INDEX(Models!$BJ358:$BT358,,AH358)*(1-AF358)+INDEX(Models!$BJ358:$BT358,,AH358+1)*AF358-ERP_i)*AE358*Ramure*Pc/MaxiM</f>
        <v>4.8332423887261756E-2</v>
      </c>
      <c r="AE358" s="305">
        <f t="shared" si="142"/>
        <v>0.8</v>
      </c>
      <c r="AF358" s="177">
        <f t="shared" si="143"/>
        <v>0.99993910475378112</v>
      </c>
      <c r="AG358" s="809">
        <f t="shared" si="149"/>
        <v>2</v>
      </c>
      <c r="AH358" s="176">
        <f t="shared" si="144"/>
        <v>8</v>
      </c>
      <c r="AI358" s="225">
        <f t="shared" si="145"/>
        <v>2.9999391047537811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IF(t&gt;Tmaj,'2023'!Wh/'2023'!Env_an*'2024'!Env_an,0.001*'[14]mon-tableau (2)'!$B$150)</f>
        <v>11.160755482811338</v>
      </c>
      <c r="C359" s="839"/>
      <c r="D359" s="393">
        <f t="shared" si="127"/>
        <v>12.049217412998566</v>
      </c>
      <c r="E359" s="385">
        <f t="shared" si="125"/>
        <v>13.524405292051238</v>
      </c>
      <c r="F359" s="385">
        <f t="shared" si="128"/>
        <v>13.818294622037648</v>
      </c>
      <c r="G359" s="110">
        <f t="shared" si="126"/>
        <v>0.81059779197912696</v>
      </c>
      <c r="H359" s="414" t="b">
        <f>Wh_hp&gt;='2023'!Maxi_hp</f>
        <v>0</v>
      </c>
      <c r="I359" s="390">
        <f>IF(H359,Wh_hp,'2023'!Maxi_hp)</f>
        <v>14.841331638958879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7.3736069300962687E-2</v>
      </c>
      <c r="M359" s="843"/>
      <c r="N359" s="843"/>
      <c r="O359" s="48">
        <f>IF(t&lt;Tnet,'2023'!Resal+('2023'!Salim-'2023'!Resal)*(1-EXP(('2023'!Tnet-t)/('2023'!Tau_j))),Resal+(Salim-Resal)*(1-EXP((Tnet-t)/(Tau_j))))*Salcycl</f>
        <v>0.1090759887179432</v>
      </c>
      <c r="P359" s="169">
        <f>(INDEX(Models!$BJ359:$BT359,,T359)*(1-R359)+INDEX(Models!$BJ359:$BT359,,T359+1)*R359-ERP_i)*Q359*Ramure*Pc/MaxiM</f>
        <v>2.8802641933429608E-2</v>
      </c>
      <c r="Q359" s="305">
        <f t="shared" si="130"/>
        <v>0.8</v>
      </c>
      <c r="R359" s="177">
        <f t="shared" si="131"/>
        <v>0.79923545576250721</v>
      </c>
      <c r="S359" s="809">
        <f t="shared" si="132"/>
        <v>1</v>
      </c>
      <c r="T359" s="176">
        <f t="shared" si="133"/>
        <v>7</v>
      </c>
      <c r="U359" s="251">
        <f t="shared" si="134"/>
        <v>1.7992354557625072</v>
      </c>
      <c r="V359" s="383">
        <f t="shared" si="135"/>
        <v>13.662555541151589</v>
      </c>
      <c r="W359" s="402">
        <f t="shared" si="136"/>
        <v>11.160755482811338</v>
      </c>
      <c r="X359" s="157">
        <f t="shared" si="137"/>
        <v>45636</v>
      </c>
      <c r="Y359" s="385">
        <f t="shared" si="138"/>
        <v>10.381319012359434</v>
      </c>
      <c r="Z359" s="385">
        <f t="shared" si="139"/>
        <v>11.207733204643745</v>
      </c>
      <c r="AA359" s="386">
        <f t="shared" si="140"/>
        <v>13.330799669208794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0.15926024824068608</v>
      </c>
      <c r="AD359" s="231">
        <f>(INDEX(Models!$BJ359:$BT359,,AH359)*(1-AF359)+INDEX(Models!$BJ359:$BT359,,AH359+1)*AF359-ERP_i)*AE359*Ramure*Pc/MaxiM</f>
        <v>4.7776972955543999E-2</v>
      </c>
      <c r="AE359" s="305">
        <f t="shared" si="142"/>
        <v>0.8</v>
      </c>
      <c r="AF359" s="177">
        <f t="shared" si="143"/>
        <v>0.99995220292741083</v>
      </c>
      <c r="AG359" s="809">
        <f t="shared" si="149"/>
        <v>2</v>
      </c>
      <c r="AH359" s="176">
        <f t="shared" si="144"/>
        <v>8</v>
      </c>
      <c r="AI359" s="225">
        <f t="shared" si="145"/>
        <v>2.9999522029274108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IF(t&gt;Tmaj,'2023'!Wh/'2023'!Env_an*'2024'!Env_an,0.001*'[14]mon-tableau (2)'!$B$151)</f>
        <v>3.7284308508175728</v>
      </c>
      <c r="C360" s="839"/>
      <c r="D360" s="393">
        <f t="shared" si="127"/>
        <v>4.0253317363793579</v>
      </c>
      <c r="E360" s="385">
        <f t="shared" si="125"/>
        <v>4.5185525130827964</v>
      </c>
      <c r="F360" s="385">
        <f t="shared" si="128"/>
        <v>4.5185525130827964</v>
      </c>
      <c r="G360" s="110">
        <f t="shared" si="126"/>
        <v>0.26518598270327109</v>
      </c>
      <c r="H360" s="414" t="b">
        <f>Wh_hp&gt;='2023'!Maxi_hp</f>
        <v>0</v>
      </c>
      <c r="I360" s="390">
        <f>IF(H360,Wh_hp,'2023'!Maxi_hp)</f>
        <v>16.842886191960798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7.3758116102211529E-2</v>
      </c>
      <c r="M360" s="843"/>
      <c r="N360" s="843"/>
      <c r="O360" s="48">
        <f>IF(t&lt;Tnet,'2023'!Resal+('2023'!Salim-'2023'!Resal)*(1-EXP(('2023'!Tnet-t)/('2023'!Tau_j))),Resal+(Salim-Resal)*(1-EXP((Tnet-t)/(Tau_j))))*Salcycl</f>
        <v>0.10915459658273115</v>
      </c>
      <c r="P360" s="169">
        <f>(INDEX(Models!$BJ360:$BT360,,T360)*(1-R360)+INDEX(Models!$BJ360:$BT360,,T360+1)*R360-ERP_i)*Q360*Ramure*Pc/MaxiM</f>
        <v>2.8556450594199326E-2</v>
      </c>
      <c r="Q360" s="305">
        <f t="shared" si="130"/>
        <v>0.8</v>
      </c>
      <c r="R360" s="177">
        <f t="shared" si="131"/>
        <v>0.79924802710280485</v>
      </c>
      <c r="S360" s="809">
        <f t="shared" si="132"/>
        <v>1</v>
      </c>
      <c r="T360" s="176">
        <f t="shared" si="133"/>
        <v>7</v>
      </c>
      <c r="U360" s="251">
        <f t="shared" si="134"/>
        <v>1.7992480271028048</v>
      </c>
      <c r="V360" s="383">
        <f t="shared" si="135"/>
        <v>13.658188349589693</v>
      </c>
      <c r="W360" s="402">
        <f t="shared" si="136"/>
        <v>3.7284308508175728</v>
      </c>
      <c r="X360" s="157">
        <f t="shared" si="137"/>
        <v>45637</v>
      </c>
      <c r="Y360" s="385">
        <f t="shared" si="138"/>
        <v>3.5187283820407456</v>
      </c>
      <c r="Z360" s="385">
        <f t="shared" si="139"/>
        <v>3.798930326097238</v>
      </c>
      <c r="AA360" s="386">
        <f t="shared" si="140"/>
        <v>4.5185525130827964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0.15925944976892478</v>
      </c>
      <c r="AD360" s="231">
        <f>(INDEX(Models!$BJ360:$BT360,,AH360)*(1-AF360)+INDEX(Models!$BJ360:$BT360,,AH360+1)*AF360-ERP_i)*AE360*Ramure*Pc/MaxiM</f>
        <v>4.722431674947454E-2</v>
      </c>
      <c r="AE360" s="305">
        <f t="shared" si="142"/>
        <v>0.8</v>
      </c>
      <c r="AF360" s="177">
        <f t="shared" si="143"/>
        <v>0.99996477426770847</v>
      </c>
      <c r="AG360" s="809">
        <f t="shared" si="149"/>
        <v>2</v>
      </c>
      <c r="AH360" s="176">
        <f t="shared" si="144"/>
        <v>8</v>
      </c>
      <c r="AI360" s="225">
        <f t="shared" si="145"/>
        <v>2.9999647742677085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IF(t&gt;Tmaj,'2023'!Wh/'2023'!Env_an*'2024'!Env_an,0.001*'[14]mon-tableau (2)'!$B$152)</f>
        <v>4.8430814902720769</v>
      </c>
      <c r="C361" s="839"/>
      <c r="D361" s="393">
        <f t="shared" si="127"/>
        <v>5.2288682379888973</v>
      </c>
      <c r="E361" s="385">
        <f t="shared" ref="E361:E380" si="150">Wh_pvt/(1-Psa)</f>
        <v>5.8700835577580754</v>
      </c>
      <c r="F361" s="385">
        <f t="shared" si="128"/>
        <v>5.8830367313317167</v>
      </c>
      <c r="G361" s="110">
        <f t="shared" ref="G361:G380" si="151">+Wh_hp/MaxiM</f>
        <v>0.34516234325438022</v>
      </c>
      <c r="H361" s="414" t="b">
        <f>Wh_hp&gt;='2023'!Maxi_hp</f>
        <v>0</v>
      </c>
      <c r="I361" s="390">
        <f>IF(H361,Wh_hp,'2023'!Maxi_hp)</f>
        <v>17.504311781575961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7.3780162390399001E-2</v>
      </c>
      <c r="M361" s="843"/>
      <c r="N361" s="843"/>
      <c r="O361" s="48">
        <f>IF(t&lt;Tnet,'2023'!Resal+('2023'!Salim-'2023'!Resal)*(1-EXP(('2023'!Tnet-t)/('2023'!Tau_j))),Resal+(Salim-Resal)*(1-EXP((Tnet-t)/(Tau_j))))*Salcycl</f>
        <v>0.10923444503983742</v>
      </c>
      <c r="P361" s="169">
        <f>(INDEX(Models!$BJ361:$BT361,,T361)*(1-R361)+INDEX(Models!$BJ361:$BT361,,T361+1)*R361-ERP_i)*Q361*Ramure*Pc/MaxiM</f>
        <v>2.831234879937115E-2</v>
      </c>
      <c r="Q361" s="305">
        <f t="shared" si="130"/>
        <v>0.8</v>
      </c>
      <c r="R361" s="177">
        <f t="shared" si="131"/>
        <v>0.79926009277925569</v>
      </c>
      <c r="S361" s="809">
        <f t="shared" si="132"/>
        <v>1</v>
      </c>
      <c r="T361" s="176">
        <f t="shared" si="133"/>
        <v>7</v>
      </c>
      <c r="U361" s="251">
        <f t="shared" si="134"/>
        <v>1.7992600927792557</v>
      </c>
      <c r="V361" s="383">
        <f t="shared" si="135"/>
        <v>13.664140787676404</v>
      </c>
      <c r="W361" s="402">
        <f t="shared" si="136"/>
        <v>4.8430814902720769</v>
      </c>
      <c r="X361" s="157">
        <f t="shared" si="137"/>
        <v>45638</v>
      </c>
      <c r="Y361" s="385">
        <f t="shared" si="138"/>
        <v>4.5645420447842922</v>
      </c>
      <c r="Z361" s="385">
        <f t="shared" si="139"/>
        <v>4.928141095060667</v>
      </c>
      <c r="AA361" s="386">
        <f t="shared" si="140"/>
        <v>5.8616754174960635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0.15926066456169882</v>
      </c>
      <c r="AD361" s="231">
        <f>(INDEX(Models!$BJ361:$BT361,,AH361)*(1-AF361)+INDEX(Models!$BJ361:$BT361,,AH361+1)*AF361-ERP_i)*AE361*Ramure*Pc/MaxiM</f>
        <v>4.6690408700963172E-2</v>
      </c>
      <c r="AE361" s="305">
        <f t="shared" si="142"/>
        <v>0.8</v>
      </c>
      <c r="AF361" s="177">
        <f t="shared" si="143"/>
        <v>0.99997683994415931</v>
      </c>
      <c r="AG361" s="809">
        <f t="shared" si="149"/>
        <v>2</v>
      </c>
      <c r="AH361" s="176">
        <f t="shared" si="144"/>
        <v>8</v>
      </c>
      <c r="AI361" s="225">
        <f t="shared" si="145"/>
        <v>2.9999768399441593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IF(t&gt;Tmaj,'2023'!Wh/'2023'!Env_an*'2024'!Env_an,0.001*'[14]mon-tableau (2)'!$B$153)</f>
        <v>12.925037152510484</v>
      </c>
      <c r="C362" s="839"/>
      <c r="D362" s="393">
        <f t="shared" si="127"/>
        <v>13.954942741669315</v>
      </c>
      <c r="E362" s="385">
        <f t="shared" si="150"/>
        <v>15.667660423959482</v>
      </c>
      <c r="F362" s="385">
        <f t="shared" si="128"/>
        <v>16.083581344242369</v>
      </c>
      <c r="G362" s="110">
        <f t="shared" si="151"/>
        <v>0.94269324502777729</v>
      </c>
      <c r="H362" s="414" t="b">
        <f>Wh_hp&gt;='2023'!Maxi_hp</f>
        <v>0</v>
      </c>
      <c r="I362" s="390">
        <f>IF(H362,Wh_hp,'2023'!Maxi_hp)</f>
        <v>17.825188760800483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7.3802208165537203E-2</v>
      </c>
      <c r="M362" s="843"/>
      <c r="N362" s="843"/>
      <c r="O362" s="48">
        <f>IF(t&lt;Tnet,'2023'!Resal+('2023'!Salim-'2023'!Resal)*(1-EXP(('2023'!Tnet-t)/('2023'!Tau_j))),Resal+(Salim-Resal)*(1-EXP((Tnet-t)/(Tau_j))))*Salcycl</f>
        <v>0.10931547122830323</v>
      </c>
      <c r="P362" s="169">
        <f>(INDEX(Models!$BJ362:$BT362,,T362)*(1-R362)+INDEX(Models!$BJ362:$BT362,,T362+1)*R362-ERP_i)*Q362*Ramure*Pc/MaxiM</f>
        <v>2.807209734690427E-2</v>
      </c>
      <c r="Q362" s="305">
        <f t="shared" si="130"/>
        <v>0.8</v>
      </c>
      <c r="R362" s="177">
        <f t="shared" si="131"/>
        <v>0.79927167311233904</v>
      </c>
      <c r="S362" s="809">
        <f t="shared" si="132"/>
        <v>1</v>
      </c>
      <c r="T362" s="176">
        <f t="shared" si="133"/>
        <v>7</v>
      </c>
      <c r="U362" s="251">
        <f t="shared" si="134"/>
        <v>1.799271673112339</v>
      </c>
      <c r="V362" s="383">
        <f t="shared" si="135"/>
        <v>13.679620991957098</v>
      </c>
      <c r="W362" s="402">
        <f t="shared" si="136"/>
        <v>12.925037152510484</v>
      </c>
      <c r="X362" s="157">
        <f t="shared" si="137"/>
        <v>45639</v>
      </c>
      <c r="Y362" s="385">
        <f t="shared" si="138"/>
        <v>11.99132544866994</v>
      </c>
      <c r="Z362" s="385">
        <f t="shared" si="139"/>
        <v>12.946830098697884</v>
      </c>
      <c r="AA362" s="386">
        <f t="shared" si="140"/>
        <v>15.399396434861318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0.1592637962492664</v>
      </c>
      <c r="AD362" s="231">
        <f>(INDEX(Models!$BJ362:$BT362,,AH362)*(1-AF362)+INDEX(Models!$BJ362:$BT362,,AH362+1)*AF362-ERP_i)*AE362*Ramure*Pc/MaxiM</f>
        <v>4.6178262363827521E-2</v>
      </c>
      <c r="AE362" s="305">
        <f t="shared" si="142"/>
        <v>0.8</v>
      </c>
      <c r="AF362" s="177">
        <f t="shared" si="143"/>
        <v>0.99998842027724244</v>
      </c>
      <c r="AG362" s="809">
        <f t="shared" si="149"/>
        <v>2</v>
      </c>
      <c r="AH362" s="176">
        <f t="shared" si="144"/>
        <v>8</v>
      </c>
      <c r="AI362" s="225">
        <f t="shared" si="145"/>
        <v>2.9999884202772424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IF(t&gt;Tmaj,'2023'!Wh/'2023'!Env_an*'2024'!Env_an,0.001*'[14]mon-tableau (2)'!$B$154)</f>
        <v>5.0712012519177767</v>
      </c>
      <c r="C363" s="839"/>
      <c r="D363" s="393">
        <f t="shared" si="127"/>
        <v>5.4754200492568872</v>
      </c>
      <c r="E363" s="385">
        <f t="shared" si="150"/>
        <v>6.1479961383305355</v>
      </c>
      <c r="F363" s="385">
        <f t="shared" si="128"/>
        <v>6.1651723569992702</v>
      </c>
      <c r="G363" s="110">
        <f t="shared" si="151"/>
        <v>0.36076068462034699</v>
      </c>
      <c r="H363" s="414" t="b">
        <f>Wh_hp&gt;='2023'!Maxi_hp</f>
        <v>0</v>
      </c>
      <c r="I363" s="390">
        <f>IF(H363,Wh_hp,'2023'!Maxi_hp)</f>
        <v>16.523910631894243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7.3824253427638015E-2</v>
      </c>
      <c r="M363" s="843"/>
      <c r="N363" s="843"/>
      <c r="O363" s="48">
        <f>IF(t&lt;Tnet,'2023'!Resal+('2023'!Salim-'2023'!Resal)*(1-EXP(('2023'!Tnet-t)/('2023'!Tau_j))),Resal+(Salim-Resal)*(1-EXP((Tnet-t)/(Tau_j))))*Salcycl</f>
        <v>0.10939761085410894</v>
      </c>
      <c r="P363" s="169">
        <f>(INDEX(Models!$BJ363:$BT363,,T363)*(1-R363)+INDEX(Models!$BJ363:$BT363,,T363+1)*R363-ERP_i)*Q363*Ramure*Pc/MaxiM</f>
        <v>2.783739990928381E-2</v>
      </c>
      <c r="Q363" s="305">
        <f t="shared" si="130"/>
        <v>0.8</v>
      </c>
      <c r="R363" s="177">
        <f t="shared" si="131"/>
        <v>0.79928278760744687</v>
      </c>
      <c r="S363" s="809">
        <f t="shared" si="132"/>
        <v>1</v>
      </c>
      <c r="T363" s="176">
        <f t="shared" si="133"/>
        <v>7</v>
      </c>
      <c r="U363" s="251">
        <f t="shared" si="134"/>
        <v>1.7992827876074469</v>
      </c>
      <c r="V363" s="383">
        <f t="shared" si="135"/>
        <v>13.703837161029806</v>
      </c>
      <c r="W363" s="402">
        <f t="shared" si="136"/>
        <v>5.0712012519177767</v>
      </c>
      <c r="X363" s="157">
        <f t="shared" si="137"/>
        <v>45640</v>
      </c>
      <c r="Y363" s="385">
        <f t="shared" si="138"/>
        <v>4.778651120783592</v>
      </c>
      <c r="Z363" s="385">
        <f t="shared" si="139"/>
        <v>5.1595511310554887</v>
      </c>
      <c r="AA363" s="386">
        <f t="shared" si="140"/>
        <v>6.1369802902127475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0.15926874666944299</v>
      </c>
      <c r="AD363" s="231">
        <f>(INDEX(Models!$BJ363:$BT363,,AH363)*(1-AF363)+INDEX(Models!$BJ363:$BT363,,AH363+1)*AF363-ERP_i)*AE363*Ramure*Pc/MaxiM</f>
        <v>4.5690722302819529E-2</v>
      </c>
      <c r="AE363" s="305">
        <f t="shared" si="142"/>
        <v>0.8</v>
      </c>
      <c r="AF363" s="177">
        <f t="shared" si="143"/>
        <v>0.99999953477235071</v>
      </c>
      <c r="AG363" s="809">
        <f t="shared" si="149"/>
        <v>2</v>
      </c>
      <c r="AH363" s="176">
        <f t="shared" si="144"/>
        <v>8</v>
      </c>
      <c r="AI363" s="225">
        <f t="shared" si="145"/>
        <v>2.9999995347723507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IF(t&gt;Tmaj,'2023'!Wh/'2023'!Env_an*'2024'!Env_an,0.001*'[14]mon-tableau (2)'!$B$155)</f>
        <v>4.286415707157297</v>
      </c>
      <c r="C364" s="839"/>
      <c r="D364" s="393">
        <f t="shared" si="127"/>
        <v>4.6281904382812256</v>
      </c>
      <c r="E364" s="385">
        <f t="shared" si="150"/>
        <v>5.1971820834079026</v>
      </c>
      <c r="F364" s="385">
        <f t="shared" si="128"/>
        <v>5.1996548577085209</v>
      </c>
      <c r="G364" s="110">
        <f t="shared" si="151"/>
        <v>0.30358562123899163</v>
      </c>
      <c r="H364" s="414" t="b">
        <f>Wh_hp&gt;='2023'!Maxi_hp</f>
        <v>0</v>
      </c>
      <c r="I364" s="390">
        <f>IF(H364,Wh_hp,'2023'!Maxi_hp)</f>
        <v>16.953885897183909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7.3846298176713315E-2</v>
      </c>
      <c r="M364" s="843"/>
      <c r="N364" s="843"/>
      <c r="O364" s="48">
        <f>IF(t&lt;Tnet,'2023'!Resal+('2023'!Salim-'2023'!Resal)*(1-EXP(('2023'!Tnet-t)/('2023'!Tau_j))),Resal+(Salim-Resal)*(1-EXP((Tnet-t)/(Tau_j))))*Salcycl</f>
        <v>0.10948079863185728</v>
      </c>
      <c r="P364" s="169">
        <f>(INDEX(Models!$BJ364:$BT364,,T364)*(1-R364)+INDEX(Models!$BJ364:$BT364,,T364+1)*R364-ERP_i)*Q364*Ramure*Pc/MaxiM</f>
        <v>2.7609895097108511E-2</v>
      </c>
      <c r="Q364" s="305">
        <f t="shared" si="130"/>
        <v>0.8</v>
      </c>
      <c r="R364" s="177">
        <f t="shared" si="131"/>
        <v>0.79929345498746107</v>
      </c>
      <c r="S364" s="809">
        <f t="shared" si="132"/>
        <v>1</v>
      </c>
      <c r="T364" s="176">
        <f t="shared" si="133"/>
        <v>7</v>
      </c>
      <c r="U364" s="251">
        <f t="shared" si="134"/>
        <v>1.7992934549874611</v>
      </c>
      <c r="V364" s="383">
        <f t="shared" si="135"/>
        <v>13.735997551343122</v>
      </c>
      <c r="W364" s="402">
        <f t="shared" si="136"/>
        <v>4.286415707157297</v>
      </c>
      <c r="X364" s="157">
        <f t="shared" si="137"/>
        <v>45641</v>
      </c>
      <c r="Y364" s="385">
        <f t="shared" si="138"/>
        <v>4.0455060376192291</v>
      </c>
      <c r="Z364" s="385">
        <f t="shared" si="139"/>
        <v>4.3680719837916548</v>
      </c>
      <c r="AA364" s="386">
        <f t="shared" si="140"/>
        <v>5.1956039701928232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0.15927541651533086</v>
      </c>
      <c r="AD364" s="231">
        <f>(INDEX(Models!$BJ364:$BT364,,AH364)*(1-AF364)+INDEX(Models!$BJ364:$BT364,,AH364+1)*AF364-ERP_i)*AE364*Ramure*Pc/MaxiM</f>
        <v>4.5230403490788398E-2</v>
      </c>
      <c r="AE364" s="305">
        <f t="shared" si="142"/>
        <v>0.8</v>
      </c>
      <c r="AF364" s="177">
        <f t="shared" si="143"/>
        <v>1.0202152364691131E-5</v>
      </c>
      <c r="AG364" s="809">
        <f t="shared" si="149"/>
        <v>3</v>
      </c>
      <c r="AH364" s="176">
        <f t="shared" si="144"/>
        <v>9</v>
      </c>
      <c r="AI364" s="225">
        <f t="shared" si="145"/>
        <v>3.0000102021523647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IF(t&gt;Tmaj,'2023'!Wh/'2023'!Env_an*'2024'!Env_an,0.001*'[14]mon-tableau (2)'!$B$156)</f>
        <v>3.186050271308063</v>
      </c>
      <c r="C365" s="839"/>
      <c r="D365" s="393">
        <f t="shared" si="127"/>
        <v>3.4401699209898724</v>
      </c>
      <c r="E365" s="385">
        <f t="shared" si="150"/>
        <v>3.8634710002836479</v>
      </c>
      <c r="F365" s="385">
        <f t="shared" si="128"/>
        <v>3.8634710002836479</v>
      </c>
      <c r="G365" s="110">
        <f t="shared" si="151"/>
        <v>0.22495178543436992</v>
      </c>
      <c r="H365" s="414" t="b">
        <f>Wh_hp&gt;='2023'!Maxi_hp</f>
        <v>0</v>
      </c>
      <c r="I365" s="390">
        <f>IF(H365,Wh_hp,'2023'!Maxi_hp)</f>
        <v>16.997202859341002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7.3868342412775095E-2</v>
      </c>
      <c r="M365" s="843"/>
      <c r="N365" s="843"/>
      <c r="O365" s="48">
        <f>IF(t&lt;Tnet,'2023'!Resal+('2023'!Salim-'2023'!Resal)*(1-EXP(('2023'!Tnet-t)/('2023'!Tau_j))),Resal+(Salim-Resal)*(1-EXP((Tnet-t)/(Tau_j))))*Salcycl</f>
        <v>0.10956496871924172</v>
      </c>
      <c r="P365" s="169">
        <f>(INDEX(Models!$BJ365:$BT365,,T365)*(1-R365)+INDEX(Models!$BJ365:$BT365,,T365+1)*R365-ERP_i)*Q365*Ramure*Pc/MaxiM</f>
        <v>2.7391150956230546E-2</v>
      </c>
      <c r="Q365" s="305">
        <f t="shared" si="130"/>
        <v>0.8</v>
      </c>
      <c r="R365" s="177">
        <f t="shared" si="131"/>
        <v>0.79930369322403605</v>
      </c>
      <c r="S365" s="809">
        <f t="shared" si="132"/>
        <v>1</v>
      </c>
      <c r="T365" s="176">
        <f t="shared" si="133"/>
        <v>7</v>
      </c>
      <c r="U365" s="251">
        <f t="shared" si="134"/>
        <v>1.799303693224036</v>
      </c>
      <c r="V365" s="383">
        <f t="shared" si="135"/>
        <v>13.775310479927706</v>
      </c>
      <c r="W365" s="402">
        <f t="shared" si="136"/>
        <v>3.186050271308063</v>
      </c>
      <c r="X365" s="157">
        <f t="shared" si="137"/>
        <v>45642</v>
      </c>
      <c r="Y365" s="385">
        <f t="shared" si="138"/>
        <v>3.0081525126380964</v>
      </c>
      <c r="Z365" s="385">
        <f t="shared" si="139"/>
        <v>3.2480830214518206</v>
      </c>
      <c r="AA365" s="386">
        <f t="shared" si="140"/>
        <v>3.8634710002836479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0.15928370596974761</v>
      </c>
      <c r="AD365" s="231">
        <f>(INDEX(Models!$BJ365:$BT365,,AH365)*(1-AF365)+INDEX(Models!$BJ365:$BT365,,AH365+1)*AF365-ERP_i)*AE365*Ramure*Pc/MaxiM</f>
        <v>4.4799858705525136E-2</v>
      </c>
      <c r="AE365" s="305">
        <f t="shared" si="142"/>
        <v>0.8</v>
      </c>
      <c r="AF365" s="177">
        <f t="shared" si="143"/>
        <v>2.0440388939668708E-5</v>
      </c>
      <c r="AG365" s="809">
        <f t="shared" si="149"/>
        <v>3</v>
      </c>
      <c r="AH365" s="176">
        <f t="shared" si="144"/>
        <v>9</v>
      </c>
      <c r="AI365" s="225">
        <f t="shared" si="145"/>
        <v>3.0000204403889397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IF(t&gt;Tmaj,'2023'!Wh/'2023'!Env_an*'2024'!Env_an,0.001*'[14]mon-tableau (2)'!$B$157)</f>
        <v>12.806597452841286</v>
      </c>
      <c r="C366" s="839"/>
      <c r="D366" s="393">
        <f t="shared" si="127"/>
        <v>13.828381933544714</v>
      </c>
      <c r="E366" s="385">
        <f t="shared" si="150"/>
        <v>15.531400898481193</v>
      </c>
      <c r="F366" s="385">
        <f t="shared" si="128"/>
        <v>15.918881634996149</v>
      </c>
      <c r="G366" s="110">
        <f t="shared" si="151"/>
        <v>0.92390647369967893</v>
      </c>
      <c r="H366" s="414" t="b">
        <f>Wh_hp&gt;='2023'!Maxi_hp</f>
        <v>0</v>
      </c>
      <c r="I366" s="390">
        <f>IF(H366,Wh_hp,'2023'!Maxi_hp)</f>
        <v>17.776988276378741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7.3890386135835345E-2</v>
      </c>
      <c r="M366" s="843"/>
      <c r="N366" s="843"/>
      <c r="O366" s="48">
        <f>IF(t&lt;Tnet,'2023'!Resal+('2023'!Salim-'2023'!Resal)*(1-EXP(('2023'!Tnet-t)/('2023'!Tau_j))),Resal+(Salim-Resal)*(1-EXP((Tnet-t)/(Tau_j))))*Salcycl</f>
        <v>0.109650055141067</v>
      </c>
      <c r="P366" s="169">
        <f>(INDEX(Models!$BJ366:$BT366,,T366)*(1-R366)+INDEX(Models!$BJ366:$BT366,,T366+1)*R366-ERP_i)*Q366*Ramure*Pc/MaxiM</f>
        <v>2.7191652252665E-2</v>
      </c>
      <c r="Q366" s="305">
        <f t="shared" si="130"/>
        <v>0.8</v>
      </c>
      <c r="R366" s="177">
        <f t="shared" si="131"/>
        <v>0.7993135195676393</v>
      </c>
      <c r="S366" s="809">
        <f t="shared" si="132"/>
        <v>1</v>
      </c>
      <c r="T366" s="176">
        <f t="shared" si="133"/>
        <v>7</v>
      </c>
      <c r="U366" s="251">
        <f t="shared" si="134"/>
        <v>1.7993135195676393</v>
      </c>
      <c r="V366" s="383">
        <f t="shared" si="135"/>
        <v>13.820856595634055</v>
      </c>
      <c r="W366" s="402">
        <f t="shared" si="136"/>
        <v>12.806597452841286</v>
      </c>
      <c r="X366" s="157">
        <f t="shared" si="137"/>
        <v>45643</v>
      </c>
      <c r="Y366" s="385">
        <f t="shared" si="138"/>
        <v>11.901363442452121</v>
      </c>
      <c r="Z366" s="385">
        <f t="shared" si="139"/>
        <v>12.85092311351141</v>
      </c>
      <c r="AA366" s="386">
        <f t="shared" si="140"/>
        <v>15.285861769496748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0.15929351532174055</v>
      </c>
      <c r="AD366" s="231">
        <f>(INDEX(Models!$BJ366:$BT366,,AH366)*(1-AF366)+INDEX(Models!$BJ366:$BT366,,AH366+1)*AF366-ERP_i)*AE366*Ramure*Pc/MaxiM</f>
        <v>4.4422482021952203E-2</v>
      </c>
      <c r="AE366" s="305">
        <f t="shared" si="142"/>
        <v>0.8</v>
      </c>
      <c r="AF366" s="177">
        <f t="shared" si="143"/>
        <v>3.026673254291623E-5</v>
      </c>
      <c r="AG366" s="809">
        <f t="shared" si="149"/>
        <v>3</v>
      </c>
      <c r="AH366" s="176">
        <f t="shared" si="144"/>
        <v>9</v>
      </c>
      <c r="AI366" s="225">
        <f t="shared" si="145"/>
        <v>3.0000302667325429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IF(t&gt;Tmaj,'2023'!Wh/'2023'!Env_an*'2024'!Env_an,0.001*'[14]mon-tableau (2)'!$B$158)</f>
        <v>10.656372670072187</v>
      </c>
      <c r="C367" s="839"/>
      <c r="D367" s="393">
        <f t="shared" si="127"/>
        <v>11.506873656176607</v>
      </c>
      <c r="E367" s="385">
        <f t="shared" si="150"/>
        <v>12.925237407506339</v>
      </c>
      <c r="F367" s="385">
        <f t="shared" si="128"/>
        <v>13.162984121232221</v>
      </c>
      <c r="G367" s="110">
        <f t="shared" si="151"/>
        <v>0.76119895276325733</v>
      </c>
      <c r="H367" s="414" t="b">
        <f>Wh_hp&gt;='2023'!Maxi_hp</f>
        <v>0</v>
      </c>
      <c r="I367" s="390">
        <f>IF(H367,Wh_hp,'2023'!Maxi_hp)</f>
        <v>17.087258276429306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7.3912429345905944E-2</v>
      </c>
      <c r="M367" s="843"/>
      <c r="N367" s="843"/>
      <c r="O367" s="48">
        <f>IF(t&lt;Tnet,'2023'!Resal+('2023'!Salim-'2023'!Resal)*(1-EXP(('2023'!Tnet-t)/('2023'!Tau_j))),Resal+(Salim-Resal)*(1-EXP((Tnet-t)/(Tau_j))))*Salcycl</f>
        <v>0.10973599219972674</v>
      </c>
      <c r="P367" s="169">
        <f>(INDEX(Models!$BJ367:$BT367,,T367)*(1-R367)+INDEX(Models!$BJ367:$BT367,,T367+1)*R367-ERP_i)*Q367*Ramure*Pc/MaxiM</f>
        <v>2.7004215616433826E-2</v>
      </c>
      <c r="Q367" s="305">
        <f t="shared" si="130"/>
        <v>0.8</v>
      </c>
      <c r="R367" s="177">
        <f t="shared" si="131"/>
        <v>0.79932295057639857</v>
      </c>
      <c r="S367" s="809">
        <f t="shared" si="132"/>
        <v>1</v>
      </c>
      <c r="T367" s="176">
        <f t="shared" si="133"/>
        <v>7</v>
      </c>
      <c r="U367" s="251">
        <f t="shared" si="134"/>
        <v>1.7993229505763986</v>
      </c>
      <c r="V367" s="383">
        <f t="shared" si="135"/>
        <v>13.871965662445929</v>
      </c>
      <c r="W367" s="402">
        <f t="shared" si="136"/>
        <v>10.656372670072187</v>
      </c>
      <c r="X367" s="157">
        <f t="shared" si="137"/>
        <v>45644</v>
      </c>
      <c r="Y367" s="385">
        <f t="shared" si="138"/>
        <v>9.9460078408865247</v>
      </c>
      <c r="Z367" s="385">
        <f t="shared" si="139"/>
        <v>10.739813551176026</v>
      </c>
      <c r="AA367" s="386">
        <f t="shared" si="140"/>
        <v>12.774918728832613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0.15930474556080076</v>
      </c>
      <c r="AD367" s="231">
        <f>(INDEX(Models!$BJ367:$BT367,,AH367)*(1-AF367)+INDEX(Models!$BJ367:$BT367,,AH367+1)*AF367-ERP_i)*AE367*Ramure*Pc/MaxiM</f>
        <v>4.4078007916095216E-2</v>
      </c>
      <c r="AE367" s="305">
        <f t="shared" si="142"/>
        <v>0.8</v>
      </c>
      <c r="AF367" s="177">
        <f t="shared" si="143"/>
        <v>3.9697741302191503E-5</v>
      </c>
      <c r="AG367" s="809">
        <f t="shared" si="149"/>
        <v>3</v>
      </c>
      <c r="AH367" s="176">
        <f t="shared" si="144"/>
        <v>9</v>
      </c>
      <c r="AI367" s="225">
        <f t="shared" si="145"/>
        <v>3.0000396977413022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IF(t&gt;Tmaj,'2023'!Wh/'2023'!Env_an*'2024'!Env_an,0.001*'[14]mon-tableau (2)'!$B$159)</f>
        <v>4.3093716322134492</v>
      </c>
      <c r="C368" s="839"/>
      <c r="D368" s="393">
        <f t="shared" si="127"/>
        <v>4.6534197657917149</v>
      </c>
      <c r="E368" s="385">
        <f t="shared" si="150"/>
        <v>5.2275202294203629</v>
      </c>
      <c r="F368" s="385">
        <f t="shared" si="128"/>
        <v>5.2294057187655261</v>
      </c>
      <c r="G368" s="110">
        <f t="shared" si="151"/>
        <v>0.30121405769083237</v>
      </c>
      <c r="H368" s="414" t="b">
        <f>Wh_hp&gt;='2023'!Maxi_hp</f>
        <v>0</v>
      </c>
      <c r="I368" s="390">
        <f>IF(H368,Wh_hp,'2023'!Maxi_hp)</f>
        <v>17.638070585315422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7.3934472042998772E-2</v>
      </c>
      <c r="M368" s="843"/>
      <c r="N368" s="843"/>
      <c r="O368" s="48">
        <f>IF(t&lt;Tnet,'2023'!Resal+('2023'!Salim-'2023'!Resal)*(1-EXP(('2023'!Tnet-t)/('2023'!Tau_j))),Resal+(Salim-Resal)*(1-EXP((Tnet-t)/(Tau_j))))*Salcycl</f>
        <v>0.10982271486920785</v>
      </c>
      <c r="P368" s="169">
        <f>(INDEX(Models!$BJ368:$BT368,,T368)*(1-R368)+INDEX(Models!$BJ368:$BT368,,T368+1)*R368-ERP_i)*Q368*Ramure*Pc/MaxiM</f>
        <v>2.6830175165761458E-2</v>
      </c>
      <c r="Q368" s="305">
        <f t="shared" si="130"/>
        <v>0.8</v>
      </c>
      <c r="R368" s="177">
        <f t="shared" si="131"/>
        <v>0.79933200214380462</v>
      </c>
      <c r="S368" s="809">
        <f t="shared" si="132"/>
        <v>1</v>
      </c>
      <c r="T368" s="176">
        <f t="shared" si="133"/>
        <v>7</v>
      </c>
      <c r="U368" s="251">
        <f t="shared" si="134"/>
        <v>1.7993320021438046</v>
      </c>
      <c r="V368" s="383">
        <f t="shared" si="135"/>
        <v>13.927846171843367</v>
      </c>
      <c r="W368" s="402">
        <f t="shared" si="136"/>
        <v>4.3093716322134492</v>
      </c>
      <c r="X368" s="157">
        <f t="shared" si="137"/>
        <v>45645</v>
      </c>
      <c r="Y368" s="385">
        <f t="shared" si="138"/>
        <v>4.0688403404752531</v>
      </c>
      <c r="Z368" s="385">
        <f t="shared" si="139"/>
        <v>4.3936851309556317</v>
      </c>
      <c r="AA368" s="386">
        <f t="shared" si="140"/>
        <v>5.2263298928835296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0.15931729894465235</v>
      </c>
      <c r="AD368" s="231">
        <f>(INDEX(Models!$BJ368:$BT368,,AH368)*(1-AF368)+INDEX(Models!$BJ368:$BT368,,AH368+1)*AF368-ERP_i)*AE368*Ramure*Pc/MaxiM</f>
        <v>4.3768450564336876E-2</v>
      </c>
      <c r="AE368" s="305">
        <f t="shared" si="142"/>
        <v>0.8</v>
      </c>
      <c r="AF368" s="177">
        <f t="shared" si="143"/>
        <v>4.8749308708018191E-5</v>
      </c>
      <c r="AG368" s="809">
        <f t="shared" si="149"/>
        <v>3</v>
      </c>
      <c r="AH368" s="176">
        <f t="shared" si="144"/>
        <v>9</v>
      </c>
      <c r="AI368" s="225">
        <f t="shared" si="145"/>
        <v>3.000048749308708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IF(t&gt;Tmaj,'2023'!Wh/'2023'!Env_an*'2024'!Env_an,0.001*'[14]mon-tableau (2)'!$B$160)</f>
        <v>13.551699050189152</v>
      </c>
      <c r="C369" s="839"/>
      <c r="D369" s="393">
        <f t="shared" si="127"/>
        <v>14.633976976663174</v>
      </c>
      <c r="E369" s="385">
        <f t="shared" si="150"/>
        <v>16.441011126489382</v>
      </c>
      <c r="F369" s="385">
        <f t="shared" si="128"/>
        <v>16.870935788065147</v>
      </c>
      <c r="G369" s="110">
        <f t="shared" si="151"/>
        <v>0.96764851587415246</v>
      </c>
      <c r="H369" s="414" t="b">
        <f>Wh_hp&gt;='2023'!Maxi_hp</f>
        <v>0</v>
      </c>
      <c r="I369" s="390">
        <f>IF(H369,Wh_hp,'2023'!Maxi_hp)</f>
        <v>16.885283849711772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7.395651422712593E-2</v>
      </c>
      <c r="M369" s="843"/>
      <c r="N369" s="843"/>
      <c r="O369" s="48">
        <f>IF(t&lt;Tnet,'2023'!Resal+('2023'!Salim-'2023'!Resal)*(1-EXP(('2023'!Tnet-t)/('2023'!Tau_j))),Resal+(Salim-Resal)*(1-EXP((Tnet-t)/(Tau_j))))*Salcycl</f>
        <v>0.10991015916987946</v>
      </c>
      <c r="P369" s="169">
        <f>(INDEX(Models!$BJ369:$BT369,,T369)*(1-R369)+INDEX(Models!$BJ369:$BT369,,T369+1)*R369-ERP_i)*Q369*Ramure*Pc/MaxiM</f>
        <v>2.6670796338845681E-2</v>
      </c>
      <c r="Q369" s="305">
        <f t="shared" si="130"/>
        <v>0.8</v>
      </c>
      <c r="R369" s="177">
        <f t="shared" si="131"/>
        <v>0.79934068952530879</v>
      </c>
      <c r="S369" s="809">
        <f t="shared" si="132"/>
        <v>1</v>
      </c>
      <c r="T369" s="176">
        <f t="shared" si="133"/>
        <v>7</v>
      </c>
      <c r="U369" s="251">
        <f t="shared" si="134"/>
        <v>1.7993406895253088</v>
      </c>
      <c r="V369" s="383">
        <f t="shared" si="135"/>
        <v>13.987706689707863</v>
      </c>
      <c r="W369" s="402">
        <f t="shared" si="136"/>
        <v>13.551699050189152</v>
      </c>
      <c r="X369" s="157">
        <f t="shared" si="137"/>
        <v>45646</v>
      </c>
      <c r="Y369" s="385">
        <f t="shared" si="138"/>
        <v>12.58812366334012</v>
      </c>
      <c r="Z369" s="385">
        <f t="shared" si="139"/>
        <v>13.593447669289629</v>
      </c>
      <c r="AA369" s="386">
        <f t="shared" si="140"/>
        <v>16.169799237730345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0.15933107953678852</v>
      </c>
      <c r="AD369" s="231">
        <f>(INDEX(Models!$BJ369:$BT369,,AH369)*(1-AF369)+INDEX(Models!$BJ369:$BT369,,AH369+1)*AF369-ERP_i)*AE369*Ramure*Pc/MaxiM</f>
        <v>4.3495690782569672E-2</v>
      </c>
      <c r="AE369" s="305">
        <f t="shared" si="142"/>
        <v>0.8</v>
      </c>
      <c r="AF369" s="177">
        <f t="shared" si="143"/>
        <v>5.7436690212409047E-5</v>
      </c>
      <c r="AG369" s="809">
        <f t="shared" si="149"/>
        <v>3</v>
      </c>
      <c r="AH369" s="176">
        <f t="shared" si="144"/>
        <v>9</v>
      </c>
      <c r="AI369" s="225">
        <f t="shared" si="145"/>
        <v>3.0000574366902124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IF(t&gt;Tmaj,'2023'!Wh/'2023'!Env_an*'2024'!Env_an,0.001*'[14]mon-tableau (2)'!$B$161)</f>
        <v>10.005596017095195</v>
      </c>
      <c r="C370" s="839"/>
      <c r="D370" s="393">
        <f t="shared" si="127"/>
        <v>10.804929065979952</v>
      </c>
      <c r="E370" s="385">
        <f t="shared" si="150"/>
        <v>12.140346036393421</v>
      </c>
      <c r="F370" s="385">
        <f t="shared" si="128"/>
        <v>12.332951359796985</v>
      </c>
      <c r="G370" s="110">
        <f t="shared" si="151"/>
        <v>0.70421134043047284</v>
      </c>
      <c r="H370" s="414" t="b">
        <f>Wh_hp&gt;='2023'!Maxi_hp</f>
        <v>0</v>
      </c>
      <c r="I370" s="390">
        <f>IF(H370,Wh_hp,'2023'!Maxi_hp)</f>
        <v>16.570747847760565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7.3978555898299297E-2</v>
      </c>
      <c r="M370" s="843"/>
      <c r="N370" s="843"/>
      <c r="O370" s="48">
        <f>IF(t&lt;Tnet,'2023'!Resal+('2023'!Salim-'2023'!Resal)*(1-EXP(('2023'!Tnet-t)/('2023'!Tau_j))),Resal+(Salim-Resal)*(1-EXP((Tnet-t)/(Tau_j))))*Salcycl</f>
        <v>0.10999826252153409</v>
      </c>
      <c r="P370" s="169">
        <f>(INDEX(Models!$BJ370:$BT370,,T370)*(1-R370)+INDEX(Models!$BJ370:$BT370,,T370+1)*R370-ERP_i)*Q370*Ramure*Pc/MaxiM</f>
        <v>2.6527280846248627E-2</v>
      </c>
      <c r="Q370" s="305">
        <f t="shared" si="130"/>
        <v>0.8</v>
      </c>
      <c r="R370" s="177">
        <f t="shared" si="131"/>
        <v>0.79934902736386571</v>
      </c>
      <c r="S370" s="809">
        <f t="shared" si="132"/>
        <v>1</v>
      </c>
      <c r="T370" s="176">
        <f t="shared" si="133"/>
        <v>7</v>
      </c>
      <c r="U370" s="251">
        <f t="shared" si="134"/>
        <v>1.7993490273638657</v>
      </c>
      <c r="V370" s="383">
        <f t="shared" si="135"/>
        <v>14.05075585970719</v>
      </c>
      <c r="W370" s="402">
        <f t="shared" si="136"/>
        <v>10.005596017095195</v>
      </c>
      <c r="X370" s="157">
        <f t="shared" si="137"/>
        <v>45647</v>
      </c>
      <c r="Y370" s="385">
        <f t="shared" si="138"/>
        <v>9.3562336157809298</v>
      </c>
      <c r="Z370" s="385">
        <f t="shared" si="139"/>
        <v>10.103690012121769</v>
      </c>
      <c r="AA370" s="386">
        <f t="shared" si="140"/>
        <v>12.018844776241174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0.15934599371025071</v>
      </c>
      <c r="AD370" s="231">
        <f>(INDEX(Models!$BJ370:$BT370,,AH370)*(1-AF370)+INDEX(Models!$BJ370:$BT370,,AH370+1)*AF370-ERP_i)*AE370*Ramure*Pc/MaxiM</f>
        <v>4.3261491481114571E-2</v>
      </c>
      <c r="AE370" s="305">
        <f t="shared" si="142"/>
        <v>0.8</v>
      </c>
      <c r="AF370" s="177">
        <f t="shared" si="143"/>
        <v>6.5774528769324547E-5</v>
      </c>
      <c r="AG370" s="809">
        <f t="shared" si="149"/>
        <v>3</v>
      </c>
      <c r="AH370" s="176">
        <f t="shared" si="144"/>
        <v>9</v>
      </c>
      <c r="AI370" s="225">
        <f t="shared" si="145"/>
        <v>3.0000657745287693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IF(t&gt;Tmaj,'2023'!Wh/'2023'!Env_an*'2024'!Env_an,0.001*'[14]mon-tableau (2)'!$B$162)</f>
        <v>10.755689367483729</v>
      </c>
      <c r="C371" s="839"/>
      <c r="D371" s="393">
        <f t="shared" si="127"/>
        <v>11.615222788799514</v>
      </c>
      <c r="E371" s="385">
        <f t="shared" si="150"/>
        <v>13.05208747357222</v>
      </c>
      <c r="F371" s="385">
        <f t="shared" si="128"/>
        <v>13.283514794853259</v>
      </c>
      <c r="G371" s="110">
        <f t="shared" si="151"/>
        <v>0.75497682848794567</v>
      </c>
      <c r="H371" s="414" t="b">
        <f>Wh_hp&gt;='2023'!Maxi_hp</f>
        <v>0</v>
      </c>
      <c r="I371" s="390">
        <f>IF(H371,Wh_hp,'2023'!Maxi_hp)</f>
        <v>14.372652723691925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7.4000597056530643E-2</v>
      </c>
      <c r="M371" s="843"/>
      <c r="N371" s="843"/>
      <c r="O371" s="48">
        <f>IF(t&lt;Tnet,'2023'!Resal+('2023'!Salim-'2023'!Resal)*(1-EXP(('2023'!Tnet-t)/('2023'!Tau_j))),Resal+(Salim-Resal)*(1-EXP((Tnet-t)/(Tau_j))))*Salcycl</f>
        <v>0.11008696407237996</v>
      </c>
      <c r="P371" s="169">
        <f>(INDEX(Models!$BJ371:$BT371,,T371)*(1-R371)+INDEX(Models!$BJ371:$BT371,,T371+1)*R371-ERP_i)*Q371*Ramure*Pc/MaxiM</f>
        <v>2.6400663064117674E-2</v>
      </c>
      <c r="Q371" s="305">
        <f t="shared" si="130"/>
        <v>0.8</v>
      </c>
      <c r="R371" s="177">
        <f t="shared" si="131"/>
        <v>0.79934902736386571</v>
      </c>
      <c r="S371" s="809">
        <f t="shared" si="132"/>
        <v>1</v>
      </c>
      <c r="T371" s="176">
        <f t="shared" si="133"/>
        <v>7</v>
      </c>
      <c r="U371" s="251">
        <f t="shared" si="134"/>
        <v>1.7993490273638657</v>
      </c>
      <c r="V371" s="383">
        <f t="shared" si="135"/>
        <v>14.116203999174154</v>
      </c>
      <c r="W371" s="402">
        <f t="shared" si="136"/>
        <v>10.755689367483729</v>
      </c>
      <c r="X371" s="157">
        <f t="shared" si="137"/>
        <v>45648</v>
      </c>
      <c r="Y371" s="385">
        <f t="shared" si="138"/>
        <v>10.046411536369462</v>
      </c>
      <c r="Z371" s="385">
        <f t="shared" si="139"/>
        <v>10.849263514031421</v>
      </c>
      <c r="AA371" s="386">
        <f t="shared" si="140"/>
        <v>12.905986734673929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0.15936195061450081</v>
      </c>
      <c r="AD371" s="231">
        <f>(INDEX(Models!$BJ371:$BT371,,AH371)*(1-AF371)+INDEX(Models!$BJ371:$BT371,,AH371+1)*AF371-ERP_i)*AE371*Ramure*Pc/MaxiM</f>
        <v>4.3067478199519858E-2</v>
      </c>
      <c r="AE371" s="305">
        <f t="shared" si="142"/>
        <v>0.8</v>
      </c>
      <c r="AF371" s="177">
        <f t="shared" si="143"/>
        <v>6.5774528769324547E-5</v>
      </c>
      <c r="AG371" s="809">
        <f t="shared" si="149"/>
        <v>3</v>
      </c>
      <c r="AH371" s="176">
        <f t="shared" si="144"/>
        <v>9</v>
      </c>
      <c r="AI371" s="225">
        <f t="shared" si="145"/>
        <v>3.0000657745287693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IF(t&gt;Tmaj,'2023'!Wh/'2023'!Env_an*'2024'!Env_an,0.001*'[14]mon-tableau (2)'!$B$163)</f>
        <v>14.298664931135244</v>
      </c>
      <c r="C372" s="839"/>
      <c r="D372" s="393">
        <f t="shared" si="127"/>
        <v>15.441700319376732</v>
      </c>
      <c r="E372" s="385">
        <f t="shared" si="150"/>
        <v>17.353660810352082</v>
      </c>
      <c r="F372" s="385">
        <f t="shared" si="128"/>
        <v>17.822245305266637</v>
      </c>
      <c r="G372" s="110">
        <f t="shared" si="151"/>
        <v>1.0081367831128722</v>
      </c>
      <c r="H372" s="414" t="b">
        <f>Wh_hp&gt;='2023'!Maxi_hp</f>
        <v>1</v>
      </c>
      <c r="I372" s="390">
        <f>IF(H372,Wh_hp,'2023'!Maxi_hp)</f>
        <v>17.822245305266637</v>
      </c>
      <c r="J372" s="85">
        <f>IF(H372,An,'2023'!An_max)</f>
        <v>2024</v>
      </c>
      <c r="K372" s="197">
        <f t="shared" si="129"/>
        <v>45649</v>
      </c>
      <c r="L372" s="147">
        <f>IF(t&lt;Tvie,1-EXP((T0-t)*PertePVj)+'2023'!Pspv,1-EXP((T0-t)*PertePVj)+Pspv)</f>
        <v>7.4022637701832067E-2</v>
      </c>
      <c r="M372" s="843"/>
      <c r="N372" s="843"/>
      <c r="O372" s="48">
        <f>IF(t&lt;Tnet,'2023'!Resal+('2023'!Salim-'2023'!Resal)*(1-EXP(('2023'!Tnet-t)/('2023'!Tau_j))),Resal+(Salim-Resal)*(1-EXP((Tnet-t)/(Tau_j))))*Salcycl</f>
        <v>0.11017620500193226</v>
      </c>
      <c r="P372" s="169">
        <f>(INDEX(Models!$BJ372:$BT372,,T372)*(1-R372)+INDEX(Models!$BJ372:$BT372,,T372+1)*R372-ERP_i)*Q372*Ramure*Pc/MaxiM</f>
        <v>2.6292113417162092E-2</v>
      </c>
      <c r="Q372" s="305">
        <f t="shared" si="130"/>
        <v>0.8</v>
      </c>
      <c r="R372" s="177">
        <f t="shared" si="131"/>
        <v>0.79934902736386571</v>
      </c>
      <c r="S372" s="809">
        <f t="shared" si="132"/>
        <v>1</v>
      </c>
      <c r="T372" s="176">
        <f t="shared" si="133"/>
        <v>7</v>
      </c>
      <c r="U372" s="251">
        <f t="shared" si="134"/>
        <v>1.7993490273638657</v>
      </c>
      <c r="V372" s="383">
        <f t="shared" si="135"/>
        <v>14.183258830200177</v>
      </c>
      <c r="W372" s="402">
        <f t="shared" si="136"/>
        <v>14.298664931135244</v>
      </c>
      <c r="X372" s="157">
        <f t="shared" si="137"/>
        <v>45649</v>
      </c>
      <c r="Y372" s="385">
        <f t="shared" si="138"/>
        <v>13.277414353345653</v>
      </c>
      <c r="Z372" s="385">
        <f t="shared" si="139"/>
        <v>14.338810962281688</v>
      </c>
      <c r="AA372" s="386">
        <f t="shared" si="140"/>
        <v>17.057399968165768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0.15937886260261147</v>
      </c>
      <c r="AD372" s="231">
        <f>(INDEX(Models!$BJ372:$BT372,,AH372)*(1-AF372)+INDEX(Models!$BJ372:$BT372,,AH372+1)*AF372-ERP_i)*AE372*Ramure*Pc/MaxiM</f>
        <v>4.2915206473723572E-2</v>
      </c>
      <c r="AE372" s="305">
        <f t="shared" si="142"/>
        <v>0.8</v>
      </c>
      <c r="AF372" s="177">
        <f t="shared" si="143"/>
        <v>6.5774528769324547E-5</v>
      </c>
      <c r="AG372" s="809">
        <f t="shared" si="149"/>
        <v>3</v>
      </c>
      <c r="AH372" s="176">
        <f t="shared" si="144"/>
        <v>9</v>
      </c>
      <c r="AI372" s="225">
        <f t="shared" si="145"/>
        <v>3.0000657745287693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IF(t&gt;Tmaj,'2023'!Wh/'2023'!Env_an*'2024'!Env_an,0.001*'[14]mon-tableau (2)'!$B$164)</f>
        <v>8.5844059927235161</v>
      </c>
      <c r="C373" s="839"/>
      <c r="D373" s="393">
        <f t="shared" si="127"/>
        <v>9.2708641413117245</v>
      </c>
      <c r="E373" s="385">
        <f t="shared" si="150"/>
        <v>10.419814685489573</v>
      </c>
      <c r="F373" s="385">
        <f t="shared" si="128"/>
        <v>10.539066203558034</v>
      </c>
      <c r="G373" s="110">
        <f t="shared" si="151"/>
        <v>0.59324349683299571</v>
      </c>
      <c r="H373" s="414" t="b">
        <f>Wh_hp&gt;='2023'!Maxi_hp</f>
        <v>0</v>
      </c>
      <c r="I373" s="390">
        <f>IF(H373,Wh_hp,'2023'!Maxi_hp)</f>
        <v>13.575447760552157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7.4044677834215561E-2</v>
      </c>
      <c r="M373" s="843"/>
      <c r="N373" s="843"/>
      <c r="O373" s="48">
        <f>IF(t&lt;Tnet,'2023'!Resal+('2023'!Salim-'2023'!Resal)*(1-EXP(('2023'!Tnet-t)/('2023'!Tau_j))),Resal+(Salim-Resal)*(1-EXP((Tnet-t)/(Tau_j))))*Salcycl</f>
        <v>0.11026592879601352</v>
      </c>
      <c r="P373" s="169">
        <f>(INDEX(Models!$BJ373:$BT373,,T373)*(1-R373)+INDEX(Models!$BJ373:$BT373,,T373+1)*R373-ERP_i)*Q373*Ramure*Pc/MaxiM</f>
        <v>2.6200230019616619E-2</v>
      </c>
      <c r="Q373" s="305">
        <f t="shared" si="130"/>
        <v>0.8</v>
      </c>
      <c r="R373" s="177">
        <f t="shared" si="131"/>
        <v>0.79934902736386571</v>
      </c>
      <c r="S373" s="809">
        <f t="shared" si="132"/>
        <v>1</v>
      </c>
      <c r="T373" s="176">
        <f t="shared" si="133"/>
        <v>7</v>
      </c>
      <c r="U373" s="251">
        <f t="shared" si="134"/>
        <v>1.7993490273638657</v>
      </c>
      <c r="V373" s="383">
        <f t="shared" si="135"/>
        <v>14.252434965839003</v>
      </c>
      <c r="W373" s="402">
        <f t="shared" si="136"/>
        <v>8.5844059927235161</v>
      </c>
      <c r="X373" s="157">
        <f t="shared" si="137"/>
        <v>45650</v>
      </c>
      <c r="Y373" s="385">
        <f t="shared" si="138"/>
        <v>8.0515624337819744</v>
      </c>
      <c r="Z373" s="385">
        <f t="shared" si="139"/>
        <v>8.6954113670944597</v>
      </c>
      <c r="AA373" s="386">
        <f t="shared" si="140"/>
        <v>10.344250140984283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0.15939664561639563</v>
      </c>
      <c r="AD373" s="231">
        <f>(INDEX(Models!$BJ373:$BT373,,AH373)*(1-AF373)+INDEX(Models!$BJ373:$BT373,,AH373+1)*AF373-ERP_i)*AE373*Ramure*Pc/MaxiM</f>
        <v>4.2802185948006527E-2</v>
      </c>
      <c r="AE373" s="305">
        <f t="shared" si="142"/>
        <v>0.8</v>
      </c>
      <c r="AF373" s="177">
        <f t="shared" si="143"/>
        <v>6.5774528769324547E-5</v>
      </c>
      <c r="AG373" s="809">
        <f t="shared" si="149"/>
        <v>3</v>
      </c>
      <c r="AH373" s="176">
        <f t="shared" si="144"/>
        <v>9</v>
      </c>
      <c r="AI373" s="225">
        <f t="shared" si="145"/>
        <v>3.0000657745287693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IF(t&gt;Tmaj,'2023'!Wh/'2023'!Env_an*'2024'!Env_an,0.001*'[14]mon-tableau (2)'!$B$165)</f>
        <v>14.109716197594992</v>
      </c>
      <c r="C374" s="839"/>
      <c r="D374" s="393">
        <f t="shared" si="127"/>
        <v>15.238372422247762</v>
      </c>
      <c r="E374" s="385">
        <f t="shared" si="150"/>
        <v>17.128619782856138</v>
      </c>
      <c r="F374" s="385">
        <f t="shared" si="128"/>
        <v>17.577940359073278</v>
      </c>
      <c r="G374" s="110">
        <f t="shared" si="151"/>
        <v>0.98440673485253372</v>
      </c>
      <c r="H374" s="414" t="b">
        <f>Wh_hp&gt;='2023'!Maxi_hp</f>
        <v>0</v>
      </c>
      <c r="I374" s="390">
        <f>IF(H374,Wh_hp,'2023'!Maxi_hp)</f>
        <v>17.584999794203402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7.4066717453692893E-2</v>
      </c>
      <c r="M374" s="843"/>
      <c r="N374" s="843"/>
      <c r="O374" s="48">
        <f>IF(t&lt;Tnet,'2023'!Resal+('2023'!Salim-'2023'!Resal)*(1-EXP(('2023'!Tnet-t)/('2023'!Tau_j))),Resal+(Salim-Resal)*(1-EXP((Tnet-t)/(Tau_j))))*Salcycl</f>
        <v>0.11035608149235146</v>
      </c>
      <c r="P374" s="169">
        <f>(INDEX(Models!$BJ374:$BT374,,T374)*(1-R374)+INDEX(Models!$BJ374:$BT374,,T374+1)*R374-ERP_i)*Q374*Ramure*Pc/MaxiM</f>
        <v>2.6122368953481776E-2</v>
      </c>
      <c r="Q374" s="305">
        <f t="shared" si="130"/>
        <v>0.8</v>
      </c>
      <c r="R374" s="177">
        <f t="shared" si="131"/>
        <v>0.79934902736386571</v>
      </c>
      <c r="S374" s="809">
        <f t="shared" si="132"/>
        <v>1</v>
      </c>
      <c r="T374" s="176">
        <f t="shared" si="133"/>
        <v>7</v>
      </c>
      <c r="U374" s="251">
        <f t="shared" si="134"/>
        <v>1.7993490273638657</v>
      </c>
      <c r="V374" s="383">
        <f t="shared" si="135"/>
        <v>14.324969644051357</v>
      </c>
      <c r="W374" s="402">
        <f t="shared" si="136"/>
        <v>14.109716197594992</v>
      </c>
      <c r="X374" s="157">
        <f t="shared" si="137"/>
        <v>45651</v>
      </c>
      <c r="Y374" s="385">
        <f t="shared" si="138"/>
        <v>13.109384619778821</v>
      </c>
      <c r="Z374" s="385">
        <f t="shared" si="139"/>
        <v>14.158022901745303</v>
      </c>
      <c r="AA374" s="386">
        <f t="shared" si="140"/>
        <v>16.843063579841491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0.1594152195275069</v>
      </c>
      <c r="AD374" s="231">
        <f>(INDEX(Models!$BJ374:$BT374,,AH374)*(1-AF374)+INDEX(Models!$BJ374:$BT374,,AH374+1)*AF374-ERP_i)*AE374*Ramure*Pc/MaxiM</f>
        <v>4.2723888863620461E-2</v>
      </c>
      <c r="AE374" s="305">
        <f t="shared" si="142"/>
        <v>0.8</v>
      </c>
      <c r="AF374" s="177">
        <f t="shared" si="143"/>
        <v>6.5774528769324547E-5</v>
      </c>
      <c r="AG374" s="809">
        <f t="shared" si="149"/>
        <v>3</v>
      </c>
      <c r="AH374" s="176">
        <f t="shared" si="144"/>
        <v>9</v>
      </c>
      <c r="AI374" s="225">
        <f t="shared" si="145"/>
        <v>3.0000657745287693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IF(t&gt;Tmaj,'2023'!Wh/'2023'!Env_an*'2024'!Env_an,0.001*'[14]mon-tableau (2)'!$B$166)</f>
        <v>6.2822590862645233</v>
      </c>
      <c r="C375" s="839"/>
      <c r="D375" s="393">
        <f t="shared" si="127"/>
        <v>6.7849474026540362</v>
      </c>
      <c r="E375" s="385">
        <f t="shared" si="150"/>
        <v>7.6273639034887681</v>
      </c>
      <c r="F375" s="385">
        <f t="shared" si="128"/>
        <v>7.6662548805943915</v>
      </c>
      <c r="G375" s="110">
        <f t="shared" si="151"/>
        <v>0.42703208153118311</v>
      </c>
      <c r="H375" s="414" t="b">
        <f>Wh_hp&gt;='2023'!Maxi_hp</f>
        <v>0</v>
      </c>
      <c r="I375" s="390">
        <f>IF(H375,Wh_hp,'2023'!Maxi_hp)</f>
        <v>16.697654329104385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7.4088756560276164E-2</v>
      </c>
      <c r="M375" s="843"/>
      <c r="N375" s="843"/>
      <c r="O375" s="48">
        <f>IF(t&lt;Tnet,'2023'!Resal+('2023'!Salim-'2023'!Resal)*(1-EXP(('2023'!Tnet-t)/('2023'!Tau_j))),Resal+(Salim-Resal)*(1-EXP((Tnet-t)/(Tau_j))))*Salcycl</f>
        <v>0.11044661189554751</v>
      </c>
      <c r="P375" s="169">
        <f>(INDEX(Models!$BJ375:$BT375,,T375)*(1-R375)+INDEX(Models!$BJ375:$BT375,,T375+1)*R375-ERP_i)*Q375*Ramure*Pc/MaxiM</f>
        <v>2.6065732832294491E-2</v>
      </c>
      <c r="Q375" s="305">
        <f t="shared" si="130"/>
        <v>0.8</v>
      </c>
      <c r="R375" s="177">
        <f t="shared" si="131"/>
        <v>0.79934902736386571</v>
      </c>
      <c r="S375" s="809">
        <f t="shared" si="132"/>
        <v>1</v>
      </c>
      <c r="T375" s="176">
        <f t="shared" si="133"/>
        <v>7</v>
      </c>
      <c r="U375" s="251">
        <f t="shared" si="134"/>
        <v>1.7993490273638657</v>
      </c>
      <c r="V375" s="383">
        <f t="shared" si="135"/>
        <v>14.401037231895954</v>
      </c>
      <c r="W375" s="402">
        <f t="shared" si="136"/>
        <v>6.2822590862645233</v>
      </c>
      <c r="X375" s="157">
        <f t="shared" si="137"/>
        <v>45652</v>
      </c>
      <c r="Y375" s="385">
        <f t="shared" si="138"/>
        <v>5.9169776993255621</v>
      </c>
      <c r="Z375" s="385">
        <f t="shared" si="139"/>
        <v>6.3904372489788788</v>
      </c>
      <c r="AA375" s="386">
        <f t="shared" si="140"/>
        <v>7.6025453258441953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0.15943450843296653</v>
      </c>
      <c r="AD375" s="231">
        <f>(INDEX(Models!$BJ375:$BT375,,AH375)*(1-AF375)+INDEX(Models!$BJ375:$BT375,,AH375+1)*AF375-ERP_i)*AE375*Ramure*Pc/MaxiM</f>
        <v>4.2699781712169232E-2</v>
      </c>
      <c r="AE375" s="305">
        <f t="shared" si="142"/>
        <v>0.8</v>
      </c>
      <c r="AF375" s="177">
        <f t="shared" si="143"/>
        <v>6.5774528769324547E-5</v>
      </c>
      <c r="AG375" s="809">
        <f t="shared" si="149"/>
        <v>3</v>
      </c>
      <c r="AH375" s="176">
        <f t="shared" si="144"/>
        <v>9</v>
      </c>
      <c r="AI375" s="225">
        <f t="shared" si="145"/>
        <v>3.0000657745287693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IF(t&gt;Tmaj,'2023'!Wh/'2023'!Env_an*'2024'!Env_an,0.001*'[14]mon-tableau (2)'!$B$167)</f>
        <v>13.25459576630529</v>
      </c>
      <c r="C376" s="839"/>
      <c r="D376" s="393">
        <f t="shared" si="127"/>
        <v>14.315531163914535</v>
      </c>
      <c r="E376" s="385">
        <f t="shared" si="150"/>
        <v>16.094586010552693</v>
      </c>
      <c r="F376" s="385">
        <f t="shared" si="128"/>
        <v>16.471326017463216</v>
      </c>
      <c r="G376" s="110">
        <f t="shared" si="151"/>
        <v>0.9123566264606171</v>
      </c>
      <c r="H376" s="414" t="b">
        <f>Wh_hp&gt;='2023'!Maxi_hp</f>
        <v>0</v>
      </c>
      <c r="I376" s="390">
        <f>IF(H376,Wh_hp,'2023'!Maxi_hp)</f>
        <v>16.508460643102687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7.4110795153977144E-2</v>
      </c>
      <c r="M376" s="843"/>
      <c r="N376" s="843"/>
      <c r="O376" s="48">
        <f>IF(t&lt;Tnet,'2023'!Resal+('2023'!Salim-'2023'!Resal)*(1-EXP(('2023'!Tnet-t)/('2023'!Tau_j))),Resal+(Salim-Resal)*(1-EXP((Tnet-t)/(Tau_j))))*Salcycl</f>
        <v>0.11053747176048456</v>
      </c>
      <c r="P376" s="169">
        <f>(INDEX(Models!$BJ376:$BT376,,T376)*(1-R376)+INDEX(Models!$BJ376:$BT376,,T376+1)*R376-ERP_i)*Q376*Ramure*Pc/MaxiM</f>
        <v>2.6020776553113464E-2</v>
      </c>
      <c r="Q376" s="305">
        <f t="shared" si="130"/>
        <v>0.8</v>
      </c>
      <c r="R376" s="177">
        <f t="shared" si="131"/>
        <v>0.79934902736386571</v>
      </c>
      <c r="S376" s="809">
        <f t="shared" si="132"/>
        <v>1</v>
      </c>
      <c r="T376" s="176">
        <f t="shared" si="133"/>
        <v>7</v>
      </c>
      <c r="U376" s="251">
        <f t="shared" si="134"/>
        <v>1.7993490273638657</v>
      </c>
      <c r="V376" s="383">
        <f t="shared" si="135"/>
        <v>14.481058319257961</v>
      </c>
      <c r="W376" s="402">
        <f t="shared" si="136"/>
        <v>13.25459576630529</v>
      </c>
      <c r="X376" s="157">
        <f t="shared" si="137"/>
        <v>45653</v>
      </c>
      <c r="Y376" s="385">
        <f t="shared" si="138"/>
        <v>12.337616949302891</v>
      </c>
      <c r="Z376" s="385">
        <f t="shared" si="139"/>
        <v>13.325154764445774</v>
      </c>
      <c r="AA376" s="386">
        <f t="shared" si="140"/>
        <v>15.852983363301467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0.15945444090400285</v>
      </c>
      <c r="AD376" s="231">
        <f>(INDEX(Models!$BJ376:$BT376,,AH376)*(1-AF376)+INDEX(Models!$BJ376:$BT376,,AH376+1)*AF376-ERP_i)*AE376*Ramure*Pc/MaxiM</f>
        <v>4.2707850884080203E-2</v>
      </c>
      <c r="AE376" s="305">
        <f t="shared" si="142"/>
        <v>0.8</v>
      </c>
      <c r="AF376" s="177">
        <f t="shared" si="143"/>
        <v>6.5774528769324547E-5</v>
      </c>
      <c r="AG376" s="809">
        <f t="shared" si="149"/>
        <v>3</v>
      </c>
      <c r="AH376" s="176">
        <f t="shared" si="144"/>
        <v>9</v>
      </c>
      <c r="AI376" s="225">
        <f t="shared" si="145"/>
        <v>3.0000657745287693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IF(t&gt;Tmaj,'2023'!Wh/'2023'!Env_an*'2024'!Env_an,0.001*'[14]mon-tableau (2)'!$B$168)</f>
        <v>7.768593242007511</v>
      </c>
      <c r="C377" s="839"/>
      <c r="D377" s="393">
        <f t="shared" si="127"/>
        <v>8.3906131687869792</v>
      </c>
      <c r="E377" s="385">
        <f t="shared" si="150"/>
        <v>9.4343188000012237</v>
      </c>
      <c r="F377" s="385">
        <f t="shared" si="128"/>
        <v>9.5167652045851217</v>
      </c>
      <c r="G377" s="110">
        <f t="shared" si="151"/>
        <v>0.52404174856657293</v>
      </c>
      <c r="H377" s="414" t="b">
        <f>Wh_hp&gt;='2023'!Maxi_hp</f>
        <v>0</v>
      </c>
      <c r="I377" s="390">
        <f>IF(H377,Wh_hp,'2023'!Maxi_hp)</f>
        <v>18.884024419131489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7.4132833234807932E-2</v>
      </c>
      <c r="M377" s="843"/>
      <c r="N377" s="843"/>
      <c r="O377" s="48">
        <f>IF(t&lt;Tnet,'2023'!Resal+('2023'!Salim-'2023'!Resal)*(1-EXP(('2023'!Tnet-t)/('2023'!Tau_j))),Resal+(Salim-Resal)*(1-EXP((Tnet-t)/(Tau_j))))*Salcycl</f>
        <v>0.11062861594353887</v>
      </c>
      <c r="P377" s="169">
        <f>(INDEX(Models!$BJ377:$BT377,,T377)*(1-R377)+INDEX(Models!$BJ377:$BT377,,T377+1)*R377-ERP_i)*Q377*Ramure*Pc/MaxiM</f>
        <v>2.5986635484597363E-2</v>
      </c>
      <c r="Q377" s="305">
        <f t="shared" si="130"/>
        <v>0.8</v>
      </c>
      <c r="R377" s="177">
        <f t="shared" si="131"/>
        <v>0.79934902736386571</v>
      </c>
      <c r="S377" s="809">
        <f t="shared" si="132"/>
        <v>1</v>
      </c>
      <c r="T377" s="176">
        <f t="shared" si="133"/>
        <v>7</v>
      </c>
      <c r="U377" s="251">
        <f t="shared" si="134"/>
        <v>1.7993490273638657</v>
      </c>
      <c r="V377" s="383">
        <f t="shared" si="135"/>
        <v>14.565326305473603</v>
      </c>
      <c r="W377" s="402">
        <f t="shared" si="136"/>
        <v>7.768593242007511</v>
      </c>
      <c r="X377" s="157">
        <f t="shared" si="137"/>
        <v>45654</v>
      </c>
      <c r="Y377" s="385">
        <f t="shared" si="138"/>
        <v>7.3005442934903435</v>
      </c>
      <c r="Z377" s="385">
        <f t="shared" si="139"/>
        <v>7.8850882238292233</v>
      </c>
      <c r="AA377" s="386">
        <f t="shared" si="140"/>
        <v>9.3811460177045323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0.15947495018752292</v>
      </c>
      <c r="AD377" s="231">
        <f>(INDEX(Models!$BJ377:$BT377,,AH377)*(1-AF377)+INDEX(Models!$BJ377:$BT377,,AH377+1)*AF377-ERP_i)*AE377*Ramure*Pc/MaxiM</f>
        <v>4.2746392543983248E-2</v>
      </c>
      <c r="AE377" s="305">
        <f t="shared" si="142"/>
        <v>0.8</v>
      </c>
      <c r="AF377" s="177">
        <f t="shared" si="143"/>
        <v>6.5774528769324547E-5</v>
      </c>
      <c r="AG377" s="809">
        <f t="shared" si="149"/>
        <v>3</v>
      </c>
      <c r="AH377" s="176">
        <f t="shared" si="144"/>
        <v>9</v>
      </c>
      <c r="AI377" s="225">
        <f t="shared" si="145"/>
        <v>3.0000657745287693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IF(t&gt;Tmaj,'2023'!Wh/'2023'!Env_an*'2024'!Env_an,0.001*'[14]mon-tableau (2)'!$B$169)</f>
        <v>10.089162772429816</v>
      </c>
      <c r="C378" s="839"/>
      <c r="D378" s="393">
        <f t="shared" si="127"/>
        <v>10.897246693059682</v>
      </c>
      <c r="E378" s="385">
        <f t="shared" si="150"/>
        <v>12.254010799697799</v>
      </c>
      <c r="F378" s="385">
        <f t="shared" si="128"/>
        <v>12.433155642463186</v>
      </c>
      <c r="G378" s="110">
        <f t="shared" si="151"/>
        <v>0.68041482978375034</v>
      </c>
      <c r="H378" s="414" t="b">
        <f>Wh_hp&gt;='2023'!Maxi_hp</f>
        <v>0</v>
      </c>
      <c r="I378" s="390">
        <f>IF(H378,Wh_hp,'2023'!Maxi_hp)</f>
        <v>17.411891706814348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7.4154870802780298E-2</v>
      </c>
      <c r="M378" s="843"/>
      <c r="N378" s="843"/>
      <c r="O378" s="48">
        <f>IF(t&lt;Tnet,'2023'!Resal+('2023'!Salim-'2023'!Resal)*(1-EXP(('2023'!Tnet-t)/('2023'!Tau_j))),Resal+(Salim-Resal)*(1-EXP((Tnet-t)/(Tau_j))))*Salcycl</f>
        <v>0.11072000252126249</v>
      </c>
      <c r="P378" s="169">
        <f>(INDEX(Models!$BJ378:$BT378,,T378)*(1-R378)+INDEX(Models!$BJ378:$BT378,,T378+1)*R378-ERP_i)*Q378*Ramure*Pc/MaxiM</f>
        <v>2.5962461834948256E-2</v>
      </c>
      <c r="Q378" s="305">
        <f t="shared" si="130"/>
        <v>0.8</v>
      </c>
      <c r="R378" s="177">
        <f t="shared" si="131"/>
        <v>0.79934902736386571</v>
      </c>
      <c r="S378" s="809">
        <f t="shared" si="132"/>
        <v>1</v>
      </c>
      <c r="T378" s="176">
        <f t="shared" si="133"/>
        <v>7</v>
      </c>
      <c r="U378" s="251">
        <f t="shared" si="134"/>
        <v>1.7993490273638657</v>
      </c>
      <c r="V378" s="383">
        <f t="shared" si="135"/>
        <v>14.654134189033964</v>
      </c>
      <c r="W378" s="402">
        <f t="shared" si="136"/>
        <v>10.089162772429816</v>
      </c>
      <c r="X378" s="157">
        <f t="shared" si="137"/>
        <v>45655</v>
      </c>
      <c r="Y378" s="385">
        <f t="shared" si="138"/>
        <v>9.4453006009925335</v>
      </c>
      <c r="Z378" s="385">
        <f t="shared" si="139"/>
        <v>10.201814864201262</v>
      </c>
      <c r="AA378" s="386">
        <f t="shared" si="140"/>
        <v>12.137734684176872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0.15949597435997132</v>
      </c>
      <c r="AD378" s="231">
        <f>(INDEX(Models!$BJ378:$BT378,,AH378)*(1-AF378)+INDEX(Models!$BJ378:$BT378,,AH378+1)*AF378-ERP_i)*AE378*Ramure*Pc/MaxiM</f>
        <v>4.2813710048002489E-2</v>
      </c>
      <c r="AE378" s="305">
        <f t="shared" si="142"/>
        <v>0.8</v>
      </c>
      <c r="AF378" s="177">
        <f t="shared" si="143"/>
        <v>6.5774528769324547E-5</v>
      </c>
      <c r="AG378" s="809">
        <f t="shared" si="149"/>
        <v>3</v>
      </c>
      <c r="AH378" s="176">
        <f t="shared" si="144"/>
        <v>9</v>
      </c>
      <c r="AI378" s="225">
        <f t="shared" si="145"/>
        <v>3.0000657745287693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IF(t&gt;Tmaj,'2023'!Wh/'2023'!Env_an*'2024'!Env_an,0.001*'[14]mon-tableau (2)'!$B$170)</f>
        <v>8.2815767052813971</v>
      </c>
      <c r="C379" s="839"/>
      <c r="D379" s="393">
        <f t="shared" si="127"/>
        <v>8.9450962884498413</v>
      </c>
      <c r="E379" s="385">
        <f t="shared" si="150"/>
        <v>10.059843579592959</v>
      </c>
      <c r="F379" s="385">
        <f t="shared" si="128"/>
        <v>10.158328358350577</v>
      </c>
      <c r="G379" s="110">
        <f t="shared" si="151"/>
        <v>0.55233168306381819</v>
      </c>
      <c r="H379" s="414" t="b">
        <f>Wh_hp&gt;='2023'!Maxi_hp</f>
        <v>0</v>
      </c>
      <c r="I379" s="390">
        <f>IF(H379,Wh_hp,'2023'!Maxi_hp)</f>
        <v>17.60535838608622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7.4176907857906343E-2</v>
      </c>
      <c r="M379" s="843"/>
      <c r="N379" s="843"/>
      <c r="O379" s="48">
        <f>IF(t&lt;Tnet,'2023'!Resal+('2023'!Salim-'2023'!Resal)*(1-EXP(('2023'!Tnet-t)/('2023'!Tau_j))),Resal+(Salim-Resal)*(1-EXP((Tnet-t)/(Tau_j))))*Salcycl</f>
        <v>0.11081159287649894</v>
      </c>
      <c r="P379" s="169">
        <f>(INDEX(Models!$BJ379:$BT379,,T379)*(1-R379)+INDEX(Models!$BJ379:$BT379,,T379+1)*R379-ERP_i)*Q379*Ramure*Pc/MaxiM</f>
        <v>2.5947423972341864E-2</v>
      </c>
      <c r="Q379" s="306">
        <f t="shared" si="130"/>
        <v>0.8</v>
      </c>
      <c r="R379" s="177">
        <f t="shared" si="131"/>
        <v>0.79934902736386571</v>
      </c>
      <c r="S379" s="809">
        <f t="shared" si="132"/>
        <v>1</v>
      </c>
      <c r="T379" s="176">
        <f t="shared" si="133"/>
        <v>7</v>
      </c>
      <c r="U379" s="307">
        <f t="shared" si="134"/>
        <v>1.7993490273638657</v>
      </c>
      <c r="V379" s="383">
        <f t="shared" si="135"/>
        <v>14.747774580511573</v>
      </c>
      <c r="W379" s="402">
        <f t="shared" si="136"/>
        <v>8.2815767052813971</v>
      </c>
      <c r="X379" s="157">
        <f t="shared" si="137"/>
        <v>45656</v>
      </c>
      <c r="Y379" s="385">
        <f t="shared" si="138"/>
        <v>7.7778552796813596</v>
      </c>
      <c r="Z379" s="385">
        <f t="shared" si="139"/>
        <v>8.4010167230605521</v>
      </c>
      <c r="AA379" s="386">
        <f t="shared" si="140"/>
        <v>9.9954684215263931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0.15951745643375803</v>
      </c>
      <c r="AD379" s="231">
        <f>(INDEX(Models!$BJ379:$BT379,,AH379)*(1-AF379)+INDEX(Models!$BJ379:$BT379,,AH379+1)*AF379-ERP_i)*AE379*Ramure*Pc/MaxiM</f>
        <v>4.2908111102996964E-2</v>
      </c>
      <c r="AE379" s="306">
        <f t="shared" si="142"/>
        <v>0.8</v>
      </c>
      <c r="AF379" s="177">
        <f t="shared" si="143"/>
        <v>6.5774528769324547E-5</v>
      </c>
      <c r="AG379" s="809">
        <f t="shared" si="149"/>
        <v>3</v>
      </c>
      <c r="AH379" s="176">
        <f t="shared" si="144"/>
        <v>9</v>
      </c>
      <c r="AI379" s="222">
        <f t="shared" si="145"/>
        <v>3.0000657745287693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5">
        <f>A379+1</f>
        <v>45657</v>
      </c>
      <c r="B380" s="801">
        <f>AVERAGE(B366:B379)</f>
        <v>10.339592920259806</v>
      </c>
      <c r="C380" s="849"/>
      <c r="D380" s="604">
        <f t="shared" si="127"/>
        <v>11.168266505767868</v>
      </c>
      <c r="E380" s="600">
        <f t="shared" si="150"/>
        <v>12.561363860473191</v>
      </c>
      <c r="F380" s="600">
        <f t="shared" si="128"/>
        <v>12.748654420137802</v>
      </c>
      <c r="G380" s="110">
        <f t="shared" si="151"/>
        <v>0.68847970647213763</v>
      </c>
      <c r="H380" s="601" t="b">
        <f>Wh_hp&gt;='2023'!Maxi_hp</f>
        <v>1</v>
      </c>
      <c r="I380" s="602">
        <f>IF(H380,Wh_hp,'2023'!Maxi_hp)</f>
        <v>12.748654420137802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7.4198944400197836E-2</v>
      </c>
      <c r="M380" s="843"/>
      <c r="N380" s="843"/>
      <c r="O380" s="48">
        <f>IF(t&lt;Tnet,'2023'!Resal+('2023'!Salim-'2023'!Resal)*(1-EXP(('2023'!Tnet-t)/('2023'!Tau_j))),Resal+(Salim-Resal)*(1-EXP((Tnet-t)/(Tau_j))))*Salcycl</f>
        <v>0.11090335175219146</v>
      </c>
      <c r="P380" s="231">
        <f>(INDEX(Models!$BJ380:$BT380,,T380)*(1-R380)+INDEX(Models!$BJ380:$BT380,,T380+1)*R380-ERP_i)*Q380*Ramure*Pc/MaxiM</f>
        <v>2.5940706028933849E-2</v>
      </c>
      <c r="Q380" s="328">
        <f t="shared" si="130"/>
        <v>0.8</v>
      </c>
      <c r="R380" s="314">
        <f>(Hp_vg-S380)/(INDEX(Echel_vg,T380+1)-S380)</f>
        <v>0.79934902736386571</v>
      </c>
      <c r="S380" s="810">
        <f>INDEX(Echel_vg,T380)</f>
        <v>1</v>
      </c>
      <c r="T380" s="233">
        <f t="shared" si="133"/>
        <v>7</v>
      </c>
      <c r="U380" s="301">
        <f t="shared" si="134"/>
        <v>1.7993490273638657</v>
      </c>
      <c r="V380" s="383">
        <f t="shared" si="135"/>
        <v>14.846539715383374</v>
      </c>
      <c r="W380" s="402">
        <f t="shared" si="136"/>
        <v>10.339592920259806</v>
      </c>
      <c r="X380" s="326">
        <f t="shared" si="137"/>
        <v>45657</v>
      </c>
      <c r="Y380" s="600">
        <f t="shared" si="138"/>
        <v>9.677996099870894</v>
      </c>
      <c r="Z380" s="600">
        <f t="shared" si="139"/>
        <v>10.453645566002054</v>
      </c>
      <c r="AA380" s="603">
        <f t="shared" si="140"/>
        <v>12.437995159629423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0.15953934441686099</v>
      </c>
      <c r="AD380" s="231">
        <f>(INDEX(Models!$BJ380:$BT380,,AH380)*(1-AF380)+INDEX(Models!$BJ380:$BT380,,AH380+1)*AF380-ERP_i)*AE380*Ramure*Pc/MaxiM</f>
        <v>4.3027905765484993E-2</v>
      </c>
      <c r="AE380" s="328">
        <f t="shared" si="142"/>
        <v>0.8</v>
      </c>
      <c r="AF380" s="314">
        <f>(Hp_vg_s-AG380)/(INDEX(Echel_vg,AH380+1)-AG380)</f>
        <v>6.5774528769324547E-5</v>
      </c>
      <c r="AG380" s="810">
        <f>INDEX(Echel_vg,AH380)</f>
        <v>3</v>
      </c>
      <c r="AH380" s="233">
        <f t="shared" si="144"/>
        <v>9</v>
      </c>
      <c r="AI380" s="225">
        <f t="shared" si="145"/>
        <v>3.0000657745287693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9.0516021673760747</v>
      </c>
      <c r="J381" s="57">
        <f>MIN(J15:J380)</f>
        <v>2018</v>
      </c>
      <c r="K381" s="200" t="s">
        <v>7</v>
      </c>
      <c r="L381" s="146">
        <f t="shared" ref="L381:T381" si="152">MIN(L15:L380)</f>
        <v>6.612144273641532E-2</v>
      </c>
      <c r="M381" s="845"/>
      <c r="N381" s="845"/>
      <c r="O381" s="47">
        <f t="shared" si="152"/>
        <v>6.504107941071767E-2</v>
      </c>
      <c r="P381" s="168">
        <f t="shared" si="152"/>
        <v>3.3562634774062538E-3</v>
      </c>
      <c r="Q381" s="310">
        <f t="shared" si="152"/>
        <v>0.8</v>
      </c>
      <c r="R381" s="311">
        <f t="shared" si="152"/>
        <v>0.19935055500727072</v>
      </c>
      <c r="S381" s="809">
        <f t="shared" si="152"/>
        <v>1</v>
      </c>
      <c r="T381" s="176">
        <f t="shared" si="152"/>
        <v>7</v>
      </c>
      <c r="U381" s="252">
        <f>+MIN(U15:U380)</f>
        <v>1.1993505550072707</v>
      </c>
      <c r="V381" s="373">
        <f>MIN(V15:V380)</f>
        <v>13.658188349589693</v>
      </c>
      <c r="W381" s="802" t="s">
        <v>40</v>
      </c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0.14591071515499246</v>
      </c>
      <c r="AD381" s="168">
        <f t="shared" si="153"/>
        <v>9.6138311193746072E-3</v>
      </c>
      <c r="AE381" s="310">
        <f t="shared" si="153"/>
        <v>0.8</v>
      </c>
      <c r="AF381" s="311">
        <f t="shared" si="153"/>
        <v>1.0202152364691131E-5</v>
      </c>
      <c r="AG381" s="809">
        <f t="shared" si="153"/>
        <v>2</v>
      </c>
      <c r="AH381" s="176">
        <f t="shared" si="153"/>
        <v>8</v>
      </c>
      <c r="AI381" s="226">
        <f>MIN(AI15:AI380)</f>
        <v>2.4000673021721743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24.514706255157648</v>
      </c>
      <c r="C382" s="375"/>
      <c r="D382" s="375">
        <f>AVERAGE(D15:D380)</f>
        <v>26.358665333421516</v>
      </c>
      <c r="E382" s="375">
        <f>AVERAGE(E15:E380)</f>
        <v>29.024715910693811</v>
      </c>
      <c r="F382" s="376">
        <f>AVERAGE(F15:F380)</f>
        <v>29.297319043403864</v>
      </c>
      <c r="G382" s="126">
        <f>AVERAGE(G15:G380)</f>
        <v>0.67504193086218034</v>
      </c>
      <c r="H382" s="94"/>
      <c r="I382" s="376">
        <f>AVERAGE(I15:I380)</f>
        <v>39.044491058617467</v>
      </c>
      <c r="J382" s="59">
        <f>AVERAGE(J15:J380)</f>
        <v>2020.3333333333333</v>
      </c>
      <c r="K382" s="200" t="s">
        <v>8</v>
      </c>
      <c r="L382" s="147">
        <f t="shared" ref="L382:V382" si="154">AVERAGE(L15:L380)</f>
        <v>7.0165895544143861E-2</v>
      </c>
      <c r="M382" s="843"/>
      <c r="N382" s="843"/>
      <c r="O382" s="48">
        <f t="shared" si="154"/>
        <v>9.1932796521946497E-2</v>
      </c>
      <c r="P382" s="169">
        <f t="shared" si="154"/>
        <v>1.6198666763101582E-2</v>
      </c>
      <c r="Q382" s="312">
        <f t="shared" si="154"/>
        <v>0.80000000000000548</v>
      </c>
      <c r="R382" s="177">
        <f t="shared" si="154"/>
        <v>0.53593256035694714</v>
      </c>
      <c r="S382" s="809">
        <f t="shared" si="154"/>
        <v>1</v>
      </c>
      <c r="T382" s="176">
        <f t="shared" si="154"/>
        <v>7</v>
      </c>
      <c r="U382" s="251">
        <f t="shared" si="154"/>
        <v>1.5359325603569476</v>
      </c>
      <c r="V382" s="375">
        <f t="shared" si="154"/>
        <v>34.500866185841659</v>
      </c>
      <c r="X382" s="112" t="s">
        <v>8</v>
      </c>
      <c r="Y382" s="375">
        <f>AVERAGE(Y15:Y380)</f>
        <v>22.495497327408685</v>
      </c>
      <c r="Z382" s="375">
        <f>AVERAGE(Z15:Z380)</f>
        <v>24.187744735408206</v>
      </c>
      <c r="AA382" s="375">
        <f>AVERAGE(AA15:AA380)</f>
        <v>28.706273885525533</v>
      </c>
      <c r="AB382" s="200" t="s">
        <v>8</v>
      </c>
      <c r="AC382" s="48">
        <f t="shared" ref="AC382:AH382" si="155">AVERAGE(AC15:AC380)</f>
        <v>0.15659999127936516</v>
      </c>
      <c r="AD382" s="169">
        <f t="shared" si="155"/>
        <v>3.3855012463786832E-2</v>
      </c>
      <c r="AE382" s="312">
        <f t="shared" si="155"/>
        <v>0.80000000000000548</v>
      </c>
      <c r="AF382" s="177">
        <f t="shared" si="155"/>
        <v>0.6902012200901565</v>
      </c>
      <c r="AG382" s="809">
        <f t="shared" si="155"/>
        <v>2.0464480874316942</v>
      </c>
      <c r="AH382" s="176">
        <f t="shared" si="155"/>
        <v>8.0464480874316937</v>
      </c>
      <c r="AI382" s="225">
        <f>AVERAGE(AI15:AI380)</f>
        <v>2.7366493075218514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51.705266044188789</v>
      </c>
      <c r="C383" s="377"/>
      <c r="D383" s="377">
        <f>MAX(D15:D380)</f>
        <v>55.601196242714238</v>
      </c>
      <c r="E383" s="377">
        <f>MAX(E15:E380)</f>
        <v>61.400247263532883</v>
      </c>
      <c r="F383" s="378">
        <f>MAX(F15:F380)</f>
        <v>61.907521444604448</v>
      </c>
      <c r="G383" s="127">
        <f>+MAX(G15:G380)</f>
        <v>1.0459540036296502</v>
      </c>
      <c r="H383" s="94"/>
      <c r="I383" s="378">
        <f>MAX(I15:I380)</f>
        <v>64.737412852018437</v>
      </c>
      <c r="J383" s="60">
        <f>MAX(J15:J380)</f>
        <v>2024</v>
      </c>
      <c r="K383" s="200" t="s">
        <v>9</v>
      </c>
      <c r="L383" s="148">
        <f t="shared" ref="L383:T383" si="156">MAX(L15:L380)</f>
        <v>7.4198944400197836E-2</v>
      </c>
      <c r="M383" s="846"/>
      <c r="N383" s="846"/>
      <c r="O383" s="49">
        <f t="shared" si="156"/>
        <v>0.11090335175219146</v>
      </c>
      <c r="P383" s="170">
        <f t="shared" si="156"/>
        <v>3.8363331162085006E-2</v>
      </c>
      <c r="Q383" s="313">
        <f t="shared" si="156"/>
        <v>0.8</v>
      </c>
      <c r="R383" s="314">
        <f t="shared" si="156"/>
        <v>0.79934902736386571</v>
      </c>
      <c r="S383" s="810">
        <f t="shared" si="156"/>
        <v>1</v>
      </c>
      <c r="T383" s="233">
        <f t="shared" si="156"/>
        <v>7</v>
      </c>
      <c r="U383" s="253">
        <f>+MAX(U15:U380)</f>
        <v>1.7993490273638657</v>
      </c>
      <c r="V383" s="377">
        <f>MAX(V15:V380)</f>
        <v>52.536822574313796</v>
      </c>
      <c r="X383" s="112" t="s">
        <v>9</v>
      </c>
      <c r="Y383" s="377">
        <f>MAX(Y15:Y380)</f>
        <v>47.565775357133667</v>
      </c>
      <c r="Z383" s="377">
        <f>MAX(Z15:Z380)</f>
        <v>51.149799863878506</v>
      </c>
      <c r="AA383" s="377">
        <f>MAX(AA15:AA380)</f>
        <v>60.925007473265097</v>
      </c>
      <c r="AB383" s="200" t="s">
        <v>9</v>
      </c>
      <c r="AC383" s="49">
        <f t="shared" ref="AC383:AH383" si="157">MAX(AC15:AC380)</f>
        <v>0.16330219495335868</v>
      </c>
      <c r="AD383" s="170">
        <f t="shared" si="157"/>
        <v>7.2102364641527958E-2</v>
      </c>
      <c r="AE383" s="313">
        <f t="shared" si="157"/>
        <v>0.8</v>
      </c>
      <c r="AF383" s="314">
        <f t="shared" si="157"/>
        <v>0.99999953477235071</v>
      </c>
      <c r="AG383" s="810">
        <f t="shared" si="157"/>
        <v>3</v>
      </c>
      <c r="AH383" s="233">
        <f t="shared" si="157"/>
        <v>9</v>
      </c>
      <c r="AI383" s="227">
        <f>MAX(AI15:AI380)</f>
        <v>3.0000657745287693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4" stopIfTrue="1" operator="lessThan">
      <formula>0.01</formula>
    </cfRule>
    <cfRule type="cellIs" dxfId="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'2024'!An+1</f>
        <v>2025</v>
      </c>
      <c r="K1" s="1275"/>
      <c r="L1" s="113" t="str">
        <f>"Calcul pertes et enveloppes en "&amp;TEXT(An,0)</f>
        <v>Calcul pertes et enveloppes en 2025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106.18623642846768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671.02187551121438</v>
      </c>
      <c r="AK4" s="832">
        <f>AM12-AK12</f>
        <v>92.555289894039362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777.52182843251569</v>
      </c>
      <c r="AA5" s="237">
        <f>Wh_Pvg_s-Wh_Pvg</f>
        <v>92.555289894039362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2223.6608134127132</v>
      </c>
      <c r="AK5" s="515">
        <f>SUMIF(AK15:AK380,"VRAI",Wh)</f>
        <v>0</v>
      </c>
      <c r="AL5" s="515">
        <f>SUMIF(AJ15:AJ380,"VRAI",Wh_s)</f>
        <v>2087.2620808326669</v>
      </c>
      <c r="AM5" s="515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6917.4226391251132</v>
      </c>
      <c r="AK6" s="515">
        <f>SUMIF(AK15:AK380,"FAUX",Wh)</f>
        <v>9141.0834525378305</v>
      </c>
      <c r="AL6" s="515">
        <f>SUMIF(AJ15:AJ380,"FAUX",Wh_s)</f>
        <v>6155.4146427458327</v>
      </c>
      <c r="AM6" s="515">
        <f>SUMIF(AK15:AK380,"FAUX",Wh_s)</f>
        <v>8242.6767235785028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2406.024245302136</v>
      </c>
      <c r="AK7" s="515">
        <f>SUMIF(AK15:AK380,"VRAI",Wh_sa)</f>
        <v>0</v>
      </c>
      <c r="AL7" s="515">
        <f>SUMIF(AJ15:AJ380,"VRAI",Wh_pvt_s)</f>
        <v>2258.4422858643175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7509.1746291421905</v>
      </c>
      <c r="AK8" s="515">
        <f>SUMIF(AK15:AK380,"FAUX",Wh_sa)</f>
        <v>10533.154821276725</v>
      </c>
      <c r="AL8" s="515">
        <f>SUMIF(AJ15:AJ380,"FAUX",Wh_pvt_s)</f>
        <v>6682.0014109164322</v>
      </c>
      <c r="AM8" s="515">
        <f>SUMIF(AK15:AK380,"FAUX",Wh_sa_s)</f>
        <v>10401.72256856413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9915.1988744443297</v>
      </c>
      <c r="E9" s="184">
        <f>SUM(E$15:E$380)</f>
        <v>10533.154821276725</v>
      </c>
      <c r="F9" s="184">
        <f>SUM(F$15:F$380)</f>
        <v>10686.938132441892</v>
      </c>
      <c r="H9" s="1276">
        <f>+SUM(Wh)</f>
        <v>9141.0834525378305</v>
      </c>
      <c r="I9" s="1277"/>
      <c r="J9" s="1278"/>
      <c r="K9" s="191"/>
      <c r="L9" s="232"/>
      <c r="M9" s="232"/>
      <c r="N9" s="232"/>
      <c r="O9" s="223">
        <f>Tnet_2025</f>
        <v>45777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8242.6767235785028</v>
      </c>
      <c r="Y9" s="1271"/>
      <c r="Z9" s="515">
        <f>SUM(Z$15:Z$380)</f>
        <v>8940.4436967807451</v>
      </c>
      <c r="AA9" s="515">
        <f>SUM(AA$15:AA$380)</f>
        <v>10401.72256856413</v>
      </c>
      <c r="AB9" s="515">
        <f>F9</f>
        <v>10686.938132441892</v>
      </c>
      <c r="AC9" s="325">
        <f>IF(An_Tnet,Tnet,'2024'!Tnet_s)</f>
        <v>45777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2726.9987553044443</v>
      </c>
      <c r="AK9" s="515">
        <f>SUMIF(AK15:AK380,"VRAI",Wh_hp)</f>
        <v>0</v>
      </c>
      <c r="AL9" s="515">
        <f>SUMIF(AJ15:AJ380,"VRAI",Wh_sa_s)</f>
        <v>2694.3119724428457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1.7999999999999999E-2</v>
      </c>
      <c r="P10" s="420" t="b">
        <f>NOT(Acti_tai)</f>
        <v>1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IF(OR(Inflex,GainD),'2024'!Resal_s+('2024'!Salim-'2024'!Resal_s)*(1-EXP(('2024'!Tnet_s-Tnet)/('2024'!Tau_j))),IF(Acti_net,'2024'!Resal+('2024'!Salim-'2024'!Resal)*(1-EXP(('2024'!Tnet-Tnet)/'2024'!Tau_j)),'2024'!Resal_s))</f>
        <v>0.12148669866389784</v>
      </c>
      <c r="AD10" s="427"/>
      <c r="AE10" s="427"/>
      <c r="AF10" s="260"/>
      <c r="AG10" s="261"/>
      <c r="AH10" s="262"/>
      <c r="AI10" s="472"/>
      <c r="AJ10" s="515">
        <f>SUMIF(AJ15:AJ380,"FAUX",Wh_sa)</f>
        <v>7806.1560659722772</v>
      </c>
      <c r="AK10" s="515">
        <f>SUMIF(AK15:AK380,"FAUX",Wh_hp)</f>
        <v>10686.938132441892</v>
      </c>
      <c r="AL10" s="515">
        <f>SUMIF(AJ15:AJ380,"FAUX",Wh_sa_s)</f>
        <v>7707.4105961212599</v>
      </c>
      <c r="AM10" s="515">
        <f>SUMIF(AK15:AK380,"FAUX",Wh_hp)</f>
        <v>10686.938132441892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774.11542190649925</v>
      </c>
      <c r="E11" s="51">
        <f>(E$9-D$9)*Prod_an/D$9</f>
        <v>569.70989200693418</v>
      </c>
      <c r="F11" s="186">
        <f>(F$9-E$9)*Prod_an/E$9</f>
        <v>133.45916819990259</v>
      </c>
      <c r="G11" s="185" t="s">
        <v>6</v>
      </c>
      <c r="K11" s="194"/>
      <c r="L11" s="211">
        <f>Tvie_2025</f>
        <v>44743</v>
      </c>
      <c r="M11" s="842"/>
      <c r="N11" s="842"/>
      <c r="O11" s="202">
        <f>IF(An_Tnet,Salim_2025,'2024'!Salim)</f>
        <v>0.18000000000000002</v>
      </c>
      <c r="P11" s="256">
        <f>Ttai_2025</f>
        <v>44576</v>
      </c>
      <c r="Q11" s="272">
        <f>Dens_2025</f>
        <v>0.8</v>
      </c>
      <c r="R11" s="277"/>
      <c r="S11" s="230"/>
      <c r="T11" s="230"/>
      <c r="U11" s="266">
        <f>Htf_2025</f>
        <v>2.3993490273638658</v>
      </c>
      <c r="V11" s="427"/>
      <c r="W11" s="518"/>
      <c r="X11" s="525" t="s">
        <v>43</v>
      </c>
      <c r="Y11" s="50">
        <f>Z$9-Prod_an_s</f>
        <v>697.7669732022423</v>
      </c>
      <c r="Z11" s="51">
        <f>(AA$9-Z$9)*Prod_an_s/Z$9</f>
        <v>1347.2317204394499</v>
      </c>
      <c r="AA11" s="186">
        <f>(AB$9-AA$9)*Prod_an_s/AA$9</f>
        <v>226.01445809394195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296.64640387148398</v>
      </c>
      <c r="AK11" s="832">
        <f>IF($AK7=0,0,($AK9-$AK7)*$AK5/$AK7)</f>
        <v>0</v>
      </c>
      <c r="AL11" s="831">
        <f>IF($AL7=0,0,($AL9-$AL7)*$AL5/$AL7)</f>
        <v>402.83264029995166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4.5954003629649964E-2</v>
      </c>
      <c r="K12" s="191"/>
      <c r="L12" s="212">
        <f>Pspv_2025</f>
        <v>2.1111111111111112E-2</v>
      </c>
      <c r="M12" s="212"/>
      <c r="N12" s="212"/>
      <c r="O12" s="205">
        <f>IF(An_Tnet,Tau_2025*365,'2024'!Tau_j)</f>
        <v>717.83333333333337</v>
      </c>
      <c r="P12" s="281">
        <f>INDEX(Croivg,MIN(MAX(Ttai-$A$15,0)+1,366))</f>
        <v>2.3909964587625958E-6</v>
      </c>
      <c r="Q12" s="280">
        <f>'2024'!Df</f>
        <v>0.8</v>
      </c>
      <c r="R12" s="278"/>
      <c r="S12" s="279"/>
      <c r="T12" s="279"/>
      <c r="U12" s="267">
        <f>'2024'!Hdf</f>
        <v>1.7993490273638657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'2024'!Df_s</f>
        <v>0.8</v>
      </c>
      <c r="AF12" s="203"/>
      <c r="AG12" s="203"/>
      <c r="AH12" s="203"/>
      <c r="AI12" s="297">
        <f>'2024'!Hdf_s</f>
        <v>3.0000657745287693</v>
      </c>
      <c r="AJ12" s="831">
        <f>IF($AJ8=0,0,($AJ10-$AJ8)*$AJ6/$AJ8)</f>
        <v>273.57815152622504</v>
      </c>
      <c r="AK12" s="832">
        <f>IF($AK8=0,0,($AK10-$AK8)*$AK6/$AK8)</f>
        <v>133.45916819990259</v>
      </c>
      <c r="AL12" s="831">
        <f>IF($AL8=0,0,($AL10-$AL8)*$AL6/$AL8)</f>
        <v>944.60002703743942</v>
      </c>
      <c r="AM12" s="832">
        <f>IF($AM8=0,0,($AM10-$AM8)*$AM6/$AM8)</f>
        <v>226.01445809394195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570.22455539770908</v>
      </c>
      <c r="AK13" s="73">
        <f>+AK11+AK12</f>
        <v>133.45916819990259</v>
      </c>
      <c r="AL13" s="73">
        <f>+AL11+AL12</f>
        <v>1347.4326673373912</v>
      </c>
      <c r="AM13" s="73">
        <f>+AM11+AM12</f>
        <v>226.01445809394195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93" t="s">
        <v>400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2025</v>
      </c>
      <c r="W14" s="836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IF(t&gt;Tmaj,'2024'!Wh/'2024'!Env_an*'2025'!Env_an,0.001*'[3]mon-tableau (2)'!$B$140)</f>
        <v>5.6661583720459712</v>
      </c>
      <c r="C15" s="839"/>
      <c r="D15" s="393">
        <f t="shared" ref="D15:D78" si="0">Wh/(1-Ppv)</f>
        <v>6.1204221010276445</v>
      </c>
      <c r="E15" s="400">
        <f t="shared" ref="E15:E79" si="1">Wh_pvt/(1-Psa)</f>
        <v>6.884611850306305</v>
      </c>
      <c r="F15" s="400">
        <f t="shared" ref="F15:F78" si="2">Wh_sa/(1-Pvg*MEDIAN((-Sdif+Wh/Env_an)/Csdif,0,1))</f>
        <v>6.9055190802375375</v>
      </c>
      <c r="G15" s="123">
        <f>+Wh_hp/MaxiM</f>
        <v>0.37292639618471796</v>
      </c>
      <c r="H15" s="414" t="b">
        <f>Wh_hp&gt;='2024'!Maxi_hp</f>
        <v>0</v>
      </c>
      <c r="I15" s="396">
        <f>IF(H15,Wh_hp,'2024'!Maxi_hp)</f>
        <v>18.425979166910196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7.4220980429666877E-2</v>
      </c>
      <c r="M15" s="843"/>
      <c r="N15" s="843"/>
      <c r="O15" s="48">
        <f>IF(t&lt;Tnet,'2024'!Resal+('2024'!Salim-'2024'!Resal)*(1-EXP(('2024'!Tnet-t)/('2024'!Tau_j))),Resal+(Salim-Resal)*(1-EXP((Tnet-t)/(Tau_j))))*Salcycl</f>
        <v>0.11099968537001267</v>
      </c>
      <c r="P15" s="302">
        <f>(INDEX(Models!$BJ15:$BT15,,T15)*(1-R15)+INDEX(Models!$BJ15:$BT15,,T15+1)*R15-ERP_i)*Q15*Ramure*Pc/MaxiM</f>
        <v>2.5940728830023567E-2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0.79935046196174087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1.7993504619617409</v>
      </c>
      <c r="V15" s="382">
        <f t="shared" ref="V15:V78" si="9">MaxiM*(1-Ppv)*(1-Pvg)*(1-Psa)</f>
        <v>14.844577405443843</v>
      </c>
      <c r="W15" s="402">
        <f t="shared" ref="W15:W78" si="10">Wh*(A15&gt;Tmaj)</f>
        <v>5.6661583720459712</v>
      </c>
      <c r="X15" s="156">
        <f t="shared" ref="X15:X78" si="11">t</f>
        <v>45658</v>
      </c>
      <c r="Y15" s="385">
        <f t="shared" ref="Y15:Y78" si="12">Wh_pvt_s*(1-Ppv)</f>
        <v>5.3458870593962384</v>
      </c>
      <c r="Z15" s="385">
        <f>Wh_sa_s*(1-Psa_s)</f>
        <v>5.7744741956642507</v>
      </c>
      <c r="AA15" s="386">
        <f t="shared" ref="AA15:AA78" si="13">Wh_hp*(1-Pvg_s*MEDIAN((-Sdif+Wh/Env_an)/Csdif,0,1))</f>
        <v>6.8708402329500702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0.15956797132729764</v>
      </c>
      <c r="AD15" s="231">
        <f>(INDEX(Models!$BJ15:$BT15,,AH15)*(1-AF15)+INDEX(Models!$BJ15:$BT15,,AH15+1)*AF15-ERP_i)*AE15*Ramure*Pc/MaxiM</f>
        <v>4.3027917929870541E-2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6.7209126644485195E-5</v>
      </c>
      <c r="AG15" s="808">
        <f>INDEX(Echel_vg,AH15)</f>
        <v>3</v>
      </c>
      <c r="AH15" s="249">
        <f t="shared" ref="AH15:AH78" si="16">MIN(MATCH(Hp_vg_s,Echel_vg),10)</f>
        <v>9</v>
      </c>
      <c r="AI15" s="224">
        <f t="shared" ref="AI15:AI78" si="17">IF(OR(t&lt;Ttai,Notai),Hdd_s+PousH*Croivg,Hdtai_s+PousH*(Croivg-Croi_tai))</f>
        <v>3.0000672091266445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IF(t&gt;Tmaj,'2024'!Wh/'2024'!Env_an*'2025'!Env_an,0.001*'[3]mon-tableau (2)'!$B$141)</f>
        <v>1.7398798486364002</v>
      </c>
      <c r="C16" s="839"/>
      <c r="D16" s="393">
        <f t="shared" si="0"/>
        <v>1.8794131490295332</v>
      </c>
      <c r="E16" s="385">
        <f t="shared" si="1"/>
        <v>2.1142930103417075</v>
      </c>
      <c r="F16" s="385">
        <f t="shared" si="2"/>
        <v>2.1142930103417075</v>
      </c>
      <c r="G16" s="110">
        <f t="shared" ref="G16:G79" si="21">+Wh_hp/MaxiM</f>
        <v>0.1133703474660535</v>
      </c>
      <c r="H16" s="414" t="b">
        <f>Wh_hp&gt;='2024'!Maxi_hp</f>
        <v>0</v>
      </c>
      <c r="I16" s="390">
        <f>IF(H16,Wh_hp,'2024'!Maxi_hp)</f>
        <v>16.317377222864518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7.4243015946325236E-2</v>
      </c>
      <c r="M16" s="843"/>
      <c r="N16" s="843"/>
      <c r="O16" s="48">
        <f>IF(t&lt;Tnet,'2024'!Resal+('2024'!Salim-'2024'!Resal)*(1-EXP(('2024'!Tnet-t)/('2024'!Tau_j))),Resal+(Salim-Resal)*(1-EXP((Tnet-t)/(Tau_j))))*Salcycl</f>
        <v>0.11109144293780437</v>
      </c>
      <c r="P16" s="169">
        <f>(INDEX(Models!$BJ16:$BT16,,T16)*(1-R16)+INDEX(Models!$BJ16:$BT16,,T16+1)*R16-ERP_i)*Q16*Ramure*Pc/MaxiM</f>
        <v>2.5934529070873975E-2</v>
      </c>
      <c r="Q16" s="305">
        <f t="shared" si="4"/>
        <v>0.8</v>
      </c>
      <c r="R16" s="177">
        <f t="shared" si="5"/>
        <v>0.79938551949853398</v>
      </c>
      <c r="S16" s="809">
        <f t="shared" si="6"/>
        <v>1</v>
      </c>
      <c r="T16" s="176">
        <f t="shared" si="7"/>
        <v>7</v>
      </c>
      <c r="U16" s="251">
        <f t="shared" si="8"/>
        <v>1.799385519498534</v>
      </c>
      <c r="V16" s="383">
        <f t="shared" si="9"/>
        <v>14.948854987231762</v>
      </c>
      <c r="W16" s="402">
        <f t="shared" si="10"/>
        <v>1.7398798486364002</v>
      </c>
      <c r="X16" s="157">
        <f t="shared" si="11"/>
        <v>45659</v>
      </c>
      <c r="Y16" s="385">
        <f t="shared" si="12"/>
        <v>1.6449522322576227</v>
      </c>
      <c r="Z16" s="385">
        <f t="shared" ref="Z16:Z78" si="22">Wh_sa_s*(1-Psa_s)</f>
        <v>1.7768726140793007</v>
      </c>
      <c r="AA16" s="386">
        <f t="shared" si="13"/>
        <v>2.1142930103417075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0.15959017724221364</v>
      </c>
      <c r="AD16" s="231">
        <f>(INDEX(Models!$BJ16:$BT16,,AH16)*(1-AF16)+INDEX(Models!$BJ16:$BT16,,AH16+1)*AF16-ERP_i)*AE16*Ramure*Pc/MaxiM</f>
        <v>4.3160304580615767E-2</v>
      </c>
      <c r="AE16" s="305">
        <f t="shared" si="15"/>
        <v>0.8</v>
      </c>
      <c r="AF16" s="177">
        <f t="shared" ref="AF16:AF78" si="23">(Hp_vg_s-AG16)/(INDEX(Echel_vg,AH16+1)-AG16)</f>
        <v>1.0226666343760016E-4</v>
      </c>
      <c r="AG16" s="809">
        <f t="shared" ref="AG16:AG79" si="24">INDEX(Echel_vg,AH16)</f>
        <v>3</v>
      </c>
      <c r="AH16" s="176">
        <f t="shared" si="16"/>
        <v>9</v>
      </c>
      <c r="AI16" s="225">
        <f t="shared" si="17"/>
        <v>3.0001022666634376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IF(t&gt;Tmaj,'2024'!Wh/'2024'!Env_an*'2025'!Env_an,0.001*'[3]mon-tableau (2)'!$B$142)</f>
        <v>12.458366983814818</v>
      </c>
      <c r="C17" s="839"/>
      <c r="D17" s="393">
        <f t="shared" si="0"/>
        <v>13.45781208390396</v>
      </c>
      <c r="E17" s="385">
        <f t="shared" si="1"/>
        <v>15.141268409031234</v>
      </c>
      <c r="F17" s="385">
        <f t="shared" si="2"/>
        <v>15.442886433427592</v>
      </c>
      <c r="G17" s="110">
        <f t="shared" si="21"/>
        <v>0.82190890390190341</v>
      </c>
      <c r="H17" s="414" t="b">
        <f>Wh_hp&gt;='2024'!Maxi_hp</f>
        <v>0</v>
      </c>
      <c r="I17" s="390">
        <f>IF(H17,Wh_hp,'2024'!Maxi_hp)</f>
        <v>18.889891187353829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7.4265050950185013E-2</v>
      </c>
      <c r="M17" s="843"/>
      <c r="N17" s="843"/>
      <c r="O17" s="48">
        <f>IF(t&lt;Tnet,'2024'!Resal+('2024'!Salim-'2024'!Resal)*(1-EXP(('2024'!Tnet-t)/('2024'!Tau_j))),Resal+(Salim-Resal)*(1-EXP((Tnet-t)/(Tau_j))))*Salcycl</f>
        <v>0.11118330906300768</v>
      </c>
      <c r="P17" s="169">
        <f>(INDEX(Models!$BJ17:$BT17,,T17)*(1-R17)+INDEX(Models!$BJ17:$BT17,,T17+1)*R17-ERP_i)*Q17*Ramure*Pc/MaxiM</f>
        <v>2.592769958962755E-2</v>
      </c>
      <c r="Q17" s="305">
        <f t="shared" si="4"/>
        <v>0.8</v>
      </c>
      <c r="R17" s="177">
        <f t="shared" si="5"/>
        <v>0.79942204341312162</v>
      </c>
      <c r="S17" s="809">
        <f t="shared" si="6"/>
        <v>1</v>
      </c>
      <c r="T17" s="176">
        <f t="shared" si="7"/>
        <v>7</v>
      </c>
      <c r="U17" s="251">
        <f t="shared" si="8"/>
        <v>1.7994220434131216</v>
      </c>
      <c r="V17" s="383">
        <f t="shared" si="9"/>
        <v>15.058955410072922</v>
      </c>
      <c r="W17" s="402">
        <f t="shared" si="10"/>
        <v>12.458366983814818</v>
      </c>
      <c r="X17" s="157">
        <f t="shared" si="11"/>
        <v>45660</v>
      </c>
      <c r="Y17" s="385">
        <f t="shared" si="12"/>
        <v>11.622286278621646</v>
      </c>
      <c r="Z17" s="385">
        <f t="shared" si="22"/>
        <v>12.554658642358586</v>
      </c>
      <c r="AA17" s="386">
        <f t="shared" si="13"/>
        <v>14.939134188947431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0.15961270020273172</v>
      </c>
      <c r="AD17" s="231">
        <f>(INDEX(Models!$BJ17:$BT17,,AH17)*(1-AF17)+INDEX(Models!$BJ17:$BT17,,AH17+1)*AF17-ERP_i)*AE17*Ramure*Pc/MaxiM</f>
        <v>4.3303568772529777E-2</v>
      </c>
      <c r="AE17" s="305">
        <f t="shared" si="15"/>
        <v>0.8</v>
      </c>
      <c r="AF17" s="177">
        <f>(Hp_vg_s-AG17)/(INDEX(Echel_vg,AH17+1)-AG17)</f>
        <v>1.3879057802501649E-4</v>
      </c>
      <c r="AG17" s="809">
        <f>INDEX(Echel_vg,AH17)</f>
        <v>3</v>
      </c>
      <c r="AH17" s="176">
        <f t="shared" si="16"/>
        <v>9</v>
      </c>
      <c r="AI17" s="225">
        <f t="shared" si="17"/>
        <v>3.000138790578025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IF(t&gt;Tmaj,'2024'!Wh/'2024'!Env_an*'2025'!Env_an,0.001*'[3]mon-tableau (2)'!$B$143)</f>
        <v>10.503413338582602</v>
      </c>
      <c r="C18" s="839"/>
      <c r="D18" s="393">
        <f t="shared" si="0"/>
        <v>11.346296647043372</v>
      </c>
      <c r="E18" s="385">
        <f t="shared" si="1"/>
        <v>12.766941346308233</v>
      </c>
      <c r="F18" s="385">
        <f t="shared" si="2"/>
        <v>12.955053444983182</v>
      </c>
      <c r="G18" s="110">
        <f t="shared" si="21"/>
        <v>0.68413849105432567</v>
      </c>
      <c r="H18" s="414" t="b">
        <f>Wh_hp&gt;='2024'!Maxi_hp</f>
        <v>0</v>
      </c>
      <c r="I18" s="390">
        <f>IF(H18,Wh_hp,'2024'!Maxi_hp)</f>
        <v>18.708529066845525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7.4287085441257977E-2</v>
      </c>
      <c r="M18" s="843"/>
      <c r="N18" s="843"/>
      <c r="O18" s="48">
        <f>IF(t&lt;Tnet,'2024'!Resal+('2024'!Salim-'2024'!Resal)*(1-EXP(('2024'!Tnet-t)/('2024'!Tau_j))),Resal+(Salim-Resal)*(1-EXP((Tnet-t)/(Tau_j))))*Salcycl</f>
        <v>0.11127525855483487</v>
      </c>
      <c r="P18" s="169">
        <f>(INDEX(Models!$BJ18:$BT18,,T18)*(1-R18)+INDEX(Models!$BJ18:$BT18,,T18+1)*R18-ERP_i)*Q18*Ramure*Pc/MaxiM</f>
        <v>2.5919654453685135E-2</v>
      </c>
      <c r="Q18" s="305">
        <f t="shared" si="4"/>
        <v>0.8</v>
      </c>
      <c r="R18" s="177">
        <f t="shared" si="5"/>
        <v>0.7994600948506756</v>
      </c>
      <c r="S18" s="809">
        <f t="shared" si="6"/>
        <v>1</v>
      </c>
      <c r="T18" s="176">
        <f t="shared" si="7"/>
        <v>7</v>
      </c>
      <c r="U18" s="251">
        <f t="shared" si="8"/>
        <v>1.7994600948506756</v>
      </c>
      <c r="V18" s="383">
        <f t="shared" si="9"/>
        <v>15.175169735382333</v>
      </c>
      <c r="W18" s="402">
        <f t="shared" si="10"/>
        <v>10.503413338582602</v>
      </c>
      <c r="X18" s="157">
        <f t="shared" si="11"/>
        <v>45661</v>
      </c>
      <c r="Y18" s="385">
        <f t="shared" si="12"/>
        <v>9.8328569351839086</v>
      </c>
      <c r="Z18" s="385">
        <f>Wh_sa_s*(1-Psa_s)</f>
        <v>10.621929088966981</v>
      </c>
      <c r="AA18" s="386">
        <f t="shared" si="13"/>
        <v>12.639669010521734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0.15963550310337324</v>
      </c>
      <c r="AD18" s="231">
        <f>(INDEX(Models!$BJ18:$BT18,,AH18)*(1-AF18)+INDEX(Models!$BJ18:$BT18,,AH18+1)*AF18-ERP_i)*AE18*Ramure*Pc/MaxiM</f>
        <v>4.3456298764903582E-2</v>
      </c>
      <c r="AE18" s="305">
        <f t="shared" si="15"/>
        <v>0.8</v>
      </c>
      <c r="AF18" s="177">
        <f t="shared" si="23"/>
        <v>1.7684201557921497E-4</v>
      </c>
      <c r="AG18" s="809">
        <f t="shared" si="24"/>
        <v>3</v>
      </c>
      <c r="AH18" s="176">
        <f t="shared" si="16"/>
        <v>9</v>
      </c>
      <c r="AI18" s="225">
        <f t="shared" si="17"/>
        <v>3.0001768420155792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IF(t&gt;Tmaj,'2024'!Wh/'2024'!Env_an*'2025'!Env_an,0.001*'[3]mon-tableau (2)'!$B$144)</f>
        <v>10.490512815246124</v>
      </c>
      <c r="C19" s="839"/>
      <c r="D19" s="393">
        <f t="shared" si="0"/>
        <v>11.332630617110723</v>
      </c>
      <c r="E19" s="385">
        <f t="shared" si="1"/>
        <v>12.752884547300082</v>
      </c>
      <c r="F19" s="385">
        <f t="shared" si="2"/>
        <v>12.937611672259749</v>
      </c>
      <c r="G19" s="110">
        <f t="shared" si="21"/>
        <v>0.67766163898952492</v>
      </c>
      <c r="H19" s="414" t="b">
        <f>Wh_hp&gt;='2024'!Maxi_hp</f>
        <v>0</v>
      </c>
      <c r="I19" s="390">
        <f>IF(H19,Wh_hp,'2024'!Maxi_hp)</f>
        <v>18.453425057954192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7.430911941955623E-2</v>
      </c>
      <c r="M19" s="843"/>
      <c r="N19" s="843"/>
      <c r="O19" s="48">
        <f>IF(t&lt;Tnet,'2024'!Resal+('2024'!Salim-'2024'!Resal)*(1-EXP(('2024'!Tnet-t)/('2024'!Tau_j))),Resal+(Salim-Resal)*(1-EXP((Tnet-t)/(Tau_j))))*Salcycl</f>
        <v>0.11136726949277061</v>
      </c>
      <c r="P19" s="169">
        <f>(INDEX(Models!$BJ19:$BT19,,T19)*(1-R19)+INDEX(Models!$BJ19:$BT19,,T19+1)*R19-ERP_i)*Q19*Ramure*Pc/MaxiM</f>
        <v>2.5909836655604576E-2</v>
      </c>
      <c r="Q19" s="305">
        <f t="shared" si="4"/>
        <v>0.8</v>
      </c>
      <c r="R19" s="177">
        <f t="shared" si="5"/>
        <v>0.79949973748974967</v>
      </c>
      <c r="S19" s="809">
        <f t="shared" si="6"/>
        <v>1</v>
      </c>
      <c r="T19" s="176">
        <f t="shared" si="7"/>
        <v>7</v>
      </c>
      <c r="U19" s="251">
        <f t="shared" si="8"/>
        <v>1.7994997374897497</v>
      </c>
      <c r="V19" s="383">
        <f t="shared" si="9"/>
        <v>15.297788701724553</v>
      </c>
      <c r="W19" s="402">
        <f t="shared" si="10"/>
        <v>10.490512815246124</v>
      </c>
      <c r="X19" s="157">
        <f t="shared" si="11"/>
        <v>45662</v>
      </c>
      <c r="Y19" s="385">
        <f t="shared" si="12"/>
        <v>9.822216861964101</v>
      </c>
      <c r="Z19" s="385">
        <f t="shared" si="22"/>
        <v>10.610687723103844</v>
      </c>
      <c r="AA19" s="386">
        <f t="shared" si="13"/>
        <v>12.626638575253663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0.15965855363127163</v>
      </c>
      <c r="AD19" s="231">
        <f>(INDEX(Models!$BJ19:$BT19,,AH19)*(1-AF19)+INDEX(Models!$BJ19:$BT19,,AH19+1)*AF19-ERP_i)*AE19*Ramure*Pc/MaxiM</f>
        <v>4.3617103603352081E-2</v>
      </c>
      <c r="AE19" s="305">
        <f t="shared" si="15"/>
        <v>0.8</v>
      </c>
      <c r="AF19" s="177">
        <f t="shared" si="23"/>
        <v>2.1648465465329281E-4</v>
      </c>
      <c r="AG19" s="809">
        <f t="shared" si="24"/>
        <v>3</v>
      </c>
      <c r="AH19" s="176">
        <f t="shared" si="16"/>
        <v>9</v>
      </c>
      <c r="AI19" s="225">
        <f t="shared" si="17"/>
        <v>3.0002164846546533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IF(t&gt;Tmaj,'2024'!Wh/'2024'!Env_an*'2025'!Env_an,0.001*'[3]mon-tableau (2)'!$B$145)</f>
        <v>4.5813855066670772</v>
      </c>
      <c r="C20" s="839"/>
      <c r="D20" s="393">
        <f t="shared" si="0"/>
        <v>4.9492704879786933</v>
      </c>
      <c r="E20" s="385">
        <f t="shared" si="1"/>
        <v>5.57011132616437</v>
      </c>
      <c r="F20" s="385">
        <f t="shared" si="2"/>
        <v>5.57011132616437</v>
      </c>
      <c r="G20" s="110">
        <f t="shared" si="21"/>
        <v>0.2892790789280566</v>
      </c>
      <c r="H20" s="414" t="b">
        <f>Wh_hp&gt;='2024'!Maxi_hp</f>
        <v>0</v>
      </c>
      <c r="I20" s="390">
        <f>IF(H20,Wh_hp,'2024'!Maxi_hp)</f>
        <v>17.976062678070381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7.4331152885091539E-2</v>
      </c>
      <c r="M20" s="843"/>
      <c r="N20" s="843"/>
      <c r="O20" s="48">
        <f>IF(t&lt;Tnet,'2024'!Resal+('2024'!Salim-'2024'!Resal)*(1-EXP(('2024'!Tnet-t)/('2024'!Tau_j))),Resal+(Salim-Resal)*(1-EXP((Tnet-t)/(Tau_j))))*Salcycl</f>
        <v>0.11145932313227093</v>
      </c>
      <c r="P20" s="169">
        <f>(INDEX(Models!$BJ20:$BT20,,T20)*(1-R20)+INDEX(Models!$BJ20:$BT20,,T20+1)*R20-ERP_i)*Q20*Ramure*Pc/MaxiM</f>
        <v>2.5897719157229267E-2</v>
      </c>
      <c r="Q20" s="305">
        <f t="shared" si="4"/>
        <v>0.8</v>
      </c>
      <c r="R20" s="177">
        <f t="shared" si="5"/>
        <v>0.79954103764585049</v>
      </c>
      <c r="S20" s="809">
        <f t="shared" si="6"/>
        <v>1</v>
      </c>
      <c r="T20" s="176">
        <f t="shared" si="7"/>
        <v>7</v>
      </c>
      <c r="U20" s="251">
        <f t="shared" si="8"/>
        <v>1.7995410376458505</v>
      </c>
      <c r="V20" s="383">
        <f t="shared" si="9"/>
        <v>15.427102741067188</v>
      </c>
      <c r="W20" s="402">
        <f t="shared" si="10"/>
        <v>4.5813855066670772</v>
      </c>
      <c r="X20" s="157">
        <f t="shared" si="11"/>
        <v>45663</v>
      </c>
      <c r="Y20" s="385">
        <f t="shared" si="12"/>
        <v>4.3327465047102978</v>
      </c>
      <c r="Z20" s="385">
        <f t="shared" si="22"/>
        <v>4.6806657890826147</v>
      </c>
      <c r="AA20" s="386">
        <f t="shared" si="13"/>
        <v>5.57011132616437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0.15968182411431908</v>
      </c>
      <c r="AD20" s="231">
        <f>(INDEX(Models!$BJ20:$BT20,,AH20)*(1-AF20)+INDEX(Models!$BJ20:$BT20,,AH20+1)*AF20-ERP_i)*AE20*Ramure*Pc/MaxiM</f>
        <v>4.3784615323837095E-2</v>
      </c>
      <c r="AE20" s="305">
        <f t="shared" si="15"/>
        <v>0.8</v>
      </c>
      <c r="AF20" s="177">
        <f t="shared" si="23"/>
        <v>2.5778481075411364E-4</v>
      </c>
      <c r="AG20" s="809">
        <f t="shared" si="24"/>
        <v>3</v>
      </c>
      <c r="AH20" s="176">
        <f t="shared" si="16"/>
        <v>9</v>
      </c>
      <c r="AI20" s="225">
        <f t="shared" si="17"/>
        <v>3.0002577848107541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IF(t&gt;Tmaj,'2024'!Wh/'2024'!Env_an*'2025'!Env_an,0.001*'[3]mon-tableau (2)'!$B$146)</f>
        <v>10.537939383548368</v>
      </c>
      <c r="C21" s="839"/>
      <c r="D21" s="393">
        <f t="shared" si="0"/>
        <v>11.384406257679489</v>
      </c>
      <c r="E21" s="385">
        <f t="shared" si="1"/>
        <v>12.813804091968388</v>
      </c>
      <c r="F21" s="385">
        <f t="shared" si="2"/>
        <v>12.994997790912047</v>
      </c>
      <c r="G21" s="110">
        <f t="shared" si="21"/>
        <v>0.66889892923342686</v>
      </c>
      <c r="H21" s="414" t="b">
        <f>Wh_hp&gt;='2024'!Maxi_hp</f>
        <v>0</v>
      </c>
      <c r="I21" s="390">
        <f>IF(H21,Wh_hp,'2024'!Maxi_hp)</f>
        <v>13.106878010800106</v>
      </c>
      <c r="J21" s="85">
        <f>IF(H21,An,'2024'!An_max)</f>
        <v>2023</v>
      </c>
      <c r="K21" s="197">
        <f t="shared" si="3"/>
        <v>45664</v>
      </c>
      <c r="L21" s="147">
        <f>IF(t&lt;Tvie,1-EXP((T0-t)*PertePVj)+'2024'!Pspv,1-EXP((T0-t)*PertePVj)+Pspv)</f>
        <v>7.4353185837876007E-2</v>
      </c>
      <c r="M21" s="843"/>
      <c r="N21" s="843"/>
      <c r="O21" s="48">
        <f>IF(t&lt;Tnet,'2024'!Resal+('2024'!Salim-'2024'!Resal)*(1-EXP(('2024'!Tnet-t)/('2024'!Tau_j))),Resal+(Salim-Resal)*(1-EXP((Tnet-t)/(Tau_j))))*Salcycl</f>
        <v>0.11155140378530035</v>
      </c>
      <c r="P21" s="169">
        <f>(INDEX(Models!$BJ21:$BT21,,T21)*(1-R21)+INDEX(Models!$BJ21:$BT21,,T21+1)*R21-ERP_i)*Q21*Ramure*Pc/MaxiM</f>
        <v>2.5882805892493761E-2</v>
      </c>
      <c r="Q21" s="305">
        <f t="shared" si="4"/>
        <v>0.8</v>
      </c>
      <c r="R21" s="177">
        <f t="shared" si="5"/>
        <v>0.79958406437912632</v>
      </c>
      <c r="S21" s="809">
        <f t="shared" si="6"/>
        <v>1</v>
      </c>
      <c r="T21" s="176">
        <f t="shared" si="7"/>
        <v>7</v>
      </c>
      <c r="U21" s="251">
        <f t="shared" si="8"/>
        <v>1.7995840643791263</v>
      </c>
      <c r="V21" s="383">
        <f t="shared" si="9"/>
        <v>15.563401974476403</v>
      </c>
      <c r="W21" s="402">
        <f t="shared" si="10"/>
        <v>10.537939383548368</v>
      </c>
      <c r="X21" s="157">
        <f t="shared" si="11"/>
        <v>45664</v>
      </c>
      <c r="Y21" s="385">
        <f t="shared" si="12"/>
        <v>9.8683642733174128</v>
      </c>
      <c r="Z21" s="385">
        <f t="shared" si="22"/>
        <v>10.661047088732269</v>
      </c>
      <c r="AA21" s="386">
        <f t="shared" si="13"/>
        <v>12.687271476047995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0.15970529133399461</v>
      </c>
      <c r="AD21" s="231">
        <f>(INDEX(Models!$BJ21:$BT21,,AH21)*(1-AF21)+INDEX(Models!$BJ21:$BT21,,AH21+1)*AF21-ERP_i)*AE21*Ramure*Pc/MaxiM</f>
        <v>4.3957491469475911E-2</v>
      </c>
      <c r="AE21" s="305">
        <f t="shared" si="15"/>
        <v>0.8</v>
      </c>
      <c r="AF21" s="177">
        <f t="shared" si="23"/>
        <v>3.0081154402994414E-4</v>
      </c>
      <c r="AG21" s="809">
        <f t="shared" si="24"/>
        <v>3</v>
      </c>
      <c r="AH21" s="176">
        <f t="shared" si="16"/>
        <v>9</v>
      </c>
      <c r="AI21" s="225">
        <f t="shared" si="17"/>
        <v>3.0003008115440299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IF(t&gt;Tmaj,'2024'!Wh/'2024'!Env_an*'2025'!Env_an,0.001*'[3]mon-tableau (2)'!$B$147)</f>
        <v>5.3225796467968101</v>
      </c>
      <c r="C22" s="839"/>
      <c r="D22" s="393">
        <f t="shared" si="0"/>
        <v>5.7502562073742416</v>
      </c>
      <c r="E22" s="385">
        <f t="shared" si="1"/>
        <v>6.4729150952518362</v>
      </c>
      <c r="F22" s="385">
        <f t="shared" si="2"/>
        <v>6.4822243734120759</v>
      </c>
      <c r="G22" s="110">
        <f t="shared" si="21"/>
        <v>0.33057731087204922</v>
      </c>
      <c r="H22" s="414" t="b">
        <f>Wh_hp&gt;='2024'!Maxi_hp</f>
        <v>0</v>
      </c>
      <c r="I22" s="390">
        <f>IF(H22,Wh_hp,'2024'!Maxi_hp)</f>
        <v>14.204515850119641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7.4375218277921401E-2</v>
      </c>
      <c r="M22" s="843"/>
      <c r="N22" s="843"/>
      <c r="O22" s="48">
        <f>IF(t&lt;Tnet,'2024'!Resal+('2024'!Salim-'2024'!Resal)*(1-EXP(('2024'!Tnet-t)/('2024'!Tau_j))),Resal+(Salim-Resal)*(1-EXP((Tnet-t)/(Tau_j))))*Salcycl</f>
        <v>0.11164349867769716</v>
      </c>
      <c r="P22" s="169">
        <f>(INDEX(Models!$BJ22:$BT22,,T22)*(1-R22)+INDEX(Models!$BJ22:$BT22,,T22+1)*R22-ERP_i)*Q22*Ramure*Pc/MaxiM</f>
        <v>2.586463261873849E-2</v>
      </c>
      <c r="Q22" s="305">
        <f t="shared" si="4"/>
        <v>0.8</v>
      </c>
      <c r="R22" s="177">
        <f t="shared" si="5"/>
        <v>0.79962888960632306</v>
      </c>
      <c r="S22" s="809">
        <f t="shared" si="6"/>
        <v>1</v>
      </c>
      <c r="T22" s="176">
        <f t="shared" si="7"/>
        <v>7</v>
      </c>
      <c r="U22" s="251">
        <f t="shared" si="8"/>
        <v>1.7996288896063231</v>
      </c>
      <c r="V22" s="383">
        <f t="shared" si="9"/>
        <v>15.706976238656726</v>
      </c>
      <c r="W22" s="402">
        <f t="shared" si="10"/>
        <v>5.3225796467968101</v>
      </c>
      <c r="X22" s="157">
        <f t="shared" si="11"/>
        <v>45665</v>
      </c>
      <c r="Y22" s="385">
        <f t="shared" si="12"/>
        <v>5.0293617649519655</v>
      </c>
      <c r="Z22" s="385">
        <f t="shared" si="22"/>
        <v>5.4334778673439246</v>
      </c>
      <c r="AA22" s="386">
        <f t="shared" si="13"/>
        <v>6.4663393779818188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0.15972893630588506</v>
      </c>
      <c r="AD22" s="231">
        <f>(INDEX(Models!$BJ22:$BT22,,AH22)*(1-AF22)+INDEX(Models!$BJ22:$BT22,,AH22+1)*AF22-ERP_i)*AE22*Ramure*Pc/MaxiM</f>
        <v>4.4134417715513845E-2</v>
      </c>
      <c r="AE22" s="305">
        <f t="shared" si="15"/>
        <v>0.8</v>
      </c>
      <c r="AF22" s="177">
        <f t="shared" si="23"/>
        <v>3.4563677122667613E-4</v>
      </c>
      <c r="AG22" s="809">
        <f t="shared" si="24"/>
        <v>3</v>
      </c>
      <c r="AH22" s="176">
        <f t="shared" si="16"/>
        <v>9</v>
      </c>
      <c r="AI22" s="225">
        <f t="shared" si="17"/>
        <v>3.0003456367712267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IF(t&gt;Tmaj,'2024'!Wh/'2024'!Env_an*'2025'!Env_an,0.001*'[3]mon-tableau (2)'!$B$148)</f>
        <v>6.6245144976350501</v>
      </c>
      <c r="C23" s="839"/>
      <c r="D23" s="393">
        <f t="shared" si="0"/>
        <v>7.1569736575479554</v>
      </c>
      <c r="E23" s="385">
        <f t="shared" si="1"/>
        <v>8.0572559698501962</v>
      </c>
      <c r="F23" s="385">
        <f t="shared" si="2"/>
        <v>8.0924251210769249</v>
      </c>
      <c r="G23" s="110">
        <f t="shared" si="21"/>
        <v>0.40870333718518437</v>
      </c>
      <c r="H23" s="414" t="b">
        <f>Wh_hp&gt;='2024'!Maxi_hp</f>
        <v>0</v>
      </c>
      <c r="I23" s="390">
        <f>IF(H23,Wh_hp,'2024'!Maxi_hp)</f>
        <v>18.029266819342844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7.4397250205239823E-2</v>
      </c>
      <c r="M23" s="843"/>
      <c r="N23" s="843"/>
      <c r="O23" s="48">
        <f>IF(t&lt;Tnet,'2024'!Resal+('2024'!Salim-'2024'!Resal)*(1-EXP(('2024'!Tnet-t)/('2024'!Tau_j))),Resal+(Salim-Resal)*(1-EXP((Tnet-t)/(Tau_j))))*Salcycl</f>
        <v>0.11173559778552986</v>
      </c>
      <c r="P23" s="169">
        <f>(INDEX(Models!$BJ23:$BT23,,T23)*(1-R23)+INDEX(Models!$BJ23:$BT23,,T23+1)*R23-ERP_i)*Q23*Ramure*Pc/MaxiM</f>
        <v>2.5841881462357323E-2</v>
      </c>
      <c r="Q23" s="305">
        <f t="shared" si="4"/>
        <v>0.8</v>
      </c>
      <c r="R23" s="177">
        <f t="shared" si="5"/>
        <v>0.79967558821716511</v>
      </c>
      <c r="S23" s="809">
        <f t="shared" si="6"/>
        <v>1</v>
      </c>
      <c r="T23" s="176">
        <f t="shared" si="7"/>
        <v>7</v>
      </c>
      <c r="U23" s="251">
        <f t="shared" si="8"/>
        <v>1.7996755882171651</v>
      </c>
      <c r="V23" s="383">
        <f t="shared" si="9"/>
        <v>15.858673354820509</v>
      </c>
      <c r="W23" s="402">
        <f t="shared" si="10"/>
        <v>6.6245144976350501</v>
      </c>
      <c r="X23" s="157">
        <f t="shared" si="11"/>
        <v>45666</v>
      </c>
      <c r="Y23" s="385">
        <f t="shared" si="12"/>
        <v>6.2468610623047418</v>
      </c>
      <c r="Z23" s="385">
        <f t="shared" si="22"/>
        <v>6.7489655402275952</v>
      </c>
      <c r="AA23" s="386">
        <f t="shared" si="13"/>
        <v>8.0321185130745612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0.15975274403113815</v>
      </c>
      <c r="AD23" s="231">
        <f>(INDEX(Models!$BJ23:$BT23,,AH23)*(1-AF23)+INDEX(Models!$BJ23:$BT23,,AH23+1)*AF23-ERP_i)*AE23*Ramure*Pc/MaxiM</f>
        <v>4.4312591036018104E-2</v>
      </c>
      <c r="AE23" s="305">
        <f t="shared" si="15"/>
        <v>0.8</v>
      </c>
      <c r="AF23" s="177">
        <f t="shared" si="23"/>
        <v>3.9233538206850938E-4</v>
      </c>
      <c r="AG23" s="809">
        <f t="shared" si="24"/>
        <v>3</v>
      </c>
      <c r="AH23" s="176">
        <f t="shared" si="16"/>
        <v>9</v>
      </c>
      <c r="AI23" s="225">
        <f t="shared" si="17"/>
        <v>3.0003923353820685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IF(t&gt;Tmaj,'2024'!Wh/'2024'!Env_an*'2025'!Env_an,0.001*'[3]mon-tableau (2)'!$B$149)</f>
        <v>14.28522425733466</v>
      </c>
      <c r="C24" s="839"/>
      <c r="D24" s="393">
        <f t="shared" si="0"/>
        <v>15.433796289895696</v>
      </c>
      <c r="E24" s="385">
        <f t="shared" si="1"/>
        <v>17.377029411522404</v>
      </c>
      <c r="F24" s="385">
        <f t="shared" si="2"/>
        <v>17.764440052880371</v>
      </c>
      <c r="G24" s="110">
        <f t="shared" si="21"/>
        <v>0.88813004783768212</v>
      </c>
      <c r="H24" s="414" t="b">
        <f>Wh_hp&gt;='2024'!Maxi_hp</f>
        <v>0</v>
      </c>
      <c r="I24" s="390">
        <f>IF(H24,Wh_hp,'2024'!Maxi_hp)</f>
        <v>17.81595985452303</v>
      </c>
      <c r="J24" s="85">
        <f>IF(H24,An,'2024'!An_max)</f>
        <v>2023</v>
      </c>
      <c r="K24" s="197">
        <f t="shared" si="3"/>
        <v>45667</v>
      </c>
      <c r="L24" s="147">
        <f>IF(t&lt;Tvie,1-EXP((T0-t)*PertePVj)+'2024'!Pspv,1-EXP((T0-t)*PertePVj)+Pspv)</f>
        <v>7.4419281619843042E-2</v>
      </c>
      <c r="M24" s="843"/>
      <c r="N24" s="843"/>
      <c r="O24" s="48">
        <f>IF(t&lt;Tnet,'2024'!Resal+('2024'!Salim-'2024'!Resal)*(1-EXP(('2024'!Tnet-t)/('2024'!Tau_j))),Resal+(Salim-Resal)*(1-EXP((Tnet-t)/(Tau_j))))*Salcycl</f>
        <v>0.11182769365275876</v>
      </c>
      <c r="P24" s="169">
        <f>(INDEX(Models!$BJ24:$BT24,,T24)*(1-R24)+INDEX(Models!$BJ24:$BT24,,T24+1)*R24-ERP_i)*Q24*Ramure*Pc/MaxiM</f>
        <v>2.5796916737584871E-2</v>
      </c>
      <c r="Q24" s="305">
        <f t="shared" si="4"/>
        <v>0.8</v>
      </c>
      <c r="R24" s="177">
        <f t="shared" si="5"/>
        <v>0.79972423819532845</v>
      </c>
      <c r="S24" s="809">
        <f t="shared" si="6"/>
        <v>1</v>
      </c>
      <c r="T24" s="176">
        <f t="shared" si="7"/>
        <v>7</v>
      </c>
      <c r="U24" s="251">
        <f t="shared" si="8"/>
        <v>1.7997242381953285</v>
      </c>
      <c r="V24" s="383">
        <f t="shared" si="9"/>
        <v>16.019021535779398</v>
      </c>
      <c r="W24" s="402">
        <f t="shared" si="10"/>
        <v>14.28522425733466</v>
      </c>
      <c r="X24" s="157">
        <f t="shared" si="11"/>
        <v>45667</v>
      </c>
      <c r="Y24" s="385">
        <f t="shared" si="12"/>
        <v>13.295873716542745</v>
      </c>
      <c r="Z24" s="385">
        <f t="shared" si="22"/>
        <v>14.364899195190265</v>
      </c>
      <c r="AA24" s="386">
        <f t="shared" si="13"/>
        <v>17.09652570962999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0.15977670322228552</v>
      </c>
      <c r="AD24" s="231">
        <f>(INDEX(Models!$BJ24:$BT24,,AH24)*(1-AF24)+INDEX(Models!$BJ24:$BT24,,AH24+1)*AF24-ERP_i)*AE24*Ramure*Pc/MaxiM</f>
        <v>4.4475109512410439E-2</v>
      </c>
      <c r="AE24" s="305">
        <f t="shared" si="15"/>
        <v>0.8</v>
      </c>
      <c r="AF24" s="177">
        <f t="shared" si="23"/>
        <v>4.4098536023229329E-4</v>
      </c>
      <c r="AG24" s="809">
        <f t="shared" si="24"/>
        <v>3</v>
      </c>
      <c r="AH24" s="176">
        <f t="shared" si="16"/>
        <v>9</v>
      </c>
      <c r="AI24" s="225">
        <f t="shared" si="17"/>
        <v>3.0004409853602323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IF(t&gt;Tmaj,'2024'!Wh/'2024'!Env_an*'2025'!Env_an,0.001*'[3]mon-tableau (2)'!$B$150)</f>
        <v>3.9793598675759192</v>
      </c>
      <c r="C25" s="839"/>
      <c r="D25" s="393">
        <f t="shared" si="0"/>
        <v>4.2994138798674522</v>
      </c>
      <c r="E25" s="385">
        <f t="shared" si="1"/>
        <v>4.8412449560483655</v>
      </c>
      <c r="F25" s="385">
        <f t="shared" si="2"/>
        <v>4.8412449560483655</v>
      </c>
      <c r="G25" s="110">
        <f t="shared" si="21"/>
        <v>0.23950509335260686</v>
      </c>
      <c r="H25" s="414" t="b">
        <f>Wh_hp&gt;='2024'!Maxi_hp</f>
        <v>0</v>
      </c>
      <c r="I25" s="390">
        <f>IF(H25,Wh_hp,'2024'!Maxi_hp)</f>
        <v>20.883768698219409</v>
      </c>
      <c r="J25" s="85">
        <f>IF(H25,An,'2024'!An_max)</f>
        <v>2022</v>
      </c>
      <c r="K25" s="197">
        <f t="shared" si="3"/>
        <v>45668</v>
      </c>
      <c r="L25" s="147">
        <f>IF(t&lt;Tvie,1-EXP((T0-t)*PertePVj)+'2024'!Pspv,1-EXP((T0-t)*PertePVj)+Pspv)</f>
        <v>7.4441312521743047E-2</v>
      </c>
      <c r="M25" s="843"/>
      <c r="N25" s="843"/>
      <c r="O25" s="48">
        <f>IF(t&lt;Tnet,'2024'!Resal+('2024'!Salim-'2024'!Resal)*(1-EXP(('2024'!Tnet-t)/('2024'!Tau_j))),Resal+(Salim-Resal)*(1-EXP((Tnet-t)/(Tau_j))))*Salcycl</f>
        <v>0.1119197811926417</v>
      </c>
      <c r="P25" s="169">
        <f>(INDEX(Models!$BJ25:$BT25,,T25)*(1-R25)+INDEX(Models!$BJ25:$BT25,,T25+1)*R25-ERP_i)*Q25*Ramure*Pc/MaxiM</f>
        <v>2.572414859109199E-2</v>
      </c>
      <c r="Q25" s="305">
        <f t="shared" si="4"/>
        <v>0.8</v>
      </c>
      <c r="R25" s="177">
        <f t="shared" si="5"/>
        <v>0.79977492074416778</v>
      </c>
      <c r="S25" s="809">
        <f t="shared" si="6"/>
        <v>1</v>
      </c>
      <c r="T25" s="176">
        <f t="shared" si="7"/>
        <v>7</v>
      </c>
      <c r="U25" s="251">
        <f t="shared" si="8"/>
        <v>1.7997749207441678</v>
      </c>
      <c r="V25" s="383">
        <f t="shared" si="9"/>
        <v>16.187523065896293</v>
      </c>
      <c r="W25" s="402">
        <f t="shared" si="10"/>
        <v>3.9793598675759192</v>
      </c>
      <c r="X25" s="157">
        <f t="shared" si="11"/>
        <v>45668</v>
      </c>
      <c r="Y25" s="385">
        <f t="shared" si="12"/>
        <v>3.7648118745796655</v>
      </c>
      <c r="Z25" s="385">
        <f t="shared" si="22"/>
        <v>4.0676101099943569</v>
      </c>
      <c r="AA25" s="386">
        <f t="shared" si="13"/>
        <v>4.8412449560483655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0.15980080600703239</v>
      </c>
      <c r="AD25" s="231">
        <f>(INDEX(Models!$BJ25:$BT25,,AH25)*(1-AF25)+INDEX(Models!$BJ25:$BT25,,AH25+1)*AF25-ERP_i)*AE25*Ramure*Pc/MaxiM</f>
        <v>4.4604927336042058E-2</v>
      </c>
      <c r="AE25" s="305">
        <f t="shared" si="15"/>
        <v>0.8</v>
      </c>
      <c r="AF25" s="177">
        <f t="shared" si="23"/>
        <v>4.9166790907140268E-4</v>
      </c>
      <c r="AG25" s="809">
        <f t="shared" si="24"/>
        <v>3</v>
      </c>
      <c r="AH25" s="176">
        <f t="shared" si="16"/>
        <v>9</v>
      </c>
      <c r="AI25" s="225">
        <f t="shared" si="17"/>
        <v>3.0004916679090714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IF(t&gt;Tmaj,'2024'!Wh/'2024'!Env_an*'2025'!Env_an,0.001*'[3]mon-tableau (2)'!$B$151)</f>
        <v>13.794152283711661</v>
      </c>
      <c r="C26" s="839"/>
      <c r="D26" s="393">
        <f t="shared" si="0"/>
        <v>14.903950241253913</v>
      </c>
      <c r="E26" s="385">
        <f t="shared" si="1"/>
        <v>16.783951865484983</v>
      </c>
      <c r="F26" s="385">
        <f t="shared" si="2"/>
        <v>17.124336706263943</v>
      </c>
      <c r="G26" s="110">
        <f t="shared" si="21"/>
        <v>0.8380360205417372</v>
      </c>
      <c r="H26" s="414" t="b">
        <f>Wh_hp&gt;='2024'!Maxi_hp</f>
        <v>0</v>
      </c>
      <c r="I26" s="390">
        <f>IF(H26,Wh_hp,'2024'!Maxi_hp)</f>
        <v>19.450333694535168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7.4463342910951719E-2</v>
      </c>
      <c r="M26" s="843"/>
      <c r="N26" s="843"/>
      <c r="O26" s="48">
        <f>IF(t&lt;Tnet,'2024'!Resal+('2024'!Salim-'2024'!Resal)*(1-EXP(('2024'!Tnet-t)/('2024'!Tau_j))),Resal+(Salim-Resal)*(1-EXP((Tnet-t)/(Tau_j))))*Salcycl</f>
        <v>0.11201185747542332</v>
      </c>
      <c r="P26" s="169">
        <f>(INDEX(Models!$BJ26:$BT26,,T26)*(1-R26)+INDEX(Models!$BJ26:$BT26,,T26+1)*R26-ERP_i)*Q26*Ramure*Pc/MaxiM</f>
        <v>2.5625406682929345E-2</v>
      </c>
      <c r="Q26" s="305">
        <f t="shared" si="4"/>
        <v>0.8</v>
      </c>
      <c r="R26" s="177">
        <f t="shared" si="5"/>
        <v>0.79982772041737316</v>
      </c>
      <c r="S26" s="809">
        <f t="shared" si="6"/>
        <v>1</v>
      </c>
      <c r="T26" s="176">
        <f t="shared" si="7"/>
        <v>7</v>
      </c>
      <c r="U26" s="251">
        <f t="shared" si="8"/>
        <v>1.7998277204173732</v>
      </c>
      <c r="V26" s="383">
        <f t="shared" si="9"/>
        <v>16.363560809492032</v>
      </c>
      <c r="W26" s="402">
        <f t="shared" si="10"/>
        <v>13.794152283711661</v>
      </c>
      <c r="X26" s="157">
        <f t="shared" si="11"/>
        <v>45669</v>
      </c>
      <c r="Y26" s="385">
        <f t="shared" si="12"/>
        <v>12.854345532449649</v>
      </c>
      <c r="Z26" s="385">
        <f t="shared" si="22"/>
        <v>13.888532057583213</v>
      </c>
      <c r="AA26" s="386">
        <f t="shared" si="13"/>
        <v>16.530523813090319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0.15982504761373295</v>
      </c>
      <c r="AD26" s="231">
        <f>(INDEX(Models!$BJ26:$BT26,,AH26)*(1-AF26)+INDEX(Models!$BJ26:$BT26,,AH26+1)*AF26-ERP_i)*AE26*Ramure*Pc/MaxiM</f>
        <v>4.4704390613630206E-2</v>
      </c>
      <c r="AE26" s="305">
        <f t="shared" si="15"/>
        <v>0.8</v>
      </c>
      <c r="AF26" s="177">
        <f t="shared" si="23"/>
        <v>5.4446758227655323E-4</v>
      </c>
      <c r="AG26" s="809">
        <f t="shared" si="24"/>
        <v>3</v>
      </c>
      <c r="AH26" s="176">
        <f t="shared" si="16"/>
        <v>9</v>
      </c>
      <c r="AI26" s="225">
        <f t="shared" si="17"/>
        <v>3.0005444675822766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IF(t&gt;Tmaj,'2024'!Wh/'2024'!Env_an*'2025'!Env_an,0.001*'[3]mon-tableau (2)'!$B$152)</f>
        <v>9.4672529560031542</v>
      </c>
      <c r="C27" s="839"/>
      <c r="D27" s="393">
        <f t="shared" si="0"/>
        <v>10.229177019618579</v>
      </c>
      <c r="E27" s="385">
        <f t="shared" si="1"/>
        <v>11.520691742389836</v>
      </c>
      <c r="F27" s="385">
        <f t="shared" si="2"/>
        <v>11.636067626746634</v>
      </c>
      <c r="G27" s="110">
        <f t="shared" si="21"/>
        <v>0.56315219009204753</v>
      </c>
      <c r="H27" s="414" t="b">
        <f>Wh_hp&gt;='2024'!Maxi_hp</f>
        <v>0</v>
      </c>
      <c r="I27" s="390">
        <f>IF(H27,Wh_hp,'2024'!Maxi_hp)</f>
        <v>13.955743056810109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7.4485372787481158E-2</v>
      </c>
      <c r="M27" s="843"/>
      <c r="N27" s="843"/>
      <c r="O27" s="48">
        <f>IF(t&lt;Tnet,'2024'!Resal+('2024'!Salim-'2024'!Resal)*(1-EXP(('2024'!Tnet-t)/('2024'!Tau_j))),Resal+(Salim-Resal)*(1-EXP((Tnet-t)/(Tau_j))))*Salcycl</f>
        <v>0.11210392150492066</v>
      </c>
      <c r="P27" s="169">
        <f>(INDEX(Models!$BJ27:$BT27,,T27)*(1-R27)+INDEX(Models!$BJ27:$BT27,,T27+1)*R27-ERP_i)*Q27*Ramure*Pc/MaxiM</f>
        <v>2.5502503134394828E-2</v>
      </c>
      <c r="Q27" s="305">
        <f t="shared" si="4"/>
        <v>0.8</v>
      </c>
      <c r="R27" s="177">
        <f t="shared" si="5"/>
        <v>0.79988272525473603</v>
      </c>
      <c r="S27" s="809">
        <f t="shared" si="6"/>
        <v>1</v>
      </c>
      <c r="T27" s="176">
        <f t="shared" si="7"/>
        <v>7</v>
      </c>
      <c r="U27" s="251">
        <f t="shared" si="8"/>
        <v>1.799882725254736</v>
      </c>
      <c r="V27" s="383">
        <f t="shared" si="9"/>
        <v>16.546517840486722</v>
      </c>
      <c r="W27" s="402">
        <f t="shared" si="10"/>
        <v>9.4672529560031542</v>
      </c>
      <c r="X27" s="157">
        <f t="shared" si="11"/>
        <v>45670</v>
      </c>
      <c r="Y27" s="385">
        <f t="shared" si="12"/>
        <v>8.8903632290854659</v>
      </c>
      <c r="Z27" s="385">
        <f t="shared" si="22"/>
        <v>9.6058592351604606</v>
      </c>
      <c r="AA27" s="386">
        <f t="shared" si="13"/>
        <v>11.433497200282501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0.15984942604235586</v>
      </c>
      <c r="AD27" s="231">
        <f>(INDEX(Models!$BJ27:$BT27,,AH27)*(1-AF27)+INDEX(Models!$BJ27:$BT27,,AH27+1)*AF27-ERP_i)*AE27*Ramure*Pc/MaxiM</f>
        <v>4.4775846916686235E-2</v>
      </c>
      <c r="AE27" s="305">
        <f t="shared" si="15"/>
        <v>0.8</v>
      </c>
      <c r="AF27" s="177">
        <f t="shared" si="23"/>
        <v>5.9947241963964615E-4</v>
      </c>
      <c r="AG27" s="809">
        <f t="shared" si="24"/>
        <v>3</v>
      </c>
      <c r="AH27" s="176">
        <f t="shared" si="16"/>
        <v>9</v>
      </c>
      <c r="AI27" s="225">
        <f t="shared" si="17"/>
        <v>3.0005994724196396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IF(t&gt;Tmaj,'2024'!Wh/'2024'!Env_an*'2025'!Env_an,0.001*'[3]mon-tableau (2)'!$B$153)</f>
        <v>11.985926105737381</v>
      </c>
      <c r="C28" s="839"/>
      <c r="D28" s="393">
        <f t="shared" si="0"/>
        <v>12.950861123686053</v>
      </c>
      <c r="E28" s="385">
        <f t="shared" si="1"/>
        <v>14.587522408342334</v>
      </c>
      <c r="F28" s="385">
        <f t="shared" si="2"/>
        <v>14.810812622347418</v>
      </c>
      <c r="G28" s="110">
        <f t="shared" si="21"/>
        <v>0.70870994434870371</v>
      </c>
      <c r="H28" s="414" t="b">
        <f>Wh_hp&gt;='2024'!Maxi_hp</f>
        <v>0</v>
      </c>
      <c r="I28" s="390">
        <f>IF(H28,Wh_hp,'2024'!Maxi_hp)</f>
        <v>21.54879733993512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7.4507402151343133E-2</v>
      </c>
      <c r="M28" s="843"/>
      <c r="N28" s="843"/>
      <c r="O28" s="48">
        <f>IF(t&lt;Tnet,'2024'!Resal+('2024'!Salim-'2024'!Resal)*(1-EXP(('2024'!Tnet-t)/('2024'!Tau_j))),Resal+(Salim-Resal)*(1-EXP((Tnet-t)/(Tau_j))))*Salcycl</f>
        <v>0.11219597398666586</v>
      </c>
      <c r="P28" s="169">
        <f>(INDEX(Models!$BJ28:$BT28,,T28)*(1-R28)+INDEX(Models!$BJ28:$BT28,,T28+1)*R28-ERP_i)*Q28*Ramure*Pc/MaxiM</f>
        <v>2.5357217008314163E-2</v>
      </c>
      <c r="Q28" s="305">
        <f t="shared" si="4"/>
        <v>0.8</v>
      </c>
      <c r="R28" s="177">
        <f t="shared" si="5"/>
        <v>0.79994002692320354</v>
      </c>
      <c r="S28" s="809">
        <f t="shared" si="6"/>
        <v>1</v>
      </c>
      <c r="T28" s="176">
        <f t="shared" si="7"/>
        <v>7</v>
      </c>
      <c r="U28" s="251">
        <f t="shared" si="8"/>
        <v>1.7999400269232035</v>
      </c>
      <c r="V28" s="383">
        <f t="shared" si="9"/>
        <v>16.735777443970861</v>
      </c>
      <c r="W28" s="402">
        <f t="shared" si="10"/>
        <v>11.985926105737381</v>
      </c>
      <c r="X28" s="157">
        <f t="shared" si="11"/>
        <v>45671</v>
      </c>
      <c r="Y28" s="385">
        <f t="shared" si="12"/>
        <v>11.208974583677774</v>
      </c>
      <c r="Z28" s="385">
        <f t="shared" si="22"/>
        <v>12.111360598381301</v>
      </c>
      <c r="AA28" s="386">
        <f t="shared" si="13"/>
        <v>14.416123008071073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0.15987394172479089</v>
      </c>
      <c r="AD28" s="231">
        <f>(INDEX(Models!$BJ28:$BT28,,AH28)*(1-AF28)+INDEX(Models!$BJ28:$BT28,,AH28+1)*AF28-ERP_i)*AE28*Ramure*Pc/MaxiM</f>
        <v>4.4821624829045087E-2</v>
      </c>
      <c r="AE28" s="305">
        <f t="shared" si="15"/>
        <v>0.8</v>
      </c>
      <c r="AF28" s="177">
        <f t="shared" si="23"/>
        <v>6.5677408810715932E-4</v>
      </c>
      <c r="AG28" s="809">
        <f t="shared" si="24"/>
        <v>3</v>
      </c>
      <c r="AH28" s="176">
        <f t="shared" si="16"/>
        <v>9</v>
      </c>
      <c r="AI28" s="225">
        <f t="shared" si="17"/>
        <v>3.0006567740881072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IF(t&gt;Tmaj,'2024'!Wh/'2024'!Env_an*'2025'!Env_an,0.001*'[3]mon-tableau (2)'!$B$154)</f>
        <v>6.1944890218247535</v>
      </c>
      <c r="C29" s="839"/>
      <c r="D29" s="393">
        <f t="shared" si="0"/>
        <v>6.6933398309307215</v>
      </c>
      <c r="E29" s="385">
        <f t="shared" si="1"/>
        <v>7.5399904020575583</v>
      </c>
      <c r="F29" s="385">
        <f t="shared" si="2"/>
        <v>7.5579071461251832</v>
      </c>
      <c r="G29" s="110">
        <f t="shared" si="21"/>
        <v>0.3575033731209874</v>
      </c>
      <c r="H29" s="414" t="b">
        <f>Wh_hp&gt;='2024'!Maxi_hp</f>
        <v>0</v>
      </c>
      <c r="I29" s="390">
        <f>IF(H29,Wh_hp,'2024'!Maxi_hp)</f>
        <v>20.889632657989388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7.4529431002549634E-2</v>
      </c>
      <c r="M29" s="843"/>
      <c r="N29" s="843"/>
      <c r="O29" s="48">
        <f>IF(t&lt;Tnet,'2024'!Resal+('2024'!Salim-'2024'!Resal)*(1-EXP(('2024'!Tnet-t)/('2024'!Tau_j))),Resal+(Salim-Resal)*(1-EXP((Tnet-t)/(Tau_j))))*Salcycl</f>
        <v>0.11228801709028673</v>
      </c>
      <c r="P29" s="169">
        <f>(INDEX(Models!$BJ29:$BT29,,T29)*(1-R29)+INDEX(Models!$BJ29:$BT29,,T29+1)*R29-ERP_i)*Q29*Ramure*Pc/MaxiM</f>
        <v>2.5191281128307905E-2</v>
      </c>
      <c r="Q29" s="305">
        <f t="shared" si="4"/>
        <v>0.8</v>
      </c>
      <c r="R29" s="177">
        <f t="shared" si="5"/>
        <v>0.7999997208634102</v>
      </c>
      <c r="S29" s="809">
        <f t="shared" si="6"/>
        <v>1</v>
      </c>
      <c r="T29" s="176">
        <f t="shared" si="7"/>
        <v>7</v>
      </c>
      <c r="U29" s="251">
        <f t="shared" si="8"/>
        <v>1.7999997208634102</v>
      </c>
      <c r="V29" s="383">
        <f t="shared" si="9"/>
        <v>16.930723130067939</v>
      </c>
      <c r="W29" s="402">
        <f t="shared" si="10"/>
        <v>6.1944890218247535</v>
      </c>
      <c r="X29" s="157">
        <f t="shared" si="11"/>
        <v>45672</v>
      </c>
      <c r="Y29" s="385">
        <f t="shared" si="12"/>
        <v>5.8513931145402136</v>
      </c>
      <c r="Z29" s="385">
        <f t="shared" si="22"/>
        <v>6.3226139334489568</v>
      </c>
      <c r="AA29" s="386">
        <f t="shared" si="13"/>
        <v>7.5260128268006943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0.15989859717835514</v>
      </c>
      <c r="AD29" s="231">
        <f>(INDEX(Models!$BJ29:$BT29,,AH29)*(1-AF29)+INDEX(Models!$BJ29:$BT29,,AH29+1)*AF29-ERP_i)*AE29*Ramure*Pc/MaxiM</f>
        <v>4.4844016383035576E-2</v>
      </c>
      <c r="AE29" s="305">
        <f t="shared" si="15"/>
        <v>0.8</v>
      </c>
      <c r="AF29" s="177">
        <f t="shared" si="23"/>
        <v>7.1646802831359935E-4</v>
      </c>
      <c r="AG29" s="809">
        <f t="shared" si="24"/>
        <v>3</v>
      </c>
      <c r="AH29" s="176">
        <f t="shared" si="16"/>
        <v>9</v>
      </c>
      <c r="AI29" s="225">
        <f t="shared" si="17"/>
        <v>3.0007164680283136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IF(t&gt;Tmaj,'2024'!Wh/'2024'!Env_an*'2025'!Env_an,0.001*'[3]mon-tableau (2)'!$B$155)</f>
        <v>3.3197165802616837</v>
      </c>
      <c r="C30" s="839"/>
      <c r="D30" s="393">
        <f t="shared" si="0"/>
        <v>3.5871433520205889</v>
      </c>
      <c r="E30" s="385">
        <f t="shared" si="1"/>
        <v>4.0413054810559865</v>
      </c>
      <c r="F30" s="385">
        <f t="shared" si="2"/>
        <v>4.0413054810559865</v>
      </c>
      <c r="G30" s="110">
        <f t="shared" si="21"/>
        <v>0.18894121181183499</v>
      </c>
      <c r="H30" s="414" t="b">
        <f>Wh_hp&gt;='2024'!Maxi_hp</f>
        <v>0</v>
      </c>
      <c r="I30" s="390">
        <f>IF(H30,Wh_hp,'2024'!Maxi_hp)</f>
        <v>20.57239192220748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7.4551459341112541E-2</v>
      </c>
      <c r="M30" s="843"/>
      <c r="N30" s="843"/>
      <c r="O30" s="48">
        <f>IF(t&lt;Tnet,'2024'!Resal+('2024'!Salim-'2024'!Resal)*(1-EXP(('2024'!Tnet-t)/('2024'!Tau_j))),Resal+(Salim-Resal)*(1-EXP((Tnet-t)/(Tau_j))))*Salcycl</f>
        <v>0.11238005420880129</v>
      </c>
      <c r="P30" s="169">
        <f>(INDEX(Models!$BJ30:$BT30,,T30)*(1-R30)+INDEX(Models!$BJ30:$BT30,,T30+1)*R30-ERP_i)*Q30*Ramure*Pc/MaxiM</f>
        <v>2.4992552393218303E-2</v>
      </c>
      <c r="Q30" s="305">
        <f t="shared" si="4"/>
        <v>0.8</v>
      </c>
      <c r="R30" s="177">
        <f t="shared" si="5"/>
        <v>0.80006190644188213</v>
      </c>
      <c r="S30" s="809">
        <f t="shared" si="6"/>
        <v>1</v>
      </c>
      <c r="T30" s="176">
        <f t="shared" si="7"/>
        <v>7</v>
      </c>
      <c r="U30" s="251">
        <f t="shared" si="8"/>
        <v>1.8000619064418821</v>
      </c>
      <c r="V30" s="383">
        <f t="shared" si="9"/>
        <v>17.130981423588572</v>
      </c>
      <c r="W30" s="402">
        <f t="shared" si="10"/>
        <v>3.3197165802616837</v>
      </c>
      <c r="X30" s="157">
        <f t="shared" si="11"/>
        <v>45673</v>
      </c>
      <c r="Y30" s="385">
        <f t="shared" si="12"/>
        <v>3.1419035162893123</v>
      </c>
      <c r="Z30" s="385">
        <f t="shared" si="22"/>
        <v>3.3950061815996655</v>
      </c>
      <c r="AA30" s="386">
        <f t="shared" si="13"/>
        <v>4.0413054810559865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0.15992339665633087</v>
      </c>
      <c r="AD30" s="231">
        <f>(INDEX(Models!$BJ30:$BT30,,AH30)*(1-AF30)+INDEX(Models!$BJ30:$BT30,,AH30+1)*AF30-ERP_i)*AE30*Ramure*Pc/MaxiM</f>
        <v>4.4825931968721595E-2</v>
      </c>
      <c r="AE30" s="305">
        <f t="shared" si="15"/>
        <v>0.8</v>
      </c>
      <c r="AF30" s="177">
        <f t="shared" si="23"/>
        <v>7.7865360678597284E-4</v>
      </c>
      <c r="AG30" s="809">
        <f t="shared" si="24"/>
        <v>3</v>
      </c>
      <c r="AH30" s="176">
        <f t="shared" si="16"/>
        <v>9</v>
      </c>
      <c r="AI30" s="225">
        <f t="shared" si="17"/>
        <v>3.000778653606786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IF(t&gt;Tmaj,'2024'!Wh/'2024'!Env_an*'2025'!Env_an,0.001*'[3]mon-tableau (2)'!$B$156)</f>
        <v>5.4001628329092659</v>
      </c>
      <c r="C31" s="839"/>
      <c r="D31" s="393">
        <f t="shared" si="0"/>
        <v>5.8353232353134681</v>
      </c>
      <c r="E31" s="385">
        <f t="shared" si="1"/>
        <v>6.5748053302975968</v>
      </c>
      <c r="F31" s="385">
        <f t="shared" si="2"/>
        <v>6.5774813428476282</v>
      </c>
      <c r="G31" s="110">
        <f t="shared" si="21"/>
        <v>0.3039109830663983</v>
      </c>
      <c r="H31" s="414" t="b">
        <f>Wh_hp&gt;='2024'!Maxi_hp</f>
        <v>0</v>
      </c>
      <c r="I31" s="390">
        <f>IF(H31,Wh_hp,'2024'!Maxi_hp)</f>
        <v>13.681968685413491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7.4573487167043956E-2</v>
      </c>
      <c r="M31" s="843"/>
      <c r="N31" s="843"/>
      <c r="O31" s="48">
        <f>IF(t&lt;Tnet,'2024'!Resal+('2024'!Salim-'2024'!Resal)*(1-EXP(('2024'!Tnet-t)/('2024'!Tau_j))),Resal+(Salim-Resal)*(1-EXP((Tnet-t)/(Tau_j))))*Salcycl</f>
        <v>0.11247208971746964</v>
      </c>
      <c r="P31" s="169">
        <f>(INDEX(Models!$BJ31:$BT31,,T31)*(1-R31)+INDEX(Models!$BJ31:$BT31,,T31+1)*R31-ERP_i)*Q31*Ramure*Pc/MaxiM</f>
        <v>2.4762535007645005E-2</v>
      </c>
      <c r="Q31" s="305">
        <f t="shared" si="4"/>
        <v>0.8</v>
      </c>
      <c r="R31" s="177">
        <f t="shared" si="5"/>
        <v>0.80012668710910706</v>
      </c>
      <c r="S31" s="809">
        <f t="shared" si="6"/>
        <v>1</v>
      </c>
      <c r="T31" s="176">
        <f t="shared" si="7"/>
        <v>7</v>
      </c>
      <c r="U31" s="251">
        <f t="shared" si="8"/>
        <v>1.8001266871091071</v>
      </c>
      <c r="V31" s="383">
        <f t="shared" si="9"/>
        <v>17.335946709057374</v>
      </c>
      <c r="W31" s="402">
        <f t="shared" si="10"/>
        <v>5.4001628329092659</v>
      </c>
      <c r="X31" s="157">
        <f t="shared" si="11"/>
        <v>45674</v>
      </c>
      <c r="Y31" s="385">
        <f t="shared" si="12"/>
        <v>5.1096132793240656</v>
      </c>
      <c r="Z31" s="385">
        <f t="shared" si="22"/>
        <v>5.5213603765060659</v>
      </c>
      <c r="AA31" s="386">
        <f t="shared" si="13"/>
        <v>6.5726438950466353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0.15994834579929884</v>
      </c>
      <c r="AD31" s="231">
        <f>(INDEX(Models!$BJ31:$BT31,,AH31)*(1-AF31)+INDEX(Models!$BJ31:$BT31,,AH31+1)*AF31-ERP_i)*AE31*Ramure*Pc/MaxiM</f>
        <v>4.4763418810702844E-2</v>
      </c>
      <c r="AE31" s="305">
        <f t="shared" si="15"/>
        <v>0.8</v>
      </c>
      <c r="AF31" s="177">
        <f t="shared" si="23"/>
        <v>8.4343427401067927E-4</v>
      </c>
      <c r="AG31" s="809">
        <f t="shared" si="24"/>
        <v>3</v>
      </c>
      <c r="AH31" s="176">
        <f t="shared" si="16"/>
        <v>9</v>
      </c>
      <c r="AI31" s="225">
        <f t="shared" si="17"/>
        <v>3.0008434342740107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IF(t&gt;Tmaj,'2024'!Wh/'2024'!Env_an*'2025'!Env_an,0.001*'[3]mon-tableau (2)'!$B$157)</f>
        <v>13.263990992010935</v>
      </c>
      <c r="C32" s="839"/>
      <c r="D32" s="393">
        <f t="shared" si="0"/>
        <v>14.333182083683953</v>
      </c>
      <c r="E32" s="385">
        <f t="shared" si="1"/>
        <v>16.151231370948828</v>
      </c>
      <c r="F32" s="385">
        <f t="shared" si="2"/>
        <v>16.41322021405707</v>
      </c>
      <c r="G32" s="110">
        <f t="shared" si="21"/>
        <v>0.7494363372361027</v>
      </c>
      <c r="H32" s="414" t="b">
        <f>Wh_hp&gt;='2024'!Maxi_hp</f>
        <v>0</v>
      </c>
      <c r="I32" s="390">
        <f>IF(H32,Wh_hp,'2024'!Maxi_hp)</f>
        <v>21.36929658640063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7.4595514480355535E-2</v>
      </c>
      <c r="M32" s="843"/>
      <c r="N32" s="843"/>
      <c r="O32" s="48">
        <f>IF(t&lt;Tnet,'2024'!Resal+('2024'!Salim-'2024'!Resal)*(1-EXP(('2024'!Tnet-t)/('2024'!Tau_j))),Resal+(Salim-Resal)*(1-EXP((Tnet-t)/(Tau_j))))*Salcycl</f>
        <v>0.11256412873479069</v>
      </c>
      <c r="P32" s="169">
        <f>(INDEX(Models!$BJ32:$BT32,,T32)*(1-R32)+INDEX(Models!$BJ32:$BT32,,T32+1)*R32-ERP_i)*Q32*Ramure*Pc/MaxiM</f>
        <v>2.4503261955222181E-2</v>
      </c>
      <c r="Q32" s="305">
        <f t="shared" si="4"/>
        <v>0.8</v>
      </c>
      <c r="R32" s="177">
        <f t="shared" si="5"/>
        <v>0.80019417056367703</v>
      </c>
      <c r="S32" s="809">
        <f t="shared" si="6"/>
        <v>1</v>
      </c>
      <c r="T32" s="176">
        <f t="shared" si="7"/>
        <v>7</v>
      </c>
      <c r="U32" s="251">
        <f t="shared" si="8"/>
        <v>1.800194170563677</v>
      </c>
      <c r="V32" s="383">
        <f t="shared" si="9"/>
        <v>17.545003173025073</v>
      </c>
      <c r="W32" s="402">
        <f t="shared" si="10"/>
        <v>13.263990992010935</v>
      </c>
      <c r="X32" s="157">
        <f t="shared" si="11"/>
        <v>45675</v>
      </c>
      <c r="Y32" s="385">
        <f t="shared" si="12"/>
        <v>12.387861167471325</v>
      </c>
      <c r="Z32" s="385">
        <f t="shared" si="22"/>
        <v>13.386428703676685</v>
      </c>
      <c r="AA32" s="386">
        <f t="shared" si="13"/>
        <v>15.935720989114705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0.15997345129093177</v>
      </c>
      <c r="AD32" s="231">
        <f>(INDEX(Models!$BJ32:$BT32,,AH32)*(1-AF32)+INDEX(Models!$BJ32:$BT32,,AH32+1)*AF32-ERP_i)*AE32*Ramure*Pc/MaxiM</f>
        <v>4.4659491806467437E-2</v>
      </c>
      <c r="AE32" s="305">
        <f t="shared" si="15"/>
        <v>0.8</v>
      </c>
      <c r="AF32" s="177">
        <f t="shared" si="23"/>
        <v>9.1091772858087339E-4</v>
      </c>
      <c r="AG32" s="809">
        <f t="shared" si="24"/>
        <v>3</v>
      </c>
      <c r="AH32" s="176">
        <f t="shared" si="16"/>
        <v>9</v>
      </c>
      <c r="AI32" s="225">
        <f t="shared" si="17"/>
        <v>3.0009109177285809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IF(t&gt;Tmaj,'2024'!Wh/'2024'!Env_an*'2025'!Env_an,0.001*'[3]mon-tableau (2)'!$B$158)</f>
        <v>7.1176114910362953</v>
      </c>
      <c r="C33" s="839"/>
      <c r="D33" s="393">
        <f t="shared" si="0"/>
        <v>7.6915349150767449</v>
      </c>
      <c r="E33" s="385">
        <f t="shared" si="1"/>
        <v>8.6680435641092135</v>
      </c>
      <c r="F33" s="385">
        <f t="shared" si="2"/>
        <v>8.6983832124412821</v>
      </c>
      <c r="G33" s="110">
        <f t="shared" si="21"/>
        <v>0.39248443291129242</v>
      </c>
      <c r="H33" s="414" t="b">
        <f>Wh_hp&gt;='2024'!Maxi_hp</f>
        <v>0</v>
      </c>
      <c r="I33" s="390">
        <f>IF(H33,Wh_hp,'2024'!Maxi_hp)</f>
        <v>22.802724307103638</v>
      </c>
      <c r="J33" s="85">
        <f>IF(H33,An,'2024'!An_max)</f>
        <v>2020</v>
      </c>
      <c r="K33" s="197">
        <f t="shared" si="3"/>
        <v>45676</v>
      </c>
      <c r="L33" s="147">
        <f>IF(t&lt;Tvie,1-EXP((T0-t)*PertePVj)+'2024'!Pspv,1-EXP((T0-t)*PertePVj)+Pspv)</f>
        <v>7.4617541281059491E-2</v>
      </c>
      <c r="M33" s="843"/>
      <c r="N33" s="843"/>
      <c r="O33" s="48">
        <f>IF(t&lt;Tnet,'2024'!Resal+('2024'!Salim-'2024'!Resal)*(1-EXP(('2024'!Tnet-t)/('2024'!Tau_j))),Resal+(Salim-Resal)*(1-EXP((Tnet-t)/(Tau_j))))*Salcycl</f>
        <v>0.11265617688814901</v>
      </c>
      <c r="P33" s="169">
        <f>(INDEX(Models!$BJ33:$BT33,,T33)*(1-R33)+INDEX(Models!$BJ33:$BT33,,T33+1)*R33-ERP_i)*Q33*Ramure*Pc/MaxiM</f>
        <v>2.4216677992418268E-2</v>
      </c>
      <c r="Q33" s="305">
        <f t="shared" si="4"/>
        <v>0.8</v>
      </c>
      <c r="R33" s="177">
        <f t="shared" si="5"/>
        <v>0.80026446892271008</v>
      </c>
      <c r="S33" s="809">
        <f t="shared" si="6"/>
        <v>1</v>
      </c>
      <c r="T33" s="176">
        <f t="shared" si="7"/>
        <v>7</v>
      </c>
      <c r="U33" s="251">
        <f t="shared" si="8"/>
        <v>1.8002644689227101</v>
      </c>
      <c r="V33" s="383">
        <f t="shared" si="9"/>
        <v>17.757535236204127</v>
      </c>
      <c r="W33" s="402">
        <f t="shared" si="10"/>
        <v>7.1176114910362953</v>
      </c>
      <c r="X33" s="157">
        <f t="shared" si="11"/>
        <v>45676</v>
      </c>
      <c r="Y33" s="385">
        <f t="shared" si="12"/>
        <v>6.7180950863622231</v>
      </c>
      <c r="Z33" s="385">
        <f t="shared" si="22"/>
        <v>7.2598037957867314</v>
      </c>
      <c r="AA33" s="386">
        <f t="shared" si="13"/>
        <v>8.6426104020892165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0.15999872052177808</v>
      </c>
      <c r="AD33" s="231">
        <f>(INDEX(Models!$BJ33:$BT33,,AH33)*(1-AF33)+INDEX(Models!$BJ33:$BT33,,AH33+1)*AF33-ERP_i)*AE33*Ramure*Pc/MaxiM</f>
        <v>4.4517068037357707E-2</v>
      </c>
      <c r="AE33" s="305">
        <f t="shared" si="15"/>
        <v>0.8</v>
      </c>
      <c r="AF33" s="177">
        <f t="shared" si="23"/>
        <v>9.8121608761392309E-4</v>
      </c>
      <c r="AG33" s="809">
        <f t="shared" si="24"/>
        <v>3</v>
      </c>
      <c r="AH33" s="176">
        <f t="shared" si="16"/>
        <v>9</v>
      </c>
      <c r="AI33" s="225">
        <f t="shared" si="17"/>
        <v>3.0009812160876139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IF(t&gt;Tmaj,'2024'!Wh/'2024'!Env_an*'2025'!Env_an,0.001*'[3]mon-tableau (2)'!$B$159)</f>
        <v>14.260831186733682</v>
      </c>
      <c r="C34" s="839"/>
      <c r="D34" s="393">
        <f t="shared" si="0"/>
        <v>15.411109754576231</v>
      </c>
      <c r="E34" s="385">
        <f t="shared" si="1"/>
        <v>17.369489079490737</v>
      </c>
      <c r="F34" s="385">
        <f t="shared" si="2"/>
        <v>17.667209078270723</v>
      </c>
      <c r="G34" s="110">
        <f t="shared" si="21"/>
        <v>0.78776951747727286</v>
      </c>
      <c r="H34" s="414" t="b">
        <f>Wh_hp&gt;='2024'!Maxi_hp</f>
        <v>0</v>
      </c>
      <c r="I34" s="390">
        <f>IF(H34,Wh_hp,'2024'!Maxi_hp)</f>
        <v>17.761021939938079</v>
      </c>
      <c r="J34" s="85">
        <f>IF(H34,An,'2024'!An_max)</f>
        <v>2023</v>
      </c>
      <c r="K34" s="197">
        <f t="shared" si="3"/>
        <v>45677</v>
      </c>
      <c r="L34" s="147">
        <f>IF(t&lt;Tvie,1-EXP((T0-t)*PertePVj)+'2024'!Pspv,1-EXP((T0-t)*PertePVj)+Pspv)</f>
        <v>7.4639567569167481E-2</v>
      </c>
      <c r="M34" s="843"/>
      <c r="N34" s="843"/>
      <c r="O34" s="48">
        <f>IF(t&lt;Tnet,'2024'!Resal+('2024'!Salim-'2024'!Resal)*(1-EXP(('2024'!Tnet-t)/('2024'!Tau_j))),Resal+(Salim-Resal)*(1-EXP((Tnet-t)/(Tau_j))))*Salcycl</f>
        <v>0.11274824008651411</v>
      </c>
      <c r="P34" s="169">
        <f>(INDEX(Models!$BJ34:$BT34,,T34)*(1-R34)+INDEX(Models!$BJ34:$BT34,,T34+1)*R34-ERP_i)*Q34*Ramure*Pc/MaxiM</f>
        <v>2.3904765005294197E-2</v>
      </c>
      <c r="Q34" s="305">
        <f t="shared" si="4"/>
        <v>0.8</v>
      </c>
      <c r="R34" s="177">
        <f t="shared" si="5"/>
        <v>0.80033769889876138</v>
      </c>
      <c r="S34" s="809">
        <f t="shared" si="6"/>
        <v>1</v>
      </c>
      <c r="T34" s="176">
        <f t="shared" si="7"/>
        <v>7</v>
      </c>
      <c r="U34" s="251">
        <f t="shared" si="8"/>
        <v>1.8003376988987614</v>
      </c>
      <c r="V34" s="383">
        <f t="shared" si="9"/>
        <v>17.972925098273784</v>
      </c>
      <c r="W34" s="402">
        <f t="shared" si="10"/>
        <v>14.260831186733682</v>
      </c>
      <c r="X34" s="157">
        <f t="shared" si="11"/>
        <v>45677</v>
      </c>
      <c r="Y34" s="385">
        <f t="shared" si="12"/>
        <v>13.303146381900527</v>
      </c>
      <c r="Z34" s="385">
        <f t="shared" si="22"/>
        <v>14.376178098467475</v>
      </c>
      <c r="AA34" s="386">
        <f t="shared" si="13"/>
        <v>17.114990021745925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0.160024161264399</v>
      </c>
      <c r="AD34" s="231">
        <f>(INDEX(Models!$BJ34:$BT34,,AH34)*(1-AF34)+INDEX(Models!$BJ34:$BT34,,AH34+1)*AF34-ERP_i)*AE34*Ramure*Pc/MaxiM</f>
        <v>4.4339200697854048E-2</v>
      </c>
      <c r="AE34" s="305">
        <f t="shared" si="15"/>
        <v>0.8</v>
      </c>
      <c r="AF34" s="177">
        <f t="shared" si="23"/>
        <v>1.0544460636650044E-3</v>
      </c>
      <c r="AG34" s="809">
        <f t="shared" si="24"/>
        <v>3</v>
      </c>
      <c r="AH34" s="176">
        <f t="shared" si="16"/>
        <v>9</v>
      </c>
      <c r="AI34" s="225">
        <f t="shared" si="17"/>
        <v>3.001054446063665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IF(t&gt;Tmaj,'2024'!Wh/'2024'!Env_an*'2025'!Env_an,0.001*'[3]mon-tableau (2)'!$B$160)</f>
        <v>5.4677331122789727</v>
      </c>
      <c r="C35" s="839"/>
      <c r="D35" s="393">
        <f t="shared" si="0"/>
        <v>5.9089010819754311</v>
      </c>
      <c r="E35" s="385">
        <f t="shared" si="1"/>
        <v>6.6604707628641133</v>
      </c>
      <c r="F35" s="385">
        <f t="shared" si="2"/>
        <v>6.6606010392298591</v>
      </c>
      <c r="G35" s="110">
        <f t="shared" si="21"/>
        <v>0.29350211194154635</v>
      </c>
      <c r="H35" s="414" t="b">
        <f>Wh_hp&gt;='2024'!Maxi_hp</f>
        <v>0</v>
      </c>
      <c r="I35" s="390">
        <f>IF(H35,Wh_hp,'2024'!Maxi_hp)</f>
        <v>16.083260697407649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7.4661593344691718E-2</v>
      </c>
      <c r="M35" s="843"/>
      <c r="N35" s="843"/>
      <c r="O35" s="48">
        <f>IF(t&lt;Tnet,'2024'!Resal+('2024'!Salim-'2024'!Resal)*(1-EXP(('2024'!Tnet-t)/('2024'!Tau_j))),Resal+(Salim-Resal)*(1-EXP((Tnet-t)/(Tau_j))))*Salcycl</f>
        <v>0.1128403243024664</v>
      </c>
      <c r="P35" s="169">
        <f>(INDEX(Models!$BJ35:$BT35,,T35)*(1-R35)+INDEX(Models!$BJ35:$BT35,,T35+1)*R35-ERP_i)*Q35*Ramure*Pc/MaxiM</f>
        <v>2.3569454623265509E-2</v>
      </c>
      <c r="Q35" s="305">
        <f t="shared" si="4"/>
        <v>0.8</v>
      </c>
      <c r="R35" s="177">
        <f t="shared" si="5"/>
        <v>0.80041398198344482</v>
      </c>
      <c r="S35" s="809">
        <f t="shared" si="6"/>
        <v>1</v>
      </c>
      <c r="T35" s="176">
        <f t="shared" si="7"/>
        <v>7</v>
      </c>
      <c r="U35" s="251">
        <f t="shared" si="8"/>
        <v>1.8004139819834448</v>
      </c>
      <c r="V35" s="383">
        <f t="shared" si="9"/>
        <v>18.190554117838605</v>
      </c>
      <c r="W35" s="402">
        <f t="shared" si="10"/>
        <v>5.4677331122789727</v>
      </c>
      <c r="X35" s="157">
        <f t="shared" si="11"/>
        <v>45678</v>
      </c>
      <c r="Y35" s="385">
        <f t="shared" si="12"/>
        <v>5.17668396207839</v>
      </c>
      <c r="Z35" s="385">
        <f t="shared" si="22"/>
        <v>5.5943684222400618</v>
      </c>
      <c r="AA35" s="386">
        <f t="shared" si="13"/>
        <v>6.6603571236856105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0.16004978136302517</v>
      </c>
      <c r="AD35" s="231">
        <f>(INDEX(Models!$BJ35:$BT35,,AH35)*(1-AF35)+INDEX(Models!$BJ35:$BT35,,AH35+1)*AF35-ERP_i)*AE35*Ramure*Pc/MaxiM</f>
        <v>4.4128927907579239E-2</v>
      </c>
      <c r="AE35" s="305">
        <f t="shared" si="15"/>
        <v>0.8</v>
      </c>
      <c r="AF35" s="177">
        <f t="shared" si="23"/>
        <v>1.1307291483482196E-3</v>
      </c>
      <c r="AG35" s="809">
        <f t="shared" si="24"/>
        <v>3</v>
      </c>
      <c r="AH35" s="176">
        <f t="shared" si="16"/>
        <v>9</v>
      </c>
      <c r="AI35" s="225">
        <f t="shared" si="17"/>
        <v>3.0011307291483482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IF(t&gt;Tmaj,'2024'!Wh/'2024'!Env_an*'2025'!Env_an,0.001*'[3]mon-tableau (2)'!$B$161)</f>
        <v>17.702977122089315</v>
      </c>
      <c r="C36" s="839"/>
      <c r="D36" s="393">
        <f t="shared" si="0"/>
        <v>19.131809917220984</v>
      </c>
      <c r="E36" s="385">
        <f t="shared" si="1"/>
        <v>21.567477698395805</v>
      </c>
      <c r="F36" s="385">
        <f t="shared" si="2"/>
        <v>22.051266714640114</v>
      </c>
      <c r="G36" s="110">
        <f t="shared" si="21"/>
        <v>0.96035410054006121</v>
      </c>
      <c r="H36" s="414" t="b">
        <f>Wh_hp&gt;='2024'!Maxi_hp</f>
        <v>0</v>
      </c>
      <c r="I36" s="390">
        <f>IF(H36,Wh_hp,'2024'!Maxi_hp)</f>
        <v>22.080002975196251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7.4683618607643859E-2</v>
      </c>
      <c r="M36" s="843"/>
      <c r="N36" s="843"/>
      <c r="O36" s="48">
        <f>IF(t&lt;Tnet,'2024'!Resal+('2024'!Salim-'2024'!Resal)*(1-EXP(('2024'!Tnet-t)/('2024'!Tau_j))),Resal+(Salim-Resal)*(1-EXP((Tnet-t)/(Tau_j))))*Salcycl</f>
        <v>0.11293243536567966</v>
      </c>
      <c r="P36" s="169">
        <f>(INDEX(Models!$BJ36:$BT36,,T36)*(1-R36)+INDEX(Models!$BJ36:$BT36,,T36+1)*R36-ERP_i)*Q36*Ramure*Pc/MaxiM</f>
        <v>2.3212459634722776E-2</v>
      </c>
      <c r="Q36" s="305">
        <f t="shared" si="4"/>
        <v>0.8</v>
      </c>
      <c r="R36" s="177">
        <f t="shared" si="5"/>
        <v>0.80049344463798322</v>
      </c>
      <c r="S36" s="809">
        <f t="shared" si="6"/>
        <v>1</v>
      </c>
      <c r="T36" s="176">
        <f t="shared" si="7"/>
        <v>7</v>
      </c>
      <c r="U36" s="251">
        <f t="shared" si="8"/>
        <v>1.8004934446379832</v>
      </c>
      <c r="V36" s="383">
        <f t="shared" si="9"/>
        <v>18.40980586458533</v>
      </c>
      <c r="W36" s="402">
        <f t="shared" si="10"/>
        <v>17.702977122089315</v>
      </c>
      <c r="X36" s="157">
        <f t="shared" si="11"/>
        <v>45679</v>
      </c>
      <c r="Y36" s="385">
        <f t="shared" si="12"/>
        <v>16.427232486576965</v>
      </c>
      <c r="Z36" s="385">
        <f t="shared" si="22"/>
        <v>17.753098093711827</v>
      </c>
      <c r="AA36" s="386">
        <f t="shared" si="13"/>
        <v>21.13654258572285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0.16007558844067749</v>
      </c>
      <c r="AD36" s="231">
        <f>(INDEX(Models!$BJ36:$BT36,,AH36)*(1-AF36)+INDEX(Models!$BJ36:$BT36,,AH36+1)*AF36-ERP_i)*AE36*Ramure*Pc/MaxiM</f>
        <v>4.3888960283208281E-2</v>
      </c>
      <c r="AE36" s="305">
        <f t="shared" si="15"/>
        <v>0.8</v>
      </c>
      <c r="AF36" s="177">
        <f t="shared" si="23"/>
        <v>1.2101918028868397E-3</v>
      </c>
      <c r="AG36" s="809">
        <f t="shared" si="24"/>
        <v>3</v>
      </c>
      <c r="AH36" s="176">
        <f t="shared" si="16"/>
        <v>9</v>
      </c>
      <c r="AI36" s="225">
        <f t="shared" si="17"/>
        <v>3.0012101918028868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IF(t&gt;Tmaj,'2024'!Wh/'2024'!Env_an*'2025'!Env_an,0.001*'[3]mon-tableau (2)'!$B$162)</f>
        <v>17.963800308023362</v>
      </c>
      <c r="C37" s="839"/>
      <c r="D37" s="393">
        <f t="shared" si="0"/>
        <v>19.414146621640239</v>
      </c>
      <c r="E37" s="385">
        <f t="shared" si="1"/>
        <v>21.888032246388626</v>
      </c>
      <c r="F37" s="385">
        <f t="shared" si="2"/>
        <v>22.372697997498552</v>
      </c>
      <c r="G37" s="110">
        <f t="shared" si="21"/>
        <v>0.96298440381236861</v>
      </c>
      <c r="H37" s="414" t="b">
        <f>Wh_hp&gt;='2024'!Maxi_hp</f>
        <v>0</v>
      </c>
      <c r="I37" s="390">
        <f>IF(H37,Wh_hp,'2024'!Maxi_hp)</f>
        <v>22.39947454636982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7.4705643358036006E-2</v>
      </c>
      <c r="M37" s="843"/>
      <c r="N37" s="843"/>
      <c r="O37" s="48">
        <f>IF(t&lt;Tnet,'2024'!Resal+('2024'!Salim-'2024'!Resal)*(1-EXP(('2024'!Tnet-t)/('2024'!Tau_j))),Resal+(Salim-Resal)*(1-EXP((Tnet-t)/(Tau_j))))*Salcycl</f>
        <v>0.11302457876982354</v>
      </c>
      <c r="P37" s="169">
        <f>(INDEX(Models!$BJ37:$BT37,,T37)*(1-R37)+INDEX(Models!$BJ37:$BT37,,T37+1)*R37-ERP_i)*Q37*Ramure*Pc/MaxiM</f>
        <v>2.2833063809302771E-2</v>
      </c>
      <c r="Q37" s="305">
        <f t="shared" si="4"/>
        <v>0.8</v>
      </c>
      <c r="R37" s="177">
        <f t="shared" si="5"/>
        <v>0.80057621849091598</v>
      </c>
      <c r="S37" s="809">
        <f t="shared" si="6"/>
        <v>1</v>
      </c>
      <c r="T37" s="176">
        <f t="shared" si="7"/>
        <v>7</v>
      </c>
      <c r="U37" s="251">
        <f t="shared" si="8"/>
        <v>1.800576218490916</v>
      </c>
      <c r="V37" s="383">
        <f t="shared" si="9"/>
        <v>18.631995436098187</v>
      </c>
      <c r="W37" s="402">
        <f t="shared" si="10"/>
        <v>17.963800308023362</v>
      </c>
      <c r="X37" s="157">
        <f t="shared" si="11"/>
        <v>45680</v>
      </c>
      <c r="Y37" s="385">
        <f t="shared" si="12"/>
        <v>16.667491501965333</v>
      </c>
      <c r="Z37" s="385">
        <f t="shared" si="22"/>
        <v>18.013177517319171</v>
      </c>
      <c r="AA37" s="386">
        <f t="shared" si="13"/>
        <v>21.446852732234131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0.16010158962644555</v>
      </c>
      <c r="AD37" s="231">
        <f>(INDEX(Models!$BJ37:$BT37,,AH37)*(1-AF37)+INDEX(Models!$BJ37:$BT37,,AH37+1)*AF37-ERP_i)*AE37*Ramure*Pc/MaxiM</f>
        <v>4.3617449697882095E-2</v>
      </c>
      <c r="AE37" s="305">
        <f t="shared" si="15"/>
        <v>0.8</v>
      </c>
      <c r="AF37" s="177">
        <f t="shared" si="23"/>
        <v>1.2929656558196001E-3</v>
      </c>
      <c r="AG37" s="809">
        <f t="shared" si="24"/>
        <v>3</v>
      </c>
      <c r="AH37" s="176">
        <f t="shared" si="16"/>
        <v>9</v>
      </c>
      <c r="AI37" s="225">
        <f t="shared" si="17"/>
        <v>3.0012929656558196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IF(t&gt;Tmaj,'2024'!Wh/'2024'!Env_an*'2025'!Env_an,0.001*'[3]mon-tableau (2)'!$B$163)</f>
        <v>18.075992562398632</v>
      </c>
      <c r="C38" s="839"/>
      <c r="D38" s="393">
        <f t="shared" si="0"/>
        <v>19.535861961236943</v>
      </c>
      <c r="E38" s="385">
        <f t="shared" si="1"/>
        <v>22.027546658910552</v>
      </c>
      <c r="F38" s="385">
        <f t="shared" si="2"/>
        <v>22.502408237531625</v>
      </c>
      <c r="G38" s="110">
        <f t="shared" si="21"/>
        <v>0.95719493281323931</v>
      </c>
      <c r="H38" s="414" t="b">
        <f>Wh_hp&gt;='2024'!Maxi_hp</f>
        <v>0</v>
      </c>
      <c r="I38" s="390">
        <f>IF(H38,Wh_hp,'2024'!Maxi_hp)</f>
        <v>22.533015476555242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7.4727667595880037E-2</v>
      </c>
      <c r="M38" s="843"/>
      <c r="N38" s="843"/>
      <c r="O38" s="48">
        <f>IF(t&lt;Tnet,'2024'!Resal+('2024'!Salim-'2024'!Resal)*(1-EXP(('2024'!Tnet-t)/('2024'!Tau_j))),Resal+(Salim-Resal)*(1-EXP((Tnet-t)/(Tau_j))))*Salcycl</f>
        <v>0.11311675949467011</v>
      </c>
      <c r="P38" s="169">
        <f>(INDEX(Models!$BJ38:$BT38,,T38)*(1-R38)+INDEX(Models!$BJ38:$BT38,,T38+1)*R38-ERP_i)*Q38*Ramure*Pc/MaxiM</f>
        <v>2.2432729057932668E-2</v>
      </c>
      <c r="Q38" s="305">
        <f t="shared" si="4"/>
        <v>0.8</v>
      </c>
      <c r="R38" s="177">
        <f t="shared" si="5"/>
        <v>0.80066244054319147</v>
      </c>
      <c r="S38" s="809">
        <f t="shared" si="6"/>
        <v>1</v>
      </c>
      <c r="T38" s="176">
        <f t="shared" si="7"/>
        <v>7</v>
      </c>
      <c r="U38" s="251">
        <f t="shared" si="8"/>
        <v>1.8006624405431915</v>
      </c>
      <c r="V38" s="383">
        <f t="shared" si="9"/>
        <v>18.858679747831793</v>
      </c>
      <c r="W38" s="402">
        <f t="shared" si="10"/>
        <v>18.075992562398632</v>
      </c>
      <c r="X38" s="157">
        <f t="shared" si="11"/>
        <v>45681</v>
      </c>
      <c r="Y38" s="385">
        <f t="shared" si="12"/>
        <v>16.774548534440559</v>
      </c>
      <c r="Z38" s="385">
        <f t="shared" si="22"/>
        <v>18.129309552416338</v>
      </c>
      <c r="AA38" s="386">
        <f t="shared" si="13"/>
        <v>21.585795273061095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0.16012779130535096</v>
      </c>
      <c r="AD38" s="231">
        <f>(INDEX(Models!$BJ38:$BT38,,AH38)*(1-AF38)+INDEX(Models!$BJ38:$BT38,,AH38+1)*AF38-ERP_i)*AE38*Ramure*Pc/MaxiM</f>
        <v>4.3301313916921123E-2</v>
      </c>
      <c r="AE38" s="305">
        <f t="shared" si="15"/>
        <v>0.8</v>
      </c>
      <c r="AF38" s="177">
        <f t="shared" si="23"/>
        <v>1.3791877080948645E-3</v>
      </c>
      <c r="AG38" s="809">
        <f t="shared" si="24"/>
        <v>3</v>
      </c>
      <c r="AH38" s="176">
        <f t="shared" si="16"/>
        <v>9</v>
      </c>
      <c r="AI38" s="225">
        <f t="shared" si="17"/>
        <v>3.0013791877080949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IF(t&gt;Tmaj,'2024'!Wh/'2024'!Env_an*'2025'!Env_an,0.001*'[3]mon-tableau (2)'!$B$164)</f>
        <v>18.108734027195304</v>
      </c>
      <c r="C39" s="839"/>
      <c r="D39" s="393">
        <f t="shared" si="0"/>
        <v>19.571713575597951</v>
      </c>
      <c r="E39" s="385">
        <f t="shared" si="1"/>
        <v>22.070265908102439</v>
      </c>
      <c r="F39" s="385">
        <f t="shared" si="2"/>
        <v>22.530121924564284</v>
      </c>
      <c r="G39" s="110">
        <f t="shared" si="21"/>
        <v>0.94706280675377819</v>
      </c>
      <c r="H39" s="414" t="b">
        <f>Wh_hp&gt;='2024'!Maxi_hp</f>
        <v>0</v>
      </c>
      <c r="I39" s="390">
        <f>IF(H39,Wh_hp,'2024'!Maxi_hp)</f>
        <v>22.567351646183756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7.4749691321187833E-2</v>
      </c>
      <c r="M39" s="843"/>
      <c r="N39" s="843"/>
      <c r="O39" s="48">
        <f>IF(t&lt;Tnet,'2024'!Resal+('2024'!Salim-'2024'!Resal)*(1-EXP(('2024'!Tnet-t)/('2024'!Tau_j))),Resal+(Salim-Resal)*(1-EXP((Tnet-t)/(Tau_j))))*Salcycl</f>
        <v>0.1132089818449909</v>
      </c>
      <c r="P39" s="169">
        <f>(INDEX(Models!$BJ39:$BT39,,T39)*(1-R39)+INDEX(Models!$BJ39:$BT39,,T39+1)*R39-ERP_i)*Q39*Ramure*Pc/MaxiM</f>
        <v>2.202726149749307E-2</v>
      </c>
      <c r="Q39" s="305">
        <f t="shared" si="4"/>
        <v>0.8</v>
      </c>
      <c r="R39" s="177">
        <f t="shared" si="5"/>
        <v>0.8007522533808813</v>
      </c>
      <c r="S39" s="809">
        <f t="shared" si="6"/>
        <v>1</v>
      </c>
      <c r="T39" s="176">
        <f t="shared" si="7"/>
        <v>7</v>
      </c>
      <c r="U39" s="251">
        <f t="shared" si="8"/>
        <v>1.8007522533808813</v>
      </c>
      <c r="V39" s="383">
        <f t="shared" si="9"/>
        <v>19.089389257404004</v>
      </c>
      <c r="W39" s="402">
        <f t="shared" si="10"/>
        <v>18.108734027195304</v>
      </c>
      <c r="X39" s="157">
        <f t="shared" si="11"/>
        <v>45682</v>
      </c>
      <c r="Y39" s="385">
        <f t="shared" si="12"/>
        <v>16.810568899092917</v>
      </c>
      <c r="Z39" s="385">
        <f t="shared" si="22"/>
        <v>18.16867148425721</v>
      </c>
      <c r="AA39" s="386">
        <f t="shared" si="13"/>
        <v>21.633342049585288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0.16015419889293034</v>
      </c>
      <c r="AD39" s="231">
        <f>(INDEX(Models!$BJ39:$BT39,,AH39)*(1-AF39)+INDEX(Models!$BJ39:$BT39,,AH39+1)*AF39-ERP_i)*AE39*Ramure*Pc/MaxiM</f>
        <v>4.2956064734863561E-2</v>
      </c>
      <c r="AE39" s="305">
        <f t="shared" si="15"/>
        <v>0.8</v>
      </c>
      <c r="AF39" s="177">
        <f t="shared" si="23"/>
        <v>1.4690005457849153E-3</v>
      </c>
      <c r="AG39" s="809">
        <f t="shared" si="24"/>
        <v>3</v>
      </c>
      <c r="AH39" s="176">
        <f t="shared" si="16"/>
        <v>9</v>
      </c>
      <c r="AI39" s="225">
        <f t="shared" si="17"/>
        <v>3.0014690005457849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IF(t&gt;Tmaj,'2024'!Wh/'2024'!Env_an*'2025'!Env_an,0.001*'[3]mon-tableau (2)'!$B$165)</f>
        <v>18.364341666289107</v>
      </c>
      <c r="C40" s="839"/>
      <c r="D40" s="393">
        <f t="shared" si="0"/>
        <v>19.848443843282595</v>
      </c>
      <c r="E40" s="385">
        <f t="shared" si="1"/>
        <v>22.384652992669739</v>
      </c>
      <c r="F40" s="385">
        <f t="shared" si="2"/>
        <v>22.843435131353413</v>
      </c>
      <c r="G40" s="110">
        <f t="shared" si="21"/>
        <v>0.94885424068831981</v>
      </c>
      <c r="H40" s="414" t="b">
        <f>Wh_hp&gt;='2024'!Maxi_hp</f>
        <v>0</v>
      </c>
      <c r="I40" s="390">
        <f>IF(H40,Wh_hp,'2024'!Maxi_hp)</f>
        <v>22.879228367903401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7.4771714533971384E-2</v>
      </c>
      <c r="M40" s="843"/>
      <c r="N40" s="843"/>
      <c r="O40" s="48">
        <f>IF(t&lt;Tnet,'2024'!Resal+('2024'!Salim-'2024'!Resal)*(1-EXP(('2024'!Tnet-t)/('2024'!Tau_j))),Resal+(Salim-Resal)*(1-EXP((Tnet-t)/(Tau_j))))*Salcycl</f>
        <v>0.11330124930762486</v>
      </c>
      <c r="P40" s="169">
        <f>(INDEX(Models!$BJ40:$BT40,,T40)*(1-R40)+INDEX(Models!$BJ40:$BT40,,T40+1)*R40-ERP_i)*Q40*Ramure*Pc/MaxiM</f>
        <v>2.1617310370408978E-2</v>
      </c>
      <c r="Q40" s="305">
        <f t="shared" si="4"/>
        <v>0.8</v>
      </c>
      <c r="R40" s="177">
        <f t="shared" si="5"/>
        <v>0.80084580539575256</v>
      </c>
      <c r="S40" s="809">
        <f t="shared" si="6"/>
        <v>1</v>
      </c>
      <c r="T40" s="176">
        <f t="shared" si="7"/>
        <v>7</v>
      </c>
      <c r="U40" s="251">
        <f t="shared" si="8"/>
        <v>1.8008458053957526</v>
      </c>
      <c r="V40" s="383">
        <f t="shared" si="9"/>
        <v>19.323939431530981</v>
      </c>
      <c r="W40" s="402">
        <f t="shared" si="10"/>
        <v>18.364341666289107</v>
      </c>
      <c r="X40" s="157">
        <f t="shared" si="11"/>
        <v>45683</v>
      </c>
      <c r="Y40" s="385">
        <f t="shared" si="12"/>
        <v>17.047677218159656</v>
      </c>
      <c r="Z40" s="385">
        <f t="shared" si="22"/>
        <v>18.425374024933646</v>
      </c>
      <c r="AA40" s="386">
        <f t="shared" si="13"/>
        <v>21.939691769288569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0.16018081663637163</v>
      </c>
      <c r="AD40" s="231">
        <f>(INDEX(Models!$BJ40:$BT40,,AH40)*(1-AF40)+INDEX(Models!$BJ40:$BT40,,AH40+1)*AF40-ERP_i)*AE40*Ramure*Pc/MaxiM</f>
        <v>4.2583394395009147E-2</v>
      </c>
      <c r="AE40" s="305">
        <f t="shared" si="15"/>
        <v>0.8</v>
      </c>
      <c r="AF40" s="177">
        <f t="shared" si="23"/>
        <v>1.562552560656183E-3</v>
      </c>
      <c r="AG40" s="809">
        <f t="shared" si="24"/>
        <v>3</v>
      </c>
      <c r="AH40" s="176">
        <f t="shared" si="16"/>
        <v>9</v>
      </c>
      <c r="AI40" s="225">
        <f t="shared" si="17"/>
        <v>3.0015625525606562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IF(t&gt;Tmaj,'2024'!Wh/'2024'!Env_an*'2025'!Env_an,0.001*'[3]mon-tableau (2)'!$B$166)</f>
        <v>19.225485495982326</v>
      </c>
      <c r="C41" s="839"/>
      <c r="D41" s="393">
        <f t="shared" si="0"/>
        <v>20.779675051605018</v>
      </c>
      <c r="E41" s="385">
        <f t="shared" si="1"/>
        <v>23.437315834726657</v>
      </c>
      <c r="F41" s="385">
        <f t="shared" si="2"/>
        <v>23.932287829440259</v>
      </c>
      <c r="G41" s="110">
        <f t="shared" si="21"/>
        <v>0.98226706514459194</v>
      </c>
      <c r="H41" s="414" t="b">
        <f>Wh_hp&gt;='2024'!Maxi_hp</f>
        <v>0</v>
      </c>
      <c r="I41" s="390">
        <f>IF(H41,Wh_hp,'2024'!Maxi_hp)</f>
        <v>23.945029081134049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7.479373723424268E-2</v>
      </c>
      <c r="M41" s="843"/>
      <c r="N41" s="843"/>
      <c r="O41" s="48">
        <f>IF(t&lt;Tnet,'2024'!Resal+('2024'!Salim-'2024'!Resal)*(1-EXP(('2024'!Tnet-t)/('2024'!Tau_j))),Resal+(Salim-Resal)*(1-EXP((Tnet-t)/(Tau_j))))*Salcycl</f>
        <v>0.11339356442787962</v>
      </c>
      <c r="P41" s="169">
        <f>(INDEX(Models!$BJ41:$BT41,,T41)*(1-R41)+INDEX(Models!$BJ41:$BT41,,T41+1)*R41-ERP_i)*Q41*Ramure*Pc/MaxiM</f>
        <v>2.120348096408475E-2</v>
      </c>
      <c r="Q41" s="305">
        <f t="shared" si="4"/>
        <v>0.8</v>
      </c>
      <c r="R41" s="177">
        <f t="shared" si="5"/>
        <v>0.80094325101393848</v>
      </c>
      <c r="S41" s="809">
        <f t="shared" si="6"/>
        <v>1</v>
      </c>
      <c r="T41" s="176">
        <f t="shared" si="7"/>
        <v>7</v>
      </c>
      <c r="U41" s="251">
        <f t="shared" si="8"/>
        <v>1.8009432510139385</v>
      </c>
      <c r="V41" s="383">
        <f t="shared" si="9"/>
        <v>19.562145921452679</v>
      </c>
      <c r="W41" s="402">
        <f t="shared" si="10"/>
        <v>19.225485495982326</v>
      </c>
      <c r="X41" s="157">
        <f t="shared" si="11"/>
        <v>45684</v>
      </c>
      <c r="Y41" s="385">
        <f t="shared" si="12"/>
        <v>17.82979572427751</v>
      </c>
      <c r="Z41" s="385">
        <f t="shared" si="22"/>
        <v>19.271157623791005</v>
      </c>
      <c r="AA41" s="386">
        <f t="shared" si="13"/>
        <v>22.947526927496661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0.16020764744371999</v>
      </c>
      <c r="AD41" s="231">
        <f>(INDEX(Models!$BJ41:$BT41,,AH41)*(1-AF41)+INDEX(Models!$BJ41:$BT41,,AH41+1)*AF41-ERP_i)*AE41*Ramure*Pc/MaxiM</f>
        <v>4.2184930180984848E-2</v>
      </c>
      <c r="AE41" s="305">
        <f t="shared" si="15"/>
        <v>0.8</v>
      </c>
      <c r="AF41" s="177">
        <f t="shared" si="23"/>
        <v>1.6599981788423257E-3</v>
      </c>
      <c r="AG41" s="809">
        <f t="shared" si="24"/>
        <v>3</v>
      </c>
      <c r="AH41" s="176">
        <f t="shared" si="16"/>
        <v>9</v>
      </c>
      <c r="AI41" s="225">
        <f t="shared" si="17"/>
        <v>3.0016599981788423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IF(t&gt;Tmaj,'2024'!Wh/'2024'!Env_an*'2025'!Env_an,0.001*'[3]mon-tableau (2)'!$B$167)</f>
        <v>3.8253412221655312</v>
      </c>
      <c r="C42" s="839"/>
      <c r="D42" s="393">
        <f t="shared" si="0"/>
        <v>4.1346804824255781</v>
      </c>
      <c r="E42" s="385">
        <f t="shared" si="1"/>
        <v>4.6639761469226722</v>
      </c>
      <c r="F42" s="385">
        <f t="shared" si="2"/>
        <v>4.6639761469226722</v>
      </c>
      <c r="G42" s="110">
        <f t="shared" si="21"/>
        <v>0.18914661569988592</v>
      </c>
      <c r="H42" s="414" t="b">
        <f>Wh_hp&gt;='2024'!Maxi_hp</f>
        <v>0</v>
      </c>
      <c r="I42" s="390">
        <f>IF(H42,Wh_hp,'2024'!Maxi_hp)</f>
        <v>16.864393920494742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7.4815759422013489E-2</v>
      </c>
      <c r="M42" s="843"/>
      <c r="N42" s="843"/>
      <c r="O42" s="48">
        <f>IF(t&lt;Tnet,'2024'!Resal+('2024'!Salim-'2024'!Resal)*(1-EXP(('2024'!Tnet-t)/('2024'!Tau_j))),Resal+(Salim-Resal)*(1-EXP((Tnet-t)/(Tau_j))))*Salcycl</f>
        <v>0.11348592870620228</v>
      </c>
      <c r="P42" s="169">
        <f>(INDEX(Models!$BJ42:$BT42,,T42)*(1-R42)+INDEX(Models!$BJ42:$BT42,,T42+1)*R42-ERP_i)*Q42*Ramure*Pc/MaxiM</f>
        <v>2.0786335349569474E-2</v>
      </c>
      <c r="Q42" s="305">
        <f t="shared" si="4"/>
        <v>0.8</v>
      </c>
      <c r="R42" s="177">
        <f t="shared" si="5"/>
        <v>0.80104475093295369</v>
      </c>
      <c r="S42" s="809">
        <f t="shared" si="6"/>
        <v>1</v>
      </c>
      <c r="T42" s="176">
        <f t="shared" si="7"/>
        <v>7</v>
      </c>
      <c r="U42" s="251">
        <f t="shared" si="8"/>
        <v>1.8010447509329537</v>
      </c>
      <c r="V42" s="383">
        <f t="shared" si="9"/>
        <v>19.803824577218307</v>
      </c>
      <c r="W42" s="402">
        <f t="shared" si="10"/>
        <v>3.8253412221655312</v>
      </c>
      <c r="X42" s="157">
        <f t="shared" si="11"/>
        <v>45685</v>
      </c>
      <c r="Y42" s="385">
        <f t="shared" si="12"/>
        <v>3.6236185649134494</v>
      </c>
      <c r="Z42" s="385">
        <f t="shared" si="22"/>
        <v>3.9166453620628916</v>
      </c>
      <c r="AA42" s="386">
        <f t="shared" si="13"/>
        <v>4.6639761469226722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0.16023469274234506</v>
      </c>
      <c r="AD42" s="231">
        <f>(INDEX(Models!$BJ42:$BT42,,AH42)*(1-AF42)+INDEX(Models!$BJ42:$BT42,,AH42+1)*AF42-ERP_i)*AE42*Ramure*Pc/MaxiM</f>
        <v>4.1762231910474096E-2</v>
      </c>
      <c r="AE42" s="305">
        <f t="shared" si="15"/>
        <v>0.8</v>
      </c>
      <c r="AF42" s="177">
        <f t="shared" si="23"/>
        <v>1.7614980978573058E-3</v>
      </c>
      <c r="AG42" s="809">
        <f t="shared" si="24"/>
        <v>3</v>
      </c>
      <c r="AH42" s="176">
        <f t="shared" si="16"/>
        <v>9</v>
      </c>
      <c r="AI42" s="225">
        <f t="shared" si="17"/>
        <v>3.0017614980978573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IF(t&gt;Tmaj,'2024'!Wh/'2024'!Env_an*'2025'!Env_an,0.001*'[3]mon-tableau (2)'!$B$168)</f>
        <v>7.5930066949317592</v>
      </c>
      <c r="C43" s="839"/>
      <c r="D43" s="393">
        <f t="shared" si="0"/>
        <v>8.2072165721785559</v>
      </c>
      <c r="E43" s="385">
        <f t="shared" si="1"/>
        <v>9.2588177453517382</v>
      </c>
      <c r="F43" s="385">
        <f t="shared" si="2"/>
        <v>9.2800740587574193</v>
      </c>
      <c r="G43" s="110">
        <f t="shared" si="21"/>
        <v>0.37186488184319161</v>
      </c>
      <c r="H43" s="414" t="b">
        <f>Wh_hp&gt;='2024'!Maxi_hp</f>
        <v>0</v>
      </c>
      <c r="I43" s="390">
        <f>IF(H43,Wh_hp,'2024'!Maxi_hp)</f>
        <v>15.521194705525005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7.4837781097295802E-2</v>
      </c>
      <c r="M43" s="843"/>
      <c r="N43" s="843"/>
      <c r="O43" s="48">
        <f>IF(t&lt;Tnet,'2024'!Resal+('2024'!Salim-'2024'!Resal)*(1-EXP(('2024'!Tnet-t)/('2024'!Tau_j))),Resal+(Salim-Resal)*(1-EXP((Tnet-t)/(Tau_j))))*Salcycl</f>
        <v>0.11357834251582755</v>
      </c>
      <c r="P43" s="169">
        <f>(INDEX(Models!$BJ43:$BT43,,T43)*(1-R43)+INDEX(Models!$BJ43:$BT43,,T43+1)*R43-ERP_i)*Q43*Ramure*Pc/MaxiM</f>
        <v>2.0366393365771607E-2</v>
      </c>
      <c r="Q43" s="305">
        <f t="shared" si="4"/>
        <v>0.8</v>
      </c>
      <c r="R43" s="177">
        <f t="shared" si="5"/>
        <v>0.80115047236729597</v>
      </c>
      <c r="S43" s="809">
        <f t="shared" si="6"/>
        <v>1</v>
      </c>
      <c r="T43" s="176">
        <f t="shared" si="7"/>
        <v>7</v>
      </c>
      <c r="U43" s="251">
        <f t="shared" si="8"/>
        <v>1.801150472367296</v>
      </c>
      <c r="V43" s="383">
        <f t="shared" si="9"/>
        <v>20.048791457600384</v>
      </c>
      <c r="W43" s="402">
        <f t="shared" si="10"/>
        <v>7.5930066949317592</v>
      </c>
      <c r="X43" s="157">
        <f t="shared" si="11"/>
        <v>45686</v>
      </c>
      <c r="Y43" s="385">
        <f t="shared" si="12"/>
        <v>7.1761317362357495</v>
      </c>
      <c r="Z43" s="385">
        <f t="shared" si="22"/>
        <v>7.7566199630882631</v>
      </c>
      <c r="AA43" s="386">
        <f t="shared" si="13"/>
        <v>9.2369519101308217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0.16026195236753088</v>
      </c>
      <c r="AD43" s="231">
        <f>(INDEX(Models!$BJ43:$BT43,,AH43)*(1-AF43)+INDEX(Models!$BJ43:$BT43,,AH43+1)*AF43-ERP_i)*AE43*Ramure*Pc/MaxiM</f>
        <v>4.1316790214044281E-2</v>
      </c>
      <c r="AE43" s="305">
        <f t="shared" si="15"/>
        <v>0.8</v>
      </c>
      <c r="AF43" s="177">
        <f t="shared" si="23"/>
        <v>1.8672195321998153E-3</v>
      </c>
      <c r="AG43" s="809">
        <f t="shared" si="24"/>
        <v>3</v>
      </c>
      <c r="AH43" s="176">
        <f t="shared" si="16"/>
        <v>9</v>
      </c>
      <c r="AI43" s="225">
        <f t="shared" si="17"/>
        <v>3.0018672195321998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IF(t&gt;Tmaj,'2024'!Wh/'2024'!Env_an*'2025'!Env_an,0.001*'[3]mon-tableau (2)'!$B$169)</f>
        <v>3.9998939808699085</v>
      </c>
      <c r="C44" s="839"/>
      <c r="D44" s="393">
        <f t="shared" si="0"/>
        <v>4.3235544089875031</v>
      </c>
      <c r="E44" s="385">
        <f t="shared" si="1"/>
        <v>4.8780458023745652</v>
      </c>
      <c r="F44" s="385">
        <f t="shared" si="2"/>
        <v>4.8780458023745652</v>
      </c>
      <c r="G44" s="110">
        <f t="shared" si="21"/>
        <v>0.1931391857189565</v>
      </c>
      <c r="H44" s="414" t="b">
        <f>Wh_hp&gt;='2024'!Maxi_hp</f>
        <v>0</v>
      </c>
      <c r="I44" s="390">
        <f>IF(H44,Wh_hp,'2024'!Maxi_hp)</f>
        <v>11.334187659797209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7.485980226010161E-2</v>
      </c>
      <c r="M44" s="843"/>
      <c r="N44" s="843"/>
      <c r="O44" s="48">
        <f>IF(t&lt;Tnet,'2024'!Resal+('2024'!Salim-'2024'!Resal)*(1-EXP(('2024'!Tnet-t)/('2024'!Tau_j))),Resal+(Salim-Resal)*(1-EXP((Tnet-t)/(Tau_j))))*Salcycl</f>
        <v>0.11367080504187627</v>
      </c>
      <c r="P44" s="169">
        <f>(INDEX(Models!$BJ44:$BT44,,T44)*(1-R44)+INDEX(Models!$BJ44:$BT44,,T44+1)*R44-ERP_i)*Q44*Ramure*Pc/MaxiM</f>
        <v>1.9956178617690522E-2</v>
      </c>
      <c r="Q44" s="305">
        <f t="shared" si="4"/>
        <v>0.8</v>
      </c>
      <c r="R44" s="177">
        <f t="shared" si="5"/>
        <v>0.80126058930288813</v>
      </c>
      <c r="S44" s="809">
        <f t="shared" si="6"/>
        <v>1</v>
      </c>
      <c r="T44" s="176">
        <f t="shared" si="7"/>
        <v>7</v>
      </c>
      <c r="U44" s="251">
        <f t="shared" si="8"/>
        <v>1.8012605893028881</v>
      </c>
      <c r="V44" s="383">
        <f t="shared" si="9"/>
        <v>20.296613385540908</v>
      </c>
      <c r="W44" s="402">
        <f t="shared" si="10"/>
        <v>3.9998939808699085</v>
      </c>
      <c r="X44" s="157">
        <f t="shared" si="11"/>
        <v>45687</v>
      </c>
      <c r="Y44" s="385">
        <f t="shared" si="12"/>
        <v>3.7895099200101052</v>
      </c>
      <c r="Z44" s="385">
        <f t="shared" si="22"/>
        <v>4.0961466481164832</v>
      </c>
      <c r="AA44" s="386">
        <f t="shared" si="13"/>
        <v>4.8780458023745652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0.16028942448171854</v>
      </c>
      <c r="AD44" s="231">
        <f>(INDEX(Models!$BJ44:$BT44,,AH44)*(1-AF44)+INDEX(Models!$BJ44:$BT44,,AH44+1)*AF44-ERP_i)*AE44*Ramure*Pc/MaxiM</f>
        <v>4.084882067124284E-2</v>
      </c>
      <c r="AE44" s="305">
        <f t="shared" si="15"/>
        <v>0.8</v>
      </c>
      <c r="AF44" s="177">
        <f t="shared" si="23"/>
        <v>1.977336467791968E-3</v>
      </c>
      <c r="AG44" s="809">
        <f t="shared" si="24"/>
        <v>3</v>
      </c>
      <c r="AH44" s="176">
        <f t="shared" si="16"/>
        <v>9</v>
      </c>
      <c r="AI44" s="225">
        <f t="shared" si="17"/>
        <v>3.001977336467792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IF(t&gt;Tmaj,'2024'!Wh/'2024'!Env_an*'2025'!Env_an,0.001*'[3]mon-tableau (2)'!$B$170)</f>
        <v>8.2606318534944698</v>
      </c>
      <c r="C45" s="839"/>
      <c r="D45" s="393">
        <f t="shared" si="0"/>
        <v>8.9292720195841415</v>
      </c>
      <c r="E45" s="385">
        <f t="shared" si="1"/>
        <v>10.075493559543169</v>
      </c>
      <c r="F45" s="385">
        <f t="shared" si="2"/>
        <v>10.104314192658951</v>
      </c>
      <c r="G45" s="110">
        <f t="shared" si="21"/>
        <v>0.39529928128871039</v>
      </c>
      <c r="H45" s="414" t="b">
        <f>Wh_hp&gt;='2024'!Maxi_hp</f>
        <v>0</v>
      </c>
      <c r="I45" s="390">
        <f>IF(H45,Wh_hp,'2024'!Maxi_hp)</f>
        <v>19.643738017718885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7.4881822910442791E-2</v>
      </c>
      <c r="M45" s="843"/>
      <c r="N45" s="843"/>
      <c r="O45" s="48">
        <f>IF(t&lt;Tnet,'2024'!Resal+('2024'!Salim-'2024'!Resal)*(1-EXP(('2024'!Tnet-t)/('2024'!Tau_j))),Resal+(Salim-Resal)*(1-EXP((Tnet-t)/(Tau_j))))*Salcycl</f>
        <v>0.11376331424214596</v>
      </c>
      <c r="P45" s="169">
        <f>(INDEX(Models!$BJ45:$BT45,,T45)*(1-R45)+INDEX(Models!$BJ45:$BT45,,T45+1)*R45-ERP_i)*Q45*Ramure*Pc/MaxiM</f>
        <v>1.9567276087855218E-2</v>
      </c>
      <c r="Q45" s="305">
        <f t="shared" si="4"/>
        <v>0.8</v>
      </c>
      <c r="R45" s="177">
        <f t="shared" si="5"/>
        <v>0.80137528276060421</v>
      </c>
      <c r="S45" s="809">
        <f t="shared" si="6"/>
        <v>1</v>
      </c>
      <c r="T45" s="176">
        <f t="shared" si="7"/>
        <v>7</v>
      </c>
      <c r="U45" s="251">
        <f t="shared" si="8"/>
        <v>1.8013752827606042</v>
      </c>
      <c r="V45" s="383">
        <f t="shared" si="9"/>
        <v>20.546864341448035</v>
      </c>
      <c r="W45" s="402">
        <f t="shared" si="10"/>
        <v>8.2606318534944698</v>
      </c>
      <c r="X45" s="157">
        <f t="shared" si="11"/>
        <v>45688</v>
      </c>
      <c r="Y45" s="385">
        <f t="shared" si="12"/>
        <v>7.802894628100411</v>
      </c>
      <c r="Z45" s="385">
        <f t="shared" si="22"/>
        <v>8.4344841787116263</v>
      </c>
      <c r="AA45" s="386">
        <f t="shared" si="13"/>
        <v>10.04484458860051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0.16031710552460074</v>
      </c>
      <c r="AD45" s="231">
        <f>(INDEX(Models!$BJ45:$BT45,,AH45)*(1-AF45)+INDEX(Models!$BJ45:$BT45,,AH45+1)*AF45-ERP_i)*AE45*Ramure*Pc/MaxiM</f>
        <v>4.0375870882923708E-2</v>
      </c>
      <c r="AE45" s="305">
        <f t="shared" si="15"/>
        <v>0.8</v>
      </c>
      <c r="AF45" s="177">
        <f t="shared" si="23"/>
        <v>2.0920299255080543E-3</v>
      </c>
      <c r="AG45" s="809">
        <f t="shared" si="24"/>
        <v>3</v>
      </c>
      <c r="AH45" s="176">
        <f t="shared" si="16"/>
        <v>9</v>
      </c>
      <c r="AI45" s="225">
        <f t="shared" si="17"/>
        <v>3.0020920299255081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IF(t&gt;Tmaj,'2024'!Wh/'2024'!Env_an*'2025'!Env_an,0.001*'[4]mon-tableau'!$B$128)</f>
        <v>8.0919250449181988</v>
      </c>
      <c r="C46" s="839"/>
      <c r="D46" s="393">
        <f t="shared" si="0"/>
        <v>8.7471177824176802</v>
      </c>
      <c r="E46" s="385">
        <f t="shared" si="1"/>
        <v>9.870987636201713</v>
      </c>
      <c r="F46" s="385">
        <f t="shared" si="2"/>
        <v>9.8951548947021077</v>
      </c>
      <c r="G46" s="110">
        <f t="shared" si="21"/>
        <v>0.38251161755219287</v>
      </c>
      <c r="H46" s="414" t="b">
        <f>Wh_hp&gt;='2024'!Maxi_hp</f>
        <v>0</v>
      </c>
      <c r="I46" s="390">
        <f>IF(H46,Wh_hp,'2024'!Maxi_hp)</f>
        <v>19.85137426834298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7.4903843048331226E-2</v>
      </c>
      <c r="M46" s="843"/>
      <c r="N46" s="843"/>
      <c r="O46" s="48">
        <f>IF(t&lt;Tnet,'2024'!Resal+('2024'!Salim-'2024'!Resal)*(1-EXP(('2024'!Tnet-t)/('2024'!Tau_j))),Resal+(Salim-Resal)*(1-EXP((Tnet-t)/(Tau_j))))*Salcycl</f>
        <v>0.11385586682960222</v>
      </c>
      <c r="P46" s="169">
        <f>(INDEX(Models!$BJ46:$BT46,,T46)*(1-R46)+INDEX(Models!$BJ46:$BT46,,T46+1)*R46-ERP_i)*Q46*Ramure*Pc/MaxiM</f>
        <v>1.9199259404109818E-2</v>
      </c>
      <c r="Q46" s="305">
        <f t="shared" si="4"/>
        <v>0.8</v>
      </c>
      <c r="R46" s="177">
        <f t="shared" si="5"/>
        <v>0.80149474106913288</v>
      </c>
      <c r="S46" s="809">
        <f t="shared" si="6"/>
        <v>1</v>
      </c>
      <c r="T46" s="176">
        <f t="shared" si="7"/>
        <v>7</v>
      </c>
      <c r="U46" s="251">
        <f t="shared" si="8"/>
        <v>1.8014947410691329</v>
      </c>
      <c r="V46" s="383">
        <f t="shared" si="9"/>
        <v>20.79936112424263</v>
      </c>
      <c r="W46" s="402">
        <f t="shared" si="10"/>
        <v>8.0919250449181988</v>
      </c>
      <c r="X46" s="157">
        <f t="shared" si="11"/>
        <v>45689</v>
      </c>
      <c r="Y46" s="385">
        <f t="shared" si="12"/>
        <v>7.6471653871753063</v>
      </c>
      <c r="Z46" s="385">
        <f t="shared" si="22"/>
        <v>8.2663465086417265</v>
      </c>
      <c r="AA46" s="386">
        <f t="shared" si="13"/>
        <v>9.8449320400661602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0.16034499019394194</v>
      </c>
      <c r="AD46" s="231">
        <f>(INDEX(Models!$BJ46:$BT46,,AH46)*(1-AF46)+INDEX(Models!$BJ46:$BT46,,AH46+1)*AF46-ERP_i)*AE46*Ramure*Pc/MaxiM</f>
        <v>3.989867589469185E-2</v>
      </c>
      <c r="AE46" s="305">
        <f t="shared" si="15"/>
        <v>0.8</v>
      </c>
      <c r="AF46" s="177">
        <f t="shared" si="23"/>
        <v>2.211488234036274E-3</v>
      </c>
      <c r="AG46" s="809">
        <f t="shared" si="24"/>
        <v>3</v>
      </c>
      <c r="AH46" s="176">
        <f t="shared" si="16"/>
        <v>9</v>
      </c>
      <c r="AI46" s="225">
        <f t="shared" si="17"/>
        <v>3.0022114882340363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IF(t&gt;Tmaj,'2024'!Wh/'2024'!Env_an*'2025'!Env_an,0.001*'[4]mon-tableau'!$B$129)</f>
        <v>4.8587791224065802</v>
      </c>
      <c r="C47" s="839"/>
      <c r="D47" s="393">
        <f t="shared" si="0"/>
        <v>5.2523132215652515</v>
      </c>
      <c r="E47" s="385">
        <f t="shared" si="1"/>
        <v>5.9277739208577778</v>
      </c>
      <c r="F47" s="385">
        <f t="shared" si="2"/>
        <v>5.9277739208577778</v>
      </c>
      <c r="G47" s="110">
        <f t="shared" si="21"/>
        <v>0.22642732354717726</v>
      </c>
      <c r="H47" s="414" t="b">
        <f>Wh_hp&gt;='2024'!Maxi_hp</f>
        <v>0</v>
      </c>
      <c r="I47" s="390">
        <f>IF(H47,Wh_hp,'2024'!Maxi_hp)</f>
        <v>23.358776993635303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7.4925862673778904E-2</v>
      </c>
      <c r="M47" s="843"/>
      <c r="N47" s="843"/>
      <c r="O47" s="48">
        <f>IF(t&lt;Tnet,'2024'!Resal+('2024'!Salim-'2024'!Resal)*(1-EXP(('2024'!Tnet-t)/('2024'!Tau_j))),Resal+(Salim-Resal)*(1-EXP((Tnet-t)/(Tau_j))))*Salcycl</f>
        <v>0.11394845827635473</v>
      </c>
      <c r="P47" s="169">
        <f>(INDEX(Models!$BJ47:$BT47,,T47)*(1-R47)+INDEX(Models!$BJ47:$BT47,,T47+1)*R47-ERP_i)*Q47*Ramure*Pc/MaxiM</f>
        <v>1.8851691105391751E-2</v>
      </c>
      <c r="Q47" s="305">
        <f t="shared" si="4"/>
        <v>0.8</v>
      </c>
      <c r="R47" s="177">
        <f t="shared" si="5"/>
        <v>0.80161916014742673</v>
      </c>
      <c r="S47" s="809">
        <f t="shared" si="6"/>
        <v>1</v>
      </c>
      <c r="T47" s="176">
        <f t="shared" si="7"/>
        <v>7</v>
      </c>
      <c r="U47" s="251">
        <f t="shared" si="8"/>
        <v>1.8016191601474267</v>
      </c>
      <c r="V47" s="383">
        <f t="shared" si="9"/>
        <v>21.053920721932567</v>
      </c>
      <c r="W47" s="402">
        <f t="shared" si="10"/>
        <v>4.8587791224065802</v>
      </c>
      <c r="X47" s="157">
        <f t="shared" si="11"/>
        <v>45690</v>
      </c>
      <c r="Y47" s="385">
        <f t="shared" si="12"/>
        <v>4.6042037047648776</v>
      </c>
      <c r="Z47" s="385">
        <f t="shared" si="22"/>
        <v>4.9771186102690024</v>
      </c>
      <c r="AA47" s="386">
        <f t="shared" si="13"/>
        <v>5.9277739208577778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0.16037307145668114</v>
      </c>
      <c r="AD47" s="231">
        <f>(INDEX(Models!$BJ47:$BT47,,AH47)*(1-AF47)+INDEX(Models!$BJ47:$BT47,,AH47+1)*AF47-ERP_i)*AE47*Ramure*Pc/MaxiM</f>
        <v>3.9417916644595423E-2</v>
      </c>
      <c r="AE47" s="305">
        <f t="shared" si="15"/>
        <v>0.8</v>
      </c>
      <c r="AF47" s="177">
        <f t="shared" si="23"/>
        <v>2.3359073123301322E-3</v>
      </c>
      <c r="AG47" s="809">
        <f t="shared" si="24"/>
        <v>3</v>
      </c>
      <c r="AH47" s="176">
        <f t="shared" si="16"/>
        <v>9</v>
      </c>
      <c r="AI47" s="225">
        <f t="shared" si="17"/>
        <v>3.0023359073123301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IF(t&gt;Tmaj,'2024'!Wh/'2024'!Env_an*'2025'!Env_an,0.001*'[4]mon-tableau'!$B$130)</f>
        <v>8.8589836258118861</v>
      </c>
      <c r="C48" s="839"/>
      <c r="D48" s="393">
        <f t="shared" si="0"/>
        <v>9.5767400034968659</v>
      </c>
      <c r="E48" s="385">
        <f t="shared" si="1"/>
        <v>10.809462852049036</v>
      </c>
      <c r="F48" s="385">
        <f t="shared" si="2"/>
        <v>10.842664225378002</v>
      </c>
      <c r="G48" s="110">
        <f t="shared" si="21"/>
        <v>0.40926502319021374</v>
      </c>
      <c r="H48" s="414" t="b">
        <f>Wh_hp&gt;='2024'!Maxi_hp</f>
        <v>0</v>
      </c>
      <c r="I48" s="390">
        <f>IF(H48,Wh_hp,'2024'!Maxi_hp)</f>
        <v>21.831324615372054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7.4947881786797704E-2</v>
      </c>
      <c r="M48" s="843"/>
      <c r="N48" s="843"/>
      <c r="O48" s="48">
        <f>IF(t&lt;Tnet,'2024'!Resal+('2024'!Salim-'2024'!Resal)*(1-EXP(('2024'!Tnet-t)/('2024'!Tau_j))),Resal+(Salim-Resal)*(1-EXP((Tnet-t)/(Tau_j))))*Salcycl</f>
        <v>0.11404108283868114</v>
      </c>
      <c r="P48" s="169">
        <f>(INDEX(Models!$BJ48:$BT48,,T48)*(1-R48)+INDEX(Models!$BJ48:$BT48,,T48+1)*R48-ERP_i)*Q48*Ramure*Pc/MaxiM</f>
        <v>1.8524125749586839E-2</v>
      </c>
      <c r="Q48" s="305">
        <f t="shared" si="4"/>
        <v>0.8</v>
      </c>
      <c r="R48" s="177">
        <f t="shared" si="5"/>
        <v>0.80174874379698635</v>
      </c>
      <c r="S48" s="809">
        <f t="shared" si="6"/>
        <v>1</v>
      </c>
      <c r="T48" s="176">
        <f t="shared" si="7"/>
        <v>7</v>
      </c>
      <c r="U48" s="251">
        <f t="shared" si="8"/>
        <v>1.8017487437969864</v>
      </c>
      <c r="V48" s="383">
        <f t="shared" si="9"/>
        <v>21.310360309000046</v>
      </c>
      <c r="W48" s="402">
        <f t="shared" si="10"/>
        <v>8.8589836258118861</v>
      </c>
      <c r="X48" s="157">
        <f t="shared" si="11"/>
        <v>45691</v>
      </c>
      <c r="Y48" s="385">
        <f t="shared" si="12"/>
        <v>8.3670007670193023</v>
      </c>
      <c r="Z48" s="385">
        <f t="shared" si="22"/>
        <v>9.0448966088318379</v>
      </c>
      <c r="AA48" s="386">
        <f t="shared" si="13"/>
        <v>10.772881194430658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0.16040134058956773</v>
      </c>
      <c r="AD48" s="231">
        <f>(INDEX(Models!$BJ48:$BT48,,AH48)*(1-AF48)+INDEX(Models!$BJ48:$BT48,,AH48+1)*AF48-ERP_i)*AE48*Ramure*Pc/MaxiM</f>
        <v>3.8934222016897641E-2</v>
      </c>
      <c r="AE48" s="305">
        <f t="shared" si="15"/>
        <v>0.8</v>
      </c>
      <c r="AF48" s="177">
        <f t="shared" si="23"/>
        <v>2.4654909618897491E-3</v>
      </c>
      <c r="AG48" s="809">
        <f t="shared" si="24"/>
        <v>3</v>
      </c>
      <c r="AH48" s="176">
        <f t="shared" si="16"/>
        <v>9</v>
      </c>
      <c r="AI48" s="225">
        <f t="shared" si="17"/>
        <v>3.0024654909618897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IF(t&gt;Tmaj,'2024'!Wh/'2024'!Env_an*'2025'!Env_an,0.001*'[4]mon-tableau'!$B$131)</f>
        <v>8.0595371344335902</v>
      </c>
      <c r="C49" s="839"/>
      <c r="D49" s="393">
        <f t="shared" si="0"/>
        <v>8.7127296050246343</v>
      </c>
      <c r="E49" s="385">
        <f t="shared" si="1"/>
        <v>9.8352651359619898</v>
      </c>
      <c r="F49" s="385">
        <f t="shared" si="2"/>
        <v>9.8541571330142066</v>
      </c>
      <c r="G49" s="110">
        <f t="shared" si="21"/>
        <v>0.36756954861242891</v>
      </c>
      <c r="H49" s="414" t="b">
        <f>Wh_hp&gt;='2024'!Maxi_hp</f>
        <v>0</v>
      </c>
      <c r="I49" s="390">
        <f>IF(H49,Wh_hp,'2024'!Maxi_hp)</f>
        <v>19.89663781404116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7.4969900387399618E-2</v>
      </c>
      <c r="M49" s="843"/>
      <c r="N49" s="843"/>
      <c r="O49" s="48">
        <f>IF(t&lt;Tnet,'2024'!Resal+('2024'!Salim-'2024'!Resal)*(1-EXP(('2024'!Tnet-t)/('2024'!Tau_j))),Resal+(Salim-Resal)*(1-EXP((Tnet-t)/(Tau_j))))*Salcycl</f>
        <v>0.1141337336024506</v>
      </c>
      <c r="P49" s="169">
        <f>(INDEX(Models!$BJ49:$BT49,,T49)*(1-R49)+INDEX(Models!$BJ49:$BT49,,T49+1)*R49-ERP_i)*Q49*Ramure*Pc/MaxiM</f>
        <v>1.8216112759546745E-2</v>
      </c>
      <c r="Q49" s="305">
        <f t="shared" si="4"/>
        <v>0.8</v>
      </c>
      <c r="R49" s="177">
        <f t="shared" si="5"/>
        <v>0.80188370400422548</v>
      </c>
      <c r="S49" s="809">
        <f t="shared" si="6"/>
        <v>1</v>
      </c>
      <c r="T49" s="176">
        <f t="shared" si="7"/>
        <v>7</v>
      </c>
      <c r="U49" s="251">
        <f t="shared" si="8"/>
        <v>1.8018837040042255</v>
      </c>
      <c r="V49" s="383">
        <f t="shared" si="9"/>
        <v>21.56849723958759</v>
      </c>
      <c r="W49" s="402">
        <f t="shared" si="10"/>
        <v>8.0595371344335902</v>
      </c>
      <c r="X49" s="157">
        <f t="shared" si="11"/>
        <v>45692</v>
      </c>
      <c r="Y49" s="385">
        <f t="shared" si="12"/>
        <v>7.6220437352104833</v>
      </c>
      <c r="Z49" s="385">
        <f t="shared" si="22"/>
        <v>8.2397791578918032</v>
      </c>
      <c r="AA49" s="386">
        <f t="shared" si="13"/>
        <v>9.8142823944238504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0.16042978724828905</v>
      </c>
      <c r="AD49" s="231">
        <f>(INDEX(Models!$BJ49:$BT49,,AH49)*(1-AF49)+INDEX(Models!$BJ49:$BT49,,AH49+1)*AF49-ERP_i)*AE49*Ramure*Pc/MaxiM</f>
        <v>3.8448171064801646E-2</v>
      </c>
      <c r="AE49" s="305">
        <f t="shared" si="15"/>
        <v>0.8</v>
      </c>
      <c r="AF49" s="177">
        <f t="shared" si="23"/>
        <v>2.6004511691288812E-3</v>
      </c>
      <c r="AG49" s="809">
        <f t="shared" si="24"/>
        <v>3</v>
      </c>
      <c r="AH49" s="176">
        <f t="shared" si="16"/>
        <v>9</v>
      </c>
      <c r="AI49" s="225">
        <f t="shared" si="17"/>
        <v>3.0026004511691289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IF(t&gt;Tmaj,'2024'!Wh/'2024'!Env_an*'2025'!Env_an,0.001*'[4]mon-tableau'!$B$132)</f>
        <v>8.3647041468963526</v>
      </c>
      <c r="C50" s="839"/>
      <c r="D50" s="393">
        <f t="shared" si="0"/>
        <v>9.0428443966796568</v>
      </c>
      <c r="E50" s="385">
        <f t="shared" si="1"/>
        <v>10.208979385582451</v>
      </c>
      <c r="F50" s="385">
        <f t="shared" si="2"/>
        <v>10.230780773905051</v>
      </c>
      <c r="G50" s="110">
        <f t="shared" si="21"/>
        <v>0.3771410530305026</v>
      </c>
      <c r="H50" s="414" t="b">
        <f>Wh_hp&gt;='2024'!Maxi_hp</f>
        <v>0</v>
      </c>
      <c r="I50" s="390">
        <f>IF(H50,Wh_hp,'2024'!Maxi_hp)</f>
        <v>27.074904186376749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7.4991918475596414E-2</v>
      </c>
      <c r="M50" s="843"/>
      <c r="N50" s="843"/>
      <c r="O50" s="48">
        <f>IF(t&lt;Tnet,'2024'!Resal+('2024'!Salim-'2024'!Resal)*(1-EXP(('2024'!Tnet-t)/('2024'!Tau_j))),Resal+(Salim-Resal)*(1-EXP((Tnet-t)/(Tau_j))))*Salcycl</f>
        <v>0.11422640254809982</v>
      </c>
      <c r="P50" s="169">
        <f>(INDEX(Models!$BJ50:$BT50,,T50)*(1-R50)+INDEX(Models!$BJ50:$BT50,,T50+1)*R50-ERP_i)*Q50*Ramure*Pc/MaxiM</f>
        <v>1.792719900920647E-2</v>
      </c>
      <c r="Q50" s="305">
        <f t="shared" si="4"/>
        <v>0.8</v>
      </c>
      <c r="R50" s="177">
        <f t="shared" si="5"/>
        <v>0.80202426125316251</v>
      </c>
      <c r="S50" s="809">
        <f t="shared" si="6"/>
        <v>1</v>
      </c>
      <c r="T50" s="176">
        <f t="shared" si="7"/>
        <v>7</v>
      </c>
      <c r="U50" s="251">
        <f t="shared" si="8"/>
        <v>1.8020242612531625</v>
      </c>
      <c r="V50" s="383">
        <f t="shared" si="9"/>
        <v>21.828149046430926</v>
      </c>
      <c r="W50" s="402">
        <f t="shared" si="10"/>
        <v>8.3647041468963526</v>
      </c>
      <c r="X50" s="157">
        <f t="shared" si="11"/>
        <v>45693</v>
      </c>
      <c r="Y50" s="385">
        <f t="shared" si="12"/>
        <v>7.9091980331130722</v>
      </c>
      <c r="Z50" s="385">
        <f t="shared" si="22"/>
        <v>8.5504096570473163</v>
      </c>
      <c r="AA50" s="386">
        <f t="shared" si="13"/>
        <v>10.184617001235576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0.16045839956377364</v>
      </c>
      <c r="AD50" s="231">
        <f>(INDEX(Models!$BJ50:$BT50,,AH50)*(1-AF50)+INDEX(Models!$BJ50:$BT50,,AH50+1)*AF50-ERP_i)*AE50*Ramure*Pc/MaxiM</f>
        <v>3.796029534520573E-2</v>
      </c>
      <c r="AE50" s="305">
        <f t="shared" si="15"/>
        <v>0.8</v>
      </c>
      <c r="AF50" s="177">
        <f t="shared" si="23"/>
        <v>2.7410084180661265E-3</v>
      </c>
      <c r="AG50" s="809">
        <f t="shared" si="24"/>
        <v>3</v>
      </c>
      <c r="AH50" s="176">
        <f t="shared" si="16"/>
        <v>9</v>
      </c>
      <c r="AI50" s="225">
        <f t="shared" si="17"/>
        <v>3.0027410084180661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IF(t&gt;Tmaj,'2024'!Wh/'2024'!Env_an*'2025'!Env_an,0.001*'[4]mon-tableau'!$B$133)</f>
        <v>14.503895659438744</v>
      </c>
      <c r="C51" s="839"/>
      <c r="D51" s="393">
        <f t="shared" si="0"/>
        <v>15.680123436156663</v>
      </c>
      <c r="E51" s="385">
        <f t="shared" si="1"/>
        <v>17.704032110552014</v>
      </c>
      <c r="F51" s="385">
        <f t="shared" si="2"/>
        <v>17.864734756586895</v>
      </c>
      <c r="G51" s="110">
        <f t="shared" si="21"/>
        <v>0.65087861348142451</v>
      </c>
      <c r="H51" s="414" t="b">
        <f>Wh_hp&gt;='2024'!Maxi_hp</f>
        <v>0</v>
      </c>
      <c r="I51" s="390">
        <f>IF(H51,Wh_hp,'2024'!Maxi_hp)</f>
        <v>27.752705659425114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7.5013936051400304E-2</v>
      </c>
      <c r="M51" s="843"/>
      <c r="N51" s="843"/>
      <c r="O51" s="48">
        <f>IF(t&lt;Tnet,'2024'!Resal+('2024'!Salim-'2024'!Resal)*(1-EXP(('2024'!Tnet-t)/('2024'!Tau_j))),Resal+(Salim-Resal)*(1-EXP((Tnet-t)/(Tau_j))))*Salcycl</f>
        <v>0.11431908063412589</v>
      </c>
      <c r="P51" s="169">
        <f>(INDEX(Models!$BJ51:$BT51,,T51)*(1-R51)+INDEX(Models!$BJ51:$BT51,,T51+1)*R51-ERP_i)*Q51*Ramure*Pc/MaxiM</f>
        <v>1.765719318678944E-2</v>
      </c>
      <c r="Q51" s="305">
        <f t="shared" si="4"/>
        <v>0.8</v>
      </c>
      <c r="R51" s="177">
        <f t="shared" si="5"/>
        <v>0.8021706448486754</v>
      </c>
      <c r="S51" s="809">
        <f t="shared" si="6"/>
        <v>1</v>
      </c>
      <c r="T51" s="176">
        <f t="shared" si="7"/>
        <v>7</v>
      </c>
      <c r="U51" s="251">
        <f t="shared" si="8"/>
        <v>1.8021706448486754</v>
      </c>
      <c r="V51" s="383">
        <f t="shared" si="9"/>
        <v>22.088799762159848</v>
      </c>
      <c r="W51" s="402">
        <f t="shared" si="10"/>
        <v>14.503895659438744</v>
      </c>
      <c r="X51" s="157">
        <f t="shared" si="11"/>
        <v>45694</v>
      </c>
      <c r="Y51" s="385">
        <f t="shared" si="12"/>
        <v>13.607809945012121</v>
      </c>
      <c r="Z51" s="385">
        <f t="shared" si="22"/>
        <v>14.711367527985038</v>
      </c>
      <c r="AA51" s="386">
        <f t="shared" si="13"/>
        <v>17.52369576945101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0.16048716426409851</v>
      </c>
      <c r="AD51" s="231">
        <f>(INDEX(Models!$BJ51:$BT51,,AH51)*(1-AF51)+INDEX(Models!$BJ51:$BT51,,AH51+1)*AF51-ERP_i)*AE51*Ramure*Pc/MaxiM</f>
        <v>3.7471637391572499E-2</v>
      </c>
      <c r="AE51" s="305">
        <f t="shared" si="15"/>
        <v>0.8</v>
      </c>
      <c r="AF51" s="177">
        <f t="shared" si="23"/>
        <v>2.8873920135792375E-3</v>
      </c>
      <c r="AG51" s="809">
        <f t="shared" si="24"/>
        <v>3</v>
      </c>
      <c r="AH51" s="176">
        <f t="shared" si="16"/>
        <v>9</v>
      </c>
      <c r="AI51" s="225">
        <f t="shared" si="17"/>
        <v>3.0028873920135792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IF(t&gt;Tmaj,'2024'!Wh/'2024'!Env_an*'2025'!Env_an,0.001*'[4]mon-tableau'!$B$134)</f>
        <v>8.3686871624547798</v>
      </c>
      <c r="C52" s="839"/>
      <c r="D52" s="393">
        <f t="shared" si="0"/>
        <v>9.0475810282966052</v>
      </c>
      <c r="E52" s="385">
        <f t="shared" si="1"/>
        <v>10.216464715950222</v>
      </c>
      <c r="F52" s="385">
        <f t="shared" si="2"/>
        <v>10.235432586900529</v>
      </c>
      <c r="G52" s="110">
        <f t="shared" si="21"/>
        <v>0.36859875861318525</v>
      </c>
      <c r="H52" s="414" t="b">
        <f>Wh_hp&gt;='2024'!Maxi_hp</f>
        <v>0</v>
      </c>
      <c r="I52" s="390">
        <f>IF(H52,Wh_hp,'2024'!Maxi_hp)</f>
        <v>19.538155508149512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7.5035953114822945E-2</v>
      </c>
      <c r="M52" s="843"/>
      <c r="N52" s="843"/>
      <c r="O52" s="48">
        <f>IF(t&lt;Tnet,'2024'!Resal+('2024'!Salim-'2024'!Resal)*(1-EXP(('2024'!Tnet-t)/('2024'!Tau_j))),Resal+(Salim-Resal)*(1-EXP((Tnet-t)/(Tau_j))))*Salcycl</f>
        <v>0.11441175789788852</v>
      </c>
      <c r="P52" s="169">
        <f>(INDEX(Models!$BJ52:$BT52,,T52)*(1-R52)+INDEX(Models!$BJ52:$BT52,,T52+1)*R52-ERP_i)*Q52*Ramure*Pc/MaxiM</f>
        <v>1.7426085526248011E-2</v>
      </c>
      <c r="Q52" s="305">
        <f t="shared" si="4"/>
        <v>0.8</v>
      </c>
      <c r="R52" s="177">
        <f t="shared" si="5"/>
        <v>0.80232309325055717</v>
      </c>
      <c r="S52" s="809">
        <f t="shared" si="6"/>
        <v>1</v>
      </c>
      <c r="T52" s="176">
        <f t="shared" si="7"/>
        <v>7</v>
      </c>
      <c r="U52" s="251">
        <f t="shared" si="8"/>
        <v>1.8023230932505572</v>
      </c>
      <c r="V52" s="383">
        <f t="shared" si="9"/>
        <v>22.349831755711502</v>
      </c>
      <c r="W52" s="402">
        <f t="shared" si="10"/>
        <v>8.3686871624547798</v>
      </c>
      <c r="X52" s="157">
        <f t="shared" si="11"/>
        <v>45695</v>
      </c>
      <c r="Y52" s="385">
        <f t="shared" si="12"/>
        <v>7.9164706979374637</v>
      </c>
      <c r="Z52" s="385">
        <f t="shared" si="22"/>
        <v>8.5586793612100216</v>
      </c>
      <c r="AA52" s="386">
        <f t="shared" si="13"/>
        <v>10.195167558229947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0.16051606682019537</v>
      </c>
      <c r="AD52" s="231">
        <f>(INDEX(Models!$BJ52:$BT52,,AH52)*(1-AF52)+INDEX(Models!$BJ52:$BT52,,AH52+1)*AF52-ERP_i)*AE52*Ramure*Pc/MaxiM</f>
        <v>3.6992123953640856E-2</v>
      </c>
      <c r="AE52" s="305">
        <f t="shared" si="15"/>
        <v>0.8</v>
      </c>
      <c r="AF52" s="177">
        <f t="shared" si="23"/>
        <v>3.0398404154610148E-3</v>
      </c>
      <c r="AG52" s="809">
        <f t="shared" si="24"/>
        <v>3</v>
      </c>
      <c r="AH52" s="176">
        <f t="shared" si="16"/>
        <v>9</v>
      </c>
      <c r="AI52" s="225">
        <f t="shared" si="17"/>
        <v>3.003039840415461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IF(t&gt;Tmaj,'2024'!Wh/'2024'!Env_an*'2025'!Env_an,0.001*'[4]mon-tableau'!$B$135)</f>
        <v>22.820227302752158</v>
      </c>
      <c r="C53" s="839"/>
      <c r="D53" s="393">
        <f t="shared" si="0"/>
        <v>24.672062198869519</v>
      </c>
      <c r="E53" s="385">
        <f t="shared" si="1"/>
        <v>27.862434161900673</v>
      </c>
      <c r="F53" s="385">
        <f t="shared" si="2"/>
        <v>28.35093087832141</v>
      </c>
      <c r="G53" s="110">
        <f t="shared" si="21"/>
        <v>1.009224158935293</v>
      </c>
      <c r="H53" s="414" t="b">
        <f>Wh_hp&gt;='2024'!Maxi_hp</f>
        <v>1</v>
      </c>
      <c r="I53" s="390">
        <f>IF(H53,Wh_hp,'2024'!Maxi_hp)</f>
        <v>28.35093087832141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7.5057969665876328E-2</v>
      </c>
      <c r="M53" s="843"/>
      <c r="N53" s="843"/>
      <c r="O53" s="48">
        <f>IF(t&lt;Tnet,'2024'!Resal+('2024'!Salim-'2024'!Resal)*(1-EXP(('2024'!Tnet-t)/('2024'!Tau_j))),Resal+(Salim-Resal)*(1-EXP((Tnet-t)/(Tau_j))))*Salcycl</f>
        <v>0.11450442357235595</v>
      </c>
      <c r="P53" s="169">
        <f>(INDEX(Models!$BJ53:$BT53,,T53)*(1-R53)+INDEX(Models!$BJ53:$BT53,,T53+1)*R53-ERP_i)*Q53*Ramure*Pc/MaxiM</f>
        <v>1.7230358978945048E-2</v>
      </c>
      <c r="Q53" s="305">
        <f t="shared" si="4"/>
        <v>0.8</v>
      </c>
      <c r="R53" s="177">
        <f t="shared" si="5"/>
        <v>0.80248185441859676</v>
      </c>
      <c r="S53" s="809">
        <f t="shared" si="6"/>
        <v>1</v>
      </c>
      <c r="T53" s="176">
        <f t="shared" si="7"/>
        <v>7</v>
      </c>
      <c r="U53" s="251">
        <f t="shared" si="8"/>
        <v>1.8024818544185968</v>
      </c>
      <c r="V53" s="383">
        <f t="shared" si="9"/>
        <v>22.611653814180332</v>
      </c>
      <c r="W53" s="402">
        <f t="shared" si="10"/>
        <v>22.820227302752158</v>
      </c>
      <c r="X53" s="157">
        <f t="shared" si="11"/>
        <v>45696</v>
      </c>
      <c r="Y53" s="385">
        <f t="shared" si="12"/>
        <v>21.208864737216569</v>
      </c>
      <c r="Z53" s="385">
        <f t="shared" si="22"/>
        <v>22.929939435831599</v>
      </c>
      <c r="AA53" s="386">
        <f t="shared" si="13"/>
        <v>27.315272335354386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0.16054509161333952</v>
      </c>
      <c r="AD53" s="231">
        <f>(INDEX(Models!$BJ53:$BT53,,AH53)*(1-AF53)+INDEX(Models!$BJ53:$BT53,,AH53+1)*AF53-ERP_i)*AE53*Ramure*Pc/MaxiM</f>
        <v>3.6529966067496589E-2</v>
      </c>
      <c r="AE53" s="305">
        <f t="shared" si="15"/>
        <v>0.8</v>
      </c>
      <c r="AF53" s="177">
        <f t="shared" si="23"/>
        <v>3.1986015835001602E-3</v>
      </c>
      <c r="AG53" s="809">
        <f t="shared" si="24"/>
        <v>3</v>
      </c>
      <c r="AH53" s="176">
        <f t="shared" si="16"/>
        <v>9</v>
      </c>
      <c r="AI53" s="225">
        <f t="shared" si="17"/>
        <v>3.0031986015835002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IF(t&gt;Tmaj,'2024'!Wh/'2024'!Env_an*'2025'!Env_an,0.001*'[4]mon-tableau'!$B$136)</f>
        <v>22.584672574051211</v>
      </c>
      <c r="C54" s="839"/>
      <c r="D54" s="393">
        <f t="shared" si="0"/>
        <v>24.417973689601087</v>
      </c>
      <c r="E54" s="385">
        <f t="shared" si="1"/>
        <v>27.578374498128351</v>
      </c>
      <c r="F54" s="385">
        <f t="shared" si="2"/>
        <v>28.04845274070739</v>
      </c>
      <c r="G54" s="110">
        <f t="shared" si="21"/>
        <v>0.98701371464759535</v>
      </c>
      <c r="H54" s="414" t="b">
        <f>Wh_hp&gt;='2024'!Maxi_hp</f>
        <v>0</v>
      </c>
      <c r="I54" s="390">
        <f>IF(H54,Wh_hp,'2024'!Maxi_hp)</f>
        <v>28.057262374648079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7.5079985704572444E-2</v>
      </c>
      <c r="M54" s="843"/>
      <c r="N54" s="843"/>
      <c r="O54" s="48">
        <f>IF(t&lt;Tnet,'2024'!Resal+('2024'!Salim-'2024'!Resal)*(1-EXP(('2024'!Tnet-t)/('2024'!Tau_j))),Resal+(Salim-Resal)*(1-EXP((Tnet-t)/(Tau_j))))*Salcycl</f>
        <v>0.11459706621729102</v>
      </c>
      <c r="P54" s="169">
        <f>(INDEX(Models!$BJ54:$BT54,,T54)*(1-R54)+INDEX(Models!$BJ54:$BT54,,T54+1)*R54-ERP_i)*Q54*Ramure*Pc/MaxiM</f>
        <v>1.7068592872238317E-2</v>
      </c>
      <c r="Q54" s="305">
        <f t="shared" si="4"/>
        <v>0.8</v>
      </c>
      <c r="R54" s="177">
        <f t="shared" si="5"/>
        <v>0.80264718616890618</v>
      </c>
      <c r="S54" s="809">
        <f t="shared" si="6"/>
        <v>1</v>
      </c>
      <c r="T54" s="176">
        <f t="shared" si="7"/>
        <v>7</v>
      </c>
      <c r="U54" s="251">
        <f t="shared" si="8"/>
        <v>1.8026471861689062</v>
      </c>
      <c r="V54" s="383">
        <f t="shared" si="9"/>
        <v>22.874629452696841</v>
      </c>
      <c r="W54" s="402">
        <f t="shared" si="10"/>
        <v>22.584672574051211</v>
      </c>
      <c r="X54" s="157">
        <f t="shared" si="11"/>
        <v>45697</v>
      </c>
      <c r="Y54" s="385">
        <f t="shared" si="12"/>
        <v>21.005297569302474</v>
      </c>
      <c r="Z54" s="385">
        <f t="shared" si="22"/>
        <v>22.710393595822005</v>
      </c>
      <c r="AA54" s="386">
        <f t="shared" si="13"/>
        <v>27.054677369139224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0.16057422212222217</v>
      </c>
      <c r="AD54" s="231">
        <f>(INDEX(Models!$BJ54:$BT54,,AH54)*(1-AF54)+INDEX(Models!$BJ54:$BT54,,AH54+1)*AF54-ERP_i)*AE54*Ramure*Pc/MaxiM</f>
        <v>3.6084093428132638E-2</v>
      </c>
      <c r="AE54" s="305">
        <f t="shared" si="15"/>
        <v>0.8</v>
      </c>
      <c r="AF54" s="177">
        <f t="shared" si="23"/>
        <v>3.3639333338095767E-3</v>
      </c>
      <c r="AG54" s="809">
        <f t="shared" si="24"/>
        <v>3</v>
      </c>
      <c r="AH54" s="176">
        <f t="shared" si="16"/>
        <v>9</v>
      </c>
      <c r="AI54" s="225">
        <f t="shared" si="17"/>
        <v>3.0033639333338096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IF(t&gt;Tmaj,'2024'!Wh/'2024'!Env_an*'2025'!Env_an,0.001*'[4]mon-tableau'!$B$137)</f>
        <v>21.110933490875979</v>
      </c>
      <c r="C55" s="839"/>
      <c r="D55" s="393">
        <f t="shared" si="0"/>
        <v>22.825147766534236</v>
      </c>
      <c r="E55" s="385">
        <f t="shared" si="1"/>
        <v>25.78208690520637</v>
      </c>
      <c r="F55" s="385">
        <f t="shared" si="2"/>
        <v>26.169880619241411</v>
      </c>
      <c r="G55" s="110">
        <f t="shared" si="21"/>
        <v>0.91038378548151699</v>
      </c>
      <c r="H55" s="414" t="b">
        <f>Wh_hp&gt;='2024'!Maxi_hp</f>
        <v>0</v>
      </c>
      <c r="I55" s="390">
        <f>IF(H55,Wh_hp,'2024'!Maxi_hp)</f>
        <v>26.226274713136441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7.5102001230923171E-2</v>
      </c>
      <c r="M55" s="843"/>
      <c r="N55" s="843"/>
      <c r="O55" s="48">
        <f>IF(t&lt;Tnet,'2024'!Resal+('2024'!Salim-'2024'!Resal)*(1-EXP(('2024'!Tnet-t)/('2024'!Tau_j))),Resal+(Salim-Resal)*(1-EXP((Tnet-t)/(Tau_j))))*Salcycl</f>
        <v>0.11468967386325182</v>
      </c>
      <c r="P55" s="169">
        <f>(INDEX(Models!$BJ55:$BT55,,T55)*(1-R55)+INDEX(Models!$BJ55:$BT55,,T55+1)*R55-ERP_i)*Q55*Ramure*Pc/MaxiM</f>
        <v>1.6939426546189195E-2</v>
      </c>
      <c r="Q55" s="305">
        <f t="shared" si="4"/>
        <v>0.8</v>
      </c>
      <c r="R55" s="177">
        <f t="shared" si="5"/>
        <v>0.802819356541701</v>
      </c>
      <c r="S55" s="809">
        <f t="shared" si="6"/>
        <v>1</v>
      </c>
      <c r="T55" s="176">
        <f t="shared" si="7"/>
        <v>7</v>
      </c>
      <c r="U55" s="251">
        <f t="shared" si="8"/>
        <v>1.802819356541701</v>
      </c>
      <c r="V55" s="383">
        <f t="shared" si="9"/>
        <v>23.139121988053198</v>
      </c>
      <c r="W55" s="402">
        <f t="shared" si="10"/>
        <v>21.110933490875979</v>
      </c>
      <c r="X55" s="157">
        <f t="shared" si="11"/>
        <v>45698</v>
      </c>
      <c r="Y55" s="385">
        <f t="shared" si="12"/>
        <v>19.683475893575473</v>
      </c>
      <c r="Z55" s="385">
        <f t="shared" si="22"/>
        <v>21.281780174431894</v>
      </c>
      <c r="AA55" s="386">
        <f t="shared" si="13"/>
        <v>25.353666213513868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0.16060344112724809</v>
      </c>
      <c r="AD55" s="231">
        <f>(INDEX(Models!$BJ55:$BT55,,AH55)*(1-AF55)+INDEX(Models!$BJ55:$BT55,,AH55+1)*AF55-ERP_i)*AE55*Ramure*Pc/MaxiM</f>
        <v>3.5653502033077829E-2</v>
      </c>
      <c r="AE55" s="305">
        <f t="shared" si="15"/>
        <v>0.8</v>
      </c>
      <c r="AF55" s="177">
        <f t="shared" si="23"/>
        <v>3.5361037066046208E-3</v>
      </c>
      <c r="AG55" s="809">
        <f t="shared" si="24"/>
        <v>3</v>
      </c>
      <c r="AH55" s="176">
        <f t="shared" si="16"/>
        <v>9</v>
      </c>
      <c r="AI55" s="225">
        <f t="shared" si="17"/>
        <v>3.0035361037066046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IF(t&gt;Tmaj,'2024'!Wh/'2024'!Env_an*'2025'!Env_an,0.001*'[4]mon-tableau'!$B$138)</f>
        <v>13.957561956932624</v>
      </c>
      <c r="C56" s="839"/>
      <c r="D56" s="393">
        <f t="shared" si="0"/>
        <v>15.091279481886827</v>
      </c>
      <c r="E56" s="385">
        <f t="shared" si="1"/>
        <v>17.048098292153352</v>
      </c>
      <c r="F56" s="385">
        <f t="shared" si="2"/>
        <v>17.170518565544921</v>
      </c>
      <c r="G56" s="110">
        <f t="shared" si="21"/>
        <v>0.59050384322292226</v>
      </c>
      <c r="H56" s="414" t="b">
        <f>Wh_hp&gt;='2024'!Maxi_hp</f>
        <v>0</v>
      </c>
      <c r="I56" s="390">
        <f>IF(H56,Wh_hp,'2024'!Maxi_hp)</f>
        <v>22.96810519767752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7.51240162449405E-2</v>
      </c>
      <c r="M56" s="843"/>
      <c r="N56" s="843"/>
      <c r="O56" s="48">
        <f>IF(t&lt;Tnet,'2024'!Resal+('2024'!Salim-'2024'!Resal)*(1-EXP(('2024'!Tnet-t)/('2024'!Tau_j))),Resal+(Salim-Resal)*(1-EXP((Tnet-t)/(Tau_j))))*Salcycl</f>
        <v>0.11478223416667996</v>
      </c>
      <c r="P56" s="169">
        <f>(INDEX(Models!$BJ56:$BT56,,T56)*(1-R56)+INDEX(Models!$BJ56:$BT56,,T56+1)*R56-ERP_i)*Q56*Ramure*Pc/MaxiM</f>
        <v>1.6841552406521312E-2</v>
      </c>
      <c r="Q56" s="305">
        <f t="shared" si="4"/>
        <v>0.8</v>
      </c>
      <c r="R56" s="177">
        <f t="shared" si="5"/>
        <v>0.80299864418073463</v>
      </c>
      <c r="S56" s="809">
        <f t="shared" si="6"/>
        <v>1</v>
      </c>
      <c r="T56" s="176">
        <f t="shared" si="7"/>
        <v>7</v>
      </c>
      <c r="U56" s="251">
        <f t="shared" si="8"/>
        <v>1.8029986441807346</v>
      </c>
      <c r="V56" s="383">
        <f t="shared" si="9"/>
        <v>23.405494534521029</v>
      </c>
      <c r="W56" s="402">
        <f t="shared" si="10"/>
        <v>13.957561956932624</v>
      </c>
      <c r="X56" s="157">
        <f t="shared" si="11"/>
        <v>45699</v>
      </c>
      <c r="Y56" s="385">
        <f t="shared" si="12"/>
        <v>13.130813772024709</v>
      </c>
      <c r="Z56" s="385">
        <f t="shared" si="22"/>
        <v>14.197377813523397</v>
      </c>
      <c r="AA56" s="386">
        <f t="shared" si="13"/>
        <v>16.914381030423687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0.16063273092957106</v>
      </c>
      <c r="AD56" s="231">
        <f>(INDEX(Models!$BJ56:$BT56,,AH56)*(1-AF56)+INDEX(Models!$BJ56:$BT56,,AH56+1)*AF56-ERP_i)*AE56*Ramure*Pc/MaxiM</f>
        <v>3.5237249529933609E-2</v>
      </c>
      <c r="AE56" s="305">
        <f t="shared" si="15"/>
        <v>0.8</v>
      </c>
      <c r="AF56" s="177">
        <f t="shared" si="23"/>
        <v>3.7153913456382526E-3</v>
      </c>
      <c r="AG56" s="809">
        <f t="shared" si="24"/>
        <v>3</v>
      </c>
      <c r="AH56" s="176">
        <f t="shared" si="16"/>
        <v>9</v>
      </c>
      <c r="AI56" s="225">
        <f t="shared" si="17"/>
        <v>3.0037153913456383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IF(t&gt;Tmaj,'2024'!Wh/'2024'!Env_an*'2025'!Env_an,0.001*'[4]mon-tableau'!$B$139)</f>
        <v>19.795821059751098</v>
      </c>
      <c r="C57" s="839"/>
      <c r="D57" s="393">
        <f t="shared" si="0"/>
        <v>21.404266746816578</v>
      </c>
      <c r="E57" s="385">
        <f t="shared" si="1"/>
        <v>24.182189327203808</v>
      </c>
      <c r="F57" s="385">
        <f t="shared" si="2"/>
        <v>24.49693045255631</v>
      </c>
      <c r="G57" s="110">
        <f t="shared" si="21"/>
        <v>0.83285499205477875</v>
      </c>
      <c r="H57" s="414" t="b">
        <f>Wh_hp&gt;='2024'!Maxi_hp</f>
        <v>0</v>
      </c>
      <c r="I57" s="390">
        <f>IF(H57,Wh_hp,'2024'!Maxi_hp)</f>
        <v>29.947194156112754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7.51460307466362E-2</v>
      </c>
      <c r="M57" s="843"/>
      <c r="N57" s="843"/>
      <c r="O57" s="48">
        <f>IF(t&lt;Tnet,'2024'!Resal+('2024'!Salim-'2024'!Resal)*(1-EXP(('2024'!Tnet-t)/('2024'!Tau_j))),Resal+(Salim-Resal)*(1-EXP((Tnet-t)/(Tau_j))))*Salcycl</f>
        <v>0.1148747345742679</v>
      </c>
      <c r="P57" s="169">
        <f>(INDEX(Models!$BJ57:$BT57,,T57)*(1-R57)+INDEX(Models!$BJ57:$BT57,,T57+1)*R57-ERP_i)*Q57*Ramure*Pc/MaxiM</f>
        <v>1.677370978532048E-2</v>
      </c>
      <c r="Q57" s="305">
        <f t="shared" si="4"/>
        <v>0.8</v>
      </c>
      <c r="R57" s="177">
        <f t="shared" si="5"/>
        <v>0.80318533872456199</v>
      </c>
      <c r="S57" s="809">
        <f t="shared" si="6"/>
        <v>1</v>
      </c>
      <c r="T57" s="176">
        <f t="shared" si="7"/>
        <v>7</v>
      </c>
      <c r="U57" s="251">
        <f t="shared" si="8"/>
        <v>1.803185338724562</v>
      </c>
      <c r="V57" s="383">
        <f t="shared" si="9"/>
        <v>23.674109986265172</v>
      </c>
      <c r="W57" s="402">
        <f t="shared" si="10"/>
        <v>19.795821059751098</v>
      </c>
      <c r="X57" s="157">
        <f t="shared" si="11"/>
        <v>45700</v>
      </c>
      <c r="Y57" s="385">
        <f t="shared" si="12"/>
        <v>18.508718337900167</v>
      </c>
      <c r="Z57" s="385">
        <f t="shared" si="22"/>
        <v>20.012584638461664</v>
      </c>
      <c r="AA57" s="386">
        <f t="shared" si="13"/>
        <v>23.843298400532174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0.16066207358227791</v>
      </c>
      <c r="AD57" s="231">
        <f>(INDEX(Models!$BJ57:$BT57,,AH57)*(1-AF57)+INDEX(Models!$BJ57:$BT57,,AH57+1)*AF57-ERP_i)*AE57*Ramure*Pc/MaxiM</f>
        <v>3.483445112155973E-2</v>
      </c>
      <c r="AE57" s="305">
        <f t="shared" si="15"/>
        <v>0.8</v>
      </c>
      <c r="AF57" s="177">
        <f t="shared" si="23"/>
        <v>3.9020858894653898E-3</v>
      </c>
      <c r="AG57" s="809">
        <f t="shared" si="24"/>
        <v>3</v>
      </c>
      <c r="AH57" s="176">
        <f t="shared" si="16"/>
        <v>9</v>
      </c>
      <c r="AI57" s="225">
        <f t="shared" si="17"/>
        <v>3.0039020858894654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IF(t&gt;Tmaj,'2024'!Wh/'2024'!Env_an*'2025'!Env_an,0.001*'[4]mon-tableau'!$B$140)</f>
        <v>22.683139320931737</v>
      </c>
      <c r="C58" s="839"/>
      <c r="D58" s="393">
        <f t="shared" si="0"/>
        <v>24.526768557058798</v>
      </c>
      <c r="E58" s="385">
        <f t="shared" si="1"/>
        <v>27.712834504756955</v>
      </c>
      <c r="F58" s="385">
        <f t="shared" si="2"/>
        <v>28.148875043692225</v>
      </c>
      <c r="G58" s="110">
        <f t="shared" si="21"/>
        <v>0.94609148146632804</v>
      </c>
      <c r="H58" s="414" t="b">
        <f>Wh_hp&gt;='2024'!Maxi_hp</f>
        <v>0</v>
      </c>
      <c r="I58" s="390">
        <f>IF(H58,Wh_hp,'2024'!Maxi_hp)</f>
        <v>30.793710907907265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7.5168044736022371E-2</v>
      </c>
      <c r="M58" s="843"/>
      <c r="N58" s="843"/>
      <c r="O58" s="48">
        <f>IF(t&lt;Tnet,'2024'!Resal+('2024'!Salim-'2024'!Resal)*(1-EXP(('2024'!Tnet-t)/('2024'!Tau_j))),Resal+(Salim-Resal)*(1-EXP((Tnet-t)/(Tau_j))))*Salcycl</f>
        <v>0.11496716249473739</v>
      </c>
      <c r="P58" s="169">
        <f>(INDEX(Models!$BJ58:$BT58,,T58)*(1-R58)+INDEX(Models!$BJ58:$BT58,,T58+1)*R58-ERP_i)*Q58*Ramure*Pc/MaxiM</f>
        <v>1.6751549882021637E-2</v>
      </c>
      <c r="Q58" s="305">
        <f t="shared" si="4"/>
        <v>0.8</v>
      </c>
      <c r="R58" s="177">
        <f t="shared" si="5"/>
        <v>0.80337974120980893</v>
      </c>
      <c r="S58" s="809">
        <f t="shared" si="6"/>
        <v>1</v>
      </c>
      <c r="T58" s="176">
        <f t="shared" si="7"/>
        <v>7</v>
      </c>
      <c r="U58" s="251">
        <f t="shared" si="8"/>
        <v>1.8033797412098089</v>
      </c>
      <c r="V58" s="383">
        <f t="shared" si="9"/>
        <v>23.944920171572747</v>
      </c>
      <c r="W58" s="402">
        <f t="shared" si="10"/>
        <v>22.683139320931737</v>
      </c>
      <c r="X58" s="157">
        <f t="shared" si="11"/>
        <v>45701</v>
      </c>
      <c r="Y58" s="385">
        <f t="shared" si="12"/>
        <v>21.153251889380346</v>
      </c>
      <c r="Z58" s="385">
        <f t="shared" si="22"/>
        <v>22.872535674162023</v>
      </c>
      <c r="AA58" s="386">
        <f t="shared" si="13"/>
        <v>27.251641491064667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0.1606914511310622</v>
      </c>
      <c r="AD58" s="231">
        <f>(INDEX(Models!$BJ58:$BT58,,AH58)*(1-AF58)+INDEX(Models!$BJ58:$BT58,,AH58+1)*AF58-ERP_i)*AE58*Ramure*Pc/MaxiM</f>
        <v>3.4469392798579308E-2</v>
      </c>
      <c r="AE58" s="305">
        <f t="shared" si="15"/>
        <v>0.8</v>
      </c>
      <c r="AF58" s="177">
        <f t="shared" si="23"/>
        <v>4.0964883747127701E-3</v>
      </c>
      <c r="AG58" s="809">
        <f t="shared" si="24"/>
        <v>3</v>
      </c>
      <c r="AH58" s="176">
        <f t="shared" si="16"/>
        <v>9</v>
      </c>
      <c r="AI58" s="225">
        <f t="shared" si="17"/>
        <v>3.0040964883747128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IF(t&gt;Tmaj,'2024'!Wh/'2024'!Env_an*'2025'!Env_an,0.001*'[4]mon-tableau'!$B$141)</f>
        <v>11.9742228600301</v>
      </c>
      <c r="C59" s="839"/>
      <c r="D59" s="393">
        <f t="shared" si="0"/>
        <v>12.947766150625366</v>
      </c>
      <c r="E59" s="385">
        <f t="shared" si="1"/>
        <v>14.631228009959655</v>
      </c>
      <c r="F59" s="385">
        <f t="shared" si="2"/>
        <v>14.69966900577867</v>
      </c>
      <c r="G59" s="110">
        <f t="shared" si="21"/>
        <v>0.48840976577633238</v>
      </c>
      <c r="H59" s="414" t="b">
        <f>Wh_hp&gt;='2024'!Maxi_hp</f>
        <v>0</v>
      </c>
      <c r="I59" s="390">
        <f>IF(H59,Wh_hp,'2024'!Maxi_hp)</f>
        <v>30.902600245057862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7.5190058213110783E-2</v>
      </c>
      <c r="M59" s="843"/>
      <c r="N59" s="843"/>
      <c r="O59" s="48">
        <f>IF(t&lt;Tnet,'2024'!Resal+('2024'!Salim-'2024'!Resal)*(1-EXP(('2024'!Tnet-t)/('2024'!Tau_j))),Resal+(Salim-Resal)*(1-EXP((Tnet-t)/(Tau_j))))*Salcycl</f>
        <v>0.11505950547611837</v>
      </c>
      <c r="P59" s="169">
        <f>(INDEX(Models!$BJ59:$BT59,,T59)*(1-R59)+INDEX(Models!$BJ59:$BT59,,T59+1)*R59-ERP_i)*Q59*Ramure*Pc/MaxiM</f>
        <v>1.6763210193611829E-2</v>
      </c>
      <c r="Q59" s="305">
        <f t="shared" si="4"/>
        <v>0.8</v>
      </c>
      <c r="R59" s="177">
        <f t="shared" si="5"/>
        <v>0.80358216448658704</v>
      </c>
      <c r="S59" s="809">
        <f t="shared" si="6"/>
        <v>1</v>
      </c>
      <c r="T59" s="176">
        <f t="shared" si="7"/>
        <v>7</v>
      </c>
      <c r="U59" s="251">
        <f t="shared" si="8"/>
        <v>1.803582164486587</v>
      </c>
      <c r="V59" s="383">
        <f t="shared" si="9"/>
        <v>24.218536485715731</v>
      </c>
      <c r="W59" s="402">
        <f t="shared" si="10"/>
        <v>11.9742228600301</v>
      </c>
      <c r="X59" s="157">
        <f t="shared" si="11"/>
        <v>45702</v>
      </c>
      <c r="Y59" s="385">
        <f t="shared" si="12"/>
        <v>11.301303256682809</v>
      </c>
      <c r="Z59" s="385">
        <f t="shared" si="22"/>
        <v>12.220135993398578</v>
      </c>
      <c r="AA59" s="386">
        <f t="shared" si="13"/>
        <v>14.560275842839115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0.16072084586168339</v>
      </c>
      <c r="AD59" s="231">
        <f>(INDEX(Models!$BJ59:$BT59,,AH59)*(1-AF59)+INDEX(Models!$BJ59:$BT59,,AH59+1)*AF59-ERP_i)*AE59*Ramure*Pc/MaxiM</f>
        <v>3.4141479999607156E-2</v>
      </c>
      <c r="AE59" s="305">
        <f t="shared" si="15"/>
        <v>0.8</v>
      </c>
      <c r="AF59" s="177">
        <f t="shared" si="23"/>
        <v>4.2989116514906556E-3</v>
      </c>
      <c r="AG59" s="809">
        <f t="shared" si="24"/>
        <v>3</v>
      </c>
      <c r="AH59" s="176">
        <f t="shared" si="16"/>
        <v>9</v>
      </c>
      <c r="AI59" s="225">
        <f t="shared" si="17"/>
        <v>3.0042989116514907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IF(t&gt;Tmaj,'2024'!Wh/'2024'!Env_an*'2025'!Env_an,0.001*'[4]mon-tableau'!$B$142)</f>
        <v>15.187493425042932</v>
      </c>
      <c r="C60" s="839"/>
      <c r="D60" s="393">
        <f t="shared" si="0"/>
        <v>16.422676974587485</v>
      </c>
      <c r="E60" s="385">
        <f t="shared" si="1"/>
        <v>18.559879618140897</v>
      </c>
      <c r="F60" s="385">
        <f t="shared" si="2"/>
        <v>18.703593144940093</v>
      </c>
      <c r="G60" s="110">
        <f t="shared" si="21"/>
        <v>0.61431552848089221</v>
      </c>
      <c r="H60" s="414" t="b">
        <f>Wh_hp&gt;='2024'!Maxi_hp</f>
        <v>0</v>
      </c>
      <c r="I60" s="390">
        <f>IF(H60,Wh_hp,'2024'!Maxi_hp)</f>
        <v>31.193309368180032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7.5212071177913425E-2</v>
      </c>
      <c r="M60" s="843"/>
      <c r="N60" s="843"/>
      <c r="O60" s="48">
        <f>IF(t&lt;Tnet,'2024'!Resal+('2024'!Salim-'2024'!Resal)*(1-EXP(('2024'!Tnet-t)/('2024'!Tau_j))),Resal+(Salim-Resal)*(1-EXP((Tnet-t)/(Tau_j))))*Salcycl</f>
        <v>0.11515175138660137</v>
      </c>
      <c r="P60" s="169">
        <f>(INDEX(Models!$BJ60:$BT60,,T60)*(1-R60)+INDEX(Models!$BJ60:$BT60,,T60+1)*R60-ERP_i)*Q60*Ramure*Pc/MaxiM</f>
        <v>1.6807333004389625E-2</v>
      </c>
      <c r="Q60" s="305">
        <f t="shared" si="4"/>
        <v>0.8</v>
      </c>
      <c r="R60" s="177">
        <f t="shared" si="5"/>
        <v>0.80379293364618354</v>
      </c>
      <c r="S60" s="809">
        <f t="shared" si="6"/>
        <v>1</v>
      </c>
      <c r="T60" s="176">
        <f t="shared" si="7"/>
        <v>7</v>
      </c>
      <c r="U60" s="251">
        <f t="shared" si="8"/>
        <v>1.8037929336461835</v>
      </c>
      <c r="V60" s="383">
        <f t="shared" si="9"/>
        <v>24.495320832022358</v>
      </c>
      <c r="W60" s="402">
        <f t="shared" si="10"/>
        <v>15.187493425042932</v>
      </c>
      <c r="X60" s="157">
        <f t="shared" si="11"/>
        <v>45703</v>
      </c>
      <c r="Y60" s="385">
        <f t="shared" si="12"/>
        <v>14.291747180341229</v>
      </c>
      <c r="Z60" s="385">
        <f t="shared" si="22"/>
        <v>15.454080589638316</v>
      </c>
      <c r="AA60" s="386">
        <f t="shared" si="13"/>
        <v>18.414161476547427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0.16075024055149714</v>
      </c>
      <c r="AD60" s="231">
        <f>(INDEX(Models!$BJ60:$BT60,,AH60)*(1-AF60)+INDEX(Models!$BJ60:$BT60,,AH60+1)*AF60-ERP_i)*AE60*Ramure*Pc/MaxiM</f>
        <v>3.3849106211752508E-2</v>
      </c>
      <c r="AE60" s="305">
        <f t="shared" si="15"/>
        <v>0.8</v>
      </c>
      <c r="AF60" s="177">
        <f t="shared" si="23"/>
        <v>4.5096808110871578E-3</v>
      </c>
      <c r="AG60" s="809">
        <f t="shared" si="24"/>
        <v>3</v>
      </c>
      <c r="AH60" s="176">
        <f t="shared" si="16"/>
        <v>9</v>
      </c>
      <c r="AI60" s="225">
        <f t="shared" si="17"/>
        <v>3.0045096808110872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IF(t&gt;Tmaj,'2024'!Wh/'2024'!Env_an*'2025'!Env_an,0.001*'[4]mon-tableau'!$B$143)</f>
        <v>9.2991547085590458</v>
      </c>
      <c r="C61" s="839"/>
      <c r="D61" s="393">
        <f t="shared" si="0"/>
        <v>10.055684951134044</v>
      </c>
      <c r="E61" s="385">
        <f t="shared" si="1"/>
        <v>11.365487981980339</v>
      </c>
      <c r="F61" s="385">
        <f t="shared" si="2"/>
        <v>11.386175761502328</v>
      </c>
      <c r="G61" s="110">
        <f t="shared" si="21"/>
        <v>0.36966970778018909</v>
      </c>
      <c r="H61" s="414" t="b">
        <f>Wh_hp&gt;='2024'!Maxi_hp</f>
        <v>0</v>
      </c>
      <c r="I61" s="390">
        <f>IF(H61,Wh_hp,'2024'!Maxi_hp)</f>
        <v>31.828917483030121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7.5234083630442178E-2</v>
      </c>
      <c r="M61" s="843"/>
      <c r="N61" s="843"/>
      <c r="O61" s="48">
        <f>IF(t&lt;Tnet,'2024'!Resal+('2024'!Salim-'2024'!Resal)*(1-EXP(('2024'!Tnet-t)/('2024'!Tau_j))),Resal+(Salim-Resal)*(1-EXP((Tnet-t)/(Tau_j))))*Salcycl</f>
        <v>0.11524388859703617</v>
      </c>
      <c r="P61" s="169">
        <f>(INDEX(Models!$BJ61:$BT61,,T61)*(1-R61)+INDEX(Models!$BJ61:$BT61,,T61+1)*R61-ERP_i)*Q61*Ramure*Pc/MaxiM</f>
        <v>1.6882592878287306E-2</v>
      </c>
      <c r="Q61" s="305">
        <f t="shared" si="4"/>
        <v>0.8</v>
      </c>
      <c r="R61" s="177">
        <f t="shared" si="5"/>
        <v>0.80401238646112927</v>
      </c>
      <c r="S61" s="809">
        <f t="shared" si="6"/>
        <v>1</v>
      </c>
      <c r="T61" s="176">
        <f t="shared" si="7"/>
        <v>7</v>
      </c>
      <c r="U61" s="251">
        <f t="shared" si="8"/>
        <v>1.8040123864611293</v>
      </c>
      <c r="V61" s="383">
        <f t="shared" si="9"/>
        <v>24.775634816654168</v>
      </c>
      <c r="W61" s="402">
        <f t="shared" si="10"/>
        <v>9.2991547085590458</v>
      </c>
      <c r="X61" s="157">
        <f t="shared" si="11"/>
        <v>45704</v>
      </c>
      <c r="Y61" s="385">
        <f t="shared" si="12"/>
        <v>8.8046657393527674</v>
      </c>
      <c r="Z61" s="385">
        <f t="shared" si="22"/>
        <v>9.5209669641784451</v>
      </c>
      <c r="AA61" s="386">
        <f t="shared" si="13"/>
        <v>11.345013987486281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0.16077961872235558</v>
      </c>
      <c r="AD61" s="231">
        <f>(INDEX(Models!$BJ61:$BT61,,AH61)*(1-AF61)+INDEX(Models!$BJ61:$BT61,,AH61+1)*AF61-ERP_i)*AE61*Ramure*Pc/MaxiM</f>
        <v>3.3590723070225384E-2</v>
      </c>
      <c r="AE61" s="305">
        <f t="shared" si="15"/>
        <v>0.8</v>
      </c>
      <c r="AF61" s="177">
        <f t="shared" si="23"/>
        <v>4.7291336260326666E-3</v>
      </c>
      <c r="AG61" s="809">
        <f t="shared" si="24"/>
        <v>3</v>
      </c>
      <c r="AH61" s="176">
        <f t="shared" si="16"/>
        <v>9</v>
      </c>
      <c r="AI61" s="225">
        <f t="shared" si="17"/>
        <v>3.0047291336260327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IF(t&gt;Tmaj,'2024'!Wh/'2024'!Env_an*'2025'!Env_an,0.001*'[4]mon-tableau'!$B$144)</f>
        <v>9.9909581784612111</v>
      </c>
      <c r="C62" s="839"/>
      <c r="D62" s="393">
        <f t="shared" si="0"/>
        <v>10.804027072367855</v>
      </c>
      <c r="E62" s="385">
        <f t="shared" si="1"/>
        <v>12.21257553871131</v>
      </c>
      <c r="F62" s="385">
        <f t="shared" si="2"/>
        <v>12.241893372914776</v>
      </c>
      <c r="G62" s="110">
        <f t="shared" si="21"/>
        <v>0.39285215198583107</v>
      </c>
      <c r="H62" s="414" t="b">
        <f>Wh_hp&gt;='2024'!Maxi_hp</f>
        <v>0</v>
      </c>
      <c r="I62" s="390">
        <f>IF(H62,Wh_hp,'2024'!Maxi_hp)</f>
        <v>32.141014438582829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7.5256095570709142E-2</v>
      </c>
      <c r="M62" s="843"/>
      <c r="N62" s="843"/>
      <c r="O62" s="48">
        <f>IF(t&lt;Tnet,'2024'!Resal+('2024'!Salim-'2024'!Resal)*(1-EXP(('2024'!Tnet-t)/('2024'!Tau_j))),Resal+(Salim-Resal)*(1-EXP((Tnet-t)/(Tau_j))))*Salcycl</f>
        <v>0.11533590616317183</v>
      </c>
      <c r="P62" s="169">
        <f>(INDEX(Models!$BJ62:$BT62,,T62)*(1-R62)+INDEX(Models!$BJ62:$BT62,,T62+1)*R62-ERP_i)*Q62*Ramure*Pc/MaxiM</f>
        <v>1.698769306215624E-2</v>
      </c>
      <c r="Q62" s="305">
        <f t="shared" si="4"/>
        <v>0.8</v>
      </c>
      <c r="R62" s="177">
        <f t="shared" si="5"/>
        <v>0.80424087383771692</v>
      </c>
      <c r="S62" s="809">
        <f t="shared" si="6"/>
        <v>1</v>
      </c>
      <c r="T62" s="176">
        <f t="shared" si="7"/>
        <v>7</v>
      </c>
      <c r="U62" s="251">
        <f t="shared" si="8"/>
        <v>1.8042408738377169</v>
      </c>
      <c r="V62" s="383">
        <f t="shared" si="9"/>
        <v>25.059839727985732</v>
      </c>
      <c r="W62" s="402">
        <f t="shared" si="10"/>
        <v>9.9909581784612111</v>
      </c>
      <c r="X62" s="157">
        <f t="shared" si="11"/>
        <v>45705</v>
      </c>
      <c r="Y62" s="385">
        <f t="shared" si="12"/>
        <v>9.4554739682194313</v>
      </c>
      <c r="Z62" s="385">
        <f t="shared" si="22"/>
        <v>10.224964904261697</v>
      </c>
      <c r="AA62" s="386">
        <f t="shared" si="13"/>
        <v>12.184311410033709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0.16080896489222218</v>
      </c>
      <c r="AD62" s="231">
        <f>(INDEX(Models!$BJ62:$BT62,,AH62)*(1-AF62)+INDEX(Models!$BJ62:$BT62,,AH62+1)*AF62-ERP_i)*AE62*Ramure*Pc/MaxiM</f>
        <v>3.3364835361009822E-2</v>
      </c>
      <c r="AE62" s="305">
        <f t="shared" si="15"/>
        <v>0.8</v>
      </c>
      <c r="AF62" s="177">
        <f t="shared" si="23"/>
        <v>4.9576210026205381E-3</v>
      </c>
      <c r="AG62" s="809">
        <f t="shared" si="24"/>
        <v>3</v>
      </c>
      <c r="AH62" s="176">
        <f t="shared" si="16"/>
        <v>9</v>
      </c>
      <c r="AI62" s="225">
        <f t="shared" si="17"/>
        <v>3.0049576210026205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IF(t&gt;Tmaj,'2024'!Wh/'2024'!Env_an*'2025'!Env_an,0.001*'[4]mon-tableau'!$B$145)</f>
        <v>19.715725175369585</v>
      </c>
      <c r="C63" s="839"/>
      <c r="D63" s="393">
        <f t="shared" si="0"/>
        <v>21.320707690157846</v>
      </c>
      <c r="E63" s="385">
        <f t="shared" si="1"/>
        <v>24.10284603753086</v>
      </c>
      <c r="F63" s="385">
        <f t="shared" si="2"/>
        <v>24.387851723159795</v>
      </c>
      <c r="G63" s="110">
        <f t="shared" si="21"/>
        <v>0.77351562714835442</v>
      </c>
      <c r="H63" s="414" t="b">
        <f>Wh_hp&gt;='2024'!Maxi_hp</f>
        <v>0</v>
      </c>
      <c r="I63" s="390">
        <f>IF(H63,Wh_hp,'2024'!Maxi_hp)</f>
        <v>31.856589753625187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7.5278106998725974E-2</v>
      </c>
      <c r="M63" s="843"/>
      <c r="N63" s="843"/>
      <c r="O63" s="48">
        <f>IF(t&lt;Tnet,'2024'!Resal+('2024'!Salim-'2024'!Resal)*(1-EXP(('2024'!Tnet-t)/('2024'!Tau_j))),Resal+(Salim-Resal)*(1-EXP((Tnet-t)/(Tau_j))))*Salcycl</f>
        <v>0.11542779400577463</v>
      </c>
      <c r="P63" s="169">
        <f>(INDEX(Models!$BJ63:$BT63,,T63)*(1-R63)+INDEX(Models!$BJ63:$BT63,,T63+1)*R63-ERP_i)*Q63*Ramure*Pc/MaxiM</f>
        <v>1.712136249217969E-2</v>
      </c>
      <c r="Q63" s="305">
        <f t="shared" si="4"/>
        <v>0.8</v>
      </c>
      <c r="R63" s="177">
        <f t="shared" si="5"/>
        <v>0.80447876028101484</v>
      </c>
      <c r="S63" s="809">
        <f t="shared" si="6"/>
        <v>1</v>
      </c>
      <c r="T63" s="176">
        <f t="shared" si="7"/>
        <v>7</v>
      </c>
      <c r="U63" s="251">
        <f t="shared" si="8"/>
        <v>1.8044787602810148</v>
      </c>
      <c r="V63" s="383">
        <f t="shared" si="9"/>
        <v>25.348296524728958</v>
      </c>
      <c r="W63" s="402">
        <f t="shared" si="10"/>
        <v>19.715725175369585</v>
      </c>
      <c r="X63" s="157">
        <f t="shared" si="11"/>
        <v>45706</v>
      </c>
      <c r="Y63" s="385">
        <f t="shared" si="12"/>
        <v>18.496291951793491</v>
      </c>
      <c r="Z63" s="385">
        <f t="shared" si="22"/>
        <v>20.00200502635662</v>
      </c>
      <c r="AA63" s="386">
        <f t="shared" si="13"/>
        <v>23.835697205778434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0.16083826482291533</v>
      </c>
      <c r="AD63" s="231">
        <f>(INDEX(Models!$BJ63:$BT63,,AH63)*(1-AF63)+INDEX(Models!$BJ63:$BT63,,AH63+1)*AF63-ERP_i)*AE63*Ramure*Pc/MaxiM</f>
        <v>3.3169996671887726E-2</v>
      </c>
      <c r="AE63" s="305">
        <f t="shared" si="15"/>
        <v>0.8</v>
      </c>
      <c r="AF63" s="177">
        <f t="shared" si="23"/>
        <v>5.1955074459182349E-3</v>
      </c>
      <c r="AG63" s="809">
        <f t="shared" si="24"/>
        <v>3</v>
      </c>
      <c r="AH63" s="176">
        <f t="shared" si="16"/>
        <v>9</v>
      </c>
      <c r="AI63" s="225">
        <f t="shared" si="17"/>
        <v>3.0051955074459182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IF(t&gt;Tmaj,'2024'!Wh/'2024'!Env_an*'2025'!Env_an,0.001*'[4]mon-tableau'!$B$146)</f>
        <v>17.563912876460559</v>
      </c>
      <c r="C64" s="839"/>
      <c r="D64" s="393">
        <f t="shared" si="0"/>
        <v>18.994176615280079</v>
      </c>
      <c r="E64" s="385">
        <f t="shared" si="1"/>
        <v>21.474953422452547</v>
      </c>
      <c r="F64" s="385">
        <f t="shared" si="2"/>
        <v>21.68102916258448</v>
      </c>
      <c r="G64" s="110">
        <f t="shared" si="21"/>
        <v>0.67960495643955088</v>
      </c>
      <c r="H64" s="414" t="b">
        <f>Wh_hp&gt;='2024'!Maxi_hp</f>
        <v>0</v>
      </c>
      <c r="I64" s="390">
        <f>IF(H64,Wh_hp,'2024'!Maxi_hp)</f>
        <v>31.674857385546339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7.5300117914504777E-2</v>
      </c>
      <c r="M64" s="843"/>
      <c r="N64" s="843"/>
      <c r="O64" s="48">
        <f>IF(t&lt;Tnet,'2024'!Resal+('2024'!Salim-'2024'!Resal)*(1-EXP(('2024'!Tnet-t)/('2024'!Tau_j))),Resal+(Salim-Resal)*(1-EXP((Tnet-t)/(Tau_j))))*Salcycl</f>
        <v>0.11551954308682037</v>
      </c>
      <c r="P64" s="169">
        <f>(INDEX(Models!$BJ64:$BT64,,T64)*(1-R64)+INDEX(Models!$BJ64:$BT64,,T64+1)*R64-ERP_i)*Q64*Ramure*Pc/MaxiM</f>
        <v>1.7282353386417315E-2</v>
      </c>
      <c r="Q64" s="305">
        <f t="shared" si="4"/>
        <v>0.8</v>
      </c>
      <c r="R64" s="177">
        <f t="shared" si="5"/>
        <v>0.80472642437238551</v>
      </c>
      <c r="S64" s="809">
        <f t="shared" si="6"/>
        <v>1</v>
      </c>
      <c r="T64" s="176">
        <f t="shared" si="7"/>
        <v>7</v>
      </c>
      <c r="U64" s="251">
        <f t="shared" si="8"/>
        <v>1.8047264243723855</v>
      </c>
      <c r="V64" s="383">
        <f t="shared" si="9"/>
        <v>25.641365800237583</v>
      </c>
      <c r="W64" s="402">
        <f t="shared" si="10"/>
        <v>17.563912876460559</v>
      </c>
      <c r="X64" s="157">
        <f t="shared" si="11"/>
        <v>45707</v>
      </c>
      <c r="Y64" s="385">
        <f t="shared" si="12"/>
        <v>16.517927434103335</v>
      </c>
      <c r="Z64" s="385">
        <f t="shared" si="22"/>
        <v>17.86301453488899</v>
      </c>
      <c r="AA64" s="386">
        <f t="shared" si="13"/>
        <v>21.287478029437061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0.16086750576149053</v>
      </c>
      <c r="AD64" s="231">
        <f>(INDEX(Models!$BJ64:$BT64,,AH64)*(1-AF64)+INDEX(Models!$BJ64:$BT64,,AH64+1)*AF64-ERP_i)*AE64*Ramure*Pc/MaxiM</f>
        <v>3.3004805681271669E-2</v>
      </c>
      <c r="AE64" s="305">
        <f t="shared" si="15"/>
        <v>0.8</v>
      </c>
      <c r="AF64" s="177">
        <f t="shared" si="23"/>
        <v>5.4431715372893485E-3</v>
      </c>
      <c r="AG64" s="809">
        <f t="shared" si="24"/>
        <v>3</v>
      </c>
      <c r="AH64" s="176">
        <f t="shared" si="16"/>
        <v>9</v>
      </c>
      <c r="AI64" s="225">
        <f t="shared" si="17"/>
        <v>3.0054431715372893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IF(t&gt;Tmaj,'2024'!Wh/'2024'!Env_an*'2025'!Env_an,0.001*'[4]mon-tableau'!$B$147)</f>
        <v>15.973468489598865</v>
      </c>
      <c r="C65" s="839"/>
      <c r="D65" s="393">
        <f t="shared" si="0"/>
        <v>17.274630418638576</v>
      </c>
      <c r="E65" s="385">
        <f t="shared" si="1"/>
        <v>19.532845006248191</v>
      </c>
      <c r="F65" s="385">
        <f t="shared" si="2"/>
        <v>19.688012187775549</v>
      </c>
      <c r="G65" s="110">
        <f t="shared" si="21"/>
        <v>0.60985080097207123</v>
      </c>
      <c r="H65" s="414" t="b">
        <f>Wh_hp&gt;='2024'!Maxi_hp</f>
        <v>0</v>
      </c>
      <c r="I65" s="390">
        <f>IF(H65,Wh_hp,'2024'!Maxi_hp)</f>
        <v>32.961384862018924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7.5322128318057319E-2</v>
      </c>
      <c r="M65" s="843"/>
      <c r="N65" s="843"/>
      <c r="O65" s="48">
        <f>IF(t&lt;Tnet,'2024'!Resal+('2024'!Salim-'2024'!Resal)*(1-EXP(('2024'!Tnet-t)/('2024'!Tau_j))),Resal+(Salim-Resal)*(1-EXP((Tnet-t)/(Tau_j))))*Salcycl</f>
        <v>0.11561114558003481</v>
      </c>
      <c r="P65" s="169">
        <f>(INDEX(Models!$BJ65:$BT65,,T65)*(1-R65)+INDEX(Models!$BJ65:$BT65,,T65+1)*R65-ERP_i)*Q65*Ramure*Pc/MaxiM</f>
        <v>1.7469519497984014E-2</v>
      </c>
      <c r="Q65" s="305">
        <f t="shared" si="4"/>
        <v>0.8</v>
      </c>
      <c r="R65" s="177">
        <f t="shared" si="5"/>
        <v>0.80498425925947781</v>
      </c>
      <c r="S65" s="809">
        <f t="shared" si="6"/>
        <v>1</v>
      </c>
      <c r="T65" s="176">
        <f t="shared" si="7"/>
        <v>7</v>
      </c>
      <c r="U65" s="251">
        <f t="shared" si="8"/>
        <v>1.8049842592594778</v>
      </c>
      <c r="V65" s="383">
        <f t="shared" si="9"/>
        <v>25.939286654353225</v>
      </c>
      <c r="W65" s="402">
        <f t="shared" si="10"/>
        <v>15.973468489598865</v>
      </c>
      <c r="X65" s="157">
        <f t="shared" si="11"/>
        <v>45708</v>
      </c>
      <c r="Y65" s="385">
        <f t="shared" si="12"/>
        <v>15.049418113825636</v>
      </c>
      <c r="Z65" s="385">
        <f t="shared" si="22"/>
        <v>16.275309028917821</v>
      </c>
      <c r="AA65" s="386">
        <f t="shared" si="13"/>
        <v>19.396072660497893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0.16089667667289306</v>
      </c>
      <c r="AD65" s="231">
        <f>(INDEX(Models!$BJ65:$BT65,,AH65)*(1-AF65)+INDEX(Models!$BJ65:$BT65,,AH65+1)*AF65-ERP_i)*AE65*Ramure*Pc/MaxiM</f>
        <v>3.2868053758584592E-2</v>
      </c>
      <c r="AE65" s="305">
        <f t="shared" si="15"/>
        <v>0.8</v>
      </c>
      <c r="AF65" s="177">
        <f t="shared" si="23"/>
        <v>5.7010064243816494E-3</v>
      </c>
      <c r="AG65" s="809">
        <f t="shared" si="24"/>
        <v>3</v>
      </c>
      <c r="AH65" s="176">
        <f t="shared" si="16"/>
        <v>9</v>
      </c>
      <c r="AI65" s="225">
        <f t="shared" si="17"/>
        <v>3.0057010064243816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IF(t&gt;Tmaj,'2024'!Wh/'2024'!Env_an*'2025'!Env_an,0.001*'[4]mon-tableau'!$B$148)</f>
        <v>17.245412414013092</v>
      </c>
      <c r="C66" s="839"/>
      <c r="D66" s="393">
        <f t="shared" si="0"/>
        <v>18.65062790021922</v>
      </c>
      <c r="E66" s="385">
        <f t="shared" si="1"/>
        <v>21.090899730661874</v>
      </c>
      <c r="F66" s="385">
        <f t="shared" si="2"/>
        <v>21.282994073984739</v>
      </c>
      <c r="G66" s="110">
        <f t="shared" si="21"/>
        <v>0.65143252151889752</v>
      </c>
      <c r="H66" s="414" t="b">
        <f>Wh_hp&gt;='2024'!Maxi_hp</f>
        <v>0</v>
      </c>
      <c r="I66" s="390">
        <f>IF(H66,Wh_hp,'2024'!Maxi_hp)</f>
        <v>32.315694426247191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7.53441382093957E-2</v>
      </c>
      <c r="M66" s="843"/>
      <c r="N66" s="843"/>
      <c r="O66" s="48">
        <f>IF(t&lt;Tnet,'2024'!Resal+('2024'!Salim-'2024'!Resal)*(1-EXP(('2024'!Tnet-t)/('2024'!Tau_j))),Resal+(Salim-Resal)*(1-EXP((Tnet-t)/(Tau_j))))*Salcycl</f>
        <v>0.1157025950341509</v>
      </c>
      <c r="P66" s="169">
        <f>(INDEX(Models!$BJ66:$BT66,,T66)*(1-R66)+INDEX(Models!$BJ66:$BT66,,T66+1)*R66-ERP_i)*Q66*Ramure*Pc/MaxiM</f>
        <v>1.7688695873690506E-2</v>
      </c>
      <c r="Q66" s="305">
        <f t="shared" si="4"/>
        <v>0.8</v>
      </c>
      <c r="R66" s="177">
        <f t="shared" si="5"/>
        <v>0.80525267315862181</v>
      </c>
      <c r="S66" s="809">
        <f t="shared" si="6"/>
        <v>1</v>
      </c>
      <c r="T66" s="176">
        <f t="shared" si="7"/>
        <v>7</v>
      </c>
      <c r="U66" s="251">
        <f t="shared" si="8"/>
        <v>1.8052526731586218</v>
      </c>
      <c r="V66" s="383">
        <f t="shared" si="9"/>
        <v>26.24163602986771</v>
      </c>
      <c r="W66" s="402">
        <f t="shared" si="10"/>
        <v>17.245412414013092</v>
      </c>
      <c r="X66" s="157">
        <f t="shared" si="11"/>
        <v>45709</v>
      </c>
      <c r="Y66" s="385">
        <f t="shared" si="12"/>
        <v>16.236224018618827</v>
      </c>
      <c r="Z66" s="385">
        <f t="shared" si="22"/>
        <v>17.559207365189071</v>
      </c>
      <c r="AA66" s="386">
        <f t="shared" si="13"/>
        <v>20.926881919608309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0.16092576846165302</v>
      </c>
      <c r="AD66" s="231">
        <f>(INDEX(Models!$BJ66:$BT66,,AH66)*(1-AF66)+INDEX(Models!$BJ66:$BT66,,AH66+1)*AF66-ERP_i)*AE66*Ramure*Pc/MaxiM</f>
        <v>3.2792009836031338E-2</v>
      </c>
      <c r="AE66" s="305">
        <f t="shared" si="15"/>
        <v>0.8</v>
      </c>
      <c r="AF66" s="177">
        <f t="shared" si="23"/>
        <v>5.9694203235256538E-3</v>
      </c>
      <c r="AG66" s="809">
        <f t="shared" si="24"/>
        <v>3</v>
      </c>
      <c r="AH66" s="176">
        <f t="shared" si="16"/>
        <v>9</v>
      </c>
      <c r="AI66" s="225">
        <f t="shared" si="17"/>
        <v>3.0059694203235257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IF(t&gt;Tmaj,'2024'!Wh/'2024'!Env_an*'2025'!Env_an,0.001*'[4]mon-tableau'!$B$149)</f>
        <v>25.101184419698921</v>
      </c>
      <c r="C67" s="839"/>
      <c r="D67" s="393">
        <f t="shared" si="0"/>
        <v>27.147161391759997</v>
      </c>
      <c r="E67" s="385">
        <f t="shared" si="1"/>
        <v>30.702300038553194</v>
      </c>
      <c r="F67" s="385">
        <f t="shared" si="2"/>
        <v>31.218206328201838</v>
      </c>
      <c r="G67" s="110">
        <f t="shared" si="21"/>
        <v>0.9441416580860813</v>
      </c>
      <c r="H67" s="414" t="b">
        <f>Wh_hp&gt;='2024'!Maxi_hp</f>
        <v>0</v>
      </c>
      <c r="I67" s="390">
        <f>IF(H67,Wh_hp,'2024'!Maxi_hp)</f>
        <v>32.908275792453587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7.5366147588531801E-2</v>
      </c>
      <c r="M67" s="843"/>
      <c r="N67" s="843"/>
      <c r="O67" s="48">
        <f>IF(t&lt;Tnet,'2024'!Resal+('2024'!Salim-'2024'!Resal)*(1-EXP(('2024'!Tnet-t)/('2024'!Tau_j))),Resal+(Salim-Resal)*(1-EXP((Tnet-t)/(Tau_j))))*Salcycl</f>
        <v>0.11579388652736018</v>
      </c>
      <c r="P67" s="169">
        <f>(INDEX(Models!$BJ67:$BT67,,T67)*(1-R67)+INDEX(Models!$BJ67:$BT67,,T67+1)*R67-ERP_i)*Q67*Ramure*Pc/MaxiM</f>
        <v>1.7921558747645359E-2</v>
      </c>
      <c r="Q67" s="305">
        <f t="shared" si="4"/>
        <v>0.8</v>
      </c>
      <c r="R67" s="177">
        <f t="shared" si="5"/>
        <v>0.80553208986950486</v>
      </c>
      <c r="S67" s="809">
        <f t="shared" si="6"/>
        <v>1</v>
      </c>
      <c r="T67" s="176">
        <f t="shared" si="7"/>
        <v>7</v>
      </c>
      <c r="U67" s="251">
        <f t="shared" si="8"/>
        <v>1.8055320898695049</v>
      </c>
      <c r="V67" s="383">
        <f t="shared" si="9"/>
        <v>26.548517021299062</v>
      </c>
      <c r="W67" s="402">
        <f t="shared" si="10"/>
        <v>25.101184419698921</v>
      </c>
      <c r="X67" s="157">
        <f t="shared" si="11"/>
        <v>45710</v>
      </c>
      <c r="Y67" s="385">
        <f t="shared" si="12"/>
        <v>23.487597311219055</v>
      </c>
      <c r="Z67" s="385">
        <f t="shared" si="22"/>
        <v>25.402052120374798</v>
      </c>
      <c r="AA67" s="386">
        <f t="shared" si="13"/>
        <v>30.274949834278907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0.16095477418055887</v>
      </c>
      <c r="AD67" s="231">
        <f>(INDEX(Models!$BJ67:$BT67,,AH67)*(1-AF67)+INDEX(Models!$BJ67:$BT67,,AH67+1)*AF67-ERP_i)*AE67*Ramure*Pc/MaxiM</f>
        <v>3.2766855161720468E-2</v>
      </c>
      <c r="AE67" s="305">
        <f t="shared" si="15"/>
        <v>0.8</v>
      </c>
      <c r="AF67" s="177">
        <f t="shared" si="23"/>
        <v>6.2488370344087052E-3</v>
      </c>
      <c r="AG67" s="809">
        <f t="shared" si="24"/>
        <v>3</v>
      </c>
      <c r="AH67" s="176">
        <f t="shared" si="16"/>
        <v>9</v>
      </c>
      <c r="AI67" s="225">
        <f t="shared" si="17"/>
        <v>3.0062488370344087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IF(t&gt;Tmaj,'2024'!Wh/'2024'!Env_an*'2025'!Env_an,0.001*'[4]mon-tableau'!$B$150)</f>
        <v>25.09898518326078</v>
      </c>
      <c r="C68" s="839"/>
      <c r="D68" s="393">
        <f t="shared" si="0"/>
        <v>27.145429034353693</v>
      </c>
      <c r="E68" s="385">
        <f t="shared" si="1"/>
        <v>30.703505257265714</v>
      </c>
      <c r="F68" s="385">
        <f t="shared" si="2"/>
        <v>31.217547954301061</v>
      </c>
      <c r="G68" s="110">
        <f t="shared" si="21"/>
        <v>0.93283604131353304</v>
      </c>
      <c r="H68" s="414" t="b">
        <f>Wh_hp&gt;='2024'!Maxi_hp</f>
        <v>0</v>
      </c>
      <c r="I68" s="390">
        <f>IF(H68,Wh_hp,'2024'!Maxi_hp)</f>
        <v>33.900366462796477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7.538815645547739E-2</v>
      </c>
      <c r="M68" s="843"/>
      <c r="N68" s="843"/>
      <c r="O68" s="48">
        <f>IF(t&lt;Tnet,'2024'!Resal+('2024'!Salim-'2024'!Resal)*(1-EXP(('2024'!Tnet-t)/('2024'!Tau_j))),Resal+(Salim-Resal)*(1-EXP((Tnet-t)/(Tau_j))))*Salcycl</f>
        <v>0.11588501681155886</v>
      </c>
      <c r="P68" s="169">
        <f>(INDEX(Models!$BJ68:$BT68,,T68)*(1-R68)+INDEX(Models!$BJ68:$BT68,,T68+1)*R68-ERP_i)*Q68*Ramure*Pc/MaxiM</f>
        <v>1.8167678262653759E-2</v>
      </c>
      <c r="Q68" s="305">
        <f t="shared" si="4"/>
        <v>0.8</v>
      </c>
      <c r="R68" s="177">
        <f t="shared" si="5"/>
        <v>0.80582294930195841</v>
      </c>
      <c r="S68" s="809">
        <f t="shared" si="6"/>
        <v>1</v>
      </c>
      <c r="T68" s="176">
        <f t="shared" si="7"/>
        <v>7</v>
      </c>
      <c r="U68" s="251">
        <f t="shared" si="8"/>
        <v>1.8058229493019584</v>
      </c>
      <c r="V68" s="383">
        <f t="shared" si="9"/>
        <v>26.859566427831975</v>
      </c>
      <c r="W68" s="402">
        <f t="shared" si="10"/>
        <v>25.09898518326078</v>
      </c>
      <c r="X68" s="157">
        <f t="shared" si="11"/>
        <v>45711</v>
      </c>
      <c r="Y68" s="385">
        <f t="shared" si="12"/>
        <v>23.497706990861872</v>
      </c>
      <c r="Z68" s="385">
        <f t="shared" si="22"/>
        <v>25.413590746126314</v>
      </c>
      <c r="AA68" s="386">
        <f t="shared" si="13"/>
        <v>30.289745765054725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0.16098368922442499</v>
      </c>
      <c r="AD68" s="231">
        <f>(INDEX(Models!$BJ68:$BT68,,AH68)*(1-AF68)+INDEX(Models!$BJ68:$BT68,,AH68+1)*AF68-ERP_i)*AE68*Ramure*Pc/MaxiM</f>
        <v>3.2791073120632667E-2</v>
      </c>
      <c r="AE68" s="305">
        <f t="shared" si="15"/>
        <v>0.8</v>
      </c>
      <c r="AF68" s="177">
        <f t="shared" si="23"/>
        <v>6.5396964668620328E-3</v>
      </c>
      <c r="AG68" s="809">
        <f t="shared" si="24"/>
        <v>3</v>
      </c>
      <c r="AH68" s="176">
        <f t="shared" si="16"/>
        <v>9</v>
      </c>
      <c r="AI68" s="225">
        <f t="shared" si="17"/>
        <v>3.006539696466862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IF(t&gt;Tmaj,'2024'!Wh/'2024'!Env_an*'2025'!Env_an,0.001*'[4]mon-tableau'!$B$151)</f>
        <v>14.308558523621272</v>
      </c>
      <c r="C69" s="839"/>
      <c r="D69" s="393">
        <f t="shared" si="0"/>
        <v>15.475574118424845</v>
      </c>
      <c r="E69" s="385">
        <f t="shared" si="1"/>
        <v>17.505829984393877</v>
      </c>
      <c r="F69" s="385">
        <f t="shared" si="2"/>
        <v>17.610853225031935</v>
      </c>
      <c r="G69" s="110">
        <f t="shared" si="21"/>
        <v>0.51994335794916458</v>
      </c>
      <c r="H69" s="414" t="b">
        <f>Wh_hp&gt;='2024'!Maxi_hp</f>
        <v>0</v>
      </c>
      <c r="I69" s="390">
        <f>IF(H69,Wh_hp,'2024'!Maxi_hp)</f>
        <v>34.946187395768554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7.5410164810244568E-2</v>
      </c>
      <c r="M69" s="843"/>
      <c r="N69" s="843"/>
      <c r="O69" s="48">
        <f>IF(t&lt;Tnet,'2024'!Resal+('2024'!Salim-'2024'!Resal)*(1-EXP(('2024'!Tnet-t)/('2024'!Tau_j))),Resal+(Salim-Resal)*(1-EXP((Tnet-t)/(Tau_j))))*Salcycl</f>
        <v>0.11597598444512301</v>
      </c>
      <c r="P69" s="169">
        <f>(INDEX(Models!$BJ69:$BT69,,T69)*(1-R69)+INDEX(Models!$BJ69:$BT69,,T69+1)*R69-ERP_i)*Q69*Ramure*Pc/MaxiM</f>
        <v>1.8426730338521023E-2</v>
      </c>
      <c r="Q69" s="305">
        <f t="shared" si="4"/>
        <v>0.8</v>
      </c>
      <c r="R69" s="177">
        <f t="shared" si="5"/>
        <v>0.80612570801462025</v>
      </c>
      <c r="S69" s="809">
        <f t="shared" si="6"/>
        <v>1</v>
      </c>
      <c r="T69" s="176">
        <f t="shared" si="7"/>
        <v>7</v>
      </c>
      <c r="U69" s="251">
        <f t="shared" si="8"/>
        <v>1.8061257080146202</v>
      </c>
      <c r="V69" s="383">
        <f t="shared" si="9"/>
        <v>27.174418773139493</v>
      </c>
      <c r="W69" s="402">
        <f t="shared" si="10"/>
        <v>14.308558523621272</v>
      </c>
      <c r="X69" s="157">
        <f t="shared" si="11"/>
        <v>45712</v>
      </c>
      <c r="Y69" s="385">
        <f t="shared" si="12"/>
        <v>13.515782941372096</v>
      </c>
      <c r="Z69" s="385">
        <f t="shared" si="22"/>
        <v>14.618139229919421</v>
      </c>
      <c r="AA69" s="386">
        <f t="shared" si="13"/>
        <v>17.423548539658579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0.16101251150726445</v>
      </c>
      <c r="AD69" s="231">
        <f>(INDEX(Models!$BJ69:$BT69,,AH69)*(1-AF69)+INDEX(Models!$BJ69:$BT69,,AH69+1)*AF69-ERP_i)*AE69*Ramure*Pc/MaxiM</f>
        <v>3.2863325370152525E-2</v>
      </c>
      <c r="AE69" s="305">
        <f t="shared" si="15"/>
        <v>0.8</v>
      </c>
      <c r="AF69" s="177">
        <f t="shared" si="23"/>
        <v>6.8424551795240873E-3</v>
      </c>
      <c r="AG69" s="809">
        <f t="shared" si="24"/>
        <v>3</v>
      </c>
      <c r="AH69" s="176">
        <f t="shared" si="16"/>
        <v>9</v>
      </c>
      <c r="AI69" s="225">
        <f t="shared" si="17"/>
        <v>3.0068424551795241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IF(t&gt;Tmaj,'2024'!Wh/'2024'!Env_an*'2025'!Env_an,0.001*'[4]mon-tableau'!$B$152)</f>
        <v>25.556253548228881</v>
      </c>
      <c r="C70" s="839"/>
      <c r="D70" s="393">
        <f t="shared" si="0"/>
        <v>27.641296606174322</v>
      </c>
      <c r="E70" s="385">
        <f t="shared" si="1"/>
        <v>31.270797714972939</v>
      </c>
      <c r="F70" s="385">
        <f t="shared" si="2"/>
        <v>31.805671953093636</v>
      </c>
      <c r="G70" s="110">
        <f t="shared" si="21"/>
        <v>0.92778591789527542</v>
      </c>
      <c r="H70" s="414" t="b">
        <f>Wh_hp&gt;='2024'!Maxi_hp</f>
        <v>0</v>
      </c>
      <c r="I70" s="390">
        <f>IF(H70,Wh_hp,'2024'!Maxi_hp)</f>
        <v>34.047177423693249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7.5432172652845103E-2</v>
      </c>
      <c r="M70" s="843"/>
      <c r="N70" s="843"/>
      <c r="O70" s="48">
        <f>IF(t&lt;Tnet,'2024'!Resal+('2024'!Salim-'2024'!Resal)*(1-EXP(('2024'!Tnet-t)/('2024'!Tau_j))),Resal+(Salim-Resal)*(1-EXP((Tnet-t)/(Tau_j))))*Salcycl</f>
        <v>0.11606678991309377</v>
      </c>
      <c r="P70" s="169">
        <f>(INDEX(Models!$BJ70:$BT70,,T70)*(1-R70)+INDEX(Models!$BJ70:$BT70,,T70+1)*R70-ERP_i)*Q70*Ramure*Pc/MaxiM</f>
        <v>1.8698411912457944E-2</v>
      </c>
      <c r="Q70" s="305">
        <f t="shared" si="4"/>
        <v>0.8</v>
      </c>
      <c r="R70" s="177">
        <f t="shared" si="5"/>
        <v>0.80644083976518366</v>
      </c>
      <c r="S70" s="809">
        <f t="shared" si="6"/>
        <v>1</v>
      </c>
      <c r="T70" s="176">
        <f t="shared" si="7"/>
        <v>7</v>
      </c>
      <c r="U70" s="251">
        <f t="shared" si="8"/>
        <v>1.8064408397651837</v>
      </c>
      <c r="V70" s="383">
        <f t="shared" si="9"/>
        <v>27.492708574553273</v>
      </c>
      <c r="W70" s="402">
        <f t="shared" si="10"/>
        <v>25.556253548228881</v>
      </c>
      <c r="X70" s="157">
        <f t="shared" si="11"/>
        <v>45713</v>
      </c>
      <c r="Y70" s="385">
        <f t="shared" si="12"/>
        <v>23.939016572536058</v>
      </c>
      <c r="Z70" s="385">
        <f t="shared" si="22"/>
        <v>25.892115066586115</v>
      </c>
      <c r="AA70" s="386">
        <f t="shared" si="13"/>
        <v>30.862202471818403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0.16104124162138747</v>
      </c>
      <c r="AD70" s="231">
        <f>(INDEX(Models!$BJ70:$BT70,,AH70)*(1-AF70)+INDEX(Models!$BJ70:$BT70,,AH70+1)*AF70-ERP_i)*AE70*Ramure*Pc/MaxiM</f>
        <v>3.2982297015651703E-2</v>
      </c>
      <c r="AE70" s="305">
        <f t="shared" si="15"/>
        <v>0.8</v>
      </c>
      <c r="AF70" s="177">
        <f t="shared" si="23"/>
        <v>7.1575869300870565E-3</v>
      </c>
      <c r="AG70" s="809">
        <f t="shared" si="24"/>
        <v>3</v>
      </c>
      <c r="AH70" s="176">
        <f t="shared" si="16"/>
        <v>9</v>
      </c>
      <c r="AI70" s="225">
        <f t="shared" si="17"/>
        <v>3.0071575869300871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IF(t&gt;Tmaj,'2024'!Wh/'2024'!Env_an*'2025'!Env_an,0.001*'[4]mon-tableau'!$B$153)</f>
        <v>28.684397515227058</v>
      </c>
      <c r="C71" s="839"/>
      <c r="D71" s="393">
        <f t="shared" si="0"/>
        <v>31.02539311108308</v>
      </c>
      <c r="E71" s="385">
        <f t="shared" si="1"/>
        <v>35.102850174274764</v>
      </c>
      <c r="F71" s="385">
        <f t="shared" si="2"/>
        <v>35.782081482153082</v>
      </c>
      <c r="G71" s="110">
        <f t="shared" si="21"/>
        <v>1.0312908970846852</v>
      </c>
      <c r="H71" s="414" t="b">
        <f>Wh_hp&gt;='2024'!Maxi_hp</f>
        <v>1</v>
      </c>
      <c r="I71" s="390">
        <f>IF(H71,Wh_hp,'2024'!Maxi_hp)</f>
        <v>35.782081482153082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7.5454179983291098E-2</v>
      </c>
      <c r="M71" s="843"/>
      <c r="N71" s="843"/>
      <c r="O71" s="48">
        <f>IF(t&lt;Tnet,'2024'!Resal+('2024'!Salim-'2024'!Resal)*(1-EXP(('2024'!Tnet-t)/('2024'!Tau_j))),Resal+(Salim-Resal)*(1-EXP((Tnet-t)/(Tau_j))))*Salcycl</f>
        <v>0.11615743573380434</v>
      </c>
      <c r="P71" s="169">
        <f>(INDEX(Models!$BJ71:$BT71,,T71)*(1-R71)+INDEX(Models!$BJ71:$BT71,,T71+1)*R71-ERP_i)*Q71*Ramure*Pc/MaxiM</f>
        <v>1.8982442600973277E-2</v>
      </c>
      <c r="Q71" s="305">
        <f t="shared" si="4"/>
        <v>0.8</v>
      </c>
      <c r="R71" s="177">
        <f t="shared" si="5"/>
        <v>0.80676883607186189</v>
      </c>
      <c r="S71" s="809">
        <f t="shared" si="6"/>
        <v>1</v>
      </c>
      <c r="T71" s="176">
        <f t="shared" si="7"/>
        <v>7</v>
      </c>
      <c r="U71" s="251">
        <f t="shared" si="8"/>
        <v>1.8067688360718619</v>
      </c>
      <c r="V71" s="383">
        <f t="shared" si="9"/>
        <v>27.814070303843302</v>
      </c>
      <c r="W71" s="402">
        <f t="shared" si="10"/>
        <v>28.684397515227058</v>
      </c>
      <c r="X71" s="157">
        <f t="shared" si="11"/>
        <v>45714</v>
      </c>
      <c r="Y71" s="385">
        <f t="shared" si="12"/>
        <v>26.833690570659925</v>
      </c>
      <c r="Z71" s="385">
        <f t="shared" si="22"/>
        <v>29.023645978059768</v>
      </c>
      <c r="AA71" s="386">
        <f t="shared" si="13"/>
        <v>34.596023422138899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0.16106988297716388</v>
      </c>
      <c r="AD71" s="231">
        <f>(INDEX(Models!$BJ71:$BT71,,AH71)*(1-AF71)+INDEX(Models!$BJ71:$BT71,,AH71+1)*AF71-ERP_i)*AE71*Ramure*Pc/MaxiM</f>
        <v>3.3146703905577737E-2</v>
      </c>
      <c r="AE71" s="305">
        <f t="shared" si="15"/>
        <v>0.8</v>
      </c>
      <c r="AF71" s="177">
        <f t="shared" si="23"/>
        <v>7.485583236765514E-3</v>
      </c>
      <c r="AG71" s="809">
        <f t="shared" si="24"/>
        <v>3</v>
      </c>
      <c r="AH71" s="176">
        <f t="shared" si="16"/>
        <v>9</v>
      </c>
      <c r="AI71" s="225">
        <f t="shared" si="17"/>
        <v>3.0074855832367655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IF(t&gt;Tmaj,'2024'!Wh/'2024'!Env_an*'2025'!Env_an,0.001*'[4]mon-tableau'!$B$154)</f>
        <v>23.40641037588885</v>
      </c>
      <c r="C72" s="839"/>
      <c r="D72" s="393">
        <f t="shared" si="0"/>
        <v>25.317260671646714</v>
      </c>
      <c r="E72" s="385">
        <f t="shared" si="1"/>
        <v>28.647469615370362</v>
      </c>
      <c r="F72" s="385">
        <f t="shared" si="2"/>
        <v>29.073311234957714</v>
      </c>
      <c r="G72" s="110">
        <f t="shared" si="21"/>
        <v>0.82792948866739224</v>
      </c>
      <c r="H72" s="414" t="b">
        <f>Wh_hp&gt;='2024'!Maxi_hp</f>
        <v>0</v>
      </c>
      <c r="I72" s="390">
        <f>IF(H72,Wh_hp,'2024'!Maxi_hp)</f>
        <v>35.119765108958404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7.5476186801594319E-2</v>
      </c>
      <c r="M72" s="843"/>
      <c r="N72" s="843"/>
      <c r="O72" s="48">
        <f>IF(t&lt;Tnet,'2024'!Resal+('2024'!Salim-'2024'!Resal)*(1-EXP(('2024'!Tnet-t)/('2024'!Tau_j))),Resal+(Salim-Resal)*(1-EXP((Tnet-t)/(Tau_j))))*Salcycl</f>
        <v>0.11624792655114204</v>
      </c>
      <c r="P72" s="169">
        <f>(INDEX(Models!$BJ72:$BT72,,T72)*(1-R72)+INDEX(Models!$BJ72:$BT72,,T72+1)*R72-ERP_i)*Q72*Ramure*Pc/MaxiM</f>
        <v>1.9278413720360207E-2</v>
      </c>
      <c r="Q72" s="305">
        <f t="shared" si="4"/>
        <v>0.8</v>
      </c>
      <c r="R72" s="177">
        <f t="shared" si="5"/>
        <v>0.80711020678563417</v>
      </c>
      <c r="S72" s="809">
        <f t="shared" si="6"/>
        <v>1</v>
      </c>
      <c r="T72" s="176">
        <f t="shared" si="7"/>
        <v>7</v>
      </c>
      <c r="U72" s="251">
        <f t="shared" si="8"/>
        <v>1.8071102067856342</v>
      </c>
      <c r="V72" s="383">
        <f t="shared" si="9"/>
        <v>28.138142734865831</v>
      </c>
      <c r="W72" s="402">
        <f t="shared" si="10"/>
        <v>23.40641037588885</v>
      </c>
      <c r="X72" s="157">
        <f t="shared" si="11"/>
        <v>45715</v>
      </c>
      <c r="Y72" s="385">
        <f t="shared" si="12"/>
        <v>21.977010155045459</v>
      </c>
      <c r="Z72" s="385">
        <f t="shared" si="22"/>
        <v>23.771167212032779</v>
      </c>
      <c r="AA72" s="386">
        <f t="shared" si="13"/>
        <v>28.336062775358862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0.16109844192241599</v>
      </c>
      <c r="AD72" s="231">
        <f>(INDEX(Models!$BJ72:$BT72,,AH72)*(1-AF72)+INDEX(Models!$BJ72:$BT72,,AH72+1)*AF72-ERP_i)*AE72*Ramure*Pc/MaxiM</f>
        <v>3.3376213514821812E-2</v>
      </c>
      <c r="AE72" s="305">
        <f t="shared" si="15"/>
        <v>0.8</v>
      </c>
      <c r="AF72" s="177">
        <f t="shared" si="23"/>
        <v>7.826953950537785E-3</v>
      </c>
      <c r="AG72" s="809">
        <f t="shared" si="24"/>
        <v>3</v>
      </c>
      <c r="AH72" s="176">
        <f t="shared" si="16"/>
        <v>9</v>
      </c>
      <c r="AI72" s="225">
        <f t="shared" si="17"/>
        <v>3.0078269539505378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IF(t&gt;Tmaj,'2024'!Wh/'2024'!Env_an*'2025'!Env_an,0.001*'[4]mon-tableau'!$B$155)</f>
        <v>23.580827470689421</v>
      </c>
      <c r="C73" s="839"/>
      <c r="D73" s="393">
        <f t="shared" si="0"/>
        <v>25.506523940669997</v>
      </c>
      <c r="E73" s="385">
        <f t="shared" si="1"/>
        <v>28.864579116625308</v>
      </c>
      <c r="F73" s="385">
        <f t="shared" si="2"/>
        <v>29.297431533815182</v>
      </c>
      <c r="G73" s="110">
        <f t="shared" si="21"/>
        <v>0.82438169899350844</v>
      </c>
      <c r="H73" s="414" t="b">
        <f>Wh_hp&gt;='2024'!Maxi_hp</f>
        <v>0</v>
      </c>
      <c r="I73" s="390">
        <f>IF(H73,Wh_hp,'2024'!Maxi_hp)</f>
        <v>30.515146112920245</v>
      </c>
      <c r="J73" s="85">
        <f>IF(H73,An,'2024'!An_max)</f>
        <v>2021</v>
      </c>
      <c r="K73" s="197">
        <f t="shared" si="3"/>
        <v>45716</v>
      </c>
      <c r="L73" s="147">
        <f>IF(t&lt;Tvie,1-EXP((T0-t)*PertePVj)+'2024'!Pspv,1-EXP((T0-t)*PertePVj)+Pspv)</f>
        <v>7.5498193107766648E-2</v>
      </c>
      <c r="M73" s="843"/>
      <c r="N73" s="843"/>
      <c r="O73" s="48">
        <f>IF(t&lt;Tnet,'2024'!Resal+('2024'!Salim-'2024'!Resal)*(1-EXP(('2024'!Tnet-t)/('2024'!Tau_j))),Resal+(Salim-Resal)*(1-EXP((Tnet-t)/(Tau_j))))*Salcycl</f>
        <v>0.11633826921180188</v>
      </c>
      <c r="P73" s="169">
        <f>(INDEX(Models!$BJ73:$BT73,,T73)*(1-R73)+INDEX(Models!$BJ73:$BT73,,T73+1)*R73-ERP_i)*Q73*Ramure*Pc/MaxiM</f>
        <v>1.957188746493731E-2</v>
      </c>
      <c r="Q73" s="305">
        <f t="shared" si="4"/>
        <v>0.8</v>
      </c>
      <c r="R73" s="177">
        <f t="shared" si="5"/>
        <v>0.80746548067273927</v>
      </c>
      <c r="S73" s="809">
        <f t="shared" si="6"/>
        <v>1</v>
      </c>
      <c r="T73" s="176">
        <f t="shared" si="7"/>
        <v>7</v>
      </c>
      <c r="U73" s="251">
        <f t="shared" si="8"/>
        <v>1.8074654806727393</v>
      </c>
      <c r="V73" s="383">
        <f t="shared" si="9"/>
        <v>28.464972795118165</v>
      </c>
      <c r="W73" s="402">
        <f t="shared" si="10"/>
        <v>23.580827470689421</v>
      </c>
      <c r="X73" s="157">
        <f t="shared" si="11"/>
        <v>45716</v>
      </c>
      <c r="Y73" s="385">
        <f t="shared" si="12"/>
        <v>22.144196523498238</v>
      </c>
      <c r="Z73" s="385">
        <f t="shared" si="22"/>
        <v>23.952572464879484</v>
      </c>
      <c r="AA73" s="386">
        <f t="shared" si="13"/>
        <v>28.553273742859151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0.16112692784063853</v>
      </c>
      <c r="AD73" s="231">
        <f>(INDEX(Models!$BJ73:$BT73,,AH73)*(1-AF73)+INDEX(Models!$BJ73:$BT73,,AH73+1)*AF73-ERP_i)*AE73*Ramure*Pc/MaxiM</f>
        <v>3.364789466881709E-2</v>
      </c>
      <c r="AE73" s="305">
        <f t="shared" si="15"/>
        <v>0.8</v>
      </c>
      <c r="AF73" s="177">
        <f t="shared" si="23"/>
        <v>8.1822278376431079E-3</v>
      </c>
      <c r="AG73" s="809">
        <f t="shared" si="24"/>
        <v>3</v>
      </c>
      <c r="AH73" s="176">
        <f t="shared" si="16"/>
        <v>9</v>
      </c>
      <c r="AI73" s="225">
        <f t="shared" si="17"/>
        <v>3.0081822278376431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IF(t&gt;Tmaj,'2024'!Wh/'2024'!Env_an*'2025'!Env_an,0.001*'[5]mon-tableau'!$B$140)</f>
        <v>28.90939095979461</v>
      </c>
      <c r="C74" s="839"/>
      <c r="D74" s="393">
        <f t="shared" si="0"/>
        <v>31.270981719074282</v>
      </c>
      <c r="E74" s="385">
        <f t="shared" si="1"/>
        <v>35.391567923344198</v>
      </c>
      <c r="F74" s="385">
        <f t="shared" si="2"/>
        <v>36.108802524436257</v>
      </c>
      <c r="G74" s="110">
        <f t="shared" si="21"/>
        <v>1.0040006644989006</v>
      </c>
      <c r="H74" s="414" t="b">
        <f>Wh_hp&gt;='2024'!Maxi_hp</f>
        <v>1</v>
      </c>
      <c r="I74" s="390">
        <f>IF(H74,Wh_hp,'2024'!Maxi_hp)</f>
        <v>36.108802524436257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7.5520198901820185E-2</v>
      </c>
      <c r="M74" s="843"/>
      <c r="N74" s="843"/>
      <c r="O74" s="48">
        <f>IF(t&lt;Tnet,'2024'!Resal+('2024'!Salim-'2024'!Resal)*(1-EXP(('2024'!Tnet-t)/('2024'!Tau_j))),Resal+(Salim-Resal)*(1-EXP((Tnet-t)/(Tau_j))))*Salcycl</f>
        <v>0.11642847282705394</v>
      </c>
      <c r="P74" s="169">
        <f>(INDEX(Models!$BJ74:$BT74,,T74)*(1-R74)+INDEX(Models!$BJ74:$BT74,,T74+1)*R74-ERP_i)*Q74*Ramure*Pc/MaxiM</f>
        <v>1.9863151114099597E-2</v>
      </c>
      <c r="Q74" s="305">
        <f t="shared" si="4"/>
        <v>0.8</v>
      </c>
      <c r="R74" s="177">
        <f t="shared" si="5"/>
        <v>0.80783520600680991</v>
      </c>
      <c r="S74" s="809">
        <f t="shared" si="6"/>
        <v>1</v>
      </c>
      <c r="T74" s="176">
        <f t="shared" si="7"/>
        <v>7</v>
      </c>
      <c r="U74" s="251">
        <f t="shared" si="8"/>
        <v>1.8078352060068099</v>
      </c>
      <c r="V74" s="383">
        <f t="shared" si="9"/>
        <v>28.794195045900057</v>
      </c>
      <c r="W74" s="402">
        <f t="shared" si="10"/>
        <v>28.90939095979461</v>
      </c>
      <c r="X74" s="157">
        <f t="shared" si="11"/>
        <v>45717</v>
      </c>
      <c r="Y74" s="385">
        <f t="shared" si="12"/>
        <v>27.051220404790108</v>
      </c>
      <c r="Z74" s="385">
        <f t="shared" si="22"/>
        <v>29.261018329071383</v>
      </c>
      <c r="AA74" s="386">
        <f t="shared" si="13"/>
        <v>34.882523768440194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0.16115535322747612</v>
      </c>
      <c r="AD74" s="231">
        <f>(INDEX(Models!$BJ74:$BT74,,AH74)*(1-AF74)+INDEX(Models!$BJ74:$BT74,,AH74+1)*AF74-ERP_i)*AE74*Ramure*Pc/MaxiM</f>
        <v>3.3960659735702628E-2</v>
      </c>
      <c r="AE74" s="305">
        <f t="shared" si="15"/>
        <v>0.8</v>
      </c>
      <c r="AF74" s="177">
        <f t="shared" si="23"/>
        <v>8.5519531717133113E-3</v>
      </c>
      <c r="AG74" s="809">
        <f t="shared" si="24"/>
        <v>3</v>
      </c>
      <c r="AH74" s="176">
        <f t="shared" si="16"/>
        <v>9</v>
      </c>
      <c r="AI74" s="225">
        <f t="shared" si="17"/>
        <v>3.0085519531717133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IF(t&gt;Tmaj,'2024'!Wh/'2024'!Env_an*'2025'!Env_an,0.001*'[5]mon-tableau'!$B$141)</f>
        <v>8.3164917729240386</v>
      </c>
      <c r="C75" s="839"/>
      <c r="D75" s="393">
        <f t="shared" si="0"/>
        <v>8.9960751162048904</v>
      </c>
      <c r="E75" s="385">
        <f t="shared" si="1"/>
        <v>10.182528568286779</v>
      </c>
      <c r="F75" s="385">
        <f t="shared" si="2"/>
        <v>10.182528568286779</v>
      </c>
      <c r="G75" s="110">
        <f t="shared" si="21"/>
        <v>0.27978607576919068</v>
      </c>
      <c r="H75" s="414" t="b">
        <f>Wh_hp&gt;='2024'!Maxi_hp</f>
        <v>0</v>
      </c>
      <c r="I75" s="390">
        <f>IF(H75,Wh_hp,'2024'!Maxi_hp)</f>
        <v>24.299923659656329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7.5542204183766698E-2</v>
      </c>
      <c r="M75" s="843"/>
      <c r="N75" s="843"/>
      <c r="O75" s="48">
        <f>IF(t&lt;Tnet,'2024'!Resal+('2024'!Salim-'2024'!Resal)*(1-EXP(('2024'!Tnet-t)/('2024'!Tau_j))),Resal+(Salim-Resal)*(1-EXP((Tnet-t)/(Tau_j))))*Salcycl</f>
        <v>0.11651854881871559</v>
      </c>
      <c r="P75" s="169">
        <f>(INDEX(Models!$BJ75:$BT75,,T75)*(1-R75)+INDEX(Models!$BJ75:$BT75,,T75+1)*R75-ERP_i)*Q75*Ramure*Pc/MaxiM</f>
        <v>2.0152502344856837E-2</v>
      </c>
      <c r="Q75" s="305">
        <f t="shared" si="4"/>
        <v>0.8</v>
      </c>
      <c r="R75" s="177">
        <f t="shared" si="5"/>
        <v>0.80821995116992373</v>
      </c>
      <c r="S75" s="809">
        <f t="shared" si="6"/>
        <v>1</v>
      </c>
      <c r="T75" s="176">
        <f t="shared" si="7"/>
        <v>7</v>
      </c>
      <c r="U75" s="251">
        <f t="shared" si="8"/>
        <v>1.8082199511699237</v>
      </c>
      <c r="V75" s="383">
        <f t="shared" si="9"/>
        <v>29.125443896970864</v>
      </c>
      <c r="W75" s="402">
        <f t="shared" si="10"/>
        <v>8.3164917729240386</v>
      </c>
      <c r="X75" s="157">
        <f t="shared" si="11"/>
        <v>45718</v>
      </c>
      <c r="Y75" s="385">
        <f t="shared" si="12"/>
        <v>7.8960441874315173</v>
      </c>
      <c r="Z75" s="385">
        <f t="shared" si="22"/>
        <v>8.5412705946839331</v>
      </c>
      <c r="AA75" s="386">
        <f t="shared" si="13"/>
        <v>10.182528568286779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0.16118373374512318</v>
      </c>
      <c r="AD75" s="231">
        <f>(INDEX(Models!$BJ75:$BT75,,AH75)*(1-AF75)+INDEX(Models!$BJ75:$BT75,,AH75+1)*AF75-ERP_i)*AE75*Ramure*Pc/MaxiM</f>
        <v>3.4313475901613093E-2</v>
      </c>
      <c r="AE75" s="305">
        <f t="shared" si="15"/>
        <v>0.8</v>
      </c>
      <c r="AF75" s="177">
        <f t="shared" si="23"/>
        <v>8.9366983348271312E-3</v>
      </c>
      <c r="AG75" s="809">
        <f t="shared" si="24"/>
        <v>3</v>
      </c>
      <c r="AH75" s="176">
        <f t="shared" si="16"/>
        <v>9</v>
      </c>
      <c r="AI75" s="225">
        <f t="shared" si="17"/>
        <v>3.0089366983348271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IF(t&gt;Tmaj,'2024'!Wh/'2024'!Env_an*'2025'!Env_an,0.001*'[5]mon-tableau'!$B$142)</f>
        <v>28.141705889826753</v>
      </c>
      <c r="C76" s="839"/>
      <c r="D76" s="393">
        <f t="shared" si="0"/>
        <v>30.442034116801949</v>
      </c>
      <c r="E76" s="385">
        <f t="shared" si="1"/>
        <v>34.46041137379666</v>
      </c>
      <c r="F76" s="385">
        <f t="shared" si="2"/>
        <v>35.132679860920987</v>
      </c>
      <c r="G76" s="110">
        <f t="shared" si="21"/>
        <v>0.95403367014210771</v>
      </c>
      <c r="H76" s="414" t="b">
        <f>Wh_hp&gt;='2024'!Maxi_hp</f>
        <v>0</v>
      </c>
      <c r="I76" s="390">
        <f>IF(H76,Wh_hp,'2024'!Maxi_hp)</f>
        <v>35.179291593929499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7.5564208953618178E-2</v>
      </c>
      <c r="M76" s="843"/>
      <c r="N76" s="843"/>
      <c r="O76" s="48">
        <f>IF(t&lt;Tnet,'2024'!Resal+('2024'!Salim-'2024'!Resal)*(1-EXP(('2024'!Tnet-t)/('2024'!Tau_j))),Resal+(Salim-Resal)*(1-EXP((Tnet-t)/(Tau_j))))*Salcycl</f>
        <v>0.11660851094918276</v>
      </c>
      <c r="P76" s="169">
        <f>(INDEX(Models!$BJ76:$BT76,,T76)*(1-R76)+INDEX(Models!$BJ76:$BT76,,T76+1)*R76-ERP_i)*Q76*Ramure*Pc/MaxiM</f>
        <v>2.0440248996225641E-2</v>
      </c>
      <c r="Q76" s="305">
        <f t="shared" si="4"/>
        <v>0.8</v>
      </c>
      <c r="R76" s="177">
        <f t="shared" si="5"/>
        <v>0.8086203052617531</v>
      </c>
      <c r="S76" s="809">
        <f t="shared" si="6"/>
        <v>1</v>
      </c>
      <c r="T76" s="176">
        <f t="shared" si="7"/>
        <v>7</v>
      </c>
      <c r="U76" s="251">
        <f t="shared" si="8"/>
        <v>1.8086203052617531</v>
      </c>
      <c r="V76" s="383">
        <f t="shared" si="9"/>
        <v>29.458353575565702</v>
      </c>
      <c r="W76" s="402">
        <f t="shared" si="10"/>
        <v>28.141705889826753</v>
      </c>
      <c r="X76" s="157">
        <f t="shared" si="11"/>
        <v>45719</v>
      </c>
      <c r="Y76" s="385">
        <f t="shared" si="12"/>
        <v>26.356996293405068</v>
      </c>
      <c r="Z76" s="385">
        <f t="shared" si="22"/>
        <v>28.511440760608387</v>
      </c>
      <c r="AA76" s="386">
        <f t="shared" si="13"/>
        <v>33.991239455606816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0.16121208825453831</v>
      </c>
      <c r="AD76" s="231">
        <f>(INDEX(Models!$BJ76:$BT76,,AH76)*(1-AF76)+INDEX(Models!$BJ76:$BT76,,AH76+1)*AF76-ERP_i)*AE76*Ramure*Pc/MaxiM</f>
        <v>3.4705369277051194E-2</v>
      </c>
      <c r="AE76" s="305">
        <f t="shared" si="15"/>
        <v>0.8</v>
      </c>
      <c r="AF76" s="177">
        <f t="shared" si="23"/>
        <v>9.3370524266567223E-3</v>
      </c>
      <c r="AG76" s="809">
        <f t="shared" si="24"/>
        <v>3</v>
      </c>
      <c r="AH76" s="176">
        <f t="shared" si="16"/>
        <v>9</v>
      </c>
      <c r="AI76" s="225">
        <f t="shared" si="17"/>
        <v>3.0093370524266567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IF(t&gt;Tmaj,'2024'!Wh/'2024'!Env_an*'2025'!Env_an,0.001*'[5]mon-tableau'!$B$143)</f>
        <v>3.7550466441182899</v>
      </c>
      <c r="C77" s="839"/>
      <c r="D77" s="393">
        <f t="shared" si="0"/>
        <v>4.0620842070770191</v>
      </c>
      <c r="E77" s="385">
        <f t="shared" si="1"/>
        <v>4.5987509743572366</v>
      </c>
      <c r="F77" s="385">
        <f t="shared" si="2"/>
        <v>4.5987509743572366</v>
      </c>
      <c r="G77" s="110">
        <f t="shared" si="21"/>
        <v>0.12342736310579373</v>
      </c>
      <c r="H77" s="414" t="b">
        <f>Wh_hp&gt;='2024'!Maxi_hp</f>
        <v>0</v>
      </c>
      <c r="I77" s="390">
        <f>IF(H77,Wh_hp,'2024'!Maxi_hp)</f>
        <v>28.821969075833852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7.5586213211386505E-2</v>
      </c>
      <c r="M77" s="843"/>
      <c r="N77" s="843"/>
      <c r="O77" s="48">
        <f>IF(t&lt;Tnet,'2024'!Resal+('2024'!Salim-'2024'!Resal)*(1-EXP(('2024'!Tnet-t)/('2024'!Tau_j))),Resal+(Salim-Resal)*(1-EXP((Tnet-t)/(Tau_j))))*Salcycl</f>
        <v>0.11669837533553917</v>
      </c>
      <c r="P77" s="169">
        <f>(INDEX(Models!$BJ77:$BT77,,T77)*(1-R77)+INDEX(Models!$BJ77:$BT77,,T77+1)*R77-ERP_i)*Q77*Ramure*Pc/MaxiM</f>
        <v>2.072670891230656E-2</v>
      </c>
      <c r="Q77" s="305">
        <f t="shared" si="4"/>
        <v>0.8</v>
      </c>
      <c r="R77" s="177">
        <f t="shared" si="5"/>
        <v>0.80903687871587104</v>
      </c>
      <c r="S77" s="809">
        <f t="shared" si="6"/>
        <v>1</v>
      </c>
      <c r="T77" s="176">
        <f t="shared" si="7"/>
        <v>7</v>
      </c>
      <c r="U77" s="251">
        <f t="shared" si="8"/>
        <v>1.809036878715871</v>
      </c>
      <c r="V77" s="383">
        <f t="shared" si="9"/>
        <v>29.792558091204221</v>
      </c>
      <c r="W77" s="402">
        <f t="shared" si="10"/>
        <v>3.7550466441182899</v>
      </c>
      <c r="X77" s="157">
        <f t="shared" si="11"/>
        <v>45720</v>
      </c>
      <c r="Y77" s="385">
        <f t="shared" si="12"/>
        <v>3.5656917042426084</v>
      </c>
      <c r="Z77" s="385">
        <f t="shared" si="22"/>
        <v>3.857246349202252</v>
      </c>
      <c r="AA77" s="386">
        <f t="shared" si="13"/>
        <v>4.5987509743572366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0.16124043882559311</v>
      </c>
      <c r="AD77" s="231">
        <f>(INDEX(Models!$BJ77:$BT77,,AH77)*(1-AF77)+INDEX(Models!$BJ77:$BT77,,AH77+1)*AF77-ERP_i)*AE77*Ramure*Pc/MaxiM</f>
        <v>3.5135428563654349E-2</v>
      </c>
      <c r="AE77" s="305">
        <f t="shared" si="15"/>
        <v>0.8</v>
      </c>
      <c r="AF77" s="177">
        <f t="shared" si="23"/>
        <v>9.7536258807746634E-3</v>
      </c>
      <c r="AG77" s="809">
        <f t="shared" si="24"/>
        <v>3</v>
      </c>
      <c r="AH77" s="176">
        <f t="shared" si="16"/>
        <v>9</v>
      </c>
      <c r="AI77" s="225">
        <f t="shared" si="17"/>
        <v>3.0097536258807747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IF(t&gt;Tmaj,'2024'!Wh/'2024'!Env_an*'2025'!Env_an,0.001*'[5]mon-tableau'!$B$144)</f>
        <v>12.051194091392414</v>
      </c>
      <c r="C78" s="839"/>
      <c r="D78" s="393">
        <f t="shared" si="0"/>
        <v>13.036890107052063</v>
      </c>
      <c r="E78" s="385">
        <f t="shared" si="1"/>
        <v>14.760773716149096</v>
      </c>
      <c r="F78" s="385">
        <f t="shared" si="2"/>
        <v>14.805216925955897</v>
      </c>
      <c r="G78" s="110">
        <f t="shared" si="21"/>
        <v>0.39277800279292224</v>
      </c>
      <c r="H78" s="414" t="b">
        <f>Wh_hp&gt;='2024'!Maxi_hp</f>
        <v>0</v>
      </c>
      <c r="I78" s="390">
        <f>IF(H78,Wh_hp,'2024'!Maxi_hp)</f>
        <v>37.277702445333496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7.5608216957083557E-2</v>
      </c>
      <c r="M78" s="843"/>
      <c r="N78" s="843"/>
      <c r="O78" s="48">
        <f>IF(t&lt;Tnet,'2024'!Resal+('2024'!Salim-'2024'!Resal)*(1-EXP(('2024'!Tnet-t)/('2024'!Tau_j))),Resal+(Salim-Resal)*(1-EXP((Tnet-t)/(Tau_j))))*Salcycl</f>
        <v>0.11678816044791804</v>
      </c>
      <c r="P78" s="169">
        <f>(INDEX(Models!$BJ78:$BT78,,T78)*(1-R78)+INDEX(Models!$BJ78:$BT78,,T78+1)*R78-ERP_i)*Q78*Ramure*Pc/MaxiM</f>
        <v>2.1012209847211832E-2</v>
      </c>
      <c r="Q78" s="305">
        <f t="shared" si="4"/>
        <v>0.8</v>
      </c>
      <c r="R78" s="177">
        <f t="shared" si="5"/>
        <v>0.80947030392214581</v>
      </c>
      <c r="S78" s="809">
        <f t="shared" si="6"/>
        <v>1</v>
      </c>
      <c r="T78" s="176">
        <f t="shared" si="7"/>
        <v>7</v>
      </c>
      <c r="U78" s="251">
        <f t="shared" si="8"/>
        <v>1.8094703039221458</v>
      </c>
      <c r="V78" s="383">
        <f t="shared" si="9"/>
        <v>30.127691211277135</v>
      </c>
      <c r="W78" s="402">
        <f t="shared" si="10"/>
        <v>12.051194091392414</v>
      </c>
      <c r="X78" s="157">
        <f t="shared" si="11"/>
        <v>45721</v>
      </c>
      <c r="Y78" s="385">
        <f t="shared" si="12"/>
        <v>11.420340417692746</v>
      </c>
      <c r="Z78" s="385">
        <f t="shared" si="22"/>
        <v>12.354437401097643</v>
      </c>
      <c r="AA78" s="386">
        <f t="shared" si="13"/>
        <v>14.729912943602354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0.16126881072548718</v>
      </c>
      <c r="AD78" s="231">
        <f>(INDEX(Models!$BJ78:$BT78,,AH78)*(1-AF78)+INDEX(Models!$BJ78:$BT78,,AH78+1)*AF78-ERP_i)*AE78*Ramure*Pc/MaxiM</f>
        <v>3.5602808312491782E-2</v>
      </c>
      <c r="AE78" s="305">
        <f t="shared" si="15"/>
        <v>0.8</v>
      </c>
      <c r="AF78" s="177">
        <f t="shared" si="23"/>
        <v>1.0187051087049426E-2</v>
      </c>
      <c r="AG78" s="809">
        <f t="shared" si="24"/>
        <v>3</v>
      </c>
      <c r="AH78" s="176">
        <f t="shared" si="16"/>
        <v>9</v>
      </c>
      <c r="AI78" s="225">
        <f t="shared" si="17"/>
        <v>3.0101870510870494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IF(t&gt;Tmaj,'2024'!Wh/'2024'!Env_an*'2025'!Env_an,0.001*'[5]mon-tableau'!$B$145)</f>
        <v>13.892389961788018</v>
      </c>
      <c r="C79" s="839"/>
      <c r="D79" s="393">
        <f t="shared" ref="D79:D142" si="25">Wh/(1-Ppv)</f>
        <v>15.029039530754</v>
      </c>
      <c r="E79" s="385">
        <f t="shared" si="1"/>
        <v>17.018076335188749</v>
      </c>
      <c r="F79" s="385">
        <f t="shared" ref="F79:F142" si="26">Wh_sa/(1-Pvg*MEDIAN((-Sdif+Wh/Env_an)/Csdif,0,1))</f>
        <v>17.099225604471886</v>
      </c>
      <c r="G79" s="110">
        <f t="shared" si="21"/>
        <v>0.44841595887863717</v>
      </c>
      <c r="H79" s="414" t="b">
        <f>Wh_hp&gt;='2024'!Maxi_hp</f>
        <v>0</v>
      </c>
      <c r="I79" s="390">
        <f>IF(H79,Wh_hp,'2024'!Maxi_hp)</f>
        <v>22.684826096802258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7.5630220190721437E-2</v>
      </c>
      <c r="M79" s="843"/>
      <c r="N79" s="843"/>
      <c r="O79" s="48">
        <f>IF(t&lt;Tnet,'2024'!Resal+('2024'!Salim-'2024'!Resal)*(1-EXP(('2024'!Tnet-t)/('2024'!Tau_j))),Resal+(Salim-Resal)*(1-EXP((Tnet-t)/(Tau_j))))*Salcycl</f>
        <v>0.11687788709244191</v>
      </c>
      <c r="P79" s="169">
        <f>(INDEX(Models!$BJ79:$BT79,,T79)*(1-R79)+INDEX(Models!$BJ79:$BT79,,T79+1)*R79-ERP_i)*Q79*Ramure*Pc/MaxiM</f>
        <v>2.1295393742531338E-2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0.80992123585402376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1.8099212358540238</v>
      </c>
      <c r="V79" s="383">
        <f t="shared" ref="V79:V142" si="33">MaxiM*(1-Ppv)*(1-Pvg)*(1-Psa)</f>
        <v>30.465864932291606</v>
      </c>
      <c r="W79" s="402">
        <f t="shared" ref="W79:W142" si="34">Wh*(A79&gt;Tmaj)</f>
        <v>13.892389961788018</v>
      </c>
      <c r="X79" s="157">
        <f t="shared" ref="X79:X142" si="35">t</f>
        <v>45722</v>
      </c>
      <c r="Y79" s="385">
        <f t="shared" ref="Y79:Y142" si="36">Wh_pvt_s*(1-Ppv)</f>
        <v>13.149880984421078</v>
      </c>
      <c r="Z79" s="385">
        <f t="shared" ref="Z79:Z142" si="37">Wh_sa_s*(1-Psa_s)</f>
        <v>14.225779846604503</v>
      </c>
      <c r="AA79" s="386">
        <f t="shared" ref="AA79:AA142" si="38">Wh_hp*(1-Pvg_s*MEDIAN((-Sdif+Wh/Env_an)/Csdif,0,1))</f>
        <v>16.961646480641154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0.16129723238597024</v>
      </c>
      <c r="AD79" s="231">
        <f>(INDEX(Models!$BJ79:$BT79,,AH79)*(1-AF79)+INDEX(Models!$BJ79:$BT79,,AH79+1)*AF79-ERP_i)*AE79*Ramure*Pc/MaxiM</f>
        <v>3.6103856986137453E-2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1.0637983018927155E-2</v>
      </c>
      <c r="AG79" s="809">
        <f t="shared" si="24"/>
        <v>3</v>
      </c>
      <c r="AH79" s="176">
        <f t="shared" ref="AH79:AH142" si="42">MIN(MATCH(Hp_vg_s,Echel_vg),10)</f>
        <v>9</v>
      </c>
      <c r="AI79" s="225">
        <f t="shared" ref="AI79:AI142" si="43">IF(OR(t&lt;Ttai,Notai),Hdd_s+PousH*Croivg,Hdtai_s+PousH*(Croivg-Croi_tai))</f>
        <v>3.0106379830189272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IF(t&gt;Tmaj,'2024'!Wh/'2024'!Env_an*'2025'!Env_an,0.001*'[5]mon-tableau'!$B$146)</f>
        <v>29.553815428634575</v>
      </c>
      <c r="C80" s="839"/>
      <c r="D80" s="393">
        <f t="shared" si="25"/>
        <v>31.972614811439044</v>
      </c>
      <c r="E80" s="385">
        <f t="shared" ref="E80:E143" si="47">Wh_pvt/(1-Psa)</f>
        <v>36.207747335883568</v>
      </c>
      <c r="F80" s="385">
        <f t="shared" si="26"/>
        <v>36.95835210914538</v>
      </c>
      <c r="G80" s="110">
        <f t="shared" ref="G80:G143" si="48">+Wh_hp/MaxiM</f>
        <v>0.95802158125494785</v>
      </c>
      <c r="H80" s="414" t="b">
        <f>Wh_hp&gt;='2024'!Maxi_hp</f>
        <v>0</v>
      </c>
      <c r="I80" s="390">
        <f>IF(H80,Wh_hp,'2024'!Maxi_hp)</f>
        <v>37.005534165316867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7.5652222912311801E-2</v>
      </c>
      <c r="M80" s="843"/>
      <c r="N80" s="843"/>
      <c r="O80" s="48">
        <f>IF(t&lt;Tnet,'2024'!Resal+('2024'!Salim-'2024'!Resal)*(1-EXP(('2024'!Tnet-t)/('2024'!Tau_j))),Resal+(Salim-Resal)*(1-EXP((Tnet-t)/(Tau_j))))*Salcycl</f>
        <v>0.11696757837920811</v>
      </c>
      <c r="P80" s="169">
        <f>(INDEX(Models!$BJ80:$BT80,,T80)*(1-R80)+INDEX(Models!$BJ80:$BT80,,T80+1)*R80-ERP_i)*Q80*Ramure*Pc/MaxiM</f>
        <v>2.1564834604268373E-2</v>
      </c>
      <c r="Q80" s="305">
        <f t="shared" si="28"/>
        <v>0.8</v>
      </c>
      <c r="R80" s="177">
        <f t="shared" si="29"/>
        <v>0.81039035269934634</v>
      </c>
      <c r="S80" s="809">
        <f t="shared" si="30"/>
        <v>1</v>
      </c>
      <c r="T80" s="176">
        <f t="shared" si="31"/>
        <v>7</v>
      </c>
      <c r="U80" s="251">
        <f t="shared" si="32"/>
        <v>1.8103903526993463</v>
      </c>
      <c r="V80" s="383">
        <f t="shared" si="33"/>
        <v>30.809270126548213</v>
      </c>
      <c r="W80" s="402">
        <f t="shared" si="34"/>
        <v>29.553815428634575</v>
      </c>
      <c r="X80" s="157">
        <f t="shared" si="35"/>
        <v>45723</v>
      </c>
      <c r="Y80" s="385">
        <f t="shared" si="36"/>
        <v>27.662522017390788</v>
      </c>
      <c r="Z80" s="385">
        <f t="shared" si="37"/>
        <v>29.926530579806418</v>
      </c>
      <c r="AA80" s="386">
        <f t="shared" si="38"/>
        <v>35.683139260627193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0.16132573535010195</v>
      </c>
      <c r="AD80" s="231">
        <f>(INDEX(Models!$BJ80:$BT80,,AH80)*(1-AF80)+INDEX(Models!$BJ80:$BT80,,AH80+1)*AF80-ERP_i)*AE80*Ramure*Pc/MaxiM</f>
        <v>3.6636796278326451E-2</v>
      </c>
      <c r="AE80" s="305">
        <f t="shared" si="40"/>
        <v>0.8</v>
      </c>
      <c r="AF80" s="177">
        <f t="shared" si="41"/>
        <v>1.1107099864249736E-2</v>
      </c>
      <c r="AG80" s="809">
        <f t="shared" ref="AG80:AG143" si="49">INDEX(Echel_vg,AH80)</f>
        <v>3</v>
      </c>
      <c r="AH80" s="176">
        <f t="shared" si="42"/>
        <v>9</v>
      </c>
      <c r="AI80" s="225">
        <f t="shared" si="43"/>
        <v>3.0111070998642497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IF(t&gt;Tmaj,'2024'!Wh/'2024'!Env_an*'2025'!Env_an,0.001*'[5]mon-tableau'!$B$147)</f>
        <v>22.857776815387552</v>
      </c>
      <c r="C81" s="839"/>
      <c r="D81" s="393">
        <f t="shared" si="25"/>
        <v>24.729134939898447</v>
      </c>
      <c r="E81" s="385">
        <f t="shared" si="47"/>
        <v>28.007631537716378</v>
      </c>
      <c r="F81" s="385">
        <f t="shared" si="26"/>
        <v>28.391314997362834</v>
      </c>
      <c r="G81" s="110">
        <f t="shared" si="48"/>
        <v>0.72745001660273945</v>
      </c>
      <c r="H81" s="414" t="b">
        <f>Wh_hp&gt;='2024'!Maxi_hp</f>
        <v>0</v>
      </c>
      <c r="I81" s="390">
        <f>IF(H81,Wh_hp,'2024'!Maxi_hp)</f>
        <v>28.631009499082833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7.5674225121866751E-2</v>
      </c>
      <c r="M81" s="843"/>
      <c r="N81" s="843"/>
      <c r="O81" s="48">
        <f>IF(t&lt;Tnet,'2024'!Resal+('2024'!Salim-'2024'!Resal)*(1-EXP(('2024'!Tnet-t)/('2024'!Tau_j))),Resal+(Salim-Resal)*(1-EXP((Tnet-t)/(Tau_j))))*Salcycl</f>
        <v>0.11705725967591922</v>
      </c>
      <c r="P81" s="169">
        <f>(INDEX(Models!$BJ81:$BT81,,T81)*(1-R81)+INDEX(Models!$BJ81:$BT81,,T81+1)*R81-ERP_i)*Q81*Ramure*Pc/MaxiM</f>
        <v>2.1815867343647419E-2</v>
      </c>
      <c r="Q81" s="305">
        <f t="shared" si="28"/>
        <v>0.8</v>
      </c>
      <c r="R81" s="177">
        <f t="shared" si="29"/>
        <v>0.8108783564931985</v>
      </c>
      <c r="S81" s="809">
        <f t="shared" si="30"/>
        <v>1</v>
      </c>
      <c r="T81" s="176">
        <f t="shared" si="31"/>
        <v>7</v>
      </c>
      <c r="U81" s="251">
        <f t="shared" si="32"/>
        <v>1.8108783564931985</v>
      </c>
      <c r="V81" s="383">
        <f t="shared" si="33"/>
        <v>31.157353911102007</v>
      </c>
      <c r="W81" s="402">
        <f t="shared" si="34"/>
        <v>22.857776815387552</v>
      </c>
      <c r="X81" s="157">
        <f t="shared" si="35"/>
        <v>45724</v>
      </c>
      <c r="Y81" s="385">
        <f t="shared" si="36"/>
        <v>21.501625285285805</v>
      </c>
      <c r="Z81" s="385">
        <f t="shared" si="37"/>
        <v>23.261955762426577</v>
      </c>
      <c r="AA81" s="386">
        <f t="shared" si="38"/>
        <v>27.737526425981233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0.16135435419945995</v>
      </c>
      <c r="AD81" s="231">
        <f>(INDEX(Models!$BJ81:$BT81,,AH81)*(1-AF81)+INDEX(Models!$BJ81:$BT81,,AH81+1)*AF81-ERP_i)*AE81*Ramure*Pc/MaxiM</f>
        <v>3.7173780587769718E-2</v>
      </c>
      <c r="AE81" s="305">
        <f t="shared" si="40"/>
        <v>0.8</v>
      </c>
      <c r="AF81" s="177">
        <f t="shared" si="41"/>
        <v>1.1595103658101902E-2</v>
      </c>
      <c r="AG81" s="809">
        <f t="shared" si="49"/>
        <v>3</v>
      </c>
      <c r="AH81" s="176">
        <f t="shared" si="42"/>
        <v>9</v>
      </c>
      <c r="AI81" s="225">
        <f t="shared" si="43"/>
        <v>3.0115951036581019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IF(t&gt;Tmaj,'2024'!Wh/'2024'!Env_an*'2025'!Env_an,0.001*'[5]mon-tableau'!$B$148)</f>
        <v>23.85112368093186</v>
      </c>
      <c r="C82" s="839"/>
      <c r="D82" s="393">
        <f t="shared" si="25"/>
        <v>25.804420984735643</v>
      </c>
      <c r="E82" s="385">
        <f t="shared" si="47"/>
        <v>29.22844434255153</v>
      </c>
      <c r="F82" s="385">
        <f t="shared" si="26"/>
        <v>29.655295880424415</v>
      </c>
      <c r="G82" s="110">
        <f t="shared" si="48"/>
        <v>0.75107325656604451</v>
      </c>
      <c r="H82" s="414" t="b">
        <f>Wh_hp&gt;='2024'!Maxi_hp</f>
        <v>0</v>
      </c>
      <c r="I82" s="390">
        <f>IF(H82,Wh_hp,'2024'!Maxi_hp)</f>
        <v>38.36219098507231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7.5696226819398055E-2</v>
      </c>
      <c r="M82" s="843"/>
      <c r="N82" s="843"/>
      <c r="O82" s="48">
        <f>IF(t&lt;Tnet,'2024'!Resal+('2024'!Salim-'2024'!Resal)*(1-EXP(('2024'!Tnet-t)/('2024'!Tau_j))),Resal+(Salim-Resal)*(1-EXP((Tnet-t)/(Tau_j))))*Salcycl</f>
        <v>0.11714695854787953</v>
      </c>
      <c r="P82" s="169">
        <f>(INDEX(Models!$BJ82:$BT82,,T82)*(1-R82)+INDEX(Models!$BJ82:$BT82,,T82+1)*R82-ERP_i)*Q82*Ramure*Pc/MaxiM</f>
        <v>2.2049619061362689E-2</v>
      </c>
      <c r="Q82" s="305">
        <f t="shared" si="28"/>
        <v>0.8</v>
      </c>
      <c r="R82" s="177">
        <f t="shared" si="29"/>
        <v>0.81138597375110266</v>
      </c>
      <c r="S82" s="809">
        <f t="shared" si="30"/>
        <v>1</v>
      </c>
      <c r="T82" s="176">
        <f t="shared" si="31"/>
        <v>7</v>
      </c>
      <c r="U82" s="251">
        <f t="shared" si="32"/>
        <v>1.8113859737511027</v>
      </c>
      <c r="V82" s="383">
        <f t="shared" si="33"/>
        <v>31.509385003874005</v>
      </c>
      <c r="W82" s="402">
        <f t="shared" si="34"/>
        <v>23.85112368093186</v>
      </c>
      <c r="X82" s="157">
        <f t="shared" si="35"/>
        <v>45725</v>
      </c>
      <c r="Y82" s="385">
        <f t="shared" si="36"/>
        <v>22.420964395224395</v>
      </c>
      <c r="Z82" s="385">
        <f t="shared" si="37"/>
        <v>24.257138232890789</v>
      </c>
      <c r="AA82" s="386">
        <f t="shared" si="38"/>
        <v>28.925173101488681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0.1613831264628679</v>
      </c>
      <c r="AD82" s="231">
        <f>(INDEX(Models!$BJ82:$BT82,,AH82)*(1-AF82)+INDEX(Models!$BJ82:$BT82,,AH82+1)*AF82-ERP_i)*AE82*Ramure*Pc/MaxiM</f>
        <v>3.7715523349831782E-2</v>
      </c>
      <c r="AE82" s="305">
        <f t="shared" si="40"/>
        <v>0.8</v>
      </c>
      <c r="AF82" s="177">
        <f t="shared" si="41"/>
        <v>1.2102720916006504E-2</v>
      </c>
      <c r="AG82" s="809">
        <f t="shared" si="49"/>
        <v>3</v>
      </c>
      <c r="AH82" s="176">
        <f t="shared" si="42"/>
        <v>9</v>
      </c>
      <c r="AI82" s="225">
        <f t="shared" si="43"/>
        <v>3.0121027209160065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IF(t&gt;Tmaj,'2024'!Wh/'2024'!Env_an*'2025'!Env_an,0.001*'[5]mon-tableau'!$B$149)</f>
        <v>18.914840704954408</v>
      </c>
      <c r="C83" s="839"/>
      <c r="D83" s="393">
        <f t="shared" si="25"/>
        <v>20.464366255028825</v>
      </c>
      <c r="E83" s="385">
        <f t="shared" si="47"/>
        <v>23.18216713771583</v>
      </c>
      <c r="F83" s="385">
        <f t="shared" si="26"/>
        <v>23.400718132854845</v>
      </c>
      <c r="G83" s="110">
        <f t="shared" si="48"/>
        <v>0.58585361458054064</v>
      </c>
      <c r="H83" s="414" t="b">
        <f>Wh_hp&gt;='2024'!Maxi_hp</f>
        <v>0</v>
      </c>
      <c r="I83" s="390">
        <f>IF(H83,Wh_hp,'2024'!Maxi_hp)</f>
        <v>38.414933458593104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7.5718228004917815E-2</v>
      </c>
      <c r="M83" s="843"/>
      <c r="N83" s="843"/>
      <c r="O83" s="48">
        <f>IF(t&lt;Tnet,'2024'!Resal+('2024'!Salim-'2024'!Resal)*(1-EXP(('2024'!Tnet-t)/('2024'!Tau_j))),Resal+(Salim-Resal)*(1-EXP((Tnet-t)/(Tau_j))))*Salcycl</f>
        <v>0.1172367046851857</v>
      </c>
      <c r="P83" s="169">
        <f>(INDEX(Models!$BJ83:$BT83,,T83)*(1-R83)+INDEX(Models!$BJ83:$BT83,,T83+1)*R83-ERP_i)*Q83*Ramure*Pc/MaxiM</f>
        <v>2.2267210601690426E-2</v>
      </c>
      <c r="Q83" s="305">
        <f t="shared" si="28"/>
        <v>0.8</v>
      </c>
      <c r="R83" s="177">
        <f t="shared" si="29"/>
        <v>0.81191395610070694</v>
      </c>
      <c r="S83" s="809">
        <f t="shared" si="30"/>
        <v>1</v>
      </c>
      <c r="T83" s="176">
        <f t="shared" si="31"/>
        <v>7</v>
      </c>
      <c r="U83" s="251">
        <f t="shared" si="32"/>
        <v>1.8119139561007069</v>
      </c>
      <c r="V83" s="383">
        <f t="shared" si="33"/>
        <v>31.864631995496989</v>
      </c>
      <c r="W83" s="402">
        <f t="shared" si="34"/>
        <v>18.914840704954408</v>
      </c>
      <c r="X83" s="157">
        <f t="shared" si="35"/>
        <v>45726</v>
      </c>
      <c r="Y83" s="385">
        <f t="shared" si="36"/>
        <v>17.846615385226897</v>
      </c>
      <c r="Z83" s="385">
        <f t="shared" si="37"/>
        <v>19.30863068596992</v>
      </c>
      <c r="AA83" s="386">
        <f t="shared" si="38"/>
        <v>23.025171855522917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0.16141209250785815</v>
      </c>
      <c r="AD83" s="231">
        <f>(INDEX(Models!$BJ83:$BT83,,AH83)*(1-AF83)+INDEX(Models!$BJ83:$BT83,,AH83+1)*AF83-ERP_i)*AE83*Ramure*Pc/MaxiM</f>
        <v>3.8262777264921069E-2</v>
      </c>
      <c r="AE83" s="305">
        <f t="shared" si="40"/>
        <v>0.8</v>
      </c>
      <c r="AF83" s="177">
        <f t="shared" si="41"/>
        <v>1.2630703265610332E-2</v>
      </c>
      <c r="AG83" s="809">
        <f t="shared" si="49"/>
        <v>3</v>
      </c>
      <c r="AH83" s="176">
        <f t="shared" si="42"/>
        <v>9</v>
      </c>
      <c r="AI83" s="225">
        <f t="shared" si="43"/>
        <v>3.0126307032656103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IF(t&gt;Tmaj,'2024'!Wh/'2024'!Env_an*'2025'!Env_an,0.001*'[5]mon-tableau'!$B$150)</f>
        <v>12.333172328335413</v>
      </c>
      <c r="C84" s="839"/>
      <c r="D84" s="393">
        <f t="shared" si="25"/>
        <v>13.34383764285305</v>
      </c>
      <c r="E84" s="385">
        <f t="shared" si="47"/>
        <v>15.11752430953001</v>
      </c>
      <c r="F84" s="385">
        <f t="shared" si="26"/>
        <v>15.157788066627427</v>
      </c>
      <c r="G84" s="110">
        <f t="shared" si="48"/>
        <v>0.37514811524554237</v>
      </c>
      <c r="H84" s="414" t="b">
        <f>Wh_hp&gt;='2024'!Maxi_hp</f>
        <v>0</v>
      </c>
      <c r="I84" s="390">
        <f>IF(H84,Wh_hp,'2024'!Maxi_hp)</f>
        <v>32.677588662609999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7.5740228678437799E-2</v>
      </c>
      <c r="M84" s="843"/>
      <c r="N84" s="843"/>
      <c r="O84" s="48">
        <f>IF(t&lt;Tnet,'2024'!Resal+('2024'!Salim-'2024'!Resal)*(1-EXP(('2024'!Tnet-t)/('2024'!Tau_j))),Resal+(Salim-Resal)*(1-EXP((Tnet-t)/(Tau_j))))*Salcycl</f>
        <v>0.1173265298180363</v>
      </c>
      <c r="P84" s="169">
        <f>(INDEX(Models!$BJ84:$BT84,,T84)*(1-R84)+INDEX(Models!$BJ84:$BT84,,T84+1)*R84-ERP_i)*Q84*Ramure*Pc/MaxiM</f>
        <v>2.2469752191279196E-2</v>
      </c>
      <c r="Q84" s="305">
        <f t="shared" si="28"/>
        <v>0.8</v>
      </c>
      <c r="R84" s="177">
        <f t="shared" si="29"/>
        <v>0.81246308090990471</v>
      </c>
      <c r="S84" s="809">
        <f t="shared" si="30"/>
        <v>1</v>
      </c>
      <c r="T84" s="176">
        <f t="shared" si="31"/>
        <v>7</v>
      </c>
      <c r="U84" s="251">
        <f t="shared" si="32"/>
        <v>1.8124630809099047</v>
      </c>
      <c r="V84" s="383">
        <f t="shared" si="33"/>
        <v>32.222363346576806</v>
      </c>
      <c r="W84" s="402">
        <f t="shared" si="34"/>
        <v>12.333172328335413</v>
      </c>
      <c r="X84" s="157">
        <f t="shared" si="35"/>
        <v>45727</v>
      </c>
      <c r="Y84" s="385">
        <f t="shared" si="36"/>
        <v>11.694075569958228</v>
      </c>
      <c r="Z84" s="385">
        <f t="shared" si="37"/>
        <v>12.652368882438035</v>
      </c>
      <c r="AA84" s="386">
        <f t="shared" si="38"/>
        <v>15.088232717968031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0.16144129541620966</v>
      </c>
      <c r="AD84" s="231">
        <f>(INDEX(Models!$BJ84:$BT84,,AH84)*(1-AF84)+INDEX(Models!$BJ84:$BT84,,AH84+1)*AF84-ERP_i)*AE84*Ramure*Pc/MaxiM</f>
        <v>3.8816334108446197E-2</v>
      </c>
      <c r="AE84" s="305">
        <f t="shared" si="40"/>
        <v>0.8</v>
      </c>
      <c r="AF84" s="177">
        <f t="shared" si="41"/>
        <v>1.3179828074808331E-2</v>
      </c>
      <c r="AG84" s="809">
        <f t="shared" si="49"/>
        <v>3</v>
      </c>
      <c r="AH84" s="176">
        <f t="shared" si="42"/>
        <v>9</v>
      </c>
      <c r="AI84" s="225">
        <f t="shared" si="43"/>
        <v>3.0131798280748083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IF(t&gt;Tmaj,'2024'!Wh/'2024'!Env_an*'2025'!Env_an,0.001*'[5]mon-tableau'!$B$151)</f>
        <v>12.944087638515347</v>
      </c>
      <c r="C85" s="839"/>
      <c r="D85" s="393">
        <f t="shared" si="25"/>
        <v>14.00514893723609</v>
      </c>
      <c r="E85" s="385">
        <f t="shared" si="47"/>
        <v>15.868355145362703</v>
      </c>
      <c r="F85" s="385">
        <f t="shared" si="26"/>
        <v>15.918479785339871</v>
      </c>
      <c r="G85" s="110">
        <f t="shared" si="48"/>
        <v>0.38950391707801463</v>
      </c>
      <c r="H85" s="414" t="b">
        <f>Wh_hp&gt;='2024'!Maxi_hp</f>
        <v>0</v>
      </c>
      <c r="I85" s="390">
        <f>IF(H85,Wh_hp,'2024'!Maxi_hp)</f>
        <v>39.534128612030948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7.5762228839969997E-2</v>
      </c>
      <c r="M85" s="843"/>
      <c r="N85" s="843"/>
      <c r="O85" s="48">
        <f>IF(t&lt;Tnet,'2024'!Resal+('2024'!Salim-'2024'!Resal)*(1-EXP(('2024'!Tnet-t)/('2024'!Tau_j))),Resal+(Salim-Resal)*(1-EXP((Tnet-t)/(Tau_j))))*Salcycl</f>
        <v>0.11741646762116408</v>
      </c>
      <c r="P85" s="169">
        <f>(INDEX(Models!$BJ85:$BT85,,T85)*(1-R85)+INDEX(Models!$BJ85:$BT85,,T85+1)*R85-ERP_i)*Q85*Ramure*Pc/MaxiM</f>
        <v>2.2658339790721356E-2</v>
      </c>
      <c r="Q85" s="305">
        <f t="shared" si="28"/>
        <v>0.8</v>
      </c>
      <c r="R85" s="177">
        <f t="shared" si="29"/>
        <v>0.81303415190913086</v>
      </c>
      <c r="S85" s="809">
        <f t="shared" si="30"/>
        <v>1</v>
      </c>
      <c r="T85" s="176">
        <f t="shared" si="31"/>
        <v>7</v>
      </c>
      <c r="U85" s="251">
        <f t="shared" si="32"/>
        <v>1.8130341519091309</v>
      </c>
      <c r="V85" s="383">
        <f t="shared" si="33"/>
        <v>32.58184738457642</v>
      </c>
      <c r="W85" s="402">
        <f t="shared" si="34"/>
        <v>12.944087638515347</v>
      </c>
      <c r="X85" s="157">
        <f t="shared" si="35"/>
        <v>45728</v>
      </c>
      <c r="Y85" s="385">
        <f t="shared" si="36"/>
        <v>12.269317845696106</v>
      </c>
      <c r="Z85" s="385">
        <f t="shared" si="37"/>
        <v>13.275066469417961</v>
      </c>
      <c r="AA85" s="386">
        <f t="shared" si="38"/>
        <v>15.831370173117573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0.16147078084500477</v>
      </c>
      <c r="AD85" s="231">
        <f>(INDEX(Models!$BJ85:$BT85,,AH85)*(1-AF85)+INDEX(Models!$BJ85:$BT85,,AH85+1)*AF85-ERP_i)*AE85*Ramure*Pc/MaxiM</f>
        <v>3.9377024825911558E-2</v>
      </c>
      <c r="AE85" s="305">
        <f t="shared" si="40"/>
        <v>0.8</v>
      </c>
      <c r="AF85" s="177">
        <f t="shared" si="41"/>
        <v>1.3750899074034706E-2</v>
      </c>
      <c r="AG85" s="809">
        <f t="shared" si="49"/>
        <v>3</v>
      </c>
      <c r="AH85" s="176">
        <f t="shared" si="42"/>
        <v>9</v>
      </c>
      <c r="AI85" s="225">
        <f t="shared" si="43"/>
        <v>3.0137508990740347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IF(t&gt;Tmaj,'2024'!Wh/'2024'!Env_an*'2025'!Env_an,0.001*'[5]mon-tableau'!$B$152)</f>
        <v>9.3266871287101036</v>
      </c>
      <c r="C86" s="839"/>
      <c r="D86" s="393">
        <f t="shared" si="25"/>
        <v>10.091460691551733</v>
      </c>
      <c r="E86" s="385">
        <f t="shared" si="47"/>
        <v>11.435167856277126</v>
      </c>
      <c r="F86" s="385">
        <f t="shared" si="26"/>
        <v>11.435167856277126</v>
      </c>
      <c r="G86" s="110">
        <f t="shared" si="48"/>
        <v>0.27665665719611265</v>
      </c>
      <c r="H86" s="414" t="b">
        <f>Wh_hp&gt;='2024'!Maxi_hp</f>
        <v>0</v>
      </c>
      <c r="I86" s="390">
        <f>IF(H86,Wh_hp,'2024'!Maxi_hp)</f>
        <v>38.291818478565958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7.578422848952629E-2</v>
      </c>
      <c r="M86" s="843"/>
      <c r="N86" s="843"/>
      <c r="O86" s="48">
        <f>IF(t&lt;Tnet,'2024'!Resal+('2024'!Salim-'2024'!Resal)*(1-EXP(('2024'!Tnet-t)/('2024'!Tau_j))),Resal+(Salim-Resal)*(1-EXP((Tnet-t)/(Tau_j))))*Salcycl</f>
        <v>0.11750655360846227</v>
      </c>
      <c r="P86" s="169">
        <f>(INDEX(Models!$BJ86:$BT86,,T86)*(1-R86)+INDEX(Models!$BJ86:$BT86,,T86+1)*R86-ERP_i)*Q86*Ramure*Pc/MaxiM</f>
        <v>2.2805917745499345E-2</v>
      </c>
      <c r="Q86" s="305">
        <f t="shared" si="28"/>
        <v>0.8</v>
      </c>
      <c r="R86" s="177">
        <f t="shared" si="29"/>
        <v>0.81362799980534595</v>
      </c>
      <c r="S86" s="809">
        <f t="shared" si="30"/>
        <v>1</v>
      </c>
      <c r="T86" s="176">
        <f t="shared" si="31"/>
        <v>7</v>
      </c>
      <c r="U86" s="251">
        <f t="shared" si="32"/>
        <v>1.8136279998053459</v>
      </c>
      <c r="V86" s="383">
        <f t="shared" si="33"/>
        <v>32.943300774266696</v>
      </c>
      <c r="W86" s="402">
        <f t="shared" si="34"/>
        <v>9.3266871287101036</v>
      </c>
      <c r="X86" s="157">
        <f t="shared" si="35"/>
        <v>45729</v>
      </c>
      <c r="Y86" s="385">
        <f t="shared" si="36"/>
        <v>8.8617333335865158</v>
      </c>
      <c r="Z86" s="385">
        <f t="shared" si="37"/>
        <v>9.5883814221256127</v>
      </c>
      <c r="AA86" s="386">
        <f t="shared" si="38"/>
        <v>11.435167856277126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0.16150059687473259</v>
      </c>
      <c r="AD86" s="231">
        <f>(INDEX(Models!$BJ86:$BT86,,AH86)*(1-AF86)+INDEX(Models!$BJ86:$BT86,,AH86+1)*AF86-ERP_i)*AE86*Ramure*Pc/MaxiM</f>
        <v>3.9909852436783431E-2</v>
      </c>
      <c r="AE86" s="305">
        <f t="shared" si="40"/>
        <v>0.8</v>
      </c>
      <c r="AF86" s="177">
        <f t="shared" si="41"/>
        <v>1.4344746970249567E-2</v>
      </c>
      <c r="AG86" s="809">
        <f t="shared" si="49"/>
        <v>3</v>
      </c>
      <c r="AH86" s="176">
        <f t="shared" si="42"/>
        <v>9</v>
      </c>
      <c r="AI86" s="225">
        <f t="shared" si="43"/>
        <v>3.0143447469702496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IF(t&gt;Tmaj,'2024'!Wh/'2024'!Env_an*'2025'!Env_an,0.001*'[5]mon-tableau'!$B$153)</f>
        <v>12.437120599037225</v>
      </c>
      <c r="C87" s="839"/>
      <c r="D87" s="393">
        <f t="shared" si="25"/>
        <v>13.45726510048291</v>
      </c>
      <c r="E87" s="385">
        <f t="shared" si="47"/>
        <v>15.25069886650344</v>
      </c>
      <c r="F87" s="385">
        <f t="shared" si="26"/>
        <v>15.287440796223786</v>
      </c>
      <c r="G87" s="110">
        <f t="shared" si="48"/>
        <v>0.36574222290517161</v>
      </c>
      <c r="H87" s="414" t="b">
        <f>Wh_hp&gt;='2024'!Maxi_hp</f>
        <v>0</v>
      </c>
      <c r="I87" s="390">
        <f>IF(H87,Wh_hp,'2024'!Maxi_hp)</f>
        <v>37.562812339887081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7.5806227627118555E-2</v>
      </c>
      <c r="M87" s="843"/>
      <c r="N87" s="843"/>
      <c r="O87" s="48">
        <f>IF(t&lt;Tnet,'2024'!Resal+('2024'!Salim-'2024'!Resal)*(1-EXP(('2024'!Tnet-t)/('2024'!Tau_j))),Resal+(Salim-Resal)*(1-EXP((Tnet-t)/(Tau_j))))*Salcycl</f>
        <v>0.1175968250189254</v>
      </c>
      <c r="P87" s="169">
        <f>(INDEX(Models!$BJ87:$BT87,,T87)*(1-R87)+INDEX(Models!$BJ87:$BT87,,T87+1)*R87-ERP_i)*Q87*Ramure*Pc/MaxiM</f>
        <v>2.2914541584458707E-2</v>
      </c>
      <c r="Q87" s="305">
        <f t="shared" si="28"/>
        <v>0.8</v>
      </c>
      <c r="R87" s="177">
        <f t="shared" si="29"/>
        <v>0.81424548288499099</v>
      </c>
      <c r="S87" s="809">
        <f t="shared" si="30"/>
        <v>1</v>
      </c>
      <c r="T87" s="176">
        <f t="shared" si="31"/>
        <v>7</v>
      </c>
      <c r="U87" s="251">
        <f t="shared" si="32"/>
        <v>1.814245482884991</v>
      </c>
      <c r="V87" s="383">
        <f t="shared" si="33"/>
        <v>33.305989264597351</v>
      </c>
      <c r="W87" s="402">
        <f t="shared" si="34"/>
        <v>12.437120599037225</v>
      </c>
      <c r="X87" s="157">
        <f t="shared" si="35"/>
        <v>45730</v>
      </c>
      <c r="Y87" s="385">
        <f t="shared" si="36"/>
        <v>11.796163986843549</v>
      </c>
      <c r="Z87" s="385">
        <f t="shared" si="37"/>
        <v>12.763734553801115</v>
      </c>
      <c r="AA87" s="386">
        <f t="shared" si="38"/>
        <v>15.222663468283962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0.16153079384602853</v>
      </c>
      <c r="AD87" s="231">
        <f>(INDEX(Models!$BJ87:$BT87,,AH87)*(1-AF87)+INDEX(Models!$BJ87:$BT87,,AH87+1)*AF87-ERP_i)*AE87*Ramure*Pc/MaxiM</f>
        <v>4.0399151217830817E-2</v>
      </c>
      <c r="AE87" s="305">
        <f t="shared" si="40"/>
        <v>0.8</v>
      </c>
      <c r="AF87" s="177">
        <f t="shared" si="41"/>
        <v>1.4962230049894831E-2</v>
      </c>
      <c r="AG87" s="809">
        <f t="shared" si="49"/>
        <v>3</v>
      </c>
      <c r="AH87" s="176">
        <f t="shared" si="42"/>
        <v>9</v>
      </c>
      <c r="AI87" s="225">
        <f t="shared" si="43"/>
        <v>3.0149622300498948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IF(t&gt;Tmaj,'2024'!Wh/'2024'!Env_an*'2025'!Env_an,0.001*'[5]mon-tableau'!$B$154)</f>
        <v>12.507241817636306</v>
      </c>
      <c r="C88" s="839"/>
      <c r="D88" s="393">
        <f t="shared" si="25"/>
        <v>13.533460091432101</v>
      </c>
      <c r="E88" s="385">
        <f t="shared" si="47"/>
        <v>15.338621340105151</v>
      </c>
      <c r="F88" s="385">
        <f t="shared" si="26"/>
        <v>15.374706162496723</v>
      </c>
      <c r="G88" s="110">
        <f t="shared" si="48"/>
        <v>0.36378955328147472</v>
      </c>
      <c r="H88" s="414" t="b">
        <f>Wh_hp&gt;='2024'!Maxi_hp</f>
        <v>0</v>
      </c>
      <c r="I88" s="390">
        <f>IF(H88,Wh_hp,'2024'!Maxi_hp)</f>
        <v>29.969159838266769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7.5828226252758785E-2</v>
      </c>
      <c r="M88" s="843"/>
      <c r="N88" s="843"/>
      <c r="O88" s="48">
        <f>IF(t&lt;Tnet,'2024'!Resal+('2024'!Salim-'2024'!Resal)*(1-EXP(('2024'!Tnet-t)/('2024'!Tau_j))),Resal+(Salim-Resal)*(1-EXP((Tnet-t)/(Tau_j))))*Salcycl</f>
        <v>0.1176873206950603</v>
      </c>
      <c r="P88" s="169">
        <f>(INDEX(Models!$BJ88:$BT88,,T88)*(1-R88)+INDEX(Models!$BJ88:$BT88,,T88+1)*R88-ERP_i)*Q88*Ramure*Pc/MaxiM</f>
        <v>2.2986076140382696E-2</v>
      </c>
      <c r="Q88" s="305">
        <f t="shared" si="28"/>
        <v>0.8</v>
      </c>
      <c r="R88" s="177">
        <f t="shared" si="29"/>
        <v>0.81488748760294905</v>
      </c>
      <c r="S88" s="809">
        <f t="shared" si="30"/>
        <v>1</v>
      </c>
      <c r="T88" s="176">
        <f t="shared" si="31"/>
        <v>7</v>
      </c>
      <c r="U88" s="251">
        <f t="shared" si="32"/>
        <v>1.814887487602949</v>
      </c>
      <c r="V88" s="383">
        <f t="shared" si="33"/>
        <v>33.669182704849781</v>
      </c>
      <c r="W88" s="402">
        <f t="shared" si="34"/>
        <v>12.507241817636306</v>
      </c>
      <c r="X88" s="157">
        <f t="shared" si="35"/>
        <v>45731</v>
      </c>
      <c r="Y88" s="385">
        <f t="shared" si="36"/>
        <v>11.86357649767915</v>
      </c>
      <c r="Z88" s="385">
        <f t="shared" si="37"/>
        <v>12.83698207918197</v>
      </c>
      <c r="AA88" s="386">
        <f t="shared" si="38"/>
        <v>15.310581418238714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0.16156142418667854</v>
      </c>
      <c r="AD88" s="231">
        <f>(INDEX(Models!$BJ88:$BT88,,AH88)*(1-AF88)+INDEX(Models!$BJ88:$BT88,,AH88+1)*AF88-ERP_i)*AE88*Ramure*Pc/MaxiM</f>
        <v>4.0847540774967855E-2</v>
      </c>
      <c r="AE88" s="305">
        <f t="shared" si="40"/>
        <v>0.8</v>
      </c>
      <c r="AF88" s="177">
        <f t="shared" si="41"/>
        <v>1.5604234767852443E-2</v>
      </c>
      <c r="AG88" s="809">
        <f t="shared" si="49"/>
        <v>3</v>
      </c>
      <c r="AH88" s="176">
        <f t="shared" si="42"/>
        <v>9</v>
      </c>
      <c r="AI88" s="225">
        <f t="shared" si="43"/>
        <v>3.0156042347678524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IF(t&gt;Tmaj,'2024'!Wh/'2024'!Env_an*'2025'!Env_an,0.001*'[5]mon-tableau'!$B$155)</f>
        <v>11.391604056979654</v>
      </c>
      <c r="C89" s="839"/>
      <c r="D89" s="393">
        <f t="shared" si="25"/>
        <v>12.326577744576369</v>
      </c>
      <c r="E89" s="385">
        <f t="shared" si="47"/>
        <v>13.972196199703376</v>
      </c>
      <c r="F89" s="385">
        <f t="shared" si="26"/>
        <v>13.988174287084593</v>
      </c>
      <c r="G89" s="110">
        <f t="shared" si="48"/>
        <v>0.32739834967104003</v>
      </c>
      <c r="H89" s="414" t="b">
        <f>Wh_hp&gt;='2024'!Maxi_hp</f>
        <v>0</v>
      </c>
      <c r="I89" s="390">
        <f>IF(H89,Wh_hp,'2024'!Maxi_hp)</f>
        <v>42.898084527524084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7.5850224366458857E-2</v>
      </c>
      <c r="M89" s="843"/>
      <c r="N89" s="843"/>
      <c r="O89" s="48">
        <f>IF(t&lt;Tnet,'2024'!Resal+('2024'!Salim-'2024'!Resal)*(1-EXP(('2024'!Tnet-t)/('2024'!Tau_j))),Resal+(Salim-Resal)*(1-EXP((Tnet-t)/(Tau_j))))*Salcycl</f>
        <v>0.11777808095494274</v>
      </c>
      <c r="P89" s="169">
        <f>(INDEX(Models!$BJ89:$BT89,,T89)*(1-R89)+INDEX(Models!$BJ89:$BT89,,T89+1)*R89-ERP_i)*Q89*Ramure*Pc/MaxiM</f>
        <v>2.3022309786287203E-2</v>
      </c>
      <c r="Q89" s="305">
        <f t="shared" si="28"/>
        <v>0.8</v>
      </c>
      <c r="R89" s="177">
        <f t="shared" si="29"/>
        <v>0.81555492915427519</v>
      </c>
      <c r="S89" s="809">
        <f t="shared" si="30"/>
        <v>1</v>
      </c>
      <c r="T89" s="176">
        <f t="shared" si="31"/>
        <v>7</v>
      </c>
      <c r="U89" s="251">
        <f t="shared" si="32"/>
        <v>1.8155549291542752</v>
      </c>
      <c r="V89" s="383">
        <f t="shared" si="33"/>
        <v>34.032151158134333</v>
      </c>
      <c r="W89" s="402">
        <f t="shared" si="34"/>
        <v>11.391604056979654</v>
      </c>
      <c r="X89" s="157">
        <f t="shared" si="35"/>
        <v>45732</v>
      </c>
      <c r="Y89" s="385">
        <f t="shared" si="36"/>
        <v>10.816048260424655</v>
      </c>
      <c r="Z89" s="385">
        <f t="shared" si="37"/>
        <v>11.703782812704603</v>
      </c>
      <c r="AA89" s="386">
        <f t="shared" si="38"/>
        <v>13.959540440923412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0.16159254223053729</v>
      </c>
      <c r="AD89" s="231">
        <f>(INDEX(Models!$BJ89:$BT89,,AH89)*(1-AF89)+INDEX(Models!$BJ89:$BT89,,AH89+1)*AF89-ERP_i)*AE89*Ramure*Pc/MaxiM</f>
        <v>4.1257583649879519E-2</v>
      </c>
      <c r="AE89" s="305">
        <f t="shared" si="40"/>
        <v>0.8</v>
      </c>
      <c r="AF89" s="177">
        <f t="shared" si="41"/>
        <v>1.6271676319179029E-2</v>
      </c>
      <c r="AG89" s="809">
        <f t="shared" si="49"/>
        <v>3</v>
      </c>
      <c r="AH89" s="176">
        <f t="shared" si="42"/>
        <v>9</v>
      </c>
      <c r="AI89" s="225">
        <f t="shared" si="43"/>
        <v>3.016271676319179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IF(t&gt;Tmaj,'2024'!Wh/'2024'!Env_an*'2025'!Env_an,0.001*'[5]mon-tableau'!$B$156)</f>
        <v>9.4150819324650126</v>
      </c>
      <c r="C90" s="839"/>
      <c r="D90" s="393">
        <f t="shared" si="25"/>
        <v>10.18807372343843</v>
      </c>
      <c r="E90" s="385">
        <f t="shared" si="47"/>
        <v>11.549390540068465</v>
      </c>
      <c r="F90" s="385">
        <f t="shared" si="26"/>
        <v>11.549390540068465</v>
      </c>
      <c r="G90" s="110">
        <f t="shared" si="48"/>
        <v>0.26743780965573932</v>
      </c>
      <c r="H90" s="414" t="b">
        <f>Wh_hp&gt;='2024'!Maxi_hp</f>
        <v>0</v>
      </c>
      <c r="I90" s="390">
        <f>IF(H90,Wh_hp,'2024'!Maxi_hp)</f>
        <v>25.162053403230466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7.5872221968230652E-2</v>
      </c>
      <c r="M90" s="843"/>
      <c r="N90" s="843"/>
      <c r="O90" s="48">
        <f>IF(t&lt;Tnet,'2024'!Resal+('2024'!Salim-'2024'!Resal)*(1-EXP(('2024'!Tnet-t)/('2024'!Tau_j))),Resal+(Salim-Resal)*(1-EXP((Tnet-t)/(Tau_j))))*Salcycl</f>
        <v>0.11786914745909752</v>
      </c>
      <c r="P90" s="169">
        <f>(INDEX(Models!$BJ90:$BT90,,T90)*(1-R90)+INDEX(Models!$BJ90:$BT90,,T90+1)*R90-ERP_i)*Q90*Ramure*Pc/MaxiM</f>
        <v>2.3024949955188157E-2</v>
      </c>
      <c r="Q90" s="305">
        <f t="shared" si="28"/>
        <v>0.8</v>
      </c>
      <c r="R90" s="177">
        <f t="shared" si="29"/>
        <v>0.81624875202519243</v>
      </c>
      <c r="S90" s="809">
        <f t="shared" si="30"/>
        <v>1</v>
      </c>
      <c r="T90" s="176">
        <f t="shared" si="31"/>
        <v>7</v>
      </c>
      <c r="U90" s="251">
        <f t="shared" si="32"/>
        <v>1.8162487520251924</v>
      </c>
      <c r="V90" s="383">
        <f t="shared" si="33"/>
        <v>34.39416496114206</v>
      </c>
      <c r="W90" s="402">
        <f t="shared" si="34"/>
        <v>9.4150819324650126</v>
      </c>
      <c r="X90" s="157">
        <f t="shared" si="35"/>
        <v>45733</v>
      </c>
      <c r="Y90" s="385">
        <f t="shared" si="36"/>
        <v>8.9480792861023861</v>
      </c>
      <c r="Z90" s="385">
        <f t="shared" si="37"/>
        <v>9.6827294869982499</v>
      </c>
      <c r="AA90" s="386">
        <f t="shared" si="38"/>
        <v>11.549390540068465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0.16162420403000327</v>
      </c>
      <c r="AD90" s="231">
        <f>(INDEX(Models!$BJ90:$BT90,,AH90)*(1-AF90)+INDEX(Models!$BJ90:$BT90,,AH90+1)*AF90-ERP_i)*AE90*Ramure*Pc/MaxiM</f>
        <v>4.1631780172182505E-2</v>
      </c>
      <c r="AE90" s="305">
        <f t="shared" si="40"/>
        <v>0.8</v>
      </c>
      <c r="AF90" s="177">
        <f t="shared" si="41"/>
        <v>1.6965499190095823E-2</v>
      </c>
      <c r="AG90" s="809">
        <f t="shared" si="49"/>
        <v>3</v>
      </c>
      <c r="AH90" s="176">
        <f t="shared" si="42"/>
        <v>9</v>
      </c>
      <c r="AI90" s="225">
        <f t="shared" si="43"/>
        <v>3.0169654991900958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IF(t&gt;Tmaj,'2024'!Wh/'2024'!Env_an*'2025'!Env_an,0.001*'[5]mon-tableau'!$B$157)</f>
        <v>12.642119312954899</v>
      </c>
      <c r="C91" s="839"/>
      <c r="D91" s="393">
        <f t="shared" si="25"/>
        <v>13.680381157305561</v>
      </c>
      <c r="E91" s="385">
        <f t="shared" si="47"/>
        <v>15.509942735637022</v>
      </c>
      <c r="F91" s="385">
        <f t="shared" si="26"/>
        <v>15.542495035770511</v>
      </c>
      <c r="G91" s="110">
        <f t="shared" si="48"/>
        <v>0.35613606753886212</v>
      </c>
      <c r="H91" s="414" t="b">
        <f>Wh_hp&gt;='2024'!Maxi_hp</f>
        <v>0</v>
      </c>
      <c r="I91" s="390">
        <f>IF(H91,Wh_hp,'2024'!Maxi_hp)</f>
        <v>31.721839412381989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7.589421905808616E-2</v>
      </c>
      <c r="M91" s="843"/>
      <c r="N91" s="843"/>
      <c r="O91" s="48">
        <f>IF(t&lt;Tnet,'2024'!Resal+('2024'!Salim-'2024'!Resal)*(1-EXP(('2024'!Tnet-t)/('2024'!Tau_j))),Resal+(Salim-Resal)*(1-EXP((Tnet-t)/(Tau_j))))*Salcycl</f>
        <v>0.11796056307336955</v>
      </c>
      <c r="P91" s="169">
        <f>(INDEX(Models!$BJ91:$BT91,,T91)*(1-R91)+INDEX(Models!$BJ91:$BT91,,T91+1)*R91-ERP_i)*Q91*Ramure*Pc/MaxiM</f>
        <v>2.2995619497021971E-2</v>
      </c>
      <c r="Q91" s="305">
        <f t="shared" si="28"/>
        <v>0.8</v>
      </c>
      <c r="R91" s="177">
        <f t="shared" si="29"/>
        <v>0.81696993051954281</v>
      </c>
      <c r="S91" s="809">
        <f t="shared" si="30"/>
        <v>1</v>
      </c>
      <c r="T91" s="176">
        <f t="shared" si="31"/>
        <v>7</v>
      </c>
      <c r="U91" s="251">
        <f t="shared" si="32"/>
        <v>1.8169699305195428</v>
      </c>
      <c r="V91" s="383">
        <f t="shared" si="33"/>
        <v>34.754494790922941</v>
      </c>
      <c r="W91" s="402">
        <f t="shared" si="34"/>
        <v>12.642119312954899</v>
      </c>
      <c r="X91" s="157">
        <f t="shared" si="35"/>
        <v>45734</v>
      </c>
      <c r="Y91" s="385">
        <f t="shared" si="36"/>
        <v>11.995021793709395</v>
      </c>
      <c r="Z91" s="385">
        <f t="shared" si="37"/>
        <v>12.980139331541917</v>
      </c>
      <c r="AA91" s="386">
        <f t="shared" si="38"/>
        <v>15.483079218881622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0.16165646716367432</v>
      </c>
      <c r="AD91" s="231">
        <f>(INDEX(Models!$BJ91:$BT91,,AH91)*(1-AF91)+INDEX(Models!$BJ91:$BT91,,AH91+1)*AF91-ERP_i)*AE91*Ramure*Pc/MaxiM</f>
        <v>4.1972564509382145E-2</v>
      </c>
      <c r="AE91" s="305">
        <f t="shared" si="40"/>
        <v>0.8</v>
      </c>
      <c r="AF91" s="177">
        <f t="shared" si="41"/>
        <v>1.768667768444665E-2</v>
      </c>
      <c r="AG91" s="809">
        <f t="shared" si="49"/>
        <v>3</v>
      </c>
      <c r="AH91" s="176">
        <f t="shared" si="42"/>
        <v>9</v>
      </c>
      <c r="AI91" s="225">
        <f t="shared" si="43"/>
        <v>3.0176866776844467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IF(t&gt;Tmaj,'2024'!Wh/'2024'!Env_an*'2025'!Env_an,0.001*'[5]mon-tableau'!$B$158)</f>
        <v>23.2463517532473</v>
      </c>
      <c r="C92" s="839"/>
      <c r="D92" s="393">
        <f t="shared" si="25"/>
        <v>25.156108295145035</v>
      </c>
      <c r="E92" s="385">
        <f t="shared" si="47"/>
        <v>28.523358404466499</v>
      </c>
      <c r="F92" s="385">
        <f t="shared" si="26"/>
        <v>28.865790938015355</v>
      </c>
      <c r="G92" s="110">
        <f t="shared" si="48"/>
        <v>0.6546362109022138</v>
      </c>
      <c r="H92" s="414" t="b">
        <f>Wh_hp&gt;='2024'!Maxi_hp</f>
        <v>0</v>
      </c>
      <c r="I92" s="390">
        <f>IF(H92,Wh_hp,'2024'!Maxi_hp)</f>
        <v>41.177223902410979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7.591621563603726E-2</v>
      </c>
      <c r="M92" s="843"/>
      <c r="N92" s="843"/>
      <c r="O92" s="48">
        <f>IF(t&lt;Tnet,'2024'!Resal+('2024'!Salim-'2024'!Resal)*(1-EXP(('2024'!Tnet-t)/('2024'!Tau_j))),Resal+(Salim-Resal)*(1-EXP((Tnet-t)/(Tau_j))))*Salcycl</f>
        <v>0.11805237172892599</v>
      </c>
      <c r="P92" s="169">
        <f>(INDEX(Models!$BJ92:$BT92,,T92)*(1-R92)+INDEX(Models!$BJ92:$BT92,,T92+1)*R92-ERP_i)*Q92*Ramure*Pc/MaxiM</f>
        <v>2.2935853765300052E-2</v>
      </c>
      <c r="Q92" s="305">
        <f t="shared" si="28"/>
        <v>0.8</v>
      </c>
      <c r="R92" s="177">
        <f t="shared" si="29"/>
        <v>0.81771946925659078</v>
      </c>
      <c r="S92" s="809">
        <f t="shared" si="30"/>
        <v>1</v>
      </c>
      <c r="T92" s="176">
        <f t="shared" si="31"/>
        <v>7</v>
      </c>
      <c r="U92" s="251">
        <f t="shared" si="32"/>
        <v>1.8177194692565908</v>
      </c>
      <c r="V92" s="383">
        <f t="shared" si="33"/>
        <v>35.112411735003661</v>
      </c>
      <c r="W92" s="402">
        <f t="shared" si="34"/>
        <v>23.2463517532473</v>
      </c>
      <c r="X92" s="157">
        <f t="shared" si="35"/>
        <v>45735</v>
      </c>
      <c r="Y92" s="385">
        <f t="shared" si="36"/>
        <v>21.872410859670712</v>
      </c>
      <c r="Z92" s="385">
        <f t="shared" si="37"/>
        <v>23.669294094068825</v>
      </c>
      <c r="AA92" s="386">
        <f t="shared" si="38"/>
        <v>28.234515735565953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0.16168939054075898</v>
      </c>
      <c r="AD92" s="231">
        <f>(INDEX(Models!$BJ92:$BT92,,AH92)*(1-AF92)+INDEX(Models!$BJ92:$BT92,,AH92+1)*AF92-ERP_i)*AE92*Ramure*Pc/MaxiM</f>
        <v>4.2282301798213948E-2</v>
      </c>
      <c r="AE92" s="305">
        <f t="shared" si="40"/>
        <v>0.8</v>
      </c>
      <c r="AF92" s="177">
        <f t="shared" si="41"/>
        <v>1.84362164214944E-2</v>
      </c>
      <c r="AG92" s="809">
        <f t="shared" si="49"/>
        <v>3</v>
      </c>
      <c r="AH92" s="176">
        <f t="shared" si="42"/>
        <v>9</v>
      </c>
      <c r="AI92" s="225">
        <f t="shared" si="43"/>
        <v>3.0184362164214944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IF(t&gt;Tmaj,'2024'!Wh/'2024'!Env_an*'2025'!Env_an,0.001*'[5]mon-tableau'!$B$159)</f>
        <v>24.199246696367766</v>
      </c>
      <c r="C93" s="839"/>
      <c r="D93" s="393">
        <f t="shared" si="25"/>
        <v>26.187909729437138</v>
      </c>
      <c r="E93" s="385">
        <f t="shared" si="47"/>
        <v>29.696376834911316</v>
      </c>
      <c r="F93" s="385">
        <f t="shared" si="26"/>
        <v>30.071485886986206</v>
      </c>
      <c r="G93" s="110">
        <f t="shared" si="48"/>
        <v>0.67505875611349986</v>
      </c>
      <c r="H93" s="414" t="b">
        <f>Wh_hp&gt;='2024'!Maxi_hp</f>
        <v>0</v>
      </c>
      <c r="I93" s="390">
        <f>IF(H93,Wh_hp,'2024'!Maxi_hp)</f>
        <v>44.675068559280305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7.5938211702095831E-2</v>
      </c>
      <c r="M93" s="843"/>
      <c r="N93" s="843"/>
      <c r="O93" s="48">
        <f>IF(t&lt;Tnet,'2024'!Resal+('2024'!Salim-'2024'!Resal)*(1-EXP(('2024'!Tnet-t)/('2024'!Tau_j))),Resal+(Salim-Resal)*(1-EXP((Tnet-t)/(Tau_j))))*Salcycl</f>
        <v>0.11814461828048986</v>
      </c>
      <c r="P93" s="169">
        <f>(INDEX(Models!$BJ93:$BT93,,T93)*(1-R93)+INDEX(Models!$BJ93:$BT93,,T93+1)*R93-ERP_i)*Q93*Ramure*Pc/MaxiM</f>
        <v>2.2844601887772993E-2</v>
      </c>
      <c r="Q93" s="305">
        <f t="shared" si="28"/>
        <v>0.8</v>
      </c>
      <c r="R93" s="177">
        <f t="shared" si="29"/>
        <v>0.81849840363573656</v>
      </c>
      <c r="S93" s="809">
        <f t="shared" si="30"/>
        <v>1</v>
      </c>
      <c r="T93" s="176">
        <f t="shared" si="31"/>
        <v>7</v>
      </c>
      <c r="U93" s="251">
        <f t="shared" si="32"/>
        <v>1.8184984036357366</v>
      </c>
      <c r="V93" s="383">
        <f t="shared" si="33"/>
        <v>35.471154994317075</v>
      </c>
      <c r="W93" s="402">
        <f t="shared" si="34"/>
        <v>24.199246696367766</v>
      </c>
      <c r="X93" s="157">
        <f t="shared" si="35"/>
        <v>45736</v>
      </c>
      <c r="Y93" s="385">
        <f t="shared" si="36"/>
        <v>22.752650580297637</v>
      </c>
      <c r="Z93" s="385">
        <f t="shared" si="37"/>
        <v>24.622434201296624</v>
      </c>
      <c r="AA93" s="386">
        <f t="shared" si="38"/>
        <v>29.372671808903775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0.16172303420375972</v>
      </c>
      <c r="AD93" s="231">
        <f>(INDEX(Models!$BJ93:$BT93,,AH93)*(1-AF93)+INDEX(Models!$BJ93:$BT93,,AH93+1)*AF93-ERP_i)*AE93*Ramure*Pc/MaxiM</f>
        <v>4.2558635466299143E-2</v>
      </c>
      <c r="AE93" s="305">
        <f t="shared" si="40"/>
        <v>0.8</v>
      </c>
      <c r="AF93" s="177">
        <f t="shared" si="41"/>
        <v>1.9215150800640401E-2</v>
      </c>
      <c r="AG93" s="809">
        <f t="shared" si="49"/>
        <v>3</v>
      </c>
      <c r="AH93" s="176">
        <f t="shared" si="42"/>
        <v>9</v>
      </c>
      <c r="AI93" s="225">
        <f t="shared" si="43"/>
        <v>3.0192151508006404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IF(t&gt;Tmaj,'2024'!Wh/'2024'!Env_an*'2025'!Env_an,0.001*'[5]mon-tableau'!$B$160)</f>
        <v>33.521812341809138</v>
      </c>
      <c r="C94" s="839"/>
      <c r="D94" s="393">
        <f t="shared" si="25"/>
        <v>36.277455370481107</v>
      </c>
      <c r="E94" s="385">
        <f t="shared" si="47"/>
        <v>41.141973186510832</v>
      </c>
      <c r="F94" s="385">
        <f t="shared" si="26"/>
        <v>42.007588589631538</v>
      </c>
      <c r="G94" s="110">
        <f t="shared" si="48"/>
        <v>0.93346074761548559</v>
      </c>
      <c r="H94" s="414" t="b">
        <f>Wh_hp&gt;='2024'!Maxi_hp</f>
        <v>0</v>
      </c>
      <c r="I94" s="390">
        <f>IF(H94,Wh_hp,'2024'!Maxi_hp)</f>
        <v>46.027750309068139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7.5960207256273865E-2</v>
      </c>
      <c r="M94" s="843"/>
      <c r="N94" s="843"/>
      <c r="O94" s="48">
        <f>IF(t&lt;Tnet,'2024'!Resal+('2024'!Salim-'2024'!Resal)*(1-EXP(('2024'!Tnet-t)/('2024'!Tau_j))),Resal+(Salim-Resal)*(1-EXP((Tnet-t)/(Tau_j))))*Salcycl</f>
        <v>0.11823734836385172</v>
      </c>
      <c r="P94" s="169">
        <f>(INDEX(Models!$BJ94:$BT94,,T94)*(1-R94)+INDEX(Models!$BJ94:$BT94,,T94+1)*R94-ERP_i)*Q94*Ramure*Pc/MaxiM</f>
        <v>2.2699026605276635E-2</v>
      </c>
      <c r="Q94" s="305">
        <f t="shared" si="28"/>
        <v>0.8</v>
      </c>
      <c r="R94" s="177">
        <f t="shared" si="29"/>
        <v>0.81930780026337691</v>
      </c>
      <c r="S94" s="809">
        <f t="shared" si="30"/>
        <v>1</v>
      </c>
      <c r="T94" s="176">
        <f t="shared" si="31"/>
        <v>7</v>
      </c>
      <c r="U94" s="251">
        <f t="shared" si="32"/>
        <v>1.8193078002633769</v>
      </c>
      <c r="V94" s="383">
        <f t="shared" si="33"/>
        <v>35.834586427761167</v>
      </c>
      <c r="W94" s="402">
        <f t="shared" si="34"/>
        <v>33.521812341809138</v>
      </c>
      <c r="X94" s="157">
        <f t="shared" si="35"/>
        <v>45737</v>
      </c>
      <c r="Y94" s="385">
        <f t="shared" si="36"/>
        <v>31.274803877179167</v>
      </c>
      <c r="Z94" s="385">
        <f t="shared" si="37"/>
        <v>33.845732751741942</v>
      </c>
      <c r="AA94" s="386">
        <f t="shared" si="38"/>
        <v>40.377016318748005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0.16175745913086292</v>
      </c>
      <c r="AD94" s="231">
        <f>(INDEX(Models!$BJ94:$BT94,,AH94)*(1-AF94)+INDEX(Models!$BJ94:$BT94,,AH94+1)*AF94-ERP_i)*AE94*Ramure*Pc/MaxiM</f>
        <v>4.275848514845635E-2</v>
      </c>
      <c r="AE94" s="305">
        <f t="shared" si="40"/>
        <v>0.8</v>
      </c>
      <c r="AF94" s="177">
        <f t="shared" si="41"/>
        <v>2.0024547428280304E-2</v>
      </c>
      <c r="AG94" s="809">
        <f t="shared" si="49"/>
        <v>3</v>
      </c>
      <c r="AH94" s="176">
        <f t="shared" si="42"/>
        <v>9</v>
      </c>
      <c r="AI94" s="225">
        <f t="shared" si="43"/>
        <v>3.0200245474282803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IF(t&gt;Tmaj,'2024'!Wh/'2024'!Env_an*'2025'!Env_an,0.001*'[5]mon-tableau'!$B$161)</f>
        <v>31.911776995882231</v>
      </c>
      <c r="C95" s="839"/>
      <c r="D95" s="393">
        <f t="shared" si="25"/>
        <v>34.535889974485173</v>
      </c>
      <c r="E95" s="385">
        <f t="shared" si="47"/>
        <v>39.171020677125348</v>
      </c>
      <c r="F95" s="385">
        <f t="shared" si="26"/>
        <v>39.917466842280376</v>
      </c>
      <c r="G95" s="110">
        <f t="shared" si="48"/>
        <v>0.87808423113357903</v>
      </c>
      <c r="H95" s="414" t="b">
        <f>Wh_hp&gt;='2024'!Maxi_hp</f>
        <v>0</v>
      </c>
      <c r="I95" s="390">
        <f>IF(H95,Wh_hp,'2024'!Maxi_hp)</f>
        <v>44.110203483465384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7.5982202298583129E-2</v>
      </c>
      <c r="M95" s="843"/>
      <c r="N95" s="843"/>
      <c r="O95" s="48">
        <f>IF(t&lt;Tnet,'2024'!Resal+('2024'!Salim-'2024'!Resal)*(1-EXP(('2024'!Tnet-t)/('2024'!Tau_j))),Resal+(Salim-Resal)*(1-EXP((Tnet-t)/(Tau_j))))*Salcycl</f>
        <v>0.1183306082536406</v>
      </c>
      <c r="P95" s="169">
        <f>(INDEX(Models!$BJ95:$BT95,,T95)*(1-R95)+INDEX(Models!$BJ95:$BT95,,T95+1)*R95-ERP_i)*Q95*Ramure*Pc/MaxiM</f>
        <v>2.2510155723103113E-2</v>
      </c>
      <c r="Q95" s="305">
        <f t="shared" si="28"/>
        <v>0.8</v>
      </c>
      <c r="R95" s="177">
        <f t="shared" si="29"/>
        <v>0.82014875733678649</v>
      </c>
      <c r="S95" s="809">
        <f t="shared" si="30"/>
        <v>1</v>
      </c>
      <c r="T95" s="176">
        <f t="shared" si="31"/>
        <v>7</v>
      </c>
      <c r="U95" s="251">
        <f t="shared" si="32"/>
        <v>1.8201487573367865</v>
      </c>
      <c r="V95" s="383">
        <f t="shared" si="33"/>
        <v>36.20138193667443</v>
      </c>
      <c r="W95" s="402">
        <f t="shared" si="34"/>
        <v>31.911776995882231</v>
      </c>
      <c r="X95" s="157">
        <f t="shared" si="35"/>
        <v>45738</v>
      </c>
      <c r="Y95" s="385">
        <f t="shared" si="36"/>
        <v>29.815405133172298</v>
      </c>
      <c r="Z95" s="385">
        <f t="shared" si="37"/>
        <v>32.267132957115095</v>
      </c>
      <c r="AA95" s="386">
        <f t="shared" si="38"/>
        <v>38.495410381187163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0.16179272703937322</v>
      </c>
      <c r="AD95" s="231">
        <f>(INDEX(Models!$BJ95:$BT95,,AH95)*(1-AF95)+INDEX(Models!$BJ95:$BT95,,AH95+1)*AF95-ERP_i)*AE95*Ramure*Pc/MaxiM</f>
        <v>4.2884154116600036E-2</v>
      </c>
      <c r="AE95" s="305">
        <f t="shared" si="40"/>
        <v>0.8</v>
      </c>
      <c r="AF95" s="177">
        <f t="shared" si="41"/>
        <v>2.0865504501689891E-2</v>
      </c>
      <c r="AG95" s="809">
        <f t="shared" si="49"/>
        <v>3</v>
      </c>
      <c r="AH95" s="176">
        <f t="shared" si="42"/>
        <v>9</v>
      </c>
      <c r="AI95" s="225">
        <f t="shared" si="43"/>
        <v>3.0208655045016899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IF(t&gt;Tmaj,'2024'!Wh/'2024'!Env_an*'2025'!Env_an,0.001*'[5]mon-tableau'!$B$162)</f>
        <v>36.283945218377539</v>
      </c>
      <c r="C96" s="839"/>
      <c r="D96" s="393">
        <f t="shared" si="25"/>
        <v>39.26851733942781</v>
      </c>
      <c r="E96" s="385">
        <f t="shared" si="47"/>
        <v>44.54356419519393</v>
      </c>
      <c r="F96" s="385">
        <f t="shared" si="26"/>
        <v>45.546983649945723</v>
      </c>
      <c r="G96" s="110">
        <f t="shared" si="48"/>
        <v>0.99191007307062928</v>
      </c>
      <c r="H96" s="414" t="b">
        <f>Wh_hp&gt;='2024'!Maxi_hp</f>
        <v>0</v>
      </c>
      <c r="I96" s="390">
        <f>IF(H96,Wh_hp,'2024'!Maxi_hp)</f>
        <v>47.127501005079935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7.6004196829035614E-2</v>
      </c>
      <c r="M96" s="843"/>
      <c r="N96" s="843"/>
      <c r="O96" s="48">
        <f>IF(t&lt;Tnet,'2024'!Resal+('2024'!Salim-'2024'!Resal)*(1-EXP(('2024'!Tnet-t)/('2024'!Tau_j))),Resal+(Salim-Resal)*(1-EXP((Tnet-t)/(Tau_j))))*Salcycl</f>
        <v>0.11842444472225851</v>
      </c>
      <c r="P96" s="169">
        <f>(INDEX(Models!$BJ96:$BT96,,T96)*(1-R96)+INDEX(Models!$BJ96:$BT96,,T96+1)*R96-ERP_i)*Q96*Ramure*Pc/MaxiM</f>
        <v>2.227986092324475E-2</v>
      </c>
      <c r="Q96" s="305">
        <f t="shared" si="28"/>
        <v>0.8</v>
      </c>
      <c r="R96" s="177">
        <f t="shared" si="29"/>
        <v>0.82102240497954004</v>
      </c>
      <c r="S96" s="809">
        <f t="shared" si="30"/>
        <v>1</v>
      </c>
      <c r="T96" s="176">
        <f t="shared" si="31"/>
        <v>7</v>
      </c>
      <c r="U96" s="251">
        <f t="shared" si="32"/>
        <v>1.82102240497954</v>
      </c>
      <c r="V96" s="383">
        <f t="shared" si="33"/>
        <v>36.570543887165655</v>
      </c>
      <c r="W96" s="402">
        <f t="shared" si="34"/>
        <v>36.283945218377539</v>
      </c>
      <c r="X96" s="157">
        <f t="shared" si="35"/>
        <v>45739</v>
      </c>
      <c r="Y96" s="385">
        <f t="shared" si="36"/>
        <v>33.776908061050463</v>
      </c>
      <c r="Z96" s="385">
        <f t="shared" si="37"/>
        <v>36.555261338996381</v>
      </c>
      <c r="AA96" s="386">
        <f t="shared" si="38"/>
        <v>43.61312546727612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0.16182890019142085</v>
      </c>
      <c r="AD96" s="231">
        <f>(INDEX(Models!$BJ96:$BT96,,AH96)*(1-AF96)+INDEX(Models!$BJ96:$BT96,,AH96+1)*AF96-ERP_i)*AE96*Ramure*Pc/MaxiM</f>
        <v>4.2939262489997812E-2</v>
      </c>
      <c r="AE96" s="305">
        <f t="shared" si="40"/>
        <v>0.8</v>
      </c>
      <c r="AF96" s="177">
        <f t="shared" si="41"/>
        <v>2.1739152144443885E-2</v>
      </c>
      <c r="AG96" s="809">
        <f t="shared" si="49"/>
        <v>3</v>
      </c>
      <c r="AH96" s="176">
        <f t="shared" si="42"/>
        <v>9</v>
      </c>
      <c r="AI96" s="225">
        <f t="shared" si="43"/>
        <v>3.0217391521444439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IF(t&gt;Tmaj,'2024'!Wh/'2024'!Env_an*'2025'!Env_an,0.001*'[5]mon-tableau'!$B$163)</f>
        <v>35.368909612996667</v>
      </c>
      <c r="C97" s="839"/>
      <c r="D97" s="393">
        <f t="shared" si="25"/>
        <v>38.279125731327504</v>
      </c>
      <c r="E97" s="385">
        <f t="shared" si="47"/>
        <v>43.425917973906785</v>
      </c>
      <c r="F97" s="385">
        <f t="shared" si="26"/>
        <v>44.342555514170506</v>
      </c>
      <c r="G97" s="110">
        <f t="shared" si="48"/>
        <v>0.95613298290572457</v>
      </c>
      <c r="H97" s="414" t="b">
        <f>Wh_hp&gt;='2024'!Maxi_hp</f>
        <v>0</v>
      </c>
      <c r="I97" s="390">
        <f>IF(H97,Wh_hp,'2024'!Maxi_hp)</f>
        <v>46.384617938296579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7.602619084764331E-2</v>
      </c>
      <c r="M97" s="843"/>
      <c r="N97" s="843"/>
      <c r="O97" s="48">
        <f>IF(t&lt;Tnet,'2024'!Resal+('2024'!Salim-'2024'!Resal)*(1-EXP(('2024'!Tnet-t)/('2024'!Tau_j))),Resal+(Salim-Resal)*(1-EXP((Tnet-t)/(Tau_j))))*Salcycl</f>
        <v>0.11851890490079725</v>
      </c>
      <c r="P97" s="169">
        <f>(INDEX(Models!$BJ97:$BT97,,T97)*(1-R97)+INDEX(Models!$BJ97:$BT97,,T97+1)*R97-ERP_i)*Q97*Ramure*Pc/MaxiM</f>
        <v>2.2009897430456147E-2</v>
      </c>
      <c r="Q97" s="305">
        <f t="shared" si="28"/>
        <v>0.8</v>
      </c>
      <c r="R97" s="177">
        <f t="shared" si="29"/>
        <v>0.82192990552261191</v>
      </c>
      <c r="S97" s="809">
        <f t="shared" si="30"/>
        <v>1</v>
      </c>
      <c r="T97" s="176">
        <f t="shared" si="31"/>
        <v>7</v>
      </c>
      <c r="U97" s="251">
        <f t="shared" si="32"/>
        <v>1.8219299055226119</v>
      </c>
      <c r="V97" s="383">
        <f t="shared" si="33"/>
        <v>36.941076036028505</v>
      </c>
      <c r="W97" s="402">
        <f t="shared" si="34"/>
        <v>35.368909612996667</v>
      </c>
      <c r="X97" s="157">
        <f t="shared" si="35"/>
        <v>45740</v>
      </c>
      <c r="Y97" s="385">
        <f t="shared" si="36"/>
        <v>32.955009622947543</v>
      </c>
      <c r="Z97" s="385">
        <f t="shared" si="37"/>
        <v>35.666605802582325</v>
      </c>
      <c r="AA97" s="386">
        <f t="shared" si="38"/>
        <v>42.554779493456728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0.16186604120304598</v>
      </c>
      <c r="AD97" s="231">
        <f>(INDEX(Models!$BJ97:$BT97,,AH97)*(1-AF97)+INDEX(Models!$BJ97:$BT97,,AH97+1)*AF97-ERP_i)*AE97*Ramure*Pc/MaxiM</f>
        <v>4.2927291449593473E-2</v>
      </c>
      <c r="AE97" s="305">
        <f t="shared" si="40"/>
        <v>0.8</v>
      </c>
      <c r="AF97" s="177">
        <f t="shared" si="41"/>
        <v>2.2646652687515534E-2</v>
      </c>
      <c r="AG97" s="809">
        <f t="shared" si="49"/>
        <v>3</v>
      </c>
      <c r="AH97" s="176">
        <f t="shared" si="42"/>
        <v>9</v>
      </c>
      <c r="AI97" s="225">
        <f t="shared" si="43"/>
        <v>3.0226466526875155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IF(t&gt;Tmaj,'2024'!Wh/'2024'!Env_an*'2025'!Env_an,0.001*'[5]mon-tableau'!$B$164)</f>
        <v>33.736375812306804</v>
      </c>
      <c r="C98" s="839"/>
      <c r="D98" s="393">
        <f t="shared" si="25"/>
        <v>36.513133305262876</v>
      </c>
      <c r="E98" s="385">
        <f t="shared" si="47"/>
        <v>41.426951191127515</v>
      </c>
      <c r="F98" s="385">
        <f t="shared" si="26"/>
        <v>42.217727481506735</v>
      </c>
      <c r="G98" s="110">
        <f t="shared" si="48"/>
        <v>0.90143243121482974</v>
      </c>
      <c r="H98" s="414" t="b">
        <f>Wh_hp&gt;='2024'!Maxi_hp</f>
        <v>0</v>
      </c>
      <c r="I98" s="390">
        <f>IF(H98,Wh_hp,'2024'!Maxi_hp)</f>
        <v>42.344777516113844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7.6048184354418097E-2</v>
      </c>
      <c r="M98" s="843"/>
      <c r="N98" s="843"/>
      <c r="O98" s="48">
        <f>IF(t&lt;Tnet,'2024'!Resal+('2024'!Salim-'2024'!Resal)*(1-EXP(('2024'!Tnet-t)/('2024'!Tau_j))),Resal+(Salim-Resal)*(1-EXP((Tnet-t)/(Tau_j))))*Salcycl</f>
        <v>0.11861403614266061</v>
      </c>
      <c r="P98" s="169">
        <f>(INDEX(Models!$BJ98:$BT98,,T98)*(1-R98)+INDEX(Models!$BJ98:$BT98,,T98+1)*R98-ERP_i)*Q98*Ramure*Pc/MaxiM</f>
        <v>2.1701896069230675E-2</v>
      </c>
      <c r="Q98" s="305">
        <f t="shared" si="28"/>
        <v>0.8</v>
      </c>
      <c r="R98" s="177">
        <f t="shared" si="29"/>
        <v>0.82287245372490858</v>
      </c>
      <c r="S98" s="809">
        <f t="shared" si="30"/>
        <v>1</v>
      </c>
      <c r="T98" s="176">
        <f t="shared" si="31"/>
        <v>7</v>
      </c>
      <c r="U98" s="251">
        <f t="shared" si="32"/>
        <v>1.8228724537249086</v>
      </c>
      <c r="V98" s="383">
        <f t="shared" si="33"/>
        <v>37.311983650458984</v>
      </c>
      <c r="W98" s="402">
        <f t="shared" si="34"/>
        <v>33.736375812306804</v>
      </c>
      <c r="X98" s="157">
        <f t="shared" si="35"/>
        <v>45741</v>
      </c>
      <c r="Y98" s="385">
        <f t="shared" si="36"/>
        <v>31.482615116179321</v>
      </c>
      <c r="Z98" s="385">
        <f t="shared" si="37"/>
        <v>34.073871151150719</v>
      </c>
      <c r="AA98" s="386">
        <f t="shared" si="38"/>
        <v>40.656296898152185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0.16190421285763082</v>
      </c>
      <c r="AD98" s="231">
        <f>(INDEX(Models!$BJ98:$BT98,,AH98)*(1-AF98)+INDEX(Models!$BJ98:$BT98,,AH98+1)*AF98-ERP_i)*AE98*Ramure*Pc/MaxiM</f>
        <v>4.2851568327913127E-2</v>
      </c>
      <c r="AE98" s="305">
        <f t="shared" si="40"/>
        <v>0.8</v>
      </c>
      <c r="AF98" s="177">
        <f t="shared" si="41"/>
        <v>2.3589200889812201E-2</v>
      </c>
      <c r="AG98" s="809">
        <f t="shared" si="49"/>
        <v>3</v>
      </c>
      <c r="AH98" s="176">
        <f t="shared" si="42"/>
        <v>9</v>
      </c>
      <c r="AI98" s="225">
        <f t="shared" si="43"/>
        <v>3.0235892008898122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IF(t&gt;Tmaj,'2024'!Wh/'2024'!Env_an*'2025'!Env_an,0.001*'[5]mon-tableau'!$B$165)</f>
        <v>35.813445172164407</v>
      </c>
      <c r="C99" s="839"/>
      <c r="D99" s="393">
        <f t="shared" si="25"/>
        <v>38.762083758072158</v>
      </c>
      <c r="E99" s="385">
        <f t="shared" si="47"/>
        <v>43.98334116937189</v>
      </c>
      <c r="F99" s="385">
        <f t="shared" si="26"/>
        <v>44.873826686789641</v>
      </c>
      <c r="G99" s="110">
        <f t="shared" si="48"/>
        <v>0.94893841281780267</v>
      </c>
      <c r="H99" s="414" t="b">
        <f>Wh_hp&gt;='2024'!Maxi_hp</f>
        <v>0</v>
      </c>
      <c r="I99" s="390">
        <f>IF(H99,Wh_hp,'2024'!Maxi_hp)</f>
        <v>48.874468185394626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7.6070177349371743E-2</v>
      </c>
      <c r="M99" s="843"/>
      <c r="N99" s="843"/>
      <c r="O99" s="48">
        <f>IF(t&lt;Tnet,'2024'!Resal+('2024'!Salim-'2024'!Resal)*(1-EXP(('2024'!Tnet-t)/('2024'!Tau_j))),Resal+(Salim-Resal)*(1-EXP((Tnet-t)/(Tau_j))))*Salcycl</f>
        <v>0.11870988589051516</v>
      </c>
      <c r="P99" s="169">
        <f>(INDEX(Models!$BJ99:$BT99,,T99)*(1-R99)+INDEX(Models!$BJ99:$BT99,,T99+1)*R99-ERP_i)*Q99*Ramure*Pc/MaxiM</f>
        <v>2.1357356624787896E-2</v>
      </c>
      <c r="Q99" s="305">
        <f t="shared" si="28"/>
        <v>0.8</v>
      </c>
      <c r="R99" s="177">
        <f t="shared" si="29"/>
        <v>0.82385127692659288</v>
      </c>
      <c r="S99" s="809">
        <f t="shared" si="30"/>
        <v>1</v>
      </c>
      <c r="T99" s="176">
        <f t="shared" si="31"/>
        <v>7</v>
      </c>
      <c r="U99" s="251">
        <f t="shared" si="32"/>
        <v>1.8238512769265929</v>
      </c>
      <c r="V99" s="383">
        <f t="shared" si="33"/>
        <v>37.68227362921418</v>
      </c>
      <c r="W99" s="402">
        <f t="shared" si="34"/>
        <v>35.813445172164407</v>
      </c>
      <c r="X99" s="157">
        <f t="shared" si="35"/>
        <v>45742</v>
      </c>
      <c r="Y99" s="385">
        <f t="shared" si="36"/>
        <v>33.367013959994523</v>
      </c>
      <c r="Z99" s="385">
        <f t="shared" si="37"/>
        <v>36.11422982783381</v>
      </c>
      <c r="AA99" s="386">
        <f t="shared" si="38"/>
        <v>43.092833092444593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0.16194347792450753</v>
      </c>
      <c r="AD99" s="231">
        <f>(INDEX(Models!$BJ99:$BT99,,AH99)*(1-AF99)+INDEX(Models!$BJ99:$BT99,,AH99+1)*AF99-ERP_i)*AE99*Ramure*Pc/MaxiM</f>
        <v>4.2715254315635963E-2</v>
      </c>
      <c r="AE99" s="305">
        <f t="shared" si="40"/>
        <v>0.8</v>
      </c>
      <c r="AF99" s="177">
        <f t="shared" si="41"/>
        <v>2.4568024091496277E-2</v>
      </c>
      <c r="AG99" s="809">
        <f t="shared" si="49"/>
        <v>3</v>
      </c>
      <c r="AH99" s="176">
        <f t="shared" si="42"/>
        <v>9</v>
      </c>
      <c r="AI99" s="225">
        <f t="shared" si="43"/>
        <v>3.0245680240914963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IF(t&gt;Tmaj,'2024'!Wh/'2024'!Env_an*'2025'!Env_an,0.001*'[5]mon-tableau'!$B$166)</f>
        <v>34.568721641581277</v>
      </c>
      <c r="C100" s="839"/>
      <c r="D100" s="393">
        <f t="shared" si="25"/>
        <v>37.415768665273404</v>
      </c>
      <c r="E100" s="385">
        <f t="shared" si="47"/>
        <v>42.46033218692962</v>
      </c>
      <c r="F100" s="385">
        <f t="shared" si="26"/>
        <v>43.248650004572625</v>
      </c>
      <c r="G100" s="110">
        <f t="shared" si="48"/>
        <v>0.90594021900637467</v>
      </c>
      <c r="H100" s="414" t="b">
        <f>Wh_hp&gt;='2024'!Maxi_hp</f>
        <v>0</v>
      </c>
      <c r="I100" s="390">
        <f>IF(H100,Wh_hp,'2024'!Maxi_hp)</f>
        <v>48.250977884589958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7.6092169832516349E-2</v>
      </c>
      <c r="M100" s="843"/>
      <c r="N100" s="843"/>
      <c r="O100" s="48">
        <f>IF(t&lt;Tnet,'2024'!Resal+('2024'!Salim-'2024'!Resal)*(1-EXP(('2024'!Tnet-t)/('2024'!Tau_j))),Resal+(Salim-Resal)*(1-EXP((Tnet-t)/(Tau_j))))*Salcycl</f>
        <v>0.11880650154708546</v>
      </c>
      <c r="P100" s="169">
        <f>(INDEX(Models!$BJ100:$BT100,,T100)*(1-R100)+INDEX(Models!$BJ100:$BT100,,T100+1)*R100-ERP_i)*Q100*Ramure*Pc/MaxiM</f>
        <v>2.0969231696562843E-2</v>
      </c>
      <c r="Q100" s="305">
        <f t="shared" si="28"/>
        <v>0.8</v>
      </c>
      <c r="R100" s="177">
        <f t="shared" si="29"/>
        <v>0.82486763512815031</v>
      </c>
      <c r="S100" s="809">
        <f t="shared" si="30"/>
        <v>1</v>
      </c>
      <c r="T100" s="176">
        <f t="shared" si="31"/>
        <v>7</v>
      </c>
      <c r="U100" s="251">
        <f t="shared" si="32"/>
        <v>1.8248676351281503</v>
      </c>
      <c r="V100" s="383">
        <f t="shared" si="33"/>
        <v>38.051281521312127</v>
      </c>
      <c r="W100" s="402">
        <f t="shared" si="34"/>
        <v>34.568721641581277</v>
      </c>
      <c r="X100" s="157">
        <f t="shared" si="35"/>
        <v>45743</v>
      </c>
      <c r="Y100" s="385">
        <f t="shared" si="36"/>
        <v>32.248337827997638</v>
      </c>
      <c r="Z100" s="385">
        <f t="shared" si="37"/>
        <v>34.904280248552219</v>
      </c>
      <c r="AA100" s="386">
        <f t="shared" si="38"/>
        <v>41.651085469850308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0.1619838989834215</v>
      </c>
      <c r="AD100" s="231">
        <f>(INDEX(Models!$BJ100:$BT100,,AH100)*(1-AF100)+INDEX(Models!$BJ100:$BT100,,AH100+1)*AF100-ERP_i)*AE100*Ramure*Pc/MaxiM</f>
        <v>4.2495171527347407E-2</v>
      </c>
      <c r="AE100" s="305">
        <f t="shared" si="40"/>
        <v>0.8</v>
      </c>
      <c r="AF100" s="177">
        <f t="shared" si="41"/>
        <v>2.5584382293053931E-2</v>
      </c>
      <c r="AG100" s="809">
        <f t="shared" si="49"/>
        <v>3</v>
      </c>
      <c r="AH100" s="176">
        <f t="shared" si="42"/>
        <v>9</v>
      </c>
      <c r="AI100" s="225">
        <f t="shared" si="43"/>
        <v>3.0255843822930539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IF(t&gt;Tmaj,'2024'!Wh/'2024'!Env_an*'2025'!Env_an,0.001*'[5]mon-tableau'!$B$167)</f>
        <v>26.217552459468578</v>
      </c>
      <c r="C101" s="839"/>
      <c r="D101" s="393">
        <f t="shared" si="25"/>
        <v>28.377480610220942</v>
      </c>
      <c r="E101" s="385">
        <f t="shared" si="47"/>
        <v>32.207022125861748</v>
      </c>
      <c r="F101" s="385">
        <f t="shared" si="26"/>
        <v>32.572974818019411</v>
      </c>
      <c r="G101" s="110">
        <f t="shared" si="48"/>
        <v>0.67600701590885015</v>
      </c>
      <c r="H101" s="414" t="b">
        <f>Wh_hp&gt;='2024'!Maxi_hp</f>
        <v>0</v>
      </c>
      <c r="I101" s="390">
        <f>IF(H101,Wh_hp,'2024'!Maxi_hp)</f>
        <v>47.544172268799947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7.6114161803863795E-2</v>
      </c>
      <c r="M101" s="843"/>
      <c r="N101" s="843"/>
      <c r="O101" s="48">
        <f>IF(t&lt;Tnet,'2024'!Resal+('2024'!Salim-'2024'!Resal)*(1-EXP(('2024'!Tnet-t)/('2024'!Tau_j))),Resal+(Salim-Resal)*(1-EXP((Tnet-t)/(Tau_j))))*Salcycl</f>
        <v>0.11890393035019969</v>
      </c>
      <c r="P101" s="169">
        <f>(INDEX(Models!$BJ101:$BT101,,T101)*(1-R101)+INDEX(Models!$BJ101:$BT101,,T101+1)*R101-ERP_i)*Q101*Ramure*Pc/MaxiM</f>
        <v>2.0563445565120724E-2</v>
      </c>
      <c r="Q101" s="305">
        <f t="shared" si="28"/>
        <v>0.8</v>
      </c>
      <c r="R101" s="177">
        <f t="shared" si="29"/>
        <v>0.82592282098774739</v>
      </c>
      <c r="S101" s="809">
        <f t="shared" si="30"/>
        <v>1</v>
      </c>
      <c r="T101" s="176">
        <f t="shared" si="31"/>
        <v>7</v>
      </c>
      <c r="U101" s="251">
        <f t="shared" si="32"/>
        <v>1.8259228209877474</v>
      </c>
      <c r="V101" s="383">
        <f t="shared" si="33"/>
        <v>38.417057973174039</v>
      </c>
      <c r="W101" s="402">
        <f t="shared" si="34"/>
        <v>26.217552459468578</v>
      </c>
      <c r="X101" s="157">
        <f t="shared" si="35"/>
        <v>45744</v>
      </c>
      <c r="Y101" s="385">
        <f t="shared" si="36"/>
        <v>24.635987746172791</v>
      </c>
      <c r="Z101" s="385">
        <f t="shared" si="37"/>
        <v>26.665618984131129</v>
      </c>
      <c r="AA101" s="386">
        <f t="shared" si="38"/>
        <v>31.821517482304369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0.16202553825537652</v>
      </c>
      <c r="AD101" s="231">
        <f>(INDEX(Models!$BJ101:$BT101,,AH101)*(1-AF101)+INDEX(Models!$BJ101:$BT101,,AH101+1)*AF101-ERP_i)*AE101*Ramure*Pc/MaxiM</f>
        <v>4.2225545401452166E-2</v>
      </c>
      <c r="AE101" s="305">
        <f t="shared" si="40"/>
        <v>0.8</v>
      </c>
      <c r="AF101" s="177">
        <f t="shared" si="41"/>
        <v>2.6639568152651005E-2</v>
      </c>
      <c r="AG101" s="809">
        <f t="shared" si="49"/>
        <v>3</v>
      </c>
      <c r="AH101" s="176">
        <f t="shared" si="42"/>
        <v>9</v>
      </c>
      <c r="AI101" s="225">
        <f t="shared" si="43"/>
        <v>3.026639568152651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IF(t&gt;Tmaj,'2024'!Wh/'2024'!Env_an*'2025'!Env_an,0.001*'[5]mon-tableau'!$B$168)</f>
        <v>22.522983993166811</v>
      </c>
      <c r="C102" s="839"/>
      <c r="D102" s="393">
        <f t="shared" si="25"/>
        <v>24.379116114053222</v>
      </c>
      <c r="E102" s="385">
        <f t="shared" si="47"/>
        <v>27.672165182260692</v>
      </c>
      <c r="F102" s="385">
        <f t="shared" si="26"/>
        <v>27.897565307367518</v>
      </c>
      <c r="G102" s="110">
        <f t="shared" si="48"/>
        <v>0.57374714379329683</v>
      </c>
      <c r="H102" s="414" t="b">
        <f>Wh_hp&gt;='2024'!Maxi_hp</f>
        <v>0</v>
      </c>
      <c r="I102" s="390">
        <f>IF(H102,Wh_hp,'2024'!Maxi_hp)</f>
        <v>49.462573168637149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7.6136153263425849E-2</v>
      </c>
      <c r="M102" s="843"/>
      <c r="N102" s="843"/>
      <c r="O102" s="48">
        <f>IF(t&lt;Tnet,'2024'!Resal+('2024'!Salim-'2024'!Resal)*(1-EXP(('2024'!Tnet-t)/('2024'!Tau_j))),Resal+(Salim-Resal)*(1-EXP((Tnet-t)/(Tau_j))))*Salcycl</f>
        <v>0.11900221925238033</v>
      </c>
      <c r="P102" s="169">
        <f>(INDEX(Models!$BJ102:$BT102,,T102)*(1-R102)+INDEX(Models!$BJ102:$BT102,,T102+1)*R102-ERP_i)*Q102*Ramure*Pc/MaxiM</f>
        <v>2.0140684301514916E-2</v>
      </c>
      <c r="Q102" s="305">
        <f t="shared" si="28"/>
        <v>0.8</v>
      </c>
      <c r="R102" s="177">
        <f t="shared" si="29"/>
        <v>0.82701815972901116</v>
      </c>
      <c r="S102" s="809">
        <f t="shared" si="30"/>
        <v>1</v>
      </c>
      <c r="T102" s="176">
        <f t="shared" si="31"/>
        <v>7</v>
      </c>
      <c r="U102" s="251">
        <f t="shared" si="32"/>
        <v>1.8270181597290112</v>
      </c>
      <c r="V102" s="383">
        <f t="shared" si="33"/>
        <v>38.77861366625875</v>
      </c>
      <c r="W102" s="402">
        <f t="shared" si="34"/>
        <v>22.522983993166811</v>
      </c>
      <c r="X102" s="157">
        <f t="shared" si="35"/>
        <v>45745</v>
      </c>
      <c r="Y102" s="385">
        <f t="shared" si="36"/>
        <v>21.23339350880476</v>
      </c>
      <c r="Z102" s="385">
        <f t="shared" si="37"/>
        <v>22.983249732965405</v>
      </c>
      <c r="AA102" s="386">
        <f t="shared" si="38"/>
        <v>27.428553008942401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0.1620684574402344</v>
      </c>
      <c r="AD102" s="231">
        <f>(INDEX(Models!$BJ102:$BT102,,AH102)*(1-AF102)+INDEX(Models!$BJ102:$BT102,,AH102+1)*AF102-ERP_i)*AE102*Ramure*Pc/MaxiM</f>
        <v>4.1908710705600795E-2</v>
      </c>
      <c r="AE102" s="305">
        <f t="shared" si="40"/>
        <v>0.8</v>
      </c>
      <c r="AF102" s="177">
        <f t="shared" si="41"/>
        <v>2.7734906893914779E-2</v>
      </c>
      <c r="AG102" s="809">
        <f t="shared" si="49"/>
        <v>3</v>
      </c>
      <c r="AH102" s="176">
        <f t="shared" si="42"/>
        <v>9</v>
      </c>
      <c r="AI102" s="225">
        <f t="shared" si="43"/>
        <v>3.0277349068939148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IF(t&gt;Tmaj,'2024'!Wh/'2024'!Env_an*'2025'!Env_an,0.001*'[5]mon-tableau'!$B$169)</f>
        <v>6.9507758907170345</v>
      </c>
      <c r="C103" s="839"/>
      <c r="D103" s="393">
        <f t="shared" si="25"/>
        <v>7.5237724369853236</v>
      </c>
      <c r="E103" s="385">
        <f t="shared" si="47"/>
        <v>8.5410200032517967</v>
      </c>
      <c r="F103" s="385">
        <f t="shared" si="26"/>
        <v>8.5410200032517967</v>
      </c>
      <c r="G103" s="110">
        <f t="shared" si="48"/>
        <v>0.17411119971071584</v>
      </c>
      <c r="H103" s="414" t="b">
        <f>Wh_hp&gt;='2024'!Maxi_hp</f>
        <v>0</v>
      </c>
      <c r="I103" s="390">
        <f>IF(H103,Wh_hp,'2024'!Maxi_hp)</f>
        <v>48.853038467776038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7.6158144211214501E-2</v>
      </c>
      <c r="M103" s="843"/>
      <c r="N103" s="843"/>
      <c r="O103" s="48">
        <f>IF(t&lt;Tnet,'2024'!Resal+('2024'!Salim-'2024'!Resal)*(1-EXP(('2024'!Tnet-t)/('2024'!Tau_j))),Resal+(Salim-Resal)*(1-EXP((Tnet-t)/(Tau_j))))*Salcycl</f>
        <v>0.11910141480516136</v>
      </c>
      <c r="P103" s="169">
        <f>(INDEX(Models!$BJ103:$BT103,,T103)*(1-R103)+INDEX(Models!$BJ103:$BT103,,T103+1)*R103-ERP_i)*Q103*Ramure*Pc/MaxiM</f>
        <v>1.970152310535379E-2</v>
      </c>
      <c r="Q103" s="305">
        <f t="shared" si="28"/>
        <v>0.8</v>
      </c>
      <c r="R103" s="177">
        <f t="shared" si="29"/>
        <v>0.82815500895095306</v>
      </c>
      <c r="S103" s="809">
        <f t="shared" si="30"/>
        <v>1</v>
      </c>
      <c r="T103" s="176">
        <f t="shared" si="31"/>
        <v>7</v>
      </c>
      <c r="U103" s="251">
        <f t="shared" si="32"/>
        <v>1.8281550089509531</v>
      </c>
      <c r="V103" s="383">
        <f t="shared" si="33"/>
        <v>39.134961049186167</v>
      </c>
      <c r="W103" s="402">
        <f t="shared" si="34"/>
        <v>6.9507758907170345</v>
      </c>
      <c r="X103" s="157">
        <f t="shared" si="35"/>
        <v>45746</v>
      </c>
      <c r="Y103" s="385">
        <f t="shared" si="36"/>
        <v>6.6113929796189543</v>
      </c>
      <c r="Z103" s="385">
        <f t="shared" si="37"/>
        <v>7.1564120397793411</v>
      </c>
      <c r="AA103" s="386">
        <f t="shared" si="38"/>
        <v>8.5410200032517967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0.16211271756128634</v>
      </c>
      <c r="AD103" s="231">
        <f>(INDEX(Models!$BJ103:$BT103,,AH103)*(1-AF103)+INDEX(Models!$BJ103:$BT103,,AH103+1)*AF103-ERP_i)*AE103*Ramure*Pc/MaxiM</f>
        <v>4.1546810969363253E-2</v>
      </c>
      <c r="AE103" s="305">
        <f t="shared" si="40"/>
        <v>0.8</v>
      </c>
      <c r="AF103" s="177">
        <f t="shared" si="41"/>
        <v>2.8871756115856684E-2</v>
      </c>
      <c r="AG103" s="809">
        <f t="shared" si="49"/>
        <v>3</v>
      </c>
      <c r="AH103" s="176">
        <f t="shared" si="42"/>
        <v>9</v>
      </c>
      <c r="AI103" s="225">
        <f t="shared" si="43"/>
        <v>3.0288717561158567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IF(t&gt;Tmaj,'2024'!Wh/'2024'!Env_an*'2025'!Env_an,0.001*'[5]mon-tableau'!$B$170)</f>
        <v>25.19992146892794</v>
      </c>
      <c r="C104" s="839"/>
      <c r="D104" s="393">
        <f t="shared" si="25"/>
        <v>27.277960145731885</v>
      </c>
      <c r="E104" s="385">
        <f t="shared" si="47"/>
        <v>30.969582825479907</v>
      </c>
      <c r="F104" s="385">
        <f t="shared" si="26"/>
        <v>31.260276395514087</v>
      </c>
      <c r="G104" s="110">
        <f t="shared" si="48"/>
        <v>0.63180512480485818</v>
      </c>
      <c r="H104" s="414" t="b">
        <f>Wh_hp&gt;='2024'!Maxi_hp</f>
        <v>0</v>
      </c>
      <c r="I104" s="390">
        <f>IF(H104,Wh_hp,'2024'!Maxi_hp)</f>
        <v>44.47420567428135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7.6180134647241632E-2</v>
      </c>
      <c r="M104" s="843"/>
      <c r="N104" s="843"/>
      <c r="O104" s="48">
        <f>IF(t&lt;Tnet,'2024'!Resal+('2024'!Salim-'2024'!Resal)*(1-EXP(('2024'!Tnet-t)/('2024'!Tau_j))),Resal+(Salim-Resal)*(1-EXP((Tnet-t)/(Tau_j))))*Salcycl</f>
        <v>0.1192015630482041</v>
      </c>
      <c r="P104" s="169">
        <f>(INDEX(Models!$BJ104:$BT104,,T104)*(1-R104)+INDEX(Models!$BJ104:$BT104,,T104+1)*R104-ERP_i)*Q104*Ramure*Pc/MaxiM</f>
        <v>1.9246425844649053E-2</v>
      </c>
      <c r="Q104" s="305">
        <f t="shared" si="28"/>
        <v>0.8</v>
      </c>
      <c r="R104" s="177">
        <f t="shared" si="29"/>
        <v>0.82933475833135017</v>
      </c>
      <c r="S104" s="809">
        <f t="shared" si="30"/>
        <v>1</v>
      </c>
      <c r="T104" s="176">
        <f t="shared" si="31"/>
        <v>7</v>
      </c>
      <c r="U104" s="251">
        <f t="shared" si="32"/>
        <v>1.8293347583313502</v>
      </c>
      <c r="V104" s="383">
        <f t="shared" si="33"/>
        <v>39.485114429145533</v>
      </c>
      <c r="W104" s="402">
        <f t="shared" si="34"/>
        <v>25.19992146892794</v>
      </c>
      <c r="X104" s="157">
        <f t="shared" si="35"/>
        <v>45747</v>
      </c>
      <c r="Y104" s="385">
        <f t="shared" si="36"/>
        <v>23.714944717996705</v>
      </c>
      <c r="Z104" s="385">
        <f t="shared" si="37"/>
        <v>25.670529079758651</v>
      </c>
      <c r="AA104" s="386">
        <f t="shared" si="38"/>
        <v>30.638880225965217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0.1621583788168631</v>
      </c>
      <c r="AD104" s="231">
        <f>(INDEX(Models!$BJ104:$BT104,,AH104)*(1-AF104)+INDEX(Models!$BJ104:$BT104,,AH104+1)*AF104-ERP_i)*AE104*Ramure*Pc/MaxiM</f>
        <v>4.1141795107353378E-2</v>
      </c>
      <c r="AE104" s="305">
        <f t="shared" si="40"/>
        <v>0.8</v>
      </c>
      <c r="AF104" s="177">
        <f t="shared" si="41"/>
        <v>3.0051505496254016E-2</v>
      </c>
      <c r="AG104" s="809">
        <f t="shared" si="49"/>
        <v>3</v>
      </c>
      <c r="AH104" s="176">
        <f t="shared" si="42"/>
        <v>9</v>
      </c>
      <c r="AI104" s="225">
        <f t="shared" si="43"/>
        <v>3.030051505496254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IF(t&gt;Tmaj,'2024'!Wh/'2024'!Env_an*'2025'!Env_an,0.001*'[6]mon-tableau'!$B$136)</f>
        <v>27.064510131828467</v>
      </c>
      <c r="C105" s="839"/>
      <c r="D105" s="393">
        <f t="shared" si="25"/>
        <v>29.297004086825016</v>
      </c>
      <c r="E105" s="385">
        <f t="shared" si="47"/>
        <v>33.265691174059612</v>
      </c>
      <c r="F105" s="385">
        <f t="shared" si="26"/>
        <v>33.60781967801848</v>
      </c>
      <c r="G105" s="110">
        <f t="shared" si="48"/>
        <v>0.67363206612201576</v>
      </c>
      <c r="H105" s="414" t="b">
        <f>Wh_hp&gt;='2024'!Maxi_hp</f>
        <v>0</v>
      </c>
      <c r="I105" s="390">
        <f>IF(H105,Wh_hp,'2024'!Maxi_hp)</f>
        <v>45.531723733193161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7.6202124571519342E-2</v>
      </c>
      <c r="M105" s="843"/>
      <c r="N105" s="843"/>
      <c r="O105" s="48">
        <f>IF(t&lt;Tnet,'2024'!Resal+('2024'!Salim-'2024'!Resal)*(1-EXP(('2024'!Tnet-t)/('2024'!Tau_j))),Resal+(Salim-Resal)*(1-EXP((Tnet-t)/(Tau_j))))*Salcycl</f>
        <v>0.11930270940317493</v>
      </c>
      <c r="P105" s="169">
        <f>(INDEX(Models!$BJ105:$BT105,,T105)*(1-R105)+INDEX(Models!$BJ105:$BT105,,T105+1)*R105-ERP_i)*Q105*Ramure*Pc/MaxiM</f>
        <v>1.8775744629769432E-2</v>
      </c>
      <c r="Q105" s="305">
        <f t="shared" si="28"/>
        <v>0.8</v>
      </c>
      <c r="R105" s="177">
        <f t="shared" si="29"/>
        <v>0.83055882921449253</v>
      </c>
      <c r="S105" s="809">
        <f t="shared" si="30"/>
        <v>1</v>
      </c>
      <c r="T105" s="176">
        <f t="shared" si="31"/>
        <v>7</v>
      </c>
      <c r="U105" s="251">
        <f t="shared" si="32"/>
        <v>1.8305588292144925</v>
      </c>
      <c r="V105" s="383">
        <f t="shared" si="33"/>
        <v>39.828090081831874</v>
      </c>
      <c r="W105" s="402">
        <f t="shared" si="34"/>
        <v>27.064510131828467</v>
      </c>
      <c r="X105" s="157">
        <f t="shared" si="35"/>
        <v>45748</v>
      </c>
      <c r="Y105" s="385">
        <f t="shared" si="36"/>
        <v>25.436944537877853</v>
      </c>
      <c r="Z105" s="385">
        <f t="shared" si="37"/>
        <v>27.535184064024349</v>
      </c>
      <c r="AA105" s="386">
        <f t="shared" si="38"/>
        <v>32.866274579803886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0.16220550043890458</v>
      </c>
      <c r="AD105" s="231">
        <f>(INDEX(Models!$BJ105:$BT105,,AH105)*(1-AF105)+INDEX(Models!$BJ105:$BT105,,AH105+1)*AF105-ERP_i)*AE105*Ramure*Pc/MaxiM</f>
        <v>4.0695414835147416E-2</v>
      </c>
      <c r="AE105" s="305">
        <f t="shared" si="40"/>
        <v>0.8</v>
      </c>
      <c r="AF105" s="177">
        <f t="shared" si="41"/>
        <v>3.1275576379396153E-2</v>
      </c>
      <c r="AG105" s="809">
        <f t="shared" si="49"/>
        <v>3</v>
      </c>
      <c r="AH105" s="176">
        <f t="shared" si="42"/>
        <v>9</v>
      </c>
      <c r="AI105" s="225">
        <f t="shared" si="43"/>
        <v>3.0312755763793962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IF(t&gt;Tmaj,'2024'!Wh/'2024'!Env_an*'2025'!Env_an,0.001*'[6]mon-tableau'!$B$137)</f>
        <v>18.128853655108124</v>
      </c>
      <c r="C106" s="839"/>
      <c r="D106" s="393">
        <f t="shared" si="25"/>
        <v>19.624731419754003</v>
      </c>
      <c r="E106" s="385">
        <f t="shared" si="47"/>
        <v>22.285760377198802</v>
      </c>
      <c r="F106" s="385">
        <f t="shared" si="26"/>
        <v>22.374258650840002</v>
      </c>
      <c r="G106" s="110">
        <f t="shared" si="48"/>
        <v>0.44488703275057495</v>
      </c>
      <c r="H106" s="414" t="b">
        <f>Wh_hp&gt;='2024'!Maxi_hp</f>
        <v>0</v>
      </c>
      <c r="I106" s="390">
        <f>IF(H106,Wh_hp,'2024'!Maxi_hp)</f>
        <v>41.845132643511377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7.6224113984059289E-2</v>
      </c>
      <c r="M106" s="843"/>
      <c r="N106" s="843"/>
      <c r="O106" s="48">
        <f>IF(t&lt;Tnet,'2024'!Resal+('2024'!Salim-'2024'!Resal)*(1-EXP(('2024'!Tnet-t)/('2024'!Tau_j))),Resal+(Salim-Resal)*(1-EXP((Tnet-t)/(Tau_j))))*Salcycl</f>
        <v>0.11940489857224588</v>
      </c>
      <c r="P106" s="169">
        <f>(INDEX(Models!$BJ106:$BT106,,T106)*(1-R106)+INDEX(Models!$BJ106:$BT106,,T106+1)*R106-ERP_i)*Q106*Ramure*Pc/MaxiM</f>
        <v>1.8289719344336704E-2</v>
      </c>
      <c r="Q106" s="305">
        <f t="shared" si="28"/>
        <v>0.8</v>
      </c>
      <c r="R106" s="177">
        <f t="shared" si="29"/>
        <v>0.83182867407381966</v>
      </c>
      <c r="S106" s="809">
        <f t="shared" si="30"/>
        <v>1</v>
      </c>
      <c r="T106" s="176">
        <f t="shared" si="31"/>
        <v>7</v>
      </c>
      <c r="U106" s="251">
        <f t="shared" si="32"/>
        <v>1.8318286740738197</v>
      </c>
      <c r="V106" s="383">
        <f t="shared" si="33"/>
        <v>40.162906343487649</v>
      </c>
      <c r="W106" s="402">
        <f t="shared" si="34"/>
        <v>18.128853655108124</v>
      </c>
      <c r="X106" s="157">
        <f t="shared" si="35"/>
        <v>45749</v>
      </c>
      <c r="Y106" s="385">
        <f t="shared" si="36"/>
        <v>17.164634246065194</v>
      </c>
      <c r="Z106" s="385">
        <f t="shared" si="37"/>
        <v>18.580950754292584</v>
      </c>
      <c r="AA106" s="386">
        <f t="shared" si="38"/>
        <v>22.179698705613205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0.16225414055826887</v>
      </c>
      <c r="AD106" s="231">
        <f>(INDEX(Models!$BJ106:$BT106,,AH106)*(1-AF106)+INDEX(Models!$BJ106:$BT106,,AH106+1)*AF106-ERP_i)*AE106*Ramure*Pc/MaxiM</f>
        <v>4.0209222705006827E-2</v>
      </c>
      <c r="AE106" s="305">
        <f t="shared" si="40"/>
        <v>0.8</v>
      </c>
      <c r="AF106" s="177">
        <f t="shared" si="41"/>
        <v>3.2545421238723282E-2</v>
      </c>
      <c r="AG106" s="809">
        <f t="shared" si="49"/>
        <v>3</v>
      </c>
      <c r="AH106" s="176">
        <f t="shared" si="42"/>
        <v>9</v>
      </c>
      <c r="AI106" s="225">
        <f t="shared" si="43"/>
        <v>3.0325454212387233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IF(t&gt;Tmaj,'2024'!Wh/'2024'!Env_an*'2025'!Env_an,0.001*'[6]mon-tableau'!$B$138)</f>
        <v>18.133077138414134</v>
      </c>
      <c r="C107" s="839"/>
      <c r="D107" s="393">
        <f t="shared" si="25"/>
        <v>19.629770651083085</v>
      </c>
      <c r="E107" s="385">
        <f t="shared" si="47"/>
        <v>22.294097550105352</v>
      </c>
      <c r="F107" s="385">
        <f t="shared" si="26"/>
        <v>22.378160996636673</v>
      </c>
      <c r="G107" s="110">
        <f t="shared" si="48"/>
        <v>0.44152401710431366</v>
      </c>
      <c r="H107" s="414" t="b">
        <f>Wh_hp&gt;='2024'!Maxi_hp</f>
        <v>0</v>
      </c>
      <c r="I107" s="390">
        <f>IF(H107,Wh_hp,'2024'!Maxi_hp)</f>
        <v>50.711672503234396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7.6246102884873462E-2</v>
      </c>
      <c r="M107" s="843"/>
      <c r="N107" s="843"/>
      <c r="O107" s="48">
        <f>IF(t&lt;Tnet,'2024'!Resal+('2024'!Salim-'2024'!Resal)*(1-EXP(('2024'!Tnet-t)/('2024'!Tau_j))),Resal+(Salim-Resal)*(1-EXP((Tnet-t)/(Tau_j))))*Salcycl</f>
        <v>0.11950817444098236</v>
      </c>
      <c r="P107" s="169">
        <f>(INDEX(Models!$BJ107:$BT107,,T107)*(1-R107)+INDEX(Models!$BJ107:$BT107,,T107+1)*R107-ERP_i)*Q107*Ramure*Pc/MaxiM</f>
        <v>1.7787489403347231E-2</v>
      </c>
      <c r="Q107" s="305">
        <f t="shared" si="28"/>
        <v>0.8</v>
      </c>
      <c r="R107" s="177">
        <f t="shared" si="29"/>
        <v>0.83314577583959593</v>
      </c>
      <c r="S107" s="809">
        <f t="shared" si="30"/>
        <v>1</v>
      </c>
      <c r="T107" s="176">
        <f t="shared" si="31"/>
        <v>7</v>
      </c>
      <c r="U107" s="251">
        <f t="shared" si="32"/>
        <v>1.8331457758395959</v>
      </c>
      <c r="V107" s="383">
        <f t="shared" si="33"/>
        <v>40.490872498164691</v>
      </c>
      <c r="W107" s="402">
        <f t="shared" si="34"/>
        <v>18.133077138414134</v>
      </c>
      <c r="X107" s="157">
        <f t="shared" si="35"/>
        <v>45750</v>
      </c>
      <c r="Y107" s="385">
        <f t="shared" si="36"/>
        <v>17.171650034843175</v>
      </c>
      <c r="Z107" s="385">
        <f t="shared" si="37"/>
        <v>18.588987920343342</v>
      </c>
      <c r="AA107" s="386">
        <f t="shared" si="38"/>
        <v>22.190622638643461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0.16230435607643195</v>
      </c>
      <c r="AD107" s="231">
        <f>(INDEX(Models!$BJ107:$BT107,,AH107)*(1-AF107)+INDEX(Models!$BJ107:$BT107,,AH107+1)*AF107-ERP_i)*AE107*Ramure*Pc/MaxiM</f>
        <v>3.9682367225836221E-2</v>
      </c>
      <c r="AE107" s="305">
        <f t="shared" si="40"/>
        <v>0.8</v>
      </c>
      <c r="AF107" s="177">
        <f t="shared" si="41"/>
        <v>3.3862523004499767E-2</v>
      </c>
      <c r="AG107" s="809">
        <f t="shared" si="49"/>
        <v>3</v>
      </c>
      <c r="AH107" s="176">
        <f t="shared" si="42"/>
        <v>9</v>
      </c>
      <c r="AI107" s="225">
        <f t="shared" si="43"/>
        <v>3.0338625230044998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IF(t&gt;Tmaj,'2024'!Wh/'2024'!Env_an*'2025'!Env_an,0.001*'[6]mon-tableau'!$B$139)</f>
        <v>39.877004667826796</v>
      </c>
      <c r="C108" s="839"/>
      <c r="D108" s="393">
        <f t="shared" si="25"/>
        <v>43.16945673428512</v>
      </c>
      <c r="E108" s="385">
        <f t="shared" si="47"/>
        <v>49.03461334507022</v>
      </c>
      <c r="F108" s="385">
        <f t="shared" si="26"/>
        <v>49.867140068742756</v>
      </c>
      <c r="G108" s="110">
        <f t="shared" si="48"/>
        <v>0.9764724144859005</v>
      </c>
      <c r="H108" s="414" t="b">
        <f>Wh_hp&gt;='2024'!Maxi_hp</f>
        <v>0</v>
      </c>
      <c r="I108" s="390">
        <f>IF(H108,Wh_hp,'2024'!Maxi_hp)</f>
        <v>52.742592428937442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7.6268091273973854E-2</v>
      </c>
      <c r="M108" s="843"/>
      <c r="N108" s="843"/>
      <c r="O108" s="48">
        <f>IF(t&lt;Tnet,'2024'!Resal+('2024'!Salim-'2024'!Resal)*(1-EXP(('2024'!Tnet-t)/('2024'!Tau_j))),Resal+(Salim-Resal)*(1-EXP((Tnet-t)/(Tau_j))))*Salcycl</f>
        <v>0.11961257998529236</v>
      </c>
      <c r="P108" s="169">
        <f>(INDEX(Models!$BJ108:$BT108,,T108)*(1-R108)+INDEX(Models!$BJ108:$BT108,,T108+1)*R108-ERP_i)*Q108*Ramure*Pc/MaxiM</f>
        <v>1.726118400304491E-2</v>
      </c>
      <c r="Q108" s="305">
        <f t="shared" si="28"/>
        <v>0.8</v>
      </c>
      <c r="R108" s="177">
        <f t="shared" si="29"/>
        <v>0.83451164708141912</v>
      </c>
      <c r="S108" s="809">
        <f t="shared" si="30"/>
        <v>1</v>
      </c>
      <c r="T108" s="176">
        <f t="shared" si="31"/>
        <v>7</v>
      </c>
      <c r="U108" s="251">
        <f t="shared" si="32"/>
        <v>1.8345116470814191</v>
      </c>
      <c r="V108" s="383">
        <f t="shared" si="33"/>
        <v>40.814301366460974</v>
      </c>
      <c r="W108" s="402">
        <f t="shared" si="34"/>
        <v>39.877004667826796</v>
      </c>
      <c r="X108" s="157">
        <f t="shared" si="35"/>
        <v>45751</v>
      </c>
      <c r="Y108" s="385">
        <f t="shared" si="36"/>
        <v>37.126348021387777</v>
      </c>
      <c r="Z108" s="385">
        <f t="shared" si="37"/>
        <v>40.191691626838939</v>
      </c>
      <c r="AA108" s="386">
        <f t="shared" si="38"/>
        <v>47.981841146394203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0.16235620254310915</v>
      </c>
      <c r="AD108" s="231">
        <f>(INDEX(Models!$BJ108:$BT108,,AH108)*(1-AF108)+INDEX(Models!$BJ108:$BT108,,AH108+1)*AF108-ERP_i)*AE108*Ramure*Pc/MaxiM</f>
        <v>3.9088825228150659E-2</v>
      </c>
      <c r="AE108" s="305">
        <f t="shared" si="40"/>
        <v>0.8</v>
      </c>
      <c r="AF108" s="177">
        <f t="shared" si="41"/>
        <v>3.5228394246322736E-2</v>
      </c>
      <c r="AG108" s="809">
        <f t="shared" si="49"/>
        <v>3</v>
      </c>
      <c r="AH108" s="176">
        <f t="shared" si="42"/>
        <v>9</v>
      </c>
      <c r="AI108" s="225">
        <f t="shared" si="43"/>
        <v>3.0352283942463227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IF(t&gt;Tmaj,'2024'!Wh/'2024'!Env_an*'2025'!Env_an,0.001*'[6]mon-tableau'!$B$140)</f>
        <v>41.046844913077138</v>
      </c>
      <c r="C109" s="839"/>
      <c r="D109" s="393">
        <f t="shared" si="25"/>
        <v>44.436942796247891</v>
      </c>
      <c r="E109" s="385">
        <f t="shared" si="47"/>
        <v>50.480358261163119</v>
      </c>
      <c r="F109" s="385">
        <f t="shared" si="26"/>
        <v>51.336698085504899</v>
      </c>
      <c r="G109" s="110">
        <f t="shared" si="48"/>
        <v>0.99786792637729127</v>
      </c>
      <c r="H109" s="414" t="b">
        <f>Wh_hp&gt;='2024'!Maxi_hp</f>
        <v>0</v>
      </c>
      <c r="I109" s="390">
        <f>IF(H109,Wh_hp,'2024'!Maxi_hp)</f>
        <v>53.625563554782609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7.6290079151372231E-2</v>
      </c>
      <c r="M109" s="843"/>
      <c r="N109" s="843"/>
      <c r="O109" s="48">
        <f>IF(t&lt;Tnet,'2024'!Resal+('2024'!Salim-'2024'!Resal)*(1-EXP(('2024'!Tnet-t)/('2024'!Tau_j))),Resal+(Salim-Resal)*(1-EXP((Tnet-t)/(Tau_j))))*Salcycl</f>
        <v>0.1197181571820323</v>
      </c>
      <c r="P109" s="169">
        <f>(INDEX(Models!$BJ109:$BT109,,T109)*(1-R109)+INDEX(Models!$BJ109:$BT109,,T109+1)*R109-ERP_i)*Q109*Ramure*Pc/MaxiM</f>
        <v>1.673060288263269E-2</v>
      </c>
      <c r="Q109" s="305">
        <f t="shared" si="28"/>
        <v>0.8</v>
      </c>
      <c r="R109" s="177">
        <f t="shared" si="29"/>
        <v>0.83592782903504181</v>
      </c>
      <c r="S109" s="809">
        <f t="shared" si="30"/>
        <v>1</v>
      </c>
      <c r="T109" s="176">
        <f t="shared" si="31"/>
        <v>7</v>
      </c>
      <c r="U109" s="251">
        <f t="shared" si="32"/>
        <v>1.8359278290350418</v>
      </c>
      <c r="V109" s="383">
        <f t="shared" si="33"/>
        <v>41.132465567702035</v>
      </c>
      <c r="W109" s="402">
        <f t="shared" si="34"/>
        <v>41.046844913077138</v>
      </c>
      <c r="X109" s="157">
        <f t="shared" si="35"/>
        <v>45752</v>
      </c>
      <c r="Y109" s="385">
        <f t="shared" si="36"/>
        <v>38.19543780438503</v>
      </c>
      <c r="Z109" s="385">
        <f t="shared" si="37"/>
        <v>41.350035267883925</v>
      </c>
      <c r="AA109" s="386">
        <f t="shared" si="38"/>
        <v>49.367855559367591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0.16240973403922301</v>
      </c>
      <c r="AD109" s="231">
        <f>(INDEX(Models!$BJ109:$BT109,,AH109)*(1-AF109)+INDEX(Models!$BJ109:$BT109,,AH109+1)*AF109-ERP_i)*AE109*Ramure*Pc/MaxiM</f>
        <v>3.8465947170635909E-2</v>
      </c>
      <c r="AE109" s="305">
        <f t="shared" si="40"/>
        <v>0.8</v>
      </c>
      <c r="AF109" s="177">
        <f t="shared" si="41"/>
        <v>3.6644576199945433E-2</v>
      </c>
      <c r="AG109" s="809">
        <f t="shared" si="49"/>
        <v>3</v>
      </c>
      <c r="AH109" s="176">
        <f t="shared" si="42"/>
        <v>9</v>
      </c>
      <c r="AI109" s="225">
        <f t="shared" si="43"/>
        <v>3.0366445761999454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IF(t&gt;Tmaj,'2024'!Wh/'2024'!Env_an*'2025'!Env_an,0.001*'[6]mon-tableau'!$B$141)</f>
        <v>9.9989177417711268</v>
      </c>
      <c r="C110" s="839"/>
      <c r="D110" s="393">
        <f t="shared" si="25"/>
        <v>10.824995519935548</v>
      </c>
      <c r="E110" s="385">
        <f t="shared" si="47"/>
        <v>12.298684769682973</v>
      </c>
      <c r="F110" s="385">
        <f t="shared" si="26"/>
        <v>12.298684769682973</v>
      </c>
      <c r="G110" s="110">
        <f t="shared" si="48"/>
        <v>0.23734760597238908</v>
      </c>
      <c r="H110" s="414" t="b">
        <f>Wh_hp&gt;='2024'!Maxi_hp</f>
        <v>0</v>
      </c>
      <c r="I110" s="390">
        <f>IF(H110,Wh_hp,'2024'!Maxi_hp)</f>
        <v>54.126950024967606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7.6312066517080696E-2</v>
      </c>
      <c r="M110" s="843"/>
      <c r="N110" s="843"/>
      <c r="O110" s="48">
        <f>IF(t&lt;Tnet,'2024'!Resal+('2024'!Salim-'2024'!Resal)*(1-EXP(('2024'!Tnet-t)/('2024'!Tau_j))),Resal+(Salim-Resal)*(1-EXP((Tnet-t)/(Tau_j))))*Salcycl</f>
        <v>0.11982494692279304</v>
      </c>
      <c r="P110" s="169">
        <f>(INDEX(Models!$BJ110:$BT110,,T110)*(1-R110)+INDEX(Models!$BJ110:$BT110,,T110+1)*R110-ERP_i)*Q110*Ramure*Pc/MaxiM</f>
        <v>1.6195270968348937E-2</v>
      </c>
      <c r="Q110" s="305">
        <f t="shared" si="28"/>
        <v>0.8</v>
      </c>
      <c r="R110" s="177">
        <f t="shared" si="29"/>
        <v>0.83739589046268992</v>
      </c>
      <c r="S110" s="809">
        <f t="shared" si="30"/>
        <v>1</v>
      </c>
      <c r="T110" s="176">
        <f t="shared" si="31"/>
        <v>7</v>
      </c>
      <c r="U110" s="251">
        <f t="shared" si="32"/>
        <v>1.8373958904626899</v>
      </c>
      <c r="V110" s="383">
        <f t="shared" si="33"/>
        <v>41.445467795016476</v>
      </c>
      <c r="W110" s="402">
        <f t="shared" si="34"/>
        <v>9.9989177417711268</v>
      </c>
      <c r="X110" s="157">
        <f t="shared" si="35"/>
        <v>45753</v>
      </c>
      <c r="Y110" s="385">
        <f t="shared" si="36"/>
        <v>9.5145204478744905</v>
      </c>
      <c r="Z110" s="385">
        <f t="shared" si="37"/>
        <v>10.3005789108865</v>
      </c>
      <c r="AA110" s="386">
        <f t="shared" si="38"/>
        <v>12.298684769682973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0.16246500306454947</v>
      </c>
      <c r="AD110" s="231">
        <f>(INDEX(Models!$BJ110:$BT110,,AH110)*(1-AF110)+INDEX(Models!$BJ110:$BT110,,AH110+1)*AF110-ERP_i)*AE110*Ramure*Pc/MaxiM</f>
        <v>3.7813660887356305E-2</v>
      </c>
      <c r="AE110" s="305">
        <f t="shared" si="40"/>
        <v>0.8</v>
      </c>
      <c r="AF110" s="177">
        <f t="shared" si="41"/>
        <v>3.811263762759376E-2</v>
      </c>
      <c r="AG110" s="809">
        <f t="shared" si="49"/>
        <v>3</v>
      </c>
      <c r="AH110" s="176">
        <f t="shared" si="42"/>
        <v>9</v>
      </c>
      <c r="AI110" s="225">
        <f t="shared" si="43"/>
        <v>3.0381126376275938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IF(t&gt;Tmaj,'2024'!Wh/'2024'!Env_an*'2025'!Env_an,0.001*'[6]mon-tableau'!$B$142)</f>
        <v>29.850365592339486</v>
      </c>
      <c r="C111" s="839"/>
      <c r="D111" s="393">
        <f t="shared" si="25"/>
        <v>32.317274119809873</v>
      </c>
      <c r="E111" s="385">
        <f t="shared" si="47"/>
        <v>36.721378841970463</v>
      </c>
      <c r="F111" s="385">
        <f t="shared" si="26"/>
        <v>37.065316033620057</v>
      </c>
      <c r="G111" s="110">
        <f t="shared" si="48"/>
        <v>0.71031974029196032</v>
      </c>
      <c r="H111" s="414" t="b">
        <f>Wh_hp&gt;='2024'!Maxi_hp</f>
        <v>0</v>
      </c>
      <c r="I111" s="390">
        <f>IF(H111,Wh_hp,'2024'!Maxi_hp)</f>
        <v>53.441018311123912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7.6334053371110905E-2</v>
      </c>
      <c r="M111" s="843"/>
      <c r="N111" s="843"/>
      <c r="O111" s="48">
        <f>IF(t&lt;Tnet,'2024'!Resal+('2024'!Salim-'2024'!Resal)*(1-EXP(('2024'!Tnet-t)/('2024'!Tau_j))),Resal+(Salim-Resal)*(1-EXP((Tnet-t)/(Tau_j))))*Salcycl</f>
        <v>0.11993298893033255</v>
      </c>
      <c r="P111" s="169">
        <f>(INDEX(Models!$BJ111:$BT111,,T111)*(1-R111)+INDEX(Models!$BJ111:$BT111,,T111+1)*R111-ERP_i)*Q111*Ramure*Pc/MaxiM</f>
        <v>1.5654698051180947E-2</v>
      </c>
      <c r="Q111" s="305">
        <f t="shared" si="28"/>
        <v>0.8</v>
      </c>
      <c r="R111" s="177">
        <f t="shared" si="29"/>
        <v>0.83891742633582878</v>
      </c>
      <c r="S111" s="809">
        <f t="shared" si="30"/>
        <v>1</v>
      </c>
      <c r="T111" s="176">
        <f t="shared" si="31"/>
        <v>7</v>
      </c>
      <c r="U111" s="251">
        <f t="shared" si="32"/>
        <v>1.8389174263358288</v>
      </c>
      <c r="V111" s="383">
        <f t="shared" si="33"/>
        <v>41.753411968460597</v>
      </c>
      <c r="W111" s="402">
        <f t="shared" si="34"/>
        <v>29.850365592339486</v>
      </c>
      <c r="X111" s="157">
        <f t="shared" si="35"/>
        <v>45754</v>
      </c>
      <c r="Y111" s="385">
        <f t="shared" si="36"/>
        <v>28.040812202042517</v>
      </c>
      <c r="Z111" s="385">
        <f t="shared" si="37"/>
        <v>30.358174732308029</v>
      </c>
      <c r="AA111" s="386">
        <f t="shared" si="38"/>
        <v>36.249521686350185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0.16252206042929809</v>
      </c>
      <c r="AD111" s="231">
        <f>(INDEX(Models!$BJ111:$BT111,,AH111)*(1-AF111)+INDEX(Models!$BJ111:$BT111,,AH111+1)*AF111-ERP_i)*AE111*Ramure*Pc/MaxiM</f>
        <v>3.7131820833675271E-2</v>
      </c>
      <c r="AE111" s="305">
        <f t="shared" si="40"/>
        <v>0.8</v>
      </c>
      <c r="AF111" s="177">
        <f t="shared" si="41"/>
        <v>3.9634173500732395E-2</v>
      </c>
      <c r="AG111" s="809">
        <f t="shared" si="49"/>
        <v>3</v>
      </c>
      <c r="AH111" s="176">
        <f t="shared" si="42"/>
        <v>9</v>
      </c>
      <c r="AI111" s="225">
        <f t="shared" si="43"/>
        <v>3.0396341735007324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IF(t&gt;Tmaj,'2024'!Wh/'2024'!Env_an*'2025'!Env_an,0.001*'[6]mon-tableau'!$B$143)</f>
        <v>23.435114549318971</v>
      </c>
      <c r="C112" s="839"/>
      <c r="D112" s="393">
        <f t="shared" si="25"/>
        <v>25.372454708683556</v>
      </c>
      <c r="E112" s="385">
        <f t="shared" si="47"/>
        <v>28.83372159106537</v>
      </c>
      <c r="F112" s="385">
        <f t="shared" si="26"/>
        <v>28.994697541976301</v>
      </c>
      <c r="G112" s="110">
        <f t="shared" si="48"/>
        <v>0.55187570711411305</v>
      </c>
      <c r="H112" s="414" t="b">
        <f>Wh_hp&gt;='2024'!Maxi_hp</f>
        <v>0</v>
      </c>
      <c r="I112" s="390">
        <f>IF(H112,Wh_hp,'2024'!Maxi_hp)</f>
        <v>51.207037958344102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7.635603971347496E-2</v>
      </c>
      <c r="M112" s="843"/>
      <c r="N112" s="843"/>
      <c r="O112" s="48">
        <f>IF(t&lt;Tnet,'2024'!Resal+('2024'!Salim-'2024'!Resal)*(1-EXP(('2024'!Tnet-t)/('2024'!Tau_j))),Resal+(Salim-Resal)*(1-EXP((Tnet-t)/(Tau_j))))*Salcycl</f>
        <v>0.12004232167707225</v>
      </c>
      <c r="P112" s="169">
        <f>(INDEX(Models!$BJ112:$BT112,,T112)*(1-R112)+INDEX(Models!$BJ112:$BT112,,T112+1)*R112-ERP_i)*Q112*Ramure*Pc/MaxiM</f>
        <v>1.5108377832762778E-2</v>
      </c>
      <c r="Q112" s="305">
        <f t="shared" si="28"/>
        <v>0.8</v>
      </c>
      <c r="R112" s="177">
        <f t="shared" si="29"/>
        <v>0.840494056329121</v>
      </c>
      <c r="S112" s="809">
        <f t="shared" si="30"/>
        <v>1</v>
      </c>
      <c r="T112" s="176">
        <f t="shared" si="31"/>
        <v>7</v>
      </c>
      <c r="U112" s="251">
        <f t="shared" si="32"/>
        <v>1.840494056329121</v>
      </c>
      <c r="V112" s="383">
        <f t="shared" si="33"/>
        <v>42.05640328273914</v>
      </c>
      <c r="W112" s="402">
        <f t="shared" si="34"/>
        <v>23.435114549318971</v>
      </c>
      <c r="X112" s="157">
        <f t="shared" si="35"/>
        <v>45755</v>
      </c>
      <c r="Y112" s="385">
        <f t="shared" si="36"/>
        <v>22.126586598679477</v>
      </c>
      <c r="Z112" s="385">
        <f t="shared" si="37"/>
        <v>23.955753028272444</v>
      </c>
      <c r="AA112" s="386">
        <f t="shared" si="38"/>
        <v>28.606649413531912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0.1625809551488207</v>
      </c>
      <c r="AD112" s="231">
        <f>(INDEX(Models!$BJ112:$BT112,,AH112)*(1-AF112)+INDEX(Models!$BJ112:$BT112,,AH112+1)*AF112-ERP_i)*AE112*Ramure*Pc/MaxiM</f>
        <v>3.6420208786828605E-2</v>
      </c>
      <c r="AE112" s="305">
        <f t="shared" si="40"/>
        <v>0.8</v>
      </c>
      <c r="AF112" s="177">
        <f t="shared" si="41"/>
        <v>4.1210803494024617E-2</v>
      </c>
      <c r="AG112" s="809">
        <f t="shared" si="49"/>
        <v>3</v>
      </c>
      <c r="AH112" s="176">
        <f t="shared" si="42"/>
        <v>9</v>
      </c>
      <c r="AI112" s="225">
        <f t="shared" si="43"/>
        <v>3.0412108034940246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IF(t&gt;Tmaj,'2024'!Wh/'2024'!Env_an*'2025'!Env_an,0.001*'[6]mon-tableau'!$B$144)</f>
        <v>31.484066144388304</v>
      </c>
      <c r="C113" s="839"/>
      <c r="D113" s="393">
        <f t="shared" si="25"/>
        <v>34.087610532369872</v>
      </c>
      <c r="E113" s="385">
        <f t="shared" si="47"/>
        <v>38.74265621957025</v>
      </c>
      <c r="F113" s="385">
        <f t="shared" si="26"/>
        <v>39.103144974015649</v>
      </c>
      <c r="G113" s="110">
        <f t="shared" si="48"/>
        <v>0.73934152797497565</v>
      </c>
      <c r="H113" s="414" t="b">
        <f>Wh_hp&gt;='2024'!Maxi_hp</f>
        <v>0</v>
      </c>
      <c r="I113" s="390">
        <f>IF(H113,Wh_hp,'2024'!Maxi_hp)</f>
        <v>43.332487476984227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7.6378025544184741E-2</v>
      </c>
      <c r="M113" s="843"/>
      <c r="N113" s="843"/>
      <c r="O113" s="48">
        <f>IF(t&lt;Tnet,'2024'!Resal+('2024'!Salim-'2024'!Resal)*(1-EXP(('2024'!Tnet-t)/('2024'!Tau_j))),Resal+(Salim-Resal)*(1-EXP((Tnet-t)/(Tau_j))))*Salcycl</f>
        <v>0.12015298230504264</v>
      </c>
      <c r="P113" s="169">
        <f>(INDEX(Models!$BJ113:$BT113,,T113)*(1-R113)+INDEX(Models!$BJ113:$BT113,,T113+1)*R113-ERP_i)*Q113*Ramure*Pc/MaxiM</f>
        <v>1.4555787022635287E-2</v>
      </c>
      <c r="Q113" s="305">
        <f t="shared" si="28"/>
        <v>0.8</v>
      </c>
      <c r="R113" s="177">
        <f t="shared" si="29"/>
        <v>0.84212742311420019</v>
      </c>
      <c r="S113" s="809">
        <f t="shared" si="30"/>
        <v>1</v>
      </c>
      <c r="T113" s="176">
        <f t="shared" si="31"/>
        <v>7</v>
      </c>
      <c r="U113" s="251">
        <f t="shared" si="32"/>
        <v>1.8421274231142002</v>
      </c>
      <c r="V113" s="383">
        <f t="shared" si="33"/>
        <v>42.354548260145762</v>
      </c>
      <c r="W113" s="402">
        <f t="shared" si="34"/>
        <v>31.484066144388304</v>
      </c>
      <c r="X113" s="157">
        <f t="shared" si="35"/>
        <v>45756</v>
      </c>
      <c r="Y113" s="385">
        <f t="shared" si="36"/>
        <v>29.559079895469342</v>
      </c>
      <c r="Z113" s="385">
        <f t="shared" si="37"/>
        <v>32.003439408081562</v>
      </c>
      <c r="AA113" s="386">
        <f t="shared" si="38"/>
        <v>38.219530063251575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0.16264173434060192</v>
      </c>
      <c r="AD113" s="231">
        <f>(INDEX(Models!$BJ113:$BT113,,AH113)*(1-AF113)+INDEX(Models!$BJ113:$BT113,,AH113+1)*AF113-ERP_i)*AE113*Ramure*Pc/MaxiM</f>
        <v>3.5678534468832644E-2</v>
      </c>
      <c r="AE113" s="305">
        <f t="shared" si="40"/>
        <v>0.8</v>
      </c>
      <c r="AF113" s="177">
        <f t="shared" si="41"/>
        <v>4.284417027910381E-2</v>
      </c>
      <c r="AG113" s="809">
        <f t="shared" si="49"/>
        <v>3</v>
      </c>
      <c r="AH113" s="176">
        <f t="shared" si="42"/>
        <v>9</v>
      </c>
      <c r="AI113" s="225">
        <f t="shared" si="43"/>
        <v>3.0428441702791038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IF(t&gt;Tmaj,'2024'!Wh/'2024'!Env_an*'2025'!Env_an,0.001*'[6]mon-tableau'!$B$145)</f>
        <v>41.463491580441556</v>
      </c>
      <c r="C114" s="839"/>
      <c r="D114" s="393">
        <f t="shared" si="25"/>
        <v>44.893343512482964</v>
      </c>
      <c r="E114" s="385">
        <f t="shared" si="47"/>
        <v>51.030530610424186</v>
      </c>
      <c r="F114" s="385">
        <f t="shared" si="26"/>
        <v>51.72627196758301</v>
      </c>
      <c r="G114" s="110">
        <f t="shared" si="48"/>
        <v>0.97168894961022112</v>
      </c>
      <c r="H114" s="414" t="b">
        <f>Wh_hp&gt;='2024'!Maxi_hp</f>
        <v>0</v>
      </c>
      <c r="I114" s="390">
        <f>IF(H114,Wh_hp,'2024'!Maxi_hp)</f>
        <v>53.455243179157556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7.6400010863252127E-2</v>
      </c>
      <c r="M114" s="843"/>
      <c r="N114" s="843"/>
      <c r="O114" s="48">
        <f>IF(t&lt;Tnet,'2024'!Resal+('2024'!Salim-'2024'!Resal)*(1-EXP(('2024'!Tnet-t)/('2024'!Tau_j))),Resal+(Salim-Resal)*(1-EXP((Tnet-t)/(Tau_j))))*Salcycl</f>
        <v>0.12026500654664089</v>
      </c>
      <c r="P114" s="169">
        <f>(INDEX(Models!$BJ114:$BT114,,T114)*(1-R114)+INDEX(Models!$BJ114:$BT114,,T114+1)*R114-ERP_i)*Q114*Ramure*Pc/MaxiM</f>
        <v>1.400595276781811E-2</v>
      </c>
      <c r="Q114" s="305">
        <f t="shared" si="28"/>
        <v>0.8</v>
      </c>
      <c r="R114" s="177">
        <f t="shared" si="29"/>
        <v>0.84381919044181131</v>
      </c>
      <c r="S114" s="809">
        <f t="shared" si="30"/>
        <v>1</v>
      </c>
      <c r="T114" s="176">
        <f t="shared" si="31"/>
        <v>7</v>
      </c>
      <c r="U114" s="251">
        <f t="shared" si="32"/>
        <v>1.8438191904418113</v>
      </c>
      <c r="V114" s="383">
        <f t="shared" si="33"/>
        <v>42.647540921499079</v>
      </c>
      <c r="W114" s="402">
        <f t="shared" si="34"/>
        <v>41.463491580441556</v>
      </c>
      <c r="X114" s="157">
        <f t="shared" si="35"/>
        <v>45757</v>
      </c>
      <c r="Y114" s="385">
        <f t="shared" si="36"/>
        <v>38.660656765182537</v>
      </c>
      <c r="Z114" s="385">
        <f t="shared" si="37"/>
        <v>41.858658748271651</v>
      </c>
      <c r="AA114" s="386">
        <f t="shared" si="38"/>
        <v>49.992691833194229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0.16270444312265925</v>
      </c>
      <c r="AD114" s="231">
        <f>(INDEX(Models!$BJ114:$BT114,,AH114)*(1-AF114)+INDEX(Models!$BJ114:$BT114,,AH114+1)*AF114-ERP_i)*AE114*Ramure*Pc/MaxiM</f>
        <v>3.4898660589375075E-2</v>
      </c>
      <c r="AE114" s="305">
        <f t="shared" si="40"/>
        <v>0.8</v>
      </c>
      <c r="AF114" s="177">
        <f t="shared" si="41"/>
        <v>4.4535937606715148E-2</v>
      </c>
      <c r="AG114" s="809">
        <f t="shared" si="49"/>
        <v>3</v>
      </c>
      <c r="AH114" s="176">
        <f t="shared" si="42"/>
        <v>9</v>
      </c>
      <c r="AI114" s="225">
        <f t="shared" si="43"/>
        <v>3.0445359376067151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IF(t&gt;Tmaj,'2024'!Wh/'2024'!Env_an*'2025'!Env_an,0.001*'[6]mon-tableau'!$B$146)</f>
        <v>35.017291522457178</v>
      </c>
      <c r="C115" s="839"/>
      <c r="D115" s="393">
        <f t="shared" si="25"/>
        <v>37.914817544714296</v>
      </c>
      <c r="E115" s="385">
        <f t="shared" si="47"/>
        <v>43.103555869296152</v>
      </c>
      <c r="F115" s="385">
        <f t="shared" si="26"/>
        <v>43.535365902578889</v>
      </c>
      <c r="G115" s="110">
        <f t="shared" si="48"/>
        <v>0.812663473893523</v>
      </c>
      <c r="H115" s="414" t="b">
        <f>Wh_hp&gt;='2024'!Maxi_hp</f>
        <v>0</v>
      </c>
      <c r="I115" s="390">
        <f>IF(H115,Wh_hp,'2024'!Maxi_hp)</f>
        <v>54.340445908416534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7.6421995670688997E-2</v>
      </c>
      <c r="M115" s="843"/>
      <c r="N115" s="843"/>
      <c r="O115" s="48">
        <f>IF(t&lt;Tnet,'2024'!Resal+('2024'!Salim-'2024'!Resal)*(1-EXP(('2024'!Tnet-t)/('2024'!Tau_j))),Resal+(Salim-Resal)*(1-EXP((Tnet-t)/(Tau_j))))*Salcycl</f>
        <v>0.12037842864555728</v>
      </c>
      <c r="P115" s="169">
        <f>(INDEX(Models!$BJ115:$BT115,,T115)*(1-R115)+INDEX(Models!$BJ115:$BT115,,T115+1)*R115-ERP_i)*Q115*Ramure*Pc/MaxiM</f>
        <v>1.3466277024655127E-2</v>
      </c>
      <c r="Q115" s="305">
        <f t="shared" si="28"/>
        <v>0.8</v>
      </c>
      <c r="R115" s="177">
        <f t="shared" si="29"/>
        <v>0.84557104100088787</v>
      </c>
      <c r="S115" s="809">
        <f t="shared" si="30"/>
        <v>1</v>
      </c>
      <c r="T115" s="176">
        <f t="shared" si="31"/>
        <v>7</v>
      </c>
      <c r="U115" s="251">
        <f t="shared" si="32"/>
        <v>1.8455710410008879</v>
      </c>
      <c r="V115" s="383">
        <f t="shared" si="33"/>
        <v>42.935136368904132</v>
      </c>
      <c r="W115" s="402">
        <f t="shared" si="34"/>
        <v>35.017291522457178</v>
      </c>
      <c r="X115" s="157">
        <f t="shared" si="35"/>
        <v>45758</v>
      </c>
      <c r="Y115" s="385">
        <f t="shared" si="36"/>
        <v>32.81801273684578</v>
      </c>
      <c r="Z115" s="385">
        <f t="shared" si="37"/>
        <v>35.533558165103493</v>
      </c>
      <c r="AA115" s="386">
        <f t="shared" si="38"/>
        <v>42.441767504587169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0.16276912451247527</v>
      </c>
      <c r="AD115" s="231">
        <f>(INDEX(Models!$BJ115:$BT115,,AH115)*(1-AF115)+INDEX(Models!$BJ115:$BT115,,AH115+1)*AF115-ERP_i)*AE115*Ramure*Pc/MaxiM</f>
        <v>3.4104578045858029E-2</v>
      </c>
      <c r="AE115" s="305">
        <f t="shared" si="40"/>
        <v>0.8</v>
      </c>
      <c r="AF115" s="177">
        <f t="shared" si="41"/>
        <v>4.6287788165791266E-2</v>
      </c>
      <c r="AG115" s="809">
        <f t="shared" si="49"/>
        <v>3</v>
      </c>
      <c r="AH115" s="176">
        <f t="shared" si="42"/>
        <v>9</v>
      </c>
      <c r="AI115" s="225">
        <f t="shared" si="43"/>
        <v>3.0462877881657913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IF(t&gt;Tmaj,'2024'!Wh/'2024'!Env_an*'2025'!Env_an,0.001*'[6]mon-tableau'!$B$147)</f>
        <v>29.225841361367017</v>
      </c>
      <c r="C116" s="839"/>
      <c r="D116" s="393">
        <f t="shared" si="25"/>
        <v>31.644903749647089</v>
      </c>
      <c r="E116" s="385">
        <f t="shared" si="47"/>
        <v>35.980286535618895</v>
      </c>
      <c r="F116" s="385">
        <f t="shared" si="26"/>
        <v>36.232216546301245</v>
      </c>
      <c r="G116" s="110">
        <f t="shared" si="48"/>
        <v>0.67217690602830449</v>
      </c>
      <c r="H116" s="414" t="b">
        <f>Wh_hp&gt;='2024'!Maxi_hp</f>
        <v>0</v>
      </c>
      <c r="I116" s="390">
        <f>IF(H116,Wh_hp,'2024'!Maxi_hp)</f>
        <v>55.077370568801221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7.6443979966507231E-2</v>
      </c>
      <c r="M116" s="843"/>
      <c r="N116" s="843"/>
      <c r="O116" s="48">
        <f>IF(t&lt;Tnet,'2024'!Resal+('2024'!Salim-'2024'!Resal)*(1-EXP(('2024'!Tnet-t)/('2024'!Tau_j))),Resal+(Salim-Resal)*(1-EXP((Tnet-t)/(Tau_j))))*Salcycl</f>
        <v>0.12049328127723415</v>
      </c>
      <c r="P116" s="169">
        <f>(INDEX(Models!$BJ116:$BT116,,T116)*(1-R116)+INDEX(Models!$BJ116:$BT116,,T116+1)*R116-ERP_i)*Q116*Ramure*Pc/MaxiM</f>
        <v>1.2936152741391583E-2</v>
      </c>
      <c r="Q116" s="305">
        <f t="shared" si="28"/>
        <v>0.8</v>
      </c>
      <c r="R116" s="177">
        <f t="shared" si="29"/>
        <v>0.8473846740432418</v>
      </c>
      <c r="S116" s="809">
        <f t="shared" si="30"/>
        <v>1</v>
      </c>
      <c r="T116" s="176">
        <f t="shared" si="31"/>
        <v>7</v>
      </c>
      <c r="U116" s="251">
        <f t="shared" si="32"/>
        <v>1.8473846740432418</v>
      </c>
      <c r="V116" s="383">
        <f t="shared" si="33"/>
        <v>43.217432906326451</v>
      </c>
      <c r="W116" s="402">
        <f t="shared" si="34"/>
        <v>29.225841361367017</v>
      </c>
      <c r="X116" s="157">
        <f t="shared" si="35"/>
        <v>45759</v>
      </c>
      <c r="Y116" s="385">
        <f t="shared" si="36"/>
        <v>27.512247304196666</v>
      </c>
      <c r="Z116" s="385">
        <f t="shared" si="37"/>
        <v>29.789473196437974</v>
      </c>
      <c r="AA116" s="386">
        <f t="shared" si="38"/>
        <v>35.583788561570124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0.16283581932559904</v>
      </c>
      <c r="AD116" s="231">
        <f>(INDEX(Models!$BJ116:$BT116,,AH116)*(1-AF116)+INDEX(Models!$BJ116:$BT116,,AH116+1)*AF116-ERP_i)*AE116*Ramure*Pc/MaxiM</f>
        <v>3.3295610275072857E-2</v>
      </c>
      <c r="AE116" s="305">
        <f t="shared" si="40"/>
        <v>0.8</v>
      </c>
      <c r="AF116" s="177">
        <f t="shared" si="41"/>
        <v>4.8101421208145645E-2</v>
      </c>
      <c r="AG116" s="809">
        <f t="shared" si="49"/>
        <v>3</v>
      </c>
      <c r="AH116" s="176">
        <f t="shared" si="42"/>
        <v>9</v>
      </c>
      <c r="AI116" s="225">
        <f t="shared" si="43"/>
        <v>3.0481014212081456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IF(t&gt;Tmaj,'2024'!Wh/'2024'!Env_an*'2025'!Env_an,0.001*'[6]mon-tableau'!$B$148)</f>
        <v>6.3166128840052531</v>
      </c>
      <c r="C117" s="839"/>
      <c r="D117" s="393">
        <f t="shared" si="25"/>
        <v>6.8396102753924568</v>
      </c>
      <c r="E117" s="385">
        <f t="shared" si="47"/>
        <v>7.7776721694322868</v>
      </c>
      <c r="F117" s="385">
        <f t="shared" si="26"/>
        <v>7.7776721694322868</v>
      </c>
      <c r="G117" s="110">
        <f t="shared" si="48"/>
        <v>0.14342475491655021</v>
      </c>
      <c r="H117" s="414" t="b">
        <f>Wh_hp&gt;='2024'!Maxi_hp</f>
        <v>0</v>
      </c>
      <c r="I117" s="390">
        <f>IF(H117,Wh_hp,'2024'!Maxi_hp)</f>
        <v>54.846872874129055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7.6465963750718818E-2</v>
      </c>
      <c r="M117" s="843"/>
      <c r="N117" s="843"/>
      <c r="O117" s="48">
        <f>IF(t&lt;Tnet,'2024'!Resal+('2024'!Salim-'2024'!Resal)*(1-EXP(('2024'!Tnet-t)/('2024'!Tau_j))),Resal+(Salim-Resal)*(1-EXP((Tnet-t)/(Tau_j))))*Salcycl</f>
        <v>0.12060959546824167</v>
      </c>
      <c r="P117" s="169">
        <f>(INDEX(Models!$BJ117:$BT117,,T117)*(1-R117)+INDEX(Models!$BJ117:$BT117,,T117+1)*R117-ERP_i)*Q117*Ramure*Pc/MaxiM</f>
        <v>1.2414991603320139E-2</v>
      </c>
      <c r="Q117" s="305">
        <f t="shared" si="28"/>
        <v>0.8</v>
      </c>
      <c r="R117" s="177">
        <f t="shared" si="29"/>
        <v>0.84926180276274765</v>
      </c>
      <c r="S117" s="809">
        <f t="shared" si="30"/>
        <v>1</v>
      </c>
      <c r="T117" s="176">
        <f t="shared" si="31"/>
        <v>7</v>
      </c>
      <c r="U117" s="251">
        <f t="shared" si="32"/>
        <v>1.8492618027627477</v>
      </c>
      <c r="V117" s="383">
        <f t="shared" si="33"/>
        <v>43.494529181650087</v>
      </c>
      <c r="W117" s="402">
        <f t="shared" si="34"/>
        <v>6.3166128840052531</v>
      </c>
      <c r="X117" s="157">
        <f t="shared" si="35"/>
        <v>45760</v>
      </c>
      <c r="Y117" s="385">
        <f t="shared" si="36"/>
        <v>6.0128104375896356</v>
      </c>
      <c r="Z117" s="385">
        <f t="shared" si="37"/>
        <v>6.510653859612221</v>
      </c>
      <c r="AA117" s="386">
        <f t="shared" si="38"/>
        <v>7.7776721694322868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0.16290456607308362</v>
      </c>
      <c r="AD117" s="231">
        <f>(INDEX(Models!$BJ117:$BT117,,AH117)*(1-AF117)+INDEX(Models!$BJ117:$BT117,,AH117+1)*AF117-ERP_i)*AE117*Ramure*Pc/MaxiM</f>
        <v>3.2471040220084915E-2</v>
      </c>
      <c r="AE117" s="305">
        <f t="shared" si="40"/>
        <v>0.8</v>
      </c>
      <c r="AF117" s="177">
        <f t="shared" si="41"/>
        <v>4.9978549927651272E-2</v>
      </c>
      <c r="AG117" s="809">
        <f t="shared" si="49"/>
        <v>3</v>
      </c>
      <c r="AH117" s="176">
        <f t="shared" si="42"/>
        <v>9</v>
      </c>
      <c r="AI117" s="225">
        <f t="shared" si="43"/>
        <v>3.0499785499276513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IF(t&gt;Tmaj,'2024'!Wh/'2024'!Env_an*'2025'!Env_an,0.001*'[6]mon-tableau'!$B$149)</f>
        <v>32.387757371530832</v>
      </c>
      <c r="C118" s="839"/>
      <c r="D118" s="393">
        <f t="shared" si="25"/>
        <v>35.070205382960189</v>
      </c>
      <c r="E118" s="385">
        <f t="shared" si="47"/>
        <v>39.885475111428406</v>
      </c>
      <c r="F118" s="385">
        <f t="shared" si="26"/>
        <v>40.186131794880637</v>
      </c>
      <c r="G118" s="110">
        <f t="shared" si="48"/>
        <v>0.73671612627492988</v>
      </c>
      <c r="H118" s="414" t="b">
        <f>Wh_hp&gt;='2024'!Maxi_hp</f>
        <v>0</v>
      </c>
      <c r="I118" s="390">
        <f>IF(H118,Wh_hp,'2024'!Maxi_hp)</f>
        <v>54.86097401033841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7.648794702333564E-2</v>
      </c>
      <c r="M118" s="843"/>
      <c r="N118" s="843"/>
      <c r="O118" s="48">
        <f>IF(t&lt;Tnet,'2024'!Resal+('2024'!Salim-'2024'!Resal)*(1-EXP(('2024'!Tnet-t)/('2024'!Tau_j))),Resal+(Salim-Resal)*(1-EXP((Tnet-t)/(Tau_j))))*Salcycl</f>
        <v>0.1207274005139904</v>
      </c>
      <c r="P118" s="169">
        <f>(INDEX(Models!$BJ118:$BT118,,T118)*(1-R118)+INDEX(Models!$BJ118:$BT118,,T118+1)*R118-ERP_i)*Q118*Ramure*Pc/MaxiM</f>
        <v>1.1902222949495495E-2</v>
      </c>
      <c r="Q118" s="305">
        <f t="shared" si="28"/>
        <v>0.8</v>
      </c>
      <c r="R118" s="177">
        <f t="shared" si="29"/>
        <v>0.85120415141822403</v>
      </c>
      <c r="S118" s="809">
        <f t="shared" si="30"/>
        <v>1</v>
      </c>
      <c r="T118" s="176">
        <f t="shared" si="31"/>
        <v>7</v>
      </c>
      <c r="U118" s="251">
        <f t="shared" si="32"/>
        <v>1.851204151418224</v>
      </c>
      <c r="V118" s="383">
        <f t="shared" si="33"/>
        <v>43.766524186659211</v>
      </c>
      <c r="W118" s="402">
        <f t="shared" si="34"/>
        <v>32.387757371530832</v>
      </c>
      <c r="X118" s="157">
        <f t="shared" si="35"/>
        <v>45761</v>
      </c>
      <c r="Y118" s="385">
        <f t="shared" si="36"/>
        <v>30.446348394934297</v>
      </c>
      <c r="Z118" s="385">
        <f t="shared" si="37"/>
        <v>32.968003283551759</v>
      </c>
      <c r="AA118" s="386">
        <f t="shared" si="38"/>
        <v>39.387137865847343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0.16297540085697954</v>
      </c>
      <c r="AD118" s="231">
        <f>(INDEX(Models!$BJ118:$BT118,,AH118)*(1-AF118)+INDEX(Models!$BJ118:$BT118,,AH118+1)*AF118-ERP_i)*AE118*Ramure*Pc/MaxiM</f>
        <v>3.1630109696725285E-2</v>
      </c>
      <c r="AE118" s="305">
        <f t="shared" si="40"/>
        <v>0.8</v>
      </c>
      <c r="AF118" s="177">
        <f t="shared" si="41"/>
        <v>5.1920898583127428E-2</v>
      </c>
      <c r="AG118" s="809">
        <f t="shared" si="49"/>
        <v>3</v>
      </c>
      <c r="AH118" s="176">
        <f t="shared" si="42"/>
        <v>9</v>
      </c>
      <c r="AI118" s="225">
        <f t="shared" si="43"/>
        <v>3.0519208985831274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IF(t&gt;Tmaj,'2024'!Wh/'2024'!Env_an*'2025'!Env_an,0.001*'[6]mon-tableau'!$B$150)</f>
        <v>37.927965491171868</v>
      </c>
      <c r="C119" s="839"/>
      <c r="D119" s="393">
        <f t="shared" si="25"/>
        <v>41.070247222383095</v>
      </c>
      <c r="E119" s="385">
        <f t="shared" si="47"/>
        <v>46.715684669123391</v>
      </c>
      <c r="F119" s="385">
        <f t="shared" si="26"/>
        <v>47.146590461673227</v>
      </c>
      <c r="G119" s="110">
        <f t="shared" si="48"/>
        <v>0.85938058625202018</v>
      </c>
      <c r="H119" s="414" t="b">
        <f>Wh_hp&gt;='2024'!Maxi_hp</f>
        <v>0</v>
      </c>
      <c r="I119" s="390">
        <f>IF(H119,Wh_hp,'2024'!Maxi_hp)</f>
        <v>55.982036059106356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7.6509929784369574E-2</v>
      </c>
      <c r="M119" s="843"/>
      <c r="N119" s="843"/>
      <c r="O119" s="48">
        <f>IF(t&lt;Tnet,'2024'!Resal+('2024'!Salim-'2024'!Resal)*(1-EXP(('2024'!Tnet-t)/('2024'!Tau_j))),Resal+(Salim-Resal)*(1-EXP((Tnet-t)/(Tau_j))))*Salcycl</f>
        <v>0.12084672389424767</v>
      </c>
      <c r="P119" s="169">
        <f>(INDEX(Models!$BJ119:$BT119,,T119)*(1-R119)+INDEX(Models!$BJ119:$BT119,,T119+1)*R119-ERP_i)*Q119*Ramure*Pc/MaxiM</f>
        <v>1.1397292803640852E-2</v>
      </c>
      <c r="Q119" s="305">
        <f t="shared" si="28"/>
        <v>0.8</v>
      </c>
      <c r="R119" s="177">
        <f t="shared" si="29"/>
        <v>0.85321345218966171</v>
      </c>
      <c r="S119" s="809">
        <f t="shared" si="30"/>
        <v>1</v>
      </c>
      <c r="T119" s="176">
        <f t="shared" si="31"/>
        <v>7</v>
      </c>
      <c r="U119" s="251">
        <f t="shared" si="32"/>
        <v>1.8532134521896617</v>
      </c>
      <c r="V119" s="383">
        <f t="shared" si="33"/>
        <v>44.033517235139506</v>
      </c>
      <c r="W119" s="402">
        <f t="shared" si="34"/>
        <v>37.927965491171868</v>
      </c>
      <c r="X119" s="157">
        <f t="shared" si="35"/>
        <v>45762</v>
      </c>
      <c r="Y119" s="385">
        <f t="shared" si="36"/>
        <v>35.541152424800273</v>
      </c>
      <c r="Z119" s="385">
        <f t="shared" si="37"/>
        <v>38.485689853169276</v>
      </c>
      <c r="AA119" s="386">
        <f t="shared" si="38"/>
        <v>45.983170219155333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0.16304835726317121</v>
      </c>
      <c r="AD119" s="231">
        <f>(INDEX(Models!$BJ119:$BT119,,AH119)*(1-AF119)+INDEX(Models!$BJ119:$BT119,,AH119+1)*AF119-ERP_i)*AE119*Ramure*Pc/MaxiM</f>
        <v>3.0772018819230914E-2</v>
      </c>
      <c r="AE119" s="305">
        <f t="shared" si="40"/>
        <v>0.8</v>
      </c>
      <c r="AF119" s="177">
        <f t="shared" si="41"/>
        <v>5.3930199354565556E-2</v>
      </c>
      <c r="AG119" s="809">
        <f t="shared" si="49"/>
        <v>3</v>
      </c>
      <c r="AH119" s="176">
        <f t="shared" si="42"/>
        <v>9</v>
      </c>
      <c r="AI119" s="225">
        <f t="shared" si="43"/>
        <v>3.0539301993545656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IF(t&gt;Tmaj,'2024'!Wh/'2024'!Env_an*'2025'!Env_an,0.001*'[6]mon-tableau'!$B$151)</f>
        <v>39.579942417980199</v>
      </c>
      <c r="C120" s="839"/>
      <c r="D120" s="393">
        <f t="shared" si="25"/>
        <v>42.86010846909771</v>
      </c>
      <c r="E120" s="385">
        <f t="shared" si="47"/>
        <v>48.758280171858949</v>
      </c>
      <c r="F120" s="385">
        <f t="shared" si="26"/>
        <v>49.2131075016799</v>
      </c>
      <c r="G120" s="110">
        <f t="shared" si="48"/>
        <v>0.8920460024794723</v>
      </c>
      <c r="H120" s="414" t="b">
        <f>Wh_hp&gt;='2024'!Maxi_hp</f>
        <v>0</v>
      </c>
      <c r="I120" s="390">
        <f>IF(H120,Wh_hp,'2024'!Maxi_hp)</f>
        <v>49.294140738939028</v>
      </c>
      <c r="J120" s="85">
        <f>IF(H120,An,'2024'!An_max)</f>
        <v>2022</v>
      </c>
      <c r="K120" s="197">
        <f t="shared" si="27"/>
        <v>45763</v>
      </c>
      <c r="L120" s="147">
        <f>IF(t&lt;Tvie,1-EXP((T0-t)*PertePVj)+'2024'!Pspv,1-EXP((T0-t)*PertePVj)+Pspv)</f>
        <v>7.6531912033832611E-2</v>
      </c>
      <c r="M120" s="843"/>
      <c r="N120" s="843"/>
      <c r="O120" s="48">
        <f>IF(t&lt;Tnet,'2024'!Resal+('2024'!Salim-'2024'!Resal)*(1-EXP(('2024'!Tnet-t)/('2024'!Tau_j))),Resal+(Salim-Resal)*(1-EXP((Tnet-t)/(Tau_j))))*Salcycl</f>
        <v>0.12096759118598677</v>
      </c>
      <c r="P120" s="169">
        <f>(INDEX(Models!$BJ120:$BT120,,T120)*(1-R120)+INDEX(Models!$BJ120:$BT120,,T120+1)*R120-ERP_i)*Q120*Ramure*Pc/MaxiM</f>
        <v>1.089966299711047E-2</v>
      </c>
      <c r="Q120" s="305">
        <f t="shared" si="28"/>
        <v>0.8</v>
      </c>
      <c r="R120" s="177">
        <f t="shared" si="29"/>
        <v>0.85529144175803262</v>
      </c>
      <c r="S120" s="809">
        <f t="shared" si="30"/>
        <v>1</v>
      </c>
      <c r="T120" s="176">
        <f t="shared" si="31"/>
        <v>7</v>
      </c>
      <c r="U120" s="251">
        <f t="shared" si="32"/>
        <v>1.8552914417580326</v>
      </c>
      <c r="V120" s="383">
        <f t="shared" si="33"/>
        <v>44.295607969052121</v>
      </c>
      <c r="W120" s="402">
        <f t="shared" si="34"/>
        <v>39.579942417980199</v>
      </c>
      <c r="X120" s="157">
        <f t="shared" si="35"/>
        <v>45763</v>
      </c>
      <c r="Y120" s="385">
        <f t="shared" si="36"/>
        <v>37.069190622537363</v>
      </c>
      <c r="Z120" s="385">
        <f t="shared" si="37"/>
        <v>40.141279493672599</v>
      </c>
      <c r="AA120" s="386">
        <f t="shared" si="38"/>
        <v>47.965593340090635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0.16312346625092855</v>
      </c>
      <c r="AD120" s="231">
        <f>(INDEX(Models!$BJ120:$BT120,,AH120)*(1-AF120)+INDEX(Models!$BJ120:$BT120,,AH120+1)*AF120-ERP_i)*AE120*Ramure*Pc/MaxiM</f>
        <v>2.9895925451090814E-2</v>
      </c>
      <c r="AE120" s="305">
        <f t="shared" si="40"/>
        <v>0.8</v>
      </c>
      <c r="AF120" s="177">
        <f t="shared" si="41"/>
        <v>5.6008188922936242E-2</v>
      </c>
      <c r="AG120" s="809">
        <f t="shared" si="49"/>
        <v>3</v>
      </c>
      <c r="AH120" s="176">
        <f t="shared" si="42"/>
        <v>9</v>
      </c>
      <c r="AI120" s="225">
        <f t="shared" si="43"/>
        <v>3.0560081889229362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IF(t&gt;Tmaj,'2024'!Wh/'2024'!Env_an*'2025'!Env_an,0.001*'[6]mon-tableau'!$B$152)</f>
        <v>43.115690419676689</v>
      </c>
      <c r="C121" s="839"/>
      <c r="D121" s="393">
        <f t="shared" si="25"/>
        <v>46.689991033455144</v>
      </c>
      <c r="E121" s="385">
        <f t="shared" si="47"/>
        <v>53.12260915590651</v>
      </c>
      <c r="F121" s="385">
        <f t="shared" si="26"/>
        <v>53.655367192217867</v>
      </c>
      <c r="G121" s="110">
        <f t="shared" si="48"/>
        <v>0.96727768927169877</v>
      </c>
      <c r="H121" s="414" t="b">
        <f>Wh_hp&gt;='2024'!Maxi_hp</f>
        <v>0</v>
      </c>
      <c r="I121" s="390">
        <f>IF(H121,Wh_hp,'2024'!Maxi_hp)</f>
        <v>53.680903826965675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7.655389377173652E-2</v>
      </c>
      <c r="M121" s="843"/>
      <c r="N121" s="843"/>
      <c r="O121" s="48">
        <f>IF(t&lt;Tnet,'2024'!Resal+('2024'!Salim-'2024'!Resal)*(1-EXP(('2024'!Tnet-t)/('2024'!Tau_j))),Resal+(Salim-Resal)*(1-EXP((Tnet-t)/(Tau_j))))*Salcycl</f>
        <v>0.1210900259731716</v>
      </c>
      <c r="P121" s="169">
        <f>(INDEX(Models!$BJ121:$BT121,,T121)*(1-R121)+INDEX(Models!$BJ121:$BT121,,T121+1)*R121-ERP_i)*Q121*Ramure*Pc/MaxiM</f>
        <v>1.0408862503601374E-2</v>
      </c>
      <c r="Q121" s="305">
        <f t="shared" si="28"/>
        <v>0.8</v>
      </c>
      <c r="R121" s="177">
        <f t="shared" si="29"/>
        <v>0.85743985759964492</v>
      </c>
      <c r="S121" s="809">
        <f t="shared" si="30"/>
        <v>1</v>
      </c>
      <c r="T121" s="176">
        <f t="shared" si="31"/>
        <v>7</v>
      </c>
      <c r="U121" s="251">
        <f t="shared" si="32"/>
        <v>1.8574398575996449</v>
      </c>
      <c r="V121" s="383">
        <f t="shared" si="33"/>
        <v>44.552670944178658</v>
      </c>
      <c r="W121" s="402">
        <f t="shared" si="34"/>
        <v>43.115690419676689</v>
      </c>
      <c r="X121" s="157">
        <f t="shared" si="35"/>
        <v>45764</v>
      </c>
      <c r="Y121" s="385">
        <f t="shared" si="36"/>
        <v>40.314567317371434</v>
      </c>
      <c r="Z121" s="385">
        <f t="shared" si="37"/>
        <v>43.656654184219619</v>
      </c>
      <c r="AA121" s="386">
        <f t="shared" si="38"/>
        <v>52.171000988901447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0.16320075603864911</v>
      </c>
      <c r="AD121" s="231">
        <f>(INDEX(Models!$BJ121:$BT121,,AH121)*(1-AF121)+INDEX(Models!$BJ121:$BT121,,AH121+1)*AF121-ERP_i)*AE121*Ramure*Pc/MaxiM</f>
        <v>2.9001089917456944E-2</v>
      </c>
      <c r="AE121" s="305">
        <f t="shared" si="40"/>
        <v>0.8</v>
      </c>
      <c r="AF121" s="177">
        <f t="shared" si="41"/>
        <v>5.8156604764548536E-2</v>
      </c>
      <c r="AG121" s="809">
        <f t="shared" si="49"/>
        <v>3</v>
      </c>
      <c r="AH121" s="176">
        <f t="shared" si="42"/>
        <v>9</v>
      </c>
      <c r="AI121" s="225">
        <f t="shared" si="43"/>
        <v>3.0581566047645485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IF(t&gt;Tmaj,'2024'!Wh/'2024'!Env_an*'2025'!Env_an,0.001*'[6]mon-tableau'!$B$153)</f>
        <v>33.731717504333247</v>
      </c>
      <c r="C122" s="839"/>
      <c r="D122" s="393">
        <f t="shared" si="25"/>
        <v>36.528954129570302</v>
      </c>
      <c r="E122" s="385">
        <f t="shared" si="47"/>
        <v>41.567521783103018</v>
      </c>
      <c r="F122" s="385">
        <f t="shared" si="26"/>
        <v>41.836535984169544</v>
      </c>
      <c r="G122" s="110">
        <f t="shared" si="48"/>
        <v>0.75021637926434925</v>
      </c>
      <c r="H122" s="414" t="b">
        <f>Wh_hp&gt;='2024'!Maxi_hp</f>
        <v>0</v>
      </c>
      <c r="I122" s="390">
        <f>IF(H122,Wh_hp,'2024'!Maxi_hp)</f>
        <v>41.982059519389949</v>
      </c>
      <c r="J122" s="85">
        <f>IF(H122,An,'2024'!An_max)</f>
        <v>2022</v>
      </c>
      <c r="K122" s="197">
        <f t="shared" si="27"/>
        <v>45765</v>
      </c>
      <c r="L122" s="147">
        <f>IF(t&lt;Tvie,1-EXP((T0-t)*PertePVj)+'2024'!Pspv,1-EXP((T0-t)*PertePVj)+Pspv)</f>
        <v>7.6575874998093291E-2</v>
      </c>
      <c r="M122" s="843"/>
      <c r="N122" s="843"/>
      <c r="O122" s="48">
        <f>IF(t&lt;Tnet,'2024'!Resal+('2024'!Salim-'2024'!Resal)*(1-EXP(('2024'!Tnet-t)/('2024'!Tau_j))),Resal+(Salim-Resal)*(1-EXP((Tnet-t)/(Tau_j))))*Salcycl</f>
        <v>0.12121404975316251</v>
      </c>
      <c r="P122" s="169">
        <f>(INDEX(Models!$BJ122:$BT122,,T122)*(1-R122)+INDEX(Models!$BJ122:$BT122,,T122+1)*R122-ERP_i)*Q122*Ramure*Pc/MaxiM</f>
        <v>9.938916256374334E-3</v>
      </c>
      <c r="Q122" s="305">
        <f t="shared" si="28"/>
        <v>0.8</v>
      </c>
      <c r="R122" s="177">
        <f t="shared" si="29"/>
        <v>0.85966043398691228</v>
      </c>
      <c r="S122" s="809">
        <f t="shared" si="30"/>
        <v>1</v>
      </c>
      <c r="T122" s="176">
        <f t="shared" si="31"/>
        <v>7</v>
      </c>
      <c r="U122" s="251">
        <f t="shared" si="32"/>
        <v>1.8596604339869123</v>
      </c>
      <c r="V122" s="383">
        <f t="shared" si="33"/>
        <v>44.803865838172612</v>
      </c>
      <c r="W122" s="402">
        <f t="shared" si="34"/>
        <v>33.731717504333247</v>
      </c>
      <c r="X122" s="157">
        <f t="shared" si="35"/>
        <v>45765</v>
      </c>
      <c r="Y122" s="385">
        <f t="shared" si="36"/>
        <v>31.737325025211035</v>
      </c>
      <c r="Z122" s="385">
        <f t="shared" si="37"/>
        <v>34.36917464674805</v>
      </c>
      <c r="AA122" s="386">
        <f t="shared" si="38"/>
        <v>41.076088772016774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0.16328025198537979</v>
      </c>
      <c r="AD122" s="231">
        <f>(INDEX(Models!$BJ122:$BT122,,AH122)*(1-AF122)+INDEX(Models!$BJ122:$BT122,,AH122+1)*AF122-ERP_i)*AE122*Ramure*Pc/MaxiM</f>
        <v>2.8095249726651235E-2</v>
      </c>
      <c r="AE122" s="305">
        <f t="shared" si="40"/>
        <v>0.8</v>
      </c>
      <c r="AF122" s="177">
        <f t="shared" si="41"/>
        <v>6.0377181151816117E-2</v>
      </c>
      <c r="AG122" s="809">
        <f t="shared" si="49"/>
        <v>3</v>
      </c>
      <c r="AH122" s="176">
        <f t="shared" si="42"/>
        <v>9</v>
      </c>
      <c r="AI122" s="225">
        <f t="shared" si="43"/>
        <v>3.0603771811518161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IF(t&gt;Tmaj,'2024'!Wh/'2024'!Env_an*'2025'!Env_an,0.001*'[6]mon-tableau'!$B$154)</f>
        <v>7.752904235791247</v>
      </c>
      <c r="C123" s="839"/>
      <c r="D123" s="393">
        <f t="shared" si="25"/>
        <v>8.3960214774862738</v>
      </c>
      <c r="E123" s="385">
        <f t="shared" si="47"/>
        <v>9.5554804330572551</v>
      </c>
      <c r="F123" s="385">
        <f t="shared" si="26"/>
        <v>9.5554804330572551</v>
      </c>
      <c r="G123" s="110">
        <f t="shared" si="48"/>
        <v>0.17046552401202356</v>
      </c>
      <c r="H123" s="414" t="b">
        <f>Wh_hp&gt;='2024'!Maxi_hp</f>
        <v>0</v>
      </c>
      <c r="I123" s="390">
        <f>IF(H123,Wh_hp,'2024'!Maxi_hp)</f>
        <v>56.249835170849416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7.6597855712914803E-2</v>
      </c>
      <c r="M123" s="843"/>
      <c r="N123" s="843"/>
      <c r="O123" s="48">
        <f>IF(t&lt;Tnet,'2024'!Resal+('2024'!Salim-'2024'!Resal)*(1-EXP(('2024'!Tnet-t)/('2024'!Tau_j))),Resal+(Salim-Resal)*(1-EXP((Tnet-t)/(Tau_j))))*Salcycl</f>
        <v>0.12133968183952575</v>
      </c>
      <c r="P123" s="169">
        <f>(INDEX(Models!$BJ123:$BT123,,T123)*(1-R123)+INDEX(Models!$BJ123:$BT123,,T123+1)*R123-ERP_i)*Q123*Ramure*Pc/MaxiM</f>
        <v>9.4959214244007203E-3</v>
      </c>
      <c r="Q123" s="305">
        <f t="shared" si="28"/>
        <v>0.8</v>
      </c>
      <c r="R123" s="177">
        <f t="shared" si="29"/>
        <v>0.86195489768847655</v>
      </c>
      <c r="S123" s="809">
        <f t="shared" si="30"/>
        <v>1</v>
      </c>
      <c r="T123" s="176">
        <f t="shared" si="31"/>
        <v>7</v>
      </c>
      <c r="U123" s="251">
        <f t="shared" si="32"/>
        <v>1.8619548976884766</v>
      </c>
      <c r="V123" s="383">
        <f t="shared" si="33"/>
        <v>45.048893674333954</v>
      </c>
      <c r="W123" s="402">
        <f t="shared" si="34"/>
        <v>7.752904235791247</v>
      </c>
      <c r="X123" s="157">
        <f t="shared" si="35"/>
        <v>45766</v>
      </c>
      <c r="Y123" s="385">
        <f t="shared" si="36"/>
        <v>7.3821183708923028</v>
      </c>
      <c r="Z123" s="385">
        <f t="shared" si="37"/>
        <v>7.9944782634132654</v>
      </c>
      <c r="AA123" s="386">
        <f t="shared" si="38"/>
        <v>9.5554804330572551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0.16336197646783848</v>
      </c>
      <c r="AD123" s="231">
        <f>(INDEX(Models!$BJ123:$BT123,,AH123)*(1-AF123)+INDEX(Models!$BJ123:$BT123,,AH123+1)*AF123-ERP_i)*AE123*Ramure*Pc/MaxiM</f>
        <v>2.7200997657185279E-2</v>
      </c>
      <c r="AE123" s="305">
        <f t="shared" si="40"/>
        <v>0.8</v>
      </c>
      <c r="AF123" s="177">
        <f t="shared" si="41"/>
        <v>6.2671644853379949E-2</v>
      </c>
      <c r="AG123" s="809">
        <f t="shared" si="49"/>
        <v>3</v>
      </c>
      <c r="AH123" s="176">
        <f t="shared" si="42"/>
        <v>9</v>
      </c>
      <c r="AI123" s="225">
        <f t="shared" si="43"/>
        <v>3.0626716448533799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IF(t&gt;Tmaj,'2024'!Wh/'2024'!Env_an*'2025'!Env_an,0.001*'[6]mon-tableau'!$B$155)</f>
        <v>9.025697328567782</v>
      </c>
      <c r="C124" s="839"/>
      <c r="D124" s="393">
        <f t="shared" si="25"/>
        <v>9.7746276990078318</v>
      </c>
      <c r="E124" s="385">
        <f t="shared" si="47"/>
        <v>11.126078386608603</v>
      </c>
      <c r="F124" s="385">
        <f t="shared" si="26"/>
        <v>11.126078386608603</v>
      </c>
      <c r="G124" s="110">
        <f t="shared" si="48"/>
        <v>0.19748716025676449</v>
      </c>
      <c r="H124" s="414" t="b">
        <f>Wh_hp&gt;='2024'!Maxi_hp</f>
        <v>0</v>
      </c>
      <c r="I124" s="390">
        <f>IF(H124,Wh_hp,'2024'!Maxi_hp)</f>
        <v>47.97247568092412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7.6619835916212936E-2</v>
      </c>
      <c r="M124" s="843"/>
      <c r="N124" s="843"/>
      <c r="O124" s="48">
        <f>IF(t&lt;Tnet,'2024'!Resal+('2024'!Salim-'2024'!Resal)*(1-EXP(('2024'!Tnet-t)/('2024'!Tau_j))),Resal+(Salim-Resal)*(1-EXP((Tnet-t)/(Tau_j))))*Salcycl</f>
        <v>0.12146693926113103</v>
      </c>
      <c r="P124" s="169">
        <f>(INDEX(Models!$BJ124:$BT124,,T124)*(1-R124)+INDEX(Models!$BJ124:$BT124,,T124+1)*R124-ERP_i)*Q124*Ramure*Pc/MaxiM</f>
        <v>9.0794407637723434E-3</v>
      </c>
      <c r="Q124" s="305">
        <f t="shared" si="28"/>
        <v>0.8</v>
      </c>
      <c r="R124" s="177">
        <f t="shared" si="29"/>
        <v>0.86432496336287956</v>
      </c>
      <c r="S124" s="809">
        <f t="shared" si="30"/>
        <v>1</v>
      </c>
      <c r="T124" s="176">
        <f t="shared" si="31"/>
        <v>7</v>
      </c>
      <c r="U124" s="251">
        <f t="shared" si="32"/>
        <v>1.8643249633628796</v>
      </c>
      <c r="V124" s="383">
        <f t="shared" si="33"/>
        <v>45.287749505805984</v>
      </c>
      <c r="W124" s="402">
        <f t="shared" si="34"/>
        <v>9.025697328567782</v>
      </c>
      <c r="X124" s="157">
        <f t="shared" si="35"/>
        <v>45767</v>
      </c>
      <c r="Y124" s="385">
        <f t="shared" si="36"/>
        <v>8.594421773034119</v>
      </c>
      <c r="Z124" s="385">
        <f t="shared" si="37"/>
        <v>9.3075659488113782</v>
      </c>
      <c r="AA124" s="386">
        <f t="shared" si="38"/>
        <v>11.126078386608603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0.16344594875279625</v>
      </c>
      <c r="AD124" s="231">
        <f>(INDEX(Models!$BJ124:$BT124,,AH124)*(1-AF124)+INDEX(Models!$BJ124:$BT124,,AH124+1)*AF124-ERP_i)*AE124*Ramure*Pc/MaxiM</f>
        <v>2.6317173083918032E-2</v>
      </c>
      <c r="AE124" s="305">
        <f t="shared" si="40"/>
        <v>0.8</v>
      </c>
      <c r="AF124" s="177">
        <f t="shared" si="41"/>
        <v>6.5041710527783181E-2</v>
      </c>
      <c r="AG124" s="809">
        <f t="shared" si="49"/>
        <v>3</v>
      </c>
      <c r="AH124" s="176">
        <f t="shared" si="42"/>
        <v>9</v>
      </c>
      <c r="AI124" s="225">
        <f t="shared" si="43"/>
        <v>3.0650417105277832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IF(t&gt;Tmaj,'2024'!Wh/'2024'!Env_an*'2025'!Env_an,0.001*'[6]mon-tableau'!$B$156)</f>
        <v>8.5077068678156227</v>
      </c>
      <c r="C125" s="839"/>
      <c r="D125" s="393">
        <f t="shared" si="25"/>
        <v>9.2138749746585678</v>
      </c>
      <c r="E125" s="385">
        <f t="shared" si="47"/>
        <v>10.489334362440092</v>
      </c>
      <c r="F125" s="385">
        <f t="shared" si="26"/>
        <v>10.489334362440092</v>
      </c>
      <c r="G125" s="110">
        <f t="shared" si="48"/>
        <v>0.18527468063174449</v>
      </c>
      <c r="H125" s="414" t="b">
        <f>Wh_hp&gt;='2024'!Maxi_hp</f>
        <v>0</v>
      </c>
      <c r="I125" s="390">
        <f>IF(H125,Wh_hp,'2024'!Maxi_hp)</f>
        <v>54.505282357520926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7.664181560799968E-2</v>
      </c>
      <c r="M125" s="843"/>
      <c r="N125" s="843"/>
      <c r="O125" s="48">
        <f>IF(t&lt;Tnet,'2024'!Resal+('2024'!Salim-'2024'!Resal)*(1-EXP(('2024'!Tnet-t)/('2024'!Tau_j))),Resal+(Salim-Resal)*(1-EXP((Tnet-t)/(Tau_j))))*Salcycl</f>
        <v>0.12159583665753401</v>
      </c>
      <c r="P125" s="169">
        <f>(INDEX(Models!$BJ125:$BT125,,T125)*(1-R125)+INDEX(Models!$BJ125:$BT125,,T125+1)*R125-ERP_i)*Q125*Ramure*Pc/MaxiM</f>
        <v>8.6891112855260345E-3</v>
      </c>
      <c r="Q125" s="305">
        <f t="shared" si="28"/>
        <v>0.8</v>
      </c>
      <c r="R125" s="177">
        <f t="shared" si="29"/>
        <v>0.86677232864144726</v>
      </c>
      <c r="S125" s="809">
        <f t="shared" si="30"/>
        <v>1</v>
      </c>
      <c r="T125" s="176">
        <f t="shared" si="31"/>
        <v>7</v>
      </c>
      <c r="U125" s="251">
        <f t="shared" si="32"/>
        <v>1.8667723286414473</v>
      </c>
      <c r="V125" s="383">
        <f t="shared" si="33"/>
        <v>45.520426359928187</v>
      </c>
      <c r="W125" s="402">
        <f t="shared" si="34"/>
        <v>8.5077068678156227</v>
      </c>
      <c r="X125" s="157">
        <f t="shared" si="35"/>
        <v>45768</v>
      </c>
      <c r="Y125" s="385">
        <f t="shared" si="36"/>
        <v>8.10153602693903</v>
      </c>
      <c r="Z125" s="385">
        <f t="shared" si="37"/>
        <v>8.7739905963725366</v>
      </c>
      <c r="AA125" s="386">
        <f t="shared" si="38"/>
        <v>10.489334362440092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0.16353218486482893</v>
      </c>
      <c r="AD125" s="231">
        <f>(INDEX(Models!$BJ125:$BT125,,AH125)*(1-AF125)+INDEX(Models!$BJ125:$BT125,,AH125+1)*AF125-ERP_i)*AE125*Ramure*Pc/MaxiM</f>
        <v>2.5442682053364477E-2</v>
      </c>
      <c r="AE125" s="305">
        <f t="shared" si="40"/>
        <v>0.8</v>
      </c>
      <c r="AF125" s="177">
        <f t="shared" si="41"/>
        <v>6.7489075806350662E-2</v>
      </c>
      <c r="AG125" s="809">
        <f t="shared" si="49"/>
        <v>3</v>
      </c>
      <c r="AH125" s="176">
        <f t="shared" si="42"/>
        <v>9</v>
      </c>
      <c r="AI125" s="225">
        <f t="shared" si="43"/>
        <v>3.0674890758063507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IF(t&gt;Tmaj,'2024'!Wh/'2024'!Env_an*'2025'!Env_an,0.001*'[6]mon-tableau'!$B$157)</f>
        <v>24.412678912733959</v>
      </c>
      <c r="C126" s="839"/>
      <c r="D126" s="393">
        <f t="shared" si="25"/>
        <v>26.439642218011304</v>
      </c>
      <c r="E126" s="385">
        <f t="shared" si="47"/>
        <v>30.104106284982642</v>
      </c>
      <c r="F126" s="385">
        <f t="shared" si="26"/>
        <v>30.187986481095948</v>
      </c>
      <c r="G126" s="110">
        <f t="shared" si="48"/>
        <v>0.53067857512299599</v>
      </c>
      <c r="H126" s="414" t="b">
        <f>Wh_hp&gt;='2024'!Maxi_hp</f>
        <v>0</v>
      </c>
      <c r="I126" s="390">
        <f>IF(H126,Wh_hp,'2024'!Maxi_hp)</f>
        <v>57.608125541806146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7.6663794788286915E-2</v>
      </c>
      <c r="M126" s="843"/>
      <c r="N126" s="843"/>
      <c r="O126" s="48">
        <f>IF(t&lt;Tnet,'2024'!Resal+('2024'!Salim-'2024'!Resal)*(1-EXP(('2024'!Tnet-t)/('2024'!Tau_j))),Resal+(Salim-Resal)*(1-EXP((Tnet-t)/(Tau_j))))*Salcycl</f>
        <v>0.12172638617075791</v>
      </c>
      <c r="P126" s="169">
        <f>(INDEX(Models!$BJ126:$BT126,,T126)*(1-R126)+INDEX(Models!$BJ126:$BT126,,T126+1)*R126-ERP_i)*Q126*Ramure*Pc/MaxiM</f>
        <v>8.32461525832358E-3</v>
      </c>
      <c r="Q126" s="305">
        <f t="shared" si="28"/>
        <v>0.8</v>
      </c>
      <c r="R126" s="177">
        <f t="shared" si="29"/>
        <v>0.86929866889770624</v>
      </c>
      <c r="S126" s="809">
        <f t="shared" si="30"/>
        <v>1</v>
      </c>
      <c r="T126" s="176">
        <f t="shared" si="31"/>
        <v>7</v>
      </c>
      <c r="U126" s="251">
        <f t="shared" si="32"/>
        <v>1.8692986688977062</v>
      </c>
      <c r="V126" s="383">
        <f t="shared" si="33"/>
        <v>45.746916484185547</v>
      </c>
      <c r="W126" s="402">
        <f t="shared" si="34"/>
        <v>24.412678912733959</v>
      </c>
      <c r="X126" s="157">
        <f t="shared" si="35"/>
        <v>45769</v>
      </c>
      <c r="Y126" s="385">
        <f t="shared" si="36"/>
        <v>23.12171384046631</v>
      </c>
      <c r="Z126" s="385">
        <f t="shared" si="37"/>
        <v>25.041489448759023</v>
      </c>
      <c r="AA126" s="386">
        <f t="shared" si="38"/>
        <v>29.940350475435512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0.16362069744960897</v>
      </c>
      <c r="AD126" s="231">
        <f>(INDEX(Models!$BJ126:$BT126,,AH126)*(1-AF126)+INDEX(Models!$BJ126:$BT126,,AH126+1)*AF126-ERP_i)*AE126*Ramure*Pc/MaxiM</f>
        <v>2.4576414538259265E-2</v>
      </c>
      <c r="AE126" s="305">
        <f t="shared" si="40"/>
        <v>0.8</v>
      </c>
      <c r="AF126" s="177">
        <f t="shared" si="41"/>
        <v>7.0015416062609859E-2</v>
      </c>
      <c r="AG126" s="809">
        <f t="shared" si="49"/>
        <v>3</v>
      </c>
      <c r="AH126" s="176">
        <f t="shared" si="42"/>
        <v>9</v>
      </c>
      <c r="AI126" s="225">
        <f t="shared" si="43"/>
        <v>3.0700154160626099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IF(t&gt;Tmaj,'2024'!Wh/'2024'!Env_an*'2025'!Env_an,0.001*'[6]mon-tableau'!$B$158)</f>
        <v>8.3695616600415264</v>
      </c>
      <c r="C127" s="839"/>
      <c r="D127" s="393">
        <f t="shared" si="25"/>
        <v>9.0646947912618643</v>
      </c>
      <c r="E127" s="385">
        <f t="shared" si="47"/>
        <v>10.322591286253953</v>
      </c>
      <c r="F127" s="385">
        <f t="shared" si="26"/>
        <v>10.322591286253953</v>
      </c>
      <c r="G127" s="110">
        <f t="shared" si="48"/>
        <v>0.1806227696620589</v>
      </c>
      <c r="H127" s="414" t="b">
        <f>Wh_hp&gt;='2024'!Maxi_hp</f>
        <v>0</v>
      </c>
      <c r="I127" s="390">
        <f>IF(H127,Wh_hp,'2024'!Maxi_hp)</f>
        <v>57.772460785382194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7.6685773457086409E-2</v>
      </c>
      <c r="M127" s="843"/>
      <c r="N127" s="843"/>
      <c r="O127" s="48">
        <f>IF(t&lt;Tnet,'2024'!Resal+('2024'!Salim-'2024'!Resal)*(1-EXP(('2024'!Tnet-t)/('2024'!Tau_j))),Resal+(Salim-Resal)*(1-EXP((Tnet-t)/(Tau_j))))*Salcycl</f>
        <v>0.12185859733371056</v>
      </c>
      <c r="P127" s="169">
        <f>(INDEX(Models!$BJ127:$BT127,,T127)*(1-R127)+INDEX(Models!$BJ127:$BT127,,T127+1)*R127-ERP_i)*Q127*Ramure*Pc/MaxiM</f>
        <v>7.9856571523741621E-3</v>
      </c>
      <c r="Q127" s="305">
        <f t="shared" si="28"/>
        <v>0.8</v>
      </c>
      <c r="R127" s="177">
        <f t="shared" si="29"/>
        <v>0.8719056317025462</v>
      </c>
      <c r="S127" s="809">
        <f t="shared" si="30"/>
        <v>1</v>
      </c>
      <c r="T127" s="176">
        <f t="shared" si="31"/>
        <v>7</v>
      </c>
      <c r="U127" s="251">
        <f t="shared" si="32"/>
        <v>1.8719056317025462</v>
      </c>
      <c r="V127" s="383">
        <f t="shared" si="33"/>
        <v>45.967212360008588</v>
      </c>
      <c r="W127" s="402">
        <f t="shared" si="34"/>
        <v>8.3695616600415264</v>
      </c>
      <c r="X127" s="157">
        <f t="shared" si="35"/>
        <v>45770</v>
      </c>
      <c r="Y127" s="385">
        <f t="shared" si="36"/>
        <v>7.9706618793179098</v>
      </c>
      <c r="Z127" s="385">
        <f t="shared" si="37"/>
        <v>8.632664427972454</v>
      </c>
      <c r="AA127" s="386">
        <f t="shared" si="38"/>
        <v>10.322591286253953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0.16371149563306692</v>
      </c>
      <c r="AD127" s="231">
        <f>(INDEX(Models!$BJ127:$BT127,,AH127)*(1-AF127)+INDEX(Models!$BJ127:$BT127,,AH127+1)*AF127-ERP_i)*AE127*Ramure*Pc/MaxiM</f>
        <v>2.3717173822474187E-2</v>
      </c>
      <c r="AE127" s="305">
        <f t="shared" si="40"/>
        <v>0.8</v>
      </c>
      <c r="AF127" s="177">
        <f t="shared" si="41"/>
        <v>7.2622378867449822E-2</v>
      </c>
      <c r="AG127" s="809">
        <f t="shared" si="49"/>
        <v>3</v>
      </c>
      <c r="AH127" s="176">
        <f t="shared" si="42"/>
        <v>9</v>
      </c>
      <c r="AI127" s="225">
        <f t="shared" si="43"/>
        <v>3.0726223788674498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IF(t&gt;Tmaj,'2024'!Wh/'2024'!Env_an*'2025'!Env_an,0.001*'[6]mon-tableau'!$B$159)</f>
        <v>26.686984639574796</v>
      </c>
      <c r="C128" s="839"/>
      <c r="D128" s="393">
        <f t="shared" si="25"/>
        <v>28.904157579832347</v>
      </c>
      <c r="E128" s="385">
        <f t="shared" si="47"/>
        <v>32.920170751624205</v>
      </c>
      <c r="F128" s="385">
        <f t="shared" si="26"/>
        <v>33.020839460063101</v>
      </c>
      <c r="G128" s="110">
        <f t="shared" si="48"/>
        <v>0.57519430987884368</v>
      </c>
      <c r="H128" s="414" t="b">
        <f>Wh_hp&gt;='2024'!Maxi_hp</f>
        <v>0</v>
      </c>
      <c r="I128" s="390">
        <f>IF(H128,Wh_hp,'2024'!Maxi_hp)</f>
        <v>52.820731246679635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7.6707751614410263E-2</v>
      </c>
      <c r="M128" s="843"/>
      <c r="N128" s="843"/>
      <c r="O128" s="48">
        <f>IF(t&lt;Tnet,'2024'!Resal+('2024'!Salim-'2024'!Resal)*(1-EXP(('2024'!Tnet-t)/('2024'!Tau_j))),Resal+(Salim-Resal)*(1-EXP((Tnet-t)/(Tau_j))))*Salcycl</f>
        <v>0.12199247695559771</v>
      </c>
      <c r="P128" s="169">
        <f>(INDEX(Models!$BJ128:$BT128,,T128)*(1-R128)+INDEX(Models!$BJ128:$BT128,,T128+1)*R128-ERP_i)*Q128*Ramure*Pc/MaxiM</f>
        <v>7.6797859602811521E-3</v>
      </c>
      <c r="Q128" s="305">
        <f t="shared" si="28"/>
        <v>0.8</v>
      </c>
      <c r="R128" s="177">
        <f t="shared" si="29"/>
        <v>0.87459483096644419</v>
      </c>
      <c r="S128" s="809">
        <f t="shared" si="30"/>
        <v>1</v>
      </c>
      <c r="T128" s="176">
        <f t="shared" si="31"/>
        <v>7</v>
      </c>
      <c r="U128" s="251">
        <f t="shared" si="32"/>
        <v>1.8745948309664442</v>
      </c>
      <c r="V128" s="383">
        <f t="shared" si="33"/>
        <v>46.180942631289334</v>
      </c>
      <c r="W128" s="402">
        <f t="shared" si="34"/>
        <v>26.686984639574796</v>
      </c>
      <c r="X128" s="157">
        <f t="shared" si="35"/>
        <v>45771</v>
      </c>
      <c r="Y128" s="385">
        <f t="shared" si="36"/>
        <v>25.262211837684699</v>
      </c>
      <c r="Z128" s="385">
        <f t="shared" si="37"/>
        <v>27.361013678882934</v>
      </c>
      <c r="AA128" s="386">
        <f t="shared" si="38"/>
        <v>32.720836761411476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0.16380458487692215</v>
      </c>
      <c r="AD128" s="231">
        <f>(INDEX(Models!$BJ128:$BT128,,AH128)*(1-AF128)+INDEX(Models!$BJ128:$BT128,,AH128+1)*AF128-ERP_i)*AE128*Ramure*Pc/MaxiM</f>
        <v>2.2886521033987334E-2</v>
      </c>
      <c r="AE128" s="305">
        <f t="shared" si="40"/>
        <v>0.8</v>
      </c>
      <c r="AF128" s="177">
        <f t="shared" si="41"/>
        <v>7.5311578131347812E-2</v>
      </c>
      <c r="AG128" s="809">
        <f t="shared" si="49"/>
        <v>3</v>
      </c>
      <c r="AH128" s="176">
        <f t="shared" si="42"/>
        <v>9</v>
      </c>
      <c r="AI128" s="225">
        <f t="shared" si="43"/>
        <v>3.0753115781313478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IF(t&gt;Tmaj,'2024'!Wh/'2024'!Env_an*'2025'!Env_an,0.001*'[6]mon-tableau'!$B$160)</f>
        <v>42.709633619059055</v>
      </c>
      <c r="C129" s="839"/>
      <c r="D129" s="393">
        <f t="shared" si="25"/>
        <v>46.259080328493447</v>
      </c>
      <c r="E129" s="385">
        <f t="shared" si="47"/>
        <v>52.69456350913326</v>
      </c>
      <c r="F129" s="385">
        <f t="shared" si="26"/>
        <v>53.042474455384948</v>
      </c>
      <c r="G129" s="110">
        <f t="shared" si="48"/>
        <v>0.9199168725238327</v>
      </c>
      <c r="H129" s="414" t="b">
        <f>Wh_hp&gt;='2024'!Maxi_hp</f>
        <v>0</v>
      </c>
      <c r="I129" s="390">
        <f>IF(H129,Wh_hp,'2024'!Maxi_hp)</f>
        <v>55.359840587650929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7.6729729260270246E-2</v>
      </c>
      <c r="M129" s="843"/>
      <c r="N129" s="843"/>
      <c r="O129" s="48">
        <f>IF(t&lt;Tnet,'2024'!Resal+('2024'!Salim-'2024'!Resal)*(1-EXP(('2024'!Tnet-t)/('2024'!Tau_j))),Resal+(Salim-Resal)*(1-EXP((Tnet-t)/(Tau_j))))*Salcycl</f>
        <v>0.12212802900482111</v>
      </c>
      <c r="P129" s="169">
        <f>(INDEX(Models!$BJ129:$BT129,,T129)*(1-R129)+INDEX(Models!$BJ129:$BT129,,T129+1)*R129-ERP_i)*Q129*Ramure*Pc/MaxiM</f>
        <v>7.3971617440243857E-3</v>
      </c>
      <c r="Q129" s="305">
        <f t="shared" si="28"/>
        <v>0.8</v>
      </c>
      <c r="R129" s="177">
        <f t="shared" si="29"/>
        <v>0.87736784077240304</v>
      </c>
      <c r="S129" s="809">
        <f t="shared" si="30"/>
        <v>1</v>
      </c>
      <c r="T129" s="176">
        <f t="shared" si="31"/>
        <v>7</v>
      </c>
      <c r="U129" s="251">
        <f t="shared" si="32"/>
        <v>1.877367840772403</v>
      </c>
      <c r="V129" s="383">
        <f t="shared" si="33"/>
        <v>46.38854368671182</v>
      </c>
      <c r="W129" s="402">
        <f t="shared" si="34"/>
        <v>42.709633619059055</v>
      </c>
      <c r="X129" s="157">
        <f t="shared" si="35"/>
        <v>45772</v>
      </c>
      <c r="Y129" s="385">
        <f t="shared" si="36"/>
        <v>40.143863297192176</v>
      </c>
      <c r="Z129" s="385">
        <f t="shared" si="37"/>
        <v>43.480077902896916</v>
      </c>
      <c r="AA129" s="386">
        <f t="shared" si="38"/>
        <v>52.003439992833016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0.16389996683124758</v>
      </c>
      <c r="AD129" s="231">
        <f>(INDEX(Models!$BJ129:$BT129,,AH129)*(1-AF129)+INDEX(Models!$BJ129:$BT129,,AH129+1)*AF129-ERP_i)*AE129*Ramure*Pc/MaxiM</f>
        <v>2.2091589988525173E-2</v>
      </c>
      <c r="AE129" s="305">
        <f t="shared" si="40"/>
        <v>0.8</v>
      </c>
      <c r="AF129" s="177">
        <f t="shared" si="41"/>
        <v>7.8084587937306882E-2</v>
      </c>
      <c r="AG129" s="809">
        <f t="shared" si="49"/>
        <v>3</v>
      </c>
      <c r="AH129" s="176">
        <f t="shared" si="42"/>
        <v>9</v>
      </c>
      <c r="AI129" s="225">
        <f t="shared" si="43"/>
        <v>3.0780845879373069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IF(t&gt;Tmaj,'2024'!Wh/'2024'!Env_an*'2025'!Env_an,0.001*'[6]mon-tableau'!$B$161)</f>
        <v>44.68692933043036</v>
      </c>
      <c r="C130" s="839"/>
      <c r="D130" s="393">
        <f t="shared" si="25"/>
        <v>48.401854235685725</v>
      </c>
      <c r="E130" s="385">
        <f t="shared" si="47"/>
        <v>55.144056314599702</v>
      </c>
      <c r="F130" s="385">
        <f t="shared" si="26"/>
        <v>55.517191755622846</v>
      </c>
      <c r="G130" s="110">
        <f t="shared" si="48"/>
        <v>0.95875044161476053</v>
      </c>
      <c r="H130" s="414" t="b">
        <f>Wh_hp&gt;='2024'!Maxi_hp</f>
        <v>0</v>
      </c>
      <c r="I130" s="390">
        <f>IF(H130,Wh_hp,'2024'!Maxi_hp)</f>
        <v>55.539931860605101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7.6751706394678348E-2</v>
      </c>
      <c r="M130" s="843"/>
      <c r="N130" s="843"/>
      <c r="O130" s="48">
        <f>IF(t&lt;Tnet,'2024'!Resal+('2024'!Salim-'2024'!Resal)*(1-EXP(('2024'!Tnet-t)/('2024'!Tau_j))),Resal+(Salim-Resal)*(1-EXP((Tnet-t)/(Tau_j))))*Salcycl</f>
        <v>0.12226525448997369</v>
      </c>
      <c r="P130" s="169">
        <f>(INDEX(Models!$BJ130:$BT130,,T130)*(1-R130)+INDEX(Models!$BJ130:$BT130,,T130+1)*R130-ERP_i)*Q130*Ramure*Pc/MaxiM</f>
        <v>7.1375811568619111E-3</v>
      </c>
      <c r="Q130" s="305">
        <f t="shared" si="28"/>
        <v>0.8</v>
      </c>
      <c r="R130" s="177">
        <f t="shared" si="29"/>
        <v>0.88022618890583382</v>
      </c>
      <c r="S130" s="809">
        <f t="shared" si="30"/>
        <v>1</v>
      </c>
      <c r="T130" s="176">
        <f t="shared" si="31"/>
        <v>7</v>
      </c>
      <c r="U130" s="251">
        <f t="shared" si="32"/>
        <v>1.8802261889058338</v>
      </c>
      <c r="V130" s="383">
        <f t="shared" si="33"/>
        <v>46.590008469570066</v>
      </c>
      <c r="W130" s="402">
        <f t="shared" si="34"/>
        <v>44.68692933043036</v>
      </c>
      <c r="X130" s="157">
        <f t="shared" si="35"/>
        <v>45773</v>
      </c>
      <c r="Y130" s="385">
        <f t="shared" si="36"/>
        <v>41.989546751944118</v>
      </c>
      <c r="Z130" s="385">
        <f t="shared" si="37"/>
        <v>45.48023217890092</v>
      </c>
      <c r="AA130" s="386">
        <f t="shared" si="38"/>
        <v>54.402037973383003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0.16399763918489985</v>
      </c>
      <c r="AD130" s="231">
        <f>(INDEX(Models!$BJ130:$BT130,,AH130)*(1-AF130)+INDEX(Models!$BJ130:$BT130,,AH130+1)*AF130-ERP_i)*AE130*Ramure*Pc/MaxiM</f>
        <v>2.1331398060965217E-2</v>
      </c>
      <c r="AE130" s="305">
        <f t="shared" si="40"/>
        <v>0.8</v>
      </c>
      <c r="AF130" s="177">
        <f t="shared" si="41"/>
        <v>8.0942936070737659E-2</v>
      </c>
      <c r="AG130" s="809">
        <f t="shared" si="49"/>
        <v>3</v>
      </c>
      <c r="AH130" s="176">
        <f t="shared" si="42"/>
        <v>9</v>
      </c>
      <c r="AI130" s="225">
        <f t="shared" si="43"/>
        <v>3.0809429360707377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IF(t&gt;Tmaj,'2024'!Wh/'2024'!Env_an*'2025'!Env_an,0.001*'[6]mon-tableau'!$B$162)</f>
        <v>32.527400789678794</v>
      </c>
      <c r="C131" s="839"/>
      <c r="D131" s="393">
        <f t="shared" si="25"/>
        <v>35.232315404523412</v>
      </c>
      <c r="E131" s="385">
        <f t="shared" si="47"/>
        <v>40.146401624741443</v>
      </c>
      <c r="F131" s="385">
        <f t="shared" si="26"/>
        <v>40.303444493229158</v>
      </c>
      <c r="G131" s="110">
        <f t="shared" si="48"/>
        <v>0.69315092605495643</v>
      </c>
      <c r="H131" s="414" t="b">
        <f>Wh_hp&gt;='2024'!Maxi_hp</f>
        <v>0</v>
      </c>
      <c r="I131" s="390">
        <f>IF(H131,Wh_hp,'2024'!Maxi_hp)</f>
        <v>40.422363464574303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7.6773683017646338E-2</v>
      </c>
      <c r="M131" s="843"/>
      <c r="N131" s="843"/>
      <c r="O131" s="48">
        <f>IF(t&lt;Tnet,'2024'!Resal+('2024'!Salim-'2024'!Resal)*(1-EXP(('2024'!Tnet-t)/('2024'!Tau_j))),Resal+(Salim-Resal)*(1-EXP((Tnet-t)/(Tau_j))))*Salcycl</f>
        <v>0.12240415133967011</v>
      </c>
      <c r="P131" s="169">
        <f>(INDEX(Models!$BJ131:$BT131,,T131)*(1-R131)+INDEX(Models!$BJ131:$BT131,,T131+1)*R131-ERP_i)*Q131*Ramure*Pc/MaxiM</f>
        <v>6.9008811554778695E-3</v>
      </c>
      <c r="Q131" s="305">
        <f t="shared" si="28"/>
        <v>0.8</v>
      </c>
      <c r="R131" s="177">
        <f t="shared" si="29"/>
        <v>0.88317135009039571</v>
      </c>
      <c r="S131" s="809">
        <f t="shared" si="30"/>
        <v>1</v>
      </c>
      <c r="T131" s="176">
        <f t="shared" si="31"/>
        <v>7</v>
      </c>
      <c r="U131" s="251">
        <f t="shared" si="32"/>
        <v>1.8831713500903957</v>
      </c>
      <c r="V131" s="383">
        <f t="shared" si="33"/>
        <v>46.785329122905317</v>
      </c>
      <c r="W131" s="402">
        <f t="shared" si="34"/>
        <v>32.527400789678794</v>
      </c>
      <c r="X131" s="157">
        <f t="shared" si="35"/>
        <v>45774</v>
      </c>
      <c r="Y131" s="385">
        <f t="shared" si="36"/>
        <v>30.741392343995468</v>
      </c>
      <c r="Z131" s="385">
        <f t="shared" si="37"/>
        <v>33.29778601250927</v>
      </c>
      <c r="AA131" s="386">
        <f t="shared" si="38"/>
        <v>39.834537900410055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0.16409759551480801</v>
      </c>
      <c r="AD131" s="231">
        <f>(INDEX(Models!$BJ131:$BT131,,AH131)*(1-AF131)+INDEX(Models!$BJ131:$BT131,,AH131+1)*AF131-ERP_i)*AE131*Ramure*Pc/MaxiM</f>
        <v>2.0605002323412235E-2</v>
      </c>
      <c r="AE131" s="305">
        <f t="shared" si="40"/>
        <v>0.8</v>
      </c>
      <c r="AF131" s="177">
        <f t="shared" si="41"/>
        <v>8.3888097255299332E-2</v>
      </c>
      <c r="AG131" s="809">
        <f t="shared" si="49"/>
        <v>3</v>
      </c>
      <c r="AH131" s="176">
        <f t="shared" si="42"/>
        <v>9</v>
      </c>
      <c r="AI131" s="225">
        <f t="shared" si="43"/>
        <v>3.0838880972552993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IF(t&gt;Tmaj,'2024'!Wh/'2024'!Env_an*'2025'!Env_an,0.001*'[6]mon-tableau'!$B$163)</f>
        <v>18.203708247292592</v>
      </c>
      <c r="C132" s="839"/>
      <c r="D132" s="393">
        <f t="shared" si="25"/>
        <v>19.717962147060444</v>
      </c>
      <c r="E132" s="385">
        <f t="shared" si="47"/>
        <v>22.471757214303221</v>
      </c>
      <c r="F132" s="385">
        <f t="shared" si="26"/>
        <v>22.490561327306526</v>
      </c>
      <c r="G132" s="110">
        <f t="shared" si="48"/>
        <v>0.3852539810628936</v>
      </c>
      <c r="H132" s="414" t="b">
        <f>Wh_hp&gt;='2024'!Maxi_hp</f>
        <v>0</v>
      </c>
      <c r="I132" s="390">
        <f>IF(H132,Wh_hp,'2024'!Maxi_hp)</f>
        <v>43.833448045184817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7.6795659129186317E-2</v>
      </c>
      <c r="M132" s="843"/>
      <c r="N132" s="843"/>
      <c r="O132" s="48">
        <f>IF(t&lt;Tnet,'2024'!Resal+('2024'!Salim-'2024'!Resal)*(1-EXP(('2024'!Tnet-t)/('2024'!Tau_j))),Resal+(Salim-Resal)*(1-EXP((Tnet-t)/(Tau_j))))*Salcycl</f>
        <v>0.12254471428206747</v>
      </c>
      <c r="P132" s="169">
        <f>(INDEX(Models!$BJ132:$BT132,,T132)*(1-R132)+INDEX(Models!$BJ132:$BT132,,T132+1)*R132-ERP_i)*Q132*Ramure*Pc/MaxiM</f>
        <v>6.6869383466854181E-3</v>
      </c>
      <c r="Q132" s="305">
        <f t="shared" si="28"/>
        <v>0.8</v>
      </c>
      <c r="R132" s="177">
        <f t="shared" si="29"/>
        <v>0.88620473894184859</v>
      </c>
      <c r="S132" s="809">
        <f t="shared" si="30"/>
        <v>1</v>
      </c>
      <c r="T132" s="176">
        <f t="shared" si="31"/>
        <v>7</v>
      </c>
      <c r="U132" s="251">
        <f t="shared" si="32"/>
        <v>1.8862047389418486</v>
      </c>
      <c r="V132" s="383">
        <f t="shared" si="33"/>
        <v>46.974496981321046</v>
      </c>
      <c r="W132" s="402">
        <f t="shared" si="34"/>
        <v>18.203708247292592</v>
      </c>
      <c r="X132" s="157">
        <f t="shared" si="35"/>
        <v>45775</v>
      </c>
      <c r="Y132" s="385">
        <f t="shared" si="36"/>
        <v>17.310835273833909</v>
      </c>
      <c r="Z132" s="385">
        <f t="shared" si="37"/>
        <v>18.750816593329102</v>
      </c>
      <c r="AA132" s="386">
        <f t="shared" si="38"/>
        <v>22.434568880490875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0.16419982513527015</v>
      </c>
      <c r="AD132" s="231">
        <f>(INDEX(Models!$BJ132:$BT132,,AH132)*(1-AF132)+INDEX(Models!$BJ132:$BT132,,AH132+1)*AF132-ERP_i)*AE132*Ramure*Pc/MaxiM</f>
        <v>1.9911497004430651E-2</v>
      </c>
      <c r="AE132" s="305">
        <f t="shared" si="40"/>
        <v>0.8</v>
      </c>
      <c r="AF132" s="177">
        <f t="shared" si="41"/>
        <v>8.6921486106751988E-2</v>
      </c>
      <c r="AG132" s="809">
        <f t="shared" si="49"/>
        <v>3</v>
      </c>
      <c r="AH132" s="176">
        <f t="shared" si="42"/>
        <v>9</v>
      </c>
      <c r="AI132" s="225">
        <f t="shared" si="43"/>
        <v>3.086921486106752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IF(t&gt;Tmaj,'2024'!Wh/'2024'!Env_an*'2025'!Env_an,0.001*'[6]mon-tableau'!$B$164)</f>
        <v>33.882594093654404</v>
      </c>
      <c r="C133" s="839"/>
      <c r="D133" s="393">
        <f t="shared" si="25"/>
        <v>36.701951172691167</v>
      </c>
      <c r="E133" s="385">
        <f t="shared" si="47"/>
        <v>41.834497427880713</v>
      </c>
      <c r="F133" s="385">
        <f t="shared" si="26"/>
        <v>41.997593724221318</v>
      </c>
      <c r="G133" s="110">
        <f t="shared" si="48"/>
        <v>0.71661430433374562</v>
      </c>
      <c r="H133" s="414" t="b">
        <f>Wh_hp&gt;='2024'!Maxi_hp</f>
        <v>0</v>
      </c>
      <c r="I133" s="390">
        <f>IF(H133,Wh_hp,'2024'!Maxi_hp)</f>
        <v>53.521315436728898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7.6817634729310053E-2</v>
      </c>
      <c r="M133" s="843"/>
      <c r="N133" s="843"/>
      <c r="O133" s="48">
        <f>IF(t&lt;Tnet,'2024'!Resal+('2024'!Salim-'2024'!Resal)*(1-EXP(('2024'!Tnet-t)/('2024'!Tau_j))),Resal+(Salim-Resal)*(1-EXP((Tnet-t)/(Tau_j))))*Salcycl</f>
        <v>0.1226869347250469</v>
      </c>
      <c r="P133" s="169">
        <f>(INDEX(Models!$BJ133:$BT133,,T133)*(1-R133)+INDEX(Models!$BJ133:$BT133,,T133+1)*R133-ERP_i)*Q133*Ramure*Pc/MaxiM</f>
        <v>6.4956683388702058E-3</v>
      </c>
      <c r="Q133" s="305">
        <f t="shared" si="28"/>
        <v>0.8</v>
      </c>
      <c r="R133" s="177">
        <f t="shared" si="29"/>
        <v>0.88932770265520711</v>
      </c>
      <c r="S133" s="809">
        <f t="shared" si="30"/>
        <v>1</v>
      </c>
      <c r="T133" s="176">
        <f t="shared" si="31"/>
        <v>7</v>
      </c>
      <c r="U133" s="251">
        <f t="shared" si="32"/>
        <v>1.8893277026552071</v>
      </c>
      <c r="V133" s="383">
        <f t="shared" si="33"/>
        <v>47.157502571375339</v>
      </c>
      <c r="W133" s="402">
        <f t="shared" si="34"/>
        <v>33.882594093654404</v>
      </c>
      <c r="X133" s="157">
        <f t="shared" si="35"/>
        <v>45776</v>
      </c>
      <c r="Y133" s="385">
        <f t="shared" si="36"/>
        <v>32.028228151335249</v>
      </c>
      <c r="Z133" s="385">
        <f t="shared" si="37"/>
        <v>34.693284183287147</v>
      </c>
      <c r="AA133" s="386">
        <f t="shared" si="38"/>
        <v>41.51425539324503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0.16430431294855288</v>
      </c>
      <c r="AD133" s="231">
        <f>(INDEX(Models!$BJ133:$BT133,,AH133)*(1-AF133)+INDEX(Models!$BJ133:$BT133,,AH133+1)*AF133-ERP_i)*AE133*Ramure*Pc/MaxiM</f>
        <v>1.9250010968541051E-2</v>
      </c>
      <c r="AE133" s="305">
        <f t="shared" si="40"/>
        <v>0.8</v>
      </c>
      <c r="AF133" s="177">
        <f t="shared" si="41"/>
        <v>9.0044449820110728E-2</v>
      </c>
      <c r="AG133" s="809">
        <f t="shared" si="49"/>
        <v>3</v>
      </c>
      <c r="AH133" s="176">
        <f t="shared" si="42"/>
        <v>9</v>
      </c>
      <c r="AI133" s="225">
        <f t="shared" si="43"/>
        <v>3.0900444498201107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IF(t&gt;Tmaj,'2024'!Wh/'2024'!Env_an*'2025'!Env_an,0.001*'[6]mon-tableau'!$B$165)</f>
        <v>42.870586222970132</v>
      </c>
      <c r="C134" s="839"/>
      <c r="D134" s="393">
        <f t="shared" si="25"/>
        <v>46.438935941044448</v>
      </c>
      <c r="E134" s="385">
        <f t="shared" si="47"/>
        <v>47.29975111287272</v>
      </c>
      <c r="F134" s="385">
        <f t="shared" si="26"/>
        <v>47.518442570034921</v>
      </c>
      <c r="G134" s="110">
        <f t="shared" si="48"/>
        <v>0.8077741043162675</v>
      </c>
      <c r="H134" s="414" t="b">
        <f>Wh_hp&gt;='2024'!Maxi_hp</f>
        <v>0</v>
      </c>
      <c r="I134" s="390">
        <f>IF(H134,Wh_hp,'2024'!Maxi_hp)</f>
        <v>59.130369018521904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7.6839609818029425E-2</v>
      </c>
      <c r="M134" s="843"/>
      <c r="N134" s="843"/>
      <c r="O134" s="48">
        <f>IF(t&lt;Tnet,'2024'!Resal+('2024'!Salim-'2024'!Resal)*(1-EXP(('2024'!Tnet-t)/('2024'!Tau_j))),Resal+(Salim-Resal)*(1-EXP((Tnet-t)/(Tau_j))))*Salcycl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6.3270250930478264E-3</v>
      </c>
      <c r="Q134" s="305">
        <f t="shared" si="28"/>
        <v>0.8</v>
      </c>
      <c r="R134" s="177">
        <f t="shared" si="29"/>
        <v>0.89254151344394206</v>
      </c>
      <c r="S134" s="809">
        <f t="shared" si="30"/>
        <v>1</v>
      </c>
      <c r="T134" s="176">
        <f t="shared" si="31"/>
        <v>7</v>
      </c>
      <c r="U134" s="251">
        <f t="shared" si="32"/>
        <v>1.8925415134439421</v>
      </c>
      <c r="V134" s="383">
        <f t="shared" si="33"/>
        <v>52.980532223539278</v>
      </c>
      <c r="W134" s="402">
        <f t="shared" si="34"/>
        <v>42.870586222970132</v>
      </c>
      <c r="X134" s="157">
        <f t="shared" si="35"/>
        <v>45777</v>
      </c>
      <c r="Y134" s="385">
        <f t="shared" si="36"/>
        <v>37.957754139262768</v>
      </c>
      <c r="Z134" s="385">
        <f t="shared" si="37"/>
        <v>41.117182391004285</v>
      </c>
      <c r="AA134" s="386">
        <f t="shared" si="38"/>
        <v>46.874858831017555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0.1228308006381313</v>
      </c>
      <c r="AD134" s="231">
        <f>(INDEX(Models!$BJ134:$BT134,,AH134)*(1-AF134)+INDEX(Models!$BJ134:$BT134,,AH134+1)*AF134-ERP_i)*AE134*Ramure*Pc/MaxiM</f>
        <v>1.8619705218848051E-2</v>
      </c>
      <c r="AE134" s="305">
        <f t="shared" si="40"/>
        <v>0.8</v>
      </c>
      <c r="AF134" s="177">
        <f t="shared" si="41"/>
        <v>9.3258260608845678E-2</v>
      </c>
      <c r="AG134" s="809">
        <f t="shared" si="49"/>
        <v>3</v>
      </c>
      <c r="AH134" s="176">
        <f t="shared" si="42"/>
        <v>9</v>
      </c>
      <c r="AI134" s="225">
        <f t="shared" si="43"/>
        <v>3.0932582606088457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IF(t&gt;Tmaj,'2024'!Wh/'2024'!Env_an*'2025'!Env_an,0.001*[7]mois!$B$140)</f>
        <v>43.708385860685688</v>
      </c>
      <c r="C135" s="839"/>
      <c r="D135" s="393">
        <f t="shared" si="25"/>
        <v>47.347597198690153</v>
      </c>
      <c r="E135" s="385">
        <f t="shared" si="47"/>
        <v>48.236923546461256</v>
      </c>
      <c r="F135" s="385">
        <f t="shared" si="26"/>
        <v>48.460322945647349</v>
      </c>
      <c r="G135" s="110">
        <f t="shared" si="48"/>
        <v>0.82078427732580683</v>
      </c>
      <c r="H135" s="414" t="b">
        <f>Wh_hp&gt;='2024'!Maxi_hp</f>
        <v>0</v>
      </c>
      <c r="I135" s="390">
        <f>IF(H135,Wh_hp,'2024'!Maxi_hp)</f>
        <v>53.619994148118579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7.6861584395356425E-2</v>
      </c>
      <c r="M135" s="843"/>
      <c r="N135" s="843"/>
      <c r="O135" s="48">
        <f>IF(t&lt;Tnet,'2024'!Resal+('2024'!Salim-'2024'!Resal)*(1-EXP(('2024'!Tnet-t)/('2024'!Tau_j))),Resal+(Salim-Resal)*(1-EXP((Tnet-t)/(Tau_j))))*Salcycl</f>
        <v>1.8436630746455355E-2</v>
      </c>
      <c r="P135" s="169">
        <f>(INDEX(Models!$BJ135:$BT135,,T135)*(1-R135)+INDEX(Models!$BJ135:$BT135,,T135+1)*R135-ERP_i)*Q135*Ramure*Pc/MaxiM</f>
        <v>6.1809498759013651E-3</v>
      </c>
      <c r="Q135" s="305">
        <f t="shared" si="28"/>
        <v>0.8</v>
      </c>
      <c r="R135" s="177">
        <f t="shared" si="29"/>
        <v>0.89584736075361393</v>
      </c>
      <c r="S135" s="809">
        <f t="shared" si="30"/>
        <v>1</v>
      </c>
      <c r="T135" s="176">
        <f t="shared" si="31"/>
        <v>7</v>
      </c>
      <c r="U135" s="251">
        <f t="shared" si="32"/>
        <v>1.8958473607536139</v>
      </c>
      <c r="V135" s="383">
        <f t="shared" si="33"/>
        <v>53.167930897375847</v>
      </c>
      <c r="W135" s="402">
        <f t="shared" si="34"/>
        <v>43.708385860685688</v>
      </c>
      <c r="X135" s="157">
        <f t="shared" si="35"/>
        <v>45778</v>
      </c>
      <c r="Y135" s="385">
        <f t="shared" si="36"/>
        <v>38.706877739349906</v>
      </c>
      <c r="Z135" s="385">
        <f t="shared" si="37"/>
        <v>41.929657660273413</v>
      </c>
      <c r="AA135" s="386">
        <f t="shared" si="38"/>
        <v>47.809035821887967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0.12297629643731173</v>
      </c>
      <c r="AD135" s="231">
        <f>(INDEX(Models!$BJ135:$BT135,,AH135)*(1-AF135)+INDEX(Models!$BJ135:$BT135,,AH135+1)*AF135-ERP_i)*AE135*Ramure*Pc/MaxiM</f>
        <v>1.8019623514848371E-2</v>
      </c>
      <c r="AE135" s="305">
        <f t="shared" si="40"/>
        <v>0.8</v>
      </c>
      <c r="AF135" s="177">
        <f t="shared" si="41"/>
        <v>9.656410791851755E-2</v>
      </c>
      <c r="AG135" s="809">
        <f t="shared" si="49"/>
        <v>3</v>
      </c>
      <c r="AH135" s="176">
        <f t="shared" si="42"/>
        <v>9</v>
      </c>
      <c r="AI135" s="225">
        <f t="shared" si="43"/>
        <v>3.0965641079185175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IF(t&gt;Tmaj,'2024'!Wh/'2024'!Env_an*'2025'!Env_an,0.001*[7]mois!$B$141)</f>
        <v>28.50873588566488</v>
      </c>
      <c r="C136" s="839"/>
      <c r="D136" s="393">
        <f t="shared" si="25"/>
        <v>30.883141717360246</v>
      </c>
      <c r="E136" s="385">
        <f t="shared" si="47"/>
        <v>31.470836900874449</v>
      </c>
      <c r="F136" s="385">
        <f t="shared" si="26"/>
        <v>31.534898800447291</v>
      </c>
      <c r="G136" s="110">
        <f t="shared" si="48"/>
        <v>0.5322241139458993</v>
      </c>
      <c r="H136" s="414" t="b">
        <f>Wh_hp&gt;='2024'!Maxi_hp</f>
        <v>0</v>
      </c>
      <c r="I136" s="390">
        <f>IF(H136,Wh_hp,'2024'!Maxi_hp)</f>
        <v>49.269090767711724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7.688355846130282E-2</v>
      </c>
      <c r="M136" s="843"/>
      <c r="N136" s="843"/>
      <c r="O136" s="48">
        <f>IF(t&lt;Tnet,'2024'!Resal+('2024'!Salim-'2024'!Resal)*(1-EXP(('2024'!Tnet-t)/('2024'!Tau_j))),Resal+(Salim-Resal)*(1-EXP((Tnet-t)/(Tau_j))))*Salcycl</f>
        <v>1.8674278836794338E-2</v>
      </c>
      <c r="P136" s="169">
        <f>(INDEX(Models!$BJ136:$BT136,,T136)*(1-R136)+INDEX(Models!$BJ136:$BT136,,T136+1)*R136-ERP_i)*Q136*Ramure*Pc/MaxiM</f>
        <v>6.0670349269280263E-3</v>
      </c>
      <c r="Q136" s="305">
        <f t="shared" si="28"/>
        <v>0.8</v>
      </c>
      <c r="R136" s="177">
        <f t="shared" si="29"/>
        <v>0.89924634327613617</v>
      </c>
      <c r="S136" s="809">
        <f t="shared" si="30"/>
        <v>1</v>
      </c>
      <c r="T136" s="176">
        <f t="shared" si="31"/>
        <v>7</v>
      </c>
      <c r="U136" s="251">
        <f t="shared" si="32"/>
        <v>1.8992463432761362</v>
      </c>
      <c r="V136" s="383">
        <f t="shared" si="33"/>
        <v>53.348677410760118</v>
      </c>
      <c r="W136" s="402">
        <f t="shared" si="34"/>
        <v>28.50873588566488</v>
      </c>
      <c r="X136" s="157">
        <f t="shared" si="35"/>
        <v>45779</v>
      </c>
      <c r="Y136" s="385">
        <f t="shared" si="36"/>
        <v>25.376902125105371</v>
      </c>
      <c r="Z136" s="385">
        <f t="shared" si="37"/>
        <v>27.490467056145015</v>
      </c>
      <c r="AA136" s="386">
        <f t="shared" si="38"/>
        <v>31.350439897982724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0.12312340287404022</v>
      </c>
      <c r="AD136" s="231">
        <f>(INDEX(Models!$BJ136:$BT136,,AH136)*(1-AF136)+INDEX(Models!$BJ136:$BT136,,AH136+1)*AF136-ERP_i)*AE136*Ramure*Pc/MaxiM</f>
        <v>1.7469332181804031E-2</v>
      </c>
      <c r="AE136" s="305">
        <f t="shared" si="40"/>
        <v>0.8</v>
      </c>
      <c r="AF136" s="177">
        <f t="shared" si="41"/>
        <v>9.9963090441039792E-2</v>
      </c>
      <c r="AG136" s="809">
        <f t="shared" si="49"/>
        <v>3</v>
      </c>
      <c r="AH136" s="176">
        <f t="shared" si="42"/>
        <v>9</v>
      </c>
      <c r="AI136" s="225">
        <f t="shared" si="43"/>
        <v>3.0999630904410398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IF(t&gt;Tmaj,'2024'!Wh/'2024'!Env_an*'2025'!Env_an,0.001*[7]mois!$B$142)</f>
        <v>34.791094153843254</v>
      </c>
      <c r="C137" s="839"/>
      <c r="D137" s="393">
        <f t="shared" si="25"/>
        <v>37.689635633740785</v>
      </c>
      <c r="E137" s="385">
        <f t="shared" si="47"/>
        <v>38.416165901614171</v>
      </c>
      <c r="F137" s="385">
        <f t="shared" si="26"/>
        <v>38.531199809755698</v>
      </c>
      <c r="G137" s="110">
        <f t="shared" si="48"/>
        <v>0.64807096839850198</v>
      </c>
      <c r="H137" s="414" t="b">
        <f>Wh_hp&gt;='2024'!Maxi_hp</f>
        <v>0</v>
      </c>
      <c r="I137" s="390">
        <f>IF(H137,Wh_hp,'2024'!Maxi_hp)</f>
        <v>58.038935188367326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7.6905532015880712E-2</v>
      </c>
      <c r="M137" s="843"/>
      <c r="N137" s="843"/>
      <c r="O137" s="48">
        <f>IF(t&lt;Tnet,'2024'!Resal+('2024'!Salim-'2024'!Resal)*(1-EXP(('2024'!Tnet-t)/('2024'!Tau_j))),Resal+(Salim-Resal)*(1-EXP((Tnet-t)/(Tau_j))))*Salcycl</f>
        <v>1.891209731169078E-2</v>
      </c>
      <c r="P137" s="169">
        <f>(INDEX(Models!$BJ137:$BT137,,T137)*(1-R137)+INDEX(Models!$BJ137:$BT137,,T137+1)*R137-ERP_i)*Q137*Ramure*Pc/MaxiM</f>
        <v>5.9706552935124228E-3</v>
      </c>
      <c r="Q137" s="305">
        <f t="shared" si="28"/>
        <v>0.8</v>
      </c>
      <c r="R137" s="177">
        <f t="shared" si="29"/>
        <v>0.90273946079481271</v>
      </c>
      <c r="S137" s="809">
        <f t="shared" si="30"/>
        <v>1</v>
      </c>
      <c r="T137" s="176">
        <f t="shared" si="31"/>
        <v>7</v>
      </c>
      <c r="U137" s="251">
        <f t="shared" si="32"/>
        <v>1.9027394607948127</v>
      </c>
      <c r="V137" s="383">
        <f t="shared" si="33"/>
        <v>53.523344109648626</v>
      </c>
      <c r="W137" s="402">
        <f t="shared" si="34"/>
        <v>34.791094153843254</v>
      </c>
      <c r="X137" s="157">
        <f t="shared" si="35"/>
        <v>45780</v>
      </c>
      <c r="Y137" s="385">
        <f t="shared" si="36"/>
        <v>30.918940601109131</v>
      </c>
      <c r="Z137" s="385">
        <f t="shared" si="37"/>
        <v>33.494882347882353</v>
      </c>
      <c r="AA137" s="386">
        <f t="shared" si="38"/>
        <v>38.204421497917572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0.12327209692972114</v>
      </c>
      <c r="AD137" s="231">
        <f>(INDEX(Models!$BJ137:$BT137,,AH137)*(1-AF137)+INDEX(Models!$BJ137:$BT137,,AH137+1)*AF137-ERP_i)*AE137*Ramure*Pc/MaxiM</f>
        <v>1.6960917775486715E-2</v>
      </c>
      <c r="AE137" s="305">
        <f t="shared" si="40"/>
        <v>0.8</v>
      </c>
      <c r="AF137" s="177">
        <f t="shared" si="41"/>
        <v>0.10345620795971611</v>
      </c>
      <c r="AG137" s="809">
        <f t="shared" si="49"/>
        <v>3</v>
      </c>
      <c r="AH137" s="176">
        <f t="shared" si="42"/>
        <v>9</v>
      </c>
      <c r="AI137" s="225">
        <f t="shared" si="43"/>
        <v>3.1034562079597161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IF(t&gt;Tmaj,'2024'!Wh/'2024'!Env_an*'2025'!Env_an,0.001*[7]mois!$B$143)</f>
        <v>20.474182393881737</v>
      </c>
      <c r="C138" s="839"/>
      <c r="D138" s="393">
        <f t="shared" si="25"/>
        <v>22.180470663024838</v>
      </c>
      <c r="E138" s="385">
        <f t="shared" si="47"/>
        <v>22.61352164646545</v>
      </c>
      <c r="F138" s="385">
        <f t="shared" si="26"/>
        <v>22.629012308570342</v>
      </c>
      <c r="G138" s="110">
        <f t="shared" si="48"/>
        <v>0.37934141980077701</v>
      </c>
      <c r="H138" s="414" t="b">
        <f>Wh_hp&gt;='2024'!Maxi_hp</f>
        <v>0</v>
      </c>
      <c r="I138" s="390">
        <f>IF(H138,Wh_hp,'2024'!Maxi_hp)</f>
        <v>56.165663952413723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7.6927505059101758E-2</v>
      </c>
      <c r="M138" s="843"/>
      <c r="N138" s="843"/>
      <c r="O138" s="48">
        <f>IF(t&lt;Tnet,'2024'!Resal+('2024'!Salim-'2024'!Resal)*(1-EXP(('2024'!Tnet-t)/('2024'!Tau_j))),Resal+(Salim-Resal)*(1-EXP((Tnet-t)/(Tau_j))))*Salcycl</f>
        <v>1.9150090384453679E-2</v>
      </c>
      <c r="P138" s="169">
        <f>(INDEX(Models!$BJ138:$BT138,,T138)*(1-R138)+INDEX(Models!$BJ138:$BT138,,T138+1)*R138-ERP_i)*Q138*Ramure*Pc/MaxiM</f>
        <v>5.891957265384753E-3</v>
      </c>
      <c r="Q138" s="305">
        <f t="shared" si="28"/>
        <v>0.8</v>
      </c>
      <c r="R138" s="177">
        <f t="shared" si="29"/>
        <v>0.90632760589436101</v>
      </c>
      <c r="S138" s="809">
        <f t="shared" si="30"/>
        <v>1</v>
      </c>
      <c r="T138" s="176">
        <f t="shared" si="31"/>
        <v>7</v>
      </c>
      <c r="U138" s="251">
        <f t="shared" si="32"/>
        <v>1.906327605894361</v>
      </c>
      <c r="V138" s="383">
        <f t="shared" si="33"/>
        <v>53.691716391063224</v>
      </c>
      <c r="W138" s="402">
        <f t="shared" si="34"/>
        <v>20.474182393881737</v>
      </c>
      <c r="X138" s="157">
        <f t="shared" si="35"/>
        <v>45781</v>
      </c>
      <c r="Y138" s="385">
        <f t="shared" si="36"/>
        <v>18.275056917785729</v>
      </c>
      <c r="Z138" s="385">
        <f t="shared" si="37"/>
        <v>19.798073301876283</v>
      </c>
      <c r="AA138" s="386">
        <f t="shared" si="38"/>
        <v>22.585646965397686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0.1234223517170928</v>
      </c>
      <c r="AD138" s="231">
        <f>(INDEX(Models!$BJ138:$BT138,,AH138)*(1-AF138)+INDEX(Models!$BJ138:$BT138,,AH138+1)*AF138-ERP_i)*AE138*Ramure*Pc/MaxiM</f>
        <v>1.6494243244214842E-2</v>
      </c>
      <c r="AE138" s="305">
        <f t="shared" si="40"/>
        <v>0.8</v>
      </c>
      <c r="AF138" s="177">
        <f t="shared" si="41"/>
        <v>0.10704435305926463</v>
      </c>
      <c r="AG138" s="809">
        <f t="shared" si="49"/>
        <v>3</v>
      </c>
      <c r="AH138" s="176">
        <f t="shared" si="42"/>
        <v>9</v>
      </c>
      <c r="AI138" s="225">
        <f t="shared" si="43"/>
        <v>3.1070443530592646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IF(t&gt;Tmaj,'2024'!Wh/'2024'!Env_an*'2025'!Env_an,0.001*[7]mois!$B$144)</f>
        <v>40.718269472017845</v>
      </c>
      <c r="C139" s="839"/>
      <c r="D139" s="393">
        <f t="shared" si="25"/>
        <v>44.112720250403342</v>
      </c>
      <c r="E139" s="385">
        <f t="shared" si="47"/>
        <v>44.984899236527752</v>
      </c>
      <c r="F139" s="385">
        <f t="shared" si="26"/>
        <v>45.156463256127587</v>
      </c>
      <c r="G139" s="110">
        <f t="shared" si="48"/>
        <v>0.75455009345659285</v>
      </c>
      <c r="H139" s="414" t="b">
        <f>Wh_hp&gt;='2024'!Maxi_hp</f>
        <v>0</v>
      </c>
      <c r="I139" s="390">
        <f>IF(H139,Wh_hp,'2024'!Maxi_hp)</f>
        <v>56.298681599981336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7.694947759097806E-2</v>
      </c>
      <c r="M139" s="843"/>
      <c r="N139" s="843"/>
      <c r="O139" s="48">
        <f>IF(t&lt;Tnet,'2024'!Resal+('2024'!Salim-'2024'!Resal)*(1-EXP(('2024'!Tnet-t)/('2024'!Tau_j))),Resal+(Salim-Resal)*(1-EXP((Tnet-t)/(Tau_j))))*Salcycl</f>
        <v>1.9388261414981681E-2</v>
      </c>
      <c r="P139" s="169">
        <f>(INDEX(Models!$BJ139:$BT139,,T139)*(1-R139)+INDEX(Models!$BJ139:$BT139,,T139+1)*R139-ERP_i)*Q139*Ramure*Pc/MaxiM</f>
        <v>5.8311164138640957E-3</v>
      </c>
      <c r="Q139" s="305">
        <f t="shared" si="28"/>
        <v>0.8</v>
      </c>
      <c r="R139" s="177">
        <f t="shared" si="29"/>
        <v>0.91001155557425273</v>
      </c>
      <c r="S139" s="809">
        <f t="shared" si="30"/>
        <v>1</v>
      </c>
      <c r="T139" s="176">
        <f t="shared" si="31"/>
        <v>7</v>
      </c>
      <c r="U139" s="251">
        <f t="shared" si="32"/>
        <v>1.9100115555742527</v>
      </c>
      <c r="V139" s="383">
        <f t="shared" si="33"/>
        <v>53.853578733766632</v>
      </c>
      <c r="W139" s="402">
        <f t="shared" si="34"/>
        <v>40.718269472017845</v>
      </c>
      <c r="X139" s="157">
        <f t="shared" si="35"/>
        <v>45782</v>
      </c>
      <c r="Y139" s="385">
        <f t="shared" si="36"/>
        <v>36.148436097848517</v>
      </c>
      <c r="Z139" s="385">
        <f t="shared" si="37"/>
        <v>39.161925832084009</v>
      </c>
      <c r="AA139" s="386">
        <f t="shared" si="38"/>
        <v>44.683672011655489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0.12357413638993602</v>
      </c>
      <c r="AD139" s="231">
        <f>(INDEX(Models!$BJ139:$BT139,,AH139)*(1-AF139)+INDEX(Models!$BJ139:$BT139,,AH139+1)*AF139-ERP_i)*AE139*Ramure*Pc/MaxiM</f>
        <v>1.6069224726739318E-2</v>
      </c>
      <c r="AE139" s="305">
        <f t="shared" si="40"/>
        <v>0.8</v>
      </c>
      <c r="AF139" s="177">
        <f t="shared" si="41"/>
        <v>0.11072830273915635</v>
      </c>
      <c r="AG139" s="809">
        <f t="shared" si="49"/>
        <v>3</v>
      </c>
      <c r="AH139" s="176">
        <f t="shared" si="42"/>
        <v>9</v>
      </c>
      <c r="AI139" s="225">
        <f t="shared" si="43"/>
        <v>3.1107283027391563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IF(t&gt;Tmaj,'2024'!Wh/'2024'!Env_an*'2025'!Env_an,0.001*[7]mois!$B$145)</f>
        <v>34.300006298689361</v>
      </c>
      <c r="C140" s="839"/>
      <c r="D140" s="393">
        <f t="shared" si="25"/>
        <v>37.160287495173783</v>
      </c>
      <c r="E140" s="385">
        <f t="shared" si="47"/>
        <v>37.904218925955639</v>
      </c>
      <c r="F140" s="385">
        <f t="shared" si="26"/>
        <v>38.009536431103491</v>
      </c>
      <c r="G140" s="110">
        <f t="shared" si="48"/>
        <v>0.63316111028292765</v>
      </c>
      <c r="H140" s="414" t="b">
        <f>Wh_hp&gt;='2024'!Maxi_hp</f>
        <v>0</v>
      </c>
      <c r="I140" s="390">
        <f>IF(H140,Wh_hp,'2024'!Maxi_hp)</f>
        <v>61.556815865324921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7.6971449611521497E-2</v>
      </c>
      <c r="M140" s="843"/>
      <c r="N140" s="843"/>
      <c r="O140" s="48">
        <f>IF(t&lt;Tnet,'2024'!Resal+('2024'!Salim-'2024'!Resal)*(1-EXP(('2024'!Tnet-t)/('2024'!Tau_j))),Resal+(Salim-Resal)*(1-EXP((Tnet-t)/(Tau_j))))*Salcycl</f>
        <v>1.962661286425918E-2</v>
      </c>
      <c r="P140" s="169">
        <f>(INDEX(Models!$BJ140:$BT140,,T140)*(1-R140)+INDEX(Models!$BJ140:$BT140,,T140+1)*R140-ERP_i)*Q140*Ramure*Pc/MaxiM</f>
        <v>5.7883379703308055E-3</v>
      </c>
      <c r="Q140" s="305">
        <f t="shared" si="28"/>
        <v>0.8</v>
      </c>
      <c r="R140" s="177">
        <f t="shared" si="29"/>
        <v>0.91379196280786257</v>
      </c>
      <c r="S140" s="809">
        <f t="shared" si="30"/>
        <v>1</v>
      </c>
      <c r="T140" s="176">
        <f t="shared" si="31"/>
        <v>7</v>
      </c>
      <c r="U140" s="251">
        <f t="shared" si="32"/>
        <v>1.9137919628078626</v>
      </c>
      <c r="V140" s="383">
        <f t="shared" si="33"/>
        <v>54.008714698172611</v>
      </c>
      <c r="W140" s="402">
        <f t="shared" si="34"/>
        <v>34.300006298689361</v>
      </c>
      <c r="X140" s="157">
        <f t="shared" si="35"/>
        <v>45783</v>
      </c>
      <c r="Y140" s="385">
        <f t="shared" si="36"/>
        <v>30.512209904934235</v>
      </c>
      <c r="Z140" s="385">
        <f t="shared" si="37"/>
        <v>33.056626354723747</v>
      </c>
      <c r="AA140" s="386">
        <f t="shared" si="38"/>
        <v>37.72413625699415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0.12372741606257548</v>
      </c>
      <c r="AD140" s="231">
        <f>(INDEX(Models!$BJ140:$BT140,,AH140)*(1-AF140)+INDEX(Models!$BJ140:$BT140,,AH140+1)*AF140-ERP_i)*AE140*Ramure*Pc/MaxiM</f>
        <v>1.5685831735350011E-2</v>
      </c>
      <c r="AE140" s="305">
        <f t="shared" si="40"/>
        <v>0.8</v>
      </c>
      <c r="AF140" s="177">
        <f t="shared" si="41"/>
        <v>0.11450870997276619</v>
      </c>
      <c r="AG140" s="809">
        <f t="shared" si="49"/>
        <v>3</v>
      </c>
      <c r="AH140" s="176">
        <f t="shared" si="42"/>
        <v>9</v>
      </c>
      <c r="AI140" s="225">
        <f t="shared" si="43"/>
        <v>3.1145087099727662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IF(t&gt;Tmaj,'2024'!Wh/'2024'!Env_an*'2025'!Env_an,0.001*[7]mois!$B$146)</f>
        <v>50.197606338501281</v>
      </c>
      <c r="C141" s="839"/>
      <c r="D141" s="393">
        <f t="shared" si="25"/>
        <v>54.384884666209857</v>
      </c>
      <c r="E141" s="385">
        <f t="shared" si="47"/>
        <v>55.487144914945375</v>
      </c>
      <c r="F141" s="385">
        <f t="shared" si="26"/>
        <v>55.775049042254707</v>
      </c>
      <c r="G141" s="110">
        <f t="shared" si="48"/>
        <v>0.92633118435490436</v>
      </c>
      <c r="H141" s="414" t="b">
        <f>Wh_hp&gt;='2024'!Maxi_hp</f>
        <v>0</v>
      </c>
      <c r="I141" s="390">
        <f>IF(H141,Wh_hp,'2024'!Maxi_hp)</f>
        <v>58.403819725398094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7.6993421120743838E-2</v>
      </c>
      <c r="M141" s="843"/>
      <c r="N141" s="843"/>
      <c r="O141" s="48">
        <f>IF(t&lt;Tnet,'2024'!Resal+('2024'!Salim-'2024'!Resal)*(1-EXP(('2024'!Tnet-t)/('2024'!Tau_j))),Resal+(Salim-Resal)*(1-EXP((Tnet-t)/(Tau_j))))*Salcycl</f>
        <v>1.9865146250093457E-2</v>
      </c>
      <c r="P141" s="169">
        <f>(INDEX(Models!$BJ141:$BT141,,T141)*(1-R141)+INDEX(Models!$BJ141:$BT141,,T141+1)*R141-ERP_i)*Q141*Ramure*Pc/MaxiM</f>
        <v>5.7638571625359342E-3</v>
      </c>
      <c r="Q141" s="305">
        <f t="shared" si="28"/>
        <v>0.8</v>
      </c>
      <c r="R141" s="177">
        <f t="shared" si="29"/>
        <v>0.91766934809404521</v>
      </c>
      <c r="S141" s="809">
        <f t="shared" si="30"/>
        <v>1</v>
      </c>
      <c r="T141" s="176">
        <f t="shared" si="31"/>
        <v>7</v>
      </c>
      <c r="U141" s="251">
        <f t="shared" si="32"/>
        <v>1.9176693480940452</v>
      </c>
      <c r="V141" s="383">
        <f t="shared" si="33"/>
        <v>54.156906944968881</v>
      </c>
      <c r="W141" s="402">
        <f t="shared" si="34"/>
        <v>50.197606338501281</v>
      </c>
      <c r="X141" s="157">
        <f t="shared" si="35"/>
        <v>45784</v>
      </c>
      <c r="Y141" s="385">
        <f t="shared" si="36"/>
        <v>44.483404846235281</v>
      </c>
      <c r="Z141" s="385">
        <f t="shared" si="37"/>
        <v>48.194027934501229</v>
      </c>
      <c r="AA141" s="386">
        <f t="shared" si="38"/>
        <v>55.00861331640732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0.12388215174065328</v>
      </c>
      <c r="AD141" s="231">
        <f>(INDEX(Models!$BJ141:$BT141,,AH141)*(1-AF141)+INDEX(Models!$BJ141:$BT141,,AH141+1)*AF141-ERP_i)*AE141*Ramure*Pc/MaxiM</f>
        <v>1.5344087246454799E-2</v>
      </c>
      <c r="AE141" s="305">
        <f t="shared" si="40"/>
        <v>0.8</v>
      </c>
      <c r="AF141" s="177">
        <f t="shared" si="41"/>
        <v>0.11838609525894883</v>
      </c>
      <c r="AG141" s="809">
        <f t="shared" si="49"/>
        <v>3</v>
      </c>
      <c r="AH141" s="176">
        <f t="shared" si="42"/>
        <v>9</v>
      </c>
      <c r="AI141" s="225">
        <f t="shared" si="43"/>
        <v>3.1183860952589488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IF(t&gt;Tmaj,'2024'!Wh/'2024'!Env_an*'2025'!Env_an,0.001*[7]mois!$B$147)</f>
        <v>45.747533612735204</v>
      </c>
      <c r="C142" s="839"/>
      <c r="D142" s="393">
        <f t="shared" si="25"/>
        <v>49.564784961848915</v>
      </c>
      <c r="E142" s="385">
        <f t="shared" si="47"/>
        <v>50.581671919124695</v>
      </c>
      <c r="F142" s="385">
        <f t="shared" si="26"/>
        <v>50.808584784852904</v>
      </c>
      <c r="G142" s="110">
        <f t="shared" si="48"/>
        <v>0.84143467155277574</v>
      </c>
      <c r="H142" s="414" t="b">
        <f>Wh_hp&gt;='2024'!Maxi_hp</f>
        <v>0</v>
      </c>
      <c r="I142" s="390">
        <f>IF(H142,Wh_hp,'2024'!Maxi_hp)</f>
        <v>55.761522255902449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7.7015392118657072E-2</v>
      </c>
      <c r="M142" s="843"/>
      <c r="N142" s="843"/>
      <c r="O142" s="48">
        <f>IF(t&lt;Tnet,'2024'!Resal+('2024'!Salim-'2024'!Resal)*(1-EXP(('2024'!Tnet-t)/('2024'!Tau_j))),Resal+(Salim-Resal)*(1-EXP((Tnet-t)/(Tau_j))))*Salcycl</f>
        <v>2.0103862104473048E-2</v>
      </c>
      <c r="P142" s="169">
        <f>(INDEX(Models!$BJ142:$BT142,,T142)*(1-R142)+INDEX(Models!$BJ142:$BT142,,T142+1)*R142-ERP_i)*Q142*Ramure*Pc/MaxiM</f>
        <v>5.7622877096620935E-3</v>
      </c>
      <c r="Q142" s="305">
        <f t="shared" si="28"/>
        <v>0.8</v>
      </c>
      <c r="R142" s="177">
        <f t="shared" si="29"/>
        <v>0.92164409105180489</v>
      </c>
      <c r="S142" s="809">
        <f t="shared" si="30"/>
        <v>1</v>
      </c>
      <c r="T142" s="176">
        <f t="shared" si="31"/>
        <v>7</v>
      </c>
      <c r="U142" s="251">
        <f t="shared" si="32"/>
        <v>1.9216440910518049</v>
      </c>
      <c r="V142" s="383">
        <f t="shared" si="33"/>
        <v>54.297699774203046</v>
      </c>
      <c r="W142" s="402">
        <f t="shared" si="34"/>
        <v>45.747533612735204</v>
      </c>
      <c r="X142" s="157">
        <f t="shared" si="35"/>
        <v>45785</v>
      </c>
      <c r="Y142" s="385">
        <f t="shared" si="36"/>
        <v>40.599418042543235</v>
      </c>
      <c r="Z142" s="385">
        <f t="shared" si="37"/>
        <v>43.987101947167702</v>
      </c>
      <c r="AA142" s="386">
        <f t="shared" si="38"/>
        <v>50.215782220224007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0.12403830026464772</v>
      </c>
      <c r="AD142" s="231">
        <f>(INDEX(Models!$BJ142:$BT142,,AH142)*(1-AF142)+INDEX(Models!$BJ142:$BT142,,AH142+1)*AF142-ERP_i)*AE142*Ramure*Pc/MaxiM</f>
        <v>1.505379133728244E-2</v>
      </c>
      <c r="AE142" s="305">
        <f t="shared" si="40"/>
        <v>0.8</v>
      </c>
      <c r="AF142" s="177">
        <f t="shared" si="41"/>
        <v>0.12236083821670851</v>
      </c>
      <c r="AG142" s="809">
        <f t="shared" si="49"/>
        <v>3</v>
      </c>
      <c r="AH142" s="176">
        <f t="shared" si="42"/>
        <v>9</v>
      </c>
      <c r="AI142" s="225">
        <f t="shared" si="43"/>
        <v>3.1223608382167085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IF(t&gt;Tmaj,'2024'!Wh/'2024'!Env_an*'2025'!Env_an,0.001*[7]mois!$B$148)</f>
        <v>50.612546183244568</v>
      </c>
      <c r="C143" s="839"/>
      <c r="D143" s="393">
        <f t="shared" ref="D143:D206" si="50">Wh/(1-Ppv)</f>
        <v>54.83704771203962</v>
      </c>
      <c r="E143" s="385">
        <f t="shared" si="47"/>
        <v>55.975748934684589</v>
      </c>
      <c r="F143" s="385">
        <f t="shared" ref="F143:F206" si="51">Wh_sa/(1-Pvg*MEDIAN((-Sdif+Wh/Env_an)/Csdif,0,1))</f>
        <v>56.268171490157592</v>
      </c>
      <c r="G143" s="110">
        <f t="shared" si="48"/>
        <v>0.92930133590387409</v>
      </c>
      <c r="H143" s="414" t="b">
        <f>Wh_hp&gt;='2024'!Maxi_hp</f>
        <v>0</v>
      </c>
      <c r="I143" s="390">
        <f>IF(H143,Wh_hp,'2024'!Maxi_hp)</f>
        <v>56.299279898719327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7.703736260527308E-2</v>
      </c>
      <c r="M143" s="843"/>
      <c r="N143" s="843"/>
      <c r="O143" s="48">
        <f>IF(t&lt;Tnet,'2024'!Resal+('2024'!Salim-'2024'!Resal)*(1-EXP(('2024'!Tnet-t)/('2024'!Tau_j))),Resal+(Salim-Resal)*(1-EXP((Tnet-t)/(Tau_j))))*Salcycl</f>
        <v>2.0342759932942787E-2</v>
      </c>
      <c r="P143" s="169">
        <f>(INDEX(Models!$BJ143:$BT143,,T143)*(1-R143)+INDEX(Models!$BJ143:$BT143,,T143+1)*R143-ERP_i)*Q143*Ramure*Pc/MaxiM</f>
        <v>5.7758273127465282E-3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0.92571642211261929</v>
      </c>
      <c r="S143" s="80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1.9257164221126193</v>
      </c>
      <c r="V143" s="383">
        <f t="shared" ref="V143:V206" si="58">MaxiM*(1-Ppv)*(1-Pvg)*(1-Psa)</f>
        <v>54.431315686851441</v>
      </c>
      <c r="W143" s="402">
        <f t="shared" ref="W143:W206" si="59">Wh*(A143&gt;Tmaj)</f>
        <v>50.612546183244568</v>
      </c>
      <c r="X143" s="157">
        <f t="shared" ref="X143:X206" si="60">t</f>
        <v>45786</v>
      </c>
      <c r="Y143" s="385">
        <f t="shared" ref="Y143:Y206" si="61">Wh_pvt_s*(1-Ppv)</f>
        <v>44.87814707154061</v>
      </c>
      <c r="Z143" s="385">
        <f t="shared" ref="Z143:Z206" si="62">Wh_sa_s*(1-Psa_s)</f>
        <v>48.624012775012694</v>
      </c>
      <c r="AA143" s="386">
        <f t="shared" ref="AA143:AA206" si="63">Wh_hp*(1-Pvg_s*MEDIAN((-Sdif+Wh/Env_an)/Csdif,0,1))</f>
        <v>55.519274247758624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0.12419581426758827</v>
      </c>
      <c r="AD143" s="231">
        <f>(INDEX(Models!$BJ143:$BT143,,AH143)*(1-AF143)+INDEX(Models!$BJ143:$BT143,,AH143+1)*AF143-ERP_i)*AE143*Ramure*Pc/MaxiM</f>
        <v>1.4791954540209184E-2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0.12643316927752268</v>
      </c>
      <c r="AG143" s="809">
        <f t="shared" si="49"/>
        <v>3</v>
      </c>
      <c r="AH143" s="176">
        <f t="shared" ref="AH143:AH206" si="67">MIN(MATCH(Hp_vg_s,Echel_vg),10)</f>
        <v>9</v>
      </c>
      <c r="AI143" s="225">
        <f t="shared" ref="AI143:AI206" si="68">IF(OR(t&lt;Ttai,Notai),Hdd_s+PousH*Croivg,Hdtai_s+PousH*(Croivg-Croi_tai))</f>
        <v>3.1264331692775227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IF(t&gt;Tmaj,'2024'!Wh/'2024'!Env_an*'2025'!Env_an,0.001*[7]mois!$B$149)</f>
        <v>46.966572565915627</v>
      </c>
      <c r="C144" s="839"/>
      <c r="D144" s="393">
        <f t="shared" si="50"/>
        <v>50.887965200663771</v>
      </c>
      <c r="E144" s="385">
        <f t="shared" ref="E144:E169" si="72">Wh_pvt/(1-Psa)</f>
        <v>51.957342822716789</v>
      </c>
      <c r="F144" s="385">
        <f t="shared" si="51"/>
        <v>52.200125076308979</v>
      </c>
      <c r="G144" s="110">
        <f t="shared" ref="G144:G169" si="73">+Wh_hp/MaxiM</f>
        <v>0.85986523447580088</v>
      </c>
      <c r="H144" s="414" t="b">
        <f>Wh_hp&gt;='2024'!Maxi_hp</f>
        <v>0</v>
      </c>
      <c r="I144" s="390">
        <f>IF(H144,Wh_hp,'2024'!Maxi_hp)</f>
        <v>52.257479209340723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7.7059332580603851E-2</v>
      </c>
      <c r="M144" s="843"/>
      <c r="N144" s="843"/>
      <c r="O144" s="48">
        <f>IF(t&lt;Tnet,'2024'!Resal+('2024'!Salim-'2024'!Resal)*(1-EXP(('2024'!Tnet-t)/('2024'!Tau_j))),Resal+(Salim-Resal)*(1-EXP((Tnet-t)/(Tau_j))))*Salcycl</f>
        <v>2.0581838176402318E-2</v>
      </c>
      <c r="P144" s="169">
        <f>(INDEX(Models!$BJ144:$BT144,,T144)*(1-R144)+INDEX(Models!$BJ144:$BT144,,T144+1)*R144-ERP_i)*Q144*Ramure*Pc/MaxiM</f>
        <v>5.8047903055816639E-3</v>
      </c>
      <c r="Q144" s="305">
        <f t="shared" si="53"/>
        <v>0.8</v>
      </c>
      <c r="R144" s="177">
        <f t="shared" si="54"/>
        <v>0.92988641436868114</v>
      </c>
      <c r="S144" s="809">
        <f t="shared" si="55"/>
        <v>1</v>
      </c>
      <c r="T144" s="176">
        <f t="shared" si="56"/>
        <v>7</v>
      </c>
      <c r="U144" s="251">
        <f t="shared" si="57"/>
        <v>1.9298864143686811</v>
      </c>
      <c r="V144" s="383">
        <f t="shared" si="58"/>
        <v>54.557536947209677</v>
      </c>
      <c r="W144" s="402">
        <f t="shared" si="59"/>
        <v>46.966572565915627</v>
      </c>
      <c r="X144" s="157">
        <f t="shared" si="60"/>
        <v>45787</v>
      </c>
      <c r="Y144" s="385">
        <f t="shared" si="61"/>
        <v>41.694401634706345</v>
      </c>
      <c r="Z144" s="385">
        <f t="shared" si="62"/>
        <v>45.175603488452495</v>
      </c>
      <c r="AA144" s="386">
        <f t="shared" si="63"/>
        <v>51.591209938336085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0.12435464214837735</v>
      </c>
      <c r="AD144" s="231">
        <f>(INDEX(Models!$BJ144:$BT144,,AH144)*(1-AF144)+INDEX(Models!$BJ144:$BT144,,AH144+1)*AF144-ERP_i)*AE144*Ramure*Pc/MaxiM</f>
        <v>1.4558826427915844E-2</v>
      </c>
      <c r="AE144" s="305">
        <f t="shared" si="65"/>
        <v>0.8</v>
      </c>
      <c r="AF144" s="177">
        <f t="shared" si="66"/>
        <v>0.13060316153358453</v>
      </c>
      <c r="AG144" s="809">
        <f t="shared" ref="AG144:AG207" si="74">INDEX(Echel_vg,AH144)</f>
        <v>3</v>
      </c>
      <c r="AH144" s="176">
        <f t="shared" si="67"/>
        <v>9</v>
      </c>
      <c r="AI144" s="225">
        <f t="shared" si="68"/>
        <v>3.1306031615335845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IF(t&gt;Tmaj,'2024'!Wh/'2024'!Env_an*'2025'!Env_an,0.001*[7]mois!$B$150)</f>
        <v>50.761045052263576</v>
      </c>
      <c r="C145" s="839"/>
      <c r="D145" s="393">
        <f t="shared" si="50"/>
        <v>55.000559816071643</v>
      </c>
      <c r="E145" s="385">
        <f t="shared" si="72"/>
        <v>56.170082391402232</v>
      </c>
      <c r="F145" s="385">
        <f t="shared" si="51"/>
        <v>56.466597125493962</v>
      </c>
      <c r="G145" s="110">
        <f t="shared" si="73"/>
        <v>0.92783628027435316</v>
      </c>
      <c r="H145" s="414" t="b">
        <f>Wh_hp&gt;='2024'!Maxi_hp</f>
        <v>0</v>
      </c>
      <c r="I145" s="390">
        <f>IF(H145,Wh_hp,'2024'!Maxi_hp)</f>
        <v>56.498682503617381</v>
      </c>
      <c r="J145" s="85">
        <f>IF(H145,An,'2024'!An_max)</f>
        <v>2022</v>
      </c>
      <c r="K145" s="197">
        <f t="shared" si="52"/>
        <v>45788</v>
      </c>
      <c r="L145" s="147">
        <f>IF(t&lt;Tvie,1-EXP((T0-t)*PertePVj)+'2024'!Pspv,1-EXP((T0-t)*PertePVj)+Pspv)</f>
        <v>7.7081302044661154E-2</v>
      </c>
      <c r="M145" s="843"/>
      <c r="N145" s="843"/>
      <c r="O145" s="48">
        <f>IF(t&lt;Tnet,'2024'!Resal+('2024'!Salim-'2024'!Resal)*(1-EXP(('2024'!Tnet-t)/('2024'!Tau_j))),Resal+(Salim-Resal)*(1-EXP((Tnet-t)/(Tau_j))))*Salcycl</f>
        <v>2.0821094175742266E-2</v>
      </c>
      <c r="P145" s="169">
        <f>(INDEX(Models!$BJ145:$BT145,,T145)*(1-R145)+INDEX(Models!$BJ145:$BT145,,T145+1)*R145-ERP_i)*Q145*Ramure*Pc/MaxiM</f>
        <v>5.8495191371717341E-3</v>
      </c>
      <c r="Q145" s="305">
        <f t="shared" si="53"/>
        <v>0.8</v>
      </c>
      <c r="R145" s="177">
        <f t="shared" si="54"/>
        <v>0.93415397563871827</v>
      </c>
      <c r="S145" s="809">
        <f t="shared" si="55"/>
        <v>1</v>
      </c>
      <c r="T145" s="176">
        <f t="shared" si="56"/>
        <v>7</v>
      </c>
      <c r="U145" s="251">
        <f t="shared" si="57"/>
        <v>1.9341539756387183</v>
      </c>
      <c r="V145" s="383">
        <f t="shared" si="58"/>
        <v>54.676145021847987</v>
      </c>
      <c r="W145" s="402">
        <f t="shared" si="59"/>
        <v>50.761045052263576</v>
      </c>
      <c r="X145" s="157">
        <f t="shared" si="60"/>
        <v>45788</v>
      </c>
      <c r="Y145" s="385">
        <f t="shared" si="61"/>
        <v>45.037168379465484</v>
      </c>
      <c r="Z145" s="385">
        <f t="shared" si="62"/>
        <v>48.798630344408608</v>
      </c>
      <c r="AA145" s="386">
        <f t="shared" si="63"/>
        <v>55.738950623795567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0.12451472806206836</v>
      </c>
      <c r="AD145" s="231">
        <f>(INDEX(Models!$BJ145:$BT145,,AH145)*(1-AF145)+INDEX(Models!$BJ145:$BT145,,AH145+1)*AF145-ERP_i)*AE145*Ramure*Pc/MaxiM</f>
        <v>1.4354707026005961E-2</v>
      </c>
      <c r="AE145" s="305">
        <f t="shared" si="65"/>
        <v>0.8</v>
      </c>
      <c r="AF145" s="177">
        <f t="shared" si="66"/>
        <v>0.13487072280362167</v>
      </c>
      <c r="AG145" s="809">
        <f t="shared" si="74"/>
        <v>3</v>
      </c>
      <c r="AH145" s="176">
        <f t="shared" si="67"/>
        <v>9</v>
      </c>
      <c r="AI145" s="225">
        <f t="shared" si="68"/>
        <v>3.1348707228036217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IF(t&gt;Tmaj,'2024'!Wh/'2024'!Env_an*'2025'!Env_an,0.001*[7]mois!$B$151)</f>
        <v>38.803790528018574</v>
      </c>
      <c r="C146" s="839"/>
      <c r="D146" s="393">
        <f t="shared" si="50"/>
        <v>42.04564747992692</v>
      </c>
      <c r="E146" s="385">
        <f t="shared" si="72"/>
        <v>42.950201229732194</v>
      </c>
      <c r="F146" s="385">
        <f t="shared" si="51"/>
        <v>43.098769921332291</v>
      </c>
      <c r="G146" s="110">
        <f t="shared" si="73"/>
        <v>0.70651676224753213</v>
      </c>
      <c r="H146" s="414" t="b">
        <f>Wh_hp&gt;='2024'!Maxi_hp</f>
        <v>0</v>
      </c>
      <c r="I146" s="390">
        <f>IF(H146,Wh_hp,'2024'!Maxi_hp)</f>
        <v>59.943333681324077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7.7103270997456869E-2</v>
      </c>
      <c r="M146" s="843"/>
      <c r="N146" s="843"/>
      <c r="O146" s="48">
        <f>IF(t&lt;Tnet,'2024'!Resal+('2024'!Salim-'2024'!Resal)*(1-EXP(('2024'!Tnet-t)/('2024'!Tau_j))),Resal+(Salim-Resal)*(1-EXP((Tnet-t)/(Tau_j))))*Salcycl</f>
        <v>2.106052413973554E-2</v>
      </c>
      <c r="P146" s="169">
        <f>(INDEX(Models!$BJ146:$BT146,,T146)*(1-R146)+INDEX(Models!$BJ146:$BT146,,T146+1)*R146-ERP_i)*Q146*Ramure*Pc/MaxiM</f>
        <v>5.9103846567511963E-3</v>
      </c>
      <c r="Q146" s="305">
        <f t="shared" si="53"/>
        <v>0.8</v>
      </c>
      <c r="R146" s="177">
        <f t="shared" si="54"/>
        <v>0.9385188408161127</v>
      </c>
      <c r="S146" s="809">
        <f t="shared" si="55"/>
        <v>1</v>
      </c>
      <c r="T146" s="176">
        <f t="shared" si="56"/>
        <v>7</v>
      </c>
      <c r="U146" s="251">
        <f t="shared" si="57"/>
        <v>1.9385188408161127</v>
      </c>
      <c r="V146" s="383">
        <f t="shared" si="58"/>
        <v>54.786920590877521</v>
      </c>
      <c r="W146" s="402">
        <f t="shared" si="59"/>
        <v>38.803790528018574</v>
      </c>
      <c r="X146" s="157">
        <f t="shared" si="60"/>
        <v>45789</v>
      </c>
      <c r="Y146" s="385">
        <f t="shared" si="61"/>
        <v>34.528692366740152</v>
      </c>
      <c r="Z146" s="385">
        <f t="shared" si="62"/>
        <v>37.413386873803738</v>
      </c>
      <c r="AA146" s="386">
        <f t="shared" si="63"/>
        <v>42.742330135641481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0.12467601192837402</v>
      </c>
      <c r="AD146" s="231">
        <f>(INDEX(Models!$BJ146:$BT146,,AH146)*(1-AF146)+INDEX(Models!$BJ146:$BT146,,AH146+1)*AF146-ERP_i)*AE146*Ramure*Pc/MaxiM</f>
        <v>1.4179947455371076E-2</v>
      </c>
      <c r="AE146" s="305">
        <f t="shared" si="65"/>
        <v>0.8</v>
      </c>
      <c r="AF146" s="177">
        <f t="shared" si="66"/>
        <v>0.13923558798101654</v>
      </c>
      <c r="AG146" s="809">
        <f t="shared" si="74"/>
        <v>3</v>
      </c>
      <c r="AH146" s="176">
        <f t="shared" si="67"/>
        <v>9</v>
      </c>
      <c r="AI146" s="225">
        <f t="shared" si="68"/>
        <v>3.1392355879810165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IF(t&gt;Tmaj,'2024'!Wh/'2024'!Env_an*'2025'!Env_an,0.001*[7]mois!$B$152)</f>
        <v>41.438933262297539</v>
      </c>
      <c r="C147" s="839"/>
      <c r="D147" s="393">
        <f t="shared" si="50"/>
        <v>44.902011663107615</v>
      </c>
      <c r="E147" s="385">
        <f t="shared" si="72"/>
        <v>45.879245235112208</v>
      </c>
      <c r="F147" s="385">
        <f t="shared" si="51"/>
        <v>46.058487963969455</v>
      </c>
      <c r="G147" s="110">
        <f t="shared" si="73"/>
        <v>0.75336126892436139</v>
      </c>
      <c r="H147" s="414" t="b">
        <f>Wh_hp&gt;='2024'!Maxi_hp</f>
        <v>0</v>
      </c>
      <c r="I147" s="390">
        <f>IF(H147,Wh_hp,'2024'!Maxi_hp)</f>
        <v>63.165410025979916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7.7125239439002985E-2</v>
      </c>
      <c r="M147" s="843"/>
      <c r="N147" s="843"/>
      <c r="O147" s="48">
        <f>IF(t&lt;Tnet,'2024'!Resal+('2024'!Salim-'2024'!Resal)*(1-EXP(('2024'!Tnet-t)/('2024'!Tau_j))),Resal+(Salim-Resal)*(1-EXP((Tnet-t)/(Tau_j))))*Salcycl</f>
        <v>2.1300123116600369E-2</v>
      </c>
      <c r="P147" s="169">
        <f>(INDEX(Models!$BJ147:$BT147,,T147)*(1-R147)+INDEX(Models!$BJ147:$BT147,,T147+1)*R147-ERP_i)*Q147*Ramure*Pc/MaxiM</f>
        <v>5.9877863547186747E-3</v>
      </c>
      <c r="Q147" s="305">
        <f t="shared" si="53"/>
        <v>0.8</v>
      </c>
      <c r="R147" s="177">
        <f t="shared" si="54"/>
        <v>0.94298056456665535</v>
      </c>
      <c r="S147" s="809">
        <f t="shared" si="55"/>
        <v>1</v>
      </c>
      <c r="T147" s="176">
        <f t="shared" si="56"/>
        <v>7</v>
      </c>
      <c r="U147" s="251">
        <f t="shared" si="57"/>
        <v>1.9429805645666554</v>
      </c>
      <c r="V147" s="383">
        <f t="shared" si="58"/>
        <v>54.889643587246759</v>
      </c>
      <c r="W147" s="402">
        <f t="shared" si="59"/>
        <v>41.438933262297539</v>
      </c>
      <c r="X147" s="157">
        <f t="shared" si="60"/>
        <v>45790</v>
      </c>
      <c r="Y147" s="385">
        <f t="shared" si="61"/>
        <v>36.860480792276931</v>
      </c>
      <c r="Z147" s="385">
        <f t="shared" si="62"/>
        <v>39.940934964859352</v>
      </c>
      <c r="AA147" s="386">
        <f t="shared" si="63"/>
        <v>45.63835560123551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0.12483842945958203</v>
      </c>
      <c r="AD147" s="231">
        <f>(INDEX(Models!$BJ147:$BT147,,AH147)*(1-AF147)+INDEX(Models!$BJ147:$BT147,,AH147+1)*AF147-ERP_i)*AE147*Ramure*Pc/MaxiM</f>
        <v>1.4034950509805849E-2</v>
      </c>
      <c r="AE147" s="305">
        <f t="shared" si="65"/>
        <v>0.8</v>
      </c>
      <c r="AF147" s="177">
        <f t="shared" si="66"/>
        <v>0.14369731173155875</v>
      </c>
      <c r="AG147" s="809">
        <f t="shared" si="74"/>
        <v>3</v>
      </c>
      <c r="AH147" s="176">
        <f t="shared" si="67"/>
        <v>9</v>
      </c>
      <c r="AI147" s="225">
        <f t="shared" si="68"/>
        <v>3.1436973117315588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IF(t&gt;Tmaj,'2024'!Wh/'2024'!Env_an*'2025'!Env_an,0.001*[7]mois!$B$153)</f>
        <v>45.223709197959948</v>
      </c>
      <c r="C148" s="839"/>
      <c r="D148" s="393">
        <f t="shared" si="50"/>
        <v>49.004250254306569</v>
      </c>
      <c r="E148" s="385">
        <f t="shared" si="72"/>
        <v>50.083033024587131</v>
      </c>
      <c r="F148" s="385">
        <f t="shared" si="51"/>
        <v>50.31143590783639</v>
      </c>
      <c r="G148" s="110">
        <f t="shared" si="73"/>
        <v>0.82121276669316579</v>
      </c>
      <c r="H148" s="414" t="b">
        <f>Wh_hp&gt;='2024'!Maxi_hp</f>
        <v>0</v>
      </c>
      <c r="I148" s="390">
        <f>IF(H148,Wh_hp,'2024'!Maxi_hp)</f>
        <v>61.55883645461271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7.7147207369311493E-2</v>
      </c>
      <c r="M148" s="843"/>
      <c r="N148" s="843"/>
      <c r="O148" s="48">
        <f>IF(t&lt;Tnet,'2024'!Resal+('2024'!Salim-'2024'!Resal)*(1-EXP(('2024'!Tnet-t)/('2024'!Tau_j))),Resal+(Salim-Resal)*(1-EXP((Tnet-t)/(Tau_j))))*Salcycl</f>
        <v>2.1539884969645436E-2</v>
      </c>
      <c r="P148" s="169">
        <f>(INDEX(Models!$BJ148:$BT148,,T148)*(1-R148)+INDEX(Models!$BJ148:$BT148,,T148+1)*R148-ERP_i)*Q148*Ramure*Pc/MaxiM</f>
        <v>6.0821525628466482E-3</v>
      </c>
      <c r="Q148" s="305">
        <f t="shared" si="53"/>
        <v>0.8</v>
      </c>
      <c r="R148" s="177">
        <f t="shared" si="54"/>
        <v>0.94753851444537807</v>
      </c>
      <c r="S148" s="809">
        <f t="shared" si="55"/>
        <v>1</v>
      </c>
      <c r="T148" s="176">
        <f t="shared" si="56"/>
        <v>7</v>
      </c>
      <c r="U148" s="251">
        <f t="shared" si="57"/>
        <v>1.9475385144453781</v>
      </c>
      <c r="V148" s="383">
        <f t="shared" si="58"/>
        <v>54.984093219921412</v>
      </c>
      <c r="W148" s="402">
        <f t="shared" si="59"/>
        <v>45.223709197959948</v>
      </c>
      <c r="X148" s="157">
        <f t="shared" si="60"/>
        <v>45791</v>
      </c>
      <c r="Y148" s="385">
        <f t="shared" si="61"/>
        <v>40.204091538720057</v>
      </c>
      <c r="Z148" s="385">
        <f t="shared" si="62"/>
        <v>43.565010432610904</v>
      </c>
      <c r="AA148" s="386">
        <f t="shared" si="63"/>
        <v>49.788692158849535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0.12500191220894363</v>
      </c>
      <c r="AD148" s="231">
        <f>(INDEX(Models!$BJ148:$BT148,,AH148)*(1-AF148)+INDEX(Models!$BJ148:$BT148,,AH148+1)*AF148-ERP_i)*AE148*Ramure*Pc/MaxiM</f>
        <v>1.3920171179024401E-2</v>
      </c>
      <c r="AE148" s="305">
        <f t="shared" si="65"/>
        <v>0.8</v>
      </c>
      <c r="AF148" s="177">
        <f t="shared" si="66"/>
        <v>0.14825526161028169</v>
      </c>
      <c r="AG148" s="809">
        <f t="shared" si="74"/>
        <v>3</v>
      </c>
      <c r="AH148" s="176">
        <f t="shared" si="67"/>
        <v>9</v>
      </c>
      <c r="AI148" s="225">
        <f t="shared" si="68"/>
        <v>3.1482552616102817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IF(t&gt;Tmaj,'2024'!Wh/'2024'!Env_an*'2025'!Env_an,0.001*[7]mois!$B$154)</f>
        <v>47.561876146657276</v>
      </c>
      <c r="C149" s="839"/>
      <c r="D149" s="393">
        <f t="shared" si="50"/>
        <v>51.539106461632656</v>
      </c>
      <c r="E149" s="385">
        <f t="shared" si="72"/>
        <v>52.686610423538518</v>
      </c>
      <c r="F149" s="385">
        <f t="shared" si="51"/>
        <v>52.950709216640334</v>
      </c>
      <c r="G149" s="110">
        <f t="shared" si="73"/>
        <v>0.86262008611647079</v>
      </c>
      <c r="H149" s="414" t="b">
        <f>Wh_hp&gt;='2024'!Maxi_hp</f>
        <v>0</v>
      </c>
      <c r="I149" s="390">
        <f>IF(H149,Wh_hp,'2024'!Maxi_hp)</f>
        <v>62.517859934391758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7.7169174788394052E-2</v>
      </c>
      <c r="M149" s="843"/>
      <c r="N149" s="843"/>
      <c r="O149" s="48">
        <f>IF(t&lt;Tnet,'2024'!Resal+('2024'!Salim-'2024'!Resal)*(1-EXP(('2024'!Tnet-t)/('2024'!Tau_j))),Resal+(Salim-Resal)*(1-EXP((Tnet-t)/(Tau_j))))*Salcycl</f>
        <v>2.1779802357397397E-2</v>
      </c>
      <c r="P149" s="169">
        <f>(INDEX(Models!$BJ149:$BT149,,T149)*(1-R149)+INDEX(Models!$BJ149:$BT149,,T149+1)*R149-ERP_i)*Q149*Ramure*Pc/MaxiM</f>
        <v>6.193981705165782E-3</v>
      </c>
      <c r="Q149" s="305">
        <f t="shared" si="53"/>
        <v>0.8</v>
      </c>
      <c r="R149" s="177">
        <f t="shared" si="54"/>
        <v>0.95219186450342574</v>
      </c>
      <c r="S149" s="809">
        <f t="shared" si="55"/>
        <v>1</v>
      </c>
      <c r="T149" s="176">
        <f t="shared" si="56"/>
        <v>7</v>
      </c>
      <c r="U149" s="251">
        <f t="shared" si="57"/>
        <v>1.9521918645034257</v>
      </c>
      <c r="V149" s="383">
        <f t="shared" si="58"/>
        <v>55.06968035791715</v>
      </c>
      <c r="W149" s="402">
        <f t="shared" si="59"/>
        <v>47.561876146657276</v>
      </c>
      <c r="X149" s="157">
        <f t="shared" si="60"/>
        <v>45792</v>
      </c>
      <c r="Y149" s="385">
        <f t="shared" si="61"/>
        <v>42.272069186731137</v>
      </c>
      <c r="Z149" s="385">
        <f t="shared" si="62"/>
        <v>45.806954028695465</v>
      </c>
      <c r="AA149" s="386">
        <f t="shared" si="63"/>
        <v>52.360761385412175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0.12516638764047103</v>
      </c>
      <c r="AD149" s="231">
        <f>(INDEX(Models!$BJ149:$BT149,,AH149)*(1-AF149)+INDEX(Models!$BJ149:$BT149,,AH149+1)*AF149-ERP_i)*AE149*Ramure*Pc/MaxiM</f>
        <v>1.3836208907704839E-2</v>
      </c>
      <c r="AE149" s="305">
        <f t="shared" si="65"/>
        <v>0.8</v>
      </c>
      <c r="AF149" s="177">
        <f t="shared" si="66"/>
        <v>0.15290861166832936</v>
      </c>
      <c r="AG149" s="809">
        <f t="shared" si="74"/>
        <v>3</v>
      </c>
      <c r="AH149" s="176">
        <f t="shared" si="67"/>
        <v>9</v>
      </c>
      <c r="AI149" s="225">
        <f t="shared" si="68"/>
        <v>3.1529086116683294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IF(t&gt;Tmaj,'2024'!Wh/'2024'!Env_an*'2025'!Env_an,0.001*[7]mois!$B$155)</f>
        <v>46.107279040658369</v>
      </c>
      <c r="C150" s="839"/>
      <c r="D150" s="393">
        <f t="shared" si="50"/>
        <v>49.964062032749169</v>
      </c>
      <c r="E150" s="385">
        <f t="shared" si="72"/>
        <v>51.08903579166315</v>
      </c>
      <c r="F150" s="385">
        <f t="shared" si="51"/>
        <v>51.337618761666228</v>
      </c>
      <c r="G150" s="110">
        <f t="shared" si="73"/>
        <v>0.83484661671528437</v>
      </c>
      <c r="H150" s="414" t="b">
        <f>Wh_hp&gt;='2024'!Maxi_hp</f>
        <v>0</v>
      </c>
      <c r="I150" s="390">
        <f>IF(H150,Wh_hp,'2024'!Maxi_hp)</f>
        <v>52.342496301263523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7.719114169626265E-2</v>
      </c>
      <c r="M150" s="843"/>
      <c r="N150" s="843"/>
      <c r="O150" s="48">
        <f>IF(t&lt;Tnet,'2024'!Resal+('2024'!Salim-'2024'!Resal)*(1-EXP(('2024'!Tnet-t)/('2024'!Tau_j))),Resal+(Salim-Resal)*(1-EXP((Tnet-t)/(Tau_j))))*Salcycl</f>
        <v>2.2019866718595609E-2</v>
      </c>
      <c r="P150" s="169">
        <f>(INDEX(Models!$BJ150:$BT150,,T150)*(1-R150)+INDEX(Models!$BJ150:$BT150,,T150+1)*R150-ERP_i)*Q150*Ramure*Pc/MaxiM</f>
        <v>6.3225987212155062E-3</v>
      </c>
      <c r="Q150" s="305">
        <f t="shared" si="53"/>
        <v>0.8</v>
      </c>
      <c r="R150" s="177">
        <f t="shared" si="54"/>
        <v>0.95693958945677693</v>
      </c>
      <c r="S150" s="809">
        <f t="shared" si="55"/>
        <v>1</v>
      </c>
      <c r="T150" s="176">
        <f t="shared" si="56"/>
        <v>7</v>
      </c>
      <c r="U150" s="251">
        <f t="shared" si="57"/>
        <v>1.9569395894567769</v>
      </c>
      <c r="V150" s="383">
        <f t="shared" si="58"/>
        <v>55.146280995195156</v>
      </c>
      <c r="W150" s="402">
        <f t="shared" si="59"/>
        <v>46.107279040658369</v>
      </c>
      <c r="X150" s="157">
        <f t="shared" si="60"/>
        <v>45793</v>
      </c>
      <c r="Y150" s="385">
        <f t="shared" si="61"/>
        <v>40.999486487371477</v>
      </c>
      <c r="Z150" s="385">
        <f t="shared" si="62"/>
        <v>44.429012702299751</v>
      </c>
      <c r="AA150" s="386">
        <f t="shared" si="63"/>
        <v>50.795274878887142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0.12533177922093505</v>
      </c>
      <c r="AD150" s="231">
        <f>(INDEX(Models!$BJ150:$BT150,,AH150)*(1-AF150)+INDEX(Models!$BJ150:$BT150,,AH150+1)*AF150-ERP_i)*AE150*Ramure*Pc/MaxiM</f>
        <v>1.3794278585036261E-2</v>
      </c>
      <c r="AE150" s="305">
        <f t="shared" si="65"/>
        <v>0.8</v>
      </c>
      <c r="AF150" s="177">
        <f t="shared" si="66"/>
        <v>0.15765633662168055</v>
      </c>
      <c r="AG150" s="809">
        <f t="shared" si="74"/>
        <v>3</v>
      </c>
      <c r="AH150" s="176">
        <f t="shared" si="67"/>
        <v>9</v>
      </c>
      <c r="AI150" s="225">
        <f t="shared" si="68"/>
        <v>3.1576563366216805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IF(t&gt;Tmaj,'2024'!Wh/'2024'!Env_an*'2025'!Env_an,0.001*[7]mois!$B$156)</f>
        <v>49.141922607840385</v>
      </c>
      <c r="C151" s="839"/>
      <c r="D151" s="393">
        <f t="shared" si="50"/>
        <v>53.253815197007832</v>
      </c>
      <c r="E151" s="385">
        <f t="shared" si="72"/>
        <v>54.466237358607522</v>
      </c>
      <c r="F151" s="385">
        <f t="shared" si="51"/>
        <v>54.764313911125001</v>
      </c>
      <c r="G151" s="110">
        <f t="shared" si="73"/>
        <v>0.8891043063624855</v>
      </c>
      <c r="H151" s="414" t="b">
        <f>Wh_hp&gt;='2024'!Maxi_hp</f>
        <v>0</v>
      </c>
      <c r="I151" s="390">
        <f>IF(H151,Wh_hp,'2024'!Maxi_hp)</f>
        <v>59.99498381286103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7.7213108092929278E-2</v>
      </c>
      <c r="M151" s="843"/>
      <c r="N151" s="843"/>
      <c r="O151" s="48">
        <f>IF(t&lt;Tnet,'2024'!Resal+('2024'!Salim-'2024'!Resal)*(1-EXP(('2024'!Tnet-t)/('2024'!Tau_j))),Resal+(Salim-Resal)*(1-EXP((Tnet-t)/(Tau_j))))*Salcycl</f>
        <v>2.2260068262418432E-2</v>
      </c>
      <c r="P151" s="169">
        <f>(INDEX(Models!$BJ151:$BT151,,T151)*(1-R151)+INDEX(Models!$BJ151:$BT151,,T151+1)*R151-ERP_i)*Q151*Ramure*Pc/MaxiM</f>
        <v>6.4575405651390557E-3</v>
      </c>
      <c r="Q151" s="305">
        <f t="shared" si="53"/>
        <v>0.8</v>
      </c>
      <c r="R151" s="177">
        <f t="shared" si="54"/>
        <v>0.96178045948874558</v>
      </c>
      <c r="S151" s="809">
        <f t="shared" si="55"/>
        <v>1</v>
      </c>
      <c r="T151" s="176">
        <f t="shared" si="56"/>
        <v>7</v>
      </c>
      <c r="U151" s="251">
        <f t="shared" si="57"/>
        <v>1.9617804594887456</v>
      </c>
      <c r="V151" s="383">
        <f t="shared" si="58"/>
        <v>55.214880722034188</v>
      </c>
      <c r="W151" s="402">
        <f t="shared" si="59"/>
        <v>49.141922607840385</v>
      </c>
      <c r="X151" s="157">
        <f t="shared" si="60"/>
        <v>45794</v>
      </c>
      <c r="Y151" s="385">
        <f t="shared" si="61"/>
        <v>43.680620788854114</v>
      </c>
      <c r="Z151" s="385">
        <f t="shared" si="62"/>
        <v>47.335545370157874</v>
      </c>
      <c r="AA151" s="386">
        <f t="shared" si="63"/>
        <v>54.128573432504027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0.12549800653469576</v>
      </c>
      <c r="AD151" s="231">
        <f>(INDEX(Models!$BJ151:$BT151,,AH151)*(1-AF151)+INDEX(Models!$BJ151:$BT151,,AH151+1)*AF151-ERP_i)*AE151*Ramure*Pc/MaxiM</f>
        <v>1.3772703337190877E-2</v>
      </c>
      <c r="AE151" s="305">
        <f t="shared" si="65"/>
        <v>0.8</v>
      </c>
      <c r="AF151" s="177">
        <f t="shared" si="66"/>
        <v>0.16249720665364897</v>
      </c>
      <c r="AG151" s="809">
        <f t="shared" si="74"/>
        <v>3</v>
      </c>
      <c r="AH151" s="176">
        <f t="shared" si="67"/>
        <v>9</v>
      </c>
      <c r="AI151" s="225">
        <f t="shared" si="68"/>
        <v>3.162497206653649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IF(t&gt;Tmaj,'2024'!Wh/'2024'!Env_an*'2025'!Env_an,0.001*[7]mois!$B$157)</f>
        <v>47.977383774397509</v>
      </c>
      <c r="C152" s="839"/>
      <c r="D152" s="393">
        <f t="shared" si="50"/>
        <v>51.993072581602171</v>
      </c>
      <c r="E152" s="385">
        <f t="shared" si="72"/>
        <v>53.189865619323854</v>
      </c>
      <c r="F152" s="385">
        <f t="shared" si="51"/>
        <v>53.476187207016643</v>
      </c>
      <c r="G152" s="110">
        <f t="shared" si="73"/>
        <v>0.86687617758323288</v>
      </c>
      <c r="H152" s="414" t="b">
        <f>Wh_hp&gt;='2024'!Maxi_hp</f>
        <v>0</v>
      </c>
      <c r="I152" s="390">
        <f>IF(H152,Wh_hp,'2024'!Maxi_hp)</f>
        <v>63.269617508467668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7.7235073978405705E-2</v>
      </c>
      <c r="M152" s="843"/>
      <c r="N152" s="843"/>
      <c r="O152" s="48">
        <f>IF(t&lt;Tnet,'2024'!Resal+('2024'!Salim-'2024'!Resal)*(1-EXP(('2024'!Tnet-t)/('2024'!Tau_j))),Resal+(Salim-Resal)*(1-EXP((Tnet-t)/(Tau_j))))*Salcycl</f>
        <v>2.2500395964281036E-2</v>
      </c>
      <c r="P152" s="169">
        <f>(INDEX(Models!$BJ152:$BT152,,T152)*(1-R152)+INDEX(Models!$BJ152:$BT152,,T152+1)*R152-ERP_i)*Q152*Ramure*Pc/MaxiM</f>
        <v>6.5989090189368113E-3</v>
      </c>
      <c r="Q152" s="305">
        <f t="shared" si="53"/>
        <v>0.8</v>
      </c>
      <c r="R152" s="177">
        <f t="shared" si="54"/>
        <v>0.96671303575749401</v>
      </c>
      <c r="S152" s="809">
        <f t="shared" si="55"/>
        <v>1</v>
      </c>
      <c r="T152" s="176">
        <f t="shared" si="56"/>
        <v>7</v>
      </c>
      <c r="U152" s="251">
        <f t="shared" si="57"/>
        <v>1.966713035757494</v>
      </c>
      <c r="V152" s="383">
        <f t="shared" si="58"/>
        <v>55.275880357024654</v>
      </c>
      <c r="W152" s="402">
        <f t="shared" si="59"/>
        <v>47.977383774397509</v>
      </c>
      <c r="X152" s="157">
        <f t="shared" si="60"/>
        <v>45795</v>
      </c>
      <c r="Y152" s="385">
        <f t="shared" si="61"/>
        <v>42.662788152211085</v>
      </c>
      <c r="Z152" s="385">
        <f t="shared" si="62"/>
        <v>46.233647323535898</v>
      </c>
      <c r="AA152" s="386">
        <f t="shared" si="63"/>
        <v>52.878640970179504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0.12566498542182664</v>
      </c>
      <c r="AD152" s="231">
        <f>(INDEX(Models!$BJ152:$BT152,,AH152)*(1-AF152)+INDEX(Models!$BJ152:$BT152,,AH152+1)*AF152-ERP_i)*AE152*Ramure*Pc/MaxiM</f>
        <v>1.3771763712511832E-2</v>
      </c>
      <c r="AE152" s="305">
        <f t="shared" si="65"/>
        <v>0.8</v>
      </c>
      <c r="AF152" s="177">
        <f t="shared" si="66"/>
        <v>0.16742978292239785</v>
      </c>
      <c r="AG152" s="809">
        <f t="shared" si="74"/>
        <v>3</v>
      </c>
      <c r="AH152" s="176">
        <f t="shared" si="67"/>
        <v>9</v>
      </c>
      <c r="AI152" s="225">
        <f t="shared" si="68"/>
        <v>3.1674297829223979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IF(t&gt;Tmaj,'2024'!Wh/'2024'!Env_an*'2025'!Env_an,0.001*[7]mois!$B$158)</f>
        <v>50.451603405589225</v>
      </c>
      <c r="C153" s="839"/>
      <c r="D153" s="393">
        <f t="shared" si="50"/>
        <v>54.675684949357802</v>
      </c>
      <c r="E153" s="385">
        <f t="shared" si="72"/>
        <v>55.947989081284348</v>
      </c>
      <c r="F153" s="385">
        <f t="shared" si="51"/>
        <v>56.279874703881518</v>
      </c>
      <c r="G153" s="110">
        <f t="shared" si="73"/>
        <v>0.91105673342996862</v>
      </c>
      <c r="H153" s="414" t="b">
        <f>Wh_hp&gt;='2024'!Maxi_hp</f>
        <v>0</v>
      </c>
      <c r="I153" s="390">
        <f>IF(H153,Wh_hp,'2024'!Maxi_hp)</f>
        <v>62.475898424686022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7.7257039352703921E-2</v>
      </c>
      <c r="M153" s="843"/>
      <c r="N153" s="843"/>
      <c r="O153" s="48">
        <f>IF(t&lt;Tnet,'2024'!Resal+('2024'!Salim-'2024'!Resal)*(1-EXP(('2024'!Tnet-t)/('2024'!Tau_j))),Resal+(Salim-Resal)*(1-EXP((Tnet-t)/(Tau_j))))*Salcycl</f>
        <v>2.2740837567514161E-2</v>
      </c>
      <c r="P153" s="169">
        <f>(INDEX(Models!$BJ153:$BT153,,T153)*(1-R153)+INDEX(Models!$BJ153:$BT153,,T153+1)*R153-ERP_i)*Q153*Ramure*Pc/MaxiM</f>
        <v>6.7468058905208426E-3</v>
      </c>
      <c r="Q153" s="305">
        <f t="shared" si="53"/>
        <v>0.8</v>
      </c>
      <c r="R153" s="177">
        <f t="shared" si="54"/>
        <v>0.97173566667824995</v>
      </c>
      <c r="S153" s="809">
        <f t="shared" si="55"/>
        <v>1</v>
      </c>
      <c r="T153" s="176">
        <f t="shared" si="56"/>
        <v>7</v>
      </c>
      <c r="U153" s="251">
        <f t="shared" si="57"/>
        <v>1.97173566667825</v>
      </c>
      <c r="V153" s="383">
        <f t="shared" si="58"/>
        <v>55.329680405711265</v>
      </c>
      <c r="W153" s="402">
        <f t="shared" si="59"/>
        <v>50.451603405589225</v>
      </c>
      <c r="X153" s="157">
        <f t="shared" si="60"/>
        <v>45796</v>
      </c>
      <c r="Y153" s="385">
        <f t="shared" si="61"/>
        <v>44.849885969675775</v>
      </c>
      <c r="Z153" s="385">
        <f t="shared" si="62"/>
        <v>48.604961384060815</v>
      </c>
      <c r="AA153" s="386">
        <f t="shared" si="63"/>
        <v>55.601436233694628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0.12583262813980925</v>
      </c>
      <c r="AD153" s="231">
        <f>(INDEX(Models!$BJ153:$BT153,,AH153)*(1-AF153)+INDEX(Models!$BJ153:$BT153,,AH153+1)*AF153-ERP_i)*AE153*Ramure*Pc/MaxiM</f>
        <v>1.3791777514172786E-2</v>
      </c>
      <c r="AE153" s="305">
        <f t="shared" si="65"/>
        <v>0.8</v>
      </c>
      <c r="AF153" s="177">
        <f t="shared" si="66"/>
        <v>0.17245241384315335</v>
      </c>
      <c r="AG153" s="809">
        <f t="shared" si="74"/>
        <v>3</v>
      </c>
      <c r="AH153" s="176">
        <f t="shared" si="67"/>
        <v>9</v>
      </c>
      <c r="AI153" s="225">
        <f t="shared" si="68"/>
        <v>3.1724524138431534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IF(t&gt;Tmaj,'2024'!Wh/'2024'!Env_an*'2025'!Env_an,0.001*[7]mois!$B$159)</f>
        <v>44.859404568764468</v>
      </c>
      <c r="C154" s="839"/>
      <c r="D154" s="393">
        <f t="shared" si="50"/>
        <v>48.616434191617373</v>
      </c>
      <c r="E154" s="385">
        <f t="shared" si="72"/>
        <v>49.759987349345977</v>
      </c>
      <c r="F154" s="385">
        <f t="shared" si="51"/>
        <v>50.011489015805907</v>
      </c>
      <c r="G154" s="110">
        <f t="shared" si="73"/>
        <v>0.80855302222718317</v>
      </c>
      <c r="H154" s="414" t="b">
        <f>Wh_hp&gt;='2024'!Maxi_hp</f>
        <v>0</v>
      </c>
      <c r="I154" s="390">
        <f>IF(H154,Wh_hp,'2024'!Maxi_hp)</f>
        <v>61.584962409087645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7.7279004215835806E-2</v>
      </c>
      <c r="M154" s="843"/>
      <c r="N154" s="843"/>
      <c r="O154" s="48">
        <f>IF(t&lt;Tnet,'2024'!Resal+('2024'!Salim-'2024'!Resal)*(1-EXP(('2024'!Tnet-t)/('2024'!Tau_j))),Resal+(Salim-Resal)*(1-EXP((Tnet-t)/(Tau_j))))*Salcycl</f>
        <v>2.2981379591199544E-2</v>
      </c>
      <c r="P154" s="169">
        <f>(INDEX(Models!$BJ154:$BT154,,T154)*(1-R154)+INDEX(Models!$BJ154:$BT154,,T154+1)*R154-ERP_i)*Q154*Ramure*Pc/MaxiM</f>
        <v>6.9013322533897602E-3</v>
      </c>
      <c r="Q154" s="305">
        <f t="shared" si="53"/>
        <v>0.8</v>
      </c>
      <c r="R154" s="177">
        <f t="shared" si="54"/>
        <v>0.97684648504744276</v>
      </c>
      <c r="S154" s="809">
        <f t="shared" si="55"/>
        <v>1</v>
      </c>
      <c r="T154" s="176">
        <f t="shared" si="56"/>
        <v>7</v>
      </c>
      <c r="U154" s="251">
        <f t="shared" si="57"/>
        <v>1.9768464850474428</v>
      </c>
      <c r="V154" s="383">
        <f t="shared" si="58"/>
        <v>55.37668105748461</v>
      </c>
      <c r="W154" s="402">
        <f t="shared" si="59"/>
        <v>44.859404568764468</v>
      </c>
      <c r="X154" s="157">
        <f t="shared" si="60"/>
        <v>45797</v>
      </c>
      <c r="Y154" s="385">
        <f t="shared" si="61"/>
        <v>39.925588843835406</v>
      </c>
      <c r="Z154" s="385">
        <f t="shared" si="62"/>
        <v>43.269405406674515</v>
      </c>
      <c r="AA154" s="386">
        <f t="shared" si="63"/>
        <v>49.507376623074087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0.12600084354888277</v>
      </c>
      <c r="AD154" s="231">
        <f>(INDEX(Models!$BJ154:$BT154,,AH154)*(1-AF154)+INDEX(Models!$BJ154:$BT154,,AH154+1)*AF154-ERP_i)*AE154*Ramure*Pc/MaxiM</f>
        <v>1.3833097665966493E-2</v>
      </c>
      <c r="AE154" s="305">
        <f t="shared" si="65"/>
        <v>0.8</v>
      </c>
      <c r="AF154" s="177">
        <f t="shared" si="66"/>
        <v>0.17756323221234638</v>
      </c>
      <c r="AG154" s="809">
        <f t="shared" si="74"/>
        <v>3</v>
      </c>
      <c r="AH154" s="176">
        <f t="shared" si="67"/>
        <v>9</v>
      </c>
      <c r="AI154" s="225">
        <f t="shared" si="68"/>
        <v>3.1775632322123464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IF(t&gt;Tmaj,'2024'!Wh/'2024'!Env_an*'2025'!Env_an,0.001*[7]mois!$B$160)</f>
        <v>43.704454518062512</v>
      </c>
      <c r="C155" s="839"/>
      <c r="D155" s="393">
        <f t="shared" si="50"/>
        <v>47.365883163685261</v>
      </c>
      <c r="E155" s="385">
        <f t="shared" si="72"/>
        <v>48.4919639056465</v>
      </c>
      <c r="F155" s="385">
        <f t="shared" si="51"/>
        <v>48.732219622322496</v>
      </c>
      <c r="G155" s="110">
        <f t="shared" si="73"/>
        <v>0.78695296294762151</v>
      </c>
      <c r="H155" s="414" t="b">
        <f>Wh_hp&gt;='2024'!Maxi_hp</f>
        <v>0</v>
      </c>
      <c r="I155" s="390">
        <f>IF(H155,Wh_hp,'2024'!Maxi_hp)</f>
        <v>60.33184776738014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7.7300968567813239E-2</v>
      </c>
      <c r="M155" s="843"/>
      <c r="N155" s="843"/>
      <c r="O155" s="48">
        <f>IF(t&lt;Tnet,'2024'!Resal+('2024'!Salim-'2024'!Resal)*(1-EXP(('2024'!Tnet-t)/('2024'!Tau_j))),Resal+(Salim-Resal)*(1-EXP((Tnet-t)/(Tau_j))))*Salcycl</f>
        <v>2.3222007344398745E-2</v>
      </c>
      <c r="P155" s="169">
        <f>(INDEX(Models!$BJ155:$BT155,,T155)*(1-R155)+INDEX(Models!$BJ155:$BT155,,T155+1)*R155-ERP_i)*Q155*Ramure*Pc/MaxiM</f>
        <v>7.0625876493636249E-3</v>
      </c>
      <c r="Q155" s="305">
        <f t="shared" si="53"/>
        <v>0.8</v>
      </c>
      <c r="R155" s="177">
        <f t="shared" si="54"/>
        <v>0.98204340607257423</v>
      </c>
      <c r="S155" s="809">
        <f t="shared" si="55"/>
        <v>1</v>
      </c>
      <c r="T155" s="176">
        <f t="shared" si="56"/>
        <v>7</v>
      </c>
      <c r="U155" s="251">
        <f t="shared" si="57"/>
        <v>1.9820434060725742</v>
      </c>
      <c r="V155" s="383">
        <f t="shared" si="58"/>
        <v>55.417282231558652</v>
      </c>
      <c r="W155" s="402">
        <f t="shared" si="59"/>
        <v>43.704454518062512</v>
      </c>
      <c r="X155" s="157">
        <f t="shared" si="60"/>
        <v>45798</v>
      </c>
      <c r="Y155" s="385">
        <f t="shared" si="61"/>
        <v>38.910791795329331</v>
      </c>
      <c r="Z155" s="385">
        <f t="shared" si="62"/>
        <v>42.17062169766573</v>
      </c>
      <c r="AA155" s="386">
        <f t="shared" si="63"/>
        <v>48.259500553889133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0.12616953732093092</v>
      </c>
      <c r="AD155" s="231">
        <f>(INDEX(Models!$BJ155:$BT155,,AH155)*(1-AF155)+INDEX(Models!$BJ155:$BT155,,AH155+1)*AF155-ERP_i)*AE155*Ramure*Pc/MaxiM</f>
        <v>1.3896109947046832E-2</v>
      </c>
      <c r="AE155" s="305">
        <f t="shared" si="65"/>
        <v>0.8</v>
      </c>
      <c r="AF155" s="177">
        <f t="shared" si="66"/>
        <v>0.18276015323747785</v>
      </c>
      <c r="AG155" s="809">
        <f t="shared" si="74"/>
        <v>3</v>
      </c>
      <c r="AH155" s="176">
        <f t="shared" si="67"/>
        <v>9</v>
      </c>
      <c r="AI155" s="225">
        <f t="shared" si="68"/>
        <v>3.1827601532374779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IF(t&gt;Tmaj,'2024'!Wh/'2024'!Env_an*'2025'!Env_an,0.001*[7]mois!$B$161)</f>
        <v>32.296269855446639</v>
      </c>
      <c r="C156" s="839"/>
      <c r="D156" s="393">
        <f t="shared" si="50"/>
        <v>35.002788071622973</v>
      </c>
      <c r="E156" s="385">
        <f t="shared" si="72"/>
        <v>35.843780108492581</v>
      </c>
      <c r="F156" s="385">
        <f t="shared" si="51"/>
        <v>35.948625612270433</v>
      </c>
      <c r="G156" s="110">
        <f t="shared" si="73"/>
        <v>0.57989972307856874</v>
      </c>
      <c r="H156" s="414" t="b">
        <f>Wh_hp&gt;='2024'!Maxi_hp</f>
        <v>0</v>
      </c>
      <c r="I156" s="390">
        <f>IF(H156,Wh_hp,'2024'!Maxi_hp)</f>
        <v>60.101475651272665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7.7322932408648098E-2</v>
      </c>
      <c r="M156" s="843"/>
      <c r="N156" s="843"/>
      <c r="O156" s="48">
        <f>IF(t&lt;Tnet,'2024'!Resal+('2024'!Salim-'2024'!Resal)*(1-EXP(('2024'!Tnet-t)/('2024'!Tau_j))),Resal+(Salim-Resal)*(1-EXP((Tnet-t)/(Tau_j))))*Salcycl</f>
        <v>2.3462704946969243E-2</v>
      </c>
      <c r="P156" s="169">
        <f>(INDEX(Models!$BJ156:$BT156,,T156)*(1-R156)+INDEX(Models!$BJ156:$BT156,,T156+1)*R156-ERP_i)*Q156*Ramure*Pc/MaxiM</f>
        <v>7.2288989960364036E-3</v>
      </c>
      <c r="Q156" s="305">
        <f t="shared" si="53"/>
        <v>0.8</v>
      </c>
      <c r="R156" s="177">
        <f t="shared" si="54"/>
        <v>0.98732412636724076</v>
      </c>
      <c r="S156" s="809">
        <f t="shared" si="55"/>
        <v>1</v>
      </c>
      <c r="T156" s="176">
        <f t="shared" si="56"/>
        <v>7</v>
      </c>
      <c r="U156" s="251">
        <f t="shared" si="57"/>
        <v>1.9873241263672408</v>
      </c>
      <c r="V156" s="383">
        <f t="shared" si="58"/>
        <v>55.451982457825224</v>
      </c>
      <c r="W156" s="402">
        <f t="shared" si="59"/>
        <v>32.296269855446639</v>
      </c>
      <c r="X156" s="157">
        <f t="shared" si="60"/>
        <v>45799</v>
      </c>
      <c r="Y156" s="385">
        <f t="shared" si="61"/>
        <v>28.814950128231953</v>
      </c>
      <c r="Z156" s="385">
        <f t="shared" si="62"/>
        <v>31.229723963394221</v>
      </c>
      <c r="AA156" s="386">
        <f t="shared" si="63"/>
        <v>35.745798542177937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0.1263386121715819</v>
      </c>
      <c r="AD156" s="231">
        <f>(INDEX(Models!$BJ156:$BT156,,AH156)*(1-AF156)+INDEX(Models!$BJ156:$BT156,,AH156+1)*AF156-ERP_i)*AE156*Ramure*Pc/MaxiM</f>
        <v>1.3984542498524969E-2</v>
      </c>
      <c r="AE156" s="305">
        <f t="shared" si="65"/>
        <v>0.8</v>
      </c>
      <c r="AF156" s="177">
        <f t="shared" si="66"/>
        <v>0.18804087353214438</v>
      </c>
      <c r="AG156" s="809">
        <f t="shared" si="74"/>
        <v>3</v>
      </c>
      <c r="AH156" s="176">
        <f t="shared" si="67"/>
        <v>9</v>
      </c>
      <c r="AI156" s="225">
        <f t="shared" si="68"/>
        <v>3.1880408735321444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IF(t&gt;Tmaj,'2024'!Wh/'2024'!Env_an*'2025'!Env_an,0.001*[7]mois!$B$162)</f>
        <v>18.909841226590796</v>
      </c>
      <c r="C157" s="839"/>
      <c r="D157" s="393">
        <f t="shared" si="50"/>
        <v>20.495026949125638</v>
      </c>
      <c r="E157" s="385">
        <f t="shared" si="72"/>
        <v>20.99262469132514</v>
      </c>
      <c r="F157" s="385">
        <f t="shared" si="51"/>
        <v>21.001684186987987</v>
      </c>
      <c r="G157" s="110">
        <f t="shared" si="73"/>
        <v>0.33845713791951942</v>
      </c>
      <c r="H157" s="414" t="b">
        <f>Wh_hp&gt;='2024'!Maxi_hp</f>
        <v>0</v>
      </c>
      <c r="I157" s="390">
        <f>IF(H157,Wh_hp,'2024'!Maxi_hp)</f>
        <v>57.387775282609631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7.7344895738352265E-2</v>
      </c>
      <c r="M157" s="843"/>
      <c r="N157" s="843"/>
      <c r="O157" s="48">
        <f>IF(t&lt;Tnet,'2024'!Resal+('2024'!Salim-'2024'!Resal)*(1-EXP(('2024'!Tnet-t)/('2024'!Tau_j))),Resal+(Salim-Resal)*(1-EXP((Tnet-t)/(Tau_j))))*Salcycl</f>
        <v>2.3703455357115259E-2</v>
      </c>
      <c r="P157" s="169">
        <f>(INDEX(Models!$BJ157:$BT157,,T157)*(1-R157)+INDEX(Models!$BJ157:$BT157,,T157+1)*R157-ERP_i)*Q157*Ramure*Pc/MaxiM</f>
        <v>7.3952163665940342E-3</v>
      </c>
      <c r="Q157" s="305">
        <f t="shared" si="53"/>
        <v>0.8</v>
      </c>
      <c r="R157" s="177">
        <f t="shared" si="54"/>
        <v>0.99268612396536771</v>
      </c>
      <c r="S157" s="809">
        <f t="shared" si="55"/>
        <v>1</v>
      </c>
      <c r="T157" s="176">
        <f t="shared" si="56"/>
        <v>7</v>
      </c>
      <c r="U157" s="251">
        <f t="shared" si="57"/>
        <v>1.9926861239653677</v>
      </c>
      <c r="V157" s="383">
        <f t="shared" si="58"/>
        <v>55.481468887235259</v>
      </c>
      <c r="W157" s="402">
        <f t="shared" si="59"/>
        <v>18.909841226590796</v>
      </c>
      <c r="X157" s="157">
        <f t="shared" si="60"/>
        <v>45800</v>
      </c>
      <c r="Y157" s="385">
        <f t="shared" si="61"/>
        <v>16.912018370995785</v>
      </c>
      <c r="Z157" s="385">
        <f t="shared" si="62"/>
        <v>18.329729378703846</v>
      </c>
      <c r="AA157" s="386">
        <f t="shared" si="63"/>
        <v>20.984426542675958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0.12650796811498591</v>
      </c>
      <c r="AD157" s="231">
        <f>(INDEX(Models!$BJ157:$BT157,,AH157)*(1-AF157)+INDEX(Models!$BJ157:$BT157,,AH157+1)*AF157-ERP_i)*AE157*Ramure*Pc/MaxiM</f>
        <v>1.4087319914349888E-2</v>
      </c>
      <c r="AE157" s="305">
        <f t="shared" si="65"/>
        <v>0.8</v>
      </c>
      <c r="AF157" s="177">
        <f t="shared" si="66"/>
        <v>0.19340287113027133</v>
      </c>
      <c r="AG157" s="809">
        <f t="shared" si="74"/>
        <v>3</v>
      </c>
      <c r="AH157" s="176">
        <f t="shared" si="67"/>
        <v>9</v>
      </c>
      <c r="AI157" s="225">
        <f t="shared" si="68"/>
        <v>3.1934028711302713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IF(t&gt;Tmaj,'2024'!Wh/'2024'!Env_an*'2025'!Env_an,0.001*[7]mois!$B$163)</f>
        <v>16.232611420982433</v>
      </c>
      <c r="C158" s="839"/>
      <c r="D158" s="393">
        <f t="shared" si="50"/>
        <v>17.593787489135174</v>
      </c>
      <c r="E158" s="385">
        <f t="shared" si="72"/>
        <v>18.025391803895864</v>
      </c>
      <c r="F158" s="385">
        <f t="shared" si="51"/>
        <v>18.025391803895864</v>
      </c>
      <c r="G158" s="110">
        <f t="shared" si="73"/>
        <v>0.29023574713582978</v>
      </c>
      <c r="H158" s="414" t="b">
        <f>Wh_hp&gt;='2024'!Maxi_hp</f>
        <v>0</v>
      </c>
      <c r="I158" s="390">
        <f>IF(H158,Wh_hp,'2024'!Maxi_hp)</f>
        <v>32.282065944533301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7.7366858556937729E-2</v>
      </c>
      <c r="M158" s="843"/>
      <c r="N158" s="843"/>
      <c r="O158" s="48">
        <f>IF(t&lt;Tnet,'2024'!Resal+('2024'!Salim-'2024'!Resal)*(1-EXP(('2024'!Tnet-t)/('2024'!Tau_j))),Resal+(Salim-Resal)*(1-EXP((Tnet-t)/(Tau_j))))*Salcycl</f>
        <v>2.3944240405770534E-2</v>
      </c>
      <c r="P158" s="169">
        <f>(INDEX(Models!$BJ158:$BT158,,T158)*(1-R158)+INDEX(Models!$BJ158:$BT158,,T158+1)*R158-ERP_i)*Q158*Ramure*Pc/MaxiM</f>
        <v>7.5613753060924469E-3</v>
      </c>
      <c r="Q158" s="305">
        <f t="shared" si="53"/>
        <v>0.8</v>
      </c>
      <c r="R158" s="177">
        <f t="shared" si="54"/>
        <v>0.998126659402363</v>
      </c>
      <c r="S158" s="809">
        <f t="shared" si="55"/>
        <v>1</v>
      </c>
      <c r="T158" s="176">
        <f t="shared" si="56"/>
        <v>7</v>
      </c>
      <c r="U158" s="251">
        <f t="shared" si="57"/>
        <v>1.998126659402363</v>
      </c>
      <c r="V158" s="383">
        <f t="shared" si="58"/>
        <v>55.50615564350533</v>
      </c>
      <c r="W158" s="402">
        <f t="shared" si="59"/>
        <v>16.232611420982433</v>
      </c>
      <c r="X158" s="157">
        <f t="shared" si="60"/>
        <v>45801</v>
      </c>
      <c r="Y158" s="385">
        <f t="shared" si="61"/>
        <v>14.524072629937201</v>
      </c>
      <c r="Z158" s="385">
        <f t="shared" si="62"/>
        <v>15.741980184258875</v>
      </c>
      <c r="AA158" s="386">
        <f t="shared" si="63"/>
        <v>18.025391803895864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0.12667750274052134</v>
      </c>
      <c r="AD158" s="231">
        <f>(INDEX(Models!$BJ158:$BT158,,AH158)*(1-AF158)+INDEX(Models!$BJ158:$BT158,,AH158+1)*AF158-ERP_i)*AE158*Ramure*Pc/MaxiM</f>
        <v>1.4204498767467015E-2</v>
      </c>
      <c r="AE158" s="305">
        <f t="shared" si="65"/>
        <v>0.8</v>
      </c>
      <c r="AF158" s="177">
        <f t="shared" si="66"/>
        <v>0.19884340656726662</v>
      </c>
      <c r="AG158" s="809">
        <f t="shared" si="74"/>
        <v>3</v>
      </c>
      <c r="AH158" s="176">
        <f t="shared" si="67"/>
        <v>9</v>
      </c>
      <c r="AI158" s="225">
        <f t="shared" si="68"/>
        <v>3.1988434065672666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IF(t&gt;Tmaj,'2024'!Wh/'2024'!Env_an*'2025'!Env_an,0.001*[7]mois!$B$164)</f>
        <v>37.838844835483272</v>
      </c>
      <c r="C159" s="839"/>
      <c r="D159" s="393">
        <f t="shared" si="50"/>
        <v>41.012775144276247</v>
      </c>
      <c r="E159" s="385">
        <f t="shared" si="72"/>
        <v>42.029254377787744</v>
      </c>
      <c r="F159" s="385">
        <f t="shared" si="51"/>
        <v>42.207032687937222</v>
      </c>
      <c r="G159" s="110">
        <f t="shared" si="73"/>
        <v>0.67905058760324966</v>
      </c>
      <c r="H159" s="414" t="b">
        <f>Wh_hp&gt;='2024'!Maxi_hp</f>
        <v>0</v>
      </c>
      <c r="I159" s="390">
        <f>IF(H159,Wh_hp,'2024'!Maxi_hp)</f>
        <v>58.648188470902781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7.7388820864416258E-2</v>
      </c>
      <c r="M159" s="843"/>
      <c r="N159" s="843"/>
      <c r="O159" s="48">
        <f>IF(t&lt;Tnet,'2024'!Resal+('2024'!Salim-'2024'!Resal)*(1-EXP(('2024'!Tnet-t)/('2024'!Tau_j))),Resal+(Salim-Resal)*(1-EXP((Tnet-t)/(Tau_j))))*Salcycl</f>
        <v>2.4185040837857538E-2</v>
      </c>
      <c r="P159" s="169">
        <f>(INDEX(Models!$BJ159:$BT159,,T159)*(1-R159)+INDEX(Models!$BJ159:$BT159,,T159+1)*R159-ERP_i)*Q159*Ramure*Pc/MaxiM</f>
        <v>7.7293979472099882E-3</v>
      </c>
      <c r="Q159" s="305">
        <f t="shared" si="53"/>
        <v>0.8</v>
      </c>
      <c r="R159" s="177">
        <f t="shared" si="54"/>
        <v>3.6427779036234398E-3</v>
      </c>
      <c r="S159" s="809">
        <f t="shared" si="55"/>
        <v>2</v>
      </c>
      <c r="T159" s="176">
        <f t="shared" si="56"/>
        <v>8</v>
      </c>
      <c r="U159" s="251">
        <f t="shared" si="57"/>
        <v>2.0036427779036234</v>
      </c>
      <c r="V159" s="383">
        <f t="shared" si="58"/>
        <v>55.526333880586719</v>
      </c>
      <c r="W159" s="402">
        <f t="shared" si="59"/>
        <v>37.838844835483272</v>
      </c>
      <c r="X159" s="157">
        <f t="shared" si="60"/>
        <v>45802</v>
      </c>
      <c r="Y159" s="385">
        <f t="shared" si="61"/>
        <v>33.735537462162469</v>
      </c>
      <c r="Z159" s="385">
        <f t="shared" si="62"/>
        <v>36.565281480514997</v>
      </c>
      <c r="AA159" s="386">
        <f t="shared" si="63"/>
        <v>41.877295445668565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0.12684711151046876</v>
      </c>
      <c r="AD159" s="231">
        <f>(INDEX(Models!$BJ159:$BT159,,AH159)*(1-AF159)+INDEX(Models!$BJ159:$BT159,,AH159+1)*AF159-ERP_i)*AE159*Ramure*Pc/MaxiM</f>
        <v>1.4336227863607486E-2</v>
      </c>
      <c r="AE159" s="305">
        <f t="shared" si="65"/>
        <v>0.8</v>
      </c>
      <c r="AF159" s="177">
        <f t="shared" si="66"/>
        <v>0.20435952506852706</v>
      </c>
      <c r="AG159" s="809">
        <f t="shared" si="74"/>
        <v>3</v>
      </c>
      <c r="AH159" s="176">
        <f t="shared" si="67"/>
        <v>9</v>
      </c>
      <c r="AI159" s="225">
        <f t="shared" si="68"/>
        <v>3.2043595250685271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IF(t&gt;Tmaj,'2024'!Wh/'2024'!Env_an*'2025'!Env_an,0.001*[7]mois!$B$165)</f>
        <v>20.541564065385447</v>
      </c>
      <c r="C160" s="839"/>
      <c r="D160" s="393">
        <f t="shared" si="50"/>
        <v>22.265124802377908</v>
      </c>
      <c r="E160" s="385">
        <f t="shared" si="72"/>
        <v>22.822585542152016</v>
      </c>
      <c r="F160" s="385">
        <f t="shared" si="51"/>
        <v>22.840580826268955</v>
      </c>
      <c r="G160" s="110">
        <f t="shared" si="73"/>
        <v>0.36720355241604563</v>
      </c>
      <c r="H160" s="414" t="b">
        <f>Wh_hp&gt;='2024'!Maxi_hp</f>
        <v>0</v>
      </c>
      <c r="I160" s="390">
        <f>IF(H160,Wh_hp,'2024'!Maxi_hp)</f>
        <v>61.484504066070642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7.7410782660799843E-2</v>
      </c>
      <c r="M160" s="843"/>
      <c r="N160" s="843"/>
      <c r="O160" s="48">
        <f>IF(t&lt;Tnet,'2024'!Resal+('2024'!Salim-'2024'!Resal)*(1-EXP(('2024'!Tnet-t)/('2024'!Tau_j))),Resal+(Salim-Resal)*(1-EXP((Tnet-t)/(Tau_j))))*Salcycl</f>
        <v>2.4425836360412002E-2</v>
      </c>
      <c r="P160" s="169">
        <f>(INDEX(Models!$BJ160:$BT160,,T160)*(1-R160)+INDEX(Models!$BJ160:$BT160,,T160+1)*R160-ERP_i)*Q160*Ramure*Pc/MaxiM</f>
        <v>7.897268305012535E-3</v>
      </c>
      <c r="Q160" s="305">
        <f t="shared" si="53"/>
        <v>0.8</v>
      </c>
      <c r="R160" s="177">
        <f t="shared" si="54"/>
        <v>9.2313127126222305E-3</v>
      </c>
      <c r="S160" s="809">
        <f t="shared" si="55"/>
        <v>2</v>
      </c>
      <c r="T160" s="176">
        <f t="shared" si="56"/>
        <v>8</v>
      </c>
      <c r="U160" s="251">
        <f t="shared" si="57"/>
        <v>2.0092313127126222</v>
      </c>
      <c r="V160" s="383">
        <f t="shared" si="58"/>
        <v>55.542519971702639</v>
      </c>
      <c r="W160" s="402">
        <f t="shared" si="59"/>
        <v>20.541564065385447</v>
      </c>
      <c r="X160" s="157">
        <f t="shared" si="60"/>
        <v>45803</v>
      </c>
      <c r="Y160" s="385">
        <f t="shared" si="61"/>
        <v>18.369338420904008</v>
      </c>
      <c r="Z160" s="385">
        <f t="shared" si="62"/>
        <v>19.910636365209452</v>
      </c>
      <c r="AA160" s="386">
        <f t="shared" si="63"/>
        <v>22.807579587473953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0.12701668807748095</v>
      </c>
      <c r="AD160" s="231">
        <f>(INDEX(Models!$BJ160:$BT160,,AH160)*(1-AF160)+INDEX(Models!$BJ160:$BT160,,AH160+1)*AF160-ERP_i)*AE160*Ramure*Pc/MaxiM</f>
        <v>1.4482663094860199E-2</v>
      </c>
      <c r="AE160" s="305">
        <f t="shared" si="65"/>
        <v>0.8</v>
      </c>
      <c r="AF160" s="177">
        <f t="shared" si="66"/>
        <v>0.20994805987752585</v>
      </c>
      <c r="AG160" s="809">
        <f t="shared" si="74"/>
        <v>3</v>
      </c>
      <c r="AH160" s="176">
        <f t="shared" si="67"/>
        <v>9</v>
      </c>
      <c r="AI160" s="225">
        <f t="shared" si="68"/>
        <v>3.2099480598775258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IF(t&gt;Tmaj,'2024'!Wh/'2024'!Env_an*'2025'!Env_an,0.001*[7]mois!$B$166)</f>
        <v>44.403202485529327</v>
      </c>
      <c r="C161" s="839"/>
      <c r="D161" s="393">
        <f t="shared" si="50"/>
        <v>48.13004384683596</v>
      </c>
      <c r="E161" s="385">
        <f t="shared" si="72"/>
        <v>49.347273586644583</v>
      </c>
      <c r="F161" s="385">
        <f t="shared" si="51"/>
        <v>49.632728383264542</v>
      </c>
      <c r="G161" s="110">
        <f t="shared" si="73"/>
        <v>0.79740404511081375</v>
      </c>
      <c r="H161" s="414" t="b">
        <f>Wh_hp&gt;='2024'!Maxi_hp</f>
        <v>0</v>
      </c>
      <c r="I161" s="390">
        <f>IF(H161,Wh_hp,'2024'!Maxi_hp)</f>
        <v>61.220926609696406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7.7432743946100363E-2</v>
      </c>
      <c r="M161" s="843"/>
      <c r="N161" s="843"/>
      <c r="O161" s="48">
        <f>IF(t&lt;Tnet,'2024'!Resal+('2024'!Salim-'2024'!Resal)*(1-EXP(('2024'!Tnet-t)/('2024'!Tau_j))),Resal+(Salim-Resal)*(1-EXP((Tnet-t)/(Tau_j))))*Salcycl</f>
        <v>2.4666605697504142E-2</v>
      </c>
      <c r="P161" s="169">
        <f>(INDEX(Models!$BJ161:$BT161,,T161)*(1-R161)+INDEX(Models!$BJ161:$BT161,,T161+1)*R161-ERP_i)*Q161*Ramure*Pc/MaxiM</f>
        <v>8.0637652987474509E-3</v>
      </c>
      <c r="Q161" s="305">
        <f t="shared" si="53"/>
        <v>0.8</v>
      </c>
      <c r="R161" s="177">
        <f t="shared" si="54"/>
        <v>1.488888958179313E-2</v>
      </c>
      <c r="S161" s="809">
        <f t="shared" si="55"/>
        <v>2</v>
      </c>
      <c r="T161" s="176">
        <f t="shared" si="56"/>
        <v>8</v>
      </c>
      <c r="U161" s="251">
        <f t="shared" si="57"/>
        <v>2.0148888895817931</v>
      </c>
      <c r="V161" s="383">
        <f t="shared" si="58"/>
        <v>55.555185354580921</v>
      </c>
      <c r="W161" s="402">
        <f t="shared" si="59"/>
        <v>44.403202485529327</v>
      </c>
      <c r="X161" s="157">
        <f t="shared" si="60"/>
        <v>45804</v>
      </c>
      <c r="Y161" s="385">
        <f t="shared" si="61"/>
        <v>39.548312740402672</v>
      </c>
      <c r="Z161" s="385">
        <f t="shared" si="62"/>
        <v>42.867674395428701</v>
      </c>
      <c r="AA161" s="386">
        <f t="shared" si="63"/>
        <v>49.114336520817155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0.1271861246204721</v>
      </c>
      <c r="AD161" s="231">
        <f>(INDEX(Models!$BJ161:$BT161,,AH161)*(1-AF161)+INDEX(Models!$BJ161:$BT161,,AH161+1)*AF161-ERP_i)*AE161*Ramure*Pc/MaxiM</f>
        <v>1.4643965913529877E-2</v>
      </c>
      <c r="AE161" s="305">
        <f t="shared" si="65"/>
        <v>0.8</v>
      </c>
      <c r="AF161" s="177">
        <f t="shared" si="66"/>
        <v>0.21560563674669719</v>
      </c>
      <c r="AG161" s="809">
        <f t="shared" si="74"/>
        <v>3</v>
      </c>
      <c r="AH161" s="176">
        <f t="shared" si="67"/>
        <v>9</v>
      </c>
      <c r="AI161" s="225">
        <f t="shared" si="68"/>
        <v>3.2156056367466972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IF(t&gt;Tmaj,'2024'!Wh/'2024'!Env_an*'2025'!Env_an,0.001*[7]mois!$B$167)</f>
        <v>50.874900902939046</v>
      </c>
      <c r="C162" s="839"/>
      <c r="D162" s="393">
        <f t="shared" si="50"/>
        <v>55.14623635635828</v>
      </c>
      <c r="E162" s="385">
        <f t="shared" si="72"/>
        <v>56.554866899986969</v>
      </c>
      <c r="F162" s="385">
        <f t="shared" si="51"/>
        <v>56.967124915822467</v>
      </c>
      <c r="G162" s="110">
        <f t="shared" si="73"/>
        <v>0.91468197125428108</v>
      </c>
      <c r="H162" s="414" t="b">
        <f>Wh_hp&gt;='2024'!Maxi_hp</f>
        <v>0</v>
      </c>
      <c r="I162" s="390">
        <f>IF(H162,Wh_hp,'2024'!Maxi_hp)</f>
        <v>59.964902917287468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7.7454704720329587E-2</v>
      </c>
      <c r="M162" s="843"/>
      <c r="N162" s="843"/>
      <c r="O162" s="48">
        <f>IF(t&lt;Tnet,'2024'!Resal+('2024'!Salim-'2024'!Resal)*(1-EXP(('2024'!Tnet-t)/('2024'!Tau_j))),Resal+(Salim-Resal)*(1-EXP((Tnet-t)/(Tau_j))))*Salcycl</f>
        <v>2.4907326651829046E-2</v>
      </c>
      <c r="P162" s="169">
        <f>(INDEX(Models!$BJ162:$BT162,,T162)*(1-R162)+INDEX(Models!$BJ162:$BT162,,T162+1)*R162-ERP_i)*Q162*Ramure*Pc/MaxiM</f>
        <v>8.2289857107602071E-3</v>
      </c>
      <c r="Q162" s="305">
        <f t="shared" si="53"/>
        <v>0.8</v>
      </c>
      <c r="R162" s="177">
        <f t="shared" si="54"/>
        <v>2.061193243964432E-2</v>
      </c>
      <c r="S162" s="809">
        <f t="shared" si="55"/>
        <v>2</v>
      </c>
      <c r="T162" s="176">
        <f t="shared" si="56"/>
        <v>8</v>
      </c>
      <c r="U162" s="251">
        <f t="shared" si="57"/>
        <v>2.0206119324396443</v>
      </c>
      <c r="V162" s="383">
        <f t="shared" si="58"/>
        <v>55.564727073459821</v>
      </c>
      <c r="W162" s="402">
        <f t="shared" si="59"/>
        <v>50.874900902939046</v>
      </c>
      <c r="X162" s="157">
        <f t="shared" si="60"/>
        <v>45805</v>
      </c>
      <c r="Y162" s="385">
        <f t="shared" si="61"/>
        <v>45.263896172022598</v>
      </c>
      <c r="Z162" s="385">
        <f t="shared" si="62"/>
        <v>49.064145038321186</v>
      </c>
      <c r="AA162" s="386">
        <f t="shared" si="63"/>
        <v>56.224653314359266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0.12735531219735149</v>
      </c>
      <c r="AD162" s="231">
        <f>(INDEX(Models!$BJ162:$BT162,,AH162)*(1-AF162)+INDEX(Models!$BJ162:$BT162,,AH162+1)*AF162-ERP_i)*AE162*Ramure*Pc/MaxiM</f>
        <v>1.4820301763456672E-2</v>
      </c>
      <c r="AE162" s="305">
        <f t="shared" si="65"/>
        <v>0.8</v>
      </c>
      <c r="AF162" s="177">
        <f t="shared" si="66"/>
        <v>0.22132867960454794</v>
      </c>
      <c r="AG162" s="809">
        <f t="shared" si="74"/>
        <v>3</v>
      </c>
      <c r="AH162" s="176">
        <f t="shared" si="67"/>
        <v>9</v>
      </c>
      <c r="AI162" s="225">
        <f t="shared" si="68"/>
        <v>3.2213286796045479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IF(t&gt;Tmaj,'2024'!Wh/'2024'!Env_an*'2025'!Env_an,0.001*[7]mois!$B$168)</f>
        <v>54.474440325790276</v>
      </c>
      <c r="C163" s="839"/>
      <c r="D163" s="393">
        <f t="shared" si="50"/>
        <v>59.049390143411316</v>
      </c>
      <c r="E163" s="385">
        <f t="shared" si="72"/>
        <v>60.572670210588811</v>
      </c>
      <c r="F163" s="385">
        <f t="shared" si="51"/>
        <v>61.070819366480016</v>
      </c>
      <c r="G163" s="110">
        <f t="shared" si="73"/>
        <v>0.98005332588901273</v>
      </c>
      <c r="H163" s="414" t="b">
        <f>Wh_hp&gt;='2024'!Maxi_hp</f>
        <v>0</v>
      </c>
      <c r="I163" s="390">
        <f>IF(H163,Wh_hp,'2024'!Maxi_hp)</f>
        <v>61.083995775588619</v>
      </c>
      <c r="J163" s="85">
        <f>IF(H163,An,'2024'!An_max)</f>
        <v>2022</v>
      </c>
      <c r="K163" s="197">
        <f t="shared" si="52"/>
        <v>45806</v>
      </c>
      <c r="L163" s="147">
        <f>IF(t&lt;Tvie,1-EXP((T0-t)*PertePVj)+'2024'!Pspv,1-EXP((T0-t)*PertePVj)+Pspv)</f>
        <v>7.7476664983499616E-2</v>
      </c>
      <c r="M163" s="843"/>
      <c r="N163" s="843"/>
      <c r="O163" s="48">
        <f>IF(t&lt;Tnet,'2024'!Resal+('2024'!Salim-'2024'!Resal)*(1-EXP(('2024'!Tnet-t)/('2024'!Tau_j))),Resal+(Salim-Resal)*(1-EXP((Tnet-t)/(Tau_j))))*Salcycl</f>
        <v>2.5147976172779116E-2</v>
      </c>
      <c r="P163" s="169">
        <f>(INDEX(Models!$BJ163:$BT163,,T163)*(1-R163)+INDEX(Models!$BJ163:$BT163,,T163+1)*R163-ERP_i)*Q163*Ramure*Pc/MaxiM</f>
        <v>8.3932770507350787E-3</v>
      </c>
      <c r="Q163" s="305">
        <f t="shared" si="53"/>
        <v>0.8</v>
      </c>
      <c r="R163" s="177">
        <f t="shared" si="54"/>
        <v>2.6396670237110786E-2</v>
      </c>
      <c r="S163" s="809">
        <f t="shared" si="55"/>
        <v>2</v>
      </c>
      <c r="T163" s="176">
        <f t="shared" si="56"/>
        <v>8</v>
      </c>
      <c r="U163" s="251">
        <f t="shared" si="57"/>
        <v>2.0263966702371108</v>
      </c>
      <c r="V163" s="383">
        <f t="shared" si="58"/>
        <v>55.569892998026617</v>
      </c>
      <c r="W163" s="402">
        <f t="shared" si="59"/>
        <v>54.474440325790276</v>
      </c>
      <c r="X163" s="157">
        <f t="shared" si="60"/>
        <v>45806</v>
      </c>
      <c r="Y163" s="385">
        <f t="shared" si="61"/>
        <v>48.437498534258047</v>
      </c>
      <c r="Z163" s="385">
        <f t="shared" si="62"/>
        <v>52.505445332059473</v>
      </c>
      <c r="AA163" s="386">
        <f t="shared" si="63"/>
        <v>60.179825948456404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0.12752414111283716</v>
      </c>
      <c r="AD163" s="231">
        <f>(INDEX(Models!$BJ163:$BT163,,AH163)*(1-AF163)+INDEX(Models!$BJ163:$BT163,,AH163+1)*AF163-ERP_i)*AE163*Ramure*Pc/MaxiM</f>
        <v>1.5012279995686472E-2</v>
      </c>
      <c r="AE163" s="305">
        <f t="shared" si="65"/>
        <v>0.8</v>
      </c>
      <c r="AF163" s="177">
        <f t="shared" si="66"/>
        <v>0.22711341740201441</v>
      </c>
      <c r="AG163" s="809">
        <f t="shared" si="74"/>
        <v>3</v>
      </c>
      <c r="AH163" s="176">
        <f t="shared" si="67"/>
        <v>9</v>
      </c>
      <c r="AI163" s="225">
        <f t="shared" si="68"/>
        <v>3.2271134174020144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IF(t&gt;Tmaj,'2024'!Wh/'2024'!Env_an*'2025'!Env_an,0.001*[7]mois!$B$169)</f>
        <v>48.969208448775397</v>
      </c>
      <c r="C164" s="839"/>
      <c r="D164" s="393">
        <f t="shared" si="50"/>
        <v>53.083073653674944</v>
      </c>
      <c r="E164" s="385">
        <f t="shared" si="72"/>
        <v>54.465882365550442</v>
      </c>
      <c r="F164" s="385">
        <f t="shared" si="51"/>
        <v>54.855565289159564</v>
      </c>
      <c r="G164" s="110">
        <f t="shared" si="73"/>
        <v>0.8799369217302534</v>
      </c>
      <c r="H164" s="414" t="b">
        <f>Wh_hp&gt;='2024'!Maxi_hp</f>
        <v>0</v>
      </c>
      <c r="I164" s="390">
        <f>IF(H164,Wh_hp,'2024'!Maxi_hp)</f>
        <v>56.346398541738836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7.7498624735622218E-2</v>
      </c>
      <c r="M164" s="843"/>
      <c r="N164" s="843"/>
      <c r="O164" s="48">
        <f>IF(t&lt;Tnet,'2024'!Resal+('2024'!Salim-'2024'!Resal)*(1-EXP(('2024'!Tnet-t)/('2024'!Tau_j))),Resal+(Salim-Resal)*(1-EXP((Tnet-t)/(Tau_j))))*Salcycl</f>
        <v>2.538853043075125E-2</v>
      </c>
      <c r="P164" s="169">
        <f>(INDEX(Models!$BJ164:$BT164,,T164)*(1-R164)+INDEX(Models!$BJ164:$BT164,,T164+1)*R164-ERP_i)*Q164*Ramure*Pc/MaxiM</f>
        <v>8.5554762138289903E-3</v>
      </c>
      <c r="Q164" s="305">
        <f t="shared" si="53"/>
        <v>0.8</v>
      </c>
      <c r="R164" s="177">
        <f t="shared" si="54"/>
        <v>3.2239144965215516E-2</v>
      </c>
      <c r="S164" s="809">
        <f t="shared" si="55"/>
        <v>2</v>
      </c>
      <c r="T164" s="176">
        <f t="shared" si="56"/>
        <v>8</v>
      </c>
      <c r="U164" s="251">
        <f t="shared" si="57"/>
        <v>2.0322391449652155</v>
      </c>
      <c r="V164" s="383">
        <f t="shared" si="58"/>
        <v>55.569451815566261</v>
      </c>
      <c r="W164" s="402">
        <f t="shared" si="59"/>
        <v>48.969208448775397</v>
      </c>
      <c r="X164" s="157">
        <f t="shared" si="60"/>
        <v>45807</v>
      </c>
      <c r="Y164" s="385">
        <f t="shared" si="61"/>
        <v>43.584740356627847</v>
      </c>
      <c r="Z164" s="385">
        <f t="shared" si="62"/>
        <v>47.246260575098859</v>
      </c>
      <c r="AA164" s="386">
        <f t="shared" si="63"/>
        <v>54.162391869240906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0.12769250129940718</v>
      </c>
      <c r="AD164" s="231">
        <f>(INDEX(Models!$BJ164:$BT164,,AH164)*(1-AF164)+INDEX(Models!$BJ164:$BT164,,AH164+1)*AF164-ERP_i)*AE164*Ramure*Pc/MaxiM</f>
        <v>1.5218600423253691E-2</v>
      </c>
      <c r="AE164" s="305">
        <f t="shared" si="65"/>
        <v>0.8</v>
      </c>
      <c r="AF164" s="177">
        <f t="shared" si="66"/>
        <v>0.23295589213011914</v>
      </c>
      <c r="AG164" s="809">
        <f t="shared" si="74"/>
        <v>3</v>
      </c>
      <c r="AH164" s="176">
        <f t="shared" si="67"/>
        <v>9</v>
      </c>
      <c r="AI164" s="225">
        <f t="shared" si="68"/>
        <v>3.2329558921301191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IF(t&gt;Tmaj,'2024'!Wh/'2024'!Env_an*'2025'!Env_an,0.001*[7]mois!$B$170)</f>
        <v>50.230660494216991</v>
      </c>
      <c r="C165" s="839"/>
      <c r="D165" s="393">
        <f t="shared" si="50"/>
        <v>54.451795478273056</v>
      </c>
      <c r="E165" s="385">
        <f t="shared" si="72"/>
        <v>55.884045724469154</v>
      </c>
      <c r="F165" s="385">
        <f t="shared" si="51"/>
        <v>56.307556047154527</v>
      </c>
      <c r="G165" s="110">
        <f t="shared" si="73"/>
        <v>0.90293144021739946</v>
      </c>
      <c r="H165" s="414" t="b">
        <f>Wh_hp&gt;='2024'!Maxi_hp</f>
        <v>0</v>
      </c>
      <c r="I165" s="390">
        <f>IF(H165,Wh_hp,'2024'!Maxi_hp)</f>
        <v>62.468341792037805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7.7520583976709273E-2</v>
      </c>
      <c r="M165" s="843"/>
      <c r="N165" s="843"/>
      <c r="O165" s="48">
        <f>IF(t&lt;Tnet,'2024'!Resal+('2024'!Salim-'2024'!Resal)*(1-EXP(('2024'!Tnet-t)/('2024'!Tau_j))),Resal+(Salim-Resal)*(1-EXP((Tnet-t)/(Tau_j))))*Salcycl</f>
        <v>2.5628964897381704E-2</v>
      </c>
      <c r="P165" s="169">
        <f>(INDEX(Models!$BJ165:$BT165,,T165)*(1-R165)+INDEX(Models!$BJ165:$BT165,,T165+1)*R165-ERP_i)*Q165*Ramure*Pc/MaxiM</f>
        <v>8.7165371957541159E-3</v>
      </c>
      <c r="Q165" s="305">
        <f t="shared" si="53"/>
        <v>0.8</v>
      </c>
      <c r="R165" s="177">
        <f t="shared" si="54"/>
        <v>3.8135220824767835E-2</v>
      </c>
      <c r="S165" s="809">
        <f t="shared" si="55"/>
        <v>2</v>
      </c>
      <c r="T165" s="176">
        <f t="shared" si="56"/>
        <v>8</v>
      </c>
      <c r="U165" s="251">
        <f t="shared" si="57"/>
        <v>2.0381352208247678</v>
      </c>
      <c r="V165" s="383">
        <f t="shared" si="58"/>
        <v>55.563655871176287</v>
      </c>
      <c r="W165" s="402">
        <f t="shared" si="59"/>
        <v>50.230660494216991</v>
      </c>
      <c r="X165" s="157">
        <f t="shared" si="60"/>
        <v>45808</v>
      </c>
      <c r="Y165" s="385">
        <f t="shared" si="61"/>
        <v>44.698124780866692</v>
      </c>
      <c r="Z165" s="385">
        <f t="shared" si="62"/>
        <v>48.454332968810824</v>
      </c>
      <c r="AA165" s="386">
        <f t="shared" si="63"/>
        <v>55.557993757391465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0.12786028270928276</v>
      </c>
      <c r="AD165" s="231">
        <f>(INDEX(Models!$BJ165:$BT165,,AH165)*(1-AF165)+INDEX(Models!$BJ165:$BT165,,AH165+1)*AF165-ERP_i)*AE165*Ramure*Pc/MaxiM</f>
        <v>1.5427221555844254E-2</v>
      </c>
      <c r="AE165" s="305">
        <f t="shared" si="65"/>
        <v>0.8</v>
      </c>
      <c r="AF165" s="177">
        <f t="shared" si="66"/>
        <v>0.23885196798967145</v>
      </c>
      <c r="AG165" s="809">
        <f t="shared" si="74"/>
        <v>3</v>
      </c>
      <c r="AH165" s="176">
        <f t="shared" si="67"/>
        <v>9</v>
      </c>
      <c r="AI165" s="225">
        <f t="shared" si="68"/>
        <v>3.2388519679896715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IF(t&gt;Tmaj,'2024'!Wh/'2024'!Env_an*'2025'!Env_an,0.001*'[8]mon-tableau'!$B$136)</f>
        <v>51.482503613771698</v>
      </c>
      <c r="C166" s="839"/>
      <c r="D166" s="393">
        <f t="shared" si="50"/>
        <v>55.810165777007356</v>
      </c>
      <c r="E166" s="385">
        <f t="shared" si="72"/>
        <v>57.292274195110977</v>
      </c>
      <c r="F166" s="385">
        <f t="shared" si="51"/>
        <v>57.751239786000518</v>
      </c>
      <c r="G166" s="110">
        <f t="shared" si="73"/>
        <v>0.9258628640354114</v>
      </c>
      <c r="H166" s="414" t="b">
        <f>Wh_hp&gt;='2024'!Maxi_hp</f>
        <v>0</v>
      </c>
      <c r="I166" s="390">
        <f>IF(H166,Wh_hp,'2024'!Maxi_hp)</f>
        <v>62.676293728135057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7.7542542706772771E-2</v>
      </c>
      <c r="M166" s="843"/>
      <c r="N166" s="843"/>
      <c r="O166" s="48">
        <f>IF(t&lt;Tnet,'2024'!Resal+('2024'!Salim-'2024'!Resal)*(1-EXP(('2024'!Tnet-t)/('2024'!Tau_j))),Resal+(Salim-Resal)*(1-EXP((Tnet-t)/(Tau_j))))*Salcycl</f>
        <v>2.5869254431343455E-2</v>
      </c>
      <c r="P166" s="169">
        <f>(INDEX(Models!$BJ166:$BT166,,T166)*(1-R166)+INDEX(Models!$BJ166:$BT166,,T166+1)*R166-ERP_i)*Q166*Ramure*Pc/MaxiM</f>
        <v>8.8763788574397779E-3</v>
      </c>
      <c r="Q166" s="305">
        <f t="shared" si="53"/>
        <v>0.8</v>
      </c>
      <c r="R166" s="177">
        <f t="shared" si="54"/>
        <v>4.4080594517266647E-2</v>
      </c>
      <c r="S166" s="809">
        <f t="shared" si="55"/>
        <v>2</v>
      </c>
      <c r="T166" s="176">
        <f t="shared" si="56"/>
        <v>8</v>
      </c>
      <c r="U166" s="251">
        <f t="shared" si="57"/>
        <v>2.0440805945172666</v>
      </c>
      <c r="V166" s="383">
        <f t="shared" si="58"/>
        <v>55.552814979036683</v>
      </c>
      <c r="W166" s="402">
        <f t="shared" si="59"/>
        <v>51.482503613771698</v>
      </c>
      <c r="X166" s="157">
        <f t="shared" si="60"/>
        <v>45809</v>
      </c>
      <c r="Y166" s="385">
        <f t="shared" si="61"/>
        <v>45.802258778063759</v>
      </c>
      <c r="Z166" s="385">
        <f t="shared" si="62"/>
        <v>49.652434826058666</v>
      </c>
      <c r="AA166" s="386">
        <f t="shared" si="63"/>
        <v>56.942653293483033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0.12802737571518671</v>
      </c>
      <c r="AD166" s="231">
        <f>(INDEX(Models!$BJ166:$BT166,,AH166)*(1-AF166)+INDEX(Models!$BJ166:$BT166,,AH166+1)*AF166-ERP_i)*AE166*Ramure*Pc/MaxiM</f>
        <v>1.5638035157892596E-2</v>
      </c>
      <c r="AE166" s="305">
        <f t="shared" si="65"/>
        <v>0.8</v>
      </c>
      <c r="AF166" s="177">
        <f t="shared" si="66"/>
        <v>0.24479734168217027</v>
      </c>
      <c r="AG166" s="809">
        <f t="shared" si="74"/>
        <v>3</v>
      </c>
      <c r="AH166" s="176">
        <f t="shared" si="67"/>
        <v>9</v>
      </c>
      <c r="AI166" s="225">
        <f t="shared" si="68"/>
        <v>3.2447973416821703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IF(t&gt;Tmaj,'2024'!Wh/'2024'!Env_an*'2025'!Env_an,0.001*'[8]mon-tableau'!$B$137)</f>
        <v>42.333999871791072</v>
      </c>
      <c r="C167" s="839"/>
      <c r="D167" s="393">
        <f t="shared" si="50"/>
        <v>45.893723641686172</v>
      </c>
      <c r="E167" s="385">
        <f t="shared" si="72"/>
        <v>47.124104480254239</v>
      </c>
      <c r="F167" s="385">
        <f t="shared" si="51"/>
        <v>47.406955398490304</v>
      </c>
      <c r="G167" s="110">
        <f t="shared" si="73"/>
        <v>0.75991029585152159</v>
      </c>
      <c r="H167" s="414" t="b">
        <f>Wh_hp&gt;='2024'!Maxi_hp</f>
        <v>0</v>
      </c>
      <c r="I167" s="390">
        <f>IF(H167,Wh_hp,'2024'!Maxi_hp)</f>
        <v>61.321691281882586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7.7564500925824481E-2</v>
      </c>
      <c r="M167" s="843"/>
      <c r="N167" s="843"/>
      <c r="O167" s="48">
        <f>IF(t&lt;Tnet,'2024'!Resal+('2024'!Salim-'2024'!Resal)*(1-EXP(('2024'!Tnet-t)/('2024'!Tau_j))),Resal+(Salim-Resal)*(1-EXP((Tnet-t)/(Tau_j))))*Salcycl</f>
        <v>2.6109373369283196E-2</v>
      </c>
      <c r="P167" s="169">
        <f>(INDEX(Models!$BJ167:$BT167,,T167)*(1-R167)+INDEX(Models!$BJ167:$BT167,,T167+1)*R167-ERP_i)*Q167*Ramure*Pc/MaxiM</f>
        <v>9.0349163255874394E-3</v>
      </c>
      <c r="Q167" s="305">
        <f t="shared" si="53"/>
        <v>0.8</v>
      </c>
      <c r="R167" s="177">
        <f t="shared" si="54"/>
        <v>5.0070806614561647E-2</v>
      </c>
      <c r="S167" s="809">
        <f t="shared" si="55"/>
        <v>2</v>
      </c>
      <c r="T167" s="176">
        <f t="shared" si="56"/>
        <v>8</v>
      </c>
      <c r="U167" s="251">
        <f t="shared" si="57"/>
        <v>2.0500708066145616</v>
      </c>
      <c r="V167" s="383">
        <f t="shared" si="58"/>
        <v>55.537238637542636</v>
      </c>
      <c r="W167" s="402">
        <f t="shared" si="59"/>
        <v>42.333999871791072</v>
      </c>
      <c r="X167" s="157">
        <f t="shared" si="60"/>
        <v>45810</v>
      </c>
      <c r="Y167" s="385">
        <f t="shared" si="61"/>
        <v>37.724901843214298</v>
      </c>
      <c r="Z167" s="385">
        <f t="shared" si="62"/>
        <v>40.897062050493282</v>
      </c>
      <c r="AA167" s="386">
        <f t="shared" si="63"/>
        <v>46.910719404480375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0.12819367151748981</v>
      </c>
      <c r="AD167" s="231">
        <f>(INDEX(Models!$BJ167:$BT167,,AH167)*(1-AF167)+INDEX(Models!$BJ167:$BT167,,AH167+1)*AF167-ERP_i)*AE167*Ramure*Pc/MaxiM</f>
        <v>1.5850932044288443E-2</v>
      </c>
      <c r="AE167" s="305">
        <f t="shared" si="65"/>
        <v>0.8</v>
      </c>
      <c r="AF167" s="177">
        <f t="shared" si="66"/>
        <v>0.25078755377946527</v>
      </c>
      <c r="AG167" s="809">
        <f t="shared" si="74"/>
        <v>3</v>
      </c>
      <c r="AH167" s="176">
        <f t="shared" si="67"/>
        <v>9</v>
      </c>
      <c r="AI167" s="225">
        <f t="shared" si="68"/>
        <v>3.2507875537794653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IF(t&gt;Tmaj,'2024'!Wh/'2024'!Env_an*'2025'!Env_an,0.001*'[8]mon-tableau'!$B$138)</f>
        <v>49.317357987399774</v>
      </c>
      <c r="C168" s="839"/>
      <c r="D168" s="393">
        <f t="shared" si="50"/>
        <v>53.465561568360336</v>
      </c>
      <c r="E168" s="385">
        <f t="shared" si="72"/>
        <v>54.912466378262522</v>
      </c>
      <c r="F168" s="385">
        <f t="shared" si="51"/>
        <v>55.340001173145687</v>
      </c>
      <c r="G168" s="110">
        <f t="shared" si="73"/>
        <v>0.88701233216438313</v>
      </c>
      <c r="H168" s="414" t="b">
        <f>Wh_hp&gt;='2024'!Maxi_hp</f>
        <v>0</v>
      </c>
      <c r="I168" s="390">
        <f>IF(H168,Wh_hp,'2024'!Maxi_hp)</f>
        <v>55.413341824549725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7.7586458633876393E-2</v>
      </c>
      <c r="M168" s="843"/>
      <c r="N168" s="843"/>
      <c r="O168" s="48">
        <f>IF(t&lt;Tnet,'2024'!Resal+('2024'!Salim-'2024'!Resal)*(1-EXP(('2024'!Tnet-t)/('2024'!Tau_j))),Resal+(Salim-Resal)*(1-EXP((Tnet-t)/(Tau_j))))*Salcycl</f>
        <v>2.6349295621421086E-2</v>
      </c>
      <c r="P168" s="169">
        <f>(INDEX(Models!$BJ168:$BT168,,T168)*(1-R168)+INDEX(Models!$BJ168:$BT168,,T168+1)*R168-ERP_i)*Q168*Ramure*Pc/MaxiM</f>
        <v>9.1920613476321172E-3</v>
      </c>
      <c r="Q168" s="305">
        <f t="shared" si="53"/>
        <v>0.8</v>
      </c>
      <c r="R168" s="177">
        <f t="shared" si="54"/>
        <v>5.6101253953287689E-2</v>
      </c>
      <c r="S168" s="809">
        <f t="shared" si="55"/>
        <v>2</v>
      </c>
      <c r="T168" s="176">
        <f t="shared" si="56"/>
        <v>8</v>
      </c>
      <c r="U168" s="251">
        <f t="shared" si="57"/>
        <v>2.0561012539532877</v>
      </c>
      <c r="V168" s="383">
        <f t="shared" si="58"/>
        <v>55.517236000972034</v>
      </c>
      <c r="W168" s="402">
        <f t="shared" si="59"/>
        <v>49.317357987399774</v>
      </c>
      <c r="X168" s="157">
        <f t="shared" si="60"/>
        <v>45811</v>
      </c>
      <c r="Y168" s="385">
        <f t="shared" si="61"/>
        <v>43.893310548918379</v>
      </c>
      <c r="Z168" s="385">
        <f t="shared" si="62"/>
        <v>47.585284235865615</v>
      </c>
      <c r="AA168" s="386">
        <f t="shared" si="63"/>
        <v>54.59275969226892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0.12835906255524321</v>
      </c>
      <c r="AD168" s="231">
        <f>(INDEX(Models!$BJ168:$BT168,,AH168)*(1-AF168)+INDEX(Models!$BJ168:$BT168,,AH168+1)*AF168-ERP_i)*AE168*Ramure*Pc/MaxiM</f>
        <v>1.6065802399993615E-2</v>
      </c>
      <c r="AE168" s="305">
        <f t="shared" si="65"/>
        <v>0.8</v>
      </c>
      <c r="AF168" s="177">
        <f t="shared" si="66"/>
        <v>0.25681800111819131</v>
      </c>
      <c r="AG168" s="809">
        <f t="shared" si="74"/>
        <v>3</v>
      </c>
      <c r="AH168" s="176">
        <f t="shared" si="67"/>
        <v>9</v>
      </c>
      <c r="AI168" s="225">
        <f t="shared" si="68"/>
        <v>3.2568180011181913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IF(t&gt;Tmaj,'2024'!Wh/'2024'!Env_an*'2025'!Env_an,0.001*'[8]mon-tableau'!$B$139)</f>
        <v>23.349149292394628</v>
      </c>
      <c r="C169" s="839"/>
      <c r="D169" s="393">
        <f t="shared" si="50"/>
        <v>25.313705906617532</v>
      </c>
      <c r="E169" s="385">
        <f t="shared" si="72"/>
        <v>26.005156887115469</v>
      </c>
      <c r="F169" s="385">
        <f t="shared" si="51"/>
        <v>26.04716010560038</v>
      </c>
      <c r="G169" s="110">
        <f t="shared" si="73"/>
        <v>0.41749770760466309</v>
      </c>
      <c r="H169" s="414" t="b">
        <f>Wh_hp&gt;='2024'!Maxi_hp</f>
        <v>0</v>
      </c>
      <c r="I169" s="390">
        <f>IF(H169,Wh_hp,'2024'!Maxi_hp)</f>
        <v>56.408226720952712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7.7608415830940386E-2</v>
      </c>
      <c r="M169" s="843"/>
      <c r="N169" s="843"/>
      <c r="O169" s="48">
        <f>IF(t&lt;Tnet,'2024'!Resal+('2024'!Salim-'2024'!Resal)*(1-EXP(('2024'!Tnet-t)/('2024'!Tau_j))),Resal+(Salim-Resal)*(1-EXP((Tnet-t)/(Tau_j))))*Salcycl</f>
        <v>2.6588994771284125E-2</v>
      </c>
      <c r="P169" s="169">
        <f>(INDEX(Models!$BJ169:$BT169,,T169)*(1-R169)+INDEX(Models!$BJ169:$BT169,,T169+1)*R169-ERP_i)*Q169*Ramure*Pc/MaxiM</f>
        <v>9.3477226499432166E-3</v>
      </c>
      <c r="Q169" s="305">
        <f t="shared" si="53"/>
        <v>0.8</v>
      </c>
      <c r="R169" s="177">
        <f t="shared" si="54"/>
        <v>6.2167202988879566E-2</v>
      </c>
      <c r="S169" s="809">
        <f t="shared" si="55"/>
        <v>2</v>
      </c>
      <c r="T169" s="176">
        <f t="shared" si="56"/>
        <v>8</v>
      </c>
      <c r="U169" s="251">
        <f t="shared" si="57"/>
        <v>2.0621672029888796</v>
      </c>
      <c r="V169" s="383">
        <f t="shared" si="58"/>
        <v>55.49311584783829</v>
      </c>
      <c r="W169" s="402">
        <f t="shared" si="59"/>
        <v>23.349149292394628</v>
      </c>
      <c r="X169" s="157">
        <f t="shared" si="60"/>
        <v>45812</v>
      </c>
      <c r="Y169" s="385">
        <f t="shared" si="61"/>
        <v>20.879005470031959</v>
      </c>
      <c r="Z169" s="385">
        <f t="shared" si="62"/>
        <v>22.635728500104324</v>
      </c>
      <c r="AA169" s="386">
        <f t="shared" si="63"/>
        <v>25.973995876503579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0.12852344291850362</v>
      </c>
      <c r="AD169" s="231">
        <f>(INDEX(Models!$BJ169:$BT169,,AH169)*(1-AF169)+INDEX(Models!$BJ169:$BT169,,AH169+1)*AF169-ERP_i)*AE169*Ramure*Pc/MaxiM</f>
        <v>1.6282536104692005E-2</v>
      </c>
      <c r="AE169" s="305">
        <f t="shared" si="65"/>
        <v>0.8</v>
      </c>
      <c r="AF169" s="177">
        <f t="shared" si="66"/>
        <v>0.26288395015378319</v>
      </c>
      <c r="AG169" s="809">
        <f t="shared" si="74"/>
        <v>3</v>
      </c>
      <c r="AH169" s="176">
        <f t="shared" si="67"/>
        <v>9</v>
      </c>
      <c r="AI169" s="225">
        <f t="shared" si="68"/>
        <v>3.2628839501537832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IF(t&gt;Tmaj,'2024'!Wh/'2024'!Env_an*'2025'!Env_an,0.001*'[8]mon-tableau'!$B$140)</f>
        <v>33.004428277201271</v>
      </c>
      <c r="C170" s="839"/>
      <c r="D170" s="393">
        <f t="shared" si="50"/>
        <v>35.782214953528026</v>
      </c>
      <c r="E170" s="385">
        <f t="shared" ref="E170:E232" si="75">Wh_pvt/(1-Psa)</f>
        <v>36.768660920572025</v>
      </c>
      <c r="F170" s="385">
        <f t="shared" si="51"/>
        <v>36.916482650254046</v>
      </c>
      <c r="G170" s="110">
        <f t="shared" ref="G170:G232" si="76">+Wh_hp/MaxiM</f>
        <v>0.59176316106934446</v>
      </c>
      <c r="H170" s="414" t="b">
        <f>Wh_hp&gt;='2024'!Maxi_hp</f>
        <v>0</v>
      </c>
      <c r="I170" s="390">
        <f>IF(H170,Wh_hp,'2024'!Maxi_hp)</f>
        <v>45.470659595237684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7.7630372517028229E-2</v>
      </c>
      <c r="M170" s="843"/>
      <c r="N170" s="843"/>
      <c r="O170" s="48">
        <f>IF(t&lt;Tnet,'2024'!Resal+('2024'!Salim-'2024'!Resal)*(1-EXP(('2024'!Tnet-t)/('2024'!Tau_j))),Resal+(Salim-Resal)*(1-EXP((Tnet-t)/(Tau_j))))*Salcycl</f>
        <v>2.6828444178995998E-2</v>
      </c>
      <c r="P170" s="169">
        <f>(INDEX(Models!$BJ170:$BT170,,T170)*(1-R170)+INDEX(Models!$BJ170:$BT170,,T170+1)*R170-ERP_i)*Q170*Ramure*Pc/MaxiM</f>
        <v>9.5000397753648887E-3</v>
      </c>
      <c r="Q170" s="305">
        <f t="shared" si="53"/>
        <v>0.8</v>
      </c>
      <c r="R170" s="177">
        <f t="shared" si="54"/>
        <v>6.8263804033205755E-2</v>
      </c>
      <c r="S170" s="809">
        <f t="shared" si="55"/>
        <v>2</v>
      </c>
      <c r="T170" s="176">
        <f t="shared" si="56"/>
        <v>8</v>
      </c>
      <c r="U170" s="251">
        <f t="shared" si="57"/>
        <v>2.0682638040332058</v>
      </c>
      <c r="V170" s="383">
        <f t="shared" si="58"/>
        <v>55.465285482736526</v>
      </c>
      <c r="W170" s="402">
        <f t="shared" si="59"/>
        <v>33.004428277201271</v>
      </c>
      <c r="X170" s="157">
        <f t="shared" si="60"/>
        <v>45813</v>
      </c>
      <c r="Y170" s="385">
        <f t="shared" si="61"/>
        <v>29.462455547700188</v>
      </c>
      <c r="Z170" s="385">
        <f t="shared" si="62"/>
        <v>31.942135419288949</v>
      </c>
      <c r="AA170" s="386">
        <f t="shared" si="63"/>
        <v>36.65975917090001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0.12868670875928293</v>
      </c>
      <c r="AD170" s="231">
        <f>(INDEX(Models!$BJ170:$BT170,,AH170)*(1-AF170)+INDEX(Models!$BJ170:$BT170,,AH170+1)*AF170-ERP_i)*AE170*Ramure*Pc/MaxiM</f>
        <v>1.6498814283797878E-2</v>
      </c>
      <c r="AE170" s="305">
        <f t="shared" si="65"/>
        <v>0.8</v>
      </c>
      <c r="AF170" s="177">
        <f t="shared" si="66"/>
        <v>0.26898055119810937</v>
      </c>
      <c r="AG170" s="809">
        <f t="shared" si="74"/>
        <v>3</v>
      </c>
      <c r="AH170" s="176">
        <f t="shared" si="67"/>
        <v>9</v>
      </c>
      <c r="AI170" s="225">
        <f t="shared" si="68"/>
        <v>3.2689805511981094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IF(t&gt;Tmaj,'2024'!Wh/'2024'!Env_an*'2025'!Env_an,0.001*'[8]mon-tableau'!$B$141)</f>
        <v>41.956966365495617</v>
      </c>
      <c r="C171" s="839"/>
      <c r="D171" s="393">
        <f t="shared" si="50"/>
        <v>45.489317825243162</v>
      </c>
      <c r="E171" s="385">
        <f t="shared" si="75"/>
        <v>46.75486048585384</v>
      </c>
      <c r="F171" s="385">
        <f t="shared" si="51"/>
        <v>47.051222998975234</v>
      </c>
      <c r="G171" s="110">
        <f t="shared" si="76"/>
        <v>0.75432895955508283</v>
      </c>
      <c r="H171" s="414" t="b">
        <f>Wh_hp&gt;='2024'!Maxi_hp</f>
        <v>0</v>
      </c>
      <c r="I171" s="390">
        <f>IF(H171,Wh_hp,'2024'!Maxi_hp)</f>
        <v>63.6888163743956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7.7652328692151912E-2</v>
      </c>
      <c r="M171" s="843"/>
      <c r="N171" s="843"/>
      <c r="O171" s="48">
        <f>IF(t&lt;Tnet,'2024'!Resal+('2024'!Salim-'2024'!Resal)*(1-EXP(('2024'!Tnet-t)/('2024'!Tau_j))),Resal+(Salim-Resal)*(1-EXP((Tnet-t)/(Tau_j))))*Salcycl</f>
        <v>2.7067617087502122E-2</v>
      </c>
      <c r="P171" s="169">
        <f>(INDEX(Models!$BJ171:$BT171,,T171)*(1-R171)+INDEX(Models!$BJ171:$BT171,,T171+1)*R171-ERP_i)*Q171*Ramure*Pc/MaxiM</f>
        <v>9.6504253181444108E-3</v>
      </c>
      <c r="Q171" s="305">
        <f t="shared" si="53"/>
        <v>0.8</v>
      </c>
      <c r="R171" s="177">
        <f t="shared" si="54"/>
        <v>7.4386106289773934E-2</v>
      </c>
      <c r="S171" s="809">
        <f t="shared" si="55"/>
        <v>2</v>
      </c>
      <c r="T171" s="176">
        <f t="shared" si="56"/>
        <v>8</v>
      </c>
      <c r="U171" s="251">
        <f t="shared" si="57"/>
        <v>2.0743861062897739</v>
      </c>
      <c r="V171" s="383">
        <f t="shared" si="58"/>
        <v>55.433968286126778</v>
      </c>
      <c r="W171" s="402">
        <f t="shared" si="59"/>
        <v>41.956966365495617</v>
      </c>
      <c r="X171" s="157">
        <f t="shared" si="60"/>
        <v>45814</v>
      </c>
      <c r="Y171" s="385">
        <f t="shared" si="61"/>
        <v>37.393516871224612</v>
      </c>
      <c r="Z171" s="385">
        <f t="shared" si="62"/>
        <v>40.541672120451352</v>
      </c>
      <c r="AA171" s="386">
        <f t="shared" si="63"/>
        <v>46.538040926025481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0.12884875869840878</v>
      </c>
      <c r="AD171" s="231">
        <f>(INDEX(Models!$BJ171:$BT171,,AH171)*(1-AF171)+INDEX(Models!$BJ171:$BT171,,AH171+1)*AF171-ERP_i)*AE171*Ramure*Pc/MaxiM</f>
        <v>1.6710700747714059E-2</v>
      </c>
      <c r="AE171" s="305">
        <f t="shared" si="65"/>
        <v>0.8</v>
      </c>
      <c r="AF171" s="177">
        <f t="shared" si="66"/>
        <v>0.27510285345467755</v>
      </c>
      <c r="AG171" s="809">
        <f t="shared" si="74"/>
        <v>3</v>
      </c>
      <c r="AH171" s="176">
        <f t="shared" si="67"/>
        <v>9</v>
      </c>
      <c r="AI171" s="225">
        <f t="shared" si="68"/>
        <v>3.2751028534546776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IF(t&gt;Tmaj,'2024'!Wh/'2024'!Env_an*'2025'!Env_an,0.001*'[8]mon-tableau'!$B$142)</f>
        <v>28.307672522740752</v>
      </c>
      <c r="C172" s="839"/>
      <c r="D172" s="393">
        <f t="shared" si="50"/>
        <v>30.691622322365014</v>
      </c>
      <c r="E172" s="385">
        <f t="shared" si="75"/>
        <v>31.553230183698535</v>
      </c>
      <c r="F172" s="385">
        <f t="shared" si="51"/>
        <v>31.646690042350716</v>
      </c>
      <c r="G172" s="110">
        <f t="shared" si="76"/>
        <v>0.50746543175263659</v>
      </c>
      <c r="H172" s="414" t="b">
        <f>Wh_hp&gt;='2024'!Maxi_hp</f>
        <v>0</v>
      </c>
      <c r="I172" s="390">
        <f>IF(H172,Wh_hp,'2024'!Maxi_hp)</f>
        <v>51.75274626686349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7.7674284356323425E-2</v>
      </c>
      <c r="M172" s="843"/>
      <c r="N172" s="843"/>
      <c r="O172" s="48">
        <f>IF(t&lt;Tnet,'2024'!Resal+('2024'!Salim-'2024'!Resal)*(1-EXP(('2024'!Tnet-t)/('2024'!Tau_j))),Resal+(Salim-Resal)*(1-EXP((Tnet-t)/(Tau_j))))*Salcycl</f>
        <v>2.7306486731068766E-2</v>
      </c>
      <c r="P172" s="169">
        <f>(INDEX(Models!$BJ172:$BT172,,T172)*(1-R172)+INDEX(Models!$BJ172:$BT172,,T172+1)*R172-ERP_i)*Q172*Ramure*Pc/MaxiM</f>
        <v>9.7986601464399234E-3</v>
      </c>
      <c r="Q172" s="305">
        <f t="shared" si="53"/>
        <v>0.8</v>
      </c>
      <c r="R172" s="177">
        <f t="shared" si="54"/>
        <v>8.0529073591165012E-2</v>
      </c>
      <c r="S172" s="809">
        <f t="shared" si="55"/>
        <v>2</v>
      </c>
      <c r="T172" s="176">
        <f t="shared" si="56"/>
        <v>8</v>
      </c>
      <c r="U172" s="251">
        <f t="shared" si="57"/>
        <v>2.080529073591165</v>
      </c>
      <c r="V172" s="383">
        <f t="shared" si="58"/>
        <v>55.399478500061441</v>
      </c>
      <c r="W172" s="402">
        <f t="shared" si="59"/>
        <v>28.307672522740752</v>
      </c>
      <c r="X172" s="157">
        <f t="shared" si="60"/>
        <v>45815</v>
      </c>
      <c r="Y172" s="385">
        <f t="shared" si="61"/>
        <v>25.293325356922196</v>
      </c>
      <c r="Z172" s="385">
        <f t="shared" si="62"/>
        <v>27.423419869921315</v>
      </c>
      <c r="AA172" s="386">
        <f t="shared" si="63"/>
        <v>31.485325830891355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0.1290094942255533</v>
      </c>
      <c r="AD172" s="231">
        <f>(INDEX(Models!$BJ172:$BT172,,AH172)*(1-AF172)+INDEX(Models!$BJ172:$BT172,,AH172+1)*AF172-ERP_i)*AE172*Ramure*Pc/MaxiM</f>
        <v>1.6917991217736725E-2</v>
      </c>
      <c r="AE172" s="305">
        <f t="shared" si="65"/>
        <v>0.8</v>
      </c>
      <c r="AF172" s="177">
        <f t="shared" si="66"/>
        <v>0.28124582075606863</v>
      </c>
      <c r="AG172" s="809">
        <f t="shared" si="74"/>
        <v>3</v>
      </c>
      <c r="AH172" s="176">
        <f t="shared" si="67"/>
        <v>9</v>
      </c>
      <c r="AI172" s="225">
        <f t="shared" si="68"/>
        <v>3.2812458207560686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IF(t&gt;Tmaj,'2024'!Wh/'2024'!Env_an*'2025'!Env_an,0.001*'[8]mon-tableau'!$B$143)</f>
        <v>19.279265185487336</v>
      </c>
      <c r="C173" s="839"/>
      <c r="D173" s="393">
        <f t="shared" si="50"/>
        <v>20.903379137514705</v>
      </c>
      <c r="E173" s="385">
        <f t="shared" si="75"/>
        <v>21.495472495868952</v>
      </c>
      <c r="F173" s="385">
        <f t="shared" si="51"/>
        <v>21.51021362822781</v>
      </c>
      <c r="G173" s="110">
        <f t="shared" si="76"/>
        <v>0.3450125916032401</v>
      </c>
      <c r="H173" s="414" t="b">
        <f>Wh_hp&gt;='2024'!Maxi_hp</f>
        <v>0</v>
      </c>
      <c r="I173" s="390">
        <f>IF(H173,Wh_hp,'2024'!Maxi_hp)</f>
        <v>63.160398004063062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7.7696239509554538E-2</v>
      </c>
      <c r="M173" s="843"/>
      <c r="N173" s="843"/>
      <c r="O173" s="48">
        <f>IF(t&lt;Tnet,'2024'!Resal+('2024'!Salim-'2024'!Resal)*(1-EXP(('2024'!Tnet-t)/('2024'!Tau_j))),Resal+(Salim-Resal)*(1-EXP((Tnet-t)/(Tau_j))))*Salcycl</f>
        <v>2.7545026445361408E-2</v>
      </c>
      <c r="P173" s="169">
        <f>(INDEX(Models!$BJ173:$BT173,,T173)*(1-R173)+INDEX(Models!$BJ173:$BT173,,T173+1)*R173-ERP_i)*Q173*Ramure*Pc/MaxiM</f>
        <v>9.9445206085866222E-3</v>
      </c>
      <c r="Q173" s="305">
        <f t="shared" si="53"/>
        <v>0.8</v>
      </c>
      <c r="R173" s="177">
        <f t="shared" si="54"/>
        <v>8.6687600735084747E-2</v>
      </c>
      <c r="S173" s="809">
        <f t="shared" si="55"/>
        <v>2</v>
      </c>
      <c r="T173" s="176">
        <f t="shared" si="56"/>
        <v>8</v>
      </c>
      <c r="U173" s="251">
        <f t="shared" si="57"/>
        <v>2.0866876007350847</v>
      </c>
      <c r="V173" s="383">
        <f t="shared" si="58"/>
        <v>55.362130037979902</v>
      </c>
      <c r="W173" s="402">
        <f t="shared" si="59"/>
        <v>19.279265185487336</v>
      </c>
      <c r="X173" s="157">
        <f t="shared" si="60"/>
        <v>45816</v>
      </c>
      <c r="Y173" s="385">
        <f t="shared" si="61"/>
        <v>17.25599390086904</v>
      </c>
      <c r="Z173" s="385">
        <f t="shared" si="62"/>
        <v>18.709664472898787</v>
      </c>
      <c r="AA173" s="386">
        <f t="shared" si="63"/>
        <v>21.484835298186855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0.12916882008968764</v>
      </c>
      <c r="AD173" s="231">
        <f>(INDEX(Models!$BJ173:$BT173,,AH173)*(1-AF173)+INDEX(Models!$BJ173:$BT173,,AH173+1)*AF173-ERP_i)*AE173*Ramure*Pc/MaxiM</f>
        <v>1.7120484367143449E-2</v>
      </c>
      <c r="AE173" s="305">
        <f t="shared" si="65"/>
        <v>0.8</v>
      </c>
      <c r="AF173" s="177">
        <f t="shared" si="66"/>
        <v>0.28740434789998837</v>
      </c>
      <c r="AG173" s="809">
        <f t="shared" si="74"/>
        <v>3</v>
      </c>
      <c r="AH173" s="176">
        <f t="shared" si="67"/>
        <v>9</v>
      </c>
      <c r="AI173" s="225">
        <f t="shared" si="68"/>
        <v>3.2874043478999884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IF(t&gt;Tmaj,'2024'!Wh/'2024'!Env_an*'2025'!Env_an,0.001*'[8]mon-tableau'!$B$144)</f>
        <v>41.26695579039508</v>
      </c>
      <c r="C174" s="839"/>
      <c r="D174" s="393">
        <f t="shared" si="50"/>
        <v>44.74441057898288</v>
      </c>
      <c r="E174" s="385">
        <f t="shared" si="75"/>
        <v>46.023079449988892</v>
      </c>
      <c r="F174" s="385">
        <f t="shared" si="51"/>
        <v>46.32075805783581</v>
      </c>
      <c r="G174" s="110">
        <f t="shared" si="76"/>
        <v>0.74318917253412842</v>
      </c>
      <c r="H174" s="414" t="b">
        <f>Wh_hp&gt;='2024'!Maxi_hp</f>
        <v>0</v>
      </c>
      <c r="I174" s="390">
        <f>IF(H174,Wh_hp,'2024'!Maxi_hp)</f>
        <v>59.632877338436153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7.7718194151857128E-2</v>
      </c>
      <c r="M174" s="843"/>
      <c r="N174" s="843"/>
      <c r="O174" s="48">
        <f>IF(t&lt;Tnet,'2024'!Resal+('2024'!Salim-'2024'!Resal)*(1-EXP(('2024'!Tnet-t)/('2024'!Tau_j))),Resal+(Salim-Resal)*(1-EXP((Tnet-t)/(Tau_j))))*Salcycl</f>
        <v>2.7783209778378233E-2</v>
      </c>
      <c r="P174" s="169">
        <f>(INDEX(Models!$BJ174:$BT174,,T174)*(1-R174)+INDEX(Models!$BJ174:$BT174,,T174+1)*R174-ERP_i)*Q174*Ramure*Pc/MaxiM</f>
        <v>1.0087779297390246E-2</v>
      </c>
      <c r="Q174" s="305">
        <f t="shared" si="53"/>
        <v>0.8</v>
      </c>
      <c r="R174" s="177">
        <f t="shared" si="54"/>
        <v>9.2856530308251806E-2</v>
      </c>
      <c r="S174" s="809">
        <f t="shared" si="55"/>
        <v>2</v>
      </c>
      <c r="T174" s="176">
        <f t="shared" si="56"/>
        <v>8</v>
      </c>
      <c r="U174" s="251">
        <f t="shared" si="57"/>
        <v>2.0928565303082518</v>
      </c>
      <c r="V174" s="383">
        <f t="shared" si="58"/>
        <v>55.322236439714843</v>
      </c>
      <c r="W174" s="402">
        <f t="shared" si="59"/>
        <v>41.26695579039508</v>
      </c>
      <c r="X174" s="157">
        <f t="shared" si="60"/>
        <v>45817</v>
      </c>
      <c r="Y174" s="385">
        <f t="shared" si="61"/>
        <v>36.785492601000804</v>
      </c>
      <c r="Z174" s="385">
        <f t="shared" si="62"/>
        <v>39.885306603411053</v>
      </c>
      <c r="AA174" s="386">
        <f t="shared" si="63"/>
        <v>45.809724576475148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0.12932664467724136</v>
      </c>
      <c r="AD174" s="231">
        <f>(INDEX(Models!$BJ174:$BT174,,AH174)*(1-AF174)+INDEX(Models!$BJ174:$BT174,,AH174+1)*AF174-ERP_i)*AE174*Ramure*Pc/MaxiM</f>
        <v>1.7317982675444085E-2</v>
      </c>
      <c r="AE174" s="305">
        <f t="shared" si="65"/>
        <v>0.8</v>
      </c>
      <c r="AF174" s="177">
        <f t="shared" si="66"/>
        <v>0.29357327747315543</v>
      </c>
      <c r="AG174" s="809">
        <f t="shared" si="74"/>
        <v>3</v>
      </c>
      <c r="AH174" s="176">
        <f t="shared" si="67"/>
        <v>9</v>
      </c>
      <c r="AI174" s="225">
        <f t="shared" si="68"/>
        <v>3.2935732774731554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IF(t&gt;Tmaj,'2024'!Wh/'2024'!Env_an*'2025'!Env_an,0.001*'[8]mon-tableau'!$B$145)</f>
        <v>52.399822105070292</v>
      </c>
      <c r="C175" s="839"/>
      <c r="D175" s="393">
        <f t="shared" si="50"/>
        <v>56.816765912047146</v>
      </c>
      <c r="E175" s="385">
        <f t="shared" si="75"/>
        <v>58.454726420791459</v>
      </c>
      <c r="F175" s="385">
        <f t="shared" si="51"/>
        <v>59.013399402058042</v>
      </c>
      <c r="G175" s="110">
        <f t="shared" si="76"/>
        <v>0.94716792179518949</v>
      </c>
      <c r="H175" s="414" t="b">
        <f>Wh_hp&gt;='2024'!Maxi_hp</f>
        <v>0</v>
      </c>
      <c r="I175" s="390">
        <f>IF(H175,Wh_hp,'2024'!Maxi_hp)</f>
        <v>59.456159779115154</v>
      </c>
      <c r="J175" s="85">
        <f>IF(H175,An,'2024'!An_max)</f>
        <v>2021</v>
      </c>
      <c r="K175" s="197">
        <f t="shared" si="52"/>
        <v>45818</v>
      </c>
      <c r="L175" s="147">
        <f>IF(t&lt;Tvie,1-EXP((T0-t)*PertePVj)+'2024'!Pspv,1-EXP((T0-t)*PertePVj)+Pspv)</f>
        <v>7.7740148283243077E-2</v>
      </c>
      <c r="M175" s="843"/>
      <c r="N175" s="843"/>
      <c r="O175" s="48">
        <f>IF(t&lt;Tnet,'2024'!Resal+('2024'!Salim-'2024'!Resal)*(1-EXP(('2024'!Tnet-t)/('2024'!Tau_j))),Resal+(Salim-Resal)*(1-EXP((Tnet-t)/(Tau_j))))*Salcycl</f>
        <v>2.8021010601492001E-2</v>
      </c>
      <c r="P175" s="169">
        <f>(INDEX(Models!$BJ175:$BT175,,T175)*(1-R175)+INDEX(Models!$BJ175:$BT175,,T175+1)*R175-ERP_i)*Q175*Ramure*Pc/MaxiM</f>
        <v>1.0228205847061767E-2</v>
      </c>
      <c r="Q175" s="305">
        <f t="shared" si="53"/>
        <v>0.8</v>
      </c>
      <c r="R175" s="177">
        <f t="shared" si="54"/>
        <v>9.9030669881465805E-2</v>
      </c>
      <c r="S175" s="809">
        <f t="shared" si="55"/>
        <v>2</v>
      </c>
      <c r="T175" s="176">
        <f t="shared" si="56"/>
        <v>8</v>
      </c>
      <c r="U175" s="251">
        <f t="shared" si="57"/>
        <v>2.0990306698814658</v>
      </c>
      <c r="V175" s="383">
        <f t="shared" si="58"/>
        <v>55.280110817843969</v>
      </c>
      <c r="W175" s="402">
        <f t="shared" si="59"/>
        <v>52.399822105070292</v>
      </c>
      <c r="X175" s="157">
        <f t="shared" si="60"/>
        <v>45818</v>
      </c>
      <c r="Y175" s="385">
        <f t="shared" si="61"/>
        <v>46.610633647181956</v>
      </c>
      <c r="Z175" s="385">
        <f t="shared" si="62"/>
        <v>50.539588772532781</v>
      </c>
      <c r="AA175" s="386">
        <f t="shared" si="63"/>
        <v>58.056972841982933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0.12948288037529379</v>
      </c>
      <c r="AD175" s="231">
        <f>(INDEX(Models!$BJ175:$BT175,,AH175)*(1-AF175)+INDEX(Models!$BJ175:$BT175,,AH175+1)*AF175-ERP_i)*AE175*Ramure*Pc/MaxiM</f>
        <v>1.751029325217638E-2</v>
      </c>
      <c r="AE175" s="305">
        <f t="shared" si="65"/>
        <v>0.8</v>
      </c>
      <c r="AF175" s="177">
        <f t="shared" si="66"/>
        <v>0.29974741704636942</v>
      </c>
      <c r="AG175" s="809">
        <f t="shared" si="74"/>
        <v>3</v>
      </c>
      <c r="AH175" s="176">
        <f t="shared" si="67"/>
        <v>9</v>
      </c>
      <c r="AI175" s="225">
        <f t="shared" si="68"/>
        <v>3.2997474170463694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IF(t&gt;Tmaj,'2024'!Wh/'2024'!Env_an*'2025'!Env_an,0.001*'[8]mon-tableau'!$B$146)</f>
        <v>51.407305246053681</v>
      </c>
      <c r="C176" s="839"/>
      <c r="D176" s="393">
        <f t="shared" si="50"/>
        <v>55.741913612714157</v>
      </c>
      <c r="E176" s="385">
        <f t="shared" si="75"/>
        <v>57.362897500131098</v>
      </c>
      <c r="F176" s="385">
        <f t="shared" si="51"/>
        <v>57.903667666341136</v>
      </c>
      <c r="G176" s="110">
        <f t="shared" si="76"/>
        <v>0.92971939451329466</v>
      </c>
      <c r="H176" s="414" t="b">
        <f>Wh_hp&gt;='2024'!Maxi_hp</f>
        <v>0</v>
      </c>
      <c r="I176" s="390">
        <f>IF(H176,Wh_hp,'2024'!Maxi_hp)</f>
        <v>57.956580464308153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7.7762101903724373E-2</v>
      </c>
      <c r="M176" s="843"/>
      <c r="N176" s="843"/>
      <c r="O176" s="48">
        <f>IF(t&lt;Tnet,'2024'!Resal+('2024'!Salim-'2024'!Resal)*(1-EXP(('2024'!Tnet-t)/('2024'!Tau_j))),Resal+(Salim-Resal)*(1-EXP((Tnet-t)/(Tau_j))))*Salcycl</f>
        <v>2.8258403219837979E-2</v>
      </c>
      <c r="P176" s="169">
        <f>(INDEX(Models!$BJ176:$BT176,,T176)*(1-R176)+INDEX(Models!$BJ176:$BT176,,T176+1)*R176-ERP_i)*Q176*Ramure*Pc/MaxiM</f>
        <v>1.0365567754204453E-2</v>
      </c>
      <c r="Q176" s="305">
        <f t="shared" si="53"/>
        <v>0.8</v>
      </c>
      <c r="R176" s="177">
        <f t="shared" si="54"/>
        <v>0.1052048094546798</v>
      </c>
      <c r="S176" s="809">
        <f t="shared" si="55"/>
        <v>2</v>
      </c>
      <c r="T176" s="176">
        <f t="shared" si="56"/>
        <v>8</v>
      </c>
      <c r="U176" s="251">
        <f t="shared" si="57"/>
        <v>2.1052048094546798</v>
      </c>
      <c r="V176" s="383">
        <f t="shared" si="58"/>
        <v>55.236065815848697</v>
      </c>
      <c r="W176" s="402">
        <f t="shared" si="59"/>
        <v>51.407305246053681</v>
      </c>
      <c r="X176" s="157">
        <f t="shared" si="60"/>
        <v>45819</v>
      </c>
      <c r="Y176" s="385">
        <f t="shared" si="61"/>
        <v>45.737108169774594</v>
      </c>
      <c r="Z176" s="385">
        <f t="shared" si="62"/>
        <v>49.593611652901231</v>
      </c>
      <c r="AA176" s="386">
        <f t="shared" si="63"/>
        <v>56.980405816289533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0.12963744391719598</v>
      </c>
      <c r="AD176" s="231">
        <f>(INDEX(Models!$BJ176:$BT176,,AH176)*(1-AF176)+INDEX(Models!$BJ176:$BT176,,AH176+1)*AF176-ERP_i)*AE176*Ramure*Pc/MaxiM</f>
        <v>1.7697228618682708E-2</v>
      </c>
      <c r="AE176" s="305">
        <f t="shared" si="65"/>
        <v>0.8</v>
      </c>
      <c r="AF176" s="177">
        <f t="shared" si="66"/>
        <v>0.30592155661958298</v>
      </c>
      <c r="AG176" s="809">
        <f t="shared" si="74"/>
        <v>3</v>
      </c>
      <c r="AH176" s="176">
        <f t="shared" si="67"/>
        <v>9</v>
      </c>
      <c r="AI176" s="225">
        <f t="shared" si="68"/>
        <v>3.305921556619583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IF(t&gt;Tmaj,'2024'!Wh/'2024'!Env_an*'2025'!Env_an,0.001*'[8]mon-tableau'!$B$147)</f>
        <v>38.713438975725509</v>
      </c>
      <c r="C177" s="839"/>
      <c r="D177" s="393">
        <f t="shared" si="50"/>
        <v>41.978713539033812</v>
      </c>
      <c r="E177" s="385">
        <f t="shared" si="75"/>
        <v>43.209998097641297</v>
      </c>
      <c r="F177" s="385">
        <f t="shared" si="51"/>
        <v>43.47177621880784</v>
      </c>
      <c r="G177" s="110">
        <f t="shared" si="76"/>
        <v>0.69830156318199532</v>
      </c>
      <c r="H177" s="414" t="b">
        <f>Wh_hp&gt;='2024'!Maxi_hp</f>
        <v>0</v>
      </c>
      <c r="I177" s="390">
        <f>IF(H177,Wh_hp,'2024'!Maxi_hp)</f>
        <v>57.157834054855876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7.7784055013312786E-2</v>
      </c>
      <c r="M177" s="843"/>
      <c r="N177" s="843"/>
      <c r="O177" s="48">
        <f>IF(t&lt;Tnet,'2024'!Resal+('2024'!Salim-'2024'!Resal)*(1-EXP(('2024'!Tnet-t)/('2024'!Tau_j))),Resal+(Salim-Resal)*(1-EXP((Tnet-t)/(Tau_j))))*Salcycl</f>
        <v>2.849536248127478E-2</v>
      </c>
      <c r="P177" s="169">
        <f>(INDEX(Models!$BJ177:$BT177,,T177)*(1-R177)+INDEX(Models!$BJ177:$BT177,,T177+1)*R177-ERP_i)*Q177*Ramure*Pc/MaxiM</f>
        <v>1.0499771731489289E-2</v>
      </c>
      <c r="Q177" s="305">
        <f t="shared" si="53"/>
        <v>0.8</v>
      </c>
      <c r="R177" s="177">
        <f t="shared" si="54"/>
        <v>0.11137373902784642</v>
      </c>
      <c r="S177" s="809">
        <f t="shared" si="55"/>
        <v>2</v>
      </c>
      <c r="T177" s="176">
        <f t="shared" si="56"/>
        <v>8</v>
      </c>
      <c r="U177" s="251">
        <f t="shared" si="57"/>
        <v>2.1113737390278464</v>
      </c>
      <c r="V177" s="383">
        <f t="shared" si="58"/>
        <v>55.189667151902981</v>
      </c>
      <c r="W177" s="402">
        <f t="shared" si="59"/>
        <v>38.713438975725509</v>
      </c>
      <c r="X177" s="157">
        <f t="shared" si="60"/>
        <v>45820</v>
      </c>
      <c r="Y177" s="385">
        <f t="shared" si="61"/>
        <v>34.529301178002392</v>
      </c>
      <c r="Z177" s="385">
        <f t="shared" si="62"/>
        <v>37.441665767881346</v>
      </c>
      <c r="AA177" s="386">
        <f t="shared" si="63"/>
        <v>43.026024537767995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0.129790256708117</v>
      </c>
      <c r="AD177" s="231">
        <f>(INDEX(Models!$BJ177:$BT177,,AH177)*(1-AF177)+INDEX(Models!$BJ177:$BT177,,AH177+1)*AF177-ERP_i)*AE177*Ramure*Pc/MaxiM</f>
        <v>1.7878846708004301E-2</v>
      </c>
      <c r="AE177" s="305">
        <f t="shared" si="65"/>
        <v>0.8</v>
      </c>
      <c r="AF177" s="177">
        <f t="shared" si="66"/>
        <v>0.31209048619275048</v>
      </c>
      <c r="AG177" s="809">
        <f t="shared" si="74"/>
        <v>3</v>
      </c>
      <c r="AH177" s="176">
        <f t="shared" si="67"/>
        <v>9</v>
      </c>
      <c r="AI177" s="225">
        <f t="shared" si="68"/>
        <v>3.3120904861927505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IF(t&gt;Tmaj,'2024'!Wh/'2024'!Env_an*'2025'!Env_an,0.001*'[8]mon-tableau'!$B$148)</f>
        <v>50.304945464020086</v>
      </c>
      <c r="C178" s="839"/>
      <c r="D178" s="393">
        <f t="shared" si="50"/>
        <v>54.549201013289732</v>
      </c>
      <c r="E178" s="385">
        <f t="shared" si="75"/>
        <v>56.162864800011057</v>
      </c>
      <c r="F178" s="385">
        <f t="shared" si="51"/>
        <v>56.689918982880592</v>
      </c>
      <c r="G178" s="110">
        <f t="shared" si="76"/>
        <v>0.911080360309235</v>
      </c>
      <c r="H178" s="414" t="b">
        <f>Wh_hp&gt;='2024'!Maxi_hp</f>
        <v>0</v>
      </c>
      <c r="I178" s="390">
        <f>IF(H178,Wh_hp,'2024'!Maxi_hp)</f>
        <v>63.561322397498678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7.7806007612020306E-2</v>
      </c>
      <c r="M178" s="843"/>
      <c r="N178" s="843"/>
      <c r="O178" s="48">
        <f>IF(t&lt;Tnet,'2024'!Resal+('2024'!Salim-'2024'!Resal)*(1-EXP(('2024'!Tnet-t)/('2024'!Tau_j))),Resal+(Salim-Resal)*(1-EXP((Tnet-t)/(Tau_j))))*Salcycl</f>
        <v>2.8731863883143693E-2</v>
      </c>
      <c r="P178" s="169">
        <f>(INDEX(Models!$BJ178:$BT178,,T178)*(1-R178)+INDEX(Models!$BJ178:$BT178,,T178+1)*R178-ERP_i)*Q178*Ramure*Pc/MaxiM</f>
        <v>1.0628661788658291E-2</v>
      </c>
      <c r="Q178" s="305">
        <f t="shared" si="53"/>
        <v>0.8</v>
      </c>
      <c r="R178" s="177">
        <f t="shared" si="54"/>
        <v>0.1175322661717666</v>
      </c>
      <c r="S178" s="809">
        <f t="shared" si="55"/>
        <v>2</v>
      </c>
      <c r="T178" s="176">
        <f t="shared" si="56"/>
        <v>8</v>
      </c>
      <c r="U178" s="251">
        <f t="shared" si="57"/>
        <v>2.1175322661717666</v>
      </c>
      <c r="V178" s="383">
        <f t="shared" si="58"/>
        <v>55.140399241914167</v>
      </c>
      <c r="W178" s="402">
        <f t="shared" si="59"/>
        <v>50.304945464020086</v>
      </c>
      <c r="X178" s="157">
        <f t="shared" si="60"/>
        <v>45821</v>
      </c>
      <c r="Y178" s="385">
        <f t="shared" si="61"/>
        <v>44.76760823213975</v>
      </c>
      <c r="Z178" s="385">
        <f t="shared" si="62"/>
        <v>48.544675634045333</v>
      </c>
      <c r="AA178" s="386">
        <f t="shared" si="63"/>
        <v>55.79470968164015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0.1299412451281293</v>
      </c>
      <c r="AD178" s="231">
        <f>(INDEX(Models!$BJ178:$BT178,,AH178)*(1-AF178)+INDEX(Models!$BJ178:$BT178,,AH178+1)*AF178-ERP_i)*AE178*Ramure*Pc/MaxiM</f>
        <v>1.8052938772143298E-2</v>
      </c>
      <c r="AE178" s="305">
        <f t="shared" si="65"/>
        <v>0.8</v>
      </c>
      <c r="AF178" s="177">
        <f t="shared" si="66"/>
        <v>0.31824901333667022</v>
      </c>
      <c r="AG178" s="809">
        <f t="shared" si="74"/>
        <v>3</v>
      </c>
      <c r="AH178" s="176">
        <f t="shared" si="67"/>
        <v>9</v>
      </c>
      <c r="AI178" s="225">
        <f t="shared" si="68"/>
        <v>3.3182490133366702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IF(t&gt;Tmaj,'2024'!Wh/'2024'!Env_an*'2025'!Env_an,0.001*'[8]mon-tableau'!$B$149)</f>
        <v>42.734864149694133</v>
      </c>
      <c r="C179" s="839"/>
      <c r="D179" s="393">
        <f t="shared" si="50"/>
        <v>46.341530953145281</v>
      </c>
      <c r="E179" s="385">
        <f t="shared" si="75"/>
        <v>47.723994061680813</v>
      </c>
      <c r="F179" s="385">
        <f t="shared" si="51"/>
        <v>48.075367166925396</v>
      </c>
      <c r="G179" s="110">
        <f t="shared" si="76"/>
        <v>0.77306164106939279</v>
      </c>
      <c r="H179" s="414" t="b">
        <f>Wh_hp&gt;='2024'!Maxi_hp</f>
        <v>0</v>
      </c>
      <c r="I179" s="390">
        <f>IF(H179,Wh_hp,'2024'!Maxi_hp)</f>
        <v>54.436884810261837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7.7827959699858812E-2</v>
      </c>
      <c r="M179" s="843"/>
      <c r="N179" s="843"/>
      <c r="O179" s="48">
        <f>IF(t&lt;Tnet,'2024'!Resal+('2024'!Salim-'2024'!Resal)*(1-EXP(('2024'!Tnet-t)/('2024'!Tau_j))),Resal+(Salim-Resal)*(1-EXP((Tnet-t)/(Tau_j))))*Salcycl</f>
        <v>2.8967883676055364E-2</v>
      </c>
      <c r="P179" s="169">
        <f>(INDEX(Models!$BJ179:$BT179,,T179)*(1-R179)+INDEX(Models!$BJ179:$BT179,,T179+1)*R179-ERP_i)*Q179*Ramure*Pc/MaxiM</f>
        <v>1.0753793521599794E-2</v>
      </c>
      <c r="Q179" s="305">
        <f t="shared" si="53"/>
        <v>0.8</v>
      </c>
      <c r="R179" s="177">
        <f t="shared" si="54"/>
        <v>0.12367523347315768</v>
      </c>
      <c r="S179" s="809">
        <f t="shared" si="55"/>
        <v>2</v>
      </c>
      <c r="T179" s="176">
        <f t="shared" si="56"/>
        <v>8</v>
      </c>
      <c r="U179" s="251">
        <f t="shared" si="57"/>
        <v>2.1236752334731577</v>
      </c>
      <c r="V179" s="383">
        <f t="shared" si="58"/>
        <v>55.088179907249618</v>
      </c>
      <c r="W179" s="402">
        <f t="shared" si="59"/>
        <v>42.734864149694133</v>
      </c>
      <c r="X179" s="157">
        <f t="shared" si="60"/>
        <v>45822</v>
      </c>
      <c r="Y179" s="385">
        <f t="shared" si="61"/>
        <v>38.088755904903564</v>
      </c>
      <c r="Z179" s="385">
        <f t="shared" si="62"/>
        <v>41.303308103449702</v>
      </c>
      <c r="AA179" s="386">
        <f t="shared" si="63"/>
        <v>47.479997109052015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0.13009034081058801</v>
      </c>
      <c r="AD179" s="231">
        <f>(INDEX(Models!$BJ179:$BT179,,AH179)*(1-AF179)+INDEX(Models!$BJ179:$BT179,,AH179+1)*AF179-ERP_i)*AE179*Ramure*Pc/MaxiM</f>
        <v>1.8221333891951182E-2</v>
      </c>
      <c r="AE179" s="305">
        <f t="shared" si="65"/>
        <v>0.8</v>
      </c>
      <c r="AF179" s="177">
        <f t="shared" si="66"/>
        <v>0.32439198063806129</v>
      </c>
      <c r="AG179" s="809">
        <f t="shared" si="74"/>
        <v>3</v>
      </c>
      <c r="AH179" s="176">
        <f t="shared" si="67"/>
        <v>9</v>
      </c>
      <c r="AI179" s="225">
        <f t="shared" si="68"/>
        <v>3.3243919806380613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IF(t&gt;Tmaj,'2024'!Wh/'2024'!Env_an*'2025'!Env_an,0.001*'[8]mon-tableau'!$B$150)</f>
        <v>49.384475127642894</v>
      </c>
      <c r="C180" s="839"/>
      <c r="D180" s="393">
        <f t="shared" si="50"/>
        <v>53.553619667295493</v>
      </c>
      <c r="E180" s="385">
        <f t="shared" si="75"/>
        <v>55.164613895580089</v>
      </c>
      <c r="F180" s="385">
        <f t="shared" si="51"/>
        <v>55.681360487959971</v>
      </c>
      <c r="G180" s="110">
        <f t="shared" si="76"/>
        <v>0.89591644251268843</v>
      </c>
      <c r="H180" s="414" t="b">
        <f>Wh_hp&gt;='2024'!Maxi_hp</f>
        <v>0</v>
      </c>
      <c r="I180" s="390">
        <f>IF(H180,Wh_hp,'2024'!Maxi_hp)</f>
        <v>56.029931246616755</v>
      </c>
      <c r="J180" s="85">
        <f>IF(H180,An,'2024'!An_max)</f>
        <v>2020</v>
      </c>
      <c r="K180" s="197">
        <f t="shared" si="52"/>
        <v>45823</v>
      </c>
      <c r="L180" s="147">
        <f>IF(t&lt;Tvie,1-EXP((T0-t)*PertePVj)+'2024'!Pspv,1-EXP((T0-t)*PertePVj)+Pspv)</f>
        <v>7.7849911276840184E-2</v>
      </c>
      <c r="M180" s="843"/>
      <c r="N180" s="843"/>
      <c r="O180" s="48">
        <f>IF(t&lt;Tnet,'2024'!Resal+('2024'!Salim-'2024'!Resal)*(1-EXP(('2024'!Tnet-t)/('2024'!Tau_j))),Resal+(Salim-Resal)*(1-EXP((Tnet-t)/(Tau_j))))*Salcycl</f>
        <v>2.9203398963944745E-2</v>
      </c>
      <c r="P180" s="169">
        <f>(INDEX(Models!$BJ180:$BT180,,T180)*(1-R180)+INDEX(Models!$BJ180:$BT180,,T180+1)*R180-ERP_i)*Q180*Ramure*Pc/MaxiM</f>
        <v>1.0874996775455678E-2</v>
      </c>
      <c r="Q180" s="305">
        <f t="shared" si="53"/>
        <v>0.8</v>
      </c>
      <c r="R180" s="177">
        <f t="shared" si="54"/>
        <v>0.12979753572972541</v>
      </c>
      <c r="S180" s="809">
        <f t="shared" si="55"/>
        <v>2</v>
      </c>
      <c r="T180" s="176">
        <f t="shared" si="56"/>
        <v>8</v>
      </c>
      <c r="U180" s="251">
        <f t="shared" si="57"/>
        <v>2.1297975357297254</v>
      </c>
      <c r="V180" s="383">
        <f t="shared" si="58"/>
        <v>55.033023124143504</v>
      </c>
      <c r="W180" s="402">
        <f t="shared" si="59"/>
        <v>49.384475127642894</v>
      </c>
      <c r="X180" s="157">
        <f t="shared" si="60"/>
        <v>45823</v>
      </c>
      <c r="Y180" s="385">
        <f t="shared" si="61"/>
        <v>43.958690454280756</v>
      </c>
      <c r="Z180" s="385">
        <f t="shared" si="62"/>
        <v>47.669778479496159</v>
      </c>
      <c r="AA180" s="386">
        <f t="shared" si="63"/>
        <v>54.807809525385444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0.13023748089372467</v>
      </c>
      <c r="AD180" s="231">
        <f>(INDEX(Models!$BJ180:$BT180,,AH180)*(1-AF180)+INDEX(Models!$BJ180:$BT180,,AH180+1)*AF180-ERP_i)*AE180*Ramure*Pc/MaxiM</f>
        <v>1.838398944721158E-2</v>
      </c>
      <c r="AE180" s="305">
        <f t="shared" si="65"/>
        <v>0.8</v>
      </c>
      <c r="AF180" s="177">
        <f t="shared" si="66"/>
        <v>0.33051428289462947</v>
      </c>
      <c r="AG180" s="809">
        <f t="shared" si="74"/>
        <v>3</v>
      </c>
      <c r="AH180" s="176">
        <f t="shared" si="67"/>
        <v>9</v>
      </c>
      <c r="AI180" s="225">
        <f t="shared" si="68"/>
        <v>3.3305142828946295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IF(t&gt;Tmaj,'2024'!Wh/'2024'!Env_an*'2025'!Env_an,0.001*'[8]mon-tableau'!$B$151)</f>
        <v>47.420291688632865</v>
      </c>
      <c r="C181" s="839"/>
      <c r="D181" s="393">
        <f t="shared" si="50"/>
        <v>51.424839729020782</v>
      </c>
      <c r="E181" s="385">
        <f t="shared" si="75"/>
        <v>52.984621566101595</v>
      </c>
      <c r="F181" s="385">
        <f t="shared" si="51"/>
        <v>53.456870245888346</v>
      </c>
      <c r="G181" s="110">
        <f t="shared" si="76"/>
        <v>0.86070214911773391</v>
      </c>
      <c r="H181" s="414" t="b">
        <f>Wh_hp&gt;='2024'!Maxi_hp</f>
        <v>0</v>
      </c>
      <c r="I181" s="390">
        <f>IF(H181,Wh_hp,'2024'!Maxi_hp)</f>
        <v>64.737412852018437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7.7871862342976189E-2</v>
      </c>
      <c r="M181" s="843"/>
      <c r="N181" s="843"/>
      <c r="O181" s="48">
        <f>IF(t&lt;Tnet,'2024'!Resal+('2024'!Salim-'2024'!Resal)*(1-EXP(('2024'!Tnet-t)/('2024'!Tau_j))),Resal+(Salim-Resal)*(1-EXP((Tnet-t)/(Tau_j))))*Salcycl</f>
        <v>2.9438387799654055E-2</v>
      </c>
      <c r="P181" s="169">
        <f>(INDEX(Models!$BJ181:$BT181,,T181)*(1-R181)+INDEX(Models!$BJ181:$BT181,,T181+1)*R181-ERP_i)*Q181*Ramure*Pc/MaxiM</f>
        <v>1.0992105642334467E-2</v>
      </c>
      <c r="Q181" s="305">
        <f t="shared" si="53"/>
        <v>0.8</v>
      </c>
      <c r="R181" s="177">
        <f t="shared" si="54"/>
        <v>0.13589413677405204</v>
      </c>
      <c r="S181" s="809">
        <f t="shared" si="55"/>
        <v>2</v>
      </c>
      <c r="T181" s="176">
        <f t="shared" si="56"/>
        <v>8</v>
      </c>
      <c r="U181" s="251">
        <f t="shared" si="57"/>
        <v>2.135894136774052</v>
      </c>
      <c r="V181" s="383">
        <f t="shared" si="58"/>
        <v>54.974942459917656</v>
      </c>
      <c r="W181" s="402">
        <f t="shared" si="59"/>
        <v>47.420291688632865</v>
      </c>
      <c r="X181" s="157">
        <f t="shared" si="60"/>
        <v>45824</v>
      </c>
      <c r="Y181" s="385">
        <f t="shared" si="61"/>
        <v>42.228230222573146</v>
      </c>
      <c r="Z181" s="385">
        <f t="shared" si="62"/>
        <v>45.794319138626598</v>
      </c>
      <c r="AA181" s="386">
        <f t="shared" si="63"/>
        <v>52.660307363600239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0.13038260824355799</v>
      </c>
      <c r="AD181" s="231">
        <f>(INDEX(Models!$BJ181:$BT181,,AH181)*(1-AF181)+INDEX(Models!$BJ181:$BT181,,AH181+1)*AF181-ERP_i)*AE181*Ramure*Pc/MaxiM</f>
        <v>1.854087417846708E-2</v>
      </c>
      <c r="AE181" s="305">
        <f t="shared" si="65"/>
        <v>0.8</v>
      </c>
      <c r="AF181" s="177">
        <f t="shared" si="66"/>
        <v>0.33661088393895566</v>
      </c>
      <c r="AG181" s="809">
        <f t="shared" si="74"/>
        <v>3</v>
      </c>
      <c r="AH181" s="176">
        <f t="shared" si="67"/>
        <v>9</v>
      </c>
      <c r="AI181" s="225">
        <f t="shared" si="68"/>
        <v>3.3366108839389557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IF(t&gt;Tmaj,'2024'!Wh/'2024'!Env_an*'2025'!Env_an,0.001*'[8]mon-tableau'!$B$152)</f>
        <v>47.824422971872949</v>
      </c>
      <c r="C182" s="839"/>
      <c r="D182" s="393">
        <f t="shared" si="50"/>
        <v>51.864333675268192</v>
      </c>
      <c r="E182" s="385">
        <f t="shared" si="75"/>
        <v>53.450356993027697</v>
      </c>
      <c r="F182" s="385">
        <f t="shared" si="51"/>
        <v>53.938873155587117</v>
      </c>
      <c r="G182" s="110">
        <f t="shared" si="76"/>
        <v>0.86909750835056121</v>
      </c>
      <c r="H182" s="414" t="b">
        <f>Wh_hp&gt;='2024'!Maxi_hp</f>
        <v>0</v>
      </c>
      <c r="I182" s="390">
        <f>IF(H182,Wh_hp,'2024'!Maxi_hp)</f>
        <v>61.823807905736835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7.789381289827893E-2</v>
      </c>
      <c r="M182" s="843"/>
      <c r="N182" s="843"/>
      <c r="O182" s="48">
        <f>IF(t&lt;Tnet,'2024'!Resal+('2024'!Salim-'2024'!Resal)*(1-EXP(('2024'!Tnet-t)/('2024'!Tau_j))),Resal+(Salim-Resal)*(1-EXP((Tnet-t)/(Tau_j))))*Salcycl</f>
        <v>2.9672829275329087E-2</v>
      </c>
      <c r="P182" s="169">
        <f>(INDEX(Models!$BJ182:$BT182,,T182)*(1-R182)+INDEX(Models!$BJ182:$BT182,,T182+1)*R182-ERP_i)*Q182*Ramure*Pc/MaxiM</f>
        <v>1.1104959067913306E-2</v>
      </c>
      <c r="Q182" s="305">
        <f t="shared" si="53"/>
        <v>0.8</v>
      </c>
      <c r="R182" s="177">
        <f t="shared" si="54"/>
        <v>0.14196008580964392</v>
      </c>
      <c r="S182" s="809">
        <f t="shared" si="55"/>
        <v>2</v>
      </c>
      <c r="T182" s="176">
        <f t="shared" si="56"/>
        <v>8</v>
      </c>
      <c r="U182" s="251">
        <f t="shared" si="57"/>
        <v>2.1419600858096439</v>
      </c>
      <c r="V182" s="383">
        <f t="shared" si="58"/>
        <v>54.913951021679111</v>
      </c>
      <c r="W182" s="402">
        <f t="shared" si="59"/>
        <v>47.824422971872949</v>
      </c>
      <c r="X182" s="157">
        <f t="shared" si="60"/>
        <v>45825</v>
      </c>
      <c r="Y182" s="385">
        <f t="shared" si="61"/>
        <v>42.586108270342621</v>
      </c>
      <c r="Z182" s="385">
        <f t="shared" si="62"/>
        <v>46.183518629449104</v>
      </c>
      <c r="AA182" s="386">
        <f t="shared" si="63"/>
        <v>53.116598297849443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0.1305256716464285</v>
      </c>
      <c r="AD182" s="231">
        <f>(INDEX(Models!$BJ182:$BT182,,AH182)*(1-AF182)+INDEX(Models!$BJ182:$BT182,,AH182+1)*AF182-ERP_i)*AE182*Ramure*Pc/MaxiM</f>
        <v>1.8691968326923988E-2</v>
      </c>
      <c r="AE182" s="305">
        <f t="shared" si="65"/>
        <v>0.8</v>
      </c>
      <c r="AF182" s="177">
        <f t="shared" si="66"/>
        <v>0.3426768329745471</v>
      </c>
      <c r="AG182" s="809">
        <f t="shared" si="74"/>
        <v>3</v>
      </c>
      <c r="AH182" s="176">
        <f t="shared" si="67"/>
        <v>9</v>
      </c>
      <c r="AI182" s="225">
        <f t="shared" si="68"/>
        <v>3.3426768329745471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IF(t&gt;Tmaj,'2024'!Wh/'2024'!Env_an*'2025'!Env_an,0.001*'[8]mon-tableau'!$B$153)</f>
        <v>49.415467626979392</v>
      </c>
      <c r="C183" s="839"/>
      <c r="D183" s="393">
        <f t="shared" si="50"/>
        <v>53.591055611887491</v>
      </c>
      <c r="E183" s="385">
        <f t="shared" si="75"/>
        <v>55.243197547232583</v>
      </c>
      <c r="F183" s="385">
        <f t="shared" si="51"/>
        <v>55.780148976452715</v>
      </c>
      <c r="G183" s="110">
        <f t="shared" si="76"/>
        <v>0.89947526409657774</v>
      </c>
      <c r="H183" s="414" t="b">
        <f>Wh_hp&gt;='2024'!Maxi_hp</f>
        <v>0</v>
      </c>
      <c r="I183" s="390">
        <f>IF(H183,Wh_hp,'2024'!Maxi_hp)</f>
        <v>61.050936871155521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7.7915762942760175E-2</v>
      </c>
      <c r="M183" s="843"/>
      <c r="N183" s="843"/>
      <c r="O183" s="48">
        <f>IF(t&lt;Tnet,'2024'!Resal+('2024'!Salim-'2024'!Resal)*(1-EXP(('2024'!Tnet-t)/('2024'!Tau_j))),Resal+(Salim-Resal)*(1-EXP((Tnet-t)/(Tau_j))))*Salcycl</f>
        <v>2.9906703606946857E-2</v>
      </c>
      <c r="P183" s="169">
        <f>(INDEX(Models!$BJ183:$BT183,,T183)*(1-R183)+INDEX(Models!$BJ183:$BT183,,T183+1)*R183-ERP_i)*Q183*Ramure*Pc/MaxiM</f>
        <v>1.1213401416414111E-2</v>
      </c>
      <c r="Q183" s="305">
        <f t="shared" si="53"/>
        <v>0.8</v>
      </c>
      <c r="R183" s="177">
        <f t="shared" si="54"/>
        <v>0.14799053314836996</v>
      </c>
      <c r="S183" s="809">
        <f t="shared" si="55"/>
        <v>2</v>
      </c>
      <c r="T183" s="176">
        <f t="shared" si="56"/>
        <v>8</v>
      </c>
      <c r="U183" s="251">
        <f t="shared" si="57"/>
        <v>2.14799053314837</v>
      </c>
      <c r="V183" s="383">
        <f t="shared" si="58"/>
        <v>54.850061421309839</v>
      </c>
      <c r="W183" s="402">
        <f t="shared" si="59"/>
        <v>49.415467626979392</v>
      </c>
      <c r="X183" s="157">
        <f t="shared" si="60"/>
        <v>45826</v>
      </c>
      <c r="Y183" s="385">
        <f t="shared" si="61"/>
        <v>43.990232602209922</v>
      </c>
      <c r="Z183" s="385">
        <f t="shared" si="62"/>
        <v>47.707390316747336</v>
      </c>
      <c r="AA183" s="386">
        <f t="shared" si="63"/>
        <v>54.878130464002595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0.13066662596968237</v>
      </c>
      <c r="AD183" s="231">
        <f>(INDEX(Models!$BJ183:$BT183,,AH183)*(1-AF183)+INDEX(Models!$BJ183:$BT183,,AH183+1)*AF183-ERP_i)*AE183*Ramure*Pc/MaxiM</f>
        <v>1.883726369781806E-2</v>
      </c>
      <c r="AE183" s="305">
        <f t="shared" si="65"/>
        <v>0.8</v>
      </c>
      <c r="AF183" s="177">
        <f t="shared" si="66"/>
        <v>0.34870728031327358</v>
      </c>
      <c r="AG183" s="809">
        <f t="shared" si="74"/>
        <v>3</v>
      </c>
      <c r="AH183" s="176">
        <f t="shared" si="67"/>
        <v>9</v>
      </c>
      <c r="AI183" s="225">
        <f t="shared" si="68"/>
        <v>3.3487072803132736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IF(t&gt;Tmaj,'2024'!Wh/'2024'!Env_an*'2025'!Env_an,0.001*'[8]mon-tableau'!$B$154)</f>
        <v>50.578839270585554</v>
      </c>
      <c r="C184" s="839"/>
      <c r="D184" s="393">
        <f t="shared" si="50"/>
        <v>54.854037471186281</v>
      </c>
      <c r="E184" s="385">
        <f t="shared" si="75"/>
        <v>56.558716753681772</v>
      </c>
      <c r="F184" s="385">
        <f t="shared" si="51"/>
        <v>57.134314476989275</v>
      </c>
      <c r="G184" s="110">
        <f t="shared" si="76"/>
        <v>0.92209400433487076</v>
      </c>
      <c r="H184" s="414" t="b">
        <f>Wh_hp&gt;='2024'!Maxi_hp</f>
        <v>0</v>
      </c>
      <c r="I184" s="390">
        <f>IF(H184,Wh_hp,'2024'!Maxi_hp)</f>
        <v>57.196487657929183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7.7937712476431692E-2</v>
      </c>
      <c r="M184" s="843"/>
      <c r="N184" s="843"/>
      <c r="O184" s="48">
        <f>IF(t&lt;Tnet,'2024'!Resal+('2024'!Salim-'2024'!Resal)*(1-EXP(('2024'!Tnet-t)/('2024'!Tau_j))),Resal+(Salim-Resal)*(1-EXP((Tnet-t)/(Tau_j))))*Salcycl</f>
        <v>3.0139992212332555E-2</v>
      </c>
      <c r="P184" s="169">
        <f>(INDEX(Models!$BJ184:$BT184,,T184)*(1-R184)+INDEX(Models!$BJ184:$BT184,,T184+1)*R184-ERP_i)*Q184*Ramure*Pc/MaxiM</f>
        <v>1.1315065464564541E-2</v>
      </c>
      <c r="Q184" s="305">
        <f t="shared" si="53"/>
        <v>0.8</v>
      </c>
      <c r="R184" s="177">
        <f t="shared" si="54"/>
        <v>0.15398074524566496</v>
      </c>
      <c r="S184" s="809">
        <f t="shared" si="55"/>
        <v>2</v>
      </c>
      <c r="T184" s="176">
        <f t="shared" si="56"/>
        <v>8</v>
      </c>
      <c r="U184" s="251">
        <f t="shared" si="57"/>
        <v>2.153980745245665</v>
      </c>
      <c r="V184" s="383">
        <f t="shared" si="58"/>
        <v>54.783408609607896</v>
      </c>
      <c r="W184" s="402">
        <f t="shared" si="59"/>
        <v>50.578839270585554</v>
      </c>
      <c r="X184" s="157">
        <f t="shared" si="60"/>
        <v>45827</v>
      </c>
      <c r="Y184" s="385">
        <f t="shared" si="61"/>
        <v>45.016797423061078</v>
      </c>
      <c r="Z184" s="385">
        <f t="shared" si="62"/>
        <v>48.821861637964915</v>
      </c>
      <c r="AA184" s="386">
        <f t="shared" si="63"/>
        <v>56.169082794144558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0.13080543228926575</v>
      </c>
      <c r="AD184" s="231">
        <f>(INDEX(Models!$BJ184:$BT184,,AH184)*(1-AF184)+INDEX(Models!$BJ184:$BT184,,AH184+1)*AF184-ERP_i)*AE184*Ramure*Pc/MaxiM</f>
        <v>1.8974466433087481E-2</v>
      </c>
      <c r="AE184" s="305">
        <f t="shared" si="65"/>
        <v>0.8</v>
      </c>
      <c r="AF184" s="177">
        <f t="shared" si="66"/>
        <v>0.35469749241056858</v>
      </c>
      <c r="AG184" s="809">
        <f t="shared" si="74"/>
        <v>3</v>
      </c>
      <c r="AH184" s="176">
        <f t="shared" si="67"/>
        <v>9</v>
      </c>
      <c r="AI184" s="225">
        <f t="shared" si="68"/>
        <v>3.3546974924105686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IF(t&gt;Tmaj,'2024'!Wh/'2024'!Env_an*'2025'!Env_an,0.001*'[8]mon-tableau'!$B$155)</f>
        <v>30.682172379905868</v>
      </c>
      <c r="C185" s="839"/>
      <c r="D185" s="393">
        <f t="shared" si="50"/>
        <v>33.276388351725849</v>
      </c>
      <c r="E185" s="385">
        <f t="shared" si="75"/>
        <v>34.318740395649392</v>
      </c>
      <c r="F185" s="385">
        <f t="shared" si="51"/>
        <v>34.465262304694676</v>
      </c>
      <c r="G185" s="110">
        <f t="shared" si="76"/>
        <v>0.55674221945906988</v>
      </c>
      <c r="H185" s="414" t="b">
        <f>Wh_hp&gt;='2024'!Maxi_hp</f>
        <v>0</v>
      </c>
      <c r="I185" s="390">
        <f>IF(H185,Wh_hp,'2024'!Maxi_hp)</f>
        <v>54.149543241445002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7.7959661499305583E-2</v>
      </c>
      <c r="M185" s="843"/>
      <c r="N185" s="843"/>
      <c r="O185" s="48">
        <f>IF(t&lt;Tnet,'2024'!Resal+('2024'!Salim-'2024'!Resal)*(1-EXP(('2024'!Tnet-t)/('2024'!Tau_j))),Resal+(Salim-Resal)*(1-EXP((Tnet-t)/(Tau_j))))*Salcycl</f>
        <v>3.0372677782069254E-2</v>
      </c>
      <c r="P185" s="169">
        <f>(INDEX(Models!$BJ185:$BT185,,T185)*(1-R185)+INDEX(Models!$BJ185:$BT185,,T185+1)*R185-ERP_i)*Q185*Ramure*Pc/MaxiM</f>
        <v>1.1411780911185334E-2</v>
      </c>
      <c r="Q185" s="305">
        <f t="shared" si="53"/>
        <v>0.8</v>
      </c>
      <c r="R185" s="177">
        <f t="shared" si="54"/>
        <v>0.15992611893816377</v>
      </c>
      <c r="S185" s="809">
        <f t="shared" si="55"/>
        <v>2</v>
      </c>
      <c r="T185" s="176">
        <f t="shared" si="56"/>
        <v>8</v>
      </c>
      <c r="U185" s="251">
        <f t="shared" si="57"/>
        <v>2.1599261189381638</v>
      </c>
      <c r="V185" s="383">
        <f t="shared" si="58"/>
        <v>54.713894473530992</v>
      </c>
      <c r="W185" s="402">
        <f t="shared" si="59"/>
        <v>30.682172379905868</v>
      </c>
      <c r="X185" s="157">
        <f t="shared" si="60"/>
        <v>45828</v>
      </c>
      <c r="Y185" s="385">
        <f t="shared" si="61"/>
        <v>27.420670732486769</v>
      </c>
      <c r="Z185" s="385">
        <f t="shared" si="62"/>
        <v>29.739122669052421</v>
      </c>
      <c r="AA185" s="386">
        <f t="shared" si="63"/>
        <v>34.219953850302424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0.13094205798323733</v>
      </c>
      <c r="AD185" s="231">
        <f>(INDEX(Models!$BJ185:$BT185,,AH185)*(1-AF185)+INDEX(Models!$BJ185:$BT185,,AH185+1)*AF185-ERP_i)*AE185*Ramure*Pc/MaxiM</f>
        <v>1.9105718424134804E-2</v>
      </c>
      <c r="AE185" s="305">
        <f t="shared" si="65"/>
        <v>0.8</v>
      </c>
      <c r="AF185" s="177">
        <f t="shared" si="66"/>
        <v>0.36064286610306739</v>
      </c>
      <c r="AG185" s="809">
        <f t="shared" si="74"/>
        <v>3</v>
      </c>
      <c r="AH185" s="176">
        <f t="shared" si="67"/>
        <v>9</v>
      </c>
      <c r="AI185" s="225">
        <f t="shared" si="68"/>
        <v>3.3606428661030674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IF(t&gt;Tmaj,'2024'!Wh/'2024'!Env_an*'2025'!Env_an,0.001*'[8]mon-tableau'!$B$156)</f>
        <v>22.224982723814275</v>
      </c>
      <c r="C186" s="839"/>
      <c r="D186" s="393">
        <f t="shared" si="50"/>
        <v>24.104706549387711</v>
      </c>
      <c r="E186" s="385">
        <f t="shared" si="75"/>
        <v>24.86571541248659</v>
      </c>
      <c r="F186" s="385">
        <f t="shared" si="51"/>
        <v>24.909409793757238</v>
      </c>
      <c r="G186" s="110">
        <f t="shared" si="76"/>
        <v>0.40276918414691071</v>
      </c>
      <c r="H186" s="414" t="b">
        <f>Wh_hp&gt;='2024'!Maxi_hp</f>
        <v>0</v>
      </c>
      <c r="I186" s="390">
        <f>IF(H186,Wh_hp,'2024'!Maxi_hp)</f>
        <v>52.018835844669908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7.7981610011393615E-2</v>
      </c>
      <c r="M186" s="843"/>
      <c r="N186" s="843"/>
      <c r="O186" s="48">
        <f>IF(t&lt;Tnet,'2024'!Resal+('2024'!Salim-'2024'!Resal)*(1-EXP(('2024'!Tnet-t)/('2024'!Tau_j))),Resal+(Salim-Resal)*(1-EXP((Tnet-t)/(Tau_j))))*Salcycl</f>
        <v>3.0604744342755955E-2</v>
      </c>
      <c r="P186" s="169">
        <f>(INDEX(Models!$BJ186:$BT186,,T186)*(1-R186)+INDEX(Models!$BJ186:$BT186,,T186+1)*R186-ERP_i)*Q186*Ramure*Pc/MaxiM</f>
        <v>1.1503408294133072E-2</v>
      </c>
      <c r="Q186" s="305">
        <f t="shared" si="53"/>
        <v>0.8</v>
      </c>
      <c r="R186" s="177">
        <f t="shared" si="54"/>
        <v>0.16582219479771565</v>
      </c>
      <c r="S186" s="809">
        <f t="shared" si="55"/>
        <v>2</v>
      </c>
      <c r="T186" s="176">
        <f t="shared" si="56"/>
        <v>8</v>
      </c>
      <c r="U186" s="251">
        <f t="shared" si="57"/>
        <v>2.1658221947977156</v>
      </c>
      <c r="V186" s="383">
        <f t="shared" si="58"/>
        <v>54.641530022174038</v>
      </c>
      <c r="W186" s="402">
        <f t="shared" si="59"/>
        <v>22.224982723814275</v>
      </c>
      <c r="X186" s="157">
        <f t="shared" si="60"/>
        <v>45829</v>
      </c>
      <c r="Y186" s="385">
        <f t="shared" si="61"/>
        <v>19.897986599249901</v>
      </c>
      <c r="Z186" s="385">
        <f t="shared" si="62"/>
        <v>21.580899920549072</v>
      </c>
      <c r="AA186" s="386">
        <f t="shared" si="63"/>
        <v>24.836362860607036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0.13107647679046652</v>
      </c>
      <c r="AD186" s="231">
        <f>(INDEX(Models!$BJ186:$BT186,,AH186)*(1-AF186)+INDEX(Models!$BJ186:$BT186,,AH186+1)*AF186-ERP_i)*AE186*Ramure*Pc/MaxiM</f>
        <v>1.9231046926976456E-2</v>
      </c>
      <c r="AE186" s="305">
        <f t="shared" si="65"/>
        <v>0.8</v>
      </c>
      <c r="AF186" s="177">
        <f t="shared" si="66"/>
        <v>0.36653894196261927</v>
      </c>
      <c r="AG186" s="809">
        <f t="shared" si="74"/>
        <v>3</v>
      </c>
      <c r="AH186" s="176">
        <f t="shared" si="67"/>
        <v>9</v>
      </c>
      <c r="AI186" s="225">
        <f t="shared" si="68"/>
        <v>3.3665389419626193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IF(t&gt;Tmaj,'2024'!Wh/'2024'!Env_an*'2025'!Env_an,0.001*'[8]mon-tableau'!$B$157)</f>
        <v>38.943510857242387</v>
      </c>
      <c r="C187" s="839"/>
      <c r="D187" s="393">
        <f t="shared" si="50"/>
        <v>42.238244188125769</v>
      </c>
      <c r="E187" s="385">
        <f t="shared" si="75"/>
        <v>43.582151127951199</v>
      </c>
      <c r="F187" s="385">
        <f t="shared" si="51"/>
        <v>43.88272305619418</v>
      </c>
      <c r="G187" s="110">
        <f t="shared" si="76"/>
        <v>0.71028478161996278</v>
      </c>
      <c r="H187" s="414" t="b">
        <f>Wh_hp&gt;='2024'!Maxi_hp</f>
        <v>0</v>
      </c>
      <c r="I187" s="390">
        <f>IF(H187,Wh_hp,'2024'!Maxi_hp)</f>
        <v>63.102397192098245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7.800355801270778E-2</v>
      </c>
      <c r="M187" s="843"/>
      <c r="N187" s="843"/>
      <c r="O187" s="48">
        <f>IF(t&lt;Tnet,'2024'!Resal+('2024'!Salim-'2024'!Resal)*(1-EXP(('2024'!Tnet-t)/('2024'!Tau_j))),Resal+(Salim-Resal)*(1-EXP((Tnet-t)/(Tau_j))))*Salcycl</f>
        <v>3.083617731212733E-2</v>
      </c>
      <c r="P187" s="169">
        <f>(INDEX(Models!$BJ187:$BT187,,T187)*(1-R187)+INDEX(Models!$BJ187:$BT187,,T187+1)*R187-ERP_i)*Q187*Ramure*Pc/MaxiM</f>
        <v>1.1589815444999683E-2</v>
      </c>
      <c r="Q187" s="305">
        <f t="shared" si="53"/>
        <v>0.8</v>
      </c>
      <c r="R187" s="177">
        <f t="shared" si="54"/>
        <v>0.17166466952582082</v>
      </c>
      <c r="S187" s="809">
        <f t="shared" si="55"/>
        <v>2</v>
      </c>
      <c r="T187" s="176">
        <f t="shared" si="56"/>
        <v>8</v>
      </c>
      <c r="U187" s="251">
        <f t="shared" si="57"/>
        <v>2.1716646695258208</v>
      </c>
      <c r="V187" s="383">
        <f t="shared" si="58"/>
        <v>54.566325634003704</v>
      </c>
      <c r="W187" s="402">
        <f t="shared" si="59"/>
        <v>38.943510857242387</v>
      </c>
      <c r="X187" s="157">
        <f t="shared" si="60"/>
        <v>45830</v>
      </c>
      <c r="Y187" s="385">
        <f t="shared" si="61"/>
        <v>34.749065398744406</v>
      </c>
      <c r="Z187" s="385">
        <f t="shared" si="62"/>
        <v>37.688936547136208</v>
      </c>
      <c r="AA187" s="386">
        <f t="shared" si="63"/>
        <v>43.380884678667663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0.13120866883405083</v>
      </c>
      <c r="AD187" s="231">
        <f>(INDEX(Models!$BJ187:$BT187,,AH187)*(1-AF187)+INDEX(Models!$BJ187:$BT187,,AH187+1)*AF187-ERP_i)*AE187*Ramure*Pc/MaxiM</f>
        <v>1.9350490289461383E-2</v>
      </c>
      <c r="AE187" s="305">
        <f t="shared" si="65"/>
        <v>0.8</v>
      </c>
      <c r="AF187" s="177">
        <f t="shared" si="66"/>
        <v>0.37238141669072444</v>
      </c>
      <c r="AG187" s="809">
        <f t="shared" si="74"/>
        <v>3</v>
      </c>
      <c r="AH187" s="176">
        <f t="shared" si="67"/>
        <v>9</v>
      </c>
      <c r="AI187" s="225">
        <f t="shared" si="68"/>
        <v>3.3723814166907244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IF(t&gt;Tmaj,'2024'!Wh/'2024'!Env_an*'2025'!Env_an,0.001*'[8]mon-tableau'!$B$158)</f>
        <v>38.420916278815056</v>
      </c>
      <c r="C188" s="839"/>
      <c r="D188" s="393">
        <f t="shared" si="50"/>
        <v>41.67242858468348</v>
      </c>
      <c r="E188" s="385">
        <f t="shared" si="75"/>
        <v>43.008574397643777</v>
      </c>
      <c r="F188" s="385">
        <f t="shared" si="51"/>
        <v>43.301047303557944</v>
      </c>
      <c r="G188" s="110">
        <f t="shared" si="76"/>
        <v>0.70163214329092372</v>
      </c>
      <c r="H188" s="414" t="b">
        <f>Wh_hp&gt;='2024'!Maxi_hp</f>
        <v>0</v>
      </c>
      <c r="I188" s="390">
        <f>IF(H188,Wh_hp,'2024'!Maxi_hp)</f>
        <v>54.439058781268628</v>
      </c>
      <c r="J188" s="85">
        <f>IF(H188,An,'2024'!An_max)</f>
        <v>2020</v>
      </c>
      <c r="K188" s="197">
        <f t="shared" si="52"/>
        <v>45831</v>
      </c>
      <c r="L188" s="147">
        <f>IF(t&lt;Tvie,1-EXP((T0-t)*PertePVj)+'2024'!Pspv,1-EXP((T0-t)*PertePVj)+Pspv)</f>
        <v>7.8025505503259845E-2</v>
      </c>
      <c r="M188" s="843"/>
      <c r="N188" s="843"/>
      <c r="O188" s="48">
        <f>IF(t&lt;Tnet,'2024'!Resal+('2024'!Salim-'2024'!Resal)*(1-EXP(('2024'!Tnet-t)/('2024'!Tau_j))),Resal+(Salim-Resal)*(1-EXP((Tnet-t)/(Tau_j))))*Salcycl</f>
        <v>3.1066963545611007E-2</v>
      </c>
      <c r="P188" s="169">
        <f>(INDEX(Models!$BJ188:$BT188,,T188)*(1-R188)+INDEX(Models!$BJ188:$BT188,,T188+1)*R188-ERP_i)*Q188*Ramure*Pc/MaxiM</f>
        <v>1.1670758433458821E-2</v>
      </c>
      <c r="Q188" s="305">
        <f t="shared" si="53"/>
        <v>0.8</v>
      </c>
      <c r="R188" s="177">
        <f t="shared" si="54"/>
        <v>0.17744940732328729</v>
      </c>
      <c r="S188" s="809">
        <f t="shared" si="55"/>
        <v>2</v>
      </c>
      <c r="T188" s="176">
        <f t="shared" si="56"/>
        <v>8</v>
      </c>
      <c r="U188" s="251">
        <f t="shared" si="57"/>
        <v>2.1774494073232873</v>
      </c>
      <c r="V188" s="383">
        <f t="shared" si="58"/>
        <v>54.488297613563994</v>
      </c>
      <c r="W188" s="402">
        <f t="shared" si="59"/>
        <v>38.420916278815056</v>
      </c>
      <c r="X188" s="157">
        <f t="shared" si="60"/>
        <v>45831</v>
      </c>
      <c r="Y188" s="385">
        <f t="shared" si="61"/>
        <v>34.288452025775179</v>
      </c>
      <c r="Z188" s="385">
        <f t="shared" si="62"/>
        <v>37.190239242454894</v>
      </c>
      <c r="AA188" s="386">
        <f t="shared" si="63"/>
        <v>42.81327583429492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0.13133862060925919</v>
      </c>
      <c r="AD188" s="231">
        <f>(INDEX(Models!$BJ188:$BT188,,AH188)*(1-AF188)+INDEX(Models!$BJ188:$BT188,,AH188+1)*AF188-ERP_i)*AE188*Ramure*Pc/MaxiM</f>
        <v>1.946389861552723E-2</v>
      </c>
      <c r="AE188" s="305">
        <f t="shared" si="65"/>
        <v>0.8</v>
      </c>
      <c r="AF188" s="177">
        <f t="shared" si="66"/>
        <v>0.37816615448819091</v>
      </c>
      <c r="AG188" s="809">
        <f t="shared" si="74"/>
        <v>3</v>
      </c>
      <c r="AH188" s="176">
        <f t="shared" si="67"/>
        <v>9</v>
      </c>
      <c r="AI188" s="225">
        <f t="shared" si="68"/>
        <v>3.3781661544881909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IF(t&gt;Tmaj,'2024'!Wh/'2024'!Env_an*'2025'!Env_an,0.001*'[8]mon-tableau'!$B$159)</f>
        <v>37.538240244265879</v>
      </c>
      <c r="C189" s="839"/>
      <c r="D189" s="393">
        <f t="shared" si="50"/>
        <v>40.716022039709387</v>
      </c>
      <c r="E189" s="385">
        <f t="shared" si="75"/>
        <v>42.031485274942774</v>
      </c>
      <c r="F189" s="385">
        <f t="shared" si="51"/>
        <v>42.308321242261101</v>
      </c>
      <c r="G189" s="110">
        <f t="shared" si="76"/>
        <v>0.68633331786864793</v>
      </c>
      <c r="H189" s="414" t="b">
        <f>Wh_hp&gt;='2024'!Maxi_hp</f>
        <v>0</v>
      </c>
      <c r="I189" s="390">
        <f>IF(H189,Wh_hp,'2024'!Maxi_hp)</f>
        <v>61.680272578542535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7.8047452483061691E-2</v>
      </c>
      <c r="M189" s="843"/>
      <c r="N189" s="843"/>
      <c r="O189" s="48">
        <f>IF(t&lt;Tnet,'2024'!Resal+('2024'!Salim-'2024'!Resal)*(1-EXP(('2024'!Tnet-t)/('2024'!Tau_j))),Resal+(Salim-Resal)*(1-EXP((Tnet-t)/(Tau_j))))*Salcycl</f>
        <v>3.1297091373965871E-2</v>
      </c>
      <c r="P189" s="169">
        <f>(INDEX(Models!$BJ189:$BT189,,T189)*(1-R189)+INDEX(Models!$BJ189:$BT189,,T189+1)*R189-ERP_i)*Q189*Ramure*Pc/MaxiM</f>
        <v>1.17459916882348E-2</v>
      </c>
      <c r="Q189" s="305">
        <f t="shared" si="53"/>
        <v>0.8</v>
      </c>
      <c r="R189" s="177">
        <f t="shared" si="54"/>
        <v>0.18317245018113804</v>
      </c>
      <c r="S189" s="809">
        <f t="shared" si="55"/>
        <v>2</v>
      </c>
      <c r="T189" s="176">
        <f t="shared" si="56"/>
        <v>8</v>
      </c>
      <c r="U189" s="251">
        <f t="shared" si="57"/>
        <v>2.183172450181138</v>
      </c>
      <c r="V189" s="383">
        <f t="shared" si="58"/>
        <v>54.407462082728024</v>
      </c>
      <c r="W189" s="402">
        <f t="shared" si="59"/>
        <v>37.538240244265879</v>
      </c>
      <c r="X189" s="157">
        <f t="shared" si="60"/>
        <v>45832</v>
      </c>
      <c r="Y189" s="385">
        <f t="shared" si="61"/>
        <v>33.508899559045531</v>
      </c>
      <c r="Z189" s="385">
        <f t="shared" si="62"/>
        <v>36.345579443642563</v>
      </c>
      <c r="AA189" s="386">
        <f t="shared" si="63"/>
        <v>41.847058424036184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0.13146632493608379</v>
      </c>
      <c r="AD189" s="231">
        <f>(INDEX(Models!$BJ189:$BT189,,AH189)*(1-AF189)+INDEX(Models!$BJ189:$BT189,,AH189+1)*AF189-ERP_i)*AE189*Ramure*Pc/MaxiM</f>
        <v>1.9571117443462804E-2</v>
      </c>
      <c r="AE189" s="305">
        <f t="shared" si="65"/>
        <v>0.8</v>
      </c>
      <c r="AF189" s="177">
        <f t="shared" si="66"/>
        <v>0.38388919734604166</v>
      </c>
      <c r="AG189" s="809">
        <f t="shared" si="74"/>
        <v>3</v>
      </c>
      <c r="AH189" s="176">
        <f t="shared" si="67"/>
        <v>9</v>
      </c>
      <c r="AI189" s="225">
        <f t="shared" si="68"/>
        <v>3.3838891973460417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IF(t&gt;Tmaj,'2024'!Wh/'2024'!Env_an*'2025'!Env_an,0.001*'[8]mon-tableau'!$B$160)</f>
        <v>30.460853760967549</v>
      </c>
      <c r="C190" s="839"/>
      <c r="D190" s="393">
        <f t="shared" si="50"/>
        <v>33.040289286791726</v>
      </c>
      <c r="E190" s="385">
        <f t="shared" si="75"/>
        <v>34.115844175535464</v>
      </c>
      <c r="F190" s="385">
        <f t="shared" si="51"/>
        <v>34.266646570079949</v>
      </c>
      <c r="G190" s="110">
        <f t="shared" si="76"/>
        <v>0.5565513917574676</v>
      </c>
      <c r="H190" s="414" t="b">
        <f>Wh_hp&gt;='2024'!Maxi_hp</f>
        <v>0</v>
      </c>
      <c r="I190" s="390">
        <f>IF(H190,Wh_hp,'2024'!Maxi_hp)</f>
        <v>58.487024218685626</v>
      </c>
      <c r="J190" s="85">
        <f>IF(H190,An,'2024'!An_max)</f>
        <v>2021</v>
      </c>
      <c r="K190" s="197">
        <f t="shared" si="52"/>
        <v>45833</v>
      </c>
      <c r="L190" s="147">
        <f>IF(t&lt;Tvie,1-EXP((T0-t)*PertePVj)+'2024'!Pspv,1-EXP((T0-t)*PertePVj)+Pspv)</f>
        <v>7.8069398952125307E-2</v>
      </c>
      <c r="M190" s="843"/>
      <c r="N190" s="843"/>
      <c r="O190" s="48">
        <f>IF(t&lt;Tnet,'2024'!Resal+('2024'!Salim-'2024'!Resal)*(1-EXP(('2024'!Tnet-t)/('2024'!Tau_j))),Resal+(Salim-Resal)*(1-EXP((Tnet-t)/(Tau_j))))*Salcycl</f>
        <v>3.1526550631715632E-2</v>
      </c>
      <c r="P190" s="169">
        <f>(INDEX(Models!$BJ190:$BT190,,T190)*(1-R190)+INDEX(Models!$BJ190:$BT190,,T190+1)*R190-ERP_i)*Q190*Ramure*Pc/MaxiM</f>
        <v>1.1815392578207819E-2</v>
      </c>
      <c r="Q190" s="305">
        <f t="shared" si="53"/>
        <v>0.8</v>
      </c>
      <c r="R190" s="177">
        <f t="shared" si="54"/>
        <v>0.18883002705030938</v>
      </c>
      <c r="S190" s="809">
        <f t="shared" si="55"/>
        <v>2</v>
      </c>
      <c r="T190" s="176">
        <f t="shared" si="56"/>
        <v>8</v>
      </c>
      <c r="U190" s="251">
        <f t="shared" si="57"/>
        <v>2.1888300270503094</v>
      </c>
      <c r="V190" s="383">
        <f t="shared" si="58"/>
        <v>54.323828117039419</v>
      </c>
      <c r="W190" s="402">
        <f t="shared" si="59"/>
        <v>30.460853760967549</v>
      </c>
      <c r="X190" s="157">
        <f t="shared" si="60"/>
        <v>45833</v>
      </c>
      <c r="Y190" s="385">
        <f t="shared" si="61"/>
        <v>27.233274218964166</v>
      </c>
      <c r="Z190" s="385">
        <f t="shared" si="62"/>
        <v>29.539397204096034</v>
      </c>
      <c r="AA190" s="386">
        <f t="shared" si="63"/>
        <v>34.01556612847299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0.13159178087675993</v>
      </c>
      <c r="AD190" s="231">
        <f>(INDEX(Models!$BJ190:$BT190,,AH190)*(1-AF190)+INDEX(Models!$BJ190:$BT190,,AH190+1)*AF190-ERP_i)*AE190*Ramure*Pc/MaxiM</f>
        <v>1.9672194166791033E-2</v>
      </c>
      <c r="AE190" s="305">
        <f t="shared" si="65"/>
        <v>0.8</v>
      </c>
      <c r="AF190" s="177">
        <f t="shared" si="66"/>
        <v>0.389546774215213</v>
      </c>
      <c r="AG190" s="809">
        <f t="shared" si="74"/>
        <v>3</v>
      </c>
      <c r="AH190" s="176">
        <f t="shared" si="67"/>
        <v>9</v>
      </c>
      <c r="AI190" s="225">
        <f t="shared" si="68"/>
        <v>3.389546774215213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IF(t&gt;Tmaj,'2024'!Wh/'2024'!Env_an*'2025'!Env_an,0.001*'[8]mon-tableau'!$B$161)</f>
        <v>11.21748116246385</v>
      </c>
      <c r="C191" s="839"/>
      <c r="D191" s="393">
        <f t="shared" si="50"/>
        <v>12.167670951493982</v>
      </c>
      <c r="E191" s="385">
        <f t="shared" si="75"/>
        <v>12.566731697190395</v>
      </c>
      <c r="F191" s="385">
        <f t="shared" si="51"/>
        <v>12.566731697190395</v>
      </c>
      <c r="G191" s="110">
        <f t="shared" si="76"/>
        <v>0.20436506151317468</v>
      </c>
      <c r="H191" s="414" t="b">
        <f>Wh_hp&gt;='2024'!Maxi_hp</f>
        <v>0</v>
      </c>
      <c r="I191" s="390">
        <f>IF(H191,Wh_hp,'2024'!Maxi_hp)</f>
        <v>59.355416952943592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7.8091344910462573E-2</v>
      </c>
      <c r="M191" s="843"/>
      <c r="N191" s="843"/>
      <c r="O191" s="48">
        <f>IF(t&lt;Tnet,'2024'!Resal+('2024'!Salim-'2024'!Resal)*(1-EXP(('2024'!Tnet-t)/('2024'!Tau_j))),Resal+(Salim-Resal)*(1-EXP((Tnet-t)/(Tau_j))))*Salcycl</f>
        <v>3.1755332676167015E-2</v>
      </c>
      <c r="P191" s="169">
        <f>(INDEX(Models!$BJ191:$BT191,,T191)*(1-R191)+INDEX(Models!$BJ191:$BT191,,T191+1)*R191-ERP_i)*Q191*Ramure*Pc/MaxiM</f>
        <v>1.1878847051308608E-2</v>
      </c>
      <c r="Q191" s="305">
        <f t="shared" si="53"/>
        <v>0.8</v>
      </c>
      <c r="R191" s="177">
        <f t="shared" si="54"/>
        <v>0.19441856185930773</v>
      </c>
      <c r="S191" s="809">
        <f t="shared" si="55"/>
        <v>2</v>
      </c>
      <c r="T191" s="176">
        <f t="shared" si="56"/>
        <v>8</v>
      </c>
      <c r="U191" s="251">
        <f t="shared" si="57"/>
        <v>2.1944185618593077</v>
      </c>
      <c r="V191" s="383">
        <f t="shared" si="58"/>
        <v>54.237404071729962</v>
      </c>
      <c r="W191" s="402">
        <f t="shared" si="59"/>
        <v>11.21748116246385</v>
      </c>
      <c r="X191" s="157">
        <f t="shared" si="60"/>
        <v>45834</v>
      </c>
      <c r="Y191" s="385">
        <f t="shared" si="61"/>
        <v>10.059410633936752</v>
      </c>
      <c r="Z191" s="385">
        <f t="shared" si="62"/>
        <v>10.911504711884675</v>
      </c>
      <c r="AA191" s="386">
        <f t="shared" si="63"/>
        <v>12.566731697190395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0.13171499361888886</v>
      </c>
      <c r="AD191" s="231">
        <f>(INDEX(Models!$BJ191:$BT191,,AH191)*(1-AF191)+INDEX(Models!$BJ191:$BT191,,AH191+1)*AF191-ERP_i)*AE191*Ramure*Pc/MaxiM</f>
        <v>1.9767186151955735E-2</v>
      </c>
      <c r="AE191" s="305">
        <f t="shared" si="65"/>
        <v>0.8</v>
      </c>
      <c r="AF191" s="177">
        <f t="shared" si="66"/>
        <v>0.39513530902421135</v>
      </c>
      <c r="AG191" s="809">
        <f t="shared" si="74"/>
        <v>3</v>
      </c>
      <c r="AH191" s="176">
        <f t="shared" si="67"/>
        <v>9</v>
      </c>
      <c r="AI191" s="225">
        <f t="shared" si="68"/>
        <v>3.3951353090242113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IF(t&gt;Tmaj,'2024'!Wh/'2024'!Env_an*'2025'!Env_an,0.001*'[8]mon-tableau'!$B$162)</f>
        <v>11.919655829387123</v>
      </c>
      <c r="C192" s="839"/>
      <c r="D192" s="393">
        <f t="shared" si="50"/>
        <v>12.929631921927839</v>
      </c>
      <c r="E192" s="385">
        <f t="shared" si="75"/>
        <v>13.356829136952561</v>
      </c>
      <c r="F192" s="385">
        <f t="shared" si="51"/>
        <v>13.356829136952561</v>
      </c>
      <c r="G192" s="110">
        <f t="shared" si="76"/>
        <v>0.21750271235646737</v>
      </c>
      <c r="H192" s="414" t="b">
        <f>Wh_hp&gt;='2024'!Maxi_hp</f>
        <v>0</v>
      </c>
      <c r="I192" s="390">
        <f>IF(H192,Wh_hp,'2024'!Maxi_hp)</f>
        <v>59.191456400170118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7.8113290358085258E-2</v>
      </c>
      <c r="M192" s="843"/>
      <c r="N192" s="843"/>
      <c r="O192" s="48">
        <f>IF(t&lt;Tnet,'2024'!Resal+('2024'!Salim-'2024'!Resal)*(1-EXP(('2024'!Tnet-t)/('2024'!Tau_j))),Resal+(Salim-Resal)*(1-EXP((Tnet-t)/(Tau_j))))*Salcycl</f>
        <v>3.198343039687844E-2</v>
      </c>
      <c r="P192" s="169">
        <f>(INDEX(Models!$BJ192:$BT192,,T192)*(1-R192)+INDEX(Models!$BJ192:$BT192,,T192+1)*R192-ERP_i)*Q192*Ramure*Pc/MaxiM</f>
        <v>1.1934110532641016E-2</v>
      </c>
      <c r="Q192" s="305">
        <f t="shared" si="53"/>
        <v>0.8</v>
      </c>
      <c r="R192" s="177">
        <f t="shared" si="54"/>
        <v>0.19993468036056861</v>
      </c>
      <c r="S192" s="809">
        <f t="shared" si="55"/>
        <v>2</v>
      </c>
      <c r="T192" s="176">
        <f t="shared" si="56"/>
        <v>8</v>
      </c>
      <c r="U192" s="251">
        <f t="shared" si="57"/>
        <v>2.1999346803605686</v>
      </c>
      <c r="V192" s="383">
        <f t="shared" si="58"/>
        <v>54.148314803109535</v>
      </c>
      <c r="W192" s="402">
        <f t="shared" si="59"/>
        <v>11.919655829387123</v>
      </c>
      <c r="X192" s="157">
        <f t="shared" si="60"/>
        <v>45835</v>
      </c>
      <c r="Y192" s="385">
        <f t="shared" si="61"/>
        <v>10.690123200828136</v>
      </c>
      <c r="Z192" s="385">
        <f t="shared" si="62"/>
        <v>11.595918553788961</v>
      </c>
      <c r="AA192" s="386">
        <f t="shared" si="63"/>
        <v>13.356829136952561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0.13183597432506805</v>
      </c>
      <c r="AD192" s="231">
        <f>(INDEX(Models!$BJ192:$BT192,,AH192)*(1-AF192)+INDEX(Models!$BJ192:$BT192,,AH192+1)*AF192-ERP_i)*AE192*Ramure*Pc/MaxiM</f>
        <v>1.9854126874480776E-2</v>
      </c>
      <c r="AE192" s="305">
        <f t="shared" si="65"/>
        <v>0.8</v>
      </c>
      <c r="AF192" s="177">
        <f t="shared" si="66"/>
        <v>0.40065142752547223</v>
      </c>
      <c r="AG192" s="809">
        <f t="shared" si="74"/>
        <v>3</v>
      </c>
      <c r="AH192" s="176">
        <f t="shared" si="67"/>
        <v>9</v>
      </c>
      <c r="AI192" s="225">
        <f t="shared" si="68"/>
        <v>3.4006514275254722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IF(t&gt;Tmaj,'2024'!Wh/'2024'!Env_an*'2025'!Env_an,0.001*'[8]mon-tableau'!$B$163)</f>
        <v>54.570209694140104</v>
      </c>
      <c r="C193" s="839"/>
      <c r="D193" s="393">
        <f t="shared" si="50"/>
        <v>59.195460965039793</v>
      </c>
      <c r="E193" s="385">
        <f t="shared" si="75"/>
        <v>61.16565808186067</v>
      </c>
      <c r="F193" s="385">
        <f t="shared" si="51"/>
        <v>61.907521444604463</v>
      </c>
      <c r="G193" s="110">
        <f t="shared" si="76"/>
        <v>1.0095043316533836</v>
      </c>
      <c r="H193" s="414" t="b">
        <f>Wh_hp&gt;='2024'!Maxi_hp</f>
        <v>1</v>
      </c>
      <c r="I193" s="390">
        <f>IF(H193,Wh_hp,'2024'!Maxi_hp)</f>
        <v>61.907521444604463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7.8135235295005351E-2</v>
      </c>
      <c r="M193" s="843"/>
      <c r="N193" s="843"/>
      <c r="O193" s="48">
        <f>IF(t&lt;Tnet,'2024'!Resal+('2024'!Salim-'2024'!Resal)*(1-EXP(('2024'!Tnet-t)/('2024'!Tau_j))),Resal+(Salim-Resal)*(1-EXP((Tnet-t)/(Tau_j))))*Salcycl</f>
        <v>3.2210838215524042E-2</v>
      </c>
      <c r="P193" s="169">
        <f>(INDEX(Models!$BJ193:$BT193,,T193)*(1-R193)+INDEX(Models!$BJ193:$BT193,,T193+1)*R193-ERP_i)*Q193*Ramure*Pc/MaxiM</f>
        <v>1.1983412442179925E-2</v>
      </c>
      <c r="Q193" s="305">
        <f t="shared" si="53"/>
        <v>0.8</v>
      </c>
      <c r="R193" s="177">
        <f t="shared" si="54"/>
        <v>0.2053752157975639</v>
      </c>
      <c r="S193" s="809">
        <f t="shared" si="55"/>
        <v>2</v>
      </c>
      <c r="T193" s="176">
        <f t="shared" si="56"/>
        <v>8</v>
      </c>
      <c r="U193" s="251">
        <f t="shared" si="57"/>
        <v>2.2053752157975639</v>
      </c>
      <c r="V193" s="383">
        <f t="shared" si="58"/>
        <v>54.056439366400824</v>
      </c>
      <c r="W193" s="402">
        <f t="shared" si="59"/>
        <v>54.570209694140104</v>
      </c>
      <c r="X193" s="157">
        <f t="shared" si="60"/>
        <v>45836</v>
      </c>
      <c r="Y193" s="385">
        <f t="shared" si="61"/>
        <v>48.5520683185457</v>
      </c>
      <c r="Z193" s="385">
        <f t="shared" si="62"/>
        <v>52.667235127576241</v>
      </c>
      <c r="AA193" s="386">
        <f t="shared" si="63"/>
        <v>60.673374478831406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0.13195473995019782</v>
      </c>
      <c r="AD193" s="231">
        <f>(INDEX(Models!$BJ193:$BT193,,AH193)*(1-AF193)+INDEX(Models!$BJ193:$BT193,,AH193+1)*AF193-ERP_i)*AE193*Ramure*Pc/MaxiM</f>
        <v>1.9935331555429588E-2</v>
      </c>
      <c r="AE193" s="305">
        <f t="shared" si="65"/>
        <v>0.8</v>
      </c>
      <c r="AF193" s="177">
        <f t="shared" si="66"/>
        <v>0.40609196296246752</v>
      </c>
      <c r="AG193" s="809">
        <f t="shared" si="74"/>
        <v>3</v>
      </c>
      <c r="AH193" s="176">
        <f t="shared" si="67"/>
        <v>9</v>
      </c>
      <c r="AI193" s="225">
        <f t="shared" si="68"/>
        <v>3.4060919629624675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IF(t&gt;Tmaj,'2024'!Wh/'2024'!Env_an*'2025'!Env_an,0.001*'[8]mon-tableau'!$B$164)</f>
        <v>51.375899091493416</v>
      </c>
      <c r="C194" s="839"/>
      <c r="D194" s="393">
        <f t="shared" si="50"/>
        <v>55.731734262417248</v>
      </c>
      <c r="E194" s="385">
        <f t="shared" si="75"/>
        <v>57.600141863716814</v>
      </c>
      <c r="F194" s="385">
        <f t="shared" si="51"/>
        <v>58.252767750645788</v>
      </c>
      <c r="G194" s="110">
        <f t="shared" si="76"/>
        <v>0.95128658285273515</v>
      </c>
      <c r="H194" s="414" t="b">
        <f>Wh_hp&gt;='2024'!Maxi_hp</f>
        <v>0</v>
      </c>
      <c r="I194" s="390">
        <f>IF(H194,Wh_hp,'2024'!Maxi_hp)</f>
        <v>58.29404049517651</v>
      </c>
      <c r="J194" s="85">
        <f>IF(H194,An,'2024'!An_max)</f>
        <v>2022</v>
      </c>
      <c r="K194" s="197">
        <f t="shared" si="52"/>
        <v>45837</v>
      </c>
      <c r="L194" s="147">
        <f>IF(t&lt;Tvie,1-EXP((T0-t)*PertePVj)+'2024'!Pspv,1-EXP((T0-t)*PertePVj)+Pspv)</f>
        <v>7.8157179721234621E-2</v>
      </c>
      <c r="M194" s="843"/>
      <c r="N194" s="843"/>
      <c r="O194" s="48">
        <f>IF(t&lt;Tnet,'2024'!Resal+('2024'!Salim-'2024'!Resal)*(1-EXP(('2024'!Tnet-t)/('2024'!Tau_j))),Resal+(Salim-Resal)*(1-EXP((Tnet-t)/(Tau_j))))*Salcycl</f>
        <v>3.2437552076178149E-2</v>
      </c>
      <c r="P194" s="169">
        <f>(INDEX(Models!$BJ194:$BT194,,T194)*(1-R194)+INDEX(Models!$BJ194:$BT194,,T194+1)*R194-ERP_i)*Q194*Ramure*Pc/MaxiM</f>
        <v>1.2026668375622636E-2</v>
      </c>
      <c r="Q194" s="305">
        <f t="shared" si="53"/>
        <v>0.8</v>
      </c>
      <c r="R194" s="177">
        <f t="shared" si="54"/>
        <v>0.21073721339569085</v>
      </c>
      <c r="S194" s="809">
        <f t="shared" si="55"/>
        <v>2</v>
      </c>
      <c r="T194" s="176">
        <f t="shared" si="56"/>
        <v>8</v>
      </c>
      <c r="U194" s="251">
        <f t="shared" si="57"/>
        <v>2.2107372133956908</v>
      </c>
      <c r="V194" s="383">
        <f t="shared" si="58"/>
        <v>53.961783765093358</v>
      </c>
      <c r="W194" s="402">
        <f t="shared" si="59"/>
        <v>51.375899091493416</v>
      </c>
      <c r="X194" s="157">
        <f t="shared" si="60"/>
        <v>45837</v>
      </c>
      <c r="Y194" s="385">
        <f t="shared" si="61"/>
        <v>45.738867305500214</v>
      </c>
      <c r="Z194" s="385">
        <f t="shared" si="62"/>
        <v>49.616774464510961</v>
      </c>
      <c r="AA194" s="386">
        <f t="shared" si="63"/>
        <v>57.166879271620545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0.13207131302788638</v>
      </c>
      <c r="AD194" s="231">
        <f>(INDEX(Models!$BJ194:$BT194,,AH194)*(1-AF194)+INDEX(Models!$BJ194:$BT194,,AH194+1)*AF194-ERP_i)*AE194*Ramure*Pc/MaxiM</f>
        <v>2.0010883557806333E-2</v>
      </c>
      <c r="AE194" s="305">
        <f t="shared" si="65"/>
        <v>0.8</v>
      </c>
      <c r="AF194" s="177">
        <f t="shared" si="66"/>
        <v>0.41145396056059447</v>
      </c>
      <c r="AG194" s="809">
        <f t="shared" si="74"/>
        <v>3</v>
      </c>
      <c r="AH194" s="176">
        <f t="shared" si="67"/>
        <v>9</v>
      </c>
      <c r="AI194" s="225">
        <f t="shared" si="68"/>
        <v>3.4114539605605945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IF(t&gt;Tmaj,'2024'!Wh/'2024'!Env_an*'2025'!Env_an,0.001*'[8]mon-tableau'!$B$165)</f>
        <v>12.972277355894448</v>
      </c>
      <c r="C195" s="839"/>
      <c r="D195" s="393">
        <f t="shared" si="50"/>
        <v>14.072449093443101</v>
      </c>
      <c r="E195" s="385">
        <f t="shared" si="75"/>
        <v>14.547626501665588</v>
      </c>
      <c r="F195" s="385">
        <f t="shared" si="51"/>
        <v>14.547626501665588</v>
      </c>
      <c r="G195" s="110">
        <f t="shared" si="76"/>
        <v>0.23792696987970458</v>
      </c>
      <c r="H195" s="414" t="b">
        <f>Wh_hp&gt;='2024'!Maxi_hp</f>
        <v>0</v>
      </c>
      <c r="I195" s="390">
        <f>IF(H195,Wh_hp,'2024'!Maxi_hp)</f>
        <v>53.913631634693168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7.8179123636785169E-2</v>
      </c>
      <c r="M195" s="843"/>
      <c r="N195" s="843"/>
      <c r="O195" s="48">
        <f>IF(t&lt;Tnet,'2024'!Resal+('2024'!Salim-'2024'!Resal)*(1-EXP(('2024'!Tnet-t)/('2024'!Tau_j))),Resal+(Salim-Resal)*(1-EXP((Tnet-t)/(Tau_j))))*Salcycl</f>
        <v>3.2663569426124792E-2</v>
      </c>
      <c r="P195" s="169">
        <f>(INDEX(Models!$BJ195:$BT195,,T195)*(1-R195)+INDEX(Models!$BJ195:$BT195,,T195+1)*R195-ERP_i)*Q195*Ramure*Pc/MaxiM</f>
        <v>1.2063802330727237E-2</v>
      </c>
      <c r="Q195" s="305">
        <f t="shared" si="53"/>
        <v>0.8</v>
      </c>
      <c r="R195" s="177">
        <f t="shared" si="54"/>
        <v>0.21601793369035738</v>
      </c>
      <c r="S195" s="809">
        <f t="shared" si="55"/>
        <v>2</v>
      </c>
      <c r="T195" s="176">
        <f t="shared" si="56"/>
        <v>8</v>
      </c>
      <c r="U195" s="251">
        <f t="shared" si="57"/>
        <v>2.2160179336903574</v>
      </c>
      <c r="V195" s="383">
        <f t="shared" si="58"/>
        <v>53.86435330376041</v>
      </c>
      <c r="W195" s="402">
        <f t="shared" si="59"/>
        <v>12.972277355894448</v>
      </c>
      <c r="X195" s="157">
        <f t="shared" si="60"/>
        <v>45838</v>
      </c>
      <c r="Y195" s="385">
        <f t="shared" si="61"/>
        <v>11.637654862608498</v>
      </c>
      <c r="Z195" s="385">
        <f t="shared" si="62"/>
        <v>12.62463799748341</v>
      </c>
      <c r="AA195" s="386">
        <f t="shared" si="63"/>
        <v>14.547626501665588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0.13218572142761659</v>
      </c>
      <c r="AD195" s="231">
        <f>(INDEX(Models!$BJ195:$BT195,,AH195)*(1-AF195)+INDEX(Models!$BJ195:$BT195,,AH195+1)*AF195-ERP_i)*AE195*Ramure*Pc/MaxiM</f>
        <v>2.0080873886231566E-2</v>
      </c>
      <c r="AE195" s="305">
        <f t="shared" si="65"/>
        <v>0.8</v>
      </c>
      <c r="AF195" s="177">
        <f t="shared" si="66"/>
        <v>0.416734680855261</v>
      </c>
      <c r="AG195" s="809">
        <f t="shared" si="74"/>
        <v>3</v>
      </c>
      <c r="AH195" s="176">
        <f t="shared" si="67"/>
        <v>9</v>
      </c>
      <c r="AI195" s="225">
        <f t="shared" si="68"/>
        <v>3.416734680855261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IF(t&gt;Tmaj,'2024'!Wh/'2024'!Env_an*'2025'!Env_an,0.001*[9]mois!$B$140)</f>
        <v>49.008062955746325</v>
      </c>
      <c r="C196" s="839"/>
      <c r="D196" s="393">
        <f t="shared" si="50"/>
        <v>53.165675510671988</v>
      </c>
      <c r="E196" s="385">
        <f t="shared" si="75"/>
        <v>54.973699419086486</v>
      </c>
      <c r="F196" s="385">
        <f t="shared" si="51"/>
        <v>55.560770067168697</v>
      </c>
      <c r="G196" s="110">
        <f t="shared" si="76"/>
        <v>0.91012976977276328</v>
      </c>
      <c r="H196" s="414" t="b">
        <f>Wh_hp&gt;='2024'!Maxi_hp</f>
        <v>0</v>
      </c>
      <c r="I196" s="390">
        <f>IF(H196,Wh_hp,'2024'!Maxi_hp)</f>
        <v>59.241632276839347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7.8201067041668654E-2</v>
      </c>
      <c r="M196" s="843"/>
      <c r="N196" s="843"/>
      <c r="O196" s="48">
        <f>IF(t&lt;Tnet,'2024'!Resal+('2024'!Salim-'2024'!Resal)*(1-EXP(('2024'!Tnet-t)/('2024'!Tau_j))),Resal+(Salim-Resal)*(1-EXP((Tnet-t)/(Tau_j))))*Salcycl</f>
        <v>3.2888889187376841E-2</v>
      </c>
      <c r="P196" s="169">
        <f>(INDEX(Models!$BJ196:$BT196,,T196)*(1-R196)+INDEX(Models!$BJ196:$BT196,,T196+1)*R196-ERP_i)*Q196*Ramure*Pc/MaxiM</f>
        <v>1.2094746516347859E-2</v>
      </c>
      <c r="Q196" s="305">
        <f t="shared" si="53"/>
        <v>0.8</v>
      </c>
      <c r="R196" s="177">
        <f t="shared" si="54"/>
        <v>0.22121485471548885</v>
      </c>
      <c r="S196" s="809">
        <f t="shared" si="55"/>
        <v>2</v>
      </c>
      <c r="T196" s="176">
        <f t="shared" si="56"/>
        <v>8</v>
      </c>
      <c r="U196" s="251">
        <f t="shared" si="57"/>
        <v>2.2212148547154889</v>
      </c>
      <c r="V196" s="383">
        <f t="shared" si="58"/>
        <v>53.764152596778665</v>
      </c>
      <c r="W196" s="402">
        <f t="shared" si="59"/>
        <v>49.008062955746325</v>
      </c>
      <c r="X196" s="157">
        <f t="shared" si="60"/>
        <v>45839</v>
      </c>
      <c r="Y196" s="385">
        <f t="shared" si="61"/>
        <v>43.657977759390519</v>
      </c>
      <c r="Z196" s="385">
        <f t="shared" si="62"/>
        <v>47.361714359202907</v>
      </c>
      <c r="AA196" s="386">
        <f t="shared" si="63"/>
        <v>54.58292622888149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0.13229799808456627</v>
      </c>
      <c r="AD196" s="231">
        <f>(INDEX(Models!$BJ196:$BT196,,AH196)*(1-AF196)+INDEX(Models!$BJ196:$BT196,,AH196+1)*AF196-ERP_i)*AE196*Ramure*Pc/MaxiM</f>
        <v>2.0145400549816259E-2</v>
      </c>
      <c r="AE196" s="305">
        <f t="shared" si="65"/>
        <v>0.8</v>
      </c>
      <c r="AF196" s="177">
        <f t="shared" si="66"/>
        <v>0.42193160188039247</v>
      </c>
      <c r="AG196" s="809">
        <f t="shared" si="74"/>
        <v>3</v>
      </c>
      <c r="AH196" s="176">
        <f t="shared" si="67"/>
        <v>9</v>
      </c>
      <c r="AI196" s="225">
        <f t="shared" si="68"/>
        <v>3.4219316018803925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IF(t&gt;Tmaj,'2024'!Wh/'2024'!Env_an*'2025'!Env_an,0.001*[9]mois!$B$141)</f>
        <v>51.522116862661846</v>
      </c>
      <c r="C197" s="839"/>
      <c r="D197" s="393">
        <f t="shared" si="50"/>
        <v>55.894340407736642</v>
      </c>
      <c r="E197" s="385">
        <f t="shared" si="75"/>
        <v>57.808585687363646</v>
      </c>
      <c r="F197" s="385">
        <f t="shared" si="51"/>
        <v>58.47693508663783</v>
      </c>
      <c r="G197" s="110">
        <f t="shared" si="76"/>
        <v>0.95946719684918469</v>
      </c>
      <c r="H197" s="414" t="b">
        <f>Wh_hp&gt;='2024'!Maxi_hp</f>
        <v>0</v>
      </c>
      <c r="I197" s="390">
        <f>IF(H197,Wh_hp,'2024'!Maxi_hp)</f>
        <v>58.511459605426658</v>
      </c>
      <c r="J197" s="85">
        <f>IF(H197,An,'2024'!An_max)</f>
        <v>2022</v>
      </c>
      <c r="K197" s="197">
        <f t="shared" si="52"/>
        <v>45840</v>
      </c>
      <c r="L197" s="147">
        <f>IF(t&lt;Tvie,1-EXP((T0-t)*PertePVj)+'2024'!Pspv,1-EXP((T0-t)*PertePVj)+Pspv)</f>
        <v>7.8223009935897064E-2</v>
      </c>
      <c r="M197" s="843"/>
      <c r="N197" s="843"/>
      <c r="O197" s="48">
        <f>IF(t&lt;Tnet,'2024'!Resal+('2024'!Salim-'2024'!Resal)*(1-EXP(('2024'!Tnet-t)/('2024'!Tau_j))),Resal+(Salim-Resal)*(1-EXP((Tnet-t)/(Tau_j))))*Salcycl</f>
        <v>3.311351171916728E-2</v>
      </c>
      <c r="P197" s="169">
        <f>(INDEX(Models!$BJ197:$BT197,,T197)*(1-R197)+INDEX(Models!$BJ197:$BT197,,T197+1)*R197-ERP_i)*Q197*Ramure*Pc/MaxiM</f>
        <v>1.211944109655199E-2</v>
      </c>
      <c r="Q197" s="305">
        <f t="shared" si="53"/>
        <v>0.8</v>
      </c>
      <c r="R197" s="177">
        <f t="shared" si="54"/>
        <v>0.22632567308468143</v>
      </c>
      <c r="S197" s="809">
        <f t="shared" si="55"/>
        <v>2</v>
      </c>
      <c r="T197" s="176">
        <f t="shared" si="56"/>
        <v>8</v>
      </c>
      <c r="U197" s="251">
        <f t="shared" si="57"/>
        <v>2.2263256730846814</v>
      </c>
      <c r="V197" s="383">
        <f t="shared" si="58"/>
        <v>53.66118558671203</v>
      </c>
      <c r="W197" s="402">
        <f t="shared" si="59"/>
        <v>51.522116862661846</v>
      </c>
      <c r="X197" s="157">
        <f t="shared" si="60"/>
        <v>45840</v>
      </c>
      <c r="Y197" s="385">
        <f t="shared" si="61"/>
        <v>45.874465616976003</v>
      </c>
      <c r="Z197" s="385">
        <f t="shared" si="62"/>
        <v>49.767423261222611</v>
      </c>
      <c r="AA197" s="386">
        <f t="shared" si="63"/>
        <v>57.362716146420603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0.13240818070418259</v>
      </c>
      <c r="AD197" s="231">
        <f>(INDEX(Models!$BJ197:$BT197,,AH197)*(1-AF197)+INDEX(Models!$BJ197:$BT197,,AH197+1)*AF197-ERP_i)*AE197*Ramure*Pc/MaxiM</f>
        <v>2.0204567894113477E-2</v>
      </c>
      <c r="AE197" s="305">
        <f t="shared" si="65"/>
        <v>0.8</v>
      </c>
      <c r="AF197" s="177">
        <f t="shared" si="66"/>
        <v>0.4270424202495855</v>
      </c>
      <c r="AG197" s="809">
        <f t="shared" si="74"/>
        <v>3</v>
      </c>
      <c r="AH197" s="176">
        <f t="shared" si="67"/>
        <v>9</v>
      </c>
      <c r="AI197" s="225">
        <f t="shared" si="68"/>
        <v>3.4270424202495855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IF(t&gt;Tmaj,'2024'!Wh/'2024'!Env_an*'2025'!Env_an,0.001*[9]mois!$B$142)</f>
        <v>39.880676451142946</v>
      </c>
      <c r="C198" s="839"/>
      <c r="D198" s="393">
        <f t="shared" si="50"/>
        <v>43.266024473093715</v>
      </c>
      <c r="E198" s="385">
        <f t="shared" si="75"/>
        <v>44.75814643955961</v>
      </c>
      <c r="F198" s="385">
        <f t="shared" si="51"/>
        <v>45.105867461660253</v>
      </c>
      <c r="G198" s="110">
        <f t="shared" si="76"/>
        <v>0.7413377191848457</v>
      </c>
      <c r="H198" s="414" t="b">
        <f>Wh_hp&gt;='2024'!Maxi_hp</f>
        <v>0</v>
      </c>
      <c r="I198" s="390">
        <f>IF(H198,Wh_hp,'2024'!Maxi_hp)</f>
        <v>51.855426044960964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7.824495231948228E-2</v>
      </c>
      <c r="M198" s="843"/>
      <c r="N198" s="843"/>
      <c r="O198" s="48">
        <f>IF(t&lt;Tnet,'2024'!Resal+('2024'!Salim-'2024'!Resal)*(1-EXP(('2024'!Tnet-t)/('2024'!Tau_j))),Resal+(Salim-Resal)*(1-EXP((Tnet-t)/(Tau_j))))*Salcycl</f>
        <v>3.333743877175132E-2</v>
      </c>
      <c r="P198" s="169">
        <f>(INDEX(Models!$BJ198:$BT198,,T198)*(1-R198)+INDEX(Models!$BJ198:$BT198,,T198+1)*R198-ERP_i)*Q198*Ramure*Pc/MaxiM</f>
        <v>1.2135791188165497E-2</v>
      </c>
      <c r="Q198" s="305">
        <f t="shared" si="53"/>
        <v>0.8</v>
      </c>
      <c r="R198" s="177">
        <f t="shared" si="54"/>
        <v>0.23134830400543738</v>
      </c>
      <c r="S198" s="809">
        <f t="shared" si="55"/>
        <v>2</v>
      </c>
      <c r="T198" s="176">
        <f t="shared" si="56"/>
        <v>8</v>
      </c>
      <c r="U198" s="251">
        <f t="shared" si="57"/>
        <v>2.2313483040054374</v>
      </c>
      <c r="V198" s="383">
        <f t="shared" si="58"/>
        <v>53.555566312552706</v>
      </c>
      <c r="W198" s="402">
        <f t="shared" si="59"/>
        <v>39.880676451142946</v>
      </c>
      <c r="X198" s="157">
        <f t="shared" si="60"/>
        <v>45841</v>
      </c>
      <c r="Y198" s="385">
        <f t="shared" si="61"/>
        <v>35.602889397788779</v>
      </c>
      <c r="Z198" s="385">
        <f t="shared" si="62"/>
        <v>38.625109227640287</v>
      </c>
      <c r="AA198" s="386">
        <f t="shared" si="63"/>
        <v>44.525458792114399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0.13251631144380438</v>
      </c>
      <c r="AD198" s="231">
        <f>(INDEX(Models!$BJ198:$BT198,,AH198)*(1-AF198)+INDEX(Models!$BJ198:$BT198,,AH198+1)*AF198-ERP_i)*AE198*Ramure*Pc/MaxiM</f>
        <v>2.0256809251442659E-2</v>
      </c>
      <c r="AE198" s="305">
        <f t="shared" si="65"/>
        <v>0.8</v>
      </c>
      <c r="AF198" s="177">
        <f t="shared" si="66"/>
        <v>0.432065051170341</v>
      </c>
      <c r="AG198" s="809">
        <f t="shared" si="74"/>
        <v>3</v>
      </c>
      <c r="AH198" s="176">
        <f t="shared" si="67"/>
        <v>9</v>
      </c>
      <c r="AI198" s="225">
        <f t="shared" si="68"/>
        <v>3.432065051170341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IF(t&gt;Tmaj,'2024'!Wh/'2024'!Env_an*'2025'!Env_an,0.001*[9]mois!$B$143)</f>
        <v>40.868779391511097</v>
      </c>
      <c r="C199" s="839"/>
      <c r="D199" s="393">
        <f t="shared" si="50"/>
        <v>44.339059901406571</v>
      </c>
      <c r="E199" s="385">
        <f t="shared" si="75"/>
        <v>45.878782746620381</v>
      </c>
      <c r="F199" s="385">
        <f t="shared" si="51"/>
        <v>46.251691263523256</v>
      </c>
      <c r="G199" s="110">
        <f t="shared" si="76"/>
        <v>0.76150963875731481</v>
      </c>
      <c r="H199" s="414" t="b">
        <f>Wh_hp&gt;='2024'!Maxi_hp</f>
        <v>0</v>
      </c>
      <c r="I199" s="390">
        <f>IF(H199,Wh_hp,'2024'!Maxi_hp)</f>
        <v>57.973124882145292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7.8266894192436182E-2</v>
      </c>
      <c r="M199" s="843"/>
      <c r="N199" s="843"/>
      <c r="O199" s="48">
        <f>IF(t&lt;Tnet,'2024'!Resal+('2024'!Salim-'2024'!Resal)*(1-EXP(('2024'!Tnet-t)/('2024'!Tau_j))),Resal+(Salim-Resal)*(1-EXP((Tnet-t)/(Tau_j))))*Salcycl</f>
        <v>3.3560673431930324E-2</v>
      </c>
      <c r="P199" s="169">
        <f>(INDEX(Models!$BJ199:$BT199,,T199)*(1-R199)+INDEX(Models!$BJ199:$BT199,,T199+1)*R199-ERP_i)*Q199*Ramure*Pc/MaxiM</f>
        <v>1.2146179964962353E-2</v>
      </c>
      <c r="Q199" s="305">
        <f t="shared" si="53"/>
        <v>0.8</v>
      </c>
      <c r="R199" s="177">
        <f t="shared" si="54"/>
        <v>0.23628088027418581</v>
      </c>
      <c r="S199" s="809">
        <f t="shared" si="55"/>
        <v>2</v>
      </c>
      <c r="T199" s="176">
        <f t="shared" si="56"/>
        <v>8</v>
      </c>
      <c r="U199" s="251">
        <f t="shared" si="57"/>
        <v>2.2362808802741858</v>
      </c>
      <c r="V199" s="383">
        <f t="shared" si="58"/>
        <v>53.447165409459842</v>
      </c>
      <c r="W199" s="402">
        <f t="shared" si="59"/>
        <v>40.868779391511097</v>
      </c>
      <c r="X199" s="157">
        <f t="shared" si="60"/>
        <v>45842</v>
      </c>
      <c r="Y199" s="385">
        <f t="shared" si="61"/>
        <v>36.479406316070751</v>
      </c>
      <c r="Z199" s="385">
        <f t="shared" si="62"/>
        <v>39.576973080629251</v>
      </c>
      <c r="AA199" s="386">
        <f t="shared" si="63"/>
        <v>45.628310841125945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0.13262243657379641</v>
      </c>
      <c r="AD199" s="231">
        <f>(INDEX(Models!$BJ199:$BT199,,AH199)*(1-AF199)+INDEX(Models!$BJ199:$BT199,,AH199+1)*AF199-ERP_i)*AE199*Ramure*Pc/MaxiM</f>
        <v>2.0304419056870218E-2</v>
      </c>
      <c r="AE199" s="305">
        <f t="shared" si="65"/>
        <v>0.8</v>
      </c>
      <c r="AF199" s="177">
        <f t="shared" si="66"/>
        <v>0.43699762743908943</v>
      </c>
      <c r="AG199" s="809">
        <f t="shared" si="74"/>
        <v>3</v>
      </c>
      <c r="AH199" s="176">
        <f t="shared" si="67"/>
        <v>9</v>
      </c>
      <c r="AI199" s="225">
        <f t="shared" si="68"/>
        <v>3.4369976274390894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IF(t&gt;Tmaj,'2024'!Wh/'2024'!Env_an*'2025'!Env_an,0.001*[9]mois!$B$144)</f>
        <v>50.470681218846011</v>
      </c>
      <c r="C200" s="839"/>
      <c r="D200" s="393">
        <f t="shared" si="50"/>
        <v>54.757589107889252</v>
      </c>
      <c r="E200" s="385">
        <f t="shared" si="75"/>
        <v>56.672157061207038</v>
      </c>
      <c r="F200" s="385">
        <f t="shared" si="51"/>
        <v>57.315122514606166</v>
      </c>
      <c r="G200" s="110">
        <f t="shared" si="76"/>
        <v>0.94538581546092304</v>
      </c>
      <c r="H200" s="414" t="b">
        <f>Wh_hp&gt;='2024'!Maxi_hp</f>
        <v>0</v>
      </c>
      <c r="I200" s="390">
        <f>IF(H200,Wh_hp,'2024'!Maxi_hp)</f>
        <v>60.257495392536157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7.8288835554770647E-2</v>
      </c>
      <c r="M200" s="843"/>
      <c r="N200" s="843"/>
      <c r="O200" s="48">
        <f>IF(t&lt;Tnet,'2024'!Resal+('2024'!Salim-'2024'!Resal)*(1-EXP(('2024'!Tnet-t)/('2024'!Tau_j))),Resal+(Salim-Resal)*(1-EXP((Tnet-t)/(Tau_j))))*Salcycl</f>
        <v>3.3783220060778982E-2</v>
      </c>
      <c r="P200" s="169">
        <f>(INDEX(Models!$BJ200:$BT200,,T200)*(1-R200)+INDEX(Models!$BJ200:$BT200,,T200+1)*R200-ERP_i)*Q200*Ramure*Pc/MaxiM</f>
        <v>1.2150577664276517E-2</v>
      </c>
      <c r="Q200" s="305">
        <f t="shared" si="53"/>
        <v>0.8</v>
      </c>
      <c r="R200" s="177">
        <f t="shared" si="54"/>
        <v>0.24112175030615468</v>
      </c>
      <c r="S200" s="809">
        <f t="shared" si="55"/>
        <v>2</v>
      </c>
      <c r="T200" s="176">
        <f t="shared" si="56"/>
        <v>8</v>
      </c>
      <c r="U200" s="251">
        <f t="shared" si="57"/>
        <v>2.2411217503061547</v>
      </c>
      <c r="V200" s="383">
        <f t="shared" si="58"/>
        <v>53.335984621069279</v>
      </c>
      <c r="W200" s="402">
        <f t="shared" si="59"/>
        <v>50.470681218846011</v>
      </c>
      <c r="X200" s="157">
        <f t="shared" si="60"/>
        <v>45843</v>
      </c>
      <c r="Y200" s="385">
        <f t="shared" si="61"/>
        <v>44.955606385288533</v>
      </c>
      <c r="Z200" s="385">
        <f t="shared" si="62"/>
        <v>48.774071660884083</v>
      </c>
      <c r="AA200" s="386">
        <f t="shared" si="63"/>
        <v>56.238404181551758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0.13272660612080892</v>
      </c>
      <c r="AD200" s="231">
        <f>(INDEX(Models!$BJ200:$BT200,,AH200)*(1-AF200)+INDEX(Models!$BJ200:$BT200,,AH200+1)*AF200-ERP_i)*AE200*Ramure*Pc/MaxiM</f>
        <v>2.0347515810008165E-2</v>
      </c>
      <c r="AE200" s="305">
        <f t="shared" si="65"/>
        <v>0.8</v>
      </c>
      <c r="AF200" s="177">
        <f t="shared" si="66"/>
        <v>0.4418384974710583</v>
      </c>
      <c r="AG200" s="809">
        <f t="shared" si="74"/>
        <v>3</v>
      </c>
      <c r="AH200" s="176">
        <f t="shared" si="67"/>
        <v>9</v>
      </c>
      <c r="AI200" s="225">
        <f t="shared" si="68"/>
        <v>3.4418384974710583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IF(t&gt;Tmaj,'2024'!Wh/'2024'!Env_an*'2025'!Env_an,0.001*[9]mois!$B$145)</f>
        <v>45.441486509048566</v>
      </c>
      <c r="C201" s="839"/>
      <c r="D201" s="393">
        <f t="shared" si="50"/>
        <v>49.302395369103138</v>
      </c>
      <c r="E201" s="385">
        <f t="shared" si="75"/>
        <v>51.037944987012537</v>
      </c>
      <c r="F201" s="385">
        <f t="shared" si="51"/>
        <v>51.53326903437182</v>
      </c>
      <c r="G201" s="110">
        <f t="shared" si="76"/>
        <v>0.85162246377812378</v>
      </c>
      <c r="H201" s="414" t="b">
        <f>Wh_hp&gt;='2024'!Maxi_hp</f>
        <v>0</v>
      </c>
      <c r="I201" s="390">
        <f>IF(H201,Wh_hp,'2024'!Maxi_hp)</f>
        <v>59.845160048198764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7.8310776406497445E-2</v>
      </c>
      <c r="M201" s="843"/>
      <c r="N201" s="843"/>
      <c r="O201" s="48">
        <f>IF(t&lt;Tnet,'2024'!Resal+('2024'!Salim-'2024'!Resal)*(1-EXP(('2024'!Tnet-t)/('2024'!Tau_j))),Resal+(Salim-Resal)*(1-EXP((Tnet-t)/(Tau_j))))*Salcycl</f>
        <v>3.4005084224120623E-2</v>
      </c>
      <c r="P201" s="169">
        <f>(INDEX(Models!$BJ201:$BT201,,T201)*(1-R201)+INDEX(Models!$BJ201:$BT201,,T201+1)*R201-ERP_i)*Q201*Ramure*Pc/MaxiM</f>
        <v>1.2148960653827418E-2</v>
      </c>
      <c r="Q201" s="305">
        <f t="shared" si="53"/>
        <v>0.8</v>
      </c>
      <c r="R201" s="177">
        <f t="shared" si="54"/>
        <v>0.24586947525950587</v>
      </c>
      <c r="S201" s="809">
        <f t="shared" si="55"/>
        <v>2</v>
      </c>
      <c r="T201" s="176">
        <f t="shared" si="56"/>
        <v>8</v>
      </c>
      <c r="U201" s="251">
        <f t="shared" si="57"/>
        <v>2.2458694752595059</v>
      </c>
      <c r="V201" s="383">
        <f t="shared" si="58"/>
        <v>53.222025156811753</v>
      </c>
      <c r="W201" s="402">
        <f t="shared" si="59"/>
        <v>45.441486509048566</v>
      </c>
      <c r="X201" s="157">
        <f t="shared" si="60"/>
        <v>45844</v>
      </c>
      <c r="Y201" s="385">
        <f t="shared" si="61"/>
        <v>40.524279728936186</v>
      </c>
      <c r="Z201" s="385">
        <f t="shared" si="62"/>
        <v>43.967401041035522</v>
      </c>
      <c r="AA201" s="386">
        <f t="shared" si="63"/>
        <v>50.702104460379168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0.13282887349590072</v>
      </c>
      <c r="AD201" s="231">
        <f>(INDEX(Models!$BJ201:$BT201,,AH201)*(1-AF201)+INDEX(Models!$BJ201:$BT201,,AH201+1)*AF201-ERP_i)*AE201*Ramure*Pc/MaxiM</f>
        <v>2.0386221424390876E-2</v>
      </c>
      <c r="AE201" s="305">
        <f t="shared" si="65"/>
        <v>0.8</v>
      </c>
      <c r="AF201" s="177">
        <f t="shared" si="66"/>
        <v>0.44658622242440948</v>
      </c>
      <c r="AG201" s="809">
        <f t="shared" si="74"/>
        <v>3</v>
      </c>
      <c r="AH201" s="176">
        <f t="shared" si="67"/>
        <v>9</v>
      </c>
      <c r="AI201" s="225">
        <f t="shared" si="68"/>
        <v>3.4465862224244095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IF(t&gt;Tmaj,'2024'!Wh/'2024'!Env_an*'2025'!Env_an,0.001*[9]mois!$B$146)</f>
        <v>49.957063216323895</v>
      </c>
      <c r="C202" s="839"/>
      <c r="D202" s="393">
        <f t="shared" si="50"/>
        <v>54.202925637151679</v>
      </c>
      <c r="E202" s="385">
        <f t="shared" si="75"/>
        <v>56.123835325269837</v>
      </c>
      <c r="F202" s="385">
        <f t="shared" si="51"/>
        <v>56.754552562062415</v>
      </c>
      <c r="G202" s="110">
        <f t="shared" si="76"/>
        <v>0.93973915060561164</v>
      </c>
      <c r="H202" s="414" t="b">
        <f>Wh_hp&gt;='2024'!Maxi_hp</f>
        <v>0</v>
      </c>
      <c r="I202" s="390">
        <f>IF(H202,Wh_hp,'2024'!Maxi_hp)</f>
        <v>56.803975288408445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7.8332716747628678E-2</v>
      </c>
      <c r="M202" s="843"/>
      <c r="N202" s="843"/>
      <c r="O202" s="48">
        <f>IF(t&lt;Tnet,'2024'!Resal+('2024'!Salim-'2024'!Resal)*(1-EXP(('2024'!Tnet-t)/('2024'!Tau_j))),Resal+(Salim-Resal)*(1-EXP((Tnet-t)/(Tau_j))))*Salcycl</f>
        <v>3.4226272616356045E-2</v>
      </c>
      <c r="P202" s="169">
        <f>(INDEX(Models!$BJ202:$BT202,,T202)*(1-R202)+INDEX(Models!$BJ202:$BT202,,T202+1)*R202-ERP_i)*Q202*Ramure*Pc/MaxiM</f>
        <v>1.214131092456789E-2</v>
      </c>
      <c r="Q202" s="305">
        <f t="shared" si="53"/>
        <v>0.8</v>
      </c>
      <c r="R202" s="177">
        <f t="shared" si="54"/>
        <v>0.25052282531755354</v>
      </c>
      <c r="S202" s="809">
        <f t="shared" si="55"/>
        <v>2</v>
      </c>
      <c r="T202" s="176">
        <f t="shared" si="56"/>
        <v>8</v>
      </c>
      <c r="U202" s="251">
        <f t="shared" si="57"/>
        <v>2.2505228253175535</v>
      </c>
      <c r="V202" s="383">
        <f t="shared" si="58"/>
        <v>53.105287724875552</v>
      </c>
      <c r="W202" s="402">
        <f t="shared" si="59"/>
        <v>49.957063216323895</v>
      </c>
      <c r="X202" s="157">
        <f t="shared" si="60"/>
        <v>45845</v>
      </c>
      <c r="Y202" s="385">
        <f t="shared" si="61"/>
        <v>44.507690871095107</v>
      </c>
      <c r="Z202" s="385">
        <f t="shared" si="62"/>
        <v>48.290409868989556</v>
      </c>
      <c r="AA202" s="386">
        <f t="shared" si="63"/>
        <v>55.693739387880903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0.13292929511036447</v>
      </c>
      <c r="AD202" s="231">
        <f>(INDEX(Models!$BJ202:$BT202,,AH202)*(1-AF202)+INDEX(Models!$BJ202:$BT202,,AH202+1)*AF202-ERP_i)*AE202*Ramure*Pc/MaxiM</f>
        <v>2.0420660526281411E-2</v>
      </c>
      <c r="AE202" s="305">
        <f t="shared" si="65"/>
        <v>0.8</v>
      </c>
      <c r="AF202" s="177">
        <f t="shared" si="66"/>
        <v>0.45123957248245716</v>
      </c>
      <c r="AG202" s="809">
        <f t="shared" si="74"/>
        <v>3</v>
      </c>
      <c r="AH202" s="176">
        <f t="shared" si="67"/>
        <v>9</v>
      </c>
      <c r="AI202" s="225">
        <f t="shared" si="68"/>
        <v>3.4512395724824572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IF(t&gt;Tmaj,'2024'!Wh/'2024'!Env_an*'2025'!Env_an,0.001*[9]mois!$B$147)</f>
        <v>52.922247585821424</v>
      </c>
      <c r="C203" s="839"/>
      <c r="D203" s="393">
        <f t="shared" si="50"/>
        <v>57.421488605731142</v>
      </c>
      <c r="E203" s="385">
        <f t="shared" si="75"/>
        <v>59.47004078920834</v>
      </c>
      <c r="F203" s="385">
        <f t="shared" si="51"/>
        <v>60.198859001826982</v>
      </c>
      <c r="G203" s="110">
        <f t="shared" si="76"/>
        <v>0.99878009288071101</v>
      </c>
      <c r="H203" s="414" t="b">
        <f>Wh_hp&gt;='2024'!Maxi_hp</f>
        <v>0</v>
      </c>
      <c r="I203" s="390">
        <f>IF(H203,Wh_hp,'2024'!Maxi_hp)</f>
        <v>61.470681296854167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7.8354656578176113E-2</v>
      </c>
      <c r="M203" s="843"/>
      <c r="N203" s="843"/>
      <c r="O203" s="48">
        <f>IF(t&lt;Tnet,'2024'!Resal+('2024'!Salim-'2024'!Resal)*(1-EXP(('2024'!Tnet-t)/('2024'!Tau_j))),Resal+(Salim-Resal)*(1-EXP((Tnet-t)/(Tau_j))))*Salcycl</f>
        <v>3.4446792978304816E-2</v>
      </c>
      <c r="P203" s="169">
        <f>(INDEX(Models!$BJ203:$BT203,,T203)*(1-R203)+INDEX(Models!$BJ203:$BT203,,T203+1)*R203-ERP_i)*Q203*Ramure*Pc/MaxiM</f>
        <v>1.2127615547438138E-2</v>
      </c>
      <c r="Q203" s="305">
        <f t="shared" si="53"/>
        <v>0.8</v>
      </c>
      <c r="R203" s="177">
        <f t="shared" si="54"/>
        <v>0.25508077519627648</v>
      </c>
      <c r="S203" s="809">
        <f t="shared" si="55"/>
        <v>2</v>
      </c>
      <c r="T203" s="176">
        <f t="shared" si="56"/>
        <v>8</v>
      </c>
      <c r="U203" s="251">
        <f t="shared" si="57"/>
        <v>2.2550807751962765</v>
      </c>
      <c r="V203" s="383">
        <f t="shared" si="58"/>
        <v>52.985772573908108</v>
      </c>
      <c r="W203" s="402">
        <f t="shared" si="59"/>
        <v>52.922247585821424</v>
      </c>
      <c r="X203" s="157">
        <f t="shared" si="60"/>
        <v>45846</v>
      </c>
      <c r="Y203" s="385">
        <f t="shared" si="61"/>
        <v>47.119308936752944</v>
      </c>
      <c r="Z203" s="385">
        <f t="shared" si="62"/>
        <v>51.125206971492403</v>
      </c>
      <c r="AA203" s="386">
        <f t="shared" si="63"/>
        <v>58.969843135132081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0.13302792998216631</v>
      </c>
      <c r="AD203" s="231">
        <f>(INDEX(Models!$BJ203:$BT203,,AH203)*(1-AF203)+INDEX(Models!$BJ203:$BT203,,AH203+1)*AF203-ERP_i)*AE203*Ramure*Pc/MaxiM</f>
        <v>2.0450959752258965E-2</v>
      </c>
      <c r="AE203" s="305">
        <f t="shared" si="65"/>
        <v>0.8</v>
      </c>
      <c r="AF203" s="177">
        <f t="shared" si="66"/>
        <v>0.45579752236117965</v>
      </c>
      <c r="AG203" s="809">
        <f t="shared" si="74"/>
        <v>3</v>
      </c>
      <c r="AH203" s="176">
        <f t="shared" si="67"/>
        <v>9</v>
      </c>
      <c r="AI203" s="225">
        <f t="shared" si="68"/>
        <v>3.4557975223611797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IF(t&gt;Tmaj,'2024'!Wh/'2024'!Env_an*'2025'!Env_an,0.001*[9]mois!$B$148)</f>
        <v>51.970472731931444</v>
      </c>
      <c r="C204" s="839"/>
      <c r="D204" s="393">
        <f t="shared" si="50"/>
        <v>56.39013994287432</v>
      </c>
      <c r="E204" s="385">
        <f t="shared" si="75"/>
        <v>58.415199451159076</v>
      </c>
      <c r="F204" s="385">
        <f t="shared" si="51"/>
        <v>59.113667268048466</v>
      </c>
      <c r="G204" s="110">
        <f t="shared" si="76"/>
        <v>0.98281661104369411</v>
      </c>
      <c r="H204" s="414" t="b">
        <f>Wh_hp&gt;='2024'!Maxi_hp</f>
        <v>0</v>
      </c>
      <c r="I204" s="390">
        <f>IF(H204,Wh_hp,'2024'!Maxi_hp)</f>
        <v>60.783742606554995</v>
      </c>
      <c r="J204" s="85">
        <f>IF(H204,An,'2024'!An_max)</f>
        <v>2021</v>
      </c>
      <c r="K204" s="197">
        <f t="shared" si="52"/>
        <v>45847</v>
      </c>
      <c r="L204" s="147">
        <f>IF(t&lt;Tvie,1-EXP((T0-t)*PertePVj)+'2024'!Pspv,1-EXP((T0-t)*PertePVj)+Pspv)</f>
        <v>7.837659589815163E-2</v>
      </c>
      <c r="M204" s="843"/>
      <c r="N204" s="843"/>
      <c r="O204" s="48">
        <f>IF(t&lt;Tnet,'2024'!Resal+('2024'!Salim-'2024'!Resal)*(1-EXP(('2024'!Tnet-t)/('2024'!Tau_j))),Resal+(Salim-Resal)*(1-EXP((Tnet-t)/(Tau_j))))*Salcycl</f>
        <v>3.4666654009765242E-2</v>
      </c>
      <c r="P204" s="169">
        <f>(INDEX(Models!$BJ204:$BT204,,T204)*(1-R204)+INDEX(Models!$BJ204:$BT204,,T204+1)*R204-ERP_i)*Q204*Ramure*Pc/MaxiM</f>
        <v>1.2107866102944226E-2</v>
      </c>
      <c r="Q204" s="305">
        <f t="shared" si="53"/>
        <v>0.8</v>
      </c>
      <c r="R204" s="177">
        <f t="shared" si="54"/>
        <v>0.25954249894681869</v>
      </c>
      <c r="S204" s="809">
        <f t="shared" si="55"/>
        <v>2</v>
      </c>
      <c r="T204" s="176">
        <f t="shared" si="56"/>
        <v>8</v>
      </c>
      <c r="U204" s="251">
        <f t="shared" si="57"/>
        <v>2.2595424989468187</v>
      </c>
      <c r="V204" s="383">
        <f t="shared" si="58"/>
        <v>52.86347952582819</v>
      </c>
      <c r="W204" s="402">
        <f t="shared" si="59"/>
        <v>51.970472731931444</v>
      </c>
      <c r="X204" s="157">
        <f t="shared" si="60"/>
        <v>45847</v>
      </c>
      <c r="Y204" s="385">
        <f t="shared" si="61"/>
        <v>46.284068724726943</v>
      </c>
      <c r="Z204" s="385">
        <f t="shared" si="62"/>
        <v>50.220153393166328</v>
      </c>
      <c r="AA204" s="386">
        <f t="shared" si="63"/>
        <v>57.932394042409676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0.13312483933596062</v>
      </c>
      <c r="AD204" s="231">
        <f>(INDEX(Models!$BJ204:$BT204,,AH204)*(1-AF204)+INDEX(Models!$BJ204:$BT204,,AH204+1)*AF204-ERP_i)*AE204*Ramure*Pc/MaxiM</f>
        <v>2.0477247055883187E-2</v>
      </c>
      <c r="AE204" s="305">
        <f t="shared" si="65"/>
        <v>0.8</v>
      </c>
      <c r="AF204" s="177">
        <f t="shared" si="66"/>
        <v>0.46025924611172231</v>
      </c>
      <c r="AG204" s="809">
        <f t="shared" si="74"/>
        <v>3</v>
      </c>
      <c r="AH204" s="176">
        <f t="shared" si="67"/>
        <v>9</v>
      </c>
      <c r="AI204" s="225">
        <f t="shared" si="68"/>
        <v>3.4602592461117223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IF(t&gt;Tmaj,'2024'!Wh/'2024'!Env_an*'2025'!Env_an,0.001*[9]mois!$B$149)</f>
        <v>51.368188487658905</v>
      </c>
      <c r="C205" s="839"/>
      <c r="D205" s="393">
        <f t="shared" si="50"/>
        <v>55.73796312417894</v>
      </c>
      <c r="E205" s="385">
        <f t="shared" si="75"/>
        <v>57.752716615437038</v>
      </c>
      <c r="F205" s="385">
        <f t="shared" si="51"/>
        <v>58.432518255709894</v>
      </c>
      <c r="G205" s="110">
        <f t="shared" si="76"/>
        <v>0.97358868458993542</v>
      </c>
      <c r="H205" s="414" t="b">
        <f>Wh_hp&gt;='2024'!Maxi_hp</f>
        <v>0</v>
      </c>
      <c r="I205" s="390">
        <f>IF(H205,Wh_hp,'2024'!Maxi_hp)</f>
        <v>60.976537805718309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7.8398534707567108E-2</v>
      </c>
      <c r="M205" s="843"/>
      <c r="N205" s="843"/>
      <c r="O205" s="48">
        <f>IF(t&lt;Tnet,'2024'!Resal+('2024'!Salim-'2024'!Resal)*(1-EXP(('2024'!Tnet-t)/('2024'!Tau_j))),Resal+(Salim-Resal)*(1-EXP((Tnet-t)/(Tau_j))))*Salcycl</f>
        <v>3.4885865277540271E-2</v>
      </c>
      <c r="P205" s="169">
        <f>(INDEX(Models!$BJ205:$BT205,,T205)*(1-R205)+INDEX(Models!$BJ205:$BT205,,T205+1)*R205-ERP_i)*Q205*Ramure*Pc/MaxiM</f>
        <v>1.2082203432687984E-2</v>
      </c>
      <c r="Q205" s="305">
        <f t="shared" si="53"/>
        <v>0.8</v>
      </c>
      <c r="R205" s="177">
        <f t="shared" si="54"/>
        <v>0.26390736412421312</v>
      </c>
      <c r="S205" s="809">
        <f t="shared" si="55"/>
        <v>2</v>
      </c>
      <c r="T205" s="176">
        <f t="shared" si="56"/>
        <v>8</v>
      </c>
      <c r="U205" s="251">
        <f t="shared" si="57"/>
        <v>2.2639073641242131</v>
      </c>
      <c r="V205" s="383">
        <f t="shared" si="58"/>
        <v>52.737765824895313</v>
      </c>
      <c r="W205" s="402">
        <f t="shared" si="59"/>
        <v>51.368188487658905</v>
      </c>
      <c r="X205" s="157">
        <f t="shared" si="60"/>
        <v>45848</v>
      </c>
      <c r="Y205" s="385">
        <f t="shared" si="61"/>
        <v>45.756011653182668</v>
      </c>
      <c r="Z205" s="385">
        <f t="shared" si="62"/>
        <v>49.648371206380247</v>
      </c>
      <c r="AA205" s="386">
        <f t="shared" si="63"/>
        <v>57.279097514731482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0.1332200861996595</v>
      </c>
      <c r="AD205" s="231">
        <f>(INDEX(Models!$BJ205:$BT205,,AH205)*(1-AF205)+INDEX(Models!$BJ205:$BT205,,AH205+1)*AF205-ERP_i)*AE205*Ramure*Pc/MaxiM</f>
        <v>2.0499897632476075E-2</v>
      </c>
      <c r="AE205" s="305">
        <f t="shared" si="65"/>
        <v>0.8</v>
      </c>
      <c r="AF205" s="177">
        <f t="shared" si="66"/>
        <v>0.46462411128911674</v>
      </c>
      <c r="AG205" s="809">
        <f t="shared" si="74"/>
        <v>3</v>
      </c>
      <c r="AH205" s="176">
        <f t="shared" si="67"/>
        <v>9</v>
      </c>
      <c r="AI205" s="225">
        <f t="shared" si="68"/>
        <v>3.4646241112891167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IF(t&gt;Tmaj,'2024'!Wh/'2024'!Env_an*'2025'!Env_an,0.001*[9]mois!$B$150)</f>
        <v>49.964367790014585</v>
      </c>
      <c r="C206" s="839"/>
      <c r="D206" s="393">
        <f t="shared" si="50"/>
        <v>54.216013188803657</v>
      </c>
      <c r="E206" s="385">
        <f t="shared" si="75"/>
        <v>56.188478084575806</v>
      </c>
      <c r="F206" s="385">
        <f t="shared" si="51"/>
        <v>56.824051526003586</v>
      </c>
      <c r="G206" s="110">
        <f t="shared" si="76"/>
        <v>0.94891352650254801</v>
      </c>
      <c r="H206" s="414" t="b">
        <f>Wh_hp&gt;='2024'!Maxi_hp</f>
        <v>0</v>
      </c>
      <c r="I206" s="390">
        <f>IF(H206,Wh_hp,'2024'!Maxi_hp)</f>
        <v>60.655127137032757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7.8420473006434538E-2</v>
      </c>
      <c r="M206" s="843"/>
      <c r="N206" s="843"/>
      <c r="O206" s="48">
        <f>IF(t&lt;Tnet,'2024'!Resal+('2024'!Salim-'2024'!Resal)*(1-EXP(('2024'!Tnet-t)/('2024'!Tau_j))),Resal+(Salim-Resal)*(1-EXP((Tnet-t)/(Tau_j))))*Salcycl</f>
        <v>3.5104437119709161E-2</v>
      </c>
      <c r="P206" s="169">
        <f>(INDEX(Models!$BJ206:$BT206,,T206)*(1-R206)+INDEX(Models!$BJ206:$BT206,,T206+1)*R206-ERP_i)*Q206*Ramure*Pc/MaxiM</f>
        <v>1.2050054192620521E-2</v>
      </c>
      <c r="Q206" s="305">
        <f t="shared" si="53"/>
        <v>0.8</v>
      </c>
      <c r="R206" s="177">
        <f t="shared" si="54"/>
        <v>0.26817492539425025</v>
      </c>
      <c r="S206" s="809">
        <f t="shared" si="55"/>
        <v>2</v>
      </c>
      <c r="T206" s="176">
        <f t="shared" si="56"/>
        <v>8</v>
      </c>
      <c r="U206" s="251">
        <f t="shared" si="57"/>
        <v>2.2681749253942503</v>
      </c>
      <c r="V206" s="383">
        <f t="shared" si="58"/>
        <v>52.608222381296891</v>
      </c>
      <c r="W206" s="402">
        <f t="shared" si="59"/>
        <v>49.964367790014585</v>
      </c>
      <c r="X206" s="157">
        <f t="shared" si="60"/>
        <v>45849</v>
      </c>
      <c r="Y206" s="385">
        <f t="shared" si="61"/>
        <v>44.521878733361284</v>
      </c>
      <c r="Z206" s="385">
        <f t="shared" si="62"/>
        <v>48.310403420748017</v>
      </c>
      <c r="AA206" s="386">
        <f t="shared" si="63"/>
        <v>55.7415126692675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0.1333137350005312</v>
      </c>
      <c r="AD206" s="231">
        <f>(INDEX(Models!$BJ206:$BT206,,AH206)*(1-AF206)+INDEX(Models!$BJ206:$BT206,,AH206+1)*AF206-ERP_i)*AE206*Ramure*Pc/MaxiM</f>
        <v>2.0524224328793899E-2</v>
      </c>
      <c r="AE206" s="305">
        <f t="shared" si="65"/>
        <v>0.8</v>
      </c>
      <c r="AF206" s="177">
        <f t="shared" si="66"/>
        <v>0.46889167255915387</v>
      </c>
      <c r="AG206" s="809">
        <f t="shared" si="74"/>
        <v>3</v>
      </c>
      <c r="AH206" s="176">
        <f t="shared" si="67"/>
        <v>9</v>
      </c>
      <c r="AI206" s="225">
        <f t="shared" si="68"/>
        <v>3.4688916725591539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IF(t&gt;Tmaj,'2024'!Wh/'2024'!Env_an*'2025'!Env_an,0.001*[9]mois!$B$151)</f>
        <v>49.633449097643968</v>
      </c>
      <c r="C207" s="839"/>
      <c r="D207" s="393">
        <f t="shared" ref="D207:D270" si="77">Wh/(1-Ppv)</f>
        <v>53.858217521108607</v>
      </c>
      <c r="E207" s="385">
        <f t="shared" si="75"/>
        <v>55.830275767820801</v>
      </c>
      <c r="F207" s="385">
        <f t="shared" ref="F207:F270" si="78">Wh_sa/(1-Pvg*MEDIAN((-Sdif+Wh/Env_an)/Csdif,0,1))</f>
        <v>56.45605737435001</v>
      </c>
      <c r="G207" s="110">
        <f t="shared" si="76"/>
        <v>0.94496024493696529</v>
      </c>
      <c r="H207" s="414" t="b">
        <f>Wh_hp&gt;='2024'!Maxi_hp</f>
        <v>0</v>
      </c>
      <c r="I207" s="390">
        <f>IF(H207,Wh_hp,'2024'!Maxi_hp)</f>
        <v>61.032000698200029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7.8442410794765577E-2</v>
      </c>
      <c r="M207" s="843"/>
      <c r="N207" s="843"/>
      <c r="O207" s="48">
        <f>IF(t&lt;Tnet,'2024'!Resal+('2024'!Salim-'2024'!Resal)*(1-EXP(('2024'!Tnet-t)/('2024'!Tau_j))),Resal+(Salim-Resal)*(1-EXP((Tnet-t)/(Tau_j))))*Salcycl</f>
        <v>3.5322380546951082E-2</v>
      </c>
      <c r="P207" s="169">
        <f>(INDEX(Models!$BJ207:$BT207,,T207)*(1-R207)+INDEX(Models!$BJ207:$BT207,,T207+1)*R207-ERP_i)*Q207*Ramure*Pc/MaxiM</f>
        <v>1.2013766985443135E-2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0.2723449176503121</v>
      </c>
      <c r="S207" s="809">
        <f t="shared" ref="S207:S270" si="82">INDEX(Echel_vg,T207)</f>
        <v>2</v>
      </c>
      <c r="T207" s="176">
        <f t="shared" ref="T207:T270" si="83">MIN(MATCH(Hp_vg,Echel_vg),10)</f>
        <v>8</v>
      </c>
      <c r="U207" s="251">
        <f t="shared" ref="U207:U270" si="84">IF(OR(t&lt;Ttai,Notai),Hdd+PousH*Croivg,Hdtf+PousH*(Croivg-Croi_tai))</f>
        <v>2.2723449176503121</v>
      </c>
      <c r="V207" s="383">
        <f t="shared" ref="V207:V270" si="85">MaxiM*(1-Ppv)*(1-Pvg)*(1-Psa)</f>
        <v>52.475016510387171</v>
      </c>
      <c r="W207" s="402">
        <f t="shared" ref="W207:W270" si="86">Wh*(A207&gt;Tmaj)</f>
        <v>49.633449097643968</v>
      </c>
      <c r="X207" s="157">
        <f t="shared" ref="X207:X270" si="87">t</f>
        <v>45850</v>
      </c>
      <c r="Y207" s="385">
        <f t="shared" ref="Y207:Y270" si="88">Wh_pvt_s*(1-Ppv)</f>
        <v>44.231784393696962</v>
      </c>
      <c r="Z207" s="385">
        <f t="shared" ref="Z207:Z270" si="89">Wh_sa_s*(1-Psa_s)</f>
        <v>47.996766465613007</v>
      </c>
      <c r="AA207" s="386">
        <f t="shared" ref="AA207:AA270" si="90">Wh_hp*(1-Pvg_s*MEDIAN((-Sdif+Wh/Env_an)/Csdif,0,1))</f>
        <v>55.385518734541179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0.13340585116376591</v>
      </c>
      <c r="AD207" s="231">
        <f>(INDEX(Models!$BJ207:$BT207,,AH207)*(1-AF207)+INDEX(Models!$BJ207:$BT207,,AH207+1)*AF207-ERP_i)*AE207*Ramure*Pc/MaxiM</f>
        <v>2.0552220828140014E-2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0.47306166481521572</v>
      </c>
      <c r="AG207" s="809">
        <f t="shared" si="74"/>
        <v>3</v>
      </c>
      <c r="AH207" s="176">
        <f t="shared" ref="AH207:AH270" si="94">MIN(MATCH(Hp_vg_s,Echel_vg),10)</f>
        <v>9</v>
      </c>
      <c r="AI207" s="225">
        <f t="shared" ref="AI207:AI270" si="95">IF(OR(t&lt;Ttai,Notai),Hdd_s+PousH*Croivg,Hdtai_s+PousH*(Croivg-Croi_tai))</f>
        <v>3.4730616648152157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IF(t&gt;Tmaj,'2024'!Wh/'2024'!Env_an*'2025'!Env_an,0.001*[9]mois!$B$152)</f>
        <v>49.301566272189255</v>
      </c>
      <c r="C208" s="839"/>
      <c r="D208" s="393">
        <f t="shared" si="77"/>
        <v>53.499358564232551</v>
      </c>
      <c r="E208" s="385">
        <f t="shared" si="75"/>
        <v>55.470773613377958</v>
      </c>
      <c r="F208" s="385">
        <f t="shared" si="78"/>
        <v>56.086655193686269</v>
      </c>
      <c r="G208" s="110">
        <f t="shared" si="76"/>
        <v>0.94103097055460017</v>
      </c>
      <c r="H208" s="414" t="b">
        <f>Wh_hp&gt;='2024'!Maxi_hp</f>
        <v>0</v>
      </c>
      <c r="I208" s="390">
        <f>IF(H208,Wh_hp,'2024'!Maxi_hp)</f>
        <v>56.133262205738227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7.8464348072572326E-2</v>
      </c>
      <c r="M208" s="843"/>
      <c r="N208" s="843"/>
      <c r="O208" s="48">
        <f>IF(t&lt;Tnet,'2024'!Resal+('2024'!Salim-'2024'!Resal)*(1-EXP(('2024'!Tnet-t)/('2024'!Tau_j))),Resal+(Salim-Resal)*(1-EXP((Tnet-t)/(Tau_j))))*Salcycl</f>
        <v>3.5539707141743496E-2</v>
      </c>
      <c r="P208" s="169">
        <f>(INDEX(Models!$BJ208:$BT208,,T208)*(1-R208)+INDEX(Models!$BJ208:$BT208,,T208+1)*R208-ERP_i)*Q208*Ramure*Pc/MaxiM</f>
        <v>1.1973379657002617E-2</v>
      </c>
      <c r="Q208" s="305">
        <f t="shared" si="80"/>
        <v>0.8</v>
      </c>
      <c r="R208" s="177">
        <f t="shared" si="81"/>
        <v>0.27641724871112672</v>
      </c>
      <c r="S208" s="809">
        <f t="shared" si="82"/>
        <v>2</v>
      </c>
      <c r="T208" s="176">
        <f t="shared" si="83"/>
        <v>8</v>
      </c>
      <c r="U208" s="251">
        <f t="shared" si="84"/>
        <v>2.2764172487111267</v>
      </c>
      <c r="V208" s="383">
        <f t="shared" si="85"/>
        <v>52.33843881005447</v>
      </c>
      <c r="W208" s="402">
        <f t="shared" si="86"/>
        <v>49.301566272189255</v>
      </c>
      <c r="X208" s="157">
        <f t="shared" si="87"/>
        <v>45851</v>
      </c>
      <c r="Y208" s="385">
        <f t="shared" si="88"/>
        <v>43.940514358843053</v>
      </c>
      <c r="Z208" s="385">
        <f t="shared" si="89"/>
        <v>47.681838751370883</v>
      </c>
      <c r="AA208" s="386">
        <f t="shared" si="90"/>
        <v>55.027866351136694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0.13349650071638769</v>
      </c>
      <c r="AD208" s="231">
        <f>(INDEX(Models!$BJ208:$BT208,,AH208)*(1-AF208)+INDEX(Models!$BJ208:$BT208,,AH208+1)*AF208-ERP_i)*AE208*Ramure*Pc/MaxiM</f>
        <v>2.0583958335136581E-2</v>
      </c>
      <c r="AE208" s="305">
        <f t="shared" si="92"/>
        <v>0.8</v>
      </c>
      <c r="AF208" s="177">
        <f t="shared" si="93"/>
        <v>0.47713399587603034</v>
      </c>
      <c r="AG208" s="809">
        <f t="shared" ref="AG208:AG271" si="99">INDEX(Echel_vg,AH208)</f>
        <v>3</v>
      </c>
      <c r="AH208" s="176">
        <f t="shared" si="94"/>
        <v>9</v>
      </c>
      <c r="AI208" s="225">
        <f t="shared" si="95"/>
        <v>3.4771339958760303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IF(t&gt;Tmaj,'2024'!Wh/'2024'!Env_an*'2025'!Env_an,0.001*[9]mois!$B$153)</f>
        <v>48.590269707309879</v>
      </c>
      <c r="C209" s="839"/>
      <c r="D209" s="393">
        <f t="shared" si="77"/>
        <v>52.728753688561468</v>
      </c>
      <c r="E209" s="385">
        <f t="shared" si="75"/>
        <v>54.684060409639017</v>
      </c>
      <c r="F209" s="385">
        <f t="shared" si="78"/>
        <v>55.278350137719983</v>
      </c>
      <c r="G209" s="110">
        <f t="shared" si="76"/>
        <v>0.92976129401721774</v>
      </c>
      <c r="H209" s="414" t="b">
        <f>Wh_hp&gt;='2024'!Maxi_hp</f>
        <v>0</v>
      </c>
      <c r="I209" s="390">
        <f>IF(H209,Wh_hp,'2024'!Maxi_hp)</f>
        <v>60.641960912358456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7.8486284839866444E-2</v>
      </c>
      <c r="M209" s="843"/>
      <c r="N209" s="843"/>
      <c r="O209" s="48">
        <f>IF(t&lt;Tnet,'2024'!Resal+('2024'!Salim-'2024'!Resal)*(1-EXP(('2024'!Tnet-t)/('2024'!Tau_j))),Resal+(Salim-Resal)*(1-EXP((Tnet-t)/(Tau_j))))*Salcycl</f>
        <v>3.5756428956268418E-2</v>
      </c>
      <c r="P209" s="169">
        <f>(INDEX(Models!$BJ209:$BT209,,T209)*(1-R209)+INDEX(Models!$BJ209:$BT209,,T209+1)*R209-ERP_i)*Q209*Ramure*Pc/MaxiM</f>
        <v>1.1928928210208013E-2</v>
      </c>
      <c r="Q209" s="305">
        <f t="shared" si="80"/>
        <v>0.8</v>
      </c>
      <c r="R209" s="177">
        <f t="shared" si="81"/>
        <v>0.2803919916688864</v>
      </c>
      <c r="S209" s="809">
        <f t="shared" si="82"/>
        <v>2</v>
      </c>
      <c r="T209" s="176">
        <f t="shared" si="83"/>
        <v>8</v>
      </c>
      <c r="U209" s="251">
        <f t="shared" si="84"/>
        <v>2.2803919916688864</v>
      </c>
      <c r="V209" s="383">
        <f t="shared" si="85"/>
        <v>52.198779627546251</v>
      </c>
      <c r="W209" s="402">
        <f t="shared" si="86"/>
        <v>48.590269707309879</v>
      </c>
      <c r="X209" s="157">
        <f t="shared" si="87"/>
        <v>45852</v>
      </c>
      <c r="Y209" s="385">
        <f t="shared" si="88"/>
        <v>43.314764807159214</v>
      </c>
      <c r="Z209" s="385">
        <f t="shared" si="89"/>
        <v>47.003928530387967</v>
      </c>
      <c r="AA209" s="386">
        <f t="shared" si="90"/>
        <v>54.251102777828358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0.13358574989930352</v>
      </c>
      <c r="AD209" s="231">
        <f>(INDEX(Models!$BJ209:$BT209,,AH209)*(1-AF209)+INDEX(Models!$BJ209:$BT209,,AH209+1)*AF209-ERP_i)*AE209*Ramure*Pc/MaxiM</f>
        <v>2.0619504984281729E-2</v>
      </c>
      <c r="AE209" s="305">
        <f t="shared" si="92"/>
        <v>0.8</v>
      </c>
      <c r="AF209" s="177">
        <f t="shared" si="93"/>
        <v>0.48110873883379002</v>
      </c>
      <c r="AG209" s="809">
        <f t="shared" si="99"/>
        <v>3</v>
      </c>
      <c r="AH209" s="176">
        <f t="shared" si="94"/>
        <v>9</v>
      </c>
      <c r="AI209" s="225">
        <f t="shared" si="95"/>
        <v>3.48110873883379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IF(t&gt;Tmaj,'2024'!Wh/'2024'!Env_an*'2025'!Env_an,0.001*[9]mois!$B$154)</f>
        <v>46.969946736936478</v>
      </c>
      <c r="C210" s="839"/>
      <c r="D210" s="393">
        <f t="shared" si="77"/>
        <v>50.97163947879713</v>
      </c>
      <c r="E210" s="385">
        <f t="shared" si="75"/>
        <v>52.873639566442868</v>
      </c>
      <c r="F210" s="385">
        <f t="shared" si="78"/>
        <v>53.419702138843931</v>
      </c>
      <c r="G210" s="110">
        <f t="shared" si="76"/>
        <v>0.90077905172003292</v>
      </c>
      <c r="H210" s="414" t="b">
        <f>Wh_hp&gt;='2024'!Maxi_hp</f>
        <v>0</v>
      </c>
      <c r="I210" s="390">
        <f>IF(H210,Wh_hp,'2024'!Maxi_hp)</f>
        <v>61.822480130513313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7.850822109666003E-2</v>
      </c>
      <c r="M210" s="843"/>
      <c r="N210" s="843"/>
      <c r="O210" s="48">
        <f>IF(t&lt;Tnet,'2024'!Resal+('2024'!Salim-'2024'!Resal)*(1-EXP(('2024'!Tnet-t)/('2024'!Tau_j))),Resal+(Salim-Resal)*(1-EXP((Tnet-t)/(Tau_j))))*Salcycl</f>
        <v>3.5972558409859801E-2</v>
      </c>
      <c r="P210" s="169">
        <f>(INDEX(Models!$BJ210:$BT210,,T210)*(1-R210)+INDEX(Models!$BJ210:$BT210,,T210+1)*R210-ERP_i)*Q210*Ramure*Pc/MaxiM</f>
        <v>1.1880446431893978E-2</v>
      </c>
      <c r="Q210" s="305">
        <f t="shared" si="80"/>
        <v>0.8</v>
      </c>
      <c r="R210" s="177">
        <f t="shared" si="81"/>
        <v>0.28426937695506904</v>
      </c>
      <c r="S210" s="809">
        <f t="shared" si="82"/>
        <v>2</v>
      </c>
      <c r="T210" s="176">
        <f t="shared" si="83"/>
        <v>8</v>
      </c>
      <c r="U210" s="251">
        <f t="shared" si="84"/>
        <v>2.284269376955069</v>
      </c>
      <c r="V210" s="383">
        <f t="shared" si="85"/>
        <v>52.056329101319307</v>
      </c>
      <c r="W210" s="402">
        <f t="shared" si="86"/>
        <v>46.969946736936478</v>
      </c>
      <c r="X210" s="157">
        <f t="shared" si="87"/>
        <v>45853</v>
      </c>
      <c r="Y210" s="385">
        <f t="shared" si="88"/>
        <v>41.887584158266144</v>
      </c>
      <c r="Z210" s="385">
        <f t="shared" si="89"/>
        <v>45.456275484211289</v>
      </c>
      <c r="AA210" s="386">
        <f t="shared" si="90"/>
        <v>52.470153147544934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0.13367366479016698</v>
      </c>
      <c r="AD210" s="231">
        <f>(INDEX(Models!$BJ210:$BT210,,AH210)*(1-AF210)+INDEX(Models!$BJ210:$BT210,,AH210+1)*AF210-ERP_i)*AE210*Ramure*Pc/MaxiM</f>
        <v>2.0658925360848908E-2</v>
      </c>
      <c r="AE210" s="305">
        <f t="shared" si="92"/>
        <v>0.8</v>
      </c>
      <c r="AF210" s="177">
        <f t="shared" si="93"/>
        <v>0.48498612411997266</v>
      </c>
      <c r="AG210" s="809">
        <f t="shared" si="99"/>
        <v>3</v>
      </c>
      <c r="AH210" s="176">
        <f t="shared" si="94"/>
        <v>9</v>
      </c>
      <c r="AI210" s="225">
        <f t="shared" si="95"/>
        <v>3.4849861241199727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IF(t&gt;Tmaj,'2024'!Wh/'2024'!Env_an*'2025'!Env_an,0.001*[9]mois!$B$155)</f>
        <v>48.686889980241006</v>
      </c>
      <c r="C211" s="839"/>
      <c r="D211" s="393">
        <f t="shared" si="77"/>
        <v>52.836118666060216</v>
      </c>
      <c r="E211" s="385">
        <f t="shared" si="75"/>
        <v>54.819948907936507</v>
      </c>
      <c r="F211" s="385">
        <f t="shared" si="78"/>
        <v>55.417258210131102</v>
      </c>
      <c r="G211" s="110">
        <f t="shared" si="76"/>
        <v>0.93688967011982971</v>
      </c>
      <c r="H211" s="414" t="b">
        <f>Wh_hp&gt;='2024'!Maxi_hp</f>
        <v>0</v>
      </c>
      <c r="I211" s="390">
        <f>IF(H211,Wh_hp,'2024'!Maxi_hp)</f>
        <v>59.884372222442117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7.8530156842964854E-2</v>
      </c>
      <c r="M211" s="843"/>
      <c r="N211" s="843"/>
      <c r="O211" s="48">
        <f>IF(t&lt;Tnet,'2024'!Resal+('2024'!Salim-'2024'!Resal)*(1-EXP(('2024'!Tnet-t)/('2024'!Tau_j))),Resal+(Salim-Resal)*(1-EXP((Tnet-t)/(Tau_j))))*Salcycl</f>
        <v>3.618810818681889E-2</v>
      </c>
      <c r="P211" s="169">
        <f>(INDEX(Models!$BJ211:$BT211,,T211)*(1-R211)+INDEX(Models!$BJ211:$BT211,,T211+1)*R211-ERP_i)*Q211*Ramure*Pc/MaxiM</f>
        <v>1.1827965554131112E-2</v>
      </c>
      <c r="Q211" s="305">
        <f t="shared" si="80"/>
        <v>0.8</v>
      </c>
      <c r="R211" s="177">
        <f t="shared" si="81"/>
        <v>0.28804978418867888</v>
      </c>
      <c r="S211" s="809">
        <f t="shared" si="82"/>
        <v>2</v>
      </c>
      <c r="T211" s="176">
        <f t="shared" si="83"/>
        <v>8</v>
      </c>
      <c r="U211" s="251">
        <f t="shared" si="84"/>
        <v>2.2880497841886789</v>
      </c>
      <c r="V211" s="383">
        <f t="shared" si="85"/>
        <v>51.911377193075595</v>
      </c>
      <c r="W211" s="402">
        <f t="shared" si="86"/>
        <v>48.686889980241006</v>
      </c>
      <c r="X211" s="157">
        <f t="shared" si="87"/>
        <v>45854</v>
      </c>
      <c r="Y211" s="385">
        <f t="shared" si="88"/>
        <v>43.400316994681525</v>
      </c>
      <c r="Z211" s="385">
        <f t="shared" si="89"/>
        <v>47.099009606205122</v>
      </c>
      <c r="AA211" s="386">
        <f t="shared" si="90"/>
        <v>54.371798245925234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0.13376031093959917</v>
      </c>
      <c r="AD211" s="231">
        <f>(INDEX(Models!$BJ211:$BT211,,AH211)*(1-AF211)+INDEX(Models!$BJ211:$BT211,,AH211+1)*AF211-ERP_i)*AE211*Ramure*Pc/MaxiM</f>
        <v>2.0702280040536855E-2</v>
      </c>
      <c r="AE211" s="305">
        <f t="shared" si="92"/>
        <v>0.8</v>
      </c>
      <c r="AF211" s="177">
        <f t="shared" si="93"/>
        <v>0.4887665313535825</v>
      </c>
      <c r="AG211" s="809">
        <f t="shared" si="99"/>
        <v>3</v>
      </c>
      <c r="AH211" s="176">
        <f t="shared" si="94"/>
        <v>9</v>
      </c>
      <c r="AI211" s="225">
        <f t="shared" si="95"/>
        <v>3.4887665313535825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IF(t&gt;Tmaj,'2024'!Wh/'2024'!Env_an*'2025'!Env_an,0.001*[9]mois!$B$156)</f>
        <v>48.083046991283837</v>
      </c>
      <c r="C212" s="839"/>
      <c r="D212" s="393">
        <f t="shared" si="77"/>
        <v>52.182056715240172</v>
      </c>
      <c r="E212" s="385">
        <f t="shared" si="75"/>
        <v>54.153408168075572</v>
      </c>
      <c r="F212" s="385">
        <f t="shared" si="78"/>
        <v>54.732363128327819</v>
      </c>
      <c r="G212" s="110">
        <f t="shared" si="76"/>
        <v>0.92776531664226281</v>
      </c>
      <c r="H212" s="414" t="b">
        <f>Wh_hp&gt;='2024'!Maxi_hp</f>
        <v>0</v>
      </c>
      <c r="I212" s="390">
        <f>IF(H212,Wh_hp,'2024'!Maxi_hp)</f>
        <v>59.284108427339568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7.8552092078792796E-2</v>
      </c>
      <c r="M212" s="843"/>
      <c r="N212" s="843"/>
      <c r="O212" s="48">
        <f>IF(t&lt;Tnet,'2024'!Resal+('2024'!Salim-'2024'!Resal)*(1-EXP(('2024'!Tnet-t)/('2024'!Tau_j))),Resal+(Salim-Resal)*(1-EXP((Tnet-t)/(Tau_j))))*Salcycl</f>
        <v>3.640309113540794E-2</v>
      </c>
      <c r="P212" s="169">
        <f>(INDEX(Models!$BJ212:$BT212,,T212)*(1-R212)+INDEX(Models!$BJ212:$BT212,,T212+1)*R212-ERP_i)*Q212*Ramure*Pc/MaxiM</f>
        <v>1.1774030197391122E-2</v>
      </c>
      <c r="Q212" s="305">
        <f t="shared" si="80"/>
        <v>0.8</v>
      </c>
      <c r="R212" s="177">
        <f t="shared" si="81"/>
        <v>0.2917337338685706</v>
      </c>
      <c r="S212" s="809">
        <f t="shared" si="82"/>
        <v>2</v>
      </c>
      <c r="T212" s="176">
        <f t="shared" si="83"/>
        <v>8</v>
      </c>
      <c r="U212" s="251">
        <f t="shared" si="84"/>
        <v>2.2917337338685706</v>
      </c>
      <c r="V212" s="383">
        <f t="shared" si="85"/>
        <v>51.764081923790975</v>
      </c>
      <c r="W212" s="402">
        <f t="shared" si="86"/>
        <v>48.083046991283837</v>
      </c>
      <c r="X212" s="157">
        <f t="shared" si="87"/>
        <v>45855</v>
      </c>
      <c r="Y212" s="385">
        <f t="shared" si="88"/>
        <v>42.86776992561704</v>
      </c>
      <c r="Z212" s="385">
        <f t="shared" si="89"/>
        <v>46.522184875677908</v>
      </c>
      <c r="AA212" s="386">
        <f t="shared" si="90"/>
        <v>53.711201022283106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0.13384575302314877</v>
      </c>
      <c r="AD212" s="231">
        <f>(INDEX(Models!$BJ212:$BT212,,AH212)*(1-AF212)+INDEX(Models!$BJ212:$BT212,,AH212+1)*AF212-ERP_i)*AE212*Ramure*Pc/MaxiM</f>
        <v>2.0767061858773334E-2</v>
      </c>
      <c r="AE212" s="305">
        <f t="shared" si="92"/>
        <v>0.8</v>
      </c>
      <c r="AF212" s="177">
        <f t="shared" si="93"/>
        <v>0.49245048103347422</v>
      </c>
      <c r="AG212" s="809">
        <f t="shared" si="99"/>
        <v>3</v>
      </c>
      <c r="AH212" s="176">
        <f t="shared" si="94"/>
        <v>9</v>
      </c>
      <c r="AI212" s="225">
        <f t="shared" si="95"/>
        <v>3.4924504810334742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IF(t&gt;Tmaj,'2024'!Wh/'2024'!Env_an*'2025'!Env_an,0.001*[9]mois!$B$157)</f>
        <v>48.171283481732083</v>
      </c>
      <c r="C213" s="839"/>
      <c r="D213" s="393">
        <f t="shared" si="77"/>
        <v>52.27905972159256</v>
      </c>
      <c r="E213" s="385">
        <f t="shared" si="75"/>
        <v>54.266151623136444</v>
      </c>
      <c r="F213" s="385">
        <f t="shared" si="78"/>
        <v>54.847757163331934</v>
      </c>
      <c r="G213" s="110">
        <f t="shared" si="76"/>
        <v>0.93223405736988252</v>
      </c>
      <c r="H213" s="414" t="b">
        <f>Wh_hp&gt;='2024'!Maxi_hp</f>
        <v>0</v>
      </c>
      <c r="I213" s="390">
        <f>IF(H213,Wh_hp,'2024'!Maxi_hp)</f>
        <v>54.898695193030804</v>
      </c>
      <c r="J213" s="85">
        <f>IF(H213,An,'2024'!An_max)</f>
        <v>2022</v>
      </c>
      <c r="K213" s="197">
        <f t="shared" si="79"/>
        <v>45856</v>
      </c>
      <c r="L213" s="147">
        <f>IF(t&lt;Tvie,1-EXP((T0-t)*PertePVj)+'2024'!Pspv,1-EXP((T0-t)*PertePVj)+Pspv)</f>
        <v>7.8574026804155844E-2</v>
      </c>
      <c r="M213" s="843"/>
      <c r="N213" s="843"/>
      <c r="O213" s="48">
        <f>IF(t&lt;Tnet,'2024'!Resal+('2024'!Salim-'2024'!Resal)*(1-EXP(('2024'!Tnet-t)/('2024'!Tau_j))),Resal+(Salim-Resal)*(1-EXP((Tnet-t)/(Tau_j))))*Salcycl</f>
        <v>3.6617520168809682E-2</v>
      </c>
      <c r="P213" s="169">
        <f>(INDEX(Models!$BJ213:$BT213,,T213)*(1-R213)+INDEX(Models!$BJ213:$BT213,,T213+1)*R213-ERP_i)*Q213*Ramure*Pc/MaxiM</f>
        <v>1.1721052337764642E-2</v>
      </c>
      <c r="Q213" s="305">
        <f t="shared" si="80"/>
        <v>0.8</v>
      </c>
      <c r="R213" s="177">
        <f t="shared" si="81"/>
        <v>0.29532187896811912</v>
      </c>
      <c r="S213" s="809">
        <f t="shared" si="82"/>
        <v>2</v>
      </c>
      <c r="T213" s="176">
        <f t="shared" si="83"/>
        <v>8</v>
      </c>
      <c r="U213" s="251">
        <f t="shared" si="84"/>
        <v>2.2953218789681191</v>
      </c>
      <c r="V213" s="383">
        <f t="shared" si="85"/>
        <v>51.614609521466235</v>
      </c>
      <c r="W213" s="402">
        <f t="shared" si="86"/>
        <v>48.171283481732083</v>
      </c>
      <c r="X213" s="157">
        <f t="shared" si="87"/>
        <v>45856</v>
      </c>
      <c r="Y213" s="385">
        <f t="shared" si="88"/>
        <v>42.943745645634898</v>
      </c>
      <c r="Z213" s="385">
        <f t="shared" si="89"/>
        <v>46.60574684767154</v>
      </c>
      <c r="AA213" s="386">
        <f t="shared" si="90"/>
        <v>53.812913253059968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0.13393005451119308</v>
      </c>
      <c r="AD213" s="231">
        <f>(INDEX(Models!$BJ213:$BT213,,AH213)*(1-AF213)+INDEX(Models!$BJ213:$BT213,,AH213+1)*AF213-ERP_i)*AE213*Ramure*Pc/MaxiM</f>
        <v>2.0855130832553304E-2</v>
      </c>
      <c r="AE213" s="305">
        <f t="shared" si="92"/>
        <v>0.8</v>
      </c>
      <c r="AF213" s="177">
        <f t="shared" si="93"/>
        <v>0.4960386261330223</v>
      </c>
      <c r="AG213" s="809">
        <f t="shared" si="99"/>
        <v>3</v>
      </c>
      <c r="AH213" s="176">
        <f t="shared" si="94"/>
        <v>9</v>
      </c>
      <c r="AI213" s="225">
        <f t="shared" si="95"/>
        <v>3.4960386261330223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IF(t&gt;Tmaj,'2024'!Wh/'2024'!Env_an*'2025'!Env_an,0.001*[9]mois!$B$158)</f>
        <v>40.959606229464903</v>
      </c>
      <c r="C214" s="839"/>
      <c r="D214" s="393">
        <f t="shared" si="77"/>
        <v>44.453469375677912</v>
      </c>
      <c r="E214" s="385">
        <f t="shared" si="75"/>
        <v>46.153362716242903</v>
      </c>
      <c r="F214" s="385">
        <f t="shared" si="78"/>
        <v>46.538085410797763</v>
      </c>
      <c r="G214" s="110">
        <f t="shared" si="76"/>
        <v>0.79316968039620028</v>
      </c>
      <c r="H214" s="414" t="b">
        <f>Wh_hp&gt;='2024'!Maxi_hp</f>
        <v>0</v>
      </c>
      <c r="I214" s="390">
        <f>IF(H214,Wh_hp,'2024'!Maxi_hp)</f>
        <v>58.756624023834831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7.8595961019065658E-2</v>
      </c>
      <c r="M214" s="843"/>
      <c r="N214" s="843"/>
      <c r="O214" s="48">
        <f>IF(t&lt;Tnet,'2024'!Resal+('2024'!Salim-'2024'!Resal)*(1-EXP(('2024'!Tnet-t)/('2024'!Tau_j))),Resal+(Salim-Resal)*(1-EXP((Tnet-t)/(Tau_j))))*Salcycl</f>
        <v>3.6831408168808089E-2</v>
      </c>
      <c r="P214" s="169">
        <f>(INDEX(Models!$BJ214:$BT214,,T214)*(1-R214)+INDEX(Models!$BJ214:$BT214,,T214+1)*R214-ERP_i)*Q214*Ramure*Pc/MaxiM</f>
        <v>1.166925196081663E-2</v>
      </c>
      <c r="Q214" s="305">
        <f t="shared" si="80"/>
        <v>0.8</v>
      </c>
      <c r="R214" s="177">
        <f t="shared" si="81"/>
        <v>0.29881499648679544</v>
      </c>
      <c r="S214" s="809">
        <f t="shared" si="82"/>
        <v>2</v>
      </c>
      <c r="T214" s="176">
        <f t="shared" si="83"/>
        <v>8</v>
      </c>
      <c r="U214" s="251">
        <f t="shared" si="84"/>
        <v>2.2988149964867954</v>
      </c>
      <c r="V214" s="383">
        <f t="shared" si="85"/>
        <v>51.463241617657296</v>
      </c>
      <c r="W214" s="402">
        <f t="shared" si="86"/>
        <v>40.959606229464903</v>
      </c>
      <c r="X214" s="157">
        <f t="shared" si="87"/>
        <v>45857</v>
      </c>
      <c r="Y214" s="385">
        <f t="shared" si="88"/>
        <v>36.582273450236777</v>
      </c>
      <c r="Z214" s="385">
        <f t="shared" si="89"/>
        <v>39.702749176893647</v>
      </c>
      <c r="AA214" s="386">
        <f t="shared" si="90"/>
        <v>45.846833604794995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0.13401327735878266</v>
      </c>
      <c r="AD214" s="231">
        <f>(INDEX(Models!$BJ214:$BT214,,AH214)*(1-AF214)+INDEX(Models!$BJ214:$BT214,,AH214+1)*AF214-ERP_i)*AE214*Ramure*Pc/MaxiM</f>
        <v>2.0966768030019445E-2</v>
      </c>
      <c r="AE214" s="305">
        <f t="shared" si="92"/>
        <v>0.8</v>
      </c>
      <c r="AF214" s="177">
        <f t="shared" si="93"/>
        <v>0.49953174365169906</v>
      </c>
      <c r="AG214" s="809">
        <f t="shared" si="99"/>
        <v>3</v>
      </c>
      <c r="AH214" s="176">
        <f t="shared" si="94"/>
        <v>9</v>
      </c>
      <c r="AI214" s="225">
        <f t="shared" si="95"/>
        <v>3.4995317436516991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IF(t&gt;Tmaj,'2024'!Wh/'2024'!Env_an*'2025'!Env_an,0.001*[9]mois!$B$159)</f>
        <v>39.509887348515186</v>
      </c>
      <c r="C215" s="839"/>
      <c r="D215" s="393">
        <f t="shared" si="77"/>
        <v>42.88110993501445</v>
      </c>
      <c r="E215" s="385">
        <f t="shared" si="75"/>
        <v>44.530740895590775</v>
      </c>
      <c r="F215" s="385">
        <f t="shared" si="78"/>
        <v>44.880880864565178</v>
      </c>
      <c r="G215" s="110">
        <f t="shared" si="76"/>
        <v>0.76705672831259353</v>
      </c>
      <c r="H215" s="414" t="b">
        <f>Wh_hp&gt;='2024'!Maxi_hp</f>
        <v>0</v>
      </c>
      <c r="I215" s="390">
        <f>IF(H215,Wh_hp,'2024'!Maxi_hp)</f>
        <v>56.850317250869089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7.8617894723534337E-2</v>
      </c>
      <c r="M215" s="843"/>
      <c r="N215" s="843"/>
      <c r="O215" s="48">
        <f>IF(t&lt;Tnet,'2024'!Resal+('2024'!Salim-'2024'!Resal)*(1-EXP(('2024'!Tnet-t)/('2024'!Tau_j))),Resal+(Salim-Resal)*(1-EXP((Tnet-t)/(Tau_j))))*Salcycl</f>
        <v>3.7044767892906699E-2</v>
      </c>
      <c r="P215" s="169">
        <f>(INDEX(Models!$BJ215:$BT215,,T215)*(1-R215)+INDEX(Models!$BJ215:$BT215,,T215+1)*R215-ERP_i)*Q215*Ramure*Pc/MaxiM</f>
        <v>1.161883879733479E-2</v>
      </c>
      <c r="Q215" s="305">
        <f t="shared" si="80"/>
        <v>0.8</v>
      </c>
      <c r="R215" s="177">
        <f t="shared" si="81"/>
        <v>0.30221397900931768</v>
      </c>
      <c r="S215" s="809">
        <f t="shared" si="82"/>
        <v>2</v>
      </c>
      <c r="T215" s="176">
        <f t="shared" si="83"/>
        <v>8</v>
      </c>
      <c r="U215" s="251">
        <f t="shared" si="84"/>
        <v>2.3022139790093177</v>
      </c>
      <c r="V215" s="383">
        <f t="shared" si="85"/>
        <v>51.310260305346873</v>
      </c>
      <c r="W215" s="402">
        <f t="shared" si="86"/>
        <v>39.509887348515186</v>
      </c>
      <c r="X215" s="157">
        <f t="shared" si="87"/>
        <v>45858</v>
      </c>
      <c r="Y215" s="385">
        <f t="shared" si="88"/>
        <v>35.299903666418849</v>
      </c>
      <c r="Z215" s="385">
        <f t="shared" si="89"/>
        <v>38.311904978691679</v>
      </c>
      <c r="AA215" s="386">
        <f t="shared" si="90"/>
        <v>44.244953305786844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0.13409548171721491</v>
      </c>
      <c r="AD215" s="231">
        <f>(INDEX(Models!$BJ215:$BT215,,AH215)*(1-AF215)+INDEX(Models!$BJ215:$BT215,,AH215+1)*AF215-ERP_i)*AE215*Ramure*Pc/MaxiM</f>
        <v>2.110224609281397E-2</v>
      </c>
      <c r="AE215" s="305">
        <f t="shared" si="92"/>
        <v>0.8</v>
      </c>
      <c r="AF215" s="177">
        <f t="shared" si="93"/>
        <v>0.5029307261742213</v>
      </c>
      <c r="AG215" s="809">
        <f t="shared" si="99"/>
        <v>3</v>
      </c>
      <c r="AH215" s="176">
        <f t="shared" si="94"/>
        <v>9</v>
      </c>
      <c r="AI215" s="225">
        <f t="shared" si="95"/>
        <v>3.5029307261742213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IF(t&gt;Tmaj,'2024'!Wh/'2024'!Env_an*'2025'!Env_an,0.001*[9]mois!$B$160)</f>
        <v>46.812754016064623</v>
      </c>
      <c r="C216" s="839"/>
      <c r="D216" s="393">
        <f t="shared" si="77"/>
        <v>50.808310837074778</v>
      </c>
      <c r="E216" s="385">
        <f t="shared" si="75"/>
        <v>52.774565101038199</v>
      </c>
      <c r="F216" s="385">
        <f t="shared" si="78"/>
        <v>53.316620115497429</v>
      </c>
      <c r="G216" s="110">
        <f t="shared" si="76"/>
        <v>0.91380159856962839</v>
      </c>
      <c r="H216" s="414" t="b">
        <f>Wh_hp&gt;='2024'!Maxi_hp</f>
        <v>0</v>
      </c>
      <c r="I216" s="390">
        <f>IF(H216,Wh_hp,'2024'!Maxi_hp)</f>
        <v>53.378703386572745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7.8639827917573651E-2</v>
      </c>
      <c r="M216" s="843"/>
      <c r="N216" s="843"/>
      <c r="O216" s="48">
        <f>IF(t&lt;Tnet,'2024'!Resal+('2024'!Salim-'2024'!Resal)*(1-EXP(('2024'!Tnet-t)/('2024'!Tau_j))),Resal+(Salim-Resal)*(1-EXP((Tnet-t)/(Tau_j))))*Salcycl</f>
        <v>3.7257611885554813E-2</v>
      </c>
      <c r="P216" s="169">
        <f>(INDEX(Models!$BJ216:$BT216,,T216)*(1-R216)+INDEX(Models!$BJ216:$BT216,,T216+1)*R216-ERP_i)*Q216*Ramure*Pc/MaxiM</f>
        <v>1.1570012176337465E-2</v>
      </c>
      <c r="Q216" s="305">
        <f t="shared" si="80"/>
        <v>0.8</v>
      </c>
      <c r="R216" s="177">
        <f t="shared" si="81"/>
        <v>0.30551982631898955</v>
      </c>
      <c r="S216" s="809">
        <f t="shared" si="82"/>
        <v>2</v>
      </c>
      <c r="T216" s="176">
        <f t="shared" si="83"/>
        <v>8</v>
      </c>
      <c r="U216" s="251">
        <f t="shared" si="84"/>
        <v>2.3055198263189896</v>
      </c>
      <c r="V216" s="383">
        <f t="shared" si="85"/>
        <v>51.155948148639752</v>
      </c>
      <c r="W216" s="402">
        <f t="shared" si="86"/>
        <v>46.812754016064623</v>
      </c>
      <c r="X216" s="157">
        <f t="shared" si="87"/>
        <v>45859</v>
      </c>
      <c r="Y216" s="385">
        <f t="shared" si="88"/>
        <v>41.73790113543037</v>
      </c>
      <c r="Z216" s="385">
        <f t="shared" si="89"/>
        <v>45.300309694411702</v>
      </c>
      <c r="AA216" s="386">
        <f t="shared" si="90"/>
        <v>52.320503545493651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0.13417672566889113</v>
      </c>
      <c r="AD216" s="231">
        <f>(INDEX(Models!$BJ216:$BT216,,AH216)*(1-AF216)+INDEX(Models!$BJ216:$BT216,,AH216+1)*AF216-ERP_i)*AE216*Ramure*Pc/MaxiM</f>
        <v>2.1261828664186255E-2</v>
      </c>
      <c r="AE216" s="305">
        <f t="shared" si="92"/>
        <v>0.8</v>
      </c>
      <c r="AF216" s="177">
        <f t="shared" si="93"/>
        <v>0.50623657348389317</v>
      </c>
      <c r="AG216" s="809">
        <f t="shared" si="99"/>
        <v>3</v>
      </c>
      <c r="AH216" s="176">
        <f t="shared" si="94"/>
        <v>9</v>
      </c>
      <c r="AI216" s="225">
        <f t="shared" si="95"/>
        <v>3.5062365734838932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IF(t&gt;Tmaj,'2024'!Wh/'2024'!Env_an*'2025'!Env_an,0.001*[9]mois!$B$161)</f>
        <v>35.49573616941268</v>
      </c>
      <c r="C217" s="839"/>
      <c r="D217" s="393">
        <f t="shared" si="77"/>
        <v>38.52628128468271</v>
      </c>
      <c r="E217" s="385">
        <f t="shared" si="75"/>
        <v>40.026055685751366</v>
      </c>
      <c r="F217" s="385">
        <f t="shared" si="78"/>
        <v>40.288676874856733</v>
      </c>
      <c r="G217" s="110">
        <f t="shared" si="76"/>
        <v>0.69248089861470119</v>
      </c>
      <c r="H217" s="414" t="b">
        <f>Wh_hp&gt;='2024'!Maxi_hp</f>
        <v>0</v>
      </c>
      <c r="I217" s="390">
        <f>IF(H217,Wh_hp,'2024'!Maxi_hp)</f>
        <v>52.403107161067176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7.866176060119548E-2</v>
      </c>
      <c r="M217" s="843"/>
      <c r="N217" s="843"/>
      <c r="O217" s="48">
        <f>IF(t&lt;Tnet,'2024'!Resal+('2024'!Salim-'2024'!Resal)*(1-EXP(('2024'!Tnet-t)/('2024'!Tau_j))),Resal+(Salim-Resal)*(1-EXP((Tnet-t)/(Tau_j))))*Salcycl</f>
        <v>3.7469952394098914E-2</v>
      </c>
      <c r="P217" s="169">
        <f>(INDEX(Models!$BJ217:$BT217,,T217)*(1-R217)+INDEX(Models!$BJ217:$BT217,,T217+1)*R217-ERP_i)*Q217*Ramure*Pc/MaxiM</f>
        <v>1.152296092745941E-2</v>
      </c>
      <c r="Q217" s="305">
        <f t="shared" si="80"/>
        <v>0.8</v>
      </c>
      <c r="R217" s="177">
        <f t="shared" si="81"/>
        <v>0.3087336371077245</v>
      </c>
      <c r="S217" s="809">
        <f t="shared" si="82"/>
        <v>2</v>
      </c>
      <c r="T217" s="176">
        <f t="shared" si="83"/>
        <v>8</v>
      </c>
      <c r="U217" s="251">
        <f t="shared" si="84"/>
        <v>2.3087336371077245</v>
      </c>
      <c r="V217" s="383">
        <f t="shared" si="85"/>
        <v>51.000588181754125</v>
      </c>
      <c r="W217" s="402">
        <f t="shared" si="86"/>
        <v>35.49573616941268</v>
      </c>
      <c r="X217" s="157">
        <f t="shared" si="87"/>
        <v>45860</v>
      </c>
      <c r="Y217" s="385">
        <f t="shared" si="88"/>
        <v>31.746077677510804</v>
      </c>
      <c r="Z217" s="385">
        <f t="shared" si="89"/>
        <v>34.456485490307976</v>
      </c>
      <c r="AA217" s="386">
        <f t="shared" si="90"/>
        <v>39.79990375524266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0.13425706498676696</v>
      </c>
      <c r="AD217" s="231">
        <f>(INDEX(Models!$BJ217:$BT217,,AH217)*(1-AF217)+INDEX(Models!$BJ217:$BT217,,AH217+1)*AF217-ERP_i)*AE217*Ramure*Pc/MaxiM</f>
        <v>2.1445769775437939E-2</v>
      </c>
      <c r="AE217" s="305">
        <f t="shared" si="92"/>
        <v>0.8</v>
      </c>
      <c r="AF217" s="177">
        <f t="shared" si="93"/>
        <v>0.50945038427262812</v>
      </c>
      <c r="AG217" s="809">
        <f t="shared" si="99"/>
        <v>3</v>
      </c>
      <c r="AH217" s="176">
        <f t="shared" si="94"/>
        <v>9</v>
      </c>
      <c r="AI217" s="225">
        <f t="shared" si="95"/>
        <v>3.5094503842726281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IF(t&gt;Tmaj,'2024'!Wh/'2024'!Env_an*'2025'!Env_an,0.001*[9]mois!$B$162)</f>
        <v>44.842191471485492</v>
      </c>
      <c r="C218" s="839"/>
      <c r="D218" s="393">
        <f t="shared" si="77"/>
        <v>48.671874273582887</v>
      </c>
      <c r="E218" s="385">
        <f t="shared" si="75"/>
        <v>50.577734411371459</v>
      </c>
      <c r="F218" s="385">
        <f t="shared" si="78"/>
        <v>51.065005721344143</v>
      </c>
      <c r="G218" s="110">
        <f t="shared" si="76"/>
        <v>0.8802247355968511</v>
      </c>
      <c r="H218" s="414" t="b">
        <f>Wh_hp&gt;='2024'!Maxi_hp</f>
        <v>0</v>
      </c>
      <c r="I218" s="390">
        <f>IF(H218,Wh_hp,'2024'!Maxi_hp)</f>
        <v>54.77401411835254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7.8683692774411812E-2</v>
      </c>
      <c r="M218" s="843"/>
      <c r="N218" s="843"/>
      <c r="O218" s="48">
        <f>IF(t&lt;Tnet,'2024'!Resal+('2024'!Salim-'2024'!Resal)*(1-EXP(('2024'!Tnet-t)/('2024'!Tau_j))),Resal+(Salim-Resal)*(1-EXP((Tnet-t)/(Tau_j))))*Salcycl</f>
        <v>3.7681801290017435E-2</v>
      </c>
      <c r="P218" s="169">
        <f>(INDEX(Models!$BJ218:$BT218,,T218)*(1-R218)+INDEX(Models!$BJ218:$BT218,,T218+1)*R218-ERP_i)*Q218*Ramure*Pc/MaxiM</f>
        <v>1.1477863326928257E-2</v>
      </c>
      <c r="Q218" s="305">
        <f t="shared" si="80"/>
        <v>0.8</v>
      </c>
      <c r="R218" s="177">
        <f t="shared" si="81"/>
        <v>0.31185660082108324</v>
      </c>
      <c r="S218" s="809">
        <f t="shared" si="82"/>
        <v>2</v>
      </c>
      <c r="T218" s="176">
        <f t="shared" si="83"/>
        <v>8</v>
      </c>
      <c r="U218" s="251">
        <f t="shared" si="84"/>
        <v>2.3118566008210832</v>
      </c>
      <c r="V218" s="383">
        <f t="shared" si="85"/>
        <v>50.844463906240769</v>
      </c>
      <c r="W218" s="402">
        <f t="shared" si="86"/>
        <v>44.842191471485492</v>
      </c>
      <c r="X218" s="157">
        <f t="shared" si="87"/>
        <v>45861</v>
      </c>
      <c r="Y218" s="385">
        <f t="shared" si="88"/>
        <v>39.993705250799323</v>
      </c>
      <c r="Z218" s="385">
        <f t="shared" si="89"/>
        <v>43.409310067716724</v>
      </c>
      <c r="AA218" s="386">
        <f t="shared" si="90"/>
        <v>50.145712186548664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0.13433655291945268</v>
      </c>
      <c r="AD218" s="231">
        <f>(INDEX(Models!$BJ218:$BT218,,AH218)*(1-AF218)+INDEX(Models!$BJ218:$BT218,,AH218+1)*AF218-ERP_i)*AE218*Ramure*Pc/MaxiM</f>
        <v>2.1654313179864496E-2</v>
      </c>
      <c r="AE218" s="305">
        <f t="shared" si="92"/>
        <v>0.8</v>
      </c>
      <c r="AF218" s="177">
        <f t="shared" si="93"/>
        <v>0.51257334798598642</v>
      </c>
      <c r="AG218" s="809">
        <f t="shared" si="99"/>
        <v>3</v>
      </c>
      <c r="AH218" s="176">
        <f t="shared" si="94"/>
        <v>9</v>
      </c>
      <c r="AI218" s="225">
        <f t="shared" si="95"/>
        <v>3.5125733479859864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IF(t&gt;Tmaj,'2024'!Wh/'2024'!Env_an*'2025'!Env_an,0.001*[9]mois!$B$163)</f>
        <v>46.523134658484359</v>
      </c>
      <c r="C219" s="839"/>
      <c r="D219" s="393">
        <f t="shared" si="77"/>
        <v>50.497578073312404</v>
      </c>
      <c r="E219" s="385">
        <f t="shared" si="75"/>
        <v>52.486456283756922</v>
      </c>
      <c r="F219" s="385">
        <f t="shared" si="78"/>
        <v>53.021582820991071</v>
      </c>
      <c r="G219" s="110">
        <f t="shared" si="76"/>
        <v>0.91658925730102048</v>
      </c>
      <c r="H219" s="414" t="b">
        <f>Wh_hp&gt;='2024'!Maxi_hp</f>
        <v>0</v>
      </c>
      <c r="I219" s="390">
        <f>IF(H219,Wh_hp,'2024'!Maxi_hp)</f>
        <v>54.951989772892752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7.8705624437234306E-2</v>
      </c>
      <c r="M219" s="843"/>
      <c r="N219" s="843"/>
      <c r="O219" s="48">
        <f>IF(t&lt;Tnet,'2024'!Resal+('2024'!Salim-'2024'!Resal)*(1-EXP(('2024'!Tnet-t)/('2024'!Tau_j))),Resal+(Salim-Resal)*(1-EXP((Tnet-t)/(Tau_j))))*Salcycl</f>
        <v>3.7893169995933229E-2</v>
      </c>
      <c r="P219" s="169">
        <f>(INDEX(Models!$BJ219:$BT219,,T219)*(1-R219)+INDEX(Models!$BJ219:$BT219,,T219+1)*R219-ERP_i)*Q219*Ramure*Pc/MaxiM</f>
        <v>1.143484300013534E-2</v>
      </c>
      <c r="Q219" s="305">
        <f t="shared" si="80"/>
        <v>0.8</v>
      </c>
      <c r="R219" s="177">
        <f t="shared" si="81"/>
        <v>0.3148899896725359</v>
      </c>
      <c r="S219" s="809">
        <f t="shared" si="82"/>
        <v>2</v>
      </c>
      <c r="T219" s="176">
        <f t="shared" si="83"/>
        <v>8</v>
      </c>
      <c r="U219" s="251">
        <f t="shared" si="84"/>
        <v>2.3148899896725359</v>
      </c>
      <c r="V219" s="383">
        <f t="shared" si="85"/>
        <v>50.687975100036084</v>
      </c>
      <c r="W219" s="402">
        <f t="shared" si="86"/>
        <v>46.523134658484359</v>
      </c>
      <c r="X219" s="157">
        <f t="shared" si="87"/>
        <v>45862</v>
      </c>
      <c r="Y219" s="385">
        <f t="shared" si="88"/>
        <v>41.465673349103554</v>
      </c>
      <c r="Z219" s="385">
        <f t="shared" si="89"/>
        <v>45.008060885832023</v>
      </c>
      <c r="AA219" s="386">
        <f t="shared" si="90"/>
        <v>51.997288961020345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0.13441524000275831</v>
      </c>
      <c r="AD219" s="231">
        <f>(INDEX(Models!$BJ219:$BT219,,AH219)*(1-AF219)+INDEX(Models!$BJ219:$BT219,,AH219+1)*AF219-ERP_i)*AE219*Ramure*Pc/MaxiM</f>
        <v>2.1887607247635089E-2</v>
      </c>
      <c r="AE219" s="305">
        <f t="shared" si="92"/>
        <v>0.8</v>
      </c>
      <c r="AF219" s="177">
        <f t="shared" si="93"/>
        <v>0.51560673683743907</v>
      </c>
      <c r="AG219" s="809">
        <f t="shared" si="99"/>
        <v>3</v>
      </c>
      <c r="AH219" s="176">
        <f t="shared" si="94"/>
        <v>9</v>
      </c>
      <c r="AI219" s="225">
        <f t="shared" si="95"/>
        <v>3.5156067368374391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IF(t&gt;Tmaj,'2024'!Wh/'2024'!Env_an*'2025'!Env_an,0.001*[9]mois!$B$164)</f>
        <v>25.191440984221867</v>
      </c>
      <c r="C220" s="839"/>
      <c r="D220" s="393">
        <f t="shared" si="77"/>
        <v>27.344181557873522</v>
      </c>
      <c r="E220" s="385">
        <f t="shared" si="75"/>
        <v>28.427380435378634</v>
      </c>
      <c r="F220" s="385">
        <f t="shared" si="78"/>
        <v>28.519611170811597</v>
      </c>
      <c r="G220" s="110">
        <f t="shared" si="76"/>
        <v>0.49445244646152114</v>
      </c>
      <c r="H220" s="414" t="b">
        <f>Wh_hp&gt;='2024'!Maxi_hp</f>
        <v>0</v>
      </c>
      <c r="I220" s="390">
        <f>IF(H220,Wh_hp,'2024'!Maxi_hp)</f>
        <v>56.624993980258836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7.8727555589675063E-2</v>
      </c>
      <c r="M220" s="843"/>
      <c r="N220" s="843"/>
      <c r="O220" s="48">
        <f>IF(t&lt;Tnet,'2024'!Resal+('2024'!Salim-'2024'!Resal)*(1-EXP(('2024'!Tnet-t)/('2024'!Tau_j))),Resal+(Salim-Resal)*(1-EXP((Tnet-t)/(Tau_j))))*Salcycl</f>
        <v>3.8104069418828344E-2</v>
      </c>
      <c r="P220" s="169">
        <f>(INDEX(Models!$BJ220:$BT220,,T220)*(1-R220)+INDEX(Models!$BJ220:$BT220,,T220+1)*R220-ERP_i)*Q220*Ramure*Pc/MaxiM</f>
        <v>1.1402152900435947E-2</v>
      </c>
      <c r="Q220" s="305">
        <f t="shared" si="80"/>
        <v>0.8</v>
      </c>
      <c r="R220" s="177">
        <f t="shared" si="81"/>
        <v>0.31783515085709757</v>
      </c>
      <c r="S220" s="809">
        <f t="shared" si="82"/>
        <v>2</v>
      </c>
      <c r="T220" s="176">
        <f t="shared" si="83"/>
        <v>8</v>
      </c>
      <c r="U220" s="251">
        <f t="shared" si="84"/>
        <v>2.3178351508570976</v>
      </c>
      <c r="V220" s="383">
        <f t="shared" si="85"/>
        <v>50.530651687942921</v>
      </c>
      <c r="W220" s="402">
        <f t="shared" si="86"/>
        <v>25.191440984221867</v>
      </c>
      <c r="X220" s="157">
        <f t="shared" si="87"/>
        <v>45863</v>
      </c>
      <c r="Y220" s="385">
        <f t="shared" si="88"/>
        <v>22.597638939694779</v>
      </c>
      <c r="Z220" s="385">
        <f t="shared" si="89"/>
        <v>24.52872554346153</v>
      </c>
      <c r="AA220" s="386">
        <f t="shared" si="90"/>
        <v>28.340302818798179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0.13449317389821339</v>
      </c>
      <c r="AD220" s="231">
        <f>(INDEX(Models!$BJ220:$BT220,,AH220)*(1-AF220)+INDEX(Models!$BJ220:$BT220,,AH220+1)*AF220-ERP_i)*AE220*Ramure*Pc/MaxiM</f>
        <v>2.216724431811759E-2</v>
      </c>
      <c r="AE220" s="305">
        <f t="shared" si="92"/>
        <v>0.8</v>
      </c>
      <c r="AF220" s="177">
        <f t="shared" si="93"/>
        <v>0.51855189802200119</v>
      </c>
      <c r="AG220" s="809">
        <f t="shared" si="99"/>
        <v>3</v>
      </c>
      <c r="AH220" s="176">
        <f t="shared" si="94"/>
        <v>9</v>
      </c>
      <c r="AI220" s="225">
        <f t="shared" si="95"/>
        <v>3.5185518980220012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IF(t&gt;Tmaj,'2024'!Wh/'2024'!Env_an*'2025'!Env_an,0.001*[9]mois!$B$165)</f>
        <v>51.109496478042928</v>
      </c>
      <c r="C221" s="839"/>
      <c r="D221" s="393">
        <f t="shared" si="77"/>
        <v>55.478391289016756</v>
      </c>
      <c r="E221" s="385">
        <f t="shared" si="75"/>
        <v>57.688705777041761</v>
      </c>
      <c r="F221" s="385">
        <f t="shared" si="78"/>
        <v>58.352794111069471</v>
      </c>
      <c r="G221" s="110">
        <f t="shared" si="76"/>
        <v>1.014639607517938</v>
      </c>
      <c r="H221" s="414" t="b">
        <f>Wh_hp&gt;='2024'!Maxi_hp</f>
        <v>1</v>
      </c>
      <c r="I221" s="390">
        <f>IF(H221,Wh_hp,'2024'!Maxi_hp)</f>
        <v>58.352794111069471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7.8749486231745741E-2</v>
      </c>
      <c r="M221" s="843"/>
      <c r="N221" s="843"/>
      <c r="O221" s="48">
        <f>IF(t&lt;Tnet,'2024'!Resal+('2024'!Salim-'2024'!Resal)*(1-EXP(('2024'!Tnet-t)/('2024'!Tau_j))),Resal+(Salim-Resal)*(1-EXP((Tnet-t)/(Tau_j))))*Salcycl</f>
        <v>3.8314509889813476E-2</v>
      </c>
      <c r="P221" s="169">
        <f>(INDEX(Models!$BJ221:$BT221,,T221)*(1-R221)+INDEX(Models!$BJ221:$BT221,,T221+1)*R221-ERP_i)*Q221*Ramure*Pc/MaxiM</f>
        <v>1.1380574729012542E-2</v>
      </c>
      <c r="Q221" s="305">
        <f t="shared" si="80"/>
        <v>0.8</v>
      </c>
      <c r="R221" s="177">
        <f t="shared" si="81"/>
        <v>0.32069349899052835</v>
      </c>
      <c r="S221" s="809">
        <f t="shared" si="82"/>
        <v>2</v>
      </c>
      <c r="T221" s="176">
        <f t="shared" si="83"/>
        <v>8</v>
      </c>
      <c r="U221" s="251">
        <f t="shared" si="84"/>
        <v>2.3206934989905283</v>
      </c>
      <c r="V221" s="383">
        <f t="shared" si="85"/>
        <v>50.372069155736511</v>
      </c>
      <c r="W221" s="402">
        <f t="shared" si="86"/>
        <v>51.109496478042928</v>
      </c>
      <c r="X221" s="157">
        <f t="shared" si="87"/>
        <v>45864</v>
      </c>
      <c r="Y221" s="385">
        <f t="shared" si="88"/>
        <v>45.477119268974143</v>
      </c>
      <c r="Z221" s="385">
        <f t="shared" si="89"/>
        <v>49.364552409263752</v>
      </c>
      <c r="AA221" s="386">
        <f t="shared" si="90"/>
        <v>57.040517642320772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0.13457039925882261</v>
      </c>
      <c r="AD221" s="231">
        <f>(INDEX(Models!$BJ221:$BT221,,AH221)*(1-AF221)+INDEX(Models!$BJ221:$BT221,,AH221+1)*AF221-ERP_i)*AE221*Ramure*Pc/MaxiM</f>
        <v>2.2488665517042646E-2</v>
      </c>
      <c r="AE221" s="305">
        <f t="shared" si="92"/>
        <v>0.8</v>
      </c>
      <c r="AF221" s="177">
        <f t="shared" si="93"/>
        <v>0.52141024615543197</v>
      </c>
      <c r="AG221" s="809">
        <f t="shared" si="99"/>
        <v>3</v>
      </c>
      <c r="AH221" s="176">
        <f t="shared" si="94"/>
        <v>9</v>
      </c>
      <c r="AI221" s="225">
        <f t="shared" si="95"/>
        <v>3.521410246155432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IF(t&gt;Tmaj,'2024'!Wh/'2024'!Env_an*'2025'!Env_an,0.001*[9]mois!$B$166)</f>
        <v>50.018760508276209</v>
      </c>
      <c r="C222" s="839"/>
      <c r="D222" s="393">
        <f t="shared" si="77"/>
        <v>54.295710529114935</v>
      </c>
      <c r="E222" s="385">
        <f t="shared" si="75"/>
        <v>56.471236752095173</v>
      </c>
      <c r="F222" s="385">
        <f t="shared" si="78"/>
        <v>57.117116536854091</v>
      </c>
      <c r="G222" s="110">
        <f t="shared" si="76"/>
        <v>0.99609204292538522</v>
      </c>
      <c r="H222" s="414" t="b">
        <f>Wh_hp&gt;='2024'!Maxi_hp</f>
        <v>0</v>
      </c>
      <c r="I222" s="390">
        <f>IF(H222,Wh_hp,'2024'!Maxi_hp)</f>
        <v>57.120088666927721</v>
      </c>
      <c r="J222" s="85">
        <f>IF(H222,An,'2024'!An_max)</f>
        <v>2022</v>
      </c>
      <c r="K222" s="197">
        <f t="shared" si="79"/>
        <v>45865</v>
      </c>
      <c r="L222" s="147">
        <f>IF(t&lt;Tvie,1-EXP((T0-t)*PertePVj)+'2024'!Pspv,1-EXP((T0-t)*PertePVj)+Pspv)</f>
        <v>7.8771416363458441E-2</v>
      </c>
      <c r="M222" s="843"/>
      <c r="N222" s="843"/>
      <c r="O222" s="48">
        <f>IF(t&lt;Tnet,'2024'!Resal+('2024'!Salim-'2024'!Resal)*(1-EXP(('2024'!Tnet-t)/('2024'!Tau_j))),Resal+(Salim-Resal)*(1-EXP((Tnet-t)/(Tau_j))))*Salcycl</f>
        <v>3.8524501110727388E-2</v>
      </c>
      <c r="P222" s="169">
        <f>(INDEX(Models!$BJ222:$BT222,,T222)*(1-R222)+INDEX(Models!$BJ222:$BT222,,T222+1)*R222-ERP_i)*Q222*Ramure*Pc/MaxiM</f>
        <v>1.1370446746741841E-2</v>
      </c>
      <c r="Q222" s="305">
        <f t="shared" si="80"/>
        <v>0.8</v>
      </c>
      <c r="R222" s="177">
        <f t="shared" si="81"/>
        <v>0.32346650879648742</v>
      </c>
      <c r="S222" s="809">
        <f t="shared" si="82"/>
        <v>2</v>
      </c>
      <c r="T222" s="176">
        <f t="shared" si="83"/>
        <v>8</v>
      </c>
      <c r="U222" s="251">
        <f t="shared" si="84"/>
        <v>2.3234665087964874</v>
      </c>
      <c r="V222" s="383">
        <f t="shared" si="85"/>
        <v>50.211826433144161</v>
      </c>
      <c r="W222" s="402">
        <f t="shared" si="86"/>
        <v>50.018760508276209</v>
      </c>
      <c r="X222" s="157">
        <f t="shared" si="87"/>
        <v>45865</v>
      </c>
      <c r="Y222" s="385">
        <f t="shared" si="88"/>
        <v>44.4982422221169</v>
      </c>
      <c r="Z222" s="385">
        <f t="shared" si="89"/>
        <v>48.303149742119906</v>
      </c>
      <c r="AA222" s="386">
        <f t="shared" si="90"/>
        <v>55.819009556360108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0.13464695762205312</v>
      </c>
      <c r="AD222" s="231">
        <f>(INDEX(Models!$BJ222:$BT222,,AH222)*(1-AF222)+INDEX(Models!$BJ222:$BT222,,AH222+1)*AF222-ERP_i)*AE222*Ramure*Pc/MaxiM</f>
        <v>2.2852637041102183E-2</v>
      </c>
      <c r="AE222" s="305">
        <f t="shared" si="92"/>
        <v>0.8</v>
      </c>
      <c r="AF222" s="177">
        <f t="shared" si="93"/>
        <v>0.52418325596139104</v>
      </c>
      <c r="AG222" s="809">
        <f t="shared" si="99"/>
        <v>3</v>
      </c>
      <c r="AH222" s="176">
        <f t="shared" si="94"/>
        <v>9</v>
      </c>
      <c r="AI222" s="225">
        <f t="shared" si="95"/>
        <v>3.524183255961391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IF(t&gt;Tmaj,'2024'!Wh/'2024'!Env_an*'2025'!Env_an,0.001*[9]mois!$B$167)</f>
        <v>42.267328122722986</v>
      </c>
      <c r="C223" s="839"/>
      <c r="D223" s="393">
        <f t="shared" si="77"/>
        <v>45.88256927856137</v>
      </c>
      <c r="E223" s="385">
        <f t="shared" si="75"/>
        <v>47.731399805816388</v>
      </c>
      <c r="F223" s="385">
        <f t="shared" si="78"/>
        <v>48.157401774454101</v>
      </c>
      <c r="G223" s="110">
        <f t="shared" si="76"/>
        <v>0.84235777194150352</v>
      </c>
      <c r="H223" s="414" t="b">
        <f>Wh_hp&gt;='2024'!Maxi_hp</f>
        <v>0</v>
      </c>
      <c r="I223" s="390">
        <f>IF(H223,Wh_hp,'2024'!Maxi_hp)</f>
        <v>54.720346355997435</v>
      </c>
      <c r="J223" s="85">
        <f>IF(H223,An,'2024'!An_max)</f>
        <v>2019</v>
      </c>
      <c r="K223" s="197">
        <f t="shared" si="79"/>
        <v>45866</v>
      </c>
      <c r="L223" s="147">
        <f>IF(t&lt;Tvie,1-EXP((T0-t)*PertePVj)+'2024'!Pspv,1-EXP((T0-t)*PertePVj)+Pspv)</f>
        <v>7.8793345984824931E-2</v>
      </c>
      <c r="M223" s="843"/>
      <c r="N223" s="843"/>
      <c r="O223" s="48">
        <f>IF(t&lt;Tnet,'2024'!Resal+('2024'!Salim-'2024'!Resal)*(1-EXP(('2024'!Tnet-t)/('2024'!Tau_j))),Resal+(Salim-Resal)*(1-EXP((Tnet-t)/(Tau_j))))*Salcycl</f>
        <v>3.8734052107764302E-2</v>
      </c>
      <c r="P223" s="169">
        <f>(INDEX(Models!$BJ223:$BT223,,T223)*(1-R223)+INDEX(Models!$BJ223:$BT223,,T223+1)*R223-ERP_i)*Q223*Ramure*Pc/MaxiM</f>
        <v>1.1372099700828867E-2</v>
      </c>
      <c r="Q223" s="305">
        <f t="shared" si="80"/>
        <v>0.8</v>
      </c>
      <c r="R223" s="177">
        <f t="shared" si="81"/>
        <v>0.32615570806038541</v>
      </c>
      <c r="S223" s="809">
        <f t="shared" si="82"/>
        <v>2</v>
      </c>
      <c r="T223" s="176">
        <f t="shared" si="83"/>
        <v>8</v>
      </c>
      <c r="U223" s="251">
        <f t="shared" si="84"/>
        <v>2.3261557080603854</v>
      </c>
      <c r="V223" s="383">
        <f t="shared" si="85"/>
        <v>50.049523514325692</v>
      </c>
      <c r="W223" s="402">
        <f t="shared" si="86"/>
        <v>42.267328122722986</v>
      </c>
      <c r="X223" s="157">
        <f t="shared" si="87"/>
        <v>45866</v>
      </c>
      <c r="Y223" s="385">
        <f t="shared" si="88"/>
        <v>37.691687410320384</v>
      </c>
      <c r="Z223" s="385">
        <f t="shared" si="89"/>
        <v>40.915561395521017</v>
      </c>
      <c r="AA223" s="386">
        <f t="shared" si="90"/>
        <v>47.286078409328383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0.13472288732978574</v>
      </c>
      <c r="AD223" s="231">
        <f>(INDEX(Models!$BJ223:$BT223,,AH223)*(1-AF223)+INDEX(Models!$BJ223:$BT223,,AH223+1)*AF223-ERP_i)*AE223*Ramure*Pc/MaxiM</f>
        <v>2.3259930491772458E-2</v>
      </c>
      <c r="AE223" s="305">
        <f t="shared" si="92"/>
        <v>0.8</v>
      </c>
      <c r="AF223" s="177">
        <f t="shared" si="93"/>
        <v>0.52687245522528903</v>
      </c>
      <c r="AG223" s="809">
        <f t="shared" si="99"/>
        <v>3</v>
      </c>
      <c r="AH223" s="176">
        <f t="shared" si="94"/>
        <v>9</v>
      </c>
      <c r="AI223" s="225">
        <f t="shared" si="95"/>
        <v>3.526872455225289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IF(t&gt;Tmaj,'2024'!Wh/'2024'!Env_an*'2025'!Env_an,0.001*[9]mois!$B$168)</f>
        <v>29.288961577906942</v>
      </c>
      <c r="C224" s="839"/>
      <c r="D224" s="393">
        <f t="shared" si="77"/>
        <v>31.794884116163246</v>
      </c>
      <c r="E224" s="385">
        <f t="shared" si="75"/>
        <v>33.083250816298381</v>
      </c>
      <c r="F224" s="385">
        <f t="shared" si="78"/>
        <v>33.238486382224714</v>
      </c>
      <c r="G224" s="110">
        <f t="shared" si="76"/>
        <v>0.58317104732743485</v>
      </c>
      <c r="H224" s="414" t="b">
        <f>Wh_hp&gt;='2024'!Maxi_hp</f>
        <v>0</v>
      </c>
      <c r="I224" s="390">
        <f>IF(H224,Wh_hp,'2024'!Maxi_hp)</f>
        <v>57.337532868317645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7.881527509585709E-2</v>
      </c>
      <c r="M224" s="843"/>
      <c r="N224" s="843"/>
      <c r="O224" s="48">
        <f>IF(t&lt;Tnet,'2024'!Resal+('2024'!Salim-'2024'!Resal)*(1-EXP(('2024'!Tnet-t)/('2024'!Tau_j))),Resal+(Salim-Resal)*(1-EXP((Tnet-t)/(Tau_j))))*Salcycl</f>
        <v>3.894317119224644E-2</v>
      </c>
      <c r="P224" s="169">
        <f>(INDEX(Models!$BJ224:$BT224,,T224)*(1-R224)+INDEX(Models!$BJ224:$BT224,,T224+1)*R224-ERP_i)*Q224*Ramure*Pc/MaxiM</f>
        <v>1.1385858251848239E-2</v>
      </c>
      <c r="Q224" s="305">
        <f t="shared" si="80"/>
        <v>0.8</v>
      </c>
      <c r="R224" s="177">
        <f t="shared" si="81"/>
        <v>0.32876267086522537</v>
      </c>
      <c r="S224" s="809">
        <f t="shared" si="82"/>
        <v>2</v>
      </c>
      <c r="T224" s="176">
        <f t="shared" si="83"/>
        <v>8</v>
      </c>
      <c r="U224" s="251">
        <f t="shared" si="84"/>
        <v>2.3287626708652254</v>
      </c>
      <c r="V224" s="383">
        <f t="shared" si="85"/>
        <v>49.884761429964207</v>
      </c>
      <c r="W224" s="402">
        <f t="shared" si="86"/>
        <v>29.288961577906942</v>
      </c>
      <c r="X224" s="157">
        <f t="shared" si="87"/>
        <v>45867</v>
      </c>
      <c r="Y224" s="385">
        <f t="shared" si="88"/>
        <v>26.2337689031556</v>
      </c>
      <c r="Z224" s="385">
        <f t="shared" si="89"/>
        <v>28.478293434452514</v>
      </c>
      <c r="AA224" s="386">
        <f t="shared" si="90"/>
        <v>32.915204530465914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0.13479822347470599</v>
      </c>
      <c r="AD224" s="231">
        <f>(INDEX(Models!$BJ224:$BT224,,AH224)*(1-AF224)+INDEX(Models!$BJ224:$BT224,,AH224+1)*AF224-ERP_i)*AE224*Ramure*Pc/MaxiM</f>
        <v>2.3711327475479677E-2</v>
      </c>
      <c r="AE224" s="305">
        <f t="shared" si="92"/>
        <v>0.8</v>
      </c>
      <c r="AF224" s="177">
        <f t="shared" si="93"/>
        <v>0.52947941803012899</v>
      </c>
      <c r="AG224" s="809">
        <f t="shared" si="99"/>
        <v>3</v>
      </c>
      <c r="AH224" s="176">
        <f t="shared" si="94"/>
        <v>9</v>
      </c>
      <c r="AI224" s="225">
        <f t="shared" si="95"/>
        <v>3.529479418030129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IF(t&gt;Tmaj,'2024'!Wh/'2024'!Env_an*'2025'!Env_an,0.001*[9]mois!$B$169)</f>
        <v>46.672768007097552</v>
      </c>
      <c r="C225" s="839"/>
      <c r="D225" s="393">
        <f t="shared" si="77"/>
        <v>50.66723080262507</v>
      </c>
      <c r="E225" s="385">
        <f t="shared" si="75"/>
        <v>52.731778317486878</v>
      </c>
      <c r="F225" s="385">
        <f t="shared" si="78"/>
        <v>53.286692684348679</v>
      </c>
      <c r="G225" s="110">
        <f t="shared" si="76"/>
        <v>0.93781908215884779</v>
      </c>
      <c r="H225" s="414" t="b">
        <f>Wh_hp&gt;='2024'!Maxi_hp</f>
        <v>0</v>
      </c>
      <c r="I225" s="390">
        <f>IF(H225,Wh_hp,'2024'!Maxi_hp)</f>
        <v>53.331314939696405</v>
      </c>
      <c r="J225" s="85">
        <f>IF(H225,An,'2024'!An_max)</f>
        <v>2022</v>
      </c>
      <c r="K225" s="197">
        <f t="shared" si="79"/>
        <v>45868</v>
      </c>
      <c r="L225" s="147">
        <f>IF(t&lt;Tvie,1-EXP((T0-t)*PertePVj)+'2024'!Pspv,1-EXP((T0-t)*PertePVj)+Pspv)</f>
        <v>7.8837203696566799E-2</v>
      </c>
      <c r="M225" s="843"/>
      <c r="N225" s="843"/>
      <c r="O225" s="48">
        <f>IF(t&lt;Tnet,'2024'!Resal+('2024'!Salim-'2024'!Resal)*(1-EXP(('2024'!Tnet-t)/('2024'!Tau_j))),Resal+(Salim-Resal)*(1-EXP((Tnet-t)/(Tau_j))))*Salcycl</f>
        <v>3.9151865928579263E-2</v>
      </c>
      <c r="P225" s="169">
        <f>(INDEX(Models!$BJ225:$BT225,,T225)*(1-R225)+INDEX(Models!$BJ225:$BT225,,T225+1)*R225-ERP_i)*Q225*Ramure*Pc/MaxiM</f>
        <v>1.1412042470379805E-2</v>
      </c>
      <c r="Q225" s="305">
        <f t="shared" si="80"/>
        <v>0.8</v>
      </c>
      <c r="R225" s="177">
        <f t="shared" si="81"/>
        <v>0.33128901112148412</v>
      </c>
      <c r="S225" s="809">
        <f t="shared" si="82"/>
        <v>2</v>
      </c>
      <c r="T225" s="176">
        <f t="shared" si="83"/>
        <v>8</v>
      </c>
      <c r="U225" s="251">
        <f t="shared" si="84"/>
        <v>2.3312890111214841</v>
      </c>
      <c r="V225" s="383">
        <f t="shared" si="85"/>
        <v>49.7171422178507</v>
      </c>
      <c r="W225" s="402">
        <f t="shared" si="86"/>
        <v>46.672768007097552</v>
      </c>
      <c r="X225" s="157">
        <f t="shared" si="87"/>
        <v>45868</v>
      </c>
      <c r="Y225" s="385">
        <f t="shared" si="88"/>
        <v>41.527319922065054</v>
      </c>
      <c r="Z225" s="385">
        <f t="shared" si="89"/>
        <v>45.08141241560287</v>
      </c>
      <c r="AA225" s="386">
        <f t="shared" si="90"/>
        <v>52.109588886640452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0.13487299787236331</v>
      </c>
      <c r="AD225" s="231">
        <f>(INDEX(Models!$BJ225:$BT225,,AH225)*(1-AF225)+INDEX(Models!$BJ225:$BT225,,AH225+1)*AF225-ERP_i)*AE225*Ramure*Pc/MaxiM</f>
        <v>2.4207624335732997E-2</v>
      </c>
      <c r="AE225" s="305">
        <f t="shared" si="92"/>
        <v>0.8</v>
      </c>
      <c r="AF225" s="177">
        <f t="shared" si="93"/>
        <v>0.53200575828638774</v>
      </c>
      <c r="AG225" s="809">
        <f t="shared" si="99"/>
        <v>3</v>
      </c>
      <c r="AH225" s="176">
        <f t="shared" si="94"/>
        <v>9</v>
      </c>
      <c r="AI225" s="225">
        <f t="shared" si="95"/>
        <v>3.5320057582863877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IF(t&gt;Tmaj,'2024'!Wh/'2024'!Env_an*'2025'!Env_an,0.001*[9]mois!$B$170)</f>
        <v>47.683605587568927</v>
      </c>
      <c r="C226" s="839"/>
      <c r="D226" s="393">
        <f t="shared" si="77"/>
        <v>51.765812627630631</v>
      </c>
      <c r="E226" s="385">
        <f t="shared" si="75"/>
        <v>53.886804983486101</v>
      </c>
      <c r="F226" s="385">
        <f t="shared" si="78"/>
        <v>54.47815381876616</v>
      </c>
      <c r="G226" s="110">
        <f t="shared" si="76"/>
        <v>0.96182551430307361</v>
      </c>
      <c r="H226" s="414" t="b">
        <f>Wh_hp&gt;='2024'!Maxi_hp</f>
        <v>0</v>
      </c>
      <c r="I226" s="390">
        <f>IF(H226,Wh_hp,'2024'!Maxi_hp)</f>
        <v>55.057825166695693</v>
      </c>
      <c r="J226" s="85">
        <f>IF(H226,An,'2024'!An_max)</f>
        <v>2019</v>
      </c>
      <c r="K226" s="197">
        <f t="shared" si="79"/>
        <v>45869</v>
      </c>
      <c r="L226" s="147">
        <f>IF(t&lt;Tvie,1-EXP((T0-t)*PertePVj)+'2024'!Pspv,1-EXP((T0-t)*PertePVj)+Pspv)</f>
        <v>7.8859131786965825E-2</v>
      </c>
      <c r="M226" s="843"/>
      <c r="N226" s="843"/>
      <c r="O226" s="48">
        <f>IF(t&lt;Tnet,'2024'!Resal+('2024'!Salim-'2024'!Resal)*(1-EXP(('2024'!Tnet-t)/('2024'!Tau_j))),Resal+(Salim-Resal)*(1-EXP((Tnet-t)/(Tau_j))))*Salcycl</f>
        <v>3.9360143109346775E-2</v>
      </c>
      <c r="P226" s="169">
        <f>(INDEX(Models!$BJ226:$BT226,,T226)*(1-R226)+INDEX(Models!$BJ226:$BT226,,T226+1)*R226-ERP_i)*Q226*Ramure*Pc/MaxiM</f>
        <v>1.1470515774083987E-2</v>
      </c>
      <c r="Q226" s="305">
        <f t="shared" si="80"/>
        <v>0.8</v>
      </c>
      <c r="R226" s="177">
        <f t="shared" si="81"/>
        <v>0.33373637640005205</v>
      </c>
      <c r="S226" s="809">
        <f t="shared" si="82"/>
        <v>2</v>
      </c>
      <c r="T226" s="176">
        <f t="shared" si="83"/>
        <v>8</v>
      </c>
      <c r="U226" s="251">
        <f t="shared" si="84"/>
        <v>2.333736376400052</v>
      </c>
      <c r="V226" s="383">
        <f t="shared" si="85"/>
        <v>49.5452892290836</v>
      </c>
      <c r="W226" s="402">
        <f t="shared" si="86"/>
        <v>47.683605587568927</v>
      </c>
      <c r="X226" s="157">
        <f t="shared" si="87"/>
        <v>45869</v>
      </c>
      <c r="Y226" s="385">
        <f t="shared" si="88"/>
        <v>42.391908686596793</v>
      </c>
      <c r="Z226" s="385">
        <f t="shared" si="89"/>
        <v>46.021092049509114</v>
      </c>
      <c r="AA226" s="386">
        <f t="shared" si="90"/>
        <v>53.200329653174762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0.13494723905789222</v>
      </c>
      <c r="AD226" s="231">
        <f>(INDEX(Models!$BJ226:$BT226,,AH226)*(1-AF226)+INDEX(Models!$BJ226:$BT226,,AH226+1)*AF226-ERP_i)*AE226*Ramure*Pc/MaxiM</f>
        <v>2.4786219864592084E-2</v>
      </c>
      <c r="AE226" s="305">
        <f t="shared" si="92"/>
        <v>0.8</v>
      </c>
      <c r="AF226" s="177">
        <f t="shared" si="93"/>
        <v>0.53445312356495567</v>
      </c>
      <c r="AG226" s="809">
        <f t="shared" si="99"/>
        <v>3</v>
      </c>
      <c r="AH226" s="176">
        <f t="shared" si="94"/>
        <v>9</v>
      </c>
      <c r="AI226" s="225">
        <f t="shared" si="95"/>
        <v>3.5344531235649557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IF(t&gt;Tmaj,'2024'!Wh/'2024'!Env_an*'2025'!Env_an,0.001*'[10]mon-tableau (1)'!$B$140)</f>
        <v>47.614619462639894</v>
      </c>
      <c r="C227" s="839"/>
      <c r="D227" s="393">
        <f t="shared" si="77"/>
        <v>51.692151102573341</v>
      </c>
      <c r="E227" s="385">
        <f t="shared" si="75"/>
        <v>53.821771424564218</v>
      </c>
      <c r="F227" s="385">
        <f t="shared" si="78"/>
        <v>54.418844996863463</v>
      </c>
      <c r="G227" s="110">
        <f t="shared" si="76"/>
        <v>0.96389237481218248</v>
      </c>
      <c r="H227" s="414" t="b">
        <f>Wh_hp&gt;='2024'!Maxi_hp</f>
        <v>0</v>
      </c>
      <c r="I227" s="390">
        <f>IF(H227,Wh_hp,'2024'!Maxi_hp)</f>
        <v>54.44583213474823</v>
      </c>
      <c r="J227" s="85">
        <f>IF(H227,An,'2024'!An_max)</f>
        <v>2022</v>
      </c>
      <c r="K227" s="197">
        <f t="shared" si="79"/>
        <v>45870</v>
      </c>
      <c r="L227" s="147">
        <f>IF(t&lt;Tvie,1-EXP((T0-t)*PertePVj)+'2024'!Pspv,1-EXP((T0-t)*PertePVj)+Pspv)</f>
        <v>7.888105936706627E-2</v>
      </c>
      <c r="M227" s="843"/>
      <c r="N227" s="843"/>
      <c r="O227" s="48">
        <f>IF(t&lt;Tnet,'2024'!Resal+('2024'!Salim-'2024'!Resal)*(1-EXP(('2024'!Tnet-t)/('2024'!Tau_j))),Resal+(Salim-Resal)*(1-EXP((Tnet-t)/(Tau_j))))*Salcycl</f>
        <v>3.9568008737425601E-2</v>
      </c>
      <c r="P227" s="169">
        <f>(INDEX(Models!$BJ227:$BT227,,T227)*(1-R227)+INDEX(Models!$BJ227:$BT227,,T227+1)*R227-ERP_i)*Q227*Ramure*Pc/MaxiM</f>
        <v>1.1558586798811473E-2</v>
      </c>
      <c r="Q227" s="305">
        <f t="shared" si="80"/>
        <v>0.8</v>
      </c>
      <c r="R227" s="177">
        <f t="shared" si="81"/>
        <v>0.33610644207445528</v>
      </c>
      <c r="S227" s="809">
        <f t="shared" si="82"/>
        <v>2</v>
      </c>
      <c r="T227" s="176">
        <f t="shared" si="83"/>
        <v>8</v>
      </c>
      <c r="U227" s="251">
        <f t="shared" si="84"/>
        <v>2.3361064420744553</v>
      </c>
      <c r="V227" s="383">
        <f t="shared" si="85"/>
        <v>49.368966819401216</v>
      </c>
      <c r="W227" s="402">
        <f t="shared" si="86"/>
        <v>47.614619462639894</v>
      </c>
      <c r="X227" s="157">
        <f t="shared" si="87"/>
        <v>45870</v>
      </c>
      <c r="Y227" s="385">
        <f t="shared" si="88"/>
        <v>42.311523589342002</v>
      </c>
      <c r="Z227" s="385">
        <f t="shared" si="89"/>
        <v>45.934918633057578</v>
      </c>
      <c r="AA227" s="386">
        <f t="shared" si="90"/>
        <v>53.105239736883647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0.13502097230616592</v>
      </c>
      <c r="AD227" s="231">
        <f>(INDEX(Models!$BJ227:$BT227,,AH227)*(1-AF227)+INDEX(Models!$BJ227:$BT227,,AH227+1)*AF227-ERP_i)*AE227*Ramure*Pc/MaxiM</f>
        <v>2.5429731144158307E-2</v>
      </c>
      <c r="AE227" s="305">
        <f t="shared" si="92"/>
        <v>0.8</v>
      </c>
      <c r="AF227" s="177">
        <f t="shared" si="93"/>
        <v>0.53682318923935846</v>
      </c>
      <c r="AG227" s="809">
        <f t="shared" si="99"/>
        <v>3</v>
      </c>
      <c r="AH227" s="176">
        <f t="shared" si="94"/>
        <v>9</v>
      </c>
      <c r="AI227" s="225">
        <f t="shared" si="95"/>
        <v>3.5368231892393585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IF(t&gt;Tmaj,'2024'!Wh/'2024'!Env_an*'2025'!Env_an,0.001*'[10]mon-tableau (1)'!$B$141)</f>
        <v>47.618092589950869</v>
      </c>
      <c r="C228" s="839"/>
      <c r="D228" s="393">
        <f t="shared" si="77"/>
        <v>51.697152296420661</v>
      </c>
      <c r="E228" s="385">
        <f t="shared" si="75"/>
        <v>53.838608132148799</v>
      </c>
      <c r="F228" s="385">
        <f t="shared" si="78"/>
        <v>54.445368161026927</v>
      </c>
      <c r="G228" s="110">
        <f t="shared" si="76"/>
        <v>0.96756667176808597</v>
      </c>
      <c r="H228" s="414" t="b">
        <f>Wh_hp&gt;='2024'!Maxi_hp</f>
        <v>0</v>
      </c>
      <c r="I228" s="390">
        <f>IF(H228,Wh_hp,'2024'!Maxi_hp)</f>
        <v>54.855614137032767</v>
      </c>
      <c r="J228" s="85">
        <f>IF(H228,An,'2024'!An_max)</f>
        <v>2019</v>
      </c>
      <c r="K228" s="197">
        <f t="shared" si="79"/>
        <v>45871</v>
      </c>
      <c r="L228" s="147">
        <f>IF(t&lt;Tvie,1-EXP((T0-t)*PertePVj)+'2024'!Pspv,1-EXP((T0-t)*PertePVj)+Pspv)</f>
        <v>7.8902986436879902E-2</v>
      </c>
      <c r="M228" s="843"/>
      <c r="N228" s="843"/>
      <c r="O228" s="48">
        <f>IF(t&lt;Tnet,'2024'!Resal+('2024'!Salim-'2024'!Resal)*(1-EXP(('2024'!Tnet-t)/('2024'!Tau_j))),Resal+(Salim-Resal)*(1-EXP((Tnet-t)/(Tau_j))))*Salcycl</f>
        <v>3.9775468014920719E-2</v>
      </c>
      <c r="P228" s="169">
        <f>(INDEX(Models!$BJ228:$BT228,,T228)*(1-R228)+INDEX(Models!$BJ228:$BT228,,T228+1)*R228-ERP_i)*Q228*Ramure*Pc/MaxiM</f>
        <v>1.167671044039008E-2</v>
      </c>
      <c r="Q228" s="305">
        <f t="shared" si="80"/>
        <v>0.8</v>
      </c>
      <c r="R228" s="177">
        <f t="shared" si="81"/>
        <v>0.33840090577601911</v>
      </c>
      <c r="S228" s="809">
        <f t="shared" si="82"/>
        <v>2</v>
      </c>
      <c r="T228" s="176">
        <f t="shared" si="83"/>
        <v>8</v>
      </c>
      <c r="U228" s="251">
        <f t="shared" si="84"/>
        <v>2.3384009057760191</v>
      </c>
      <c r="V228" s="383">
        <f t="shared" si="85"/>
        <v>49.187781968295873</v>
      </c>
      <c r="W228" s="402">
        <f t="shared" si="86"/>
        <v>47.618092589950869</v>
      </c>
      <c r="X228" s="157">
        <f t="shared" si="87"/>
        <v>45871</v>
      </c>
      <c r="Y228" s="385">
        <f t="shared" si="88"/>
        <v>42.292472516519261</v>
      </c>
      <c r="Z228" s="385">
        <f t="shared" si="89"/>
        <v>45.915329106233258</v>
      </c>
      <c r="AA228" s="386">
        <f t="shared" si="90"/>
        <v>53.087087808482657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0.13509421967394941</v>
      </c>
      <c r="AD228" s="231">
        <f>(INDEX(Models!$BJ228:$BT228,,AH228)*(1-AF228)+INDEX(Models!$BJ228:$BT228,,AH228+1)*AF228-ERP_i)*AE228*Ramure*Pc/MaxiM</f>
        <v>2.613924058718143E-2</v>
      </c>
      <c r="AE228" s="305">
        <f t="shared" si="92"/>
        <v>0.8</v>
      </c>
      <c r="AF228" s="177">
        <f t="shared" si="93"/>
        <v>0.53911765294092273</v>
      </c>
      <c r="AG228" s="809">
        <f t="shared" si="99"/>
        <v>3</v>
      </c>
      <c r="AH228" s="176">
        <f t="shared" si="94"/>
        <v>9</v>
      </c>
      <c r="AI228" s="225">
        <f t="shared" si="95"/>
        <v>3.5391176529409227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IF(t&gt;Tmaj,'2024'!Wh/'2024'!Env_an*'2025'!Env_an,0.001*'[10]mon-tableau (1)'!$B$142)</f>
        <v>44.421841997994932</v>
      </c>
      <c r="C229" s="839"/>
      <c r="D229" s="393">
        <f t="shared" si="77"/>
        <v>48.228252641711286</v>
      </c>
      <c r="E229" s="385">
        <f t="shared" si="75"/>
        <v>50.236848718534091</v>
      </c>
      <c r="F229" s="385">
        <f t="shared" si="78"/>
        <v>50.756932530774769</v>
      </c>
      <c r="G229" s="110">
        <f t="shared" si="76"/>
        <v>0.90509730076900619</v>
      </c>
      <c r="H229" s="414" t="b">
        <f>Wh_hp&gt;='2024'!Maxi_hp</f>
        <v>0</v>
      </c>
      <c r="I229" s="390">
        <f>IF(H229,Wh_hp,'2024'!Maxi_hp)</f>
        <v>54.652362848660495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7.8924912996418489E-2</v>
      </c>
      <c r="M229" s="843"/>
      <c r="N229" s="843"/>
      <c r="O229" s="48">
        <f>IF(t&lt;Tnet,'2024'!Resal+('2024'!Salim-'2024'!Resal)*(1-EXP(('2024'!Tnet-t)/('2024'!Tau_j))),Resal+(Salim-Resal)*(1-EXP((Tnet-t)/(Tau_j))))*Salcycl</f>
        <v>3.9982525338651764E-2</v>
      </c>
      <c r="P229" s="169">
        <f>(INDEX(Models!$BJ229:$BT229,,T229)*(1-R229)+INDEX(Models!$BJ229:$BT229,,T229+1)*R229-ERP_i)*Q229*Ramure*Pc/MaxiM</f>
        <v>1.1825354033594691E-2</v>
      </c>
      <c r="Q229" s="305">
        <f t="shared" si="80"/>
        <v>0.8</v>
      </c>
      <c r="R229" s="177">
        <f t="shared" si="81"/>
        <v>0.34062148216328669</v>
      </c>
      <c r="S229" s="809">
        <f t="shared" si="82"/>
        <v>2</v>
      </c>
      <c r="T229" s="176">
        <f t="shared" si="83"/>
        <v>8</v>
      </c>
      <c r="U229" s="251">
        <f t="shared" si="84"/>
        <v>2.3406214821632867</v>
      </c>
      <c r="V229" s="383">
        <f t="shared" si="85"/>
        <v>49.001342545751925</v>
      </c>
      <c r="W229" s="402">
        <f t="shared" si="86"/>
        <v>44.421841997994932</v>
      </c>
      <c r="X229" s="157">
        <f t="shared" si="87"/>
        <v>45872</v>
      </c>
      <c r="Y229" s="385">
        <f t="shared" si="88"/>
        <v>39.488797216574866</v>
      </c>
      <c r="Z229" s="385">
        <f t="shared" si="89"/>
        <v>42.872506024496694</v>
      </c>
      <c r="AA229" s="386">
        <f t="shared" si="90"/>
        <v>49.573161555573847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0.13516700006243101</v>
      </c>
      <c r="AD229" s="231">
        <f>(INDEX(Models!$BJ229:$BT229,,AH229)*(1-AF229)+INDEX(Models!$BJ229:$BT229,,AH229+1)*AF229-ERP_i)*AE229*Ramure*Pc/MaxiM</f>
        <v>2.6915874993560449E-2</v>
      </c>
      <c r="AE229" s="305">
        <f t="shared" si="92"/>
        <v>0.8</v>
      </c>
      <c r="AF229" s="177">
        <f t="shared" si="93"/>
        <v>0.54133822932819031</v>
      </c>
      <c r="AG229" s="809">
        <f t="shared" si="99"/>
        <v>3</v>
      </c>
      <c r="AH229" s="176">
        <f t="shared" si="94"/>
        <v>9</v>
      </c>
      <c r="AI229" s="225">
        <f t="shared" si="95"/>
        <v>3.5413382293281903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IF(t&gt;Tmaj,'2024'!Wh/'2024'!Env_an*'2025'!Env_an,0.001*'[10]mon-tableau (1)'!$B$143)</f>
        <v>43.912093170694583</v>
      </c>
      <c r="C230" s="839"/>
      <c r="D230" s="393">
        <f t="shared" si="77"/>
        <v>47.675959469263567</v>
      </c>
      <c r="E230" s="385">
        <f t="shared" si="75"/>
        <v>49.672246540152706</v>
      </c>
      <c r="F230" s="385">
        <f t="shared" si="78"/>
        <v>50.188398843289242</v>
      </c>
      <c r="G230" s="110">
        <f t="shared" si="76"/>
        <v>0.89810316033732962</v>
      </c>
      <c r="H230" s="414" t="b">
        <f>Wh_hp&gt;='2024'!Maxi_hp</f>
        <v>0</v>
      </c>
      <c r="I230" s="390">
        <f>IF(H230,Wh_hp,'2024'!Maxi_hp)</f>
        <v>51.450131759098554</v>
      </c>
      <c r="J230" s="85">
        <f>IF(H230,An,'2024'!An_max)</f>
        <v>2019</v>
      </c>
      <c r="K230" s="197">
        <f t="shared" si="79"/>
        <v>45873</v>
      </c>
      <c r="L230" s="147">
        <f>IF(t&lt;Tvie,1-EXP((T0-t)*PertePVj)+'2024'!Pspv,1-EXP((T0-t)*PertePVj)+Pspv)</f>
        <v>7.8946839045694134E-2</v>
      </c>
      <c r="M230" s="843"/>
      <c r="N230" s="843"/>
      <c r="O230" s="48">
        <f>IF(t&lt;Tnet,'2024'!Resal+('2024'!Salim-'2024'!Resal)*(1-EXP(('2024'!Tnet-t)/('2024'!Tau_j))),Resal+(Salim-Resal)*(1-EXP((Tnet-t)/(Tau_j))))*Salcycl</f>
        <v>4.0189184301850221E-2</v>
      </c>
      <c r="P230" s="169">
        <f>(INDEX(Models!$BJ230:$BT230,,T230)*(1-R230)+INDEX(Models!$BJ230:$BT230,,T230+1)*R230-ERP_i)*Q230*Ramure*Pc/MaxiM</f>
        <v>1.2005000844476038E-2</v>
      </c>
      <c r="Q230" s="305">
        <f t="shared" si="80"/>
        <v>0.8</v>
      </c>
      <c r="R230" s="177">
        <f t="shared" si="81"/>
        <v>0.34276989800489899</v>
      </c>
      <c r="S230" s="809">
        <f t="shared" si="82"/>
        <v>2</v>
      </c>
      <c r="T230" s="176">
        <f t="shared" si="83"/>
        <v>8</v>
      </c>
      <c r="U230" s="251">
        <f t="shared" si="84"/>
        <v>2.342769898004899</v>
      </c>
      <c r="V230" s="383">
        <f t="shared" si="85"/>
        <v>48.809257288760193</v>
      </c>
      <c r="W230" s="402">
        <f t="shared" si="86"/>
        <v>43.912093170694583</v>
      </c>
      <c r="X230" s="157">
        <f t="shared" si="87"/>
        <v>45873</v>
      </c>
      <c r="Y230" s="385">
        <f t="shared" si="88"/>
        <v>39.023918216391934</v>
      </c>
      <c r="Z230" s="385">
        <f t="shared" si="89"/>
        <v>42.368801140597725</v>
      </c>
      <c r="AA230" s="386">
        <f t="shared" si="90"/>
        <v>48.99482894639543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0.13523932929834606</v>
      </c>
      <c r="AD230" s="231">
        <f>(INDEX(Models!$BJ230:$BT230,,AH230)*(1-AF230)+INDEX(Models!$BJ230:$BT230,,AH230+1)*AF230-ERP_i)*AE230*Ramure*Pc/MaxiM</f>
        <v>2.776081310318439E-2</v>
      </c>
      <c r="AE230" s="305">
        <f t="shared" si="92"/>
        <v>0.8</v>
      </c>
      <c r="AF230" s="177">
        <f t="shared" si="93"/>
        <v>0.54348664516980261</v>
      </c>
      <c r="AG230" s="809">
        <f t="shared" si="99"/>
        <v>3</v>
      </c>
      <c r="AH230" s="176">
        <f t="shared" si="94"/>
        <v>9</v>
      </c>
      <c r="AI230" s="225">
        <f t="shared" si="95"/>
        <v>3.5434866451698026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IF(t&gt;Tmaj,'2024'!Wh/'2024'!Env_an*'2025'!Env_an,0.001*'[10]mon-tableau (1)'!$B$144)</f>
        <v>41.811351958928242</v>
      </c>
      <c r="C231" s="839"/>
      <c r="D231" s="393">
        <f t="shared" si="77"/>
        <v>45.3962366868872</v>
      </c>
      <c r="E231" s="385">
        <f t="shared" si="75"/>
        <v>47.307233566326069</v>
      </c>
      <c r="F231" s="385">
        <f t="shared" si="78"/>
        <v>47.774226450835727</v>
      </c>
      <c r="G231" s="110">
        <f t="shared" si="76"/>
        <v>0.8579983915571896</v>
      </c>
      <c r="H231" s="414" t="b">
        <f>Wh_hp&gt;='2024'!Maxi_hp</f>
        <v>0</v>
      </c>
      <c r="I231" s="390">
        <f>IF(H231,Wh_hp,'2024'!Maxi_hp)</f>
        <v>55.321706068538063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7.8968764584718493E-2</v>
      </c>
      <c r="M231" s="843"/>
      <c r="N231" s="843"/>
      <c r="O231" s="48">
        <f>IF(t&lt;Tnet,'2024'!Resal+('2024'!Salim-'2024'!Resal)*(1-EXP(('2024'!Tnet-t)/('2024'!Tau_j))),Resal+(Salim-Resal)*(1-EXP((Tnet-t)/(Tau_j))))*Salcycl</f>
        <v>4.0395447701662826E-2</v>
      </c>
      <c r="P231" s="169">
        <f>(INDEX(Models!$BJ231:$BT231,,T231)*(1-R231)+INDEX(Models!$BJ231:$BT231,,T231+1)*R231-ERP_i)*Q231*Ramure*Pc/MaxiM</f>
        <v>1.2216153658941516E-2</v>
      </c>
      <c r="Q231" s="305">
        <f t="shared" si="80"/>
        <v>0.8</v>
      </c>
      <c r="R231" s="177">
        <f t="shared" si="81"/>
        <v>0.34484788757326967</v>
      </c>
      <c r="S231" s="809">
        <f t="shared" si="82"/>
        <v>2</v>
      </c>
      <c r="T231" s="176">
        <f t="shared" si="83"/>
        <v>8</v>
      </c>
      <c r="U231" s="251">
        <f t="shared" si="84"/>
        <v>2.3448478875732697</v>
      </c>
      <c r="V231" s="383">
        <f t="shared" si="85"/>
        <v>48.611135770970492</v>
      </c>
      <c r="W231" s="402">
        <f t="shared" si="86"/>
        <v>41.811351958928242</v>
      </c>
      <c r="X231" s="157">
        <f t="shared" si="87"/>
        <v>45874</v>
      </c>
      <c r="Y231" s="385">
        <f t="shared" si="88"/>
        <v>37.174643527432053</v>
      </c>
      <c r="Z231" s="385">
        <f t="shared" si="89"/>
        <v>40.361979157710614</v>
      </c>
      <c r="AA231" s="386">
        <f t="shared" si="90"/>
        <v>46.67804197543628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0.1353112202317614</v>
      </c>
      <c r="AD231" s="231">
        <f>(INDEX(Models!$BJ231:$BT231,,AH231)*(1-AF231)+INDEX(Models!$BJ231:$BT231,,AH231+1)*AF231-ERP_i)*AE231*Ramure*Pc/MaxiM</f>
        <v>2.8675293423552715E-2</v>
      </c>
      <c r="AE231" s="305">
        <f t="shared" si="92"/>
        <v>0.8</v>
      </c>
      <c r="AF231" s="177">
        <f t="shared" si="93"/>
        <v>0.54556463473817329</v>
      </c>
      <c r="AG231" s="809">
        <f t="shared" si="99"/>
        <v>3</v>
      </c>
      <c r="AH231" s="176">
        <f t="shared" si="94"/>
        <v>9</v>
      </c>
      <c r="AI231" s="225">
        <f t="shared" si="95"/>
        <v>3.5455646347381733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IF(t&gt;Tmaj,'2024'!Wh/'2024'!Env_an*'2025'!Env_an,0.001*'[10]mon-tableau (1)'!$B$145)</f>
        <v>42.91829121446645</v>
      </c>
      <c r="C232" s="839"/>
      <c r="D232" s="393">
        <f t="shared" si="77"/>
        <v>46.599193656854595</v>
      </c>
      <c r="E232" s="385">
        <f t="shared" si="75"/>
        <v>48.571250419014632</v>
      </c>
      <c r="F232" s="385">
        <f t="shared" si="78"/>
        <v>49.08374841430377</v>
      </c>
      <c r="G232" s="110">
        <f t="shared" si="76"/>
        <v>0.88481274721988834</v>
      </c>
      <c r="H232" s="414" t="b">
        <f>Wh_hp&gt;='2024'!Maxi_hp</f>
        <v>0</v>
      </c>
      <c r="I232" s="390">
        <f>IF(H232,Wh_hp,'2024'!Maxi_hp)</f>
        <v>54.962682458177952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7.8990689613503556E-2</v>
      </c>
      <c r="M232" s="843"/>
      <c r="N232" s="843"/>
      <c r="O232" s="48">
        <f>IF(t&lt;Tnet,'2024'!Resal+('2024'!Salim-'2024'!Resal)*(1-EXP(('2024'!Tnet-t)/('2024'!Tau_j))),Resal+(Salim-Resal)*(1-EXP((Tnet-t)/(Tau_j))))*Salcycl</f>
        <v>4.0601317551998091E-2</v>
      </c>
      <c r="P232" s="169">
        <f>(INDEX(Models!$BJ232:$BT232,,T232)*(1-R232)+INDEX(Models!$BJ232:$BT232,,T232+1)*R232-ERP_i)*Q232*Ramure*Pc/MaxiM</f>
        <v>1.2459338479003022E-2</v>
      </c>
      <c r="Q232" s="305">
        <f t="shared" si="80"/>
        <v>0.8</v>
      </c>
      <c r="R232" s="177">
        <f t="shared" si="81"/>
        <v>0.3468571883447078</v>
      </c>
      <c r="S232" s="809">
        <f t="shared" si="82"/>
        <v>2</v>
      </c>
      <c r="T232" s="176">
        <f t="shared" si="83"/>
        <v>8</v>
      </c>
      <c r="U232" s="251">
        <f t="shared" si="84"/>
        <v>2.3468571883447078</v>
      </c>
      <c r="V232" s="383">
        <f t="shared" si="85"/>
        <v>48.406588383027056</v>
      </c>
      <c r="W232" s="402">
        <f t="shared" si="86"/>
        <v>42.91829121446645</v>
      </c>
      <c r="X232" s="157">
        <f t="shared" si="87"/>
        <v>45875</v>
      </c>
      <c r="Y232" s="385">
        <f t="shared" si="88"/>
        <v>38.114849402177704</v>
      </c>
      <c r="Z232" s="385">
        <f t="shared" si="89"/>
        <v>41.383782956746678</v>
      </c>
      <c r="AA232" s="386">
        <f t="shared" si="90"/>
        <v>47.863698928775776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0.13538268284846985</v>
      </c>
      <c r="AD232" s="231">
        <f>(INDEX(Models!$BJ232:$BT232,,AH232)*(1-AF232)+INDEX(Models!$BJ232:$BT232,,AH232+1)*AF232-ERP_i)*AE232*Ramure*Pc/MaxiM</f>
        <v>2.9660622365460913E-2</v>
      </c>
      <c r="AE232" s="305">
        <f t="shared" si="92"/>
        <v>0.8</v>
      </c>
      <c r="AF232" s="177">
        <f t="shared" si="93"/>
        <v>0.54757393550961098</v>
      </c>
      <c r="AG232" s="809">
        <f t="shared" si="99"/>
        <v>3</v>
      </c>
      <c r="AH232" s="176">
        <f t="shared" si="94"/>
        <v>9</v>
      </c>
      <c r="AI232" s="225">
        <f t="shared" si="95"/>
        <v>3.547573935509611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IF(t&gt;Tmaj,'2024'!Wh/'2024'!Env_an*'2025'!Env_an,0.001*'[10]mon-tableau (1)'!$B$146)</f>
        <v>45.475477515231468</v>
      </c>
      <c r="C233" s="839"/>
      <c r="D233" s="393">
        <f t="shared" si="77"/>
        <v>49.376873356821662</v>
      </c>
      <c r="E233" s="385">
        <f t="shared" ref="E233:E296" si="100">Wh_pvt/(1-Psa)</f>
        <v>51.477505370809162</v>
      </c>
      <c r="F233" s="385">
        <f t="shared" si="78"/>
        <v>52.087329781476889</v>
      </c>
      <c r="G233" s="110">
        <f t="shared" ref="G233:G296" si="101">+Wh_hp/MaxiM</f>
        <v>0.94256415069376598</v>
      </c>
      <c r="H233" s="414" t="b">
        <f>Wh_hp&gt;='2024'!Maxi_hp</f>
        <v>0</v>
      </c>
      <c r="I233" s="390">
        <f>IF(H233,Wh_hp,'2024'!Maxi_hp)</f>
        <v>52.959519523212762</v>
      </c>
      <c r="J233" s="85">
        <f>IF(H233,An,'2024'!An_max)</f>
        <v>2020</v>
      </c>
      <c r="K233" s="197">
        <f t="shared" si="79"/>
        <v>45876</v>
      </c>
      <c r="L233" s="147">
        <f>IF(t&lt;Tvie,1-EXP((T0-t)*PertePVj)+'2024'!Pspv,1-EXP((T0-t)*PertePVj)+Pspv)</f>
        <v>7.9012614132061093E-2</v>
      </c>
      <c r="M233" s="843"/>
      <c r="N233" s="843"/>
      <c r="O233" s="48">
        <f>IF(t&lt;Tnet,'2024'!Resal+('2024'!Salim-'2024'!Resal)*(1-EXP(('2024'!Tnet-t)/('2024'!Tau_j))),Resal+(Salim-Resal)*(1-EXP((Tnet-t)/(Tau_j))))*Salcycl</f>
        <v>4.0806795101199306E-2</v>
      </c>
      <c r="P233" s="169">
        <f>(INDEX(Models!$BJ233:$BT233,,T233)*(1-R233)+INDEX(Models!$BJ233:$BT233,,T233+1)*R233-ERP_i)*Q233*Ramure*Pc/MaxiM</f>
        <v>1.2734796900854464E-2</v>
      </c>
      <c r="Q233" s="305">
        <f t="shared" si="80"/>
        <v>0.8</v>
      </c>
      <c r="R233" s="177">
        <f t="shared" si="81"/>
        <v>0.34879953700018396</v>
      </c>
      <c r="S233" s="809">
        <f t="shared" si="82"/>
        <v>2</v>
      </c>
      <c r="T233" s="176">
        <f t="shared" si="83"/>
        <v>8</v>
      </c>
      <c r="U233" s="251">
        <f t="shared" si="84"/>
        <v>2.348799537000184</v>
      </c>
      <c r="V233" s="383">
        <f t="shared" si="85"/>
        <v>48.196420196793959</v>
      </c>
      <c r="W233" s="402">
        <f t="shared" si="86"/>
        <v>45.475477515231468</v>
      </c>
      <c r="X233" s="157">
        <f t="shared" si="87"/>
        <v>45876</v>
      </c>
      <c r="Y233" s="385">
        <f t="shared" si="88"/>
        <v>40.302595241661493</v>
      </c>
      <c r="Z233" s="385">
        <f t="shared" si="89"/>
        <v>43.76020329928874</v>
      </c>
      <c r="AA233" s="386">
        <f t="shared" si="90"/>
        <v>50.616380561766952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0.13545372439484585</v>
      </c>
      <c r="AD233" s="231">
        <f>(INDEX(Models!$BJ233:$BT233,,AH233)*(1-AF233)+INDEX(Models!$BJ233:$BT233,,AH233+1)*AF233-ERP_i)*AE233*Ramure*Pc/MaxiM</f>
        <v>3.0717431504530414E-2</v>
      </c>
      <c r="AE233" s="305">
        <f t="shared" si="92"/>
        <v>0.8</v>
      </c>
      <c r="AF233" s="177">
        <f t="shared" si="93"/>
        <v>0.54951628416508758</v>
      </c>
      <c r="AG233" s="809">
        <f t="shared" si="99"/>
        <v>3</v>
      </c>
      <c r="AH233" s="176">
        <f t="shared" si="94"/>
        <v>9</v>
      </c>
      <c r="AI233" s="225">
        <f t="shared" si="95"/>
        <v>3.5495162841650876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IF(t&gt;Tmaj,'2024'!Wh/'2024'!Env_an*'2025'!Env_an,0.001*'[10]mon-tableau (1)'!$B$147)</f>
        <v>45.105884448723693</v>
      </c>
      <c r="C234" s="839"/>
      <c r="D234" s="393">
        <f t="shared" si="77"/>
        <v>48.976738343310622</v>
      </c>
      <c r="E234" s="385">
        <f t="shared" si="100"/>
        <v>51.071267063167163</v>
      </c>
      <c r="F234" s="385">
        <f t="shared" si="78"/>
        <v>51.688669444249371</v>
      </c>
      <c r="G234" s="110">
        <f t="shared" si="101"/>
        <v>0.93902091163403445</v>
      </c>
      <c r="H234" s="414" t="b">
        <f>Wh_hp&gt;='2024'!Maxi_hp</f>
        <v>0</v>
      </c>
      <c r="I234" s="390">
        <f>IF(H234,Wh_hp,'2024'!Maxi_hp)</f>
        <v>52.507741008384137</v>
      </c>
      <c r="J234" s="85">
        <f>IF(H234,An,'2024'!An_max)</f>
        <v>2019</v>
      </c>
      <c r="K234" s="197">
        <f t="shared" si="79"/>
        <v>45877</v>
      </c>
      <c r="L234" s="147">
        <f>IF(t&lt;Tvie,1-EXP((T0-t)*PertePVj)+'2024'!Pspv,1-EXP((T0-t)*PertePVj)+Pspv)</f>
        <v>7.9034538140403204E-2</v>
      </c>
      <c r="M234" s="843"/>
      <c r="N234" s="843"/>
      <c r="O234" s="48">
        <f>IF(t&lt;Tnet,'2024'!Resal+('2024'!Salim-'2024'!Resal)*(1-EXP(('2024'!Tnet-t)/('2024'!Tau_j))),Resal+(Salim-Resal)*(1-EXP((Tnet-t)/(Tau_j))))*Salcycl</f>
        <v>4.1011880853982642E-2</v>
      </c>
      <c r="P234" s="169">
        <f>(INDEX(Models!$BJ234:$BT234,,T234)*(1-R234)+INDEX(Models!$BJ234:$BT234,,T234+1)*R234-ERP_i)*Q234*Ramure*Pc/MaxiM</f>
        <v>1.3062717504424701E-2</v>
      </c>
      <c r="Q234" s="305">
        <f t="shared" si="80"/>
        <v>0.8</v>
      </c>
      <c r="R234" s="177">
        <f t="shared" si="81"/>
        <v>0.35067666571968958</v>
      </c>
      <c r="S234" s="809">
        <f t="shared" si="82"/>
        <v>2</v>
      </c>
      <c r="T234" s="176">
        <f t="shared" si="83"/>
        <v>8</v>
      </c>
      <c r="U234" s="251">
        <f t="shared" si="84"/>
        <v>2.3506766657196896</v>
      </c>
      <c r="V234" s="383">
        <f t="shared" si="85"/>
        <v>47.980659637191401</v>
      </c>
      <c r="W234" s="402">
        <f t="shared" si="86"/>
        <v>45.105884448723693</v>
      </c>
      <c r="X234" s="157">
        <f t="shared" si="87"/>
        <v>45877</v>
      </c>
      <c r="Y234" s="385">
        <f t="shared" si="88"/>
        <v>39.952483708658534</v>
      </c>
      <c r="Z234" s="385">
        <f t="shared" si="89"/>
        <v>43.381087959571474</v>
      </c>
      <c r="AA234" s="386">
        <f t="shared" si="90"/>
        <v>50.181966299606188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0.13552434951294615</v>
      </c>
      <c r="AD234" s="231">
        <f>(INDEX(Models!$BJ234:$BT234,,AH234)*(1-AF234)+INDEX(Models!$BJ234:$BT234,,AH234+1)*AF234-ERP_i)*AE234*Ramure*Pc/MaxiM</f>
        <v>3.1878136762290517E-2</v>
      </c>
      <c r="AE234" s="305">
        <f t="shared" si="92"/>
        <v>0.8</v>
      </c>
      <c r="AF234" s="177">
        <f t="shared" si="93"/>
        <v>0.5513934128845932</v>
      </c>
      <c r="AG234" s="809">
        <f t="shared" si="99"/>
        <v>3</v>
      </c>
      <c r="AH234" s="176">
        <f t="shared" si="94"/>
        <v>9</v>
      </c>
      <c r="AI234" s="225">
        <f t="shared" si="95"/>
        <v>3.5513934128845932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IF(t&gt;Tmaj,'2024'!Wh/'2024'!Env_an*'2025'!Env_an,0.001*'[10]mon-tableau (1)'!$B$148)</f>
        <v>44.271433515885192</v>
      </c>
      <c r="C235" s="839"/>
      <c r="D235" s="393">
        <f t="shared" si="77"/>
        <v>48.071821639199364</v>
      </c>
      <c r="E235" s="385">
        <f t="shared" si="100"/>
        <v>50.13835279744805</v>
      </c>
      <c r="F235" s="385">
        <f t="shared" si="78"/>
        <v>50.749041783520425</v>
      </c>
      <c r="G235" s="110">
        <f t="shared" si="101"/>
        <v>0.92564836095639336</v>
      </c>
      <c r="H235" s="414" t="b">
        <f>Wh_hp&gt;='2024'!Maxi_hp</f>
        <v>0</v>
      </c>
      <c r="I235" s="390">
        <f>IF(H235,Wh_hp,'2024'!Maxi_hp)</f>
        <v>52.165063941951729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7.9056461638541436E-2</v>
      </c>
      <c r="M235" s="843"/>
      <c r="N235" s="843"/>
      <c r="O235" s="48">
        <f>IF(t&lt;Tnet,'2024'!Resal+('2024'!Salim-'2024'!Resal)*(1-EXP(('2024'!Tnet-t)/('2024'!Tau_j))),Resal+(Salim-Resal)*(1-EXP((Tnet-t)/(Tau_j))))*Salcycl</f>
        <v>4.121657459703916E-2</v>
      </c>
      <c r="P235" s="169">
        <f>(INDEX(Models!$BJ235:$BT235,,T235)*(1-R235)+INDEX(Models!$BJ235:$BT235,,T235+1)*R235-ERP_i)*Q235*Ramure*Pc/MaxiM</f>
        <v>1.3435317779763653E-2</v>
      </c>
      <c r="Q235" s="305">
        <f t="shared" si="80"/>
        <v>0.8</v>
      </c>
      <c r="R235" s="177">
        <f t="shared" si="81"/>
        <v>0.35249029876204352</v>
      </c>
      <c r="S235" s="809">
        <f t="shared" si="82"/>
        <v>2</v>
      </c>
      <c r="T235" s="176">
        <f t="shared" si="83"/>
        <v>8</v>
      </c>
      <c r="U235" s="251">
        <f t="shared" si="84"/>
        <v>2.3524902987620435</v>
      </c>
      <c r="V235" s="383">
        <f t="shared" si="85"/>
        <v>47.759623786353139</v>
      </c>
      <c r="W235" s="402">
        <f t="shared" si="86"/>
        <v>44.271433515885192</v>
      </c>
      <c r="X235" s="157">
        <f t="shared" si="87"/>
        <v>45878</v>
      </c>
      <c r="Y235" s="385">
        <f t="shared" si="88"/>
        <v>39.201244719349162</v>
      </c>
      <c r="Z235" s="385">
        <f t="shared" si="89"/>
        <v>42.566393146203033</v>
      </c>
      <c r="AA235" s="386">
        <f t="shared" si="90"/>
        <v>49.243550763739407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0.1355945603835926</v>
      </c>
      <c r="AD235" s="231">
        <f>(INDEX(Models!$BJ235:$BT235,,AH235)*(1-AF235)+INDEX(Models!$BJ235:$BT235,,AH235+1)*AF235-ERP_i)*AE235*Ramure*Pc/MaxiM</f>
        <v>3.3121197084994128E-2</v>
      </c>
      <c r="AE235" s="305">
        <f t="shared" si="92"/>
        <v>0.8</v>
      </c>
      <c r="AF235" s="177">
        <f t="shared" si="93"/>
        <v>0.55320704592694714</v>
      </c>
      <c r="AG235" s="809">
        <f t="shared" si="99"/>
        <v>3</v>
      </c>
      <c r="AH235" s="176">
        <f t="shared" si="94"/>
        <v>9</v>
      </c>
      <c r="AI235" s="225">
        <f t="shared" si="95"/>
        <v>3.5532070459269471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IF(t&gt;Tmaj,'2024'!Wh/'2024'!Env_an*'2025'!Env_an,0.001*'[10]mon-tableau (1)'!$B$149)</f>
        <v>41.325118802578849</v>
      </c>
      <c r="C236" s="839"/>
      <c r="D236" s="393">
        <f t="shared" si="77"/>
        <v>44.873654948166248</v>
      </c>
      <c r="E236" s="385">
        <f t="shared" si="100"/>
        <v>46.812677011077874</v>
      </c>
      <c r="F236" s="385">
        <f t="shared" si="78"/>
        <v>47.346201088895072</v>
      </c>
      <c r="G236" s="110">
        <f t="shared" si="101"/>
        <v>0.8671217966707444</v>
      </c>
      <c r="H236" s="414" t="b">
        <f>Wh_hp&gt;='2024'!Maxi_hp</f>
        <v>0</v>
      </c>
      <c r="I236" s="390">
        <f>IF(H236,Wh_hp,'2024'!Maxi_hp)</f>
        <v>48.556121526495438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7.9078384626488002E-2</v>
      </c>
      <c r="M236" s="843"/>
      <c r="N236" s="843"/>
      <c r="O236" s="48">
        <f>IF(t&lt;Tnet,'2024'!Resal+('2024'!Salim-'2024'!Resal)*(1-EXP(('2024'!Tnet-t)/('2024'!Tau_j))),Resal+(Salim-Resal)*(1-EXP((Tnet-t)/(Tau_j))))*Salcycl</f>
        <v>4.1420875427670423E-2</v>
      </c>
      <c r="P236" s="169">
        <f>(INDEX(Models!$BJ236:$BT236,,T236)*(1-R236)+INDEX(Models!$BJ236:$BT236,,T236+1)*R236-ERP_i)*Q236*Ramure*Pc/MaxiM</f>
        <v>1.3853311739891738E-2</v>
      </c>
      <c r="Q236" s="305">
        <f t="shared" si="80"/>
        <v>0.8</v>
      </c>
      <c r="R236" s="177">
        <f t="shared" si="81"/>
        <v>0.35424214932112008</v>
      </c>
      <c r="S236" s="809">
        <f t="shared" si="82"/>
        <v>2</v>
      </c>
      <c r="T236" s="176">
        <f t="shared" si="83"/>
        <v>8</v>
      </c>
      <c r="U236" s="251">
        <f t="shared" si="84"/>
        <v>2.3542421493211201</v>
      </c>
      <c r="V236" s="383">
        <f t="shared" si="85"/>
        <v>47.533214963379592</v>
      </c>
      <c r="W236" s="402">
        <f t="shared" si="86"/>
        <v>41.325118802578849</v>
      </c>
      <c r="X236" s="157">
        <f t="shared" si="87"/>
        <v>45879</v>
      </c>
      <c r="Y236" s="385">
        <f t="shared" si="88"/>
        <v>36.63087698894828</v>
      </c>
      <c r="Z236" s="385">
        <f t="shared" si="89"/>
        <v>39.776324474794031</v>
      </c>
      <c r="AA236" s="386">
        <f t="shared" si="90"/>
        <v>46.019535109058204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0.1356643568751589</v>
      </c>
      <c r="AD236" s="231">
        <f>(INDEX(Models!$BJ236:$BT236,,AH236)*(1-AF236)+INDEX(Models!$BJ236:$BT236,,AH236+1)*AF236-ERP_i)*AE236*Ramure*Pc/MaxiM</f>
        <v>3.4447775006859215E-2</v>
      </c>
      <c r="AE236" s="305">
        <f t="shared" si="92"/>
        <v>0.8</v>
      </c>
      <c r="AF236" s="177">
        <f t="shared" si="93"/>
        <v>0.5549588964860237</v>
      </c>
      <c r="AG236" s="809">
        <f t="shared" si="99"/>
        <v>3</v>
      </c>
      <c r="AH236" s="176">
        <f t="shared" si="94"/>
        <v>9</v>
      </c>
      <c r="AI236" s="225">
        <f t="shared" si="95"/>
        <v>3.5549588964860237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IF(t&gt;Tmaj,'2024'!Wh/'2024'!Env_an*'2025'!Env_an,0.001*'[10]mon-tableau (1)'!$B$150)</f>
        <v>39.386708426685118</v>
      </c>
      <c r="C237" s="839"/>
      <c r="D237" s="393">
        <f t="shared" si="77"/>
        <v>42.769813835896308</v>
      </c>
      <c r="E237" s="385">
        <f t="shared" si="100"/>
        <v>44.627420474777622</v>
      </c>
      <c r="F237" s="385">
        <f t="shared" si="78"/>
        <v>45.118995768047867</v>
      </c>
      <c r="G237" s="110">
        <f t="shared" si="101"/>
        <v>0.82979534341374506</v>
      </c>
      <c r="H237" s="414" t="b">
        <f>Wh_hp&gt;='2024'!Maxi_hp</f>
        <v>0</v>
      </c>
      <c r="I237" s="390">
        <f>IF(H237,Wh_hp,'2024'!Maxi_hp)</f>
        <v>47.670695144219835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7.9100307104254558E-2</v>
      </c>
      <c r="M237" s="843"/>
      <c r="N237" s="843"/>
      <c r="O237" s="48">
        <f>IF(t&lt;Tnet,'2024'!Resal+('2024'!Salim-'2024'!Resal)*(1-EXP(('2024'!Tnet-t)/('2024'!Tau_j))),Resal+(Salim-Resal)*(1-EXP((Tnet-t)/(Tau_j))))*Salcycl</f>
        <v>4.1624781784804089E-2</v>
      </c>
      <c r="P237" s="169">
        <f>(INDEX(Models!$BJ237:$BT237,,T237)*(1-R237)+INDEX(Models!$BJ237:$BT237,,T237+1)*R237-ERP_i)*Q237*Ramure*Pc/MaxiM</f>
        <v>1.4317433408416479E-2</v>
      </c>
      <c r="Q237" s="305">
        <f t="shared" si="80"/>
        <v>0.8</v>
      </c>
      <c r="R237" s="177">
        <f t="shared" si="81"/>
        <v>0.35593391664873142</v>
      </c>
      <c r="S237" s="809">
        <f t="shared" si="82"/>
        <v>2</v>
      </c>
      <c r="T237" s="176">
        <f t="shared" si="83"/>
        <v>8</v>
      </c>
      <c r="U237" s="251">
        <f t="shared" si="84"/>
        <v>2.3559339166487314</v>
      </c>
      <c r="V237" s="383">
        <f t="shared" si="85"/>
        <v>47.301336309567787</v>
      </c>
      <c r="W237" s="402">
        <f t="shared" si="86"/>
        <v>39.386708426685118</v>
      </c>
      <c r="X237" s="157">
        <f t="shared" si="87"/>
        <v>45880</v>
      </c>
      <c r="Y237" s="385">
        <f t="shared" si="88"/>
        <v>34.930418061124819</v>
      </c>
      <c r="Z237" s="385">
        <f t="shared" si="89"/>
        <v>37.930752209599525</v>
      </c>
      <c r="AA237" s="386">
        <f t="shared" si="90"/>
        <v>43.887808445264405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0.13573373669579206</v>
      </c>
      <c r="AD237" s="231">
        <f>(INDEX(Models!$BJ237:$BT237,,AH237)*(1-AF237)+INDEX(Models!$BJ237:$BT237,,AH237+1)*AF237-ERP_i)*AE237*Ramure*Pc/MaxiM</f>
        <v>3.5859089642139345E-2</v>
      </c>
      <c r="AE237" s="305">
        <f t="shared" si="92"/>
        <v>0.8</v>
      </c>
      <c r="AF237" s="177">
        <f t="shared" si="93"/>
        <v>0.55665066381363459</v>
      </c>
      <c r="AG237" s="809">
        <f t="shared" si="99"/>
        <v>3</v>
      </c>
      <c r="AH237" s="176">
        <f t="shared" si="94"/>
        <v>9</v>
      </c>
      <c r="AI237" s="225">
        <f t="shared" si="95"/>
        <v>3.5566506638136346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IF(t&gt;Tmaj,'2024'!Wh/'2024'!Env_an*'2025'!Env_an,0.001*'[10]mon-tableau (1)'!$B$151)</f>
        <v>40.720763072387093</v>
      </c>
      <c r="C238" s="839"/>
      <c r="D238" s="393">
        <f t="shared" si="77"/>
        <v>44.219509209506583</v>
      </c>
      <c r="E238" s="385">
        <f t="shared" si="100"/>
        <v>46.149879835095419</v>
      </c>
      <c r="F238" s="385">
        <f t="shared" si="78"/>
        <v>46.70914681415185</v>
      </c>
      <c r="G238" s="110">
        <f t="shared" si="101"/>
        <v>0.86272284355227935</v>
      </c>
      <c r="H238" s="414" t="b">
        <f>Wh_hp&gt;='2024'!Maxi_hp</f>
        <v>0</v>
      </c>
      <c r="I238" s="390">
        <f>IF(H238,Wh_hp,'2024'!Maxi_hp)</f>
        <v>46.829298793552006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7.9122229071852984E-2</v>
      </c>
      <c r="M238" s="843"/>
      <c r="N238" s="843"/>
      <c r="O238" s="48">
        <f>IF(t&lt;Tnet,'2024'!Resal+('2024'!Salim-'2024'!Resal)*(1-EXP(('2024'!Tnet-t)/('2024'!Tau_j))),Resal+(Salim-Resal)*(1-EXP((Tnet-t)/(Tau_j))))*Salcycl</f>
        <v>4.1828291481722395E-2</v>
      </c>
      <c r="P238" s="169">
        <f>(INDEX(Models!$BJ238:$BT238,,T238)*(1-R238)+INDEX(Models!$BJ238:$BT238,,T238+1)*R238-ERP_i)*Q238*Ramure*Pc/MaxiM</f>
        <v>1.4828438967612344E-2</v>
      </c>
      <c r="Q238" s="305">
        <f t="shared" si="80"/>
        <v>0.8</v>
      </c>
      <c r="R238" s="177">
        <f t="shared" si="81"/>
        <v>0.35756728343381061</v>
      </c>
      <c r="S238" s="809">
        <f t="shared" si="82"/>
        <v>2</v>
      </c>
      <c r="T238" s="176">
        <f t="shared" si="83"/>
        <v>8</v>
      </c>
      <c r="U238" s="251">
        <f t="shared" si="84"/>
        <v>2.3575672834338106</v>
      </c>
      <c r="V238" s="383">
        <f t="shared" si="85"/>
        <v>47.06389177055339</v>
      </c>
      <c r="W238" s="402">
        <f t="shared" si="86"/>
        <v>40.720763072387093</v>
      </c>
      <c r="X238" s="157">
        <f t="shared" si="87"/>
        <v>45881</v>
      </c>
      <c r="Y238" s="385">
        <f t="shared" si="88"/>
        <v>36.050823600559397</v>
      </c>
      <c r="Z238" s="385">
        <f t="shared" si="89"/>
        <v>39.148326454035256</v>
      </c>
      <c r="AA238" s="386">
        <f t="shared" si="90"/>
        <v>45.300218193583696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0.13580269554683494</v>
      </c>
      <c r="AD238" s="231">
        <f>(INDEX(Models!$BJ238:$BT238,,AH238)*(1-AF238)+INDEX(Models!$BJ238:$BT238,,AH238+1)*AF238-ERP_i)*AE238*Ramure*Pc/MaxiM</f>
        <v>3.7356419817714898E-2</v>
      </c>
      <c r="AE238" s="305">
        <f t="shared" si="92"/>
        <v>0.8</v>
      </c>
      <c r="AF238" s="177">
        <f t="shared" si="93"/>
        <v>0.55828403059871423</v>
      </c>
      <c r="AG238" s="809">
        <f t="shared" si="99"/>
        <v>3</v>
      </c>
      <c r="AH238" s="176">
        <f t="shared" si="94"/>
        <v>9</v>
      </c>
      <c r="AI238" s="225">
        <f t="shared" si="95"/>
        <v>3.5582840305987142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IF(t&gt;Tmaj,'2024'!Wh/'2024'!Env_an*'2025'!Env_an,0.001*'[10]mon-tableau (1)'!$B$152)</f>
        <v>31.557681190407813</v>
      </c>
      <c r="C239" s="839"/>
      <c r="D239" s="393">
        <f t="shared" si="77"/>
        <v>34.269947037363913</v>
      </c>
      <c r="E239" s="385">
        <f t="shared" si="100"/>
        <v>35.773559905412256</v>
      </c>
      <c r="F239" s="385">
        <f t="shared" si="78"/>
        <v>36.070104272588992</v>
      </c>
      <c r="G239" s="110">
        <f t="shared" si="101"/>
        <v>0.66914022635748682</v>
      </c>
      <c r="H239" s="414" t="b">
        <f>Wh_hp&gt;='2024'!Maxi_hp</f>
        <v>0</v>
      </c>
      <c r="I239" s="390">
        <f>IF(H239,Wh_hp,'2024'!Maxi_hp)</f>
        <v>47.124763109850662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7.914415052929516E-2</v>
      </c>
      <c r="M239" s="843"/>
      <c r="N239" s="843"/>
      <c r="O239" s="48">
        <f>IF(t&lt;Tnet,'2024'!Resal+('2024'!Salim-'2024'!Resal)*(1-EXP(('2024'!Tnet-t)/('2024'!Tau_j))),Resal+(Salim-Resal)*(1-EXP((Tnet-t)/(Tau_j))))*Salcycl</f>
        <v>4.2031401739832309E-2</v>
      </c>
      <c r="P239" s="169">
        <f>(INDEX(Models!$BJ239:$BT239,,T239)*(1-R239)+INDEX(Models!$BJ239:$BT239,,T239+1)*R239-ERP_i)*Q239*Ramure*Pc/MaxiM</f>
        <v>1.5387108943386012E-2</v>
      </c>
      <c r="Q239" s="305">
        <f t="shared" si="80"/>
        <v>0.8</v>
      </c>
      <c r="R239" s="177">
        <f t="shared" si="81"/>
        <v>0.35914391342710283</v>
      </c>
      <c r="S239" s="809">
        <f t="shared" si="82"/>
        <v>2</v>
      </c>
      <c r="T239" s="176">
        <f t="shared" si="83"/>
        <v>8</v>
      </c>
      <c r="U239" s="251">
        <f t="shared" si="84"/>
        <v>2.3591439134271028</v>
      </c>
      <c r="V239" s="383">
        <f t="shared" si="85"/>
        <v>46.820786083460675</v>
      </c>
      <c r="W239" s="402">
        <f t="shared" si="86"/>
        <v>31.557681190407813</v>
      </c>
      <c r="X239" s="157">
        <f t="shared" si="87"/>
        <v>45882</v>
      </c>
      <c r="Y239" s="385">
        <f t="shared" si="88"/>
        <v>28.105165909079084</v>
      </c>
      <c r="Z239" s="385">
        <f t="shared" si="89"/>
        <v>30.520700851532347</v>
      </c>
      <c r="AA239" s="386">
        <f t="shared" si="90"/>
        <v>35.319621120005387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0.13587122727528028</v>
      </c>
      <c r="AD239" s="231">
        <f>(INDEX(Models!$BJ239:$BT239,,AH239)*(1-AF239)+INDEX(Models!$BJ239:$BT239,,AH239+1)*AF239-ERP_i)*AE239*Ramure*Pc/MaxiM</f>
        <v>3.8941107325426029E-2</v>
      </c>
      <c r="AE239" s="305">
        <f t="shared" si="92"/>
        <v>0.8</v>
      </c>
      <c r="AF239" s="177">
        <f t="shared" si="93"/>
        <v>0.55986066059200645</v>
      </c>
      <c r="AG239" s="809">
        <f t="shared" si="99"/>
        <v>3</v>
      </c>
      <c r="AH239" s="176">
        <f t="shared" si="94"/>
        <v>9</v>
      </c>
      <c r="AI239" s="225">
        <f t="shared" si="95"/>
        <v>3.5598606605920065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IF(t&gt;Tmaj,'2024'!Wh/'2024'!Env_an*'2025'!Env_an,0.001*'[10]mon-tableau (1)'!$B$153)</f>
        <v>28.533191503396846</v>
      </c>
      <c r="C240" s="839"/>
      <c r="D240" s="393">
        <f t="shared" si="77"/>
        <v>30.986251287624608</v>
      </c>
      <c r="E240" s="385">
        <f t="shared" si="100"/>
        <v>32.352636052303367</v>
      </c>
      <c r="F240" s="385">
        <f t="shared" si="78"/>
        <v>32.585741143685311</v>
      </c>
      <c r="G240" s="110">
        <f t="shared" si="101"/>
        <v>0.60721393686007585</v>
      </c>
      <c r="H240" s="414" t="b">
        <f>Wh_hp&gt;='2024'!Maxi_hp</f>
        <v>0</v>
      </c>
      <c r="I240" s="390">
        <f>IF(H240,Wh_hp,'2024'!Maxi_hp)</f>
        <v>53.688303667232056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7.9166071476593075E-2</v>
      </c>
      <c r="M240" s="843"/>
      <c r="N240" s="843"/>
      <c r="O240" s="48">
        <f>IF(t&lt;Tnet,'2024'!Resal+('2024'!Salim-'2024'!Resal)*(1-EXP(('2024'!Tnet-t)/('2024'!Tau_j))),Resal+(Salim-Resal)*(1-EXP((Tnet-t)/(Tau_j))))*Salcycl</f>
        <v>4.2234109222808756E-2</v>
      </c>
      <c r="P240" s="169">
        <f>(INDEX(Models!$BJ240:$BT240,,T240)*(1-R240)+INDEX(Models!$BJ240:$BT240,,T240+1)*R240-ERP_i)*Q240*Ramure*Pc/MaxiM</f>
        <v>1.6014713358955036E-2</v>
      </c>
      <c r="Q240" s="305">
        <f t="shared" si="80"/>
        <v>0.8</v>
      </c>
      <c r="R240" s="177">
        <f t="shared" si="81"/>
        <v>0.36066544930024147</v>
      </c>
      <c r="S240" s="809">
        <f t="shared" si="82"/>
        <v>2</v>
      </c>
      <c r="T240" s="176">
        <f t="shared" si="83"/>
        <v>8</v>
      </c>
      <c r="U240" s="251">
        <f t="shared" si="84"/>
        <v>2.3606654493002415</v>
      </c>
      <c r="V240" s="383">
        <f t="shared" si="85"/>
        <v>46.570956282677862</v>
      </c>
      <c r="W240" s="402">
        <f t="shared" si="86"/>
        <v>28.533191503396846</v>
      </c>
      <c r="X240" s="157">
        <f t="shared" si="87"/>
        <v>45883</v>
      </c>
      <c r="Y240" s="385">
        <f t="shared" si="88"/>
        <v>25.456754636528057</v>
      </c>
      <c r="Z240" s="385">
        <f t="shared" si="89"/>
        <v>27.645326532818956</v>
      </c>
      <c r="AA240" s="386">
        <f t="shared" si="90"/>
        <v>31.994658825973833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0.1359393240231713</v>
      </c>
      <c r="AD240" s="231">
        <f>(INDEX(Models!$BJ240:$BT240,,AH240)*(1-AF240)+INDEX(Models!$BJ240:$BT240,,AH240+1)*AF240-ERP_i)*AE240*Ramure*Pc/MaxiM</f>
        <v>4.0608353226339135E-2</v>
      </c>
      <c r="AE240" s="305">
        <f t="shared" si="92"/>
        <v>0.8</v>
      </c>
      <c r="AF240" s="177">
        <f t="shared" si="93"/>
        <v>0.56138219646514509</v>
      </c>
      <c r="AG240" s="809">
        <f t="shared" si="99"/>
        <v>3</v>
      </c>
      <c r="AH240" s="176">
        <f t="shared" si="94"/>
        <v>9</v>
      </c>
      <c r="AI240" s="225">
        <f t="shared" si="95"/>
        <v>3.5613821964651451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IF(t&gt;Tmaj,'2024'!Wh/'2024'!Env_an*'2025'!Env_an,0.001*'[10]mon-tableau (1)'!$B$154)</f>
        <v>34.764198139518598</v>
      </c>
      <c r="C241" s="839"/>
      <c r="D241" s="393">
        <f t="shared" si="77"/>
        <v>37.753849682923168</v>
      </c>
      <c r="E241" s="385">
        <f t="shared" si="100"/>
        <v>39.426989580609536</v>
      </c>
      <c r="F241" s="385">
        <f t="shared" si="78"/>
        <v>39.855209853498963</v>
      </c>
      <c r="G241" s="110">
        <f t="shared" si="101"/>
        <v>0.74608632884436632</v>
      </c>
      <c r="H241" s="414" t="b">
        <f>Wh_hp&gt;='2024'!Maxi_hp</f>
        <v>0</v>
      </c>
      <c r="I241" s="390">
        <f>IF(H241,Wh_hp,'2024'!Maxi_hp)</f>
        <v>46.59214980096219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7.9187991913758499E-2</v>
      </c>
      <c r="M241" s="843"/>
      <c r="N241" s="843"/>
      <c r="O241" s="48">
        <f>IF(t&lt;Tnet,'2024'!Resal+('2024'!Salim-'2024'!Resal)*(1-EXP(('2024'!Tnet-t)/('2024'!Tau_j))),Resal+(Salim-Resal)*(1-EXP((Tnet-t)/(Tau_j))))*Salcycl</f>
        <v>4.2436410070456648E-2</v>
      </c>
      <c r="P241" s="169">
        <f>(INDEX(Models!$BJ241:$BT241,,T241)*(1-R241)+INDEX(Models!$BJ241:$BT241,,T241+1)*R241-ERP_i)*Q241*Ramure*Pc/MaxiM</f>
        <v>1.6691308054488759E-2</v>
      </c>
      <c r="Q241" s="305">
        <f t="shared" si="80"/>
        <v>0.8</v>
      </c>
      <c r="R241" s="177">
        <f t="shared" si="81"/>
        <v>0.3621335107278898</v>
      </c>
      <c r="S241" s="809">
        <f t="shared" si="82"/>
        <v>2</v>
      </c>
      <c r="T241" s="176">
        <f t="shared" si="83"/>
        <v>8</v>
      </c>
      <c r="U241" s="251">
        <f t="shared" si="84"/>
        <v>2.3621335107278898</v>
      </c>
      <c r="V241" s="383">
        <f t="shared" si="85"/>
        <v>46.315301403845325</v>
      </c>
      <c r="W241" s="402">
        <f t="shared" si="86"/>
        <v>34.764198139518598</v>
      </c>
      <c r="X241" s="157">
        <f t="shared" si="87"/>
        <v>45884</v>
      </c>
      <c r="Y241" s="385">
        <f t="shared" si="88"/>
        <v>30.844027634028127</v>
      </c>
      <c r="Z241" s="385">
        <f t="shared" si="89"/>
        <v>33.496552350715362</v>
      </c>
      <c r="AA241" s="386">
        <f t="shared" si="90"/>
        <v>38.769470857598932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0.13600697637197867</v>
      </c>
      <c r="AD241" s="231">
        <f>(INDEX(Models!$BJ241:$BT241,,AH241)*(1-AF241)+INDEX(Models!$BJ241:$BT241,,AH241+1)*AF241-ERP_i)*AE241*Ramure*Pc/MaxiM</f>
        <v>4.2320285130493976E-2</v>
      </c>
      <c r="AE241" s="305">
        <f t="shared" si="92"/>
        <v>0.8</v>
      </c>
      <c r="AF241" s="177">
        <f t="shared" si="93"/>
        <v>0.56285025789279342</v>
      </c>
      <c r="AG241" s="809">
        <f t="shared" si="99"/>
        <v>3</v>
      </c>
      <c r="AH241" s="176">
        <f t="shared" si="94"/>
        <v>9</v>
      </c>
      <c r="AI241" s="225">
        <f t="shared" si="95"/>
        <v>3.5628502578927934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IF(t&gt;Tmaj,'2024'!Wh/'2024'!Env_an*'2025'!Env_an,0.001*'[10]mon-tableau (1)'!$B$155)</f>
        <v>31.471551516870033</v>
      </c>
      <c r="C242" s="839"/>
      <c r="D242" s="393">
        <f t="shared" si="77"/>
        <v>34.178855660562753</v>
      </c>
      <c r="E242" s="385">
        <f t="shared" si="100"/>
        <v>35.701089419101322</v>
      </c>
      <c r="F242" s="385">
        <f t="shared" si="78"/>
        <v>36.044924102311214</v>
      </c>
      <c r="G242" s="110">
        <f t="shared" si="101"/>
        <v>0.67793009467547782</v>
      </c>
      <c r="H242" s="414" t="b">
        <f>Wh_hp&gt;='2024'!Maxi_hp</f>
        <v>0</v>
      </c>
      <c r="I242" s="390">
        <f>IF(H242,Wh_hp,'2024'!Maxi_hp)</f>
        <v>52.312778726424021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7.9209911840803421E-2</v>
      </c>
      <c r="M242" s="843"/>
      <c r="N242" s="843"/>
      <c r="O242" s="48">
        <f>IF(t&lt;Tnet,'2024'!Resal+('2024'!Salim-'2024'!Resal)*(1-EXP(('2024'!Tnet-t)/('2024'!Tau_j))),Resal+(Salim-Resal)*(1-EXP((Tnet-t)/(Tau_j))))*Salcycl</f>
        <v>4.2638299931657582E-2</v>
      </c>
      <c r="P242" s="169">
        <f>(INDEX(Models!$BJ242:$BT242,,T242)*(1-R242)+INDEX(Models!$BJ242:$BT242,,T242+1)*R242-ERP_i)*Q242*Ramure*Pc/MaxiM</f>
        <v>1.7417671751525577E-2</v>
      </c>
      <c r="Q242" s="305">
        <f t="shared" si="80"/>
        <v>0.8</v>
      </c>
      <c r="R242" s="177">
        <f t="shared" si="81"/>
        <v>0.36354969268151205</v>
      </c>
      <c r="S242" s="809">
        <f t="shared" si="82"/>
        <v>2</v>
      </c>
      <c r="T242" s="176">
        <f t="shared" si="83"/>
        <v>8</v>
      </c>
      <c r="U242" s="251">
        <f t="shared" si="84"/>
        <v>2.363549692681512</v>
      </c>
      <c r="V242" s="383">
        <f t="shared" si="85"/>
        <v>46.05373268957679</v>
      </c>
      <c r="W242" s="402">
        <f t="shared" si="86"/>
        <v>31.471551516870033</v>
      </c>
      <c r="X242" s="157">
        <f t="shared" si="87"/>
        <v>45885</v>
      </c>
      <c r="Y242" s="385">
        <f t="shared" si="88"/>
        <v>27.98135958449668</v>
      </c>
      <c r="Z242" s="385">
        <f t="shared" si="89"/>
        <v>30.388423967981446</v>
      </c>
      <c r="AA242" s="386">
        <f t="shared" si="90"/>
        <v>35.174806719685499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0.13607417348011658</v>
      </c>
      <c r="AD242" s="231">
        <f>(INDEX(Models!$BJ242:$BT242,,AH242)*(1-AF242)+INDEX(Models!$BJ242:$BT242,,AH242+1)*AF242-ERP_i)*AE242*Ramure*Pc/MaxiM</f>
        <v>4.4077632932160001E-2</v>
      </c>
      <c r="AE242" s="305">
        <f t="shared" si="92"/>
        <v>0.8</v>
      </c>
      <c r="AF242" s="177">
        <f t="shared" si="93"/>
        <v>0.56426643984641611</v>
      </c>
      <c r="AG242" s="809">
        <f t="shared" si="99"/>
        <v>3</v>
      </c>
      <c r="AH242" s="176">
        <f t="shared" si="94"/>
        <v>9</v>
      </c>
      <c r="AI242" s="225">
        <f t="shared" si="95"/>
        <v>3.5642664398464161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IF(t&gt;Tmaj,'2024'!Wh/'2024'!Env_an*'2025'!Env_an,0.001*'[10]mon-tableau (1)'!$B$156)</f>
        <v>25.092330289299117</v>
      </c>
      <c r="C243" s="839"/>
      <c r="D243" s="393">
        <f t="shared" si="77"/>
        <v>27.251517961979971</v>
      </c>
      <c r="E243" s="385">
        <f t="shared" si="100"/>
        <v>28.471218529153923</v>
      </c>
      <c r="F243" s="385">
        <f t="shared" si="78"/>
        <v>28.655962193050385</v>
      </c>
      <c r="G243" s="110">
        <f t="shared" si="101"/>
        <v>0.54155317203729181</v>
      </c>
      <c r="H243" s="414" t="b">
        <f>Wh_hp&gt;='2024'!Maxi_hp</f>
        <v>0</v>
      </c>
      <c r="I243" s="390">
        <f>IF(H243,Wh_hp,'2024'!Maxi_hp)</f>
        <v>51.695304108145685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7.9231831257739499E-2</v>
      </c>
      <c r="M243" s="843"/>
      <c r="N243" s="843"/>
      <c r="O243" s="48">
        <f>IF(t&lt;Tnet,'2024'!Resal+('2024'!Salim-'2024'!Resal)*(1-EXP(('2024'!Tnet-t)/('2024'!Tau_j))),Resal+(Salim-Resal)*(1-EXP((Tnet-t)/(Tau_j))))*Salcycl</f>
        <v>4.2839773995798698E-2</v>
      </c>
      <c r="P243" s="169">
        <f>(INDEX(Models!$BJ243:$BT243,,T243)*(1-R243)+INDEX(Models!$BJ243:$BT243,,T243+1)*R243-ERP_i)*Q243*Ramure*Pc/MaxiM</f>
        <v>1.8194621663768819E-2</v>
      </c>
      <c r="Q243" s="305">
        <f t="shared" si="80"/>
        <v>0.8</v>
      </c>
      <c r="R243" s="177">
        <f t="shared" si="81"/>
        <v>0.36491556392333546</v>
      </c>
      <c r="S243" s="809">
        <f t="shared" si="82"/>
        <v>2</v>
      </c>
      <c r="T243" s="176">
        <f t="shared" si="83"/>
        <v>8</v>
      </c>
      <c r="U243" s="251">
        <f t="shared" si="84"/>
        <v>2.3649155639233355</v>
      </c>
      <c r="V243" s="383">
        <f t="shared" si="85"/>
        <v>45.786161850948545</v>
      </c>
      <c r="W243" s="402">
        <f t="shared" si="86"/>
        <v>25.092330289299117</v>
      </c>
      <c r="X243" s="157">
        <f t="shared" si="87"/>
        <v>45886</v>
      </c>
      <c r="Y243" s="385">
        <f t="shared" si="88"/>
        <v>22.422795891508599</v>
      </c>
      <c r="Z243" s="385">
        <f t="shared" si="89"/>
        <v>24.352270911077881</v>
      </c>
      <c r="AA243" s="386">
        <f t="shared" si="90"/>
        <v>28.190096048790945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0.13614090321191605</v>
      </c>
      <c r="AD243" s="231">
        <f>(INDEX(Models!$BJ243:$BT243,,AH243)*(1-AF243)+INDEX(Models!$BJ243:$BT243,,AH243+1)*AF243-ERP_i)*AE243*Ramure*Pc/MaxiM</f>
        <v>4.5881185107975897E-2</v>
      </c>
      <c r="AE243" s="305">
        <f t="shared" si="92"/>
        <v>0.8</v>
      </c>
      <c r="AF243" s="177">
        <f t="shared" si="93"/>
        <v>0.56563231108823908</v>
      </c>
      <c r="AG243" s="809">
        <f t="shared" si="99"/>
        <v>3</v>
      </c>
      <c r="AH243" s="176">
        <f t="shared" si="94"/>
        <v>9</v>
      </c>
      <c r="AI243" s="225">
        <f t="shared" si="95"/>
        <v>3.5656323110882391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IF(t&gt;Tmaj,'2024'!Wh/'2024'!Env_an*'2025'!Env_an,0.001*'[10]mon-tableau (1)'!$B$157)</f>
        <v>33.821667645247665</v>
      </c>
      <c r="C244" s="839"/>
      <c r="D244" s="393">
        <f t="shared" si="77"/>
        <v>36.732886668062037</v>
      </c>
      <c r="E244" s="385">
        <f t="shared" si="100"/>
        <v>38.385009209699113</v>
      </c>
      <c r="F244" s="385">
        <f t="shared" si="78"/>
        <v>38.852889772381573</v>
      </c>
      <c r="G244" s="110">
        <f t="shared" si="101"/>
        <v>0.73787842179434016</v>
      </c>
      <c r="H244" s="414" t="b">
        <f>Wh_hp&gt;='2024'!Maxi_hp</f>
        <v>0</v>
      </c>
      <c r="I244" s="390">
        <f>IF(H244,Wh_hp,'2024'!Maxi_hp)</f>
        <v>51.933307624444232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7.9253750164578723E-2</v>
      </c>
      <c r="M244" s="843"/>
      <c r="N244" s="843"/>
      <c r="O244" s="48">
        <f>IF(t&lt;Tnet,'2024'!Resal+('2024'!Salim-'2024'!Resal)*(1-EXP(('2024'!Tnet-t)/('2024'!Tau_j))),Resal+(Salim-Resal)*(1-EXP((Tnet-t)/(Tau_j))))*Salcycl</f>
        <v>4.30408270221182E-2</v>
      </c>
      <c r="P244" s="169">
        <f>(INDEX(Models!$BJ244:$BT244,,T244)*(1-R244)+INDEX(Models!$BJ244:$BT244,,T244+1)*R244-ERP_i)*Q244*Ramure*Pc/MaxiM</f>
        <v>1.9023015751544459E-2</v>
      </c>
      <c r="Q244" s="305">
        <f t="shared" si="80"/>
        <v>0.8</v>
      </c>
      <c r="R244" s="177">
        <f t="shared" si="81"/>
        <v>0.36623266568911195</v>
      </c>
      <c r="S244" s="809">
        <f t="shared" si="82"/>
        <v>2</v>
      </c>
      <c r="T244" s="176">
        <f t="shared" si="83"/>
        <v>8</v>
      </c>
      <c r="U244" s="251">
        <f t="shared" si="84"/>
        <v>2.3662326656891119</v>
      </c>
      <c r="V244" s="383">
        <f t="shared" si="85"/>
        <v>45.512501078768054</v>
      </c>
      <c r="W244" s="402">
        <f t="shared" si="86"/>
        <v>33.821667645247665</v>
      </c>
      <c r="X244" s="157">
        <f t="shared" si="87"/>
        <v>45887</v>
      </c>
      <c r="Y244" s="385">
        <f t="shared" si="88"/>
        <v>29.967313249933753</v>
      </c>
      <c r="Z244" s="385">
        <f t="shared" si="89"/>
        <v>32.546766555161376</v>
      </c>
      <c r="AA244" s="386">
        <f t="shared" si="90"/>
        <v>37.678902575062722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0.13620715225655172</v>
      </c>
      <c r="AD244" s="231">
        <f>(INDEX(Models!$BJ244:$BT244,,AH244)*(1-AF244)+INDEX(Models!$BJ244:$BT244,,AH244+1)*AF244-ERP_i)*AE244*Ramure*Pc/MaxiM</f>
        <v>4.773179039255137E-2</v>
      </c>
      <c r="AE244" s="305">
        <f t="shared" si="92"/>
        <v>0.8</v>
      </c>
      <c r="AF244" s="177">
        <f t="shared" si="93"/>
        <v>0.56694941285401557</v>
      </c>
      <c r="AG244" s="809">
        <f t="shared" si="99"/>
        <v>3</v>
      </c>
      <c r="AH244" s="176">
        <f t="shared" si="94"/>
        <v>9</v>
      </c>
      <c r="AI244" s="225">
        <f t="shared" si="95"/>
        <v>3.5669494128540156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IF(t&gt;Tmaj,'2024'!Wh/'2024'!Env_an*'2025'!Env_an,0.001*'[10]mon-tableau (1)'!$B$158)</f>
        <v>35.072649792388951</v>
      </c>
      <c r="C245" s="839"/>
      <c r="D245" s="393">
        <f t="shared" si="77"/>
        <v>38.092454597769333</v>
      </c>
      <c r="E245" s="385">
        <f t="shared" si="100"/>
        <v>39.81407297776579</v>
      </c>
      <c r="F245" s="385">
        <f t="shared" si="78"/>
        <v>40.359614579800073</v>
      </c>
      <c r="G245" s="110">
        <f t="shared" si="101"/>
        <v>0.77036323543233087</v>
      </c>
      <c r="H245" s="414" t="b">
        <f>Wh_hp&gt;='2024'!Maxi_hp</f>
        <v>0</v>
      </c>
      <c r="I245" s="390">
        <f>IF(H245,Wh_hp,'2024'!Maxi_hp)</f>
        <v>43.525494254603814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7.9275668561332974E-2</v>
      </c>
      <c r="M245" s="843"/>
      <c r="N245" s="843"/>
      <c r="O245" s="48">
        <f>IF(t&lt;Tnet,'2024'!Resal+('2024'!Salim-'2024'!Resal)*(1-EXP(('2024'!Tnet-t)/('2024'!Tau_j))),Resal+(Salim-Resal)*(1-EXP((Tnet-t)/(Tau_j))))*Salcycl</f>
        <v>4.3241453366448974E-2</v>
      </c>
      <c r="P245" s="169">
        <f>(INDEX(Models!$BJ245:$BT245,,T245)*(1-R245)+INDEX(Models!$BJ245:$BT245,,T245+1)*R245-ERP_i)*Q245*Ramure*Pc/MaxiM</f>
        <v>1.9903755088089468E-2</v>
      </c>
      <c r="Q245" s="305">
        <f t="shared" si="80"/>
        <v>0.8</v>
      </c>
      <c r="R245" s="177">
        <f t="shared" si="81"/>
        <v>0.36750251054843908</v>
      </c>
      <c r="S245" s="809">
        <f t="shared" si="82"/>
        <v>2</v>
      </c>
      <c r="T245" s="176">
        <f t="shared" si="83"/>
        <v>8</v>
      </c>
      <c r="U245" s="251">
        <f t="shared" si="84"/>
        <v>2.3675025105484391</v>
      </c>
      <c r="V245" s="383">
        <f t="shared" si="85"/>
        <v>45.232663072590242</v>
      </c>
      <c r="W245" s="402">
        <f t="shared" si="86"/>
        <v>35.072649792388951</v>
      </c>
      <c r="X245" s="157">
        <f t="shared" si="87"/>
        <v>45888</v>
      </c>
      <c r="Y245" s="385">
        <f t="shared" si="88"/>
        <v>31.014368504953424</v>
      </c>
      <c r="Z245" s="385">
        <f t="shared" si="89"/>
        <v>33.684749545493474</v>
      </c>
      <c r="AA245" s="386">
        <f t="shared" si="90"/>
        <v>38.999297102843919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0.13627290623560734</v>
      </c>
      <c r="AD245" s="231">
        <f>(INDEX(Models!$BJ245:$BT245,,AH245)*(1-AF245)+INDEX(Models!$BJ245:$BT245,,AH245+1)*AF245-ERP_i)*AE245*Ramure*Pc/MaxiM</f>
        <v>4.9630359632374228E-2</v>
      </c>
      <c r="AE245" s="305">
        <f t="shared" si="92"/>
        <v>0.8</v>
      </c>
      <c r="AF245" s="177">
        <f t="shared" si="93"/>
        <v>0.5682192577133427</v>
      </c>
      <c r="AG245" s="809">
        <f t="shared" si="99"/>
        <v>3</v>
      </c>
      <c r="AH245" s="176">
        <f t="shared" si="94"/>
        <v>9</v>
      </c>
      <c r="AI245" s="225">
        <f t="shared" si="95"/>
        <v>3.5682192577133427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IF(t&gt;Tmaj,'2024'!Wh/'2024'!Env_an*'2025'!Env_an,0.001*'[10]mon-tableau (1)'!$B$159)</f>
        <v>42.254700138832163</v>
      </c>
      <c r="C246" s="839"/>
      <c r="D246" s="393">
        <f t="shared" si="77"/>
        <v>45.89398215631627</v>
      </c>
      <c r="E246" s="385">
        <f t="shared" si="100"/>
        <v>47.978235737126155</v>
      </c>
      <c r="F246" s="385">
        <f t="shared" si="78"/>
        <v>48.910217853210305</v>
      </c>
      <c r="G246" s="110">
        <f t="shared" si="101"/>
        <v>0.93840113454718177</v>
      </c>
      <c r="H246" s="414" t="b">
        <f>Wh_hp&gt;='2024'!Maxi_hp</f>
        <v>0</v>
      </c>
      <c r="I246" s="390">
        <f>IF(H246,Wh_hp,'2024'!Maxi_hp)</f>
        <v>48.990722574028382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7.9297586448014129E-2</v>
      </c>
      <c r="M246" s="843"/>
      <c r="N246" s="843"/>
      <c r="O246" s="48">
        <f>IF(t&lt;Tnet,'2024'!Resal+('2024'!Salim-'2024'!Resal)*(1-EXP(('2024'!Tnet-t)/('2024'!Tau_j))),Resal+(Salim-Resal)*(1-EXP((Tnet-t)/(Tau_j))))*Salcycl</f>
        <v>4.3441647004895279E-2</v>
      </c>
      <c r="P246" s="169">
        <f>(INDEX(Models!$BJ246:$BT246,,T246)*(1-R246)+INDEX(Models!$BJ246:$BT246,,T246+1)*R246-ERP_i)*Q246*Ramure*Pc/MaxiM</f>
        <v>2.0837786364824525E-2</v>
      </c>
      <c r="Q246" s="305">
        <f t="shared" si="80"/>
        <v>0.8</v>
      </c>
      <c r="R246" s="177">
        <f t="shared" si="81"/>
        <v>0.36872658143158121</v>
      </c>
      <c r="S246" s="809">
        <f t="shared" si="82"/>
        <v>2</v>
      </c>
      <c r="T246" s="176">
        <f t="shared" si="83"/>
        <v>8</v>
      </c>
      <c r="U246" s="251">
        <f t="shared" si="84"/>
        <v>2.3687265814315812</v>
      </c>
      <c r="V246" s="383">
        <f t="shared" si="85"/>
        <v>44.946561051641162</v>
      </c>
      <c r="W246" s="402">
        <f t="shared" si="86"/>
        <v>42.254700138832163</v>
      </c>
      <c r="X246" s="157">
        <f t="shared" si="87"/>
        <v>45889</v>
      </c>
      <c r="Y246" s="385">
        <f t="shared" si="88"/>
        <v>37.057858550456402</v>
      </c>
      <c r="Z246" s="385">
        <f t="shared" si="89"/>
        <v>40.249550783179295</v>
      </c>
      <c r="AA246" s="386">
        <f t="shared" si="90"/>
        <v>46.603367711302361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0.13633814979817691</v>
      </c>
      <c r="AD246" s="231">
        <f>(INDEX(Models!$BJ246:$BT246,,AH246)*(1-AF246)+INDEX(Models!$BJ246:$BT246,,AH246+1)*AF246-ERP_i)*AE246*Ramure*Pc/MaxiM</f>
        <v>5.1577867861578648E-2</v>
      </c>
      <c r="AE246" s="305">
        <f t="shared" si="92"/>
        <v>0.8</v>
      </c>
      <c r="AF246" s="177">
        <f t="shared" si="93"/>
        <v>0.56944332859648483</v>
      </c>
      <c r="AG246" s="809">
        <f t="shared" si="99"/>
        <v>3</v>
      </c>
      <c r="AH246" s="176">
        <f t="shared" si="94"/>
        <v>9</v>
      </c>
      <c r="AI246" s="225">
        <f t="shared" si="95"/>
        <v>3.5694433285964848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IF(t&gt;Tmaj,'2024'!Wh/'2024'!Env_an*'2025'!Env_an,0.001*'[10]mon-tableau (1)'!$B$160)</f>
        <v>27.153707026902488</v>
      </c>
      <c r="C247" s="839"/>
      <c r="D247" s="393">
        <f t="shared" si="77"/>
        <v>29.493083800192075</v>
      </c>
      <c r="E247" s="385">
        <f t="shared" si="100"/>
        <v>30.838938289588157</v>
      </c>
      <c r="F247" s="385">
        <f t="shared" si="78"/>
        <v>31.138050256984585</v>
      </c>
      <c r="G247" s="110">
        <f t="shared" si="101"/>
        <v>0.60058077446384661</v>
      </c>
      <c r="H247" s="414" t="b">
        <f>Wh_hp&gt;='2024'!Maxi_hp</f>
        <v>0</v>
      </c>
      <c r="I247" s="390">
        <f>IF(H247,Wh_hp,'2024'!Maxi_hp)</f>
        <v>48.833127388179392</v>
      </c>
      <c r="J247" s="85">
        <f>IF(H247,An,'2024'!An_max)</f>
        <v>2019</v>
      </c>
      <c r="K247" s="197">
        <f t="shared" si="79"/>
        <v>45890</v>
      </c>
      <c r="L247" s="147">
        <f>IF(t&lt;Tvie,1-EXP((T0-t)*PertePVj)+'2024'!Pspv,1-EXP((T0-t)*PertePVj)+Pspv)</f>
        <v>7.9319503824634069E-2</v>
      </c>
      <c r="M247" s="843"/>
      <c r="N247" s="843"/>
      <c r="O247" s="48">
        <f>IF(t&lt;Tnet,'2024'!Resal+('2024'!Salim-'2024'!Resal)*(1-EXP(('2024'!Tnet-t)/('2024'!Tau_j))),Resal+(Salim-Resal)*(1-EXP((Tnet-t)/(Tau_j))))*Salcycl</f>
        <v>4.3641401554037E-2</v>
      </c>
      <c r="P247" s="169">
        <f>(INDEX(Models!$BJ247:$BT247,,T247)*(1-R247)+INDEX(Models!$BJ247:$BT247,,T247+1)*R247-ERP_i)*Q247*Ramure*Pc/MaxiM</f>
        <v>2.1825886313168289E-2</v>
      </c>
      <c r="Q247" s="305">
        <f t="shared" si="80"/>
        <v>0.8</v>
      </c>
      <c r="R247" s="177">
        <f t="shared" si="81"/>
        <v>0.36990633081197855</v>
      </c>
      <c r="S247" s="809">
        <f t="shared" si="82"/>
        <v>2</v>
      </c>
      <c r="T247" s="176">
        <f t="shared" si="83"/>
        <v>8</v>
      </c>
      <c r="U247" s="251">
        <f t="shared" si="84"/>
        <v>2.3699063308119785</v>
      </c>
      <c r="V247" s="383">
        <f t="shared" si="85"/>
        <v>44.654565209947947</v>
      </c>
      <c r="W247" s="402">
        <f t="shared" si="86"/>
        <v>27.153707026902488</v>
      </c>
      <c r="X247" s="157">
        <f t="shared" si="87"/>
        <v>45890</v>
      </c>
      <c r="Y247" s="385">
        <f t="shared" si="88"/>
        <v>24.174000170784595</v>
      </c>
      <c r="Z247" s="385">
        <f t="shared" si="89"/>
        <v>26.256665880516351</v>
      </c>
      <c r="AA247" s="386">
        <f t="shared" si="90"/>
        <v>30.403836312266627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0.1364028667026165</v>
      </c>
      <c r="AD247" s="231">
        <f>(INDEX(Models!$BJ247:$BT247,,AH247)*(1-AF247)+INDEX(Models!$BJ247:$BT247,,AH247+1)*AF247-ERP_i)*AE247*Ramure*Pc/MaxiM</f>
        <v>5.3574820915535303E-2</v>
      </c>
      <c r="AE247" s="305">
        <f t="shared" si="92"/>
        <v>0.8</v>
      </c>
      <c r="AF247" s="177">
        <f t="shared" si="93"/>
        <v>0.57062307797688216</v>
      </c>
      <c r="AG247" s="809">
        <f t="shared" si="99"/>
        <v>3</v>
      </c>
      <c r="AH247" s="176">
        <f t="shared" si="94"/>
        <v>9</v>
      </c>
      <c r="AI247" s="225">
        <f t="shared" si="95"/>
        <v>3.5706230779768822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IF(t&gt;Tmaj,'2024'!Wh/'2024'!Env_an*'2025'!Env_an,0.001*'[10]mon-tableau (1)'!$B$161)</f>
        <v>23.82974402621133</v>
      </c>
      <c r="C248" s="839"/>
      <c r="D248" s="393">
        <f t="shared" si="77"/>
        <v>25.883367148006194</v>
      </c>
      <c r="E248" s="385">
        <f t="shared" si="100"/>
        <v>27.070141373394026</v>
      </c>
      <c r="F248" s="385">
        <f t="shared" si="78"/>
        <v>27.281643527595566</v>
      </c>
      <c r="G248" s="110">
        <f t="shared" si="101"/>
        <v>0.52904136822379288</v>
      </c>
      <c r="H248" s="414" t="b">
        <f>Wh_hp&gt;='2024'!Maxi_hp</f>
        <v>0</v>
      </c>
      <c r="I248" s="390">
        <f>IF(H248,Wh_hp,'2024'!Maxi_hp)</f>
        <v>52.442438256662555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7.9341420691204673E-2</v>
      </c>
      <c r="M248" s="843"/>
      <c r="N248" s="843"/>
      <c r="O248" s="48">
        <f>IF(t&lt;Tnet,'2024'!Resal+('2024'!Salim-'2024'!Resal)*(1-EXP(('2024'!Tnet-t)/('2024'!Tau_j))),Resal+(Salim-Resal)*(1-EXP((Tnet-t)/(Tau_j))))*Salcycl</f>
        <v>4.3840710287322643E-2</v>
      </c>
      <c r="P248" s="169">
        <f>(INDEX(Models!$BJ248:$BT248,,T248)*(1-R248)+INDEX(Models!$BJ248:$BT248,,T248+1)*R248-ERP_i)*Q248*Ramure*Pc/MaxiM</f>
        <v>2.2875665409450078E-2</v>
      </c>
      <c r="Q248" s="305">
        <f t="shared" si="80"/>
        <v>0.8</v>
      </c>
      <c r="R248" s="177">
        <f t="shared" si="81"/>
        <v>0.37104318003392045</v>
      </c>
      <c r="S248" s="809">
        <f t="shared" si="82"/>
        <v>2</v>
      </c>
      <c r="T248" s="176">
        <f t="shared" si="83"/>
        <v>8</v>
      </c>
      <c r="U248" s="251">
        <f t="shared" si="84"/>
        <v>2.3710431800339205</v>
      </c>
      <c r="V248" s="383">
        <f t="shared" si="85"/>
        <v>44.356735867749215</v>
      </c>
      <c r="W248" s="402">
        <f t="shared" si="86"/>
        <v>23.82974402621133</v>
      </c>
      <c r="X248" s="157">
        <f t="shared" si="87"/>
        <v>45891</v>
      </c>
      <c r="Y248" s="385">
        <f t="shared" si="88"/>
        <v>21.280797668154584</v>
      </c>
      <c r="Z248" s="385">
        <f t="shared" si="89"/>
        <v>23.114755183329319</v>
      </c>
      <c r="AA248" s="386">
        <f t="shared" si="90"/>
        <v>26.767658272397806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0.1364670398842949</v>
      </c>
      <c r="AD248" s="231">
        <f>(INDEX(Models!$BJ248:$BT248,,AH248)*(1-AF248)+INDEX(Models!$BJ248:$BT248,,AH248+1)*AF248-ERP_i)*AE248*Ramure*Pc/MaxiM</f>
        <v>5.5591654693459558E-2</v>
      </c>
      <c r="AE248" s="305">
        <f t="shared" si="92"/>
        <v>0.8</v>
      </c>
      <c r="AF248" s="177">
        <f t="shared" si="93"/>
        <v>0.57175992719882407</v>
      </c>
      <c r="AG248" s="809">
        <f t="shared" si="99"/>
        <v>3</v>
      </c>
      <c r="AH248" s="176">
        <f t="shared" si="94"/>
        <v>9</v>
      </c>
      <c r="AI248" s="225">
        <f t="shared" si="95"/>
        <v>3.5717599271988241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IF(t&gt;Tmaj,'2024'!Wh/'2024'!Env_an*'2025'!Env_an,0.001*'[10]mon-tableau (1)'!$B$162)</f>
        <v>41.641264765874148</v>
      </c>
      <c r="C249" s="839"/>
      <c r="D249" s="393">
        <f t="shared" si="77"/>
        <v>45.230943369494476</v>
      </c>
      <c r="E249" s="385">
        <f t="shared" si="100"/>
        <v>47.314660489879529</v>
      </c>
      <c r="F249" s="385">
        <f t="shared" si="78"/>
        <v>48.383510789948488</v>
      </c>
      <c r="G249" s="110">
        <f t="shared" si="101"/>
        <v>0.94342034400186081</v>
      </c>
      <c r="H249" s="414" t="b">
        <f>Wh_hp&gt;='2024'!Maxi_hp</f>
        <v>0</v>
      </c>
      <c r="I249" s="390">
        <f>IF(H249,Wh_hp,'2024'!Maxi_hp)</f>
        <v>49.838510164075387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7.9363337047737709E-2</v>
      </c>
      <c r="M249" s="843"/>
      <c r="N249" s="843"/>
      <c r="O249" s="48">
        <f>IF(t&lt;Tnet,'2024'!Resal+('2024'!Salim-'2024'!Resal)*(1-EXP(('2024'!Tnet-t)/('2024'!Tau_j))),Resal+(Salim-Resal)*(1-EXP((Tnet-t)/(Tau_j))))*Salcycl</f>
        <v>4.4039566147383691E-2</v>
      </c>
      <c r="P249" s="169">
        <f>(INDEX(Models!$BJ249:$BT249,,T249)*(1-R249)+INDEX(Models!$BJ249:$BT249,,T249+1)*R249-ERP_i)*Q249*Ramure*Pc/MaxiM</f>
        <v>2.396630699890703E-2</v>
      </c>
      <c r="Q249" s="305">
        <f t="shared" si="80"/>
        <v>0.8</v>
      </c>
      <c r="R249" s="177">
        <f t="shared" si="81"/>
        <v>0.37213851877518422</v>
      </c>
      <c r="S249" s="809">
        <f t="shared" si="82"/>
        <v>2</v>
      </c>
      <c r="T249" s="176">
        <f t="shared" si="83"/>
        <v>8</v>
      </c>
      <c r="U249" s="251">
        <f t="shared" si="84"/>
        <v>2.3721385187751842</v>
      </c>
      <c r="V249" s="383">
        <f t="shared" si="85"/>
        <v>44.05397842309398</v>
      </c>
      <c r="W249" s="402">
        <f t="shared" si="86"/>
        <v>41.641264765874148</v>
      </c>
      <c r="X249" s="157">
        <f t="shared" si="87"/>
        <v>45892</v>
      </c>
      <c r="Y249" s="385">
        <f t="shared" si="88"/>
        <v>36.420161522312988</v>
      </c>
      <c r="Z249" s="385">
        <f t="shared" si="89"/>
        <v>39.559755751549382</v>
      </c>
      <c r="AA249" s="386">
        <f t="shared" si="90"/>
        <v>45.81489293242516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0.13653065150892768</v>
      </c>
      <c r="AD249" s="231">
        <f>(INDEX(Models!$BJ249:$BT249,,AH249)*(1-AF249)+INDEX(Models!$BJ249:$BT249,,AH249+1)*AF249-ERP_i)*AE249*Ramure*Pc/MaxiM</f>
        <v>5.7594860694998473E-2</v>
      </c>
      <c r="AE249" s="305">
        <f t="shared" si="92"/>
        <v>0.8</v>
      </c>
      <c r="AF249" s="177">
        <f t="shared" si="93"/>
        <v>0.5728552659400874</v>
      </c>
      <c r="AG249" s="809">
        <f t="shared" si="99"/>
        <v>3</v>
      </c>
      <c r="AH249" s="176">
        <f t="shared" si="94"/>
        <v>9</v>
      </c>
      <c r="AI249" s="225">
        <f t="shared" si="95"/>
        <v>3.5728552659400874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IF(t&gt;Tmaj,'2024'!Wh/'2024'!Env_an*'2025'!Env_an,0.001*'[10]mon-tableau (1)'!$B$163)</f>
        <v>38.520418108881898</v>
      </c>
      <c r="C250" s="839"/>
      <c r="D250" s="393">
        <f t="shared" si="77"/>
        <v>41.842060677371371</v>
      </c>
      <c r="E250" s="385">
        <f t="shared" si="100"/>
        <v>43.778743037506182</v>
      </c>
      <c r="F250" s="385">
        <f t="shared" si="78"/>
        <v>44.70938584766062</v>
      </c>
      <c r="G250" s="110">
        <f t="shared" si="101"/>
        <v>0.87669126978086065</v>
      </c>
      <c r="H250" s="414" t="b">
        <f>Wh_hp&gt;='2024'!Maxi_hp</f>
        <v>0</v>
      </c>
      <c r="I250" s="390">
        <f>IF(H250,Wh_hp,'2024'!Maxi_hp)</f>
        <v>49.324626465187585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7.9385252894245056E-2</v>
      </c>
      <c r="M250" s="843"/>
      <c r="N250" s="843"/>
      <c r="O250" s="48">
        <f>IF(t&lt;Tnet,'2024'!Resal+('2024'!Salim-'2024'!Resal)*(1-EXP(('2024'!Tnet-t)/('2024'!Tau_j))),Resal+(Salim-Resal)*(1-EXP((Tnet-t)/(Tau_j))))*Salcycl</f>
        <v>4.4237961754078022E-2</v>
      </c>
      <c r="P250" s="169">
        <f>(INDEX(Models!$BJ250:$BT250,,T250)*(1-R250)+INDEX(Models!$BJ250:$BT250,,T250+1)*R250-ERP_i)*Q250*Ramure*Pc/MaxiM</f>
        <v>2.5098514799956822E-2</v>
      </c>
      <c r="Q250" s="305">
        <f t="shared" si="80"/>
        <v>0.8</v>
      </c>
      <c r="R250" s="177">
        <f t="shared" si="81"/>
        <v>0.3731937046347813</v>
      </c>
      <c r="S250" s="809">
        <f t="shared" si="82"/>
        <v>2</v>
      </c>
      <c r="T250" s="176">
        <f t="shared" si="83"/>
        <v>8</v>
      </c>
      <c r="U250" s="251">
        <f t="shared" si="84"/>
        <v>2.3731937046347813</v>
      </c>
      <c r="V250" s="383">
        <f t="shared" si="85"/>
        <v>43.746212550282564</v>
      </c>
      <c r="W250" s="402">
        <f t="shared" si="86"/>
        <v>38.520418108881898</v>
      </c>
      <c r="X250" s="157">
        <f t="shared" si="87"/>
        <v>45893</v>
      </c>
      <c r="Y250" s="385">
        <f t="shared" si="88"/>
        <v>33.781758043910671</v>
      </c>
      <c r="Z250" s="385">
        <f t="shared" si="89"/>
        <v>36.694782644004306</v>
      </c>
      <c r="AA250" s="386">
        <f t="shared" si="90"/>
        <v>42.500016414039735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0.13659368301132449</v>
      </c>
      <c r="AD250" s="231">
        <f>(INDEX(Models!$BJ250:$BT250,,AH250)*(1-AF250)+INDEX(Models!$BJ250:$BT250,,AH250+1)*AF250-ERP_i)*AE250*Ramure*Pc/MaxiM</f>
        <v>5.9584505272333388E-2</v>
      </c>
      <c r="AE250" s="305">
        <f t="shared" si="92"/>
        <v>0.8</v>
      </c>
      <c r="AF250" s="177">
        <f t="shared" si="93"/>
        <v>0.57391045179968447</v>
      </c>
      <c r="AG250" s="809">
        <f t="shared" si="99"/>
        <v>3</v>
      </c>
      <c r="AH250" s="176">
        <f t="shared" si="94"/>
        <v>9</v>
      </c>
      <c r="AI250" s="225">
        <f t="shared" si="95"/>
        <v>3.5739104517996845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IF(t&gt;Tmaj,'2024'!Wh/'2024'!Env_an*'2025'!Env_an,0.001*'[10]mon-tableau (1)'!$B$164)</f>
        <v>28.028257325819226</v>
      </c>
      <c r="C251" s="839"/>
      <c r="D251" s="393">
        <f t="shared" si="77"/>
        <v>30.445878306430554</v>
      </c>
      <c r="E251" s="385">
        <f t="shared" si="100"/>
        <v>31.86168041364931</v>
      </c>
      <c r="F251" s="385">
        <f t="shared" si="78"/>
        <v>32.280053700736666</v>
      </c>
      <c r="G251" s="110">
        <f t="shared" si="101"/>
        <v>0.63661292909711376</v>
      </c>
      <c r="H251" s="414" t="b">
        <f>Wh_hp&gt;='2024'!Maxi_hp</f>
        <v>0</v>
      </c>
      <c r="I251" s="390">
        <f>IF(H251,Wh_hp,'2024'!Maxi_hp)</f>
        <v>46.238410109379274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7.9407168230738706E-2</v>
      </c>
      <c r="M251" s="843"/>
      <c r="N251" s="843"/>
      <c r="O251" s="48">
        <f>IF(t&lt;Tnet,'2024'!Resal+('2024'!Salim-'2024'!Resal)*(1-EXP(('2024'!Tnet-t)/('2024'!Tau_j))),Resal+(Salim-Resal)*(1-EXP((Tnet-t)/(Tau_j))))*Salcycl</f>
        <v>4.4435889408150506E-2</v>
      </c>
      <c r="P251" s="169">
        <f>(INDEX(Models!$BJ251:$BT251,,T251)*(1-R251)+INDEX(Models!$BJ251:$BT251,,T251+1)*R251-ERP_i)*Q251*Ramure*Pc/MaxiM</f>
        <v>2.627305341907744E-2</v>
      </c>
      <c r="Q251" s="305">
        <f t="shared" si="80"/>
        <v>0.8</v>
      </c>
      <c r="R251" s="177">
        <f t="shared" si="81"/>
        <v>0.37421006283633851</v>
      </c>
      <c r="S251" s="809">
        <f t="shared" si="82"/>
        <v>2</v>
      </c>
      <c r="T251" s="176">
        <f t="shared" si="83"/>
        <v>8</v>
      </c>
      <c r="U251" s="251">
        <f t="shared" si="84"/>
        <v>2.3742100628363385</v>
      </c>
      <c r="V251" s="383">
        <f t="shared" si="85"/>
        <v>43.433357396282936</v>
      </c>
      <c r="W251" s="402">
        <f t="shared" si="86"/>
        <v>28.028257325819226</v>
      </c>
      <c r="X251" s="157">
        <f t="shared" si="87"/>
        <v>45894</v>
      </c>
      <c r="Y251" s="385">
        <f t="shared" si="88"/>
        <v>24.876678274930931</v>
      </c>
      <c r="Z251" s="385">
        <f t="shared" si="89"/>
        <v>27.022454896939777</v>
      </c>
      <c r="AA251" s="386">
        <f t="shared" si="90"/>
        <v>31.299758265715838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0.13665611511962386</v>
      </c>
      <c r="AD251" s="231">
        <f>(INDEX(Models!$BJ251:$BT251,,AH251)*(1-AF251)+INDEX(Models!$BJ251:$BT251,,AH251+1)*AF251-ERP_i)*AE251*Ramure*Pc/MaxiM</f>
        <v>6.1560704580553731E-2</v>
      </c>
      <c r="AE251" s="305">
        <f t="shared" si="92"/>
        <v>0.8</v>
      </c>
      <c r="AF251" s="177">
        <f t="shared" si="93"/>
        <v>0.57492681000124213</v>
      </c>
      <c r="AG251" s="809">
        <f t="shared" si="99"/>
        <v>3</v>
      </c>
      <c r="AH251" s="176">
        <f t="shared" si="94"/>
        <v>9</v>
      </c>
      <c r="AI251" s="225">
        <f t="shared" si="95"/>
        <v>3.5749268100012421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IF(t&gt;Tmaj,'2024'!Wh/'2024'!Env_an*'2025'!Env_an,0.001*'[10]mon-tableau (1)'!$B$165)</f>
        <v>37.208655592153562</v>
      </c>
      <c r="C252" s="839"/>
      <c r="D252" s="393">
        <f t="shared" si="77"/>
        <v>40.419108302621694</v>
      </c>
      <c r="E252" s="385">
        <f t="shared" si="100"/>
        <v>42.307430268455342</v>
      </c>
      <c r="F252" s="385">
        <f t="shared" si="78"/>
        <v>43.26401983070788</v>
      </c>
      <c r="G252" s="110">
        <f t="shared" si="101"/>
        <v>0.85825473833843746</v>
      </c>
      <c r="H252" s="414" t="b">
        <f>Wh_hp&gt;='2024'!Maxi_hp</f>
        <v>0</v>
      </c>
      <c r="I252" s="390">
        <f>IF(H252,Wh_hp,'2024'!Maxi_hp)</f>
        <v>47.616086487227513</v>
      </c>
      <c r="J252" s="85">
        <f>IF(H252,An,'2024'!An_max)</f>
        <v>2021</v>
      </c>
      <c r="K252" s="197">
        <f t="shared" si="79"/>
        <v>45895</v>
      </c>
      <c r="L252" s="147">
        <f>IF(t&lt;Tvie,1-EXP((T0-t)*PertePVj)+'2024'!Pspv,1-EXP((T0-t)*PertePVj)+Pspv)</f>
        <v>7.9429083057230426E-2</v>
      </c>
      <c r="M252" s="843"/>
      <c r="N252" s="843"/>
      <c r="O252" s="48">
        <f>IF(t&lt;Tnet,'2024'!Resal+('2024'!Salim-'2024'!Resal)*(1-EXP(('2024'!Tnet-t)/('2024'!Tau_j))),Resal+(Salim-Resal)*(1-EXP((Tnet-t)/(Tau_j))))*Salcycl</f>
        <v>4.4633341090479603E-2</v>
      </c>
      <c r="P252" s="169">
        <f>(INDEX(Models!$BJ252:$BT252,,T252)*(1-R252)+INDEX(Models!$BJ252:$BT252,,T252+1)*R252-ERP_i)*Q252*Ramure*Pc/MaxiM</f>
        <v>2.7490725760596472E-2</v>
      </c>
      <c r="Q252" s="305">
        <f t="shared" si="80"/>
        <v>0.8</v>
      </c>
      <c r="R252" s="177">
        <f t="shared" si="81"/>
        <v>0.37518888603802303</v>
      </c>
      <c r="S252" s="809">
        <f t="shared" si="82"/>
        <v>2</v>
      </c>
      <c r="T252" s="176">
        <f t="shared" si="83"/>
        <v>8</v>
      </c>
      <c r="U252" s="251">
        <f t="shared" si="84"/>
        <v>2.375188886038023</v>
      </c>
      <c r="V252" s="383">
        <f t="shared" si="85"/>
        <v>43.115332736972398</v>
      </c>
      <c r="W252" s="402">
        <f t="shared" si="86"/>
        <v>37.208655592153562</v>
      </c>
      <c r="X252" s="157">
        <f t="shared" si="87"/>
        <v>45895</v>
      </c>
      <c r="Y252" s="385">
        <f t="shared" si="88"/>
        <v>32.625805594423468</v>
      </c>
      <c r="Z252" s="385">
        <f t="shared" si="89"/>
        <v>35.440838933706793</v>
      </c>
      <c r="AA252" s="386">
        <f t="shared" si="90"/>
        <v>41.053602382904863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0.13671792786533343</v>
      </c>
      <c r="AD252" s="231">
        <f>(INDEX(Models!$BJ252:$BT252,,AH252)*(1-AF252)+INDEX(Models!$BJ252:$BT252,,AH252+1)*AF252-ERP_i)*AE252*Ramure*Pc/MaxiM</f>
        <v>6.352356566686844E-2</v>
      </c>
      <c r="AE252" s="305">
        <f t="shared" si="92"/>
        <v>0.8</v>
      </c>
      <c r="AF252" s="177">
        <f t="shared" si="93"/>
        <v>0.57590563320292665</v>
      </c>
      <c r="AG252" s="809">
        <f t="shared" si="99"/>
        <v>3</v>
      </c>
      <c r="AH252" s="176">
        <f t="shared" si="94"/>
        <v>9</v>
      </c>
      <c r="AI252" s="225">
        <f t="shared" si="95"/>
        <v>3.5759056332029266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IF(t&gt;Tmaj,'2024'!Wh/'2024'!Env_an*'2025'!Env_an,0.001*'[10]mon-tableau (1)'!$B$166)</f>
        <v>40.071353288029201</v>
      </c>
      <c r="C253" s="839"/>
      <c r="D253" s="393">
        <f t="shared" si="77"/>
        <v>43.529842706589413</v>
      </c>
      <c r="E253" s="385">
        <f t="shared" si="100"/>
        <v>45.572889395463079</v>
      </c>
      <c r="F253" s="385">
        <f t="shared" si="78"/>
        <v>46.79618206570791</v>
      </c>
      <c r="G253" s="110">
        <f t="shared" si="101"/>
        <v>0.93390919916665716</v>
      </c>
      <c r="H253" s="414" t="b">
        <f>Wh_hp&gt;='2024'!Maxi_hp</f>
        <v>0</v>
      </c>
      <c r="I253" s="390">
        <f>IF(H253,Wh_hp,'2024'!Maxi_hp)</f>
        <v>46.908830165667723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7.9450997373732207E-2</v>
      </c>
      <c r="M253" s="843"/>
      <c r="N253" s="843"/>
      <c r="O253" s="48">
        <f>IF(t&lt;Tnet,'2024'!Resal+('2024'!Salim-'2024'!Resal)*(1-EXP(('2024'!Tnet-t)/('2024'!Tau_j))),Resal+(Salim-Resal)*(1-EXP((Tnet-t)/(Tau_j))))*Salcycl</f>
        <v>4.483030845696305E-2</v>
      </c>
      <c r="P253" s="169">
        <f>(INDEX(Models!$BJ253:$BT253,,T253)*(1-R253)+INDEX(Models!$BJ253:$BT253,,T253+1)*R253-ERP_i)*Q253*Ramure*Pc/MaxiM</f>
        <v>2.87523898884165E-2</v>
      </c>
      <c r="Q253" s="305">
        <f t="shared" si="80"/>
        <v>0.8</v>
      </c>
      <c r="R253" s="177">
        <f t="shared" si="81"/>
        <v>0.3761314342403197</v>
      </c>
      <c r="S253" s="809">
        <f t="shared" si="82"/>
        <v>2</v>
      </c>
      <c r="T253" s="176">
        <f t="shared" si="83"/>
        <v>8</v>
      </c>
      <c r="U253" s="251">
        <f t="shared" si="84"/>
        <v>2.3761314342403197</v>
      </c>
      <c r="V253" s="383">
        <f t="shared" si="85"/>
        <v>42.792058348852734</v>
      </c>
      <c r="W253" s="402">
        <f t="shared" si="86"/>
        <v>40.071353288029201</v>
      </c>
      <c r="X253" s="157">
        <f t="shared" si="87"/>
        <v>45896</v>
      </c>
      <c r="Y253" s="385">
        <f t="shared" si="88"/>
        <v>34.972435922737752</v>
      </c>
      <c r="Z253" s="385">
        <f t="shared" si="89"/>
        <v>37.990846574124369</v>
      </c>
      <c r="AA253" s="386">
        <f t="shared" si="90"/>
        <v>44.010573191217745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0.13677910057973536</v>
      </c>
      <c r="AD253" s="231">
        <f>(INDEX(Models!$BJ253:$BT253,,AH253)*(1-AF253)+INDEX(Models!$BJ253:$BT253,,AH253+1)*AF253-ERP_i)*AE253*Ramure*Pc/MaxiM</f>
        <v>6.5473221890510039E-2</v>
      </c>
      <c r="AE253" s="305">
        <f t="shared" si="92"/>
        <v>0.8</v>
      </c>
      <c r="AF253" s="177">
        <f t="shared" si="93"/>
        <v>0.57684818140522331</v>
      </c>
      <c r="AG253" s="809">
        <f t="shared" si="99"/>
        <v>3</v>
      </c>
      <c r="AH253" s="176">
        <f t="shared" si="94"/>
        <v>9</v>
      </c>
      <c r="AI253" s="225">
        <f t="shared" si="95"/>
        <v>3.5768481814052233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IF(t&gt;Tmaj,'2024'!Wh/'2024'!Env_an*'2025'!Env_an,0.001*'[10]mon-tableau (1)'!$B$167)</f>
        <v>38.848712003687183</v>
      </c>
      <c r="C254" s="839"/>
      <c r="D254" s="393">
        <f t="shared" si="77"/>
        <v>42.202682002000763</v>
      </c>
      <c r="E254" s="385">
        <f t="shared" si="100"/>
        <v>44.192529427191005</v>
      </c>
      <c r="F254" s="385">
        <f t="shared" si="78"/>
        <v>45.390081436551313</v>
      </c>
      <c r="G254" s="110">
        <f t="shared" si="101"/>
        <v>0.91142039817919196</v>
      </c>
      <c r="H254" s="414" t="b">
        <f>Wh_hp&gt;='2024'!Maxi_hp</f>
        <v>0</v>
      </c>
      <c r="I254" s="390">
        <f>IF(H254,Wh_hp,'2024'!Maxi_hp)</f>
        <v>48.563065558192143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7.9472911180255706E-2</v>
      </c>
      <c r="M254" s="843"/>
      <c r="N254" s="843"/>
      <c r="O254" s="48">
        <f>IF(t&lt;Tnet,'2024'!Resal+('2024'!Salim-'2024'!Resal)*(1-EXP(('2024'!Tnet-t)/('2024'!Tau_j))),Resal+(Salim-Resal)*(1-EXP((Tnet-t)/(Tau_j))))*Salcycl</f>
        <v>4.502678282917922E-2</v>
      </c>
      <c r="P254" s="169">
        <f>(INDEX(Models!$BJ254:$BT254,,T254)*(1-R254)+INDEX(Models!$BJ254:$BT254,,T254+1)*R254-ERP_i)*Q254*Ramure*Pc/MaxiM</f>
        <v>3.0037223261766686E-2</v>
      </c>
      <c r="Q254" s="305">
        <f t="shared" si="80"/>
        <v>0.8</v>
      </c>
      <c r="R254" s="177">
        <f t="shared" si="81"/>
        <v>0.37703893478339134</v>
      </c>
      <c r="S254" s="809">
        <f t="shared" si="82"/>
        <v>2</v>
      </c>
      <c r="T254" s="176">
        <f t="shared" si="83"/>
        <v>8</v>
      </c>
      <c r="U254" s="251">
        <f t="shared" si="84"/>
        <v>2.3770389347833913</v>
      </c>
      <c r="V254" s="383">
        <f t="shared" si="85"/>
        <v>42.464405741064596</v>
      </c>
      <c r="W254" s="402">
        <f t="shared" si="86"/>
        <v>38.848712003687183</v>
      </c>
      <c r="X254" s="157">
        <f t="shared" si="87"/>
        <v>45897</v>
      </c>
      <c r="Y254" s="385">
        <f t="shared" si="88"/>
        <v>33.931415331518515</v>
      </c>
      <c r="Z254" s="385">
        <f t="shared" si="89"/>
        <v>36.860854768569332</v>
      </c>
      <c r="AA254" s="386">
        <f t="shared" si="90"/>
        <v>42.704525457597619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0.1368396118774487</v>
      </c>
      <c r="AD254" s="231">
        <f>(INDEX(Models!$BJ254:$BT254,,AH254)*(1-AF254)+INDEX(Models!$BJ254:$BT254,,AH254+1)*AF254-ERP_i)*AE254*Ramure*Pc/MaxiM</f>
        <v>6.7359616861144805E-2</v>
      </c>
      <c r="AE254" s="305">
        <f t="shared" si="92"/>
        <v>0.8</v>
      </c>
      <c r="AF254" s="177">
        <f t="shared" si="93"/>
        <v>0.57775568194829496</v>
      </c>
      <c r="AG254" s="809">
        <f t="shared" si="99"/>
        <v>3</v>
      </c>
      <c r="AH254" s="176">
        <f t="shared" si="94"/>
        <v>9</v>
      </c>
      <c r="AI254" s="225">
        <f t="shared" si="95"/>
        <v>3.577755681948295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IF(t&gt;Tmaj,'2024'!Wh/'2024'!Env_an*'2025'!Env_an,0.001*'[10]mon-tableau (1)'!$B$168)</f>
        <v>27.553380553434032</v>
      </c>
      <c r="C255" s="839"/>
      <c r="D255" s="393">
        <f t="shared" si="77"/>
        <v>29.932890423754035</v>
      </c>
      <c r="E255" s="385">
        <f t="shared" si="100"/>
        <v>31.350653344728485</v>
      </c>
      <c r="F255" s="385">
        <f t="shared" si="78"/>
        <v>31.855210289690739</v>
      </c>
      <c r="G255" s="110">
        <f t="shared" si="101"/>
        <v>0.64366876207145862</v>
      </c>
      <c r="H255" s="414" t="b">
        <f>Wh_hp&gt;='2024'!Maxi_hp</f>
        <v>0</v>
      </c>
      <c r="I255" s="390">
        <f>IF(H255,Wh_hp,'2024'!Maxi_hp)</f>
        <v>47.495208459406513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7.9494824476813025E-2</v>
      </c>
      <c r="M255" s="843"/>
      <c r="N255" s="843"/>
      <c r="O255" s="48">
        <f>IF(t&lt;Tnet,'2024'!Resal+('2024'!Salim-'2024'!Resal)*(1-EXP(('2024'!Tnet-t)/('2024'!Tau_j))),Resal+(Salim-Resal)*(1-EXP((Tnet-t)/(Tau_j))))*Salcycl</f>
        <v>4.5222755181044509E-2</v>
      </c>
      <c r="P255" s="169">
        <f>(INDEX(Models!$BJ255:$BT255,,T255)*(1-R255)+INDEX(Models!$BJ255:$BT255,,T255+1)*R255-ERP_i)*Q255*Ramure*Pc/MaxiM</f>
        <v>3.1323899038000466E-2</v>
      </c>
      <c r="Q255" s="305">
        <f t="shared" si="80"/>
        <v>0.8</v>
      </c>
      <c r="R255" s="177">
        <f t="shared" si="81"/>
        <v>0.37791258242614489</v>
      </c>
      <c r="S255" s="809">
        <f t="shared" si="82"/>
        <v>2</v>
      </c>
      <c r="T255" s="176">
        <f t="shared" si="83"/>
        <v>8</v>
      </c>
      <c r="U255" s="251">
        <f t="shared" si="84"/>
        <v>2.3779125824261449</v>
      </c>
      <c r="V255" s="383">
        <f t="shared" si="85"/>
        <v>42.133246397792306</v>
      </c>
      <c r="W255" s="402">
        <f t="shared" si="86"/>
        <v>27.553380553434032</v>
      </c>
      <c r="X255" s="157">
        <f t="shared" si="87"/>
        <v>45898</v>
      </c>
      <c r="Y255" s="385">
        <f t="shared" si="88"/>
        <v>24.423154013220049</v>
      </c>
      <c r="Z255" s="385">
        <f t="shared" si="89"/>
        <v>26.532337527965201</v>
      </c>
      <c r="AA255" s="386">
        <f t="shared" si="90"/>
        <v>30.740725642136976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0.13689943962816695</v>
      </c>
      <c r="AD255" s="231">
        <f>(INDEX(Models!$BJ255:$BT255,,AH255)*(1-AF255)+INDEX(Models!$BJ255:$BT255,,AH255+1)*AF255-ERP_i)*AE255*Ramure*Pc/MaxiM</f>
        <v>6.918942436118336E-2</v>
      </c>
      <c r="AE255" s="305">
        <f t="shared" si="92"/>
        <v>0.8</v>
      </c>
      <c r="AF255" s="177">
        <f t="shared" si="93"/>
        <v>0.57862932959104851</v>
      </c>
      <c r="AG255" s="809">
        <f t="shared" si="99"/>
        <v>3</v>
      </c>
      <c r="AH255" s="176">
        <f t="shared" si="94"/>
        <v>9</v>
      </c>
      <c r="AI255" s="225">
        <f t="shared" si="95"/>
        <v>3.5786293295910485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IF(t&gt;Tmaj,'2024'!Wh/'2024'!Env_an*'2025'!Env_an,0.001*'[10]mon-tableau (1)'!$B$169)</f>
        <v>38.710991337821078</v>
      </c>
      <c r="C256" s="839"/>
      <c r="D256" s="393">
        <f t="shared" si="77"/>
        <v>42.055073573781044</v>
      </c>
      <c r="E256" s="385">
        <f t="shared" si="100"/>
        <v>44.056019383610703</v>
      </c>
      <c r="F256" s="385">
        <f t="shared" si="78"/>
        <v>45.379805176360279</v>
      </c>
      <c r="G256" s="110">
        <f t="shared" si="101"/>
        <v>0.92285061433866444</v>
      </c>
      <c r="H256" s="414" t="b">
        <f>Wh_hp&gt;='2024'!Maxi_hp</f>
        <v>0</v>
      </c>
      <c r="I256" s="390">
        <f>IF(H256,Wh_hp,'2024'!Maxi_hp)</f>
        <v>46.563941644559634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7.9516737263415821E-2</v>
      </c>
      <c r="M256" s="843"/>
      <c r="N256" s="843"/>
      <c r="O256" s="48">
        <f>IF(t&lt;Tnet,'2024'!Resal+('2024'!Salim-'2024'!Resal)*(1-EXP(('2024'!Tnet-t)/('2024'!Tau_j))),Resal+(Salim-Resal)*(1-EXP((Tnet-t)/(Tau_j))))*Salcycl</f>
        <v>4.5418216121768676E-2</v>
      </c>
      <c r="P256" s="169">
        <f>(INDEX(Models!$BJ256:$BT256,,T256)*(1-R256)+INDEX(Models!$BJ256:$BT256,,T256+1)*R256-ERP_i)*Q256*Ramure*Pc/MaxiM</f>
        <v>3.261265331685978E-2</v>
      </c>
      <c r="Q256" s="305">
        <f t="shared" si="80"/>
        <v>0.8</v>
      </c>
      <c r="R256" s="177">
        <f t="shared" si="81"/>
        <v>0.37875353949955493</v>
      </c>
      <c r="S256" s="809">
        <f t="shared" si="82"/>
        <v>2</v>
      </c>
      <c r="T256" s="176">
        <f t="shared" si="83"/>
        <v>8</v>
      </c>
      <c r="U256" s="251">
        <f t="shared" si="84"/>
        <v>2.3787535394995549</v>
      </c>
      <c r="V256" s="383">
        <f t="shared" si="85"/>
        <v>41.798496709272165</v>
      </c>
      <c r="W256" s="402">
        <f t="shared" si="86"/>
        <v>38.710991337821078</v>
      </c>
      <c r="X256" s="157">
        <f t="shared" si="87"/>
        <v>45899</v>
      </c>
      <c r="Y256" s="385">
        <f t="shared" si="88"/>
        <v>33.762144474619774</v>
      </c>
      <c r="Z256" s="385">
        <f t="shared" si="89"/>
        <v>36.67871632368999</v>
      </c>
      <c r="AA256" s="386">
        <f t="shared" si="90"/>
        <v>42.499368700877049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0.13695856091779871</v>
      </c>
      <c r="AD256" s="231">
        <f>(INDEX(Models!$BJ256:$BT256,,AH256)*(1-AF256)+INDEX(Models!$BJ256:$BT256,,AH256+1)*AF256-ERP_i)*AE256*Ramure*Pc/MaxiM</f>
        <v>7.0962142584304708E-2</v>
      </c>
      <c r="AE256" s="305">
        <f t="shared" si="92"/>
        <v>0.8</v>
      </c>
      <c r="AF256" s="177">
        <f t="shared" si="93"/>
        <v>0.5794702866644581</v>
      </c>
      <c r="AG256" s="809">
        <f t="shared" si="99"/>
        <v>3</v>
      </c>
      <c r="AH256" s="176">
        <f t="shared" si="94"/>
        <v>9</v>
      </c>
      <c r="AI256" s="225">
        <f t="shared" si="95"/>
        <v>3.5794702866644581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IF(t&gt;Tmaj,'2024'!Wh/'2024'!Env_an*'2025'!Env_an,0.001*'[10]mon-tableau (1)'!$B$170)</f>
        <v>21.305954672852653</v>
      </c>
      <c r="C257" s="839"/>
      <c r="D257" s="393">
        <f t="shared" si="77"/>
        <v>23.147038886756924</v>
      </c>
      <c r="E257" s="385">
        <f t="shared" si="100"/>
        <v>24.253308843533411</v>
      </c>
      <c r="F257" s="385">
        <f t="shared" si="78"/>
        <v>24.507192996933178</v>
      </c>
      <c r="G257" s="110">
        <f t="shared" si="101"/>
        <v>0.50166512309009625</v>
      </c>
      <c r="H257" s="414" t="b">
        <f>Wh_hp&gt;='2024'!Maxi_hp</f>
        <v>0</v>
      </c>
      <c r="I257" s="390">
        <f>IF(H257,Wh_hp,'2024'!Maxi_hp)</f>
        <v>46.070387290584499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7.9538649540076084E-2</v>
      </c>
      <c r="M257" s="843"/>
      <c r="N257" s="843"/>
      <c r="O257" s="48">
        <f>IF(t&lt;Tnet,'2024'!Resal+('2024'!Salim-'2024'!Resal)*(1-EXP(('2024'!Tnet-t)/('2024'!Tau_j))),Resal+(Salim-Resal)*(1-EXP((Tnet-t)/(Tau_j))))*Salcycl</f>
        <v>4.5613155875489857E-2</v>
      </c>
      <c r="P257" s="169">
        <f>(INDEX(Models!$BJ257:$BT257,,T257)*(1-R257)+INDEX(Models!$BJ257:$BT257,,T257+1)*R257-ERP_i)*Q257*Ramure*Pc/MaxiM</f>
        <v>3.3903749351750993E-2</v>
      </c>
      <c r="Q257" s="305">
        <f t="shared" si="80"/>
        <v>0.8</v>
      </c>
      <c r="R257" s="177">
        <f t="shared" si="81"/>
        <v>0.37956293612719483</v>
      </c>
      <c r="S257" s="809">
        <f t="shared" si="82"/>
        <v>2</v>
      </c>
      <c r="T257" s="176">
        <f t="shared" si="83"/>
        <v>8</v>
      </c>
      <c r="U257" s="251">
        <f t="shared" si="84"/>
        <v>2.3795629361271948</v>
      </c>
      <c r="V257" s="383">
        <f t="shared" si="85"/>
        <v>41.460072790239167</v>
      </c>
      <c r="W257" s="402">
        <f t="shared" si="86"/>
        <v>21.305954672852653</v>
      </c>
      <c r="X257" s="157">
        <f t="shared" si="87"/>
        <v>45900</v>
      </c>
      <c r="Y257" s="385">
        <f t="shared" si="88"/>
        <v>19.034797070166462</v>
      </c>
      <c r="Z257" s="385">
        <f t="shared" si="89"/>
        <v>20.679626646632588</v>
      </c>
      <c r="AA257" s="386">
        <f t="shared" si="90"/>
        <v>23.96295813060178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0.13701695200043898</v>
      </c>
      <c r="AD257" s="231">
        <f>(INDEX(Models!$BJ257:$BT257,,AH257)*(1-AF257)+INDEX(Models!$BJ257:$BT257,,AH257+1)*AF257-ERP_i)*AE257*Ramure*Pc/MaxiM</f>
        <v>7.2677251610617249E-2</v>
      </c>
      <c r="AE257" s="305">
        <f t="shared" si="92"/>
        <v>0.8</v>
      </c>
      <c r="AF257" s="177">
        <f t="shared" si="93"/>
        <v>0.58027968329209845</v>
      </c>
      <c r="AG257" s="809">
        <f t="shared" si="99"/>
        <v>3</v>
      </c>
      <c r="AH257" s="176">
        <f t="shared" si="94"/>
        <v>9</v>
      </c>
      <c r="AI257" s="225">
        <f t="shared" si="95"/>
        <v>3.5802796832920984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IF(t&gt;Tmaj,'2024'!Wh/'2024'!Env_an*'2025'!Env_an,0.001*'[11]mon-tableau (3)'!$B$136)</f>
        <v>34.249746459850812</v>
      </c>
      <c r="C258" s="839"/>
      <c r="D258" s="393">
        <f t="shared" si="77"/>
        <v>37.210211796744964</v>
      </c>
      <c r="E258" s="385">
        <f t="shared" si="100"/>
        <v>38.996548707506079</v>
      </c>
      <c r="F258" s="385">
        <f t="shared" si="78"/>
        <v>40.070378116013572</v>
      </c>
      <c r="G258" s="110">
        <f t="shared" si="101"/>
        <v>0.82577595558547956</v>
      </c>
      <c r="H258" s="414" t="b">
        <f>Wh_hp&gt;='2024'!Maxi_hp</f>
        <v>0</v>
      </c>
      <c r="I258" s="390">
        <f>IF(H258,Wh_hp,'2024'!Maxi_hp)</f>
        <v>47.663426724874789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7.9560561306805694E-2</v>
      </c>
      <c r="M258" s="843"/>
      <c r="N258" s="843"/>
      <c r="O258" s="48">
        <f>IF(t&lt;Tnet,'2024'!Resal+('2024'!Salim-'2024'!Resal)*(1-EXP(('2024'!Tnet-t)/('2024'!Tau_j))),Resal+(Salim-Resal)*(1-EXP((Tnet-t)/(Tau_j))))*Salcycl</f>
        <v>4.5807564258046302E-2</v>
      </c>
      <c r="P258" s="169">
        <f>(INDEX(Models!$BJ258:$BT258,,T258)*(1-R258)+INDEX(Models!$BJ258:$BT258,,T258+1)*R258-ERP_i)*Q258*Ramure*Pc/MaxiM</f>
        <v>3.5197477864549943E-2</v>
      </c>
      <c r="Q258" s="305">
        <f t="shared" si="80"/>
        <v>0.8</v>
      </c>
      <c r="R258" s="177">
        <f t="shared" si="81"/>
        <v>0.38034187050634083</v>
      </c>
      <c r="S258" s="809">
        <f t="shared" si="82"/>
        <v>2</v>
      </c>
      <c r="T258" s="176">
        <f t="shared" si="83"/>
        <v>8</v>
      </c>
      <c r="U258" s="251">
        <f t="shared" si="84"/>
        <v>2.3803418705063408</v>
      </c>
      <c r="V258" s="383">
        <f t="shared" si="85"/>
        <v>41.117890514363594</v>
      </c>
      <c r="W258" s="402">
        <f t="shared" si="86"/>
        <v>34.249746459850812</v>
      </c>
      <c r="X258" s="157">
        <f t="shared" si="87"/>
        <v>45901</v>
      </c>
      <c r="Y258" s="385">
        <f t="shared" si="88"/>
        <v>30.025443634612461</v>
      </c>
      <c r="Z258" s="385">
        <f t="shared" si="89"/>
        <v>32.62077044117261</v>
      </c>
      <c r="AA258" s="386">
        <f t="shared" si="90"/>
        <v>37.802537735845704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0.1370745882427771</v>
      </c>
      <c r="AD258" s="231">
        <f>(INDEX(Models!$BJ258:$BT258,,AH258)*(1-AF258)+INDEX(Models!$BJ258:$BT258,,AH258+1)*AF258-ERP_i)*AE258*Ramure*Pc/MaxiM</f>
        <v>7.4334210768389544E-2</v>
      </c>
      <c r="AE258" s="305">
        <f t="shared" si="92"/>
        <v>0.8</v>
      </c>
      <c r="AF258" s="177">
        <f t="shared" si="93"/>
        <v>0.58105861767124445</v>
      </c>
      <c r="AG258" s="809">
        <f t="shared" si="99"/>
        <v>3</v>
      </c>
      <c r="AH258" s="176">
        <f t="shared" si="94"/>
        <v>9</v>
      </c>
      <c r="AI258" s="225">
        <f t="shared" si="95"/>
        <v>3.5810586176712444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IF(t&gt;Tmaj,'2024'!Wh/'2024'!Env_an*'2025'!Env_an,0.001*'[11]mon-tableau (3)'!$B$137)</f>
        <v>32.959655331577437</v>
      </c>
      <c r="C259" s="839"/>
      <c r="D259" s="393">
        <f t="shared" si="77"/>
        <v>35.809460760030461</v>
      </c>
      <c r="E259" s="385">
        <f t="shared" si="100"/>
        <v>37.536178680521537</v>
      </c>
      <c r="F259" s="385">
        <f t="shared" si="78"/>
        <v>38.558153873472435</v>
      </c>
      <c r="G259" s="110">
        <f t="shared" si="101"/>
        <v>0.80009693150873917</v>
      </c>
      <c r="H259" s="414" t="b">
        <f>Wh_hp&gt;='2024'!Maxi_hp</f>
        <v>0</v>
      </c>
      <c r="I259" s="390">
        <f>IF(H259,Wh_hp,'2024'!Maxi_hp)</f>
        <v>47.150040214573764</v>
      </c>
      <c r="J259" s="85">
        <f>IF(H259,An,'2024'!An_max)</f>
        <v>2020</v>
      </c>
      <c r="K259" s="197">
        <f t="shared" si="79"/>
        <v>45902</v>
      </c>
      <c r="L259" s="147">
        <f>IF(t&lt;Tvie,1-EXP((T0-t)*PertePVj)+'2024'!Pspv,1-EXP((T0-t)*PertePVj)+Pspv)</f>
        <v>7.958247256361653E-2</v>
      </c>
      <c r="M259" s="843"/>
      <c r="N259" s="843"/>
      <c r="O259" s="48">
        <f>IF(t&lt;Tnet,'2024'!Resal+('2024'!Salim-'2024'!Resal)*(1-EXP(('2024'!Tnet-t)/('2024'!Tau_j))),Resal+(Salim-Resal)*(1-EXP((Tnet-t)/(Tau_j))))*Salcycl</f>
        <v>4.6001430651413384E-2</v>
      </c>
      <c r="P259" s="169">
        <f>(INDEX(Models!$BJ259:$BT259,,T259)*(1-R259)+INDEX(Models!$BJ259:$BT259,,T259+1)*R259-ERP_i)*Q259*Ramure*Pc/MaxiM</f>
        <v>3.6494157425208389E-2</v>
      </c>
      <c r="Q259" s="305">
        <f t="shared" si="80"/>
        <v>0.8</v>
      </c>
      <c r="R259" s="177">
        <f t="shared" si="81"/>
        <v>0.38109140924338858</v>
      </c>
      <c r="S259" s="809">
        <f t="shared" si="82"/>
        <v>2</v>
      </c>
      <c r="T259" s="176">
        <f t="shared" si="83"/>
        <v>8</v>
      </c>
      <c r="U259" s="251">
        <f t="shared" si="84"/>
        <v>2.3810914092433886</v>
      </c>
      <c r="V259" s="383">
        <f t="shared" si="85"/>
        <v>40.771865562866303</v>
      </c>
      <c r="W259" s="402">
        <f t="shared" si="86"/>
        <v>32.959655331577437</v>
      </c>
      <c r="X259" s="157">
        <f t="shared" si="87"/>
        <v>45902</v>
      </c>
      <c r="Y259" s="385">
        <f t="shared" si="88"/>
        <v>28.934076943253618</v>
      </c>
      <c r="Z259" s="385">
        <f t="shared" si="89"/>
        <v>31.435816986061745</v>
      </c>
      <c r="AA259" s="386">
        <f t="shared" si="90"/>
        <v>36.431756343136904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0.13713144406271</v>
      </c>
      <c r="AD259" s="231">
        <f>(INDEX(Models!$BJ259:$BT259,,AH259)*(1-AF259)+INDEX(Models!$BJ259:$BT259,,AH259+1)*AF259-ERP_i)*AE259*Ramure*Pc/MaxiM</f>
        <v>7.593245585205477E-2</v>
      </c>
      <c r="AE259" s="305">
        <f t="shared" si="92"/>
        <v>0.8</v>
      </c>
      <c r="AF259" s="177">
        <f t="shared" si="93"/>
        <v>0.5818081564082922</v>
      </c>
      <c r="AG259" s="809">
        <f t="shared" si="99"/>
        <v>3</v>
      </c>
      <c r="AH259" s="176">
        <f t="shared" si="94"/>
        <v>9</v>
      </c>
      <c r="AI259" s="225">
        <f t="shared" si="95"/>
        <v>3.5818081564082922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IF(t&gt;Tmaj,'2024'!Wh/'2024'!Env_an*'2025'!Env_an,0.001*'[11]mon-tableau (3)'!$B$138)</f>
        <v>30.652265475060435</v>
      </c>
      <c r="C260" s="839"/>
      <c r="D260" s="393">
        <f t="shared" si="77"/>
        <v>33.303358815757811</v>
      </c>
      <c r="E260" s="385">
        <f t="shared" si="100"/>
        <v>34.91630875950402</v>
      </c>
      <c r="F260" s="385">
        <f t="shared" si="78"/>
        <v>35.802227681317945</v>
      </c>
      <c r="G260" s="110">
        <f t="shared" si="101"/>
        <v>0.74816163634243749</v>
      </c>
      <c r="H260" s="414" t="b">
        <f>Wh_hp&gt;='2024'!Maxi_hp</f>
        <v>0</v>
      </c>
      <c r="I260" s="390">
        <f>IF(H260,Wh_hp,'2024'!Maxi_hp)</f>
        <v>48.613808475226271</v>
      </c>
      <c r="J260" s="85">
        <f>IF(H260,An,'2024'!An_max)</f>
        <v>2019</v>
      </c>
      <c r="K260" s="197">
        <f t="shared" si="79"/>
        <v>45903</v>
      </c>
      <c r="L260" s="147">
        <f>IF(t&lt;Tvie,1-EXP((T0-t)*PertePVj)+'2024'!Pspv,1-EXP((T0-t)*PertePVj)+Pspv)</f>
        <v>7.9604383310520249E-2</v>
      </c>
      <c r="M260" s="843"/>
      <c r="N260" s="843"/>
      <c r="O260" s="48">
        <f>IF(t&lt;Tnet,'2024'!Resal+('2024'!Salim-'2024'!Resal)*(1-EXP(('2024'!Tnet-t)/('2024'!Tau_j))),Resal+(Salim-Resal)*(1-EXP((Tnet-t)/(Tau_j))))*Salcycl</f>
        <v>4.619474397639959E-2</v>
      </c>
      <c r="P260" s="169">
        <f>(INDEX(Models!$BJ260:$BT260,,T260)*(1-R260)+INDEX(Models!$BJ260:$BT260,,T260+1)*R260-ERP_i)*Q260*Ramure*Pc/MaxiM</f>
        <v>3.7794134929791334E-2</v>
      </c>
      <c r="Q260" s="305">
        <f t="shared" si="80"/>
        <v>0.8</v>
      </c>
      <c r="R260" s="177">
        <f t="shared" si="81"/>
        <v>0.38181258773773941</v>
      </c>
      <c r="S260" s="809">
        <f t="shared" si="82"/>
        <v>2</v>
      </c>
      <c r="T260" s="176">
        <f t="shared" si="83"/>
        <v>8</v>
      </c>
      <c r="U260" s="251">
        <f t="shared" si="84"/>
        <v>2.3818125877377394</v>
      </c>
      <c r="V260" s="383">
        <f t="shared" si="85"/>
        <v>40.421913455763409</v>
      </c>
      <c r="W260" s="402">
        <f t="shared" si="86"/>
        <v>30.652265475060435</v>
      </c>
      <c r="X260" s="157">
        <f t="shared" si="87"/>
        <v>45903</v>
      </c>
      <c r="Y260" s="385">
        <f t="shared" si="88"/>
        <v>26.989460136962748</v>
      </c>
      <c r="Z260" s="385">
        <f t="shared" si="89"/>
        <v>29.32375996535017</v>
      </c>
      <c r="AA260" s="386">
        <f t="shared" si="90"/>
        <v>33.986248139458546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0.13718749286406678</v>
      </c>
      <c r="AD260" s="231">
        <f>(INDEX(Models!$BJ260:$BT260,,AH260)*(1-AF260)+INDEX(Models!$BJ260:$BT260,,AH260+1)*AF260-ERP_i)*AE260*Ramure*Pc/MaxiM</f>
        <v>7.7471396247240448E-2</v>
      </c>
      <c r="AE260" s="305">
        <f t="shared" si="92"/>
        <v>0.8</v>
      </c>
      <c r="AF260" s="177">
        <f t="shared" si="93"/>
        <v>0.58252933490264258</v>
      </c>
      <c r="AG260" s="809">
        <f t="shared" si="99"/>
        <v>3</v>
      </c>
      <c r="AH260" s="176">
        <f t="shared" si="94"/>
        <v>9</v>
      </c>
      <c r="AI260" s="225">
        <f t="shared" si="95"/>
        <v>3.5825293349026426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IF(t&gt;Tmaj,'2024'!Wh/'2024'!Env_an*'2025'!Env_an,0.001*'[11]mon-tableau (3)'!$B$139)</f>
        <v>35.562739438249842</v>
      </c>
      <c r="C261" s="839"/>
      <c r="D261" s="393">
        <f t="shared" si="77"/>
        <v>38.639456113239518</v>
      </c>
      <c r="E261" s="385">
        <f t="shared" si="100"/>
        <v>40.519032432987423</v>
      </c>
      <c r="F261" s="385">
        <f t="shared" si="78"/>
        <v>41.893905293718042</v>
      </c>
      <c r="G261" s="110">
        <f t="shared" si="101"/>
        <v>0.88180168650930246</v>
      </c>
      <c r="H261" s="414" t="b">
        <f>Wh_hp&gt;='2024'!Maxi_hp</f>
        <v>0</v>
      </c>
      <c r="I261" s="390">
        <f>IF(H261,Wh_hp,'2024'!Maxi_hp)</f>
        <v>47.996366652785198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7.9626293547529065E-2</v>
      </c>
      <c r="M261" s="843"/>
      <c r="N261" s="843"/>
      <c r="O261" s="48">
        <f>IF(t&lt;Tnet,'2024'!Resal+('2024'!Salim-'2024'!Resal)*(1-EXP(('2024'!Tnet-t)/('2024'!Tau_j))),Resal+(Salim-Resal)*(1-EXP((Tnet-t)/(Tau_j))))*Salcycl</f>
        <v>4.6387492664254806E-2</v>
      </c>
      <c r="P261" s="169">
        <f>(INDEX(Models!$BJ261:$BT261,,T261)*(1-R261)+INDEX(Models!$BJ261:$BT261,,T261+1)*R261-ERP_i)*Q261*Ramure*Pc/MaxiM</f>
        <v>3.909795376594051E-2</v>
      </c>
      <c r="Q261" s="305">
        <f t="shared" si="80"/>
        <v>0.8</v>
      </c>
      <c r="R261" s="177">
        <f t="shared" si="81"/>
        <v>0.3825064106086562</v>
      </c>
      <c r="S261" s="809">
        <f t="shared" si="82"/>
        <v>2</v>
      </c>
      <c r="T261" s="176">
        <f t="shared" si="83"/>
        <v>8</v>
      </c>
      <c r="U261" s="251">
        <f t="shared" si="84"/>
        <v>2.3825064106086562</v>
      </c>
      <c r="V261" s="383">
        <f t="shared" si="85"/>
        <v>40.06777084779916</v>
      </c>
      <c r="W261" s="402">
        <f t="shared" si="86"/>
        <v>35.562739438249842</v>
      </c>
      <c r="X261" s="157">
        <f t="shared" si="87"/>
        <v>45904</v>
      </c>
      <c r="Y261" s="385">
        <f t="shared" si="88"/>
        <v>31.061699757934178</v>
      </c>
      <c r="Z261" s="385">
        <f t="shared" si="89"/>
        <v>33.74900819109638</v>
      </c>
      <c r="AA261" s="386">
        <f t="shared" si="90"/>
        <v>39.117615653585752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0.13724270696946875</v>
      </c>
      <c r="AD261" s="231">
        <f>(INDEX(Models!$BJ261:$BT261,,AH261)*(1-AF261)+INDEX(Models!$BJ261:$BT261,,AH261+1)*AF261-ERP_i)*AE261*Ramure*Pc/MaxiM</f>
        <v>7.8950750350158763E-2</v>
      </c>
      <c r="AE261" s="305">
        <f t="shared" si="92"/>
        <v>0.8</v>
      </c>
      <c r="AF261" s="177">
        <f t="shared" si="93"/>
        <v>0.58322315777355982</v>
      </c>
      <c r="AG261" s="809">
        <f t="shared" si="99"/>
        <v>3</v>
      </c>
      <c r="AH261" s="176">
        <f t="shared" si="94"/>
        <v>9</v>
      </c>
      <c r="AI261" s="225">
        <f t="shared" si="95"/>
        <v>3.5832231577735598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IF(t&gt;Tmaj,'2024'!Wh/'2024'!Env_an*'2025'!Env_an,0.001*'[11]mon-tableau (3)'!$B$140)</f>
        <v>31.710477830189994</v>
      </c>
      <c r="C262" s="839"/>
      <c r="D262" s="393">
        <f t="shared" si="77"/>
        <v>34.454735616334261</v>
      </c>
      <c r="E262" s="385">
        <f t="shared" si="100"/>
        <v>36.138033077390915</v>
      </c>
      <c r="F262" s="385">
        <f t="shared" si="78"/>
        <v>37.208098586704494</v>
      </c>
      <c r="G262" s="110">
        <f t="shared" si="101"/>
        <v>0.78898777629895678</v>
      </c>
      <c r="H262" s="414" t="b">
        <f>Wh_hp&gt;='2024'!Maxi_hp</f>
        <v>0</v>
      </c>
      <c r="I262" s="390">
        <f>IF(H262,Wh_hp,'2024'!Maxi_hp)</f>
        <v>45.417444264252914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7.9648203274654522E-2</v>
      </c>
      <c r="M262" s="843"/>
      <c r="N262" s="843"/>
      <c r="O262" s="48">
        <f>IF(t&lt;Tnet,'2024'!Resal+('2024'!Salim-'2024'!Resal)*(1-EXP(('2024'!Tnet-t)/('2024'!Tau_j))),Resal+(Salim-Resal)*(1-EXP((Tnet-t)/(Tau_j))))*Salcycl</f>
        <v>4.6579664627895298E-2</v>
      </c>
      <c r="P262" s="169">
        <f>(INDEX(Models!$BJ262:$BT262,,T262)*(1-R262)+INDEX(Models!$BJ262:$BT262,,T262+1)*R262-ERP_i)*Q262*Ramure*Pc/MaxiM</f>
        <v>4.0380213812571779E-2</v>
      </c>
      <c r="Q262" s="305">
        <f t="shared" si="80"/>
        <v>0.8</v>
      </c>
      <c r="R262" s="177">
        <f t="shared" si="81"/>
        <v>0.38317385215998279</v>
      </c>
      <c r="S262" s="809">
        <f t="shared" si="82"/>
        <v>2</v>
      </c>
      <c r="T262" s="176">
        <f t="shared" si="83"/>
        <v>8</v>
      </c>
      <c r="U262" s="251">
        <f t="shared" si="84"/>
        <v>2.3831738521599828</v>
      </c>
      <c r="V262" s="383">
        <f t="shared" si="85"/>
        <v>39.710437481917381</v>
      </c>
      <c r="W262" s="402">
        <f t="shared" si="86"/>
        <v>31.710477830189994</v>
      </c>
      <c r="X262" s="157">
        <f t="shared" si="87"/>
        <v>45905</v>
      </c>
      <c r="Y262" s="385">
        <f t="shared" si="88"/>
        <v>27.853088095912636</v>
      </c>
      <c r="Z262" s="385">
        <f t="shared" si="89"/>
        <v>30.263523355976723</v>
      </c>
      <c r="AA262" s="386">
        <f t="shared" si="90"/>
        <v>35.079888878263972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0.13729705755343885</v>
      </c>
      <c r="AD262" s="231">
        <f>(INDEX(Models!$BJ262:$BT262,,AH262)*(1-AF262)+INDEX(Models!$BJ262:$BT262,,AH262+1)*AF262-ERP_i)*AE262*Ramure*Pc/MaxiM</f>
        <v>8.0310562593449417E-2</v>
      </c>
      <c r="AE262" s="305">
        <f t="shared" si="92"/>
        <v>0.8</v>
      </c>
      <c r="AF262" s="177">
        <f t="shared" si="93"/>
        <v>0.58389059932488596</v>
      </c>
      <c r="AG262" s="809">
        <f t="shared" si="99"/>
        <v>3</v>
      </c>
      <c r="AH262" s="176">
        <f t="shared" si="94"/>
        <v>9</v>
      </c>
      <c r="AI262" s="225">
        <f t="shared" si="95"/>
        <v>3.583890599324886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IF(t&gt;Tmaj,'2024'!Wh/'2024'!Env_an*'2025'!Env_an,0.001*'[11]mon-tableau (3)'!$B$141)</f>
        <v>36.260461729800937</v>
      </c>
      <c r="C263" s="839"/>
      <c r="D263" s="393">
        <f t="shared" si="77"/>
        <v>39.39941777614186</v>
      </c>
      <c r="E263" s="385">
        <f t="shared" si="100"/>
        <v>41.332594785663986</v>
      </c>
      <c r="F263" s="385">
        <f t="shared" si="78"/>
        <v>42.919016496733448</v>
      </c>
      <c r="G263" s="110">
        <f t="shared" si="101"/>
        <v>0.91700734730345868</v>
      </c>
      <c r="H263" s="414" t="b">
        <f>Wh_hp&gt;='2024'!Maxi_hp</f>
        <v>0</v>
      </c>
      <c r="I263" s="390">
        <f>IF(H263,Wh_hp,'2024'!Maxi_hp)</f>
        <v>48.931389708757251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7.9670112491908612E-2</v>
      </c>
      <c r="M263" s="843"/>
      <c r="N263" s="843"/>
      <c r="O263" s="48">
        <f>IF(t&lt;Tnet,'2024'!Resal+('2024'!Salim-'2024'!Resal)*(1-EXP(('2024'!Tnet-t)/('2024'!Tau_j))),Resal+(Salim-Resal)*(1-EXP((Tnet-t)/(Tau_j))))*Salcycl</f>
        <v>4.6771247233494205E-2</v>
      </c>
      <c r="P263" s="169">
        <f>(INDEX(Models!$BJ263:$BT263,,T263)*(1-R263)+INDEX(Models!$BJ263:$BT263,,T263+1)*R263-ERP_i)*Q263*Ramure*Pc/MaxiM</f>
        <v>4.1633457974249555E-2</v>
      </c>
      <c r="Q263" s="305">
        <f t="shared" si="80"/>
        <v>0.8</v>
      </c>
      <c r="R263" s="177">
        <f t="shared" si="81"/>
        <v>0.3838158568779404</v>
      </c>
      <c r="S263" s="809">
        <f t="shared" si="82"/>
        <v>2</v>
      </c>
      <c r="T263" s="176">
        <f t="shared" si="83"/>
        <v>8</v>
      </c>
      <c r="U263" s="251">
        <f t="shared" si="84"/>
        <v>2.3838158568779404</v>
      </c>
      <c r="V263" s="383">
        <f t="shared" si="85"/>
        <v>39.350408857050368</v>
      </c>
      <c r="W263" s="402">
        <f t="shared" si="86"/>
        <v>36.260461729800937</v>
      </c>
      <c r="X263" s="157">
        <f t="shared" si="87"/>
        <v>45906</v>
      </c>
      <c r="Y263" s="385">
        <f t="shared" si="88"/>
        <v>31.60635073098992</v>
      </c>
      <c r="Z263" s="385">
        <f t="shared" si="89"/>
        <v>34.342414779735208</v>
      </c>
      <c r="AA263" s="386">
        <f t="shared" si="90"/>
        <v>39.810392703048862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0.13735051457794059</v>
      </c>
      <c r="AD263" s="231">
        <f>(INDEX(Models!$BJ263:$BT263,,AH263)*(1-AF263)+INDEX(Models!$BJ263:$BT263,,AH263+1)*AF263-ERP_i)*AE263*Ramure*Pc/MaxiM</f>
        <v>8.158156004110087E-2</v>
      </c>
      <c r="AE263" s="305">
        <f t="shared" si="92"/>
        <v>0.8</v>
      </c>
      <c r="AF263" s="177">
        <f t="shared" si="93"/>
        <v>0.58453260404284402</v>
      </c>
      <c r="AG263" s="809">
        <f t="shared" si="99"/>
        <v>3</v>
      </c>
      <c r="AH263" s="176">
        <f t="shared" si="94"/>
        <v>9</v>
      </c>
      <c r="AI263" s="225">
        <f t="shared" si="95"/>
        <v>3.584532604042844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IF(t&gt;Tmaj,'2024'!Wh/'2024'!Env_an*'2025'!Env_an,0.001*'[11]mon-tableau (3)'!$B$142)</f>
        <v>30.951604811423305</v>
      </c>
      <c r="C264" s="839"/>
      <c r="D264" s="393">
        <f t="shared" si="77"/>
        <v>33.631790144597055</v>
      </c>
      <c r="E264" s="385">
        <f t="shared" si="100"/>
        <v>35.289042162905709</v>
      </c>
      <c r="F264" s="385">
        <f t="shared" si="78"/>
        <v>36.389362132152499</v>
      </c>
      <c r="G264" s="110">
        <f t="shared" si="101"/>
        <v>0.78354655358942082</v>
      </c>
      <c r="H264" s="414" t="b">
        <f>Wh_hp&gt;='2024'!Maxi_hp</f>
        <v>0</v>
      </c>
      <c r="I264" s="390">
        <f>IF(H264,Wh_hp,'2024'!Maxi_hp)</f>
        <v>44.353228487080955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7.9692021199303326E-2</v>
      </c>
      <c r="M264" s="843"/>
      <c r="N264" s="843"/>
      <c r="O264" s="48">
        <f>IF(t&lt;Tnet,'2024'!Resal+('2024'!Salim-'2024'!Resal)*(1-EXP(('2024'!Tnet-t)/('2024'!Tau_j))),Resal+(Salim-Resal)*(1-EXP((Tnet-t)/(Tau_j))))*Salcycl</f>
        <v>4.6962227273220837E-2</v>
      </c>
      <c r="P264" s="169">
        <f>(INDEX(Models!$BJ264:$BT264,,T264)*(1-R264)+INDEX(Models!$BJ264:$BT264,,T264+1)*R264-ERP_i)*Q264*Ramure*Pc/MaxiM</f>
        <v>4.285715889061302E-2</v>
      </c>
      <c r="Q264" s="305">
        <f t="shared" si="80"/>
        <v>0.8</v>
      </c>
      <c r="R264" s="177">
        <f t="shared" si="81"/>
        <v>0.38443333995758566</v>
      </c>
      <c r="S264" s="809">
        <f t="shared" si="82"/>
        <v>2</v>
      </c>
      <c r="T264" s="176">
        <f t="shared" si="83"/>
        <v>8</v>
      </c>
      <c r="U264" s="251">
        <f t="shared" si="84"/>
        <v>2.3844333399575857</v>
      </c>
      <c r="V264" s="383">
        <f t="shared" si="85"/>
        <v>38.987886642603634</v>
      </c>
      <c r="W264" s="402">
        <f t="shared" si="86"/>
        <v>30.951604811423305</v>
      </c>
      <c r="X264" s="157">
        <f t="shared" si="87"/>
        <v>45907</v>
      </c>
      <c r="Y264" s="385">
        <f t="shared" si="88"/>
        <v>27.201059260383698</v>
      </c>
      <c r="Z264" s="385">
        <f t="shared" si="89"/>
        <v>29.55647444872843</v>
      </c>
      <c r="AA264" s="386">
        <f t="shared" si="90"/>
        <v>34.264524511443355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0.13740304673256368</v>
      </c>
      <c r="AD264" s="231">
        <f>(INDEX(Models!$BJ264:$BT264,,AH264)*(1-AF264)+INDEX(Models!$BJ264:$BT264,,AH264+1)*AF264-ERP_i)*AE264*Ramure*Pc/MaxiM</f>
        <v>8.2761838440341073E-2</v>
      </c>
      <c r="AE264" s="305">
        <f t="shared" si="92"/>
        <v>0.8</v>
      </c>
      <c r="AF264" s="177">
        <f t="shared" si="93"/>
        <v>0.58515008712248928</v>
      </c>
      <c r="AG264" s="809">
        <f t="shared" si="99"/>
        <v>3</v>
      </c>
      <c r="AH264" s="176">
        <f t="shared" si="94"/>
        <v>9</v>
      </c>
      <c r="AI264" s="225">
        <f t="shared" si="95"/>
        <v>3.5851500871224893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IF(t&gt;Tmaj,'2024'!Wh/'2024'!Env_an*'2025'!Env_an,0.001*'[11]mon-tableau (3)'!$B$143)</f>
        <v>28.26216885878674</v>
      </c>
      <c r="C265" s="839"/>
      <c r="D265" s="393">
        <f t="shared" si="77"/>
        <v>30.71019953639404</v>
      </c>
      <c r="E265" s="385">
        <f t="shared" si="100"/>
        <v>32.229923956752053</v>
      </c>
      <c r="F265" s="385">
        <f t="shared" si="78"/>
        <v>33.130048654781184</v>
      </c>
      <c r="G265" s="110">
        <f t="shared" si="101"/>
        <v>0.71904539514113663</v>
      </c>
      <c r="H265" s="414" t="b">
        <f>Wh_hp&gt;='2024'!Maxi_hp</f>
        <v>0</v>
      </c>
      <c r="I265" s="390">
        <f>IF(H265,Wh_hp,'2024'!Maxi_hp)</f>
        <v>42.753480627950061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7.9713929396850319E-2</v>
      </c>
      <c r="M265" s="843"/>
      <c r="N265" s="843"/>
      <c r="O265" s="48">
        <f>IF(t&lt;Tnet,'2024'!Resal+('2024'!Salim-'2024'!Resal)*(1-EXP(('2024'!Tnet-t)/('2024'!Tau_j))),Resal+(Salim-Resal)*(1-EXP((Tnet-t)/(Tau_j))))*Salcycl</f>
        <v>4.7152590939937247E-2</v>
      </c>
      <c r="P265" s="169">
        <f>(INDEX(Models!$BJ265:$BT265,,T265)*(1-R265)+INDEX(Models!$BJ265:$BT265,,T265+1)*R265-ERP_i)*Q265*Ramure*Pc/MaxiM</f>
        <v>4.4050736624354964E-2</v>
      </c>
      <c r="Q265" s="305">
        <f t="shared" si="80"/>
        <v>0.8</v>
      </c>
      <c r="R265" s="177">
        <f t="shared" si="81"/>
        <v>0.38502718785380052</v>
      </c>
      <c r="S265" s="809">
        <f t="shared" si="82"/>
        <v>2</v>
      </c>
      <c r="T265" s="176">
        <f t="shared" si="83"/>
        <v>8</v>
      </c>
      <c r="U265" s="251">
        <f t="shared" si="84"/>
        <v>2.3850271878538005</v>
      </c>
      <c r="V265" s="383">
        <f t="shared" si="85"/>
        <v>38.623071957878125</v>
      </c>
      <c r="W265" s="402">
        <f t="shared" si="86"/>
        <v>28.26216885878674</v>
      </c>
      <c r="X265" s="157">
        <f t="shared" si="87"/>
        <v>45908</v>
      </c>
      <c r="Y265" s="385">
        <f t="shared" si="88"/>
        <v>24.9382039706854</v>
      </c>
      <c r="Z265" s="385">
        <f t="shared" si="89"/>
        <v>27.098317324678248</v>
      </c>
      <c r="AA265" s="386">
        <f t="shared" si="90"/>
        <v>31.41668600448947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0.13745462138158437</v>
      </c>
      <c r="AD265" s="231">
        <f>(INDEX(Models!$BJ265:$BT265,,AH265)*(1-AF265)+INDEX(Models!$BJ265:$BT265,,AH265+1)*AF265-ERP_i)*AE265*Ramure*Pc/MaxiM</f>
        <v>8.3849367776779551E-2</v>
      </c>
      <c r="AE265" s="305">
        <f t="shared" si="92"/>
        <v>0.8</v>
      </c>
      <c r="AF265" s="177">
        <f t="shared" si="93"/>
        <v>0.58574393501870414</v>
      </c>
      <c r="AG265" s="809">
        <f t="shared" si="99"/>
        <v>3</v>
      </c>
      <c r="AH265" s="176">
        <f t="shared" si="94"/>
        <v>9</v>
      </c>
      <c r="AI265" s="225">
        <f t="shared" si="95"/>
        <v>3.5857439350187041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IF(t&gt;Tmaj,'2024'!Wh/'2024'!Env_an*'2025'!Env_an,0.001*'[11]mon-tableau (3)'!$B$144)</f>
        <v>21.018989180067049</v>
      </c>
      <c r="C266" s="839"/>
      <c r="D266" s="393">
        <f t="shared" si="77"/>
        <v>22.840169189548728</v>
      </c>
      <c r="E266" s="385">
        <f t="shared" si="100"/>
        <v>23.975211411476433</v>
      </c>
      <c r="F266" s="385">
        <f t="shared" si="78"/>
        <v>24.367794134611849</v>
      </c>
      <c r="G266" s="110">
        <f t="shared" si="101"/>
        <v>0.53317577112594861</v>
      </c>
      <c r="H266" s="414" t="b">
        <f>Wh_hp&gt;='2024'!Maxi_hp</f>
        <v>0</v>
      </c>
      <c r="I266" s="390">
        <f>IF(H266,Wh_hp,'2024'!Maxi_hp)</f>
        <v>43.385482084784094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7.9735837084561584E-2</v>
      </c>
      <c r="M266" s="843"/>
      <c r="N266" s="843"/>
      <c r="O266" s="48">
        <f>IF(t&lt;Tnet,'2024'!Resal+('2024'!Salim-'2024'!Resal)*(1-EXP(('2024'!Tnet-t)/('2024'!Tau_j))),Resal+(Salim-Resal)*(1-EXP((Tnet-t)/(Tau_j))))*Salcycl</f>
        <v>4.7342323804677039E-2</v>
      </c>
      <c r="P266" s="169">
        <f>(INDEX(Models!$BJ266:$BT266,,T266)*(1-R266)+INDEX(Models!$BJ266:$BT266,,T266+1)*R266-ERP_i)*Q266*Ramure*Pc/MaxiM</f>
        <v>4.5213557315968558E-2</v>
      </c>
      <c r="Q266" s="305">
        <f t="shared" si="80"/>
        <v>0.8</v>
      </c>
      <c r="R266" s="177">
        <f t="shared" si="81"/>
        <v>0.3855982588530269</v>
      </c>
      <c r="S266" s="809">
        <f t="shared" si="82"/>
        <v>2</v>
      </c>
      <c r="T266" s="176">
        <f t="shared" si="83"/>
        <v>8</v>
      </c>
      <c r="U266" s="251">
        <f t="shared" si="84"/>
        <v>2.3855982588530269</v>
      </c>
      <c r="V266" s="383">
        <f t="shared" si="85"/>
        <v>38.256165372292863</v>
      </c>
      <c r="W266" s="402">
        <f t="shared" si="86"/>
        <v>21.018989180067049</v>
      </c>
      <c r="X266" s="157">
        <f t="shared" si="87"/>
        <v>45909</v>
      </c>
      <c r="Y266" s="385">
        <f t="shared" si="88"/>
        <v>18.756567447165406</v>
      </c>
      <c r="Z266" s="385">
        <f t="shared" si="89"/>
        <v>20.381721035125125</v>
      </c>
      <c r="AA266" s="386">
        <f t="shared" si="90"/>
        <v>23.631123505834932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0.13750520452010984</v>
      </c>
      <c r="AD266" s="231">
        <f>(INDEX(Models!$BJ266:$BT266,,AH266)*(1-AF266)+INDEX(Models!$BJ266:$BT266,,AH266+1)*AF266-ERP_i)*AE266*Ramure*Pc/MaxiM</f>
        <v>8.4841990577631088E-2</v>
      </c>
      <c r="AE266" s="305">
        <f t="shared" si="92"/>
        <v>0.8</v>
      </c>
      <c r="AF266" s="177">
        <f t="shared" si="93"/>
        <v>0.58631500601793052</v>
      </c>
      <c r="AG266" s="809">
        <f t="shared" si="99"/>
        <v>3</v>
      </c>
      <c r="AH266" s="176">
        <f t="shared" si="94"/>
        <v>9</v>
      </c>
      <c r="AI266" s="225">
        <f t="shared" si="95"/>
        <v>3.5863150060179305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IF(t&gt;Tmaj,'2024'!Wh/'2024'!Env_an*'2025'!Env_an,0.001*'[11]mon-tableau (3)'!$B$145)</f>
        <v>35.914405914226194</v>
      </c>
      <c r="C267" s="839"/>
      <c r="D267" s="393">
        <f t="shared" si="77"/>
        <v>39.027121054598496</v>
      </c>
      <c r="E267" s="385">
        <f t="shared" si="100"/>
        <v>40.97470666962937</v>
      </c>
      <c r="F267" s="385">
        <f t="shared" si="78"/>
        <v>42.811188553883895</v>
      </c>
      <c r="G267" s="110">
        <f t="shared" si="101"/>
        <v>0.94451099150405871</v>
      </c>
      <c r="H267" s="414" t="b">
        <f>Wh_hp&gt;='2024'!Maxi_hp</f>
        <v>0</v>
      </c>
      <c r="I267" s="390">
        <f>IF(H267,Wh_hp,'2024'!Maxi_hp)</f>
        <v>42.945778972423717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7.9757744262448999E-2</v>
      </c>
      <c r="M267" s="843"/>
      <c r="N267" s="843"/>
      <c r="O267" s="48">
        <f>IF(t&lt;Tnet,'2024'!Resal+('2024'!Salim-'2024'!Resal)*(1-EXP(('2024'!Tnet-t)/('2024'!Tau_j))),Resal+(Salim-Resal)*(1-EXP((Tnet-t)/(Tau_j))))*Salcycl</f>
        <v>4.7531410797735721E-2</v>
      </c>
      <c r="P267" s="169">
        <f>(INDEX(Models!$BJ267:$BT267,,T267)*(1-R267)+INDEX(Models!$BJ267:$BT267,,T267+1)*R267-ERP_i)*Q267*Ramure*Pc/MaxiM</f>
        <v>4.6344931841907543E-2</v>
      </c>
      <c r="Q267" s="305">
        <f t="shared" si="80"/>
        <v>0.8</v>
      </c>
      <c r="R267" s="177">
        <f t="shared" si="81"/>
        <v>0.3861473836622249</v>
      </c>
      <c r="S267" s="809">
        <f t="shared" si="82"/>
        <v>2</v>
      </c>
      <c r="T267" s="176">
        <f t="shared" si="83"/>
        <v>8</v>
      </c>
      <c r="U267" s="251">
        <f t="shared" si="84"/>
        <v>2.3861473836622249</v>
      </c>
      <c r="V267" s="383">
        <f t="shared" si="85"/>
        <v>37.887366901557343</v>
      </c>
      <c r="W267" s="402">
        <f t="shared" si="86"/>
        <v>35.914405914226194</v>
      </c>
      <c r="X267" s="157">
        <f t="shared" si="87"/>
        <v>45910</v>
      </c>
      <c r="Y267" s="385">
        <f t="shared" si="88"/>
        <v>31.281039887953877</v>
      </c>
      <c r="Z267" s="385">
        <f t="shared" si="89"/>
        <v>33.992179442882581</v>
      </c>
      <c r="AA267" s="386">
        <f t="shared" si="90"/>
        <v>39.413724948040318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0.13755476074146863</v>
      </c>
      <c r="AD267" s="231">
        <f>(INDEX(Models!$BJ267:$BT267,,AH267)*(1-AF267)+INDEX(Models!$BJ267:$BT267,,AH267+1)*AF267-ERP_i)*AE267*Ramure*Pc/MaxiM</f>
        <v>8.573742033513003E-2</v>
      </c>
      <c r="AE267" s="305">
        <f t="shared" si="92"/>
        <v>0.8</v>
      </c>
      <c r="AF267" s="177">
        <f t="shared" si="93"/>
        <v>0.58686413082712807</v>
      </c>
      <c r="AG267" s="809">
        <f t="shared" si="99"/>
        <v>3</v>
      </c>
      <c r="AH267" s="176">
        <f t="shared" si="94"/>
        <v>9</v>
      </c>
      <c r="AI267" s="225">
        <f t="shared" si="95"/>
        <v>3.5868641308271281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IF(t&gt;Tmaj,'2024'!Wh/'2024'!Env_an*'2025'!Env_an,0.001*'[11]mon-tableau (3)'!$B$146)</f>
        <v>34.909247652399621</v>
      </c>
      <c r="C268" s="839"/>
      <c r="D268" s="393">
        <f t="shared" si="77"/>
        <v>37.935748419060452</v>
      </c>
      <c r="E268" s="385">
        <f t="shared" si="100"/>
        <v>39.836751683926337</v>
      </c>
      <c r="F268" s="385">
        <f t="shared" si="78"/>
        <v>41.613046833621439</v>
      </c>
      <c r="G268" s="110">
        <f t="shared" si="101"/>
        <v>0.92586972371860199</v>
      </c>
      <c r="H268" s="414" t="b">
        <f>Wh_hp&gt;='2024'!Maxi_hp</f>
        <v>0</v>
      </c>
      <c r="I268" s="390">
        <f>IF(H268,Wh_hp,'2024'!Maxi_hp)</f>
        <v>43.805127981597593</v>
      </c>
      <c r="J268" s="85">
        <f>IF(H268,An,'2024'!An_max)</f>
        <v>2019</v>
      </c>
      <c r="K268" s="197">
        <f t="shared" si="79"/>
        <v>45911</v>
      </c>
      <c r="L268" s="147">
        <f>IF(t&lt;Tvie,1-EXP((T0-t)*PertePVj)+'2024'!Pspv,1-EXP((T0-t)*PertePVj)+Pspv)</f>
        <v>7.9779650930524332E-2</v>
      </c>
      <c r="M268" s="843"/>
      <c r="N268" s="843"/>
      <c r="O268" s="48">
        <f>IF(t&lt;Tnet,'2024'!Resal+('2024'!Salim-'2024'!Resal)*(1-EXP(('2024'!Tnet-t)/('2024'!Tau_j))),Resal+(Salim-Resal)*(1-EXP((Tnet-t)/(Tau_j))))*Salcycl</f>
        <v>4.7719836194197417E-2</v>
      </c>
      <c r="P268" s="169">
        <f>(INDEX(Models!$BJ268:$BT268,,T268)*(1-R268)+INDEX(Models!$BJ268:$BT268,,T268+1)*R268-ERP_i)*Q268*Ramure*Pc/MaxiM</f>
        <v>4.7395290304258646E-2</v>
      </c>
      <c r="Q268" s="305">
        <f t="shared" si="80"/>
        <v>0.8</v>
      </c>
      <c r="R268" s="177">
        <f t="shared" si="81"/>
        <v>0.38667536601182873</v>
      </c>
      <c r="S268" s="809">
        <f t="shared" si="82"/>
        <v>2</v>
      </c>
      <c r="T268" s="176">
        <f t="shared" si="83"/>
        <v>8</v>
      </c>
      <c r="U268" s="251">
        <f t="shared" si="84"/>
        <v>2.3866753660118287</v>
      </c>
      <c r="V268" s="383">
        <f t="shared" si="85"/>
        <v>37.518798966984136</v>
      </c>
      <c r="W268" s="402">
        <f t="shared" si="86"/>
        <v>34.909247652399621</v>
      </c>
      <c r="X268" s="157">
        <f t="shared" si="87"/>
        <v>45911</v>
      </c>
      <c r="Y268" s="385">
        <f t="shared" si="88"/>
        <v>30.452100174540522</v>
      </c>
      <c r="Z268" s="385">
        <f t="shared" si="89"/>
        <v>33.092182981319205</v>
      </c>
      <c r="AA268" s="386">
        <f t="shared" si="90"/>
        <v>38.372342085935401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0.13760325321793512</v>
      </c>
      <c r="AD268" s="231">
        <f>(INDEX(Models!$BJ268:$BT268,,AH268)*(1-AF268)+INDEX(Models!$BJ268:$BT268,,AH268+1)*AF268-ERP_i)*AE268*Ramure*Pc/MaxiM</f>
        <v>8.646881816534456E-2</v>
      </c>
      <c r="AE268" s="305">
        <f t="shared" si="92"/>
        <v>0.8</v>
      </c>
      <c r="AF268" s="177">
        <f t="shared" si="93"/>
        <v>0.58739211317673234</v>
      </c>
      <c r="AG268" s="809">
        <f t="shared" si="99"/>
        <v>3</v>
      </c>
      <c r="AH268" s="176">
        <f t="shared" si="94"/>
        <v>9</v>
      </c>
      <c r="AI268" s="225">
        <f t="shared" si="95"/>
        <v>3.5873921131767323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IF(t&gt;Tmaj,'2024'!Wh/'2024'!Env_an*'2025'!Env_an,0.001*'[11]mon-tableau (3)'!$B$147)</f>
        <v>25.122880673026518</v>
      </c>
      <c r="C269" s="839"/>
      <c r="D269" s="393">
        <f t="shared" si="77"/>
        <v>27.301590071752472</v>
      </c>
      <c r="E269" s="385">
        <f t="shared" si="100"/>
        <v>28.675357141398841</v>
      </c>
      <c r="F269" s="385">
        <f t="shared" si="78"/>
        <v>29.441081797833629</v>
      </c>
      <c r="G269" s="110">
        <f t="shared" si="101"/>
        <v>0.66072290048917026</v>
      </c>
      <c r="H269" s="414" t="b">
        <f>Wh_hp&gt;='2024'!Maxi_hp</f>
        <v>0</v>
      </c>
      <c r="I269" s="390">
        <f>IF(H269,Wh_hp,'2024'!Maxi_hp)</f>
        <v>44.561569210056845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7.9801557088799463E-2</v>
      </c>
      <c r="M269" s="843"/>
      <c r="N269" s="843"/>
      <c r="O269" s="48">
        <f>IF(t&lt;Tnet,'2024'!Resal+('2024'!Salim-'2024'!Resal)*(1-EXP(('2024'!Tnet-t)/('2024'!Tau_j))),Resal+(Salim-Resal)*(1-EXP((Tnet-t)/(Tau_j))))*Salcycl</f>
        <v>4.7907583604706004E-2</v>
      </c>
      <c r="P269" s="169">
        <f>(INDEX(Models!$BJ269:$BT269,,T269)*(1-R269)+INDEX(Models!$BJ269:$BT269,,T269+1)*R269-ERP_i)*Q269*Ramure*Pc/MaxiM</f>
        <v>4.8386949393695436E-2</v>
      </c>
      <c r="Q269" s="305">
        <f t="shared" si="80"/>
        <v>0.8</v>
      </c>
      <c r="R269" s="177">
        <f t="shared" si="81"/>
        <v>0.38718298326973333</v>
      </c>
      <c r="S269" s="809">
        <f t="shared" si="82"/>
        <v>2</v>
      </c>
      <c r="T269" s="176">
        <f t="shared" si="83"/>
        <v>8</v>
      </c>
      <c r="U269" s="251">
        <f t="shared" si="84"/>
        <v>2.3871829832697333</v>
      </c>
      <c r="V269" s="383">
        <f t="shared" si="85"/>
        <v>37.149707072135811</v>
      </c>
      <c r="W269" s="402">
        <f t="shared" si="86"/>
        <v>25.122880673026518</v>
      </c>
      <c r="X269" s="157">
        <f t="shared" si="87"/>
        <v>45912</v>
      </c>
      <c r="Y269" s="385">
        <f t="shared" si="88"/>
        <v>22.268836439254105</v>
      </c>
      <c r="Z269" s="385">
        <f t="shared" si="89"/>
        <v>24.200037079831329</v>
      </c>
      <c r="AA269" s="386">
        <f t="shared" si="90"/>
        <v>28.062915456414942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0.13765064369677213</v>
      </c>
      <c r="AD269" s="231">
        <f>(INDEX(Models!$BJ269:$BT269,,AH269)*(1-AF269)+INDEX(Models!$BJ269:$BT269,,AH269+1)*AF269-ERP_i)*AE269*Ramure*Pc/MaxiM</f>
        <v>8.7087786004967832E-2</v>
      </c>
      <c r="AE269" s="305">
        <f t="shared" si="92"/>
        <v>0.8</v>
      </c>
      <c r="AF269" s="177">
        <f t="shared" si="93"/>
        <v>0.5878997304346365</v>
      </c>
      <c r="AG269" s="809">
        <f t="shared" si="99"/>
        <v>3</v>
      </c>
      <c r="AH269" s="176">
        <f t="shared" si="94"/>
        <v>9</v>
      </c>
      <c r="AI269" s="225">
        <f t="shared" si="95"/>
        <v>3.5878997304346365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IF(t&gt;Tmaj,'2024'!Wh/'2024'!Env_an*'2025'!Env_an,0.001*'[11]mon-tableau (3)'!$B$148)</f>
        <v>12.204237700720531</v>
      </c>
      <c r="C270" s="839"/>
      <c r="D270" s="393">
        <f t="shared" si="77"/>
        <v>13.262930760031081</v>
      </c>
      <c r="E270" s="385">
        <f t="shared" si="100"/>
        <v>13.933035006665451</v>
      </c>
      <c r="F270" s="385">
        <f t="shared" si="78"/>
        <v>13.964336073754476</v>
      </c>
      <c r="G270" s="110">
        <f t="shared" si="101"/>
        <v>0.31615874319670995</v>
      </c>
      <c r="H270" s="414" t="b">
        <f>Wh_hp&gt;='2024'!Maxi_hp</f>
        <v>0</v>
      </c>
      <c r="I270" s="390">
        <f>IF(H270,Wh_hp,'2024'!Maxi_hp)</f>
        <v>41.322642207532596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7.9823462737286272E-2</v>
      </c>
      <c r="M270" s="843"/>
      <c r="N270" s="843"/>
      <c r="O270" s="48">
        <f>IF(t&lt;Tnet,'2024'!Resal+('2024'!Salim-'2024'!Resal)*(1-EXP(('2024'!Tnet-t)/('2024'!Tau_j))),Resal+(Salim-Resal)*(1-EXP((Tnet-t)/(Tau_j))))*Salcycl</f>
        <v>4.8094635972262781E-2</v>
      </c>
      <c r="P270" s="169">
        <f>(INDEX(Models!$BJ270:$BT270,,T270)*(1-R270)+INDEX(Models!$BJ270:$BT270,,T270+1)*R270-ERP_i)*Q270*Ramure*Pc/MaxiM</f>
        <v>4.9318465901138038E-2</v>
      </c>
      <c r="Q270" s="305">
        <f t="shared" si="80"/>
        <v>0.8</v>
      </c>
      <c r="R270" s="177">
        <f t="shared" si="81"/>
        <v>0.38767098706358549</v>
      </c>
      <c r="S270" s="809">
        <f t="shared" si="82"/>
        <v>2</v>
      </c>
      <c r="T270" s="176">
        <f t="shared" si="83"/>
        <v>8</v>
      </c>
      <c r="U270" s="251">
        <f t="shared" si="84"/>
        <v>2.3876709870635855</v>
      </c>
      <c r="V270" s="383">
        <f t="shared" si="85"/>
        <v>36.780284443163694</v>
      </c>
      <c r="W270" s="402">
        <f t="shared" si="86"/>
        <v>12.204237700720531</v>
      </c>
      <c r="X270" s="157">
        <f t="shared" si="87"/>
        <v>45913</v>
      </c>
      <c r="Y270" s="385">
        <f t="shared" si="88"/>
        <v>11.036186396644082</v>
      </c>
      <c r="Z270" s="385">
        <f t="shared" si="89"/>
        <v>11.993553356048254</v>
      </c>
      <c r="AA270" s="386">
        <f t="shared" si="90"/>
        <v>13.908744212933586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0.13769689251344605</v>
      </c>
      <c r="AD270" s="231">
        <f>(INDEX(Models!$BJ270:$BT270,,AH270)*(1-AF270)+INDEX(Models!$BJ270:$BT270,,AH270+1)*AF270-ERP_i)*AE270*Ramure*Pc/MaxiM</f>
        <v>8.7591432090096788E-2</v>
      </c>
      <c r="AE270" s="305">
        <f t="shared" si="92"/>
        <v>0.8</v>
      </c>
      <c r="AF270" s="177">
        <f t="shared" si="93"/>
        <v>0.58838773422848867</v>
      </c>
      <c r="AG270" s="809">
        <f t="shared" si="99"/>
        <v>3</v>
      </c>
      <c r="AH270" s="176">
        <f t="shared" si="94"/>
        <v>9</v>
      </c>
      <c r="AI270" s="225">
        <f t="shared" si="95"/>
        <v>3.5883877342284887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IF(t&gt;Tmaj,'2024'!Wh/'2024'!Env_an*'2025'!Env_an,0.001*'[11]mon-tableau (3)'!$B$149)</f>
        <v>27.614800971435184</v>
      </c>
      <c r="C271" s="839"/>
      <c r="D271" s="393">
        <f t="shared" ref="D271:D334" si="102">Wh/(1-Ppv)</f>
        <v>30.01104380433496</v>
      </c>
      <c r="E271" s="385">
        <f t="shared" si="100"/>
        <v>31.533512553762154</v>
      </c>
      <c r="F271" s="385">
        <f t="shared" ref="F271:F334" si="103">Wh_sa/(1-Pvg*MEDIAN((-Sdif+Wh/Env_an)/Csdif,0,1))</f>
        <v>32.605178335512718</v>
      </c>
      <c r="G271" s="110">
        <f t="shared" si="101"/>
        <v>0.74484233045450965</v>
      </c>
      <c r="H271" s="414" t="b">
        <f>Wh_hp&gt;='2024'!Maxi_hp</f>
        <v>0</v>
      </c>
      <c r="I271" s="390">
        <f>IF(H271,Wh_hp,'2024'!Maxi_hp)</f>
        <v>40.506292806876168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7.9845367875996748E-2</v>
      </c>
      <c r="M271" s="843"/>
      <c r="N271" s="843"/>
      <c r="O271" s="48">
        <f>IF(t&lt;Tnet,'2024'!Resal+('2024'!Salim-'2024'!Resal)*(1-EXP(('2024'!Tnet-t)/('2024'!Tau_j))),Resal+(Salim-Resal)*(1-EXP((Tnet-t)/(Tau_j))))*Salcycl</f>
        <v>4.8280975575794381E-2</v>
      </c>
      <c r="P271" s="169">
        <f>(INDEX(Models!$BJ271:$BT271,,T271)*(1-R271)+INDEX(Models!$BJ271:$BT271,,T271+1)*R271-ERP_i)*Q271*Ramure*Pc/MaxiM</f>
        <v>5.0188310929199002E-2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0.38814010390890807</v>
      </c>
      <c r="S271" s="809">
        <f t="shared" ref="S271:S334" si="107">INDEX(Echel_vg,T271)</f>
        <v>2</v>
      </c>
      <c r="T271" s="176">
        <f t="shared" ref="T271:T334" si="108">MIN(MATCH(Hp_vg,Echel_vg),10)</f>
        <v>8</v>
      </c>
      <c r="U271" s="251">
        <f t="shared" ref="U271:U334" si="109">IF(OR(t&lt;Ttai,Notai),Hdd+PousH*Croivg,Hdtf+PousH*(Croivg-Croi_tai))</f>
        <v>2.3881401039089081</v>
      </c>
      <c r="V271" s="383">
        <f t="shared" ref="V271:V334" si="110">MaxiM*(1-Ppv)*(1-Pvg)*(1-Psa)</f>
        <v>36.410723375355147</v>
      </c>
      <c r="W271" s="402">
        <f t="shared" ref="W271:W334" si="111">Wh*(A271&gt;Tmaj)</f>
        <v>27.614800971435184</v>
      </c>
      <c r="X271" s="157">
        <f t="shared" ref="X271:X334" si="112">t</f>
        <v>45914</v>
      </c>
      <c r="Y271" s="385">
        <f t="shared" ref="Y271:Y334" si="113">Wh_pvt_s*(1-Ppv)</f>
        <v>24.378830485119597</v>
      </c>
      <c r="Z271" s="385">
        <f t="shared" ref="Z271:Z334" si="114">Wh_sa_s*(1-Psa_s)</f>
        <v>26.494275672824326</v>
      </c>
      <c r="AA271" s="386">
        <f t="shared" ref="AA271:AA334" si="115">Wh_hp*(1-Pvg_s*MEDIAN((-Sdif+Wh/Env_an)/Csdif,0,1))</f>
        <v>30.726620572347109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0.13774195862371369</v>
      </c>
      <c r="AD271" s="231">
        <f>(INDEX(Models!$BJ271:$BT271,,AH271)*(1-AF271)+INDEX(Models!$BJ271:$BT271,,AH271+1)*AF271-ERP_i)*AE271*Ramure*Pc/MaxiM</f>
        <v>8.7976720654649621E-2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0.58885685107381169</v>
      </c>
      <c r="AG271" s="809">
        <f t="shared" si="99"/>
        <v>3</v>
      </c>
      <c r="AH271" s="176">
        <f t="shared" ref="AH271:AH334" si="119">MIN(MATCH(Hp_vg_s,Echel_vg),10)</f>
        <v>9</v>
      </c>
      <c r="AI271" s="225">
        <f t="shared" ref="AI271:AI334" si="120">IF(OR(t&lt;Ttai,Notai),Hdd_s+PousH*Croivg,Hdtai_s+PousH*(Croivg-Croi_tai))</f>
        <v>3.5888568510738117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IF(t&gt;Tmaj,'2024'!Wh/'2024'!Env_an*'2025'!Env_an,0.001*'[11]mon-tableau (3)'!$B$150)</f>
        <v>30.064798813866823</v>
      </c>
      <c r="C272" s="839"/>
      <c r="D272" s="393">
        <f t="shared" si="102"/>
        <v>32.674415239760414</v>
      </c>
      <c r="E272" s="385">
        <f t="shared" si="100"/>
        <v>34.338694460704815</v>
      </c>
      <c r="F272" s="385">
        <f t="shared" si="103"/>
        <v>35.729084187909947</v>
      </c>
      <c r="G272" s="110">
        <f t="shared" si="101"/>
        <v>0.82369331637385701</v>
      </c>
      <c r="H272" s="414" t="b">
        <f>Wh_hp&gt;='2024'!Maxi_hp</f>
        <v>0</v>
      </c>
      <c r="I272" s="390">
        <f>IF(H272,Wh_hp,'2024'!Maxi_hp)</f>
        <v>40.691044739305312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7.9867272504942549E-2</v>
      </c>
      <c r="M272" s="843"/>
      <c r="N272" s="843"/>
      <c r="O272" s="48">
        <f>IF(t&lt;Tnet,'2024'!Resal+('2024'!Salim-'2024'!Resal)*(1-EXP(('2024'!Tnet-t)/('2024'!Tau_j))),Resal+(Salim-Resal)*(1-EXP((Tnet-t)/(Tau_j))))*Salcycl</f>
        <v>4.8466584041187269E-2</v>
      </c>
      <c r="P272" s="169">
        <f>(INDEX(Models!$BJ272:$BT272,,T272)*(1-R272)+INDEX(Models!$BJ272:$BT272,,T272+1)*R272-ERP_i)*Q272*Ramure*Pc/MaxiM</f>
        <v>5.099486920108702E-2</v>
      </c>
      <c r="Q272" s="305">
        <f t="shared" si="105"/>
        <v>0.8</v>
      </c>
      <c r="R272" s="177">
        <f t="shared" si="106"/>
        <v>0.38859103584078536</v>
      </c>
      <c r="S272" s="809">
        <f t="shared" si="107"/>
        <v>2</v>
      </c>
      <c r="T272" s="176">
        <f t="shared" si="108"/>
        <v>8</v>
      </c>
      <c r="U272" s="251">
        <f t="shared" si="109"/>
        <v>2.3885910358407854</v>
      </c>
      <c r="V272" s="383">
        <f t="shared" si="110"/>
        <v>36.041215178320194</v>
      </c>
      <c r="W272" s="402">
        <f t="shared" si="111"/>
        <v>30.064798813866823</v>
      </c>
      <c r="X272" s="157">
        <f t="shared" si="112"/>
        <v>45915</v>
      </c>
      <c r="Y272" s="385">
        <f t="shared" si="113"/>
        <v>26.436996890699717</v>
      </c>
      <c r="Z272" s="385">
        <f t="shared" si="114"/>
        <v>28.731721088403219</v>
      </c>
      <c r="AA272" s="386">
        <f t="shared" si="115"/>
        <v>33.323182426064569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0.13778579965609836</v>
      </c>
      <c r="AD272" s="231">
        <f>(INDEX(Models!$BJ272:$BT272,,AH272)*(1-AF272)+INDEX(Models!$BJ272:$BT272,,AH272+1)*AF272-ERP_i)*AE272*Ramure*Pc/MaxiM</f>
        <v>8.824047190178097E-2</v>
      </c>
      <c r="AE272" s="305">
        <f t="shared" si="117"/>
        <v>0.8</v>
      </c>
      <c r="AF272" s="177">
        <f t="shared" si="118"/>
        <v>0.58930778300568942</v>
      </c>
      <c r="AG272" s="809">
        <f t="shared" ref="AG272:AG335" si="124">INDEX(Echel_vg,AH272)</f>
        <v>3</v>
      </c>
      <c r="AH272" s="176">
        <f t="shared" si="119"/>
        <v>9</v>
      </c>
      <c r="AI272" s="225">
        <f t="shared" si="120"/>
        <v>3.5893077830056894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IF(t&gt;Tmaj,'2024'!Wh/'2024'!Env_an*'2025'!Env_an,0.001*'[11]mon-tableau (3)'!$B$151)</f>
        <v>27.789199786590746</v>
      </c>
      <c r="C273" s="839"/>
      <c r="D273" s="393">
        <f t="shared" si="102"/>
        <v>30.202013801590599</v>
      </c>
      <c r="E273" s="385">
        <f t="shared" si="100"/>
        <v>31.746528187866222</v>
      </c>
      <c r="F273" s="385">
        <f t="shared" si="103"/>
        <v>32.911737348379738</v>
      </c>
      <c r="G273" s="110">
        <f t="shared" si="101"/>
        <v>0.765830788914586</v>
      </c>
      <c r="H273" s="414" t="b">
        <f>Wh_hp&gt;='2024'!Maxi_hp</f>
        <v>0</v>
      </c>
      <c r="I273" s="390">
        <f>IF(H273,Wh_hp,'2024'!Maxi_hp)</f>
        <v>39.509966115704373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7.9889176624135666E-2</v>
      </c>
      <c r="M273" s="843"/>
      <c r="N273" s="843"/>
      <c r="O273" s="48">
        <f>IF(t&lt;Tnet,'2024'!Resal+('2024'!Salim-'2024'!Resal)*(1-EXP(('2024'!Tnet-t)/('2024'!Tau_j))),Resal+(Salim-Resal)*(1-EXP((Tnet-t)/(Tau_j))))*Salcycl</f>
        <v>4.8651442360426331E-2</v>
      </c>
      <c r="P273" s="169">
        <f>(INDEX(Models!$BJ273:$BT273,,T273)*(1-R273)+INDEX(Models!$BJ273:$BT273,,T273+1)*R273-ERP_i)*Q273*Ramure*Pc/MaxiM</f>
        <v>5.1736438580718233E-2</v>
      </c>
      <c r="Q273" s="305">
        <f t="shared" si="105"/>
        <v>0.8</v>
      </c>
      <c r="R273" s="177">
        <f t="shared" si="106"/>
        <v>0.38902446104706012</v>
      </c>
      <c r="S273" s="809">
        <f t="shared" si="107"/>
        <v>2</v>
      </c>
      <c r="T273" s="176">
        <f t="shared" si="108"/>
        <v>8</v>
      </c>
      <c r="U273" s="251">
        <f t="shared" si="109"/>
        <v>2.3890244610470601</v>
      </c>
      <c r="V273" s="383">
        <f t="shared" si="110"/>
        <v>35.671950107938038</v>
      </c>
      <c r="W273" s="402">
        <f t="shared" si="111"/>
        <v>27.789199786590746</v>
      </c>
      <c r="X273" s="157">
        <f t="shared" si="112"/>
        <v>45916</v>
      </c>
      <c r="Y273" s="385">
        <f t="shared" si="113"/>
        <v>24.529629335115033</v>
      </c>
      <c r="Z273" s="385">
        <f t="shared" si="114"/>
        <v>26.65942918171141</v>
      </c>
      <c r="AA273" s="386">
        <f t="shared" si="115"/>
        <v>30.921255484970242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0.13782837198607145</v>
      </c>
      <c r="AD273" s="231">
        <f>(INDEX(Models!$BJ273:$BT273,,AH273)*(1-AF273)+INDEX(Models!$BJ273:$BT273,,AH273+1)*AF273-ERP_i)*AE273*Ramure*Pc/MaxiM</f>
        <v>8.8379362402999387E-2</v>
      </c>
      <c r="AE273" s="305">
        <f t="shared" si="117"/>
        <v>0.8</v>
      </c>
      <c r="AF273" s="177">
        <f t="shared" si="118"/>
        <v>0.58974120821196419</v>
      </c>
      <c r="AG273" s="809">
        <f t="shared" si="124"/>
        <v>3</v>
      </c>
      <c r="AH273" s="176">
        <f t="shared" si="119"/>
        <v>9</v>
      </c>
      <c r="AI273" s="225">
        <f t="shared" si="120"/>
        <v>3.5897412082119642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IF(t&gt;Tmaj,'2024'!Wh/'2024'!Env_an*'2025'!Env_an,0.001*'[11]mon-tableau (3)'!$B$152)</f>
        <v>34.978237101643408</v>
      </c>
      <c r="C274" s="839"/>
      <c r="D274" s="393">
        <f t="shared" si="102"/>
        <v>38.016148602814951</v>
      </c>
      <c r="E274" s="385">
        <f t="shared" si="100"/>
        <v>39.968007467269928</v>
      </c>
      <c r="F274" s="385">
        <f t="shared" si="103"/>
        <v>42.147994574235518</v>
      </c>
      <c r="G274" s="110">
        <f t="shared" si="101"/>
        <v>0.99007748518573635</v>
      </c>
      <c r="H274" s="414" t="b">
        <f>Wh_hp&gt;='2024'!Maxi_hp</f>
        <v>0</v>
      </c>
      <c r="I274" s="390">
        <f>IF(H274,Wh_hp,'2024'!Maxi_hp)</f>
        <v>42.174056181974457</v>
      </c>
      <c r="J274" s="85">
        <f>IF(H274,An,'2024'!An_max)</f>
        <v>2022</v>
      </c>
      <c r="K274" s="197">
        <f t="shared" si="104"/>
        <v>45917</v>
      </c>
      <c r="L274" s="147">
        <f>IF(t&lt;Tvie,1-EXP((T0-t)*PertePVj)+'2024'!Pspv,1-EXP((T0-t)*PertePVj)+Pspv)</f>
        <v>7.9911080233587867E-2</v>
      </c>
      <c r="M274" s="843"/>
      <c r="N274" s="843"/>
      <c r="O274" s="48">
        <f>IF(t&lt;Tnet,'2024'!Resal+('2024'!Salim-'2024'!Resal)*(1-EXP(('2024'!Tnet-t)/('2024'!Tau_j))),Resal+(Salim-Resal)*(1-EXP((Tnet-t)/(Tau_j))))*Salcycl</f>
        <v>4.8835530919407642E-2</v>
      </c>
      <c r="P274" s="169">
        <f>(INDEX(Models!$BJ274:$BT274,,T274)*(1-R274)+INDEX(Models!$BJ274:$BT274,,T274+1)*R274-ERP_i)*Q274*Ramure*Pc/MaxiM</f>
        <v>5.2411229818072946E-2</v>
      </c>
      <c r="Q274" s="305">
        <f t="shared" si="105"/>
        <v>0.8</v>
      </c>
      <c r="R274" s="177">
        <f t="shared" si="106"/>
        <v>0.38944103450117851</v>
      </c>
      <c r="S274" s="809">
        <f t="shared" si="107"/>
        <v>2</v>
      </c>
      <c r="T274" s="176">
        <f t="shared" si="108"/>
        <v>8</v>
      </c>
      <c r="U274" s="251">
        <f t="shared" si="109"/>
        <v>2.3894410345011785</v>
      </c>
      <c r="V274" s="383">
        <f t="shared" si="110"/>
        <v>35.303117296160089</v>
      </c>
      <c r="W274" s="402">
        <f t="shared" si="111"/>
        <v>34.978237101643408</v>
      </c>
      <c r="X274" s="157">
        <f t="shared" si="112"/>
        <v>45917</v>
      </c>
      <c r="Y274" s="385">
        <f t="shared" si="113"/>
        <v>30.517012500879769</v>
      </c>
      <c r="Z274" s="385">
        <f t="shared" si="114"/>
        <v>33.167460063128772</v>
      </c>
      <c r="AA274" s="386">
        <f t="shared" si="115"/>
        <v>38.47151341528162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0.13786963083303033</v>
      </c>
      <c r="AD274" s="231">
        <f>(INDEX(Models!$BJ274:$BT274,,AH274)*(1-AF274)+INDEX(Models!$BJ274:$BT274,,AH274+1)*AF274-ERP_i)*AE274*Ramure*Pc/MaxiM</f>
        <v>8.838992594408461E-2</v>
      </c>
      <c r="AE274" s="305">
        <f t="shared" si="117"/>
        <v>0.8</v>
      </c>
      <c r="AF274" s="177">
        <f t="shared" si="118"/>
        <v>0.59015778166608213</v>
      </c>
      <c r="AG274" s="809">
        <f t="shared" si="124"/>
        <v>3</v>
      </c>
      <c r="AH274" s="176">
        <f t="shared" si="119"/>
        <v>9</v>
      </c>
      <c r="AI274" s="225">
        <f t="shared" si="120"/>
        <v>3.5901577816660821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IF(t&gt;Tmaj,'2024'!Wh/'2024'!Env_an*'2025'!Env_an,0.001*'[11]mon-tableau (3)'!$B$153)</f>
        <v>35.038561394697169</v>
      </c>
      <c r="C275" s="839"/>
      <c r="D275" s="393">
        <f t="shared" si="102"/>
        <v>38.082618722316973</v>
      </c>
      <c r="E275" s="385">
        <f t="shared" si="100"/>
        <v>40.045607531527104</v>
      </c>
      <c r="F275" s="385">
        <f t="shared" si="103"/>
        <v>42.287790753707355</v>
      </c>
      <c r="G275" s="110">
        <f t="shared" si="101"/>
        <v>1.0030596920998256</v>
      </c>
      <c r="H275" s="414" t="b">
        <f>Wh_hp&gt;='2024'!Maxi_hp</f>
        <v>1</v>
      </c>
      <c r="I275" s="390">
        <f>IF(H275,Wh_hp,'2024'!Maxi_hp)</f>
        <v>42.287790753707355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7.9932983333311142E-2</v>
      </c>
      <c r="M275" s="843"/>
      <c r="N275" s="843"/>
      <c r="O275" s="48">
        <f>IF(t&lt;Tnet,'2024'!Resal+('2024'!Salim-'2024'!Resal)*(1-EXP(('2024'!Tnet-t)/('2024'!Tau_j))),Resal+(Salim-Resal)*(1-EXP((Tnet-t)/(Tau_j))))*Salcycl</f>
        <v>4.9018829534917402E-2</v>
      </c>
      <c r="P275" s="169">
        <f>(INDEX(Models!$BJ275:$BT275,,T275)*(1-R275)+INDEX(Models!$BJ275:$BT275,,T275+1)*R275-ERP_i)*Q275*Ramure*Pc/MaxiM</f>
        <v>5.3021999546847505E-2</v>
      </c>
      <c r="Q275" s="305">
        <f t="shared" si="105"/>
        <v>0.8</v>
      </c>
      <c r="R275" s="177">
        <f t="shared" si="106"/>
        <v>0.38984138859300765</v>
      </c>
      <c r="S275" s="809">
        <f t="shared" si="107"/>
        <v>2</v>
      </c>
      <c r="T275" s="176">
        <f t="shared" si="108"/>
        <v>8</v>
      </c>
      <c r="U275" s="251">
        <f t="shared" si="109"/>
        <v>2.3898413885930077</v>
      </c>
      <c r="V275" s="383">
        <f t="shared" si="110"/>
        <v>34.931681205678522</v>
      </c>
      <c r="W275" s="402">
        <f t="shared" si="111"/>
        <v>35.038561394697169</v>
      </c>
      <c r="X275" s="157">
        <f t="shared" si="112"/>
        <v>45918</v>
      </c>
      <c r="Y275" s="385">
        <f t="shared" si="113"/>
        <v>30.580921100503886</v>
      </c>
      <c r="Z275" s="385">
        <f t="shared" si="114"/>
        <v>33.237710456457307</v>
      </c>
      <c r="AA275" s="386">
        <f t="shared" si="115"/>
        <v>38.55478238976896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0.13790953038092132</v>
      </c>
      <c r="AD275" s="231">
        <f>(INDEX(Models!$BJ275:$BT275,,AH275)*(1-AF275)+INDEX(Models!$BJ275:$BT275,,AH275+1)*AF275-ERP_i)*AE275*Ramure*Pc/MaxiM</f>
        <v>8.8276268336650338E-2</v>
      </c>
      <c r="AE275" s="305">
        <f t="shared" si="117"/>
        <v>0.8</v>
      </c>
      <c r="AF275" s="177">
        <f t="shared" si="118"/>
        <v>0.59055813575791127</v>
      </c>
      <c r="AG275" s="809">
        <f t="shared" si="124"/>
        <v>3</v>
      </c>
      <c r="AH275" s="176">
        <f t="shared" si="119"/>
        <v>9</v>
      </c>
      <c r="AI275" s="225">
        <f t="shared" si="120"/>
        <v>3.5905581357579113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IF(t&gt;Tmaj,'2024'!Wh/'2024'!Env_an*'2025'!Env_an,0.001*'[11]mon-tableau (3)'!$B$154)</f>
        <v>33.482166677939794</v>
      </c>
      <c r="C276" s="839"/>
      <c r="D276" s="393">
        <f t="shared" si="102"/>
        <v>36.391874882723599</v>
      </c>
      <c r="E276" s="385">
        <f t="shared" si="100"/>
        <v>38.275058172231866</v>
      </c>
      <c r="F276" s="385">
        <f t="shared" si="103"/>
        <v>40.338055740244528</v>
      </c>
      <c r="G276" s="110">
        <f t="shared" si="101"/>
        <v>0.96646445811264459</v>
      </c>
      <c r="H276" s="414" t="b">
        <f>Wh_hp&gt;='2024'!Maxi_hp</f>
        <v>0</v>
      </c>
      <c r="I276" s="390">
        <f>IF(H276,Wh_hp,'2024'!Maxi_hp)</f>
        <v>40.423517538055499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7.995488592331737E-2</v>
      </c>
      <c r="M276" s="843"/>
      <c r="N276" s="843"/>
      <c r="O276" s="48">
        <f>IF(t&lt;Tnet,'2024'!Resal+('2024'!Salim-'2024'!Resal)*(1-EXP(('2024'!Tnet-t)/('2024'!Tau_j))),Resal+(Salim-Resal)*(1-EXP((Tnet-t)/(Tau_j))))*Salcycl</f>
        <v>4.9201317501184082E-2</v>
      </c>
      <c r="P276" s="169">
        <f>(INDEX(Models!$BJ276:$BT276,,T276)*(1-R276)+INDEX(Models!$BJ276:$BT276,,T276+1)*R276-ERP_i)*Q276*Ramure*Pc/MaxiM</f>
        <v>5.3521107822830517E-2</v>
      </c>
      <c r="Q276" s="305">
        <f t="shared" si="105"/>
        <v>0.8</v>
      </c>
      <c r="R276" s="177">
        <f t="shared" si="106"/>
        <v>0.39022613375612192</v>
      </c>
      <c r="S276" s="809">
        <f t="shared" si="107"/>
        <v>2</v>
      </c>
      <c r="T276" s="176">
        <f t="shared" si="108"/>
        <v>8</v>
      </c>
      <c r="U276" s="251">
        <f t="shared" si="109"/>
        <v>2.3902261337561219</v>
      </c>
      <c r="V276" s="383">
        <f t="shared" si="110"/>
        <v>34.557132801856326</v>
      </c>
      <c r="W276" s="402">
        <f t="shared" si="111"/>
        <v>33.482166677939794</v>
      </c>
      <c r="X276" s="157">
        <f t="shared" si="112"/>
        <v>45919</v>
      </c>
      <c r="Y276" s="385">
        <f t="shared" si="113"/>
        <v>29.30271224740887</v>
      </c>
      <c r="Z276" s="385">
        <f t="shared" si="114"/>
        <v>31.849212390868246</v>
      </c>
      <c r="AA276" s="386">
        <f t="shared" si="115"/>
        <v>36.94581449231206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0.13794802392309824</v>
      </c>
      <c r="AD276" s="231">
        <f>(INDEX(Models!$BJ276:$BT276,,AH276)*(1-AF276)+INDEX(Models!$BJ276:$BT276,,AH276+1)*AF276-ERP_i)*AE276*Ramure*Pc/MaxiM</f>
        <v>8.8006167533461771E-2</v>
      </c>
      <c r="AE276" s="305">
        <f t="shared" si="117"/>
        <v>0.8</v>
      </c>
      <c r="AF276" s="177">
        <f t="shared" si="118"/>
        <v>0.59094288092102509</v>
      </c>
      <c r="AG276" s="809">
        <f t="shared" si="124"/>
        <v>3</v>
      </c>
      <c r="AH276" s="176">
        <f t="shared" si="119"/>
        <v>9</v>
      </c>
      <c r="AI276" s="225">
        <f t="shared" si="120"/>
        <v>3.5909428809210251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IF(t&gt;Tmaj,'2024'!Wh/'2024'!Env_an*'2025'!Env_an,0.001*'[11]mon-tableau (3)'!$B$155)</f>
        <v>34.189984970945162</v>
      </c>
      <c r="C277" s="839"/>
      <c r="D277" s="393">
        <f t="shared" si="102"/>
        <v>37.162089526801658</v>
      </c>
      <c r="E277" s="385">
        <f t="shared" si="100"/>
        <v>39.09259827729538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Wh_hp&gt;='2024'!Maxi_hp</f>
        <v>1</v>
      </c>
      <c r="I277" s="390">
        <f>IF(H277,Wh_hp,'2024'!Maxi_hp)</f>
        <v>41.321180250587048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7.997678800361821E-2</v>
      </c>
      <c r="M277" s="843"/>
      <c r="N277" s="843"/>
      <c r="O277" s="48">
        <f>IF(t&lt;Tnet,'2024'!Resal+('2024'!Salim-'2024'!Resal)*(1-EXP(('2024'!Tnet-t)/('2024'!Tau_j))),Resal+(Salim-Resal)*(1-EXP((Tnet-t)/(Tau_j))))*Salcycl</f>
        <v>4.9382973646316691E-2</v>
      </c>
      <c r="P277" s="169">
        <f>(INDEX(Models!$BJ277:$BT277,,T277)*(1-R277)+INDEX(Models!$BJ277:$BT277,,T277+1)*R277-ERP_i)*Q277*Ramure*Pc/MaxiM</f>
        <v>5.3933163568337439E-2</v>
      </c>
      <c r="Q277" s="305">
        <f t="shared" si="105"/>
        <v>0.8</v>
      </c>
      <c r="R277" s="177">
        <f t="shared" si="106"/>
        <v>0.39059585909019212</v>
      </c>
      <c r="S277" s="809">
        <f t="shared" si="107"/>
        <v>2</v>
      </c>
      <c r="T277" s="176">
        <f t="shared" si="108"/>
        <v>8</v>
      </c>
      <c r="U277" s="251">
        <f t="shared" si="109"/>
        <v>2.3905958590901921</v>
      </c>
      <c r="V277" s="383">
        <f t="shared" si="110"/>
        <v>34.179668809367378</v>
      </c>
      <c r="W277" s="402">
        <f t="shared" si="111"/>
        <v>34.189984970945162</v>
      </c>
      <c r="X277" s="157">
        <f t="shared" si="112"/>
        <v>45920</v>
      </c>
      <c r="Y277" s="385">
        <f t="shared" si="113"/>
        <v>29.898743658185261</v>
      </c>
      <c r="Z277" s="385">
        <f t="shared" si="114"/>
        <v>32.497814477209999</v>
      </c>
      <c r="AA277" s="386">
        <f t="shared" si="115"/>
        <v>37.699827602994532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0.13798506403173405</v>
      </c>
      <c r="AD277" s="231">
        <f>(INDEX(Models!$BJ277:$BT277,,AH277)*(1-AF277)+INDEX(Models!$BJ277:$BT277,,AH277+1)*AF277-ERP_i)*AE277*Ramure*Pc/MaxiM</f>
        <v>8.7639138708799774E-2</v>
      </c>
      <c r="AE277" s="305">
        <f t="shared" si="117"/>
        <v>0.8</v>
      </c>
      <c r="AF277" s="177">
        <f t="shared" si="118"/>
        <v>0.59131260625509574</v>
      </c>
      <c r="AG277" s="809">
        <f t="shared" si="124"/>
        <v>3</v>
      </c>
      <c r="AH277" s="176">
        <f t="shared" si="119"/>
        <v>9</v>
      </c>
      <c r="AI277" s="225">
        <f t="shared" si="120"/>
        <v>3.5913126062550957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IF(t&gt;Tmaj,'2024'!Wh/'2024'!Env_an*'2025'!Env_an,0.001*'[11]mon-tableau (3)'!$B$156)</f>
        <v>33.276026583811927</v>
      </c>
      <c r="C278" s="839"/>
      <c r="D278" s="393">
        <f t="shared" si="102"/>
        <v>36.169542593816374</v>
      </c>
      <c r="E278" s="385">
        <f t="shared" si="100"/>
        <v>38.055728196860656</v>
      </c>
      <c r="F278" s="385">
        <f t="shared" si="103"/>
        <v>40.187746227988747</v>
      </c>
      <c r="G278" s="110">
        <f t="shared" si="101"/>
        <v>0.98323174205082853</v>
      </c>
      <c r="H278" s="414" t="b">
        <f>Wh_hp&gt;='2024'!Maxi_hp</f>
        <v>0</v>
      </c>
      <c r="I278" s="390">
        <f>IF(H278,Wh_hp,'2024'!Maxi_hp)</f>
        <v>40.230485089809569</v>
      </c>
      <c r="J278" s="85">
        <f>IF(H278,An,'2024'!An_max)</f>
        <v>2022</v>
      </c>
      <c r="K278" s="197">
        <f t="shared" si="104"/>
        <v>45921</v>
      </c>
      <c r="L278" s="147">
        <f>IF(t&lt;Tvie,1-EXP((T0-t)*PertePVj)+'2024'!Pspv,1-EXP((T0-t)*PertePVj)+Pspv)</f>
        <v>7.9998689574225651E-2</v>
      </c>
      <c r="M278" s="843"/>
      <c r="N278" s="843"/>
      <c r="O278" s="48">
        <f>IF(t&lt;Tnet,'2024'!Resal+('2024'!Salim-'2024'!Resal)*(1-EXP(('2024'!Tnet-t)/('2024'!Tau_j))),Resal+(Salim-Resal)*(1-EXP((Tnet-t)/(Tau_j))))*Salcycl</f>
        <v>4.9563776398841193E-2</v>
      </c>
      <c r="P278" s="169">
        <f>(INDEX(Models!$BJ278:$BT278,,T278)*(1-R278)+INDEX(Models!$BJ278:$BT278,,T278+1)*R278-ERP_i)*Q278*Ramure*Pc/MaxiM</f>
        <v>5.4254172170843981E-2</v>
      </c>
      <c r="Q278" s="305">
        <f t="shared" si="105"/>
        <v>0.8</v>
      </c>
      <c r="R278" s="177">
        <f t="shared" si="106"/>
        <v>0.39095113297729744</v>
      </c>
      <c r="S278" s="809">
        <f t="shared" si="107"/>
        <v>2</v>
      </c>
      <c r="T278" s="176">
        <f t="shared" si="108"/>
        <v>8</v>
      </c>
      <c r="U278" s="251">
        <f t="shared" si="109"/>
        <v>2.3909511329772974</v>
      </c>
      <c r="V278" s="383">
        <f t="shared" si="110"/>
        <v>33.800538597584207</v>
      </c>
      <c r="W278" s="402">
        <f t="shared" si="111"/>
        <v>33.276026583811927</v>
      </c>
      <c r="X278" s="157">
        <f t="shared" si="112"/>
        <v>45921</v>
      </c>
      <c r="Y278" s="385">
        <f t="shared" si="113"/>
        <v>29.153286920186417</v>
      </c>
      <c r="Z278" s="385">
        <f t="shared" si="114"/>
        <v>31.688310211965184</v>
      </c>
      <c r="AA278" s="386">
        <f t="shared" si="115"/>
        <v>36.762259414932977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0.13802060275181929</v>
      </c>
      <c r="AD278" s="231">
        <f>(INDEX(Models!$BJ278:$BT278,,AH278)*(1-AF278)+INDEX(Models!$BJ278:$BT278,,AH278+1)*AF278-ERP_i)*AE278*Ramure*Pc/MaxiM</f>
        <v>8.7169502607887542E-2</v>
      </c>
      <c r="AE278" s="305">
        <f t="shared" si="117"/>
        <v>0.8</v>
      </c>
      <c r="AF278" s="177">
        <f t="shared" si="118"/>
        <v>0.59166788014220106</v>
      </c>
      <c r="AG278" s="809">
        <f t="shared" si="124"/>
        <v>3</v>
      </c>
      <c r="AH278" s="176">
        <f t="shared" si="119"/>
        <v>9</v>
      </c>
      <c r="AI278" s="225">
        <f t="shared" si="120"/>
        <v>3.5916678801422011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IF(t&gt;Tmaj,'2024'!Wh/'2024'!Env_an*'2025'!Env_an,0.001*'[11]mon-tableau (3)'!$B$157)</f>
        <v>32.12710954947984</v>
      </c>
      <c r="C279" s="839"/>
      <c r="D279" s="393">
        <f t="shared" si="102"/>
        <v>34.92155283307951</v>
      </c>
      <c r="E279" s="385">
        <f t="shared" si="100"/>
        <v>36.749614788237928</v>
      </c>
      <c r="F279" s="385">
        <f t="shared" si="103"/>
        <v>38.743624648534286</v>
      </c>
      <c r="G279" s="110">
        <f t="shared" si="101"/>
        <v>0.95823183327225547</v>
      </c>
      <c r="H279" s="414" t="b">
        <f>Wh_hp&gt;='2024'!Maxi_hp</f>
        <v>0</v>
      </c>
      <c r="I279" s="390">
        <f>IF(H279,Wh_hp,'2024'!Maxi_hp)</f>
        <v>38.846406402200635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8.0020590635151573E-2</v>
      </c>
      <c r="M279" s="843"/>
      <c r="N279" s="843"/>
      <c r="O279" s="48">
        <f>IF(t&lt;Tnet,'2024'!Resal+('2024'!Salim-'2024'!Resal)*(1-EXP(('2024'!Tnet-t)/('2024'!Tau_j))),Resal+(Salim-Resal)*(1-EXP((Tnet-t)/(Tau_j))))*Salcycl</f>
        <v>4.9743703864441872E-2</v>
      </c>
      <c r="P279" s="169">
        <f>(INDEX(Models!$BJ279:$BT279,,T279)*(1-R279)+INDEX(Models!$BJ279:$BT279,,T279+1)*R279-ERP_i)*Q279*Ramure*Pc/MaxiM</f>
        <v>5.4479879213263117E-2</v>
      </c>
      <c r="Q279" s="305">
        <f t="shared" si="105"/>
        <v>0.8</v>
      </c>
      <c r="R279" s="177">
        <f t="shared" si="106"/>
        <v>0.39129250369106972</v>
      </c>
      <c r="S279" s="809">
        <f t="shared" si="107"/>
        <v>2</v>
      </c>
      <c r="T279" s="176">
        <f t="shared" si="108"/>
        <v>8</v>
      </c>
      <c r="U279" s="251">
        <f t="shared" si="109"/>
        <v>2.3912925036910697</v>
      </c>
      <c r="V279" s="383">
        <f t="shared" si="110"/>
        <v>33.420988605583368</v>
      </c>
      <c r="W279" s="402">
        <f t="shared" si="111"/>
        <v>32.12710954947984</v>
      </c>
      <c r="X279" s="157">
        <f t="shared" si="112"/>
        <v>45922</v>
      </c>
      <c r="Y279" s="385">
        <f t="shared" si="113"/>
        <v>28.209430711708983</v>
      </c>
      <c r="Z279" s="385">
        <f t="shared" si="114"/>
        <v>30.66311096156457</v>
      </c>
      <c r="AA279" s="386">
        <f t="shared" si="115"/>
        <v>35.574307456770086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0.13805459181949234</v>
      </c>
      <c r="AD279" s="231">
        <f>(INDEX(Models!$BJ279:$BT279,,AH279)*(1-AF279)+INDEX(Models!$BJ279:$BT279,,AH279+1)*AF279-ERP_i)*AE279*Ramure*Pc/MaxiM</f>
        <v>8.6591356057873214E-2</v>
      </c>
      <c r="AE279" s="305">
        <f t="shared" si="117"/>
        <v>0.8</v>
      </c>
      <c r="AF279" s="177">
        <f t="shared" si="118"/>
        <v>0.59200925085597333</v>
      </c>
      <c r="AG279" s="809">
        <f t="shared" si="124"/>
        <v>3</v>
      </c>
      <c r="AH279" s="176">
        <f t="shared" si="119"/>
        <v>9</v>
      </c>
      <c r="AI279" s="225">
        <f t="shared" si="120"/>
        <v>3.5920092508559733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IF(t&gt;Tmaj,'2024'!Wh/'2024'!Env_an*'2025'!Env_an,0.001*'[11]mon-tableau (3)'!$B$158)</f>
        <v>20.786432668376964</v>
      </c>
      <c r="C280" s="839"/>
      <c r="D280" s="393">
        <f t="shared" si="102"/>
        <v>22.594992126520975</v>
      </c>
      <c r="E280" s="385">
        <f t="shared" si="100"/>
        <v>23.782267961824466</v>
      </c>
      <c r="F280" s="385">
        <f t="shared" si="103"/>
        <v>24.408883027239092</v>
      </c>
      <c r="G280" s="110">
        <f t="shared" si="101"/>
        <v>0.61040455638964808</v>
      </c>
      <c r="H280" s="414" t="b">
        <f>Wh_hp&gt;='2024'!Maxi_hp</f>
        <v>0</v>
      </c>
      <c r="I280" s="390">
        <f>IF(H280,Wh_hp,'2024'!Maxi_hp)</f>
        <v>37.625376650076369</v>
      </c>
      <c r="J280" s="85">
        <f>IF(H280,An,'2024'!An_max)</f>
        <v>2019</v>
      </c>
      <c r="K280" s="197">
        <f t="shared" si="104"/>
        <v>45923</v>
      </c>
      <c r="L280" s="147">
        <f>IF(t&lt;Tvie,1-EXP((T0-t)*PertePVj)+'2024'!Pspv,1-EXP((T0-t)*PertePVj)+Pspv)</f>
        <v>8.0042491186407855E-2</v>
      </c>
      <c r="M280" s="843"/>
      <c r="N280" s="843"/>
      <c r="O280" s="48">
        <f>IF(t&lt;Tnet,'2024'!Resal+('2024'!Salim-'2024'!Resal)*(1-EXP(('2024'!Tnet-t)/('2024'!Tau_j))),Resal+(Salim-Resal)*(1-EXP((Tnet-t)/(Tau_j))))*Salcycl</f>
        <v>4.9922733912901779E-2</v>
      </c>
      <c r="P280" s="169">
        <f>(INDEX(Models!$BJ280:$BT280,,T280)*(1-R280)+INDEX(Models!$BJ280:$BT280,,T280+1)*R280-ERP_i)*Q280*Ramure*Pc/MaxiM</f>
        <v>5.4606077505909976E-2</v>
      </c>
      <c r="Q280" s="305">
        <f t="shared" si="105"/>
        <v>0.8</v>
      </c>
      <c r="R280" s="177">
        <f t="shared" si="106"/>
        <v>0.39162049999774773</v>
      </c>
      <c r="S280" s="809">
        <f t="shared" si="107"/>
        <v>2</v>
      </c>
      <c r="T280" s="176">
        <f t="shared" si="108"/>
        <v>8</v>
      </c>
      <c r="U280" s="251">
        <f t="shared" si="109"/>
        <v>2.3916204999977477</v>
      </c>
      <c r="V280" s="383">
        <f t="shared" si="110"/>
        <v>33.042252087599664</v>
      </c>
      <c r="W280" s="402">
        <f t="shared" si="111"/>
        <v>20.786432668376964</v>
      </c>
      <c r="X280" s="157">
        <f t="shared" si="112"/>
        <v>45923</v>
      </c>
      <c r="Y280" s="385">
        <f t="shared" si="113"/>
        <v>18.572782582894565</v>
      </c>
      <c r="Z280" s="385">
        <f t="shared" si="114"/>
        <v>20.188739593904334</v>
      </c>
      <c r="AA280" s="386">
        <f t="shared" si="115"/>
        <v>23.423175185274133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0.13808698290414731</v>
      </c>
      <c r="AD280" s="231">
        <f>(INDEX(Models!$BJ280:$BT280,,AH280)*(1-AF280)+INDEX(Models!$BJ280:$BT280,,AH280+1)*AF280-ERP_i)*AE280*Ramure*Pc/MaxiM</f>
        <v>8.5899049970823524E-2</v>
      </c>
      <c r="AE280" s="305">
        <f t="shared" si="117"/>
        <v>0.8</v>
      </c>
      <c r="AF280" s="177">
        <f t="shared" si="118"/>
        <v>0.59233724716265135</v>
      </c>
      <c r="AG280" s="809">
        <f t="shared" si="124"/>
        <v>3</v>
      </c>
      <c r="AH280" s="176">
        <f t="shared" si="119"/>
        <v>9</v>
      </c>
      <c r="AI280" s="225">
        <f t="shared" si="120"/>
        <v>3.5923372471626513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IF(t&gt;Tmaj,'2024'!Wh/'2024'!Env_an*'2025'!Env_an,0.001*'[11]mon-tableau (3)'!$B$159)</f>
        <v>15.150498383118343</v>
      </c>
      <c r="C281" s="839"/>
      <c r="D281" s="393">
        <f t="shared" si="102"/>
        <v>16.46908570409888</v>
      </c>
      <c r="E281" s="385">
        <f t="shared" si="100"/>
        <v>17.337720119912252</v>
      </c>
      <c r="F281" s="385">
        <f t="shared" si="103"/>
        <v>17.562226802151514</v>
      </c>
      <c r="G281" s="110">
        <f t="shared" si="101"/>
        <v>0.44414726324492976</v>
      </c>
      <c r="H281" s="414" t="b">
        <f>Wh_hp&gt;='2024'!Maxi_hp</f>
        <v>0</v>
      </c>
      <c r="I281" s="390">
        <f>IF(H281,Wh_hp,'2024'!Maxi_hp)</f>
        <v>36.227444973424483</v>
      </c>
      <c r="J281" s="85">
        <f>IF(H281,An,'2024'!An_max)</f>
        <v>2018</v>
      </c>
      <c r="K281" s="197">
        <f t="shared" si="104"/>
        <v>45924</v>
      </c>
      <c r="L281" s="147">
        <f>IF(t&lt;Tvie,1-EXP((T0-t)*PertePVj)+'2024'!Pspv,1-EXP((T0-t)*PertePVj)+Pspv)</f>
        <v>8.0064391228006265E-2</v>
      </c>
      <c r="M281" s="843"/>
      <c r="N281" s="843"/>
      <c r="O281" s="48">
        <f>IF(t&lt;Tnet,'2024'!Resal+('2024'!Salim-'2024'!Resal)*(1-EXP(('2024'!Tnet-t)/('2024'!Tau_j))),Resal+(Salim-Resal)*(1-EXP((Tnet-t)/(Tau_j))))*Salcycl</f>
        <v>5.0100844275121896E-2</v>
      </c>
      <c r="P281" s="169">
        <f>(INDEX(Models!$BJ281:$BT281,,T281)*(1-R281)+INDEX(Models!$BJ281:$BT281,,T281+1)*R281-ERP_i)*Q281*Ramure*Pc/MaxiM</f>
        <v>5.4628192146474769E-2</v>
      </c>
      <c r="Q281" s="305">
        <f t="shared" si="105"/>
        <v>0.8</v>
      </c>
      <c r="R281" s="177">
        <f t="shared" si="106"/>
        <v>0.39193563174831114</v>
      </c>
      <c r="S281" s="809">
        <f t="shared" si="107"/>
        <v>2</v>
      </c>
      <c r="T281" s="176">
        <f t="shared" si="108"/>
        <v>8</v>
      </c>
      <c r="U281" s="251">
        <f t="shared" si="109"/>
        <v>2.3919356317483111</v>
      </c>
      <c r="V281" s="383">
        <f t="shared" si="110"/>
        <v>32.665564630790087</v>
      </c>
      <c r="W281" s="402">
        <f t="shared" si="111"/>
        <v>15.150498383118343</v>
      </c>
      <c r="X281" s="157">
        <f t="shared" si="112"/>
        <v>45924</v>
      </c>
      <c r="Y281" s="385">
        <f t="shared" si="113"/>
        <v>13.647417051133964</v>
      </c>
      <c r="Z281" s="385">
        <f t="shared" si="114"/>
        <v>14.835187290284008</v>
      </c>
      <c r="AA281" s="386">
        <f t="shared" si="115"/>
        <v>17.212544880034528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0.13811772787347132</v>
      </c>
      <c r="AD281" s="231">
        <f>(INDEX(Models!$BJ281:$BT281,,AH281)*(1-AF281)+INDEX(Models!$BJ281:$BT281,,AH281+1)*AF281-ERP_i)*AE281*Ramure*Pc/MaxiM</f>
        <v>8.5086515203131097E-2</v>
      </c>
      <c r="AE281" s="305">
        <f t="shared" si="117"/>
        <v>0.8</v>
      </c>
      <c r="AF281" s="177">
        <f t="shared" si="118"/>
        <v>0.59265237891321476</v>
      </c>
      <c r="AG281" s="809">
        <f t="shared" si="124"/>
        <v>3</v>
      </c>
      <c r="AH281" s="176">
        <f t="shared" si="119"/>
        <v>9</v>
      </c>
      <c r="AI281" s="225">
        <f t="shared" si="120"/>
        <v>3.5926523789132148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IF(t&gt;Tmaj,'2024'!Wh/'2024'!Env_an*'2025'!Env_an,0.001*'[11]mon-tableau (3)'!$B$160)</f>
        <v>27.881971334722351</v>
      </c>
      <c r="C282" s="839"/>
      <c r="D282" s="393">
        <f t="shared" si="102"/>
        <v>30.309333424062341</v>
      </c>
      <c r="E282" s="385">
        <f t="shared" si="100"/>
        <v>31.913900939193343</v>
      </c>
      <c r="F282" s="385">
        <f t="shared" si="103"/>
        <v>33.378993861694923</v>
      </c>
      <c r="G282" s="110">
        <f t="shared" si="101"/>
        <v>0.85381197008648291</v>
      </c>
      <c r="H282" s="414" t="b">
        <f>Wh_hp&gt;='2024'!Maxi_hp</f>
        <v>0</v>
      </c>
      <c r="I282" s="390">
        <f>IF(H282,Wh_hp,'2024'!Maxi_hp)</f>
        <v>37.737616608562853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8.0086290759958684E-2</v>
      </c>
      <c r="M282" s="843"/>
      <c r="N282" s="843"/>
      <c r="O282" s="48">
        <f>IF(t&lt;Tnet,'2024'!Resal+('2024'!Salim-'2024'!Resal)*(1-EXP(('2024'!Tnet-t)/('2024'!Tau_j))),Resal+(Salim-Resal)*(1-EXP((Tnet-t)/(Tau_j))))*Salcycl</f>
        <v>5.0278012649980969E-2</v>
      </c>
      <c r="P282" s="169">
        <f>(INDEX(Models!$BJ282:$BT282,,T282)*(1-R282)+INDEX(Models!$BJ282:$BT282,,T282+1)*R282-ERP_i)*Q282*Ramure*Pc/MaxiM</f>
        <v>5.4532733500460506E-2</v>
      </c>
      <c r="Q282" s="305">
        <f t="shared" si="105"/>
        <v>0.8</v>
      </c>
      <c r="R282" s="177">
        <f t="shared" si="106"/>
        <v>0.3922383904609732</v>
      </c>
      <c r="S282" s="809">
        <f t="shared" si="107"/>
        <v>2</v>
      </c>
      <c r="T282" s="176">
        <f t="shared" si="108"/>
        <v>8</v>
      </c>
      <c r="U282" s="251">
        <f t="shared" si="109"/>
        <v>2.3922383904609732</v>
      </c>
      <c r="V282" s="383">
        <f t="shared" si="110"/>
        <v>32.292456538841861</v>
      </c>
      <c r="W282" s="402">
        <f t="shared" si="111"/>
        <v>27.881971334722351</v>
      </c>
      <c r="X282" s="157">
        <f t="shared" si="112"/>
        <v>45925</v>
      </c>
      <c r="Y282" s="385">
        <f t="shared" si="113"/>
        <v>24.670942893655507</v>
      </c>
      <c r="Z282" s="385">
        <f t="shared" si="114"/>
        <v>26.81875772243535</v>
      </c>
      <c r="AA282" s="386">
        <f t="shared" si="115"/>
        <v>31.11754655139007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0.13814677908026424</v>
      </c>
      <c r="AD282" s="231">
        <f>(INDEX(Models!$BJ282:$BT282,,AH282)*(1-AF282)+INDEX(Models!$BJ282:$BT282,,AH282+1)*AF282-ERP_i)*AE282*Ramure*Pc/MaxiM</f>
        <v>8.4174117289174705E-2</v>
      </c>
      <c r="AE282" s="305">
        <f t="shared" si="117"/>
        <v>0.8</v>
      </c>
      <c r="AF282" s="177">
        <f t="shared" si="118"/>
        <v>0.59295513762587682</v>
      </c>
      <c r="AG282" s="809">
        <f t="shared" si="124"/>
        <v>3</v>
      </c>
      <c r="AH282" s="176">
        <f t="shared" si="119"/>
        <v>9</v>
      </c>
      <c r="AI282" s="225">
        <f t="shared" si="120"/>
        <v>3.5929551376258768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IF(t&gt;Tmaj,'2024'!Wh/'2024'!Env_an*'2025'!Env_an,0.001*'[11]mon-tableau (3)'!$B$161)</f>
        <v>24.202470724812681</v>
      </c>
      <c r="C283" s="839"/>
      <c r="D283" s="393">
        <f t="shared" si="102"/>
        <v>26.310127404095883</v>
      </c>
      <c r="E283" s="385">
        <f t="shared" si="100"/>
        <v>27.70811883972868</v>
      </c>
      <c r="F283" s="385">
        <f t="shared" si="103"/>
        <v>28.730536895177771</v>
      </c>
      <c r="G283" s="110">
        <f t="shared" si="101"/>
        <v>0.74340198026647153</v>
      </c>
      <c r="H283" s="414" t="b">
        <f>Wh_hp&gt;='2024'!Maxi_hp</f>
        <v>0</v>
      </c>
      <c r="I283" s="390">
        <f>IF(H283,Wh_hp,'2024'!Maxi_hp)</f>
        <v>38.347746104915672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8.0108189782277101E-2</v>
      </c>
      <c r="M283" s="843"/>
      <c r="N283" s="843"/>
      <c r="O283" s="48">
        <f>IF(t&lt;Tnet,'2024'!Resal+('2024'!Salim-'2024'!Resal)*(1-EXP(('2024'!Tnet-t)/('2024'!Tau_j))),Resal+(Salim-Resal)*(1-EXP((Tnet-t)/(Tau_j))))*Salcycl</f>
        <v>5.0454216820678542E-2</v>
      </c>
      <c r="P283" s="169">
        <f>(INDEX(Models!$BJ283:$BT283,,T283)*(1-R283)+INDEX(Models!$BJ283:$BT283,,T283+1)*R283-ERP_i)*Q283*Ramure*Pc/MaxiM</f>
        <v>5.4369793102624894E-2</v>
      </c>
      <c r="Q283" s="305">
        <f t="shared" si="105"/>
        <v>0.8</v>
      </c>
      <c r="R283" s="177">
        <f t="shared" si="106"/>
        <v>0.39252924989342652</v>
      </c>
      <c r="S283" s="809">
        <f t="shared" si="107"/>
        <v>2</v>
      </c>
      <c r="T283" s="176">
        <f t="shared" si="108"/>
        <v>8</v>
      </c>
      <c r="U283" s="251">
        <f t="shared" si="109"/>
        <v>2.3925292498934265</v>
      </c>
      <c r="V283" s="383">
        <f t="shared" si="110"/>
        <v>31.922289125482909</v>
      </c>
      <c r="W283" s="402">
        <f t="shared" si="111"/>
        <v>24.202470724812681</v>
      </c>
      <c r="X283" s="157">
        <f t="shared" si="112"/>
        <v>45926</v>
      </c>
      <c r="Y283" s="385">
        <f t="shared" si="113"/>
        <v>21.53638474476012</v>
      </c>
      <c r="Z283" s="385">
        <f t="shared" si="114"/>
        <v>23.411867032127201</v>
      </c>
      <c r="AA283" s="386">
        <f t="shared" si="115"/>
        <v>27.165424886276458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0.13817408966960407</v>
      </c>
      <c r="AD283" s="231">
        <f>(INDEX(Models!$BJ283:$BT283,,AH283)*(1-AF283)+INDEX(Models!$BJ283:$BT283,,AH283+1)*AF283-ERP_i)*AE283*Ramure*Pc/MaxiM</f>
        <v>8.3228984125305494E-2</v>
      </c>
      <c r="AE283" s="305">
        <f t="shared" si="117"/>
        <v>0.8</v>
      </c>
      <c r="AF283" s="177">
        <f t="shared" si="118"/>
        <v>0.59324599705833014</v>
      </c>
      <c r="AG283" s="809">
        <f t="shared" si="124"/>
        <v>3</v>
      </c>
      <c r="AH283" s="176">
        <f t="shared" si="119"/>
        <v>9</v>
      </c>
      <c r="AI283" s="225">
        <f t="shared" si="120"/>
        <v>3.5932459970583301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IF(t&gt;Tmaj,'2024'!Wh/'2024'!Env_an*'2025'!Env_an,0.001*'[11]mon-tableau (3)'!$B$162)</f>
        <v>15.68594009236654</v>
      </c>
      <c r="C284" s="839"/>
      <c r="D284" s="393">
        <f t="shared" si="102"/>
        <v>17.052346090211639</v>
      </c>
      <c r="E284" s="385">
        <f t="shared" si="100"/>
        <v>17.9617387719005</v>
      </c>
      <c r="F284" s="385">
        <f t="shared" si="103"/>
        <v>18.239735424710915</v>
      </c>
      <c r="G284" s="110">
        <f t="shared" si="101"/>
        <v>0.47744517844508128</v>
      </c>
      <c r="H284" s="414" t="b">
        <f>Wh_hp&gt;='2024'!Maxi_hp</f>
        <v>0</v>
      </c>
      <c r="I284" s="390">
        <f>IF(H284,Wh_hp,'2024'!Maxi_hp)</f>
        <v>36.969576410748687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8.0130088294973173E-2</v>
      </c>
      <c r="M284" s="843"/>
      <c r="N284" s="843"/>
      <c r="O284" s="48">
        <f>IF(t&lt;Tnet,'2024'!Resal+('2024'!Salim-'2024'!Resal)*(1-EXP(('2024'!Tnet-t)/('2024'!Tau_j))),Resal+(Salim-Resal)*(1-EXP((Tnet-t)/(Tau_j))))*Salcycl</f>
        <v>5.0629434780085025E-2</v>
      </c>
      <c r="P284" s="169">
        <f>(INDEX(Models!$BJ284:$BT284,,T284)*(1-R284)+INDEX(Models!$BJ284:$BT284,,T284+1)*R284-ERP_i)*Q284*Ramure*Pc/MaxiM</f>
        <v>5.4135397981142544E-2</v>
      </c>
      <c r="Q284" s="305">
        <f t="shared" si="105"/>
        <v>0.8</v>
      </c>
      <c r="R284" s="177">
        <f t="shared" si="106"/>
        <v>0.39280866660430958</v>
      </c>
      <c r="S284" s="809">
        <f t="shared" si="107"/>
        <v>2</v>
      </c>
      <c r="T284" s="176">
        <f t="shared" si="108"/>
        <v>8</v>
      </c>
      <c r="U284" s="251">
        <f t="shared" si="109"/>
        <v>2.3928086666043096</v>
      </c>
      <c r="V284" s="383">
        <f t="shared" si="110"/>
        <v>31.556306918565156</v>
      </c>
      <c r="W284" s="402">
        <f t="shared" si="111"/>
        <v>15.68594009236654</v>
      </c>
      <c r="X284" s="157">
        <f t="shared" si="112"/>
        <v>45927</v>
      </c>
      <c r="Y284" s="385">
        <f t="shared" si="113"/>
        <v>14.124624460452445</v>
      </c>
      <c r="Z284" s="385">
        <f t="shared" si="114"/>
        <v>15.355023879704595</v>
      </c>
      <c r="AA284" s="386">
        <f t="shared" si="115"/>
        <v>17.817378742744612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0.13819961390463842</v>
      </c>
      <c r="AD284" s="231">
        <f>(INDEX(Models!$BJ284:$BT284,,AH284)*(1-AF284)+INDEX(Models!$BJ284:$BT284,,AH284+1)*AF284-ERP_i)*AE284*Ramure*Pc/MaxiM</f>
        <v>8.2247202752593299E-2</v>
      </c>
      <c r="AE284" s="305">
        <f t="shared" si="117"/>
        <v>0.8</v>
      </c>
      <c r="AF284" s="177">
        <f t="shared" si="118"/>
        <v>0.59352541376921319</v>
      </c>
      <c r="AG284" s="809">
        <f t="shared" si="124"/>
        <v>3</v>
      </c>
      <c r="AH284" s="176">
        <f t="shared" si="119"/>
        <v>9</v>
      </c>
      <c r="AI284" s="225">
        <f t="shared" si="120"/>
        <v>3.5935254137692132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IF(t&gt;Tmaj,'2024'!Wh/'2024'!Env_an*'2025'!Env_an,0.001*'[11]mon-tableau (3)'!$B$163)</f>
        <v>17.268291706289641</v>
      </c>
      <c r="C285" s="839"/>
      <c r="D285" s="393">
        <f t="shared" si="102"/>
        <v>18.772983633234322</v>
      </c>
      <c r="E285" s="385">
        <f t="shared" si="100"/>
        <v>19.777766245799075</v>
      </c>
      <c r="F285" s="385">
        <f t="shared" si="103"/>
        <v>20.171021984776111</v>
      </c>
      <c r="G285" s="110">
        <f t="shared" si="101"/>
        <v>0.53416549015306602</v>
      </c>
      <c r="H285" s="414" t="b">
        <f>Wh_hp&gt;='2024'!Maxi_hp</f>
        <v>0</v>
      </c>
      <c r="I285" s="390">
        <f>IF(H285,Wh_hp,'2024'!Maxi_hp)</f>
        <v>35.211477825551697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8.0151986298058892E-2</v>
      </c>
      <c r="M285" s="843"/>
      <c r="N285" s="843"/>
      <c r="O285" s="48">
        <f>IF(t&lt;Tnet,'2024'!Resal+('2024'!Salim-'2024'!Resal)*(1-EXP(('2024'!Tnet-t)/('2024'!Tau_j))),Resal+(Salim-Resal)*(1-EXP((Tnet-t)/(Tau_j))))*Salcycl</f>
        <v>5.0803644864504081E-2</v>
      </c>
      <c r="P285" s="169">
        <f>(INDEX(Models!$BJ285:$BT285,,T285)*(1-R285)+INDEX(Models!$BJ285:$BT285,,T285+1)*R285-ERP_i)*Q285*Ramure*Pc/MaxiM</f>
        <v>5.3825490847495008E-2</v>
      </c>
      <c r="Q285" s="305">
        <f t="shared" si="105"/>
        <v>0.8</v>
      </c>
      <c r="R285" s="177">
        <f t="shared" si="106"/>
        <v>0.39307708050345358</v>
      </c>
      <c r="S285" s="809">
        <f t="shared" si="107"/>
        <v>2</v>
      </c>
      <c r="T285" s="176">
        <f t="shared" si="108"/>
        <v>8</v>
      </c>
      <c r="U285" s="251">
        <f t="shared" si="109"/>
        <v>2.3930770805034536</v>
      </c>
      <c r="V285" s="383">
        <f t="shared" si="110"/>
        <v>31.195751784535631</v>
      </c>
      <c r="W285" s="402">
        <f t="shared" si="111"/>
        <v>17.268291706289641</v>
      </c>
      <c r="X285" s="157">
        <f t="shared" si="112"/>
        <v>45928</v>
      </c>
      <c r="Y285" s="385">
        <f t="shared" si="113"/>
        <v>15.519220085882653</v>
      </c>
      <c r="Z285" s="385">
        <f t="shared" si="114"/>
        <v>16.871504699374558</v>
      </c>
      <c r="AA285" s="386">
        <f t="shared" si="115"/>
        <v>19.577582970603405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0.13822330750900871</v>
      </c>
      <c r="AD285" s="231">
        <f>(INDEX(Models!$BJ285:$BT285,,AH285)*(1-AF285)+INDEX(Models!$BJ285:$BT285,,AH285+1)*AF285-ERP_i)*AE285*Ramure*Pc/MaxiM</f>
        <v>8.1224869874727407E-2</v>
      </c>
      <c r="AE285" s="305">
        <f t="shared" si="117"/>
        <v>0.8</v>
      </c>
      <c r="AF285" s="177">
        <f t="shared" si="118"/>
        <v>0.5937938276683572</v>
      </c>
      <c r="AG285" s="809">
        <f t="shared" si="124"/>
        <v>3</v>
      </c>
      <c r="AH285" s="176">
        <f t="shared" si="119"/>
        <v>9</v>
      </c>
      <c r="AI285" s="225">
        <f t="shared" si="120"/>
        <v>3.5937938276683572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IF(t&gt;Tmaj,'2024'!Wh/'2024'!Env_an*'2025'!Env_an,0.001*'[11]mon-tableau (3)'!$B$164)</f>
        <v>19.934568000648561</v>
      </c>
      <c r="C286" s="839"/>
      <c r="D286" s="393">
        <f t="shared" si="102"/>
        <v>21.672104813482949</v>
      </c>
      <c r="E286" s="385">
        <f t="shared" si="100"/>
        <v>22.836222976245562</v>
      </c>
      <c r="F286" s="385">
        <f t="shared" si="103"/>
        <v>23.456390625966861</v>
      </c>
      <c r="G286" s="110">
        <f t="shared" si="101"/>
        <v>0.62842454517273105</v>
      </c>
      <c r="H286" s="414" t="b">
        <f>Wh_hp&gt;='2024'!Maxi_hp</f>
        <v>0</v>
      </c>
      <c r="I286" s="390">
        <f>IF(H286,Wh_hp,'2024'!Maxi_hp)</f>
        <v>37.209601495836544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8.0173883791546136E-2</v>
      </c>
      <c r="M286" s="843"/>
      <c r="N286" s="843"/>
      <c r="O286" s="48">
        <f>IF(t&lt;Tnet,'2024'!Resal+('2024'!Salim-'2024'!Resal)*(1-EXP(('2024'!Tnet-t)/('2024'!Tau_j))),Resal+(Salim-Resal)*(1-EXP((Tnet-t)/(Tau_j))))*Salcycl</f>
        <v>5.097682589513762E-2</v>
      </c>
      <c r="P286" s="169">
        <f>(INDEX(Models!$BJ286:$BT286,,T286)*(1-R286)+INDEX(Models!$BJ286:$BT286,,T286+1)*R286-ERP_i)*Q286*Ramure*Pc/MaxiM</f>
        <v>5.3435960224377237E-2</v>
      </c>
      <c r="Q286" s="305">
        <f t="shared" si="105"/>
        <v>0.8</v>
      </c>
      <c r="R286" s="177">
        <f t="shared" si="106"/>
        <v>0.39333491539054588</v>
      </c>
      <c r="S286" s="809">
        <f t="shared" si="107"/>
        <v>2</v>
      </c>
      <c r="T286" s="176">
        <f t="shared" si="108"/>
        <v>8</v>
      </c>
      <c r="U286" s="251">
        <f t="shared" si="109"/>
        <v>2.3933349153905459</v>
      </c>
      <c r="V286" s="383">
        <f t="shared" si="110"/>
        <v>30.841862818511625</v>
      </c>
      <c r="W286" s="402">
        <f t="shared" si="111"/>
        <v>19.934568000648561</v>
      </c>
      <c r="X286" s="157">
        <f t="shared" si="112"/>
        <v>45929</v>
      </c>
      <c r="Y286" s="385">
        <f t="shared" si="113"/>
        <v>17.855635534314228</v>
      </c>
      <c r="Z286" s="385">
        <f t="shared" si="114"/>
        <v>19.411968435855684</v>
      </c>
      <c r="AA286" s="386">
        <f t="shared" si="115"/>
        <v>22.526090733129735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0.13824512802365771</v>
      </c>
      <c r="AD286" s="231">
        <f>(INDEX(Models!$BJ286:$BT286,,AH286)*(1-AF286)+INDEX(Models!$BJ286:$BT286,,AH286+1)*AF286-ERP_i)*AE286*Ramure*Pc/MaxiM</f>
        <v>8.0158112234211404E-2</v>
      </c>
      <c r="AE286" s="305">
        <f t="shared" si="117"/>
        <v>0.8</v>
      </c>
      <c r="AF286" s="177">
        <f t="shared" si="118"/>
        <v>0.5940516625554495</v>
      </c>
      <c r="AG286" s="809">
        <f t="shared" si="124"/>
        <v>3</v>
      </c>
      <c r="AH286" s="176">
        <f t="shared" si="119"/>
        <v>9</v>
      </c>
      <c r="AI286" s="225">
        <f t="shared" si="120"/>
        <v>3.5940516625554495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IF(t&gt;Tmaj,'2024'!Wh/'2024'!Env_an*'2025'!Env_an,0.001*'[11]mon-tableau (3)'!$B$165)</f>
        <v>21.391791428123668</v>
      </c>
      <c r="C287" s="839"/>
      <c r="D287" s="393">
        <f t="shared" si="102"/>
        <v>23.256896392754264</v>
      </c>
      <c r="E287" s="385">
        <f t="shared" si="100"/>
        <v>24.510587380737377</v>
      </c>
      <c r="F287" s="385">
        <f t="shared" si="103"/>
        <v>25.278425455052055</v>
      </c>
      <c r="G287" s="110">
        <f t="shared" si="101"/>
        <v>0.68512439971400685</v>
      </c>
      <c r="H287" s="414" t="b">
        <f>Wh_hp&gt;='2024'!Maxi_hp</f>
        <v>0</v>
      </c>
      <c r="I287" s="390">
        <f>IF(H287,Wh_hp,'2024'!Maxi_hp)</f>
        <v>35.36597547612849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8.0195780775446673E-2</v>
      </c>
      <c r="M287" s="843"/>
      <c r="N287" s="843"/>
      <c r="O287" s="48">
        <f>IF(t&lt;Tnet,'2024'!Resal+('2024'!Salim-'2024'!Resal)*(1-EXP(('2024'!Tnet-t)/('2024'!Tau_j))),Resal+(Salim-Resal)*(1-EXP((Tnet-t)/(Tau_j))))*Salcycl</f>
        <v>5.1148957326431731E-2</v>
      </c>
      <c r="P287" s="169">
        <f>(INDEX(Models!$BJ287:$BT287,,T287)*(1-R287)+INDEX(Models!$BJ287:$BT287,,T287+1)*R287-ERP_i)*Q287*Ramure*Pc/MaxiM</f>
        <v>5.2962675805165907E-2</v>
      </c>
      <c r="Q287" s="305">
        <f t="shared" si="105"/>
        <v>0.8</v>
      </c>
      <c r="R287" s="177">
        <f t="shared" si="106"/>
        <v>0.39358257948191699</v>
      </c>
      <c r="S287" s="809">
        <f t="shared" si="107"/>
        <v>2</v>
      </c>
      <c r="T287" s="176">
        <f t="shared" si="108"/>
        <v>8</v>
      </c>
      <c r="U287" s="251">
        <f t="shared" si="109"/>
        <v>2.393582579481917</v>
      </c>
      <c r="V287" s="383">
        <f t="shared" si="110"/>
        <v>30.495876249833685</v>
      </c>
      <c r="W287" s="402">
        <f t="shared" si="111"/>
        <v>21.391791428123668</v>
      </c>
      <c r="X287" s="157">
        <f t="shared" si="112"/>
        <v>45930</v>
      </c>
      <c r="Y287" s="385">
        <f t="shared" si="113"/>
        <v>19.12806665056463</v>
      </c>
      <c r="Z287" s="385">
        <f t="shared" si="114"/>
        <v>20.795802248755354</v>
      </c>
      <c r="AA287" s="386">
        <f t="shared" si="115"/>
        <v>24.132480516200594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0.13826503517552877</v>
      </c>
      <c r="AD287" s="231">
        <f>(INDEX(Models!$BJ287:$BT287,,AH287)*(1-AF287)+INDEX(Models!$BJ287:$BT287,,AH287+1)*AF287-ERP_i)*AE287*Ramure*Pc/MaxiM</f>
        <v>7.9043111193894053E-2</v>
      </c>
      <c r="AE287" s="305">
        <f t="shared" si="117"/>
        <v>0.8</v>
      </c>
      <c r="AF287" s="177">
        <f t="shared" si="118"/>
        <v>0.59429932664682017</v>
      </c>
      <c r="AG287" s="809">
        <f t="shared" si="124"/>
        <v>3</v>
      </c>
      <c r="AH287" s="176">
        <f t="shared" si="119"/>
        <v>9</v>
      </c>
      <c r="AI287" s="225">
        <f t="shared" si="120"/>
        <v>3.5942993266468202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IF(t&gt;Tmaj,'2024'!Wh/'2024'!Env_an*'2025'!Env_an,0.001*'[12]mon-tableau (1)'!$B$140)</f>
        <v>27.166070897114235</v>
      </c>
      <c r="C288" s="839"/>
      <c r="D288" s="393">
        <f t="shared" si="102"/>
        <v>29.535326158351648</v>
      </c>
      <c r="E288" s="385">
        <f t="shared" si="100"/>
        <v>31.133076234710341</v>
      </c>
      <c r="F288" s="385">
        <f t="shared" si="103"/>
        <v>32.599143064657085</v>
      </c>
      <c r="G288" s="110">
        <f t="shared" si="101"/>
        <v>0.89375405941550745</v>
      </c>
      <c r="H288" s="414" t="b">
        <f>Wh_hp&gt;='2024'!Maxi_hp</f>
        <v>0</v>
      </c>
      <c r="I288" s="390">
        <f>IF(H288,Wh_hp,'2024'!Maxi_hp)</f>
        <v>35.633737494395717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8.0217677249772384E-2</v>
      </c>
      <c r="M288" s="843"/>
      <c r="N288" s="843"/>
      <c r="O288" s="48">
        <f>IF(t&lt;Tnet,'2024'!Resal+('2024'!Salim-'2024'!Resal)*(1-EXP(('2024'!Tnet-t)/('2024'!Tau_j))),Resal+(Salim-Resal)*(1-EXP((Tnet-t)/(Tau_j))))*Salcycl</f>
        <v>5.1320019400375123E-2</v>
      </c>
      <c r="P288" s="169">
        <f>(INDEX(Models!$BJ288:$BT288,,T288)*(1-R288)+INDEX(Models!$BJ288:$BT288,,T288+1)*R288-ERP_i)*Q288*Ramure*Pc/MaxiM</f>
        <v>5.240152942719159E-2</v>
      </c>
      <c r="Q288" s="305">
        <f t="shared" si="105"/>
        <v>0.8</v>
      </c>
      <c r="R288" s="177">
        <f t="shared" si="106"/>
        <v>0.39382046592521469</v>
      </c>
      <c r="S288" s="809">
        <f t="shared" si="107"/>
        <v>2</v>
      </c>
      <c r="T288" s="176">
        <f t="shared" si="108"/>
        <v>8</v>
      </c>
      <c r="U288" s="251">
        <f t="shared" si="109"/>
        <v>2.3938204659252147</v>
      </c>
      <c r="V288" s="383">
        <f t="shared" si="110"/>
        <v>30.159025348065445</v>
      </c>
      <c r="W288" s="402">
        <f t="shared" si="111"/>
        <v>27.166070897114235</v>
      </c>
      <c r="X288" s="157">
        <f t="shared" si="112"/>
        <v>45931</v>
      </c>
      <c r="Y288" s="385">
        <f t="shared" si="113"/>
        <v>24.11093542160129</v>
      </c>
      <c r="Z288" s="385">
        <f t="shared" si="114"/>
        <v>26.21374082240191</v>
      </c>
      <c r="AA288" s="386">
        <f t="shared" si="115"/>
        <v>30.420359069612655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0.13828299125544505</v>
      </c>
      <c r="AD288" s="231">
        <f>(INDEX(Models!$BJ288:$BT288,,AH288)*(1-AF288)+INDEX(Models!$BJ288:$BT288,,AH288+1)*AF288-ERP_i)*AE288*Ramure*Pc/MaxiM</f>
        <v>7.7876131769492415E-2</v>
      </c>
      <c r="AE288" s="305">
        <f t="shared" si="117"/>
        <v>0.8</v>
      </c>
      <c r="AF288" s="177">
        <f t="shared" si="118"/>
        <v>0.59453721309011831</v>
      </c>
      <c r="AG288" s="809">
        <f t="shared" si="124"/>
        <v>3</v>
      </c>
      <c r="AH288" s="176">
        <f t="shared" si="119"/>
        <v>9</v>
      </c>
      <c r="AI288" s="225">
        <f t="shared" si="120"/>
        <v>3.5945372130901183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IF(t&gt;Tmaj,'2024'!Wh/'2024'!Env_an*'2025'!Env_an,0.001*'[12]mon-tableau (1)'!$B$141)</f>
        <v>28.991744183027315</v>
      </c>
      <c r="C289" s="839"/>
      <c r="D289" s="393">
        <f t="shared" si="102"/>
        <v>31.520973656534224</v>
      </c>
      <c r="E289" s="385">
        <f t="shared" si="100"/>
        <v>33.232093951639257</v>
      </c>
      <c r="F289" s="385">
        <f t="shared" si="103"/>
        <v>34.969280701690906</v>
      </c>
      <c r="G289" s="110">
        <f t="shared" si="101"/>
        <v>0.96979540982619572</v>
      </c>
      <c r="H289" s="414" t="b">
        <f>Wh_hp&gt;='2024'!Maxi_hp</f>
        <v>0</v>
      </c>
      <c r="I289" s="390">
        <f>IF(H289,Wh_hp,'2024'!Maxi_hp)</f>
        <v>36.768753531604595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8.0239573214535148E-2</v>
      </c>
      <c r="M289" s="843"/>
      <c r="N289" s="843"/>
      <c r="O289" s="48">
        <f>IF(t&lt;Tnet,'2024'!Resal+('2024'!Salim-'2024'!Resal)*(1-EXP(('2024'!Tnet-t)/('2024'!Tau_j))),Resal+(Salim-Resal)*(1-EXP((Tnet-t)/(Tau_j))))*Salcycl</f>
        <v>5.1489993305721994E-2</v>
      </c>
      <c r="P289" s="169">
        <f>(INDEX(Models!$BJ289:$BT289,,T289)*(1-R289)+INDEX(Models!$BJ289:$BT289,,T289+1)*R289-ERP_i)*Q289*Ramure*Pc/MaxiM</f>
        <v>5.1753662824660214E-2</v>
      </c>
      <c r="Q289" s="305">
        <f t="shared" si="105"/>
        <v>0.8</v>
      </c>
      <c r="R289" s="177">
        <f t="shared" si="106"/>
        <v>0.39404895330180256</v>
      </c>
      <c r="S289" s="809">
        <f t="shared" si="107"/>
        <v>2</v>
      </c>
      <c r="T289" s="176">
        <f t="shared" si="108"/>
        <v>8</v>
      </c>
      <c r="U289" s="251">
        <f t="shared" si="109"/>
        <v>2.3940489533018026</v>
      </c>
      <c r="V289" s="383">
        <f t="shared" si="110"/>
        <v>29.829390921178316</v>
      </c>
      <c r="W289" s="402">
        <f t="shared" si="111"/>
        <v>28.991744183027315</v>
      </c>
      <c r="X289" s="157">
        <f t="shared" si="112"/>
        <v>45932</v>
      </c>
      <c r="Y289" s="385">
        <f t="shared" si="113"/>
        <v>25.675753641026144</v>
      </c>
      <c r="Z289" s="385">
        <f t="shared" si="114"/>
        <v>27.915697276476802</v>
      </c>
      <c r="AA289" s="386">
        <f t="shared" si="115"/>
        <v>32.396035317706044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0.1382989615022587</v>
      </c>
      <c r="AD289" s="231">
        <f>(INDEX(Models!$BJ289:$BT289,,AH289)*(1-AF289)+INDEX(Models!$BJ289:$BT289,,AH289+1)*AF289-ERP_i)*AE289*Ramure*Pc/MaxiM</f>
        <v>7.6661230557915877E-2</v>
      </c>
      <c r="AE289" s="305">
        <f t="shared" si="117"/>
        <v>0.8</v>
      </c>
      <c r="AF289" s="177">
        <f t="shared" si="118"/>
        <v>0.59476570046670574</v>
      </c>
      <c r="AG289" s="809">
        <f t="shared" si="124"/>
        <v>3</v>
      </c>
      <c r="AH289" s="176">
        <f t="shared" si="119"/>
        <v>9</v>
      </c>
      <c r="AI289" s="225">
        <f t="shared" si="120"/>
        <v>3.5947657004667057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IF(t&gt;Tmaj,'2024'!Wh/'2024'!Env_an*'2025'!Env_an,0.001*'[12]mon-tableau (1)'!$B$142)</f>
        <v>27.777233429377322</v>
      </c>
      <c r="C290" s="839"/>
      <c r="D290" s="393">
        <f t="shared" si="102"/>
        <v>30.201228374331606</v>
      </c>
      <c r="E290" s="385">
        <f t="shared" si="100"/>
        <v>31.846375890682285</v>
      </c>
      <c r="F290" s="385">
        <f t="shared" si="103"/>
        <v>33.408819074850392</v>
      </c>
      <c r="G290" s="110">
        <f t="shared" si="101"/>
        <v>0.93726490667228113</v>
      </c>
      <c r="H290" s="414" t="b">
        <f>Wh_hp&gt;='2024'!Maxi_hp</f>
        <v>0</v>
      </c>
      <c r="I290" s="390">
        <f>IF(H290,Wh_hp,'2024'!Maxi_hp)</f>
        <v>34.895336094635255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8.0261468669746844E-2</v>
      </c>
      <c r="M290" s="843"/>
      <c r="N290" s="843"/>
      <c r="O290" s="48">
        <f>IF(t&lt;Tnet,'2024'!Resal+('2024'!Salim-'2024'!Resal)*(1-EXP(('2024'!Tnet-t)/('2024'!Tau_j))),Resal+(Salim-Resal)*(1-EXP((Tnet-t)/(Tau_j))))*Salcycl</f>
        <v>5.1658861341017499E-2</v>
      </c>
      <c r="P290" s="169">
        <f>(INDEX(Models!$BJ290:$BT290,,T290)*(1-R290)+INDEX(Models!$BJ290:$BT290,,T290+1)*R290-ERP_i)*Q290*Ramure*Pc/MaxiM</f>
        <v>5.1033908200838966E-2</v>
      </c>
      <c r="Q290" s="305">
        <f t="shared" si="105"/>
        <v>0.8</v>
      </c>
      <c r="R290" s="177">
        <f t="shared" si="106"/>
        <v>0.39426840611674807</v>
      </c>
      <c r="S290" s="809">
        <f t="shared" si="107"/>
        <v>2</v>
      </c>
      <c r="T290" s="176">
        <f t="shared" si="108"/>
        <v>8</v>
      </c>
      <c r="U290" s="251">
        <f t="shared" si="109"/>
        <v>2.3942684061167481</v>
      </c>
      <c r="V290" s="383">
        <f t="shared" si="110"/>
        <v>29.503832544265475</v>
      </c>
      <c r="W290" s="402">
        <f t="shared" si="111"/>
        <v>27.777233429377322</v>
      </c>
      <c r="X290" s="157">
        <f t="shared" si="112"/>
        <v>45933</v>
      </c>
      <c r="Y290" s="385">
        <f t="shared" si="113"/>
        <v>24.64652757308448</v>
      </c>
      <c r="Z290" s="385">
        <f t="shared" si="114"/>
        <v>26.797319818097932</v>
      </c>
      <c r="AA290" s="386">
        <f t="shared" si="115"/>
        <v>31.098667101693202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0.13831291449018657</v>
      </c>
      <c r="AD290" s="231">
        <f>(INDEX(Models!$BJ290:$BT290,,AH290)*(1-AF290)+INDEX(Models!$BJ290:$BT290,,AH290+1)*AF290-ERP_i)*AE290*Ramure*Pc/MaxiM</f>
        <v>7.5456237335671417E-2</v>
      </c>
      <c r="AE290" s="305">
        <f t="shared" si="117"/>
        <v>0.8</v>
      </c>
      <c r="AF290" s="177">
        <f t="shared" si="118"/>
        <v>0.59498515328165169</v>
      </c>
      <c r="AG290" s="809">
        <f t="shared" si="124"/>
        <v>3</v>
      </c>
      <c r="AH290" s="176">
        <f t="shared" si="119"/>
        <v>9</v>
      </c>
      <c r="AI290" s="225">
        <f t="shared" si="120"/>
        <v>3.5949851532816517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IF(t&gt;Tmaj,'2024'!Wh/'2024'!Env_an*'2025'!Env_an,0.001*'[12]mon-tableau (1)'!$B$143)</f>
        <v>29.187914435767802</v>
      </c>
      <c r="C291" s="839"/>
      <c r="D291" s="393">
        <f t="shared" si="102"/>
        <v>31.735768693394427</v>
      </c>
      <c r="E291" s="385">
        <f t="shared" si="100"/>
        <v>33.470427382135412</v>
      </c>
      <c r="F291" s="385">
        <f t="shared" si="103"/>
        <v>35.243063599626076</v>
      </c>
      <c r="G291" s="110">
        <f t="shared" si="101"/>
        <v>1.0002513885874345</v>
      </c>
      <c r="H291" s="414" t="b">
        <f>Wh_hp&gt;='2024'!Maxi_hp</f>
        <v>1</v>
      </c>
      <c r="I291" s="390">
        <f>IF(H291,Wh_hp,'2024'!Maxi_hp)</f>
        <v>35.243063599626076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8.0283363615419351E-2</v>
      </c>
      <c r="M291" s="843"/>
      <c r="N291" s="843"/>
      <c r="O291" s="48">
        <f>IF(t&lt;Tnet,'2024'!Resal+('2024'!Salim-'2024'!Resal)*(1-EXP(('2024'!Tnet-t)/('2024'!Tau_j))),Resal+(Salim-Resal)*(1-EXP((Tnet-t)/(Tau_j))))*Salcycl</f>
        <v>5.1826607080220605E-2</v>
      </c>
      <c r="P291" s="169">
        <f>(INDEX(Models!$BJ291:$BT291,,T291)*(1-R291)+INDEX(Models!$BJ291:$BT291,,T291+1)*R291-ERP_i)*Q291*Ramure*Pc/MaxiM</f>
        <v>5.0297449666364208E-2</v>
      </c>
      <c r="Q291" s="305">
        <f t="shared" si="105"/>
        <v>0.8</v>
      </c>
      <c r="R291" s="177">
        <f t="shared" si="106"/>
        <v>0.39447917527634457</v>
      </c>
      <c r="S291" s="809">
        <f t="shared" si="107"/>
        <v>2</v>
      </c>
      <c r="T291" s="176">
        <f t="shared" si="108"/>
        <v>8</v>
      </c>
      <c r="U291" s="251">
        <f t="shared" si="109"/>
        <v>2.3944791752763446</v>
      </c>
      <c r="V291" s="383">
        <f t="shared" si="110"/>
        <v>29.180578771289962</v>
      </c>
      <c r="W291" s="402">
        <f t="shared" si="111"/>
        <v>29.187914435767802</v>
      </c>
      <c r="X291" s="157">
        <f t="shared" si="112"/>
        <v>45934</v>
      </c>
      <c r="Y291" s="385">
        <f t="shared" si="113"/>
        <v>25.854783134349184</v>
      </c>
      <c r="Z291" s="385">
        <f t="shared" si="114"/>
        <v>28.11168365507088</v>
      </c>
      <c r="AA291" s="386">
        <f t="shared" si="115"/>
        <v>32.624455699370799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0.13832482251610273</v>
      </c>
      <c r="AD291" s="231">
        <f>(INDEX(Models!$BJ291:$BT291,,AH291)*(1-AF291)+INDEX(Models!$BJ291:$BT291,,AH291+1)*AF291-ERP_i)*AE291*Ramure*Pc/MaxiM</f>
        <v>7.4301369767498196E-2</v>
      </c>
      <c r="AE291" s="305">
        <f t="shared" si="117"/>
        <v>0.8</v>
      </c>
      <c r="AF291" s="177">
        <f t="shared" si="118"/>
        <v>0.59519592244124819</v>
      </c>
      <c r="AG291" s="809">
        <f t="shared" si="124"/>
        <v>3</v>
      </c>
      <c r="AH291" s="176">
        <f t="shared" si="119"/>
        <v>9</v>
      </c>
      <c r="AI291" s="225">
        <f t="shared" si="120"/>
        <v>3.5951959224412482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IF(t&gt;Tmaj,'2024'!Wh/'2024'!Env_an*'2025'!Env_an,0.001*'[12]mon-tableau (1)'!$B$144)</f>
        <v>29.451559604000966</v>
      </c>
      <c r="C292" s="839"/>
      <c r="D292" s="393">
        <f t="shared" si="102"/>
        <v>32.023190152860764</v>
      </c>
      <c r="E292" s="385">
        <f t="shared" si="100"/>
        <v>33.779494701706888</v>
      </c>
      <c r="F292" s="385">
        <f t="shared" si="103"/>
        <v>35.540310062015891</v>
      </c>
      <c r="G292" s="110">
        <f t="shared" si="101"/>
        <v>1.0205110662343277</v>
      </c>
      <c r="H292" s="414" t="b">
        <f>Wh_hp&gt;='2024'!Maxi_hp</f>
        <v>1</v>
      </c>
      <c r="I292" s="390">
        <f>IF(H292,Wh_hp,'2024'!Maxi_hp)</f>
        <v>35.540310062015891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8.0305258051564438E-2</v>
      </c>
      <c r="M292" s="843"/>
      <c r="N292" s="843"/>
      <c r="O292" s="48">
        <f>IF(t&lt;Tnet,'2024'!Resal+('2024'!Salim-'2024'!Resal)*(1-EXP(('2024'!Tnet-t)/('2024'!Tau_j))),Resal+(Salim-Resal)*(1-EXP((Tnet-t)/(Tau_j))))*Salcycl</f>
        <v>5.1993215539644526E-2</v>
      </c>
      <c r="P292" s="169">
        <f>(INDEX(Models!$BJ292:$BT292,,T292)*(1-R292)+INDEX(Models!$BJ292:$BT292,,T292+1)*R292-ERP_i)*Q292*Ramure*Pc/MaxiM</f>
        <v>4.9544175535792365E-2</v>
      </c>
      <c r="Q292" s="305">
        <f t="shared" si="105"/>
        <v>0.8</v>
      </c>
      <c r="R292" s="177">
        <f t="shared" si="106"/>
        <v>0.39468159855312246</v>
      </c>
      <c r="S292" s="809">
        <f t="shared" si="107"/>
        <v>2</v>
      </c>
      <c r="T292" s="176">
        <f t="shared" si="108"/>
        <v>8</v>
      </c>
      <c r="U292" s="251">
        <f t="shared" si="109"/>
        <v>2.3946815985531225</v>
      </c>
      <c r="V292" s="383">
        <f t="shared" si="110"/>
        <v>28.859618066344762</v>
      </c>
      <c r="W292" s="402">
        <f t="shared" si="111"/>
        <v>29.451559604000966</v>
      </c>
      <c r="X292" s="157">
        <f t="shared" si="112"/>
        <v>45935</v>
      </c>
      <c r="Y292" s="385">
        <f t="shared" si="113"/>
        <v>26.102993916099248</v>
      </c>
      <c r="Z292" s="385">
        <f t="shared" si="114"/>
        <v>28.382236763470331</v>
      </c>
      <c r="AA292" s="386">
        <f t="shared" si="115"/>
        <v>32.938816859922191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0.13833466198344263</v>
      </c>
      <c r="AD292" s="231">
        <f>(INDEX(Models!$BJ292:$BT292,,AH292)*(1-AF292)+INDEX(Models!$BJ292:$BT292,,AH292+1)*AF292-ERP_i)*AE292*Ramure*Pc/MaxiM</f>
        <v>7.3198382275062771E-2</v>
      </c>
      <c r="AE292" s="305">
        <f t="shared" si="117"/>
        <v>0.8</v>
      </c>
      <c r="AF292" s="177">
        <f t="shared" si="118"/>
        <v>0.59539834571802608</v>
      </c>
      <c r="AG292" s="809">
        <f t="shared" si="124"/>
        <v>3</v>
      </c>
      <c r="AH292" s="176">
        <f t="shared" si="119"/>
        <v>9</v>
      </c>
      <c r="AI292" s="225">
        <f t="shared" si="120"/>
        <v>3.5953983457180261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IF(t&gt;Tmaj,'2024'!Wh/'2024'!Env_an*'2025'!Env_an,0.001*'[12]mon-tableau (1)'!$B$145)</f>
        <v>10.750338551369801</v>
      </c>
      <c r="C293" s="839"/>
      <c r="D293" s="393">
        <f t="shared" si="102"/>
        <v>11.689307316719765</v>
      </c>
      <c r="E293" s="385">
        <f t="shared" si="100"/>
        <v>12.332557135876925</v>
      </c>
      <c r="F293" s="385">
        <f t="shared" si="103"/>
        <v>12.398787928201479</v>
      </c>
      <c r="G293" s="110">
        <f t="shared" si="101"/>
        <v>0.3602165853742969</v>
      </c>
      <c r="H293" s="414" t="b">
        <f>Wh_hp&gt;='2024'!Maxi_hp</f>
        <v>0</v>
      </c>
      <c r="I293" s="390">
        <f>IF(H293,Wh_hp,'2024'!Maxi_hp)</f>
        <v>31.212763298231373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8.0327151978194095E-2</v>
      </c>
      <c r="M293" s="843"/>
      <c r="N293" s="843"/>
      <c r="O293" s="48">
        <f>IF(t&lt;Tnet,'2024'!Resal+('2024'!Salim-'2024'!Resal)*(1-EXP(('2024'!Tnet-t)/('2024'!Tau_j))),Resal+(Salim-Resal)*(1-EXP((Tnet-t)/(Tau_j))))*Salcycl</f>
        <v>5.2158673344870912E-2</v>
      </c>
      <c r="P293" s="169">
        <f>(INDEX(Models!$BJ293:$BT293,,T293)*(1-R293)+INDEX(Models!$BJ293:$BT293,,T293+1)*R293-ERP_i)*Q293*Ramure*Pc/MaxiM</f>
        <v>4.8773997851684757E-2</v>
      </c>
      <c r="Q293" s="305">
        <f t="shared" si="105"/>
        <v>0.8</v>
      </c>
      <c r="R293" s="177">
        <f t="shared" si="106"/>
        <v>0.3948760010383694</v>
      </c>
      <c r="S293" s="809">
        <f t="shared" si="107"/>
        <v>2</v>
      </c>
      <c r="T293" s="176">
        <f t="shared" si="108"/>
        <v>8</v>
      </c>
      <c r="U293" s="251">
        <f t="shared" si="109"/>
        <v>2.3948760010383694</v>
      </c>
      <c r="V293" s="383">
        <f t="shared" si="110"/>
        <v>28.540938204868425</v>
      </c>
      <c r="W293" s="402">
        <f t="shared" si="111"/>
        <v>10.750338551369801</v>
      </c>
      <c r="X293" s="157">
        <f t="shared" si="112"/>
        <v>45936</v>
      </c>
      <c r="Y293" s="385">
        <f t="shared" si="113"/>
        <v>9.7476964796374883</v>
      </c>
      <c r="Z293" s="385">
        <f t="shared" si="114"/>
        <v>10.599091297089554</v>
      </c>
      <c r="AA293" s="386">
        <f t="shared" si="115"/>
        <v>12.300815853752121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0.1383424137792853</v>
      </c>
      <c r="AD293" s="231">
        <f>(INDEX(Models!$BJ293:$BT293,,AH293)*(1-AF293)+INDEX(Models!$BJ293:$BT293,,AH293+1)*AF293-ERP_i)*AE293*Ramure*Pc/MaxiM</f>
        <v>7.2149065125203388E-2</v>
      </c>
      <c r="AE293" s="305">
        <f t="shared" si="117"/>
        <v>0.8</v>
      </c>
      <c r="AF293" s="177">
        <f t="shared" si="118"/>
        <v>0.59559274820327301</v>
      </c>
      <c r="AG293" s="809">
        <f t="shared" si="124"/>
        <v>3</v>
      </c>
      <c r="AH293" s="176">
        <f t="shared" si="119"/>
        <v>9</v>
      </c>
      <c r="AI293" s="225">
        <f t="shared" si="120"/>
        <v>3.595592748203273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IF(t&gt;Tmaj,'2024'!Wh/'2024'!Env_an*'2025'!Env_an,0.001*'[12]mon-tableau (1)'!$B$146)</f>
        <v>21.697417666206736</v>
      </c>
      <c r="C294" s="839"/>
      <c r="D294" s="393">
        <f t="shared" si="102"/>
        <v>23.593100792825862</v>
      </c>
      <c r="E294" s="385">
        <f t="shared" si="100"/>
        <v>24.895718708458119</v>
      </c>
      <c r="F294" s="385">
        <f t="shared" si="103"/>
        <v>25.722267762534511</v>
      </c>
      <c r="G294" s="110">
        <f t="shared" si="101"/>
        <v>0.75615167701250363</v>
      </c>
      <c r="H294" s="414" t="b">
        <f>Wh_hp&gt;='2024'!Maxi_hp</f>
        <v>0</v>
      </c>
      <c r="I294" s="390">
        <f>IF(H294,Wh_hp,'2024'!Maxi_hp)</f>
        <v>34.247356004135384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8.0349045395319979E-2</v>
      </c>
      <c r="M294" s="843"/>
      <c r="N294" s="843"/>
      <c r="O294" s="48">
        <f>IF(t&lt;Tnet,'2024'!Resal+('2024'!Salim-'2024'!Resal)*(1-EXP(('2024'!Tnet-t)/('2024'!Tau_j))),Resal+(Salim-Resal)*(1-EXP((Tnet-t)/(Tau_j))))*Salcycl</f>
        <v>5.2322968896242494E-2</v>
      </c>
      <c r="P294" s="169">
        <f>(INDEX(Models!$BJ294:$BT294,,T294)*(1-R294)+INDEX(Models!$BJ294:$BT294,,T294+1)*R294-ERP_i)*Q294*Ramure*Pc/MaxiM</f>
        <v>4.7986853415503163E-2</v>
      </c>
      <c r="Q294" s="305">
        <f t="shared" si="105"/>
        <v>0.8</v>
      </c>
      <c r="R294" s="177">
        <f t="shared" si="106"/>
        <v>0.39506269558219698</v>
      </c>
      <c r="S294" s="809">
        <f t="shared" si="107"/>
        <v>2</v>
      </c>
      <c r="T294" s="176">
        <f t="shared" si="108"/>
        <v>8</v>
      </c>
      <c r="U294" s="251">
        <f t="shared" si="109"/>
        <v>2.395062695582197</v>
      </c>
      <c r="V294" s="383">
        <f t="shared" si="110"/>
        <v>28.224526285936232</v>
      </c>
      <c r="W294" s="402">
        <f t="shared" si="111"/>
        <v>21.697417666206736</v>
      </c>
      <c r="X294" s="157">
        <f t="shared" si="112"/>
        <v>45937</v>
      </c>
      <c r="Y294" s="385">
        <f t="shared" si="113"/>
        <v>19.411615515900834</v>
      </c>
      <c r="Z294" s="385">
        <f t="shared" si="114"/>
        <v>21.107590242479645</v>
      </c>
      <c r="AA294" s="386">
        <f t="shared" si="115"/>
        <v>24.496655031816132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0.13834806364112923</v>
      </c>
      <c r="AD294" s="231">
        <f>(INDEX(Models!$BJ294:$BT294,,AH294)*(1-AF294)+INDEX(Models!$BJ294:$BT294,,AH294+1)*AF294-ERP_i)*AE294*Ramure*Pc/MaxiM</f>
        <v>7.1155242587358475E-2</v>
      </c>
      <c r="AE294" s="305">
        <f t="shared" si="117"/>
        <v>0.8</v>
      </c>
      <c r="AF294" s="177">
        <f t="shared" si="118"/>
        <v>0.5957794427471006</v>
      </c>
      <c r="AG294" s="809">
        <f t="shared" si="124"/>
        <v>3</v>
      </c>
      <c r="AH294" s="176">
        <f t="shared" si="119"/>
        <v>9</v>
      </c>
      <c r="AI294" s="225">
        <f t="shared" si="120"/>
        <v>3.5957794427471006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IF(t&gt;Tmaj,'2024'!Wh/'2024'!Env_an*'2025'!Env_an,0.001*'[12]mon-tableau (1)'!$B$147)</f>
        <v>14.135392311947196</v>
      </c>
      <c r="C295" s="839"/>
      <c r="D295" s="393">
        <f t="shared" si="102"/>
        <v>15.370754253744787</v>
      </c>
      <c r="E295" s="385">
        <f t="shared" si="100"/>
        <v>16.222193819625559</v>
      </c>
      <c r="F295" s="385">
        <f t="shared" si="103"/>
        <v>16.451127329287189</v>
      </c>
      <c r="G295" s="110">
        <f t="shared" si="101"/>
        <v>0.4893707429631094</v>
      </c>
      <c r="H295" s="414" t="b">
        <f>Wh_hp&gt;='2024'!Maxi_hp</f>
        <v>0</v>
      </c>
      <c r="I295" s="390">
        <f>IF(H295,Wh_hp,'2024'!Maxi_hp)</f>
        <v>32.97035211319082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8.0370938302954081E-2</v>
      </c>
      <c r="M295" s="843"/>
      <c r="N295" s="843"/>
      <c r="O295" s="48">
        <f>IF(t&lt;Tnet,'2024'!Resal+('2024'!Salim-'2024'!Resal)*(1-EXP(('2024'!Tnet-t)/('2024'!Tau_j))),Resal+(Salim-Resal)*(1-EXP((Tnet-t)/(Tau_j))))*Salcycl</f>
        <v>5.24860925314986E-2</v>
      </c>
      <c r="P295" s="169">
        <f>(INDEX(Models!$BJ295:$BT295,,T295)*(1-R295)+INDEX(Models!$BJ295:$BT295,,T295+1)*R295-ERP_i)*Q295*Ramure*Pc/MaxiM</f>
        <v>4.7182704642090414E-2</v>
      </c>
      <c r="Q295" s="305">
        <f t="shared" si="105"/>
        <v>0.8</v>
      </c>
      <c r="R295" s="177">
        <f t="shared" si="106"/>
        <v>0.39524198322123016</v>
      </c>
      <c r="S295" s="809">
        <f t="shared" si="107"/>
        <v>2</v>
      </c>
      <c r="T295" s="176">
        <f t="shared" si="108"/>
        <v>8</v>
      </c>
      <c r="U295" s="251">
        <f t="shared" si="109"/>
        <v>2.3952419832212302</v>
      </c>
      <c r="V295" s="383">
        <f t="shared" si="110"/>
        <v>27.910368751794621</v>
      </c>
      <c r="W295" s="402">
        <f t="shared" si="111"/>
        <v>14.135392311947196</v>
      </c>
      <c r="X295" s="157">
        <f t="shared" si="112"/>
        <v>45938</v>
      </c>
      <c r="Y295" s="385">
        <f t="shared" si="113"/>
        <v>12.765848051349591</v>
      </c>
      <c r="Z295" s="385">
        <f t="shared" si="114"/>
        <v>13.881518737339613</v>
      </c>
      <c r="AA295" s="386">
        <f t="shared" si="115"/>
        <v>16.110421347935443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0.1383516025098539</v>
      </c>
      <c r="AD295" s="231">
        <f>(INDEX(Models!$BJ295:$BT295,,AH295)*(1-AF295)+INDEX(Models!$BJ295:$BT295,,AH295+1)*AF295-ERP_i)*AE295*Ramure*Pc/MaxiM</f>
        <v>7.0218770994569288E-2</v>
      </c>
      <c r="AE295" s="305">
        <f t="shared" si="117"/>
        <v>0.8</v>
      </c>
      <c r="AF295" s="177">
        <f t="shared" si="118"/>
        <v>0.59595873038613423</v>
      </c>
      <c r="AG295" s="809">
        <f t="shared" si="124"/>
        <v>3</v>
      </c>
      <c r="AH295" s="176">
        <f t="shared" si="119"/>
        <v>9</v>
      </c>
      <c r="AI295" s="225">
        <f t="shared" si="120"/>
        <v>3.5959587303861342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IF(t&gt;Tmaj,'2024'!Wh/'2024'!Env_an*'2025'!Env_an,0.001*'[12]mon-tableau (1)'!$B$148)</f>
        <v>27.054584304915537</v>
      </c>
      <c r="C296" s="839"/>
      <c r="D296" s="393">
        <f t="shared" si="102"/>
        <v>29.419718775726754</v>
      </c>
      <c r="E296" s="385">
        <f t="shared" si="100"/>
        <v>31.054687080345794</v>
      </c>
      <c r="F296" s="385">
        <f t="shared" si="103"/>
        <v>32.520816715314204</v>
      </c>
      <c r="G296" s="110">
        <f t="shared" si="101"/>
        <v>0.97898084738273983</v>
      </c>
      <c r="H296" s="414" t="b">
        <f>Wh_hp&gt;='2024'!Maxi_hp</f>
        <v>0</v>
      </c>
      <c r="I296" s="390">
        <f>IF(H296,Wh_hp,'2024'!Maxi_hp)</f>
        <v>32.555897741774473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8.0392830701108281E-2</v>
      </c>
      <c r="M296" s="843"/>
      <c r="N296" s="843"/>
      <c r="O296" s="48">
        <f>IF(t&lt;Tnet,'2024'!Resal+('2024'!Salim-'2024'!Resal)*(1-EXP(('2024'!Tnet-t)/('2024'!Tau_j))),Resal+(Salim-Resal)*(1-EXP((Tnet-t)/(Tau_j))))*Salcycl</f>
        <v>5.2648036684091876E-2</v>
      </c>
      <c r="P296" s="169">
        <f>(INDEX(Models!$BJ296:$BT296,,T296)*(1-R296)+INDEX(Models!$BJ296:$BT296,,T296+1)*R296-ERP_i)*Q296*Ramure*Pc/MaxiM</f>
        <v>4.6386961278568672E-2</v>
      </c>
      <c r="Q296" s="305">
        <f t="shared" si="105"/>
        <v>0.8</v>
      </c>
      <c r="R296" s="177">
        <f t="shared" si="106"/>
        <v>0.39541415359402521</v>
      </c>
      <c r="S296" s="809">
        <f t="shared" si="107"/>
        <v>2</v>
      </c>
      <c r="T296" s="176">
        <f t="shared" si="108"/>
        <v>8</v>
      </c>
      <c r="U296" s="251">
        <f t="shared" si="109"/>
        <v>2.3954141535940252</v>
      </c>
      <c r="V296" s="383">
        <f t="shared" si="110"/>
        <v>27.597715721963745</v>
      </c>
      <c r="W296" s="402">
        <f t="shared" si="111"/>
        <v>27.054584304915537</v>
      </c>
      <c r="X296" s="157">
        <f t="shared" si="112"/>
        <v>45939</v>
      </c>
      <c r="Y296" s="385">
        <f t="shared" si="113"/>
        <v>24.031064257257366</v>
      </c>
      <c r="Z296" s="385">
        <f t="shared" si="114"/>
        <v>26.131880067419051</v>
      </c>
      <c r="AA296" s="386">
        <f t="shared" si="115"/>
        <v>30.327826687944725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0.13835302686537562</v>
      </c>
      <c r="AD296" s="231">
        <f>(INDEX(Models!$BJ296:$BT296,,AH296)*(1-AF296)+INDEX(Models!$BJ296:$BT296,,AH296+1)*AF296-ERP_i)*AE296*Ramure*Pc/MaxiM</f>
        <v>6.9384139749734453E-2</v>
      </c>
      <c r="AE296" s="305">
        <f t="shared" si="117"/>
        <v>0.8</v>
      </c>
      <c r="AF296" s="177">
        <f t="shared" si="118"/>
        <v>0.59613090075892927</v>
      </c>
      <c r="AG296" s="809">
        <f t="shared" si="124"/>
        <v>3</v>
      </c>
      <c r="AH296" s="176">
        <f t="shared" si="119"/>
        <v>9</v>
      </c>
      <c r="AI296" s="225">
        <f t="shared" si="120"/>
        <v>3.5961309007589293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IF(t&gt;Tmaj,'2024'!Wh/'2024'!Env_an*'2025'!Env_an,0.001*'[12]mon-tableau (1)'!$B$149)</f>
        <v>22.618035518952951</v>
      </c>
      <c r="C297" s="839"/>
      <c r="D297" s="393">
        <f t="shared" si="102"/>
        <v>24.595908693374579</v>
      </c>
      <c r="E297" s="385">
        <f t="shared" ref="E297:E360" si="125">Wh_pvt/(1-Psa)</f>
        <v>25.967205555154088</v>
      </c>
      <c r="F297" s="385">
        <f t="shared" si="103"/>
        <v>26.894042437433967</v>
      </c>
      <c r="G297" s="110">
        <f t="shared" ref="G297:G360" si="126">+Wh_hp/MaxiM</f>
        <v>0.81934584384398024</v>
      </c>
      <c r="H297" s="414" t="b">
        <f>Wh_hp&gt;='2024'!Maxi_hp</f>
        <v>0</v>
      </c>
      <c r="I297" s="390">
        <f>IF(H297,Wh_hp,'2024'!Maxi_hp)</f>
        <v>27.381561766744639</v>
      </c>
      <c r="J297" s="85">
        <f>IF(H297,An,'2024'!An_max)</f>
        <v>2021</v>
      </c>
      <c r="K297" s="197">
        <f t="shared" si="104"/>
        <v>45940</v>
      </c>
      <c r="L297" s="147">
        <f>IF(t&lt;Tvie,1-EXP((T0-t)*PertePVj)+'2024'!Pspv,1-EXP((T0-t)*PertePVj)+Pspv)</f>
        <v>8.0414722589794346E-2</v>
      </c>
      <c r="M297" s="843"/>
      <c r="N297" s="843"/>
      <c r="O297" s="48">
        <f>IF(t&lt;Tnet,'2024'!Resal+('2024'!Salim-'2024'!Resal)*(1-EXP(('2024'!Tnet-t)/('2024'!Tau_j))),Resal+(Salim-Resal)*(1-EXP((Tnet-t)/(Tau_j))))*Salcycl</f>
        <v>5.2808796035710814E-2</v>
      </c>
      <c r="P297" s="169">
        <f>(INDEX(Models!$BJ297:$BT297,,T297)*(1-R297)+INDEX(Models!$BJ297:$BT297,,T297+1)*R297-ERP_i)*Q297*Ramure*Pc/MaxiM</f>
        <v>4.5609854669792581E-2</v>
      </c>
      <c r="Q297" s="305">
        <f t="shared" si="105"/>
        <v>0.8</v>
      </c>
      <c r="R297" s="177">
        <f t="shared" si="106"/>
        <v>0.39557948534433462</v>
      </c>
      <c r="S297" s="809">
        <f t="shared" si="107"/>
        <v>2</v>
      </c>
      <c r="T297" s="176">
        <f t="shared" si="108"/>
        <v>8</v>
      </c>
      <c r="U297" s="251">
        <f t="shared" si="109"/>
        <v>2.3955794853443346</v>
      </c>
      <c r="V297" s="383">
        <f t="shared" si="110"/>
        <v>27.286287014903476</v>
      </c>
      <c r="W297" s="402">
        <f t="shared" si="111"/>
        <v>22.618035518952951</v>
      </c>
      <c r="X297" s="157">
        <f t="shared" si="112"/>
        <v>45940</v>
      </c>
      <c r="Y297" s="385">
        <f t="shared" si="113"/>
        <v>20.20478208189321</v>
      </c>
      <c r="Z297" s="385">
        <f t="shared" si="114"/>
        <v>21.971624142129805</v>
      </c>
      <c r="AA297" s="386">
        <f t="shared" si="115"/>
        <v>25.499545971830042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0.1383523390415507</v>
      </c>
      <c r="AD297" s="231">
        <f>(INDEX(Models!$BJ297:$BT297,,AH297)*(1-AF297)+INDEX(Models!$BJ297:$BT297,,AH297+1)*AF297-ERP_i)*AE297*Ramure*Pc/MaxiM</f>
        <v>6.8623489580260391E-2</v>
      </c>
      <c r="AE297" s="305">
        <f t="shared" si="117"/>
        <v>0.8</v>
      </c>
      <c r="AF297" s="177">
        <f t="shared" si="118"/>
        <v>0.59629623250923824</v>
      </c>
      <c r="AG297" s="809">
        <f t="shared" si="124"/>
        <v>3</v>
      </c>
      <c r="AH297" s="176">
        <f t="shared" si="119"/>
        <v>9</v>
      </c>
      <c r="AI297" s="225">
        <f t="shared" si="120"/>
        <v>3.5962962325092382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IF(t&gt;Tmaj,'2024'!Wh/'2024'!Env_an*'2025'!Env_an,0.001*'[12]mon-tableau (1)'!$B$150)</f>
        <v>18.295883975087207</v>
      </c>
      <c r="C298" s="839"/>
      <c r="D298" s="393">
        <f t="shared" si="102"/>
        <v>19.896272788824266</v>
      </c>
      <c r="E298" s="385">
        <f t="shared" si="125"/>
        <v>21.009089991741074</v>
      </c>
      <c r="F298" s="385">
        <f t="shared" si="103"/>
        <v>21.530884888674358</v>
      </c>
      <c r="G298" s="110">
        <f t="shared" si="126"/>
        <v>0.66389551558014137</v>
      </c>
      <c r="H298" s="414" t="b">
        <f>Wh_hp&gt;='2024'!Maxi_hp</f>
        <v>0</v>
      </c>
      <c r="I298" s="390">
        <f>IF(H298,Wh_hp,'2024'!Maxi_hp)</f>
        <v>33.346419914552634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8.0436613969024268E-2</v>
      </c>
      <c r="M298" s="843"/>
      <c r="N298" s="843"/>
      <c r="O298" s="48">
        <f>IF(t&lt;Tnet,'2024'!Resal+('2024'!Salim-'2024'!Resal)*(1-EXP(('2024'!Tnet-t)/('2024'!Tau_j))),Resal+(Salim-Resal)*(1-EXP((Tnet-t)/(Tau_j))))*Salcycl</f>
        <v>5.2968367661534697E-2</v>
      </c>
      <c r="P298" s="169">
        <f>(INDEX(Models!$BJ298:$BT298,,T298)*(1-R298)+INDEX(Models!$BJ298:$BT298,,T298+1)*R298-ERP_i)*Q298*Ramure*Pc/MaxiM</f>
        <v>4.4852267583272938E-2</v>
      </c>
      <c r="Q298" s="305">
        <f t="shared" si="105"/>
        <v>0.8</v>
      </c>
      <c r="R298" s="177">
        <f t="shared" si="106"/>
        <v>0.39573824651237421</v>
      </c>
      <c r="S298" s="809">
        <f t="shared" si="107"/>
        <v>2</v>
      </c>
      <c r="T298" s="176">
        <f t="shared" si="108"/>
        <v>8</v>
      </c>
      <c r="U298" s="251">
        <f t="shared" si="109"/>
        <v>2.3957382465123742</v>
      </c>
      <c r="V298" s="383">
        <f t="shared" si="110"/>
        <v>26.976080507824356</v>
      </c>
      <c r="W298" s="402">
        <f t="shared" si="111"/>
        <v>18.295883975087207</v>
      </c>
      <c r="X298" s="157">
        <f t="shared" si="112"/>
        <v>45941</v>
      </c>
      <c r="Y298" s="385">
        <f t="shared" si="113"/>
        <v>16.43357922525637</v>
      </c>
      <c r="Z298" s="385">
        <f t="shared" si="114"/>
        <v>17.871067372731172</v>
      </c>
      <c r="AA298" s="386">
        <f t="shared" si="115"/>
        <v>20.740507152560259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0.13834954751696488</v>
      </c>
      <c r="AD298" s="231">
        <f>(INDEX(Models!$BJ298:$BT298,,AH298)*(1-AF298)+INDEX(Models!$BJ298:$BT298,,AH298+1)*AF298-ERP_i)*AE298*Ramure*Pc/MaxiM</f>
        <v>6.7939019565735045E-2</v>
      </c>
      <c r="AE298" s="305">
        <f t="shared" si="117"/>
        <v>0.8</v>
      </c>
      <c r="AF298" s="177">
        <f t="shared" si="118"/>
        <v>0.59645499367727783</v>
      </c>
      <c r="AG298" s="809">
        <f t="shared" si="124"/>
        <v>3</v>
      </c>
      <c r="AH298" s="176">
        <f t="shared" si="119"/>
        <v>9</v>
      </c>
      <c r="AI298" s="225">
        <f t="shared" si="120"/>
        <v>3.5964549936772778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IF(t&gt;Tmaj,'2024'!Wh/'2024'!Env_an*'2025'!Env_an,0.001*'[12]mon-tableau (1)'!$B$151)</f>
        <v>21.225346246065957</v>
      </c>
      <c r="C299" s="839"/>
      <c r="D299" s="393">
        <f t="shared" si="102"/>
        <v>23.082532281314045</v>
      </c>
      <c r="E299" s="385">
        <f t="shared" si="125"/>
        <v>24.377636932669642</v>
      </c>
      <c r="F299" s="385">
        <f t="shared" si="103"/>
        <v>25.164136404004577</v>
      </c>
      <c r="G299" s="110">
        <f t="shared" si="126"/>
        <v>0.7853714527318284</v>
      </c>
      <c r="H299" s="414" t="b">
        <f>Wh_hp&gt;='2024'!Maxi_hp</f>
        <v>0</v>
      </c>
      <c r="I299" s="390">
        <f>IF(H299,Wh_hp,'2024'!Maxi_hp)</f>
        <v>31.597576410466939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8.0458504838809702E-2</v>
      </c>
      <c r="M299" s="843"/>
      <c r="N299" s="843"/>
      <c r="O299" s="48">
        <f>IF(t&lt;Tnet,'2024'!Resal+('2024'!Salim-'2024'!Resal)*(1-EXP(('2024'!Tnet-t)/('2024'!Tau_j))),Resal+(Salim-Resal)*(1-EXP((Tnet-t)/(Tau_j))))*Salcycl</f>
        <v>5.3126751166761597E-2</v>
      </c>
      <c r="P299" s="169">
        <f>(INDEX(Models!$BJ299:$BT299,,T299)*(1-R299)+INDEX(Models!$BJ299:$BT299,,T299+1)*R299-ERP_i)*Q299*Ramure*Pc/MaxiM</f>
        <v>4.4115103750773627E-2</v>
      </c>
      <c r="Q299" s="305">
        <f t="shared" si="105"/>
        <v>0.8</v>
      </c>
      <c r="R299" s="177">
        <f t="shared" si="106"/>
        <v>0.39589069491425599</v>
      </c>
      <c r="S299" s="809">
        <f t="shared" si="107"/>
        <v>2</v>
      </c>
      <c r="T299" s="176">
        <f t="shared" si="108"/>
        <v>8</v>
      </c>
      <c r="U299" s="251">
        <f t="shared" si="109"/>
        <v>2.395890694914256</v>
      </c>
      <c r="V299" s="383">
        <f t="shared" si="110"/>
        <v>26.667094374720254</v>
      </c>
      <c r="W299" s="402">
        <f t="shared" si="111"/>
        <v>21.225346246065957</v>
      </c>
      <c r="X299" s="157">
        <f t="shared" si="112"/>
        <v>45942</v>
      </c>
      <c r="Y299" s="385">
        <f t="shared" si="113"/>
        <v>18.987107309769272</v>
      </c>
      <c r="Z299" s="385">
        <f t="shared" si="114"/>
        <v>20.648450787357824</v>
      </c>
      <c r="AA299" s="386">
        <f t="shared" si="115"/>
        <v>23.963701030829711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0.13834466717836111</v>
      </c>
      <c r="AD299" s="231">
        <f>(INDEX(Models!$BJ299:$BT299,,AH299)*(1-AF299)+INDEX(Models!$BJ299:$BT299,,AH299+1)*AF299-ERP_i)*AE299*Ramure*Pc/MaxiM</f>
        <v>6.7332951850333472E-2</v>
      </c>
      <c r="AE299" s="305">
        <f t="shared" si="117"/>
        <v>0.8</v>
      </c>
      <c r="AF299" s="177">
        <f t="shared" si="118"/>
        <v>0.59660744207915961</v>
      </c>
      <c r="AG299" s="809">
        <f t="shared" si="124"/>
        <v>3</v>
      </c>
      <c r="AH299" s="176">
        <f t="shared" si="119"/>
        <v>9</v>
      </c>
      <c r="AI299" s="225">
        <f t="shared" si="120"/>
        <v>3.5966074420791596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IF(t&gt;Tmaj,'2024'!Wh/'2024'!Env_an*'2025'!Env_an,0.001*'[12]mon-tableau (1)'!$B$152)</f>
        <v>18.586168902742433</v>
      </c>
      <c r="C300" s="839"/>
      <c r="D300" s="393">
        <f t="shared" si="102"/>
        <v>20.212912052884498</v>
      </c>
      <c r="E300" s="385">
        <f t="shared" si="125"/>
        <v>21.350553872558709</v>
      </c>
      <c r="F300" s="385">
        <f t="shared" si="103"/>
        <v>21.900615759095469</v>
      </c>
      <c r="G300" s="110">
        <f t="shared" si="126"/>
        <v>0.6918842423868431</v>
      </c>
      <c r="H300" s="414" t="b">
        <f>Wh_hp&gt;='2024'!Maxi_hp</f>
        <v>0</v>
      </c>
      <c r="I300" s="390">
        <f>IF(H300,Wh_hp,'2024'!Maxi_hp)</f>
        <v>31.501015093356781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8.0480395199162752E-2</v>
      </c>
      <c r="M300" s="843"/>
      <c r="N300" s="843"/>
      <c r="O300" s="48">
        <f>IF(t&lt;Tnet,'2024'!Resal+('2024'!Salim-'2024'!Resal)*(1-EXP(('2024'!Tnet-t)/('2024'!Tau_j))),Resal+(Salim-Resal)*(1-EXP((Tnet-t)/(Tau_j))))*Salcycl</f>
        <v>5.3283948812981069E-2</v>
      </c>
      <c r="P300" s="169">
        <f>(INDEX(Models!$BJ300:$BT300,,T300)*(1-R300)+INDEX(Models!$BJ300:$BT300,,T300+1)*R300-ERP_i)*Q300*Ramure*Pc/MaxiM</f>
        <v>4.3399286771848018E-2</v>
      </c>
      <c r="Q300" s="305">
        <f t="shared" si="105"/>
        <v>0.8</v>
      </c>
      <c r="R300" s="177">
        <f t="shared" si="106"/>
        <v>0.3960370785097691</v>
      </c>
      <c r="S300" s="809">
        <f t="shared" si="107"/>
        <v>2</v>
      </c>
      <c r="T300" s="176">
        <f t="shared" si="108"/>
        <v>8</v>
      </c>
      <c r="U300" s="251">
        <f t="shared" si="109"/>
        <v>2.3960370785097691</v>
      </c>
      <c r="V300" s="383">
        <f t="shared" si="110"/>
        <v>26.359327130625594</v>
      </c>
      <c r="W300" s="402">
        <f t="shared" si="111"/>
        <v>18.586168902742433</v>
      </c>
      <c r="X300" s="157">
        <f t="shared" si="112"/>
        <v>45943</v>
      </c>
      <c r="Y300" s="385">
        <f t="shared" si="113"/>
        <v>16.681302503847519</v>
      </c>
      <c r="Z300" s="385">
        <f t="shared" si="114"/>
        <v>18.141323378809954</v>
      </c>
      <c r="AA300" s="386">
        <f t="shared" si="115"/>
        <v>21.053867379934186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0.13833771955360999</v>
      </c>
      <c r="AD300" s="231">
        <f>(INDEX(Models!$BJ300:$BT300,,AH300)*(1-AF300)+INDEX(Models!$BJ300:$BT300,,AH300+1)*AF300-ERP_i)*AE300*Ramure*Pc/MaxiM</f>
        <v>6.680752953488299E-2</v>
      </c>
      <c r="AE300" s="305">
        <f t="shared" si="117"/>
        <v>0.8</v>
      </c>
      <c r="AF300" s="177">
        <f t="shared" si="118"/>
        <v>0.59675382567467272</v>
      </c>
      <c r="AG300" s="809">
        <f t="shared" si="124"/>
        <v>3</v>
      </c>
      <c r="AH300" s="176">
        <f t="shared" si="119"/>
        <v>9</v>
      </c>
      <c r="AI300" s="225">
        <f t="shared" si="120"/>
        <v>3.5967538256746727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IF(t&gt;Tmaj,'2024'!Wh/'2024'!Env_an*'2025'!Env_an,0.001*'[12]mon-tableau (1)'!$B$153)</f>
        <v>17.561318529410038</v>
      </c>
      <c r="C301" s="839"/>
      <c r="D301" s="393">
        <f t="shared" si="102"/>
        <v>19.098816934381173</v>
      </c>
      <c r="E301" s="385">
        <f t="shared" si="125"/>
        <v>20.17707936206433</v>
      </c>
      <c r="F301" s="385">
        <f t="shared" si="103"/>
        <v>20.648297598425724</v>
      </c>
      <c r="G301" s="110">
        <f t="shared" si="126"/>
        <v>0.66035045567056605</v>
      </c>
      <c r="H301" s="414" t="b">
        <f>Wh_hp&gt;='2024'!Maxi_hp</f>
        <v>0</v>
      </c>
      <c r="I301" s="390">
        <f>IF(H301,Wh_hp,'2024'!Maxi_hp)</f>
        <v>32.224976238135895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8.0502285050095074E-2</v>
      </c>
      <c r="M301" s="843"/>
      <c r="N301" s="843"/>
      <c r="O301" s="48">
        <f>IF(t&lt;Tnet,'2024'!Resal+('2024'!Salim-'2024'!Resal)*(1-EXP(('2024'!Tnet-t)/('2024'!Tau_j))),Resal+(Salim-Resal)*(1-EXP((Tnet-t)/(Tau_j))))*Salcycl</f>
        <v>5.343996563300623E-2</v>
      </c>
      <c r="P301" s="169">
        <f>(INDEX(Models!$BJ301:$BT301,,T301)*(1-R301)+INDEX(Models!$BJ301:$BT301,,T301+1)*R301-ERP_i)*Q301*Ramure*Pc/MaxiM</f>
        <v>4.2705758963058574E-2</v>
      </c>
      <c r="Q301" s="305">
        <f t="shared" si="105"/>
        <v>0.8</v>
      </c>
      <c r="R301" s="177">
        <f t="shared" si="106"/>
        <v>0.3961776357587059</v>
      </c>
      <c r="S301" s="809">
        <f t="shared" si="107"/>
        <v>2</v>
      </c>
      <c r="T301" s="176">
        <f t="shared" si="108"/>
        <v>8</v>
      </c>
      <c r="U301" s="251">
        <f t="shared" si="109"/>
        <v>2.3961776357587059</v>
      </c>
      <c r="V301" s="383">
        <f t="shared" si="110"/>
        <v>26.052777676765849</v>
      </c>
      <c r="W301" s="402">
        <f t="shared" si="111"/>
        <v>17.561318529410038</v>
      </c>
      <c r="X301" s="157">
        <f t="shared" si="112"/>
        <v>45944</v>
      </c>
      <c r="Y301" s="385">
        <f t="shared" si="113"/>
        <v>15.779558679756857</v>
      </c>
      <c r="Z301" s="385">
        <f t="shared" si="114"/>
        <v>17.161063505869116</v>
      </c>
      <c r="AA301" s="386">
        <f t="shared" si="115"/>
        <v>19.916021530858742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0.13832873301130824</v>
      </c>
      <c r="AD301" s="231">
        <f>(INDEX(Models!$BJ301:$BT301,,AH301)*(1-AF301)+INDEX(Models!$BJ301:$BT301,,AH301+1)*AF301-ERP_i)*AE301*Ramure*Pc/MaxiM</f>
        <v>6.636501481226191E-2</v>
      </c>
      <c r="AE301" s="305">
        <f t="shared" si="117"/>
        <v>0.8</v>
      </c>
      <c r="AF301" s="177">
        <f t="shared" si="118"/>
        <v>0.59689438292360952</v>
      </c>
      <c r="AG301" s="809">
        <f t="shared" si="124"/>
        <v>3</v>
      </c>
      <c r="AH301" s="176">
        <f t="shared" si="119"/>
        <v>9</v>
      </c>
      <c r="AI301" s="225">
        <f t="shared" si="120"/>
        <v>3.5968943829236095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IF(t&gt;Tmaj,'2024'!Wh/'2024'!Env_an*'2025'!Env_an,0.001*'[12]mon-tableau (1)'!$B$154)</f>
        <v>25.380617724711605</v>
      </c>
      <c r="C302" s="839"/>
      <c r="D302" s="393">
        <f t="shared" si="102"/>
        <v>27.603355104978682</v>
      </c>
      <c r="E302" s="385">
        <f t="shared" si="125"/>
        <v>29.166529709492835</v>
      </c>
      <c r="F302" s="385">
        <f t="shared" si="103"/>
        <v>30.419189793699843</v>
      </c>
      <c r="G302" s="110">
        <f t="shared" si="126"/>
        <v>0.98487327085578724</v>
      </c>
      <c r="H302" s="414" t="b">
        <f>Wh_hp&gt;='2024'!Maxi_hp</f>
        <v>0</v>
      </c>
      <c r="I302" s="390">
        <f>IF(H302,Wh_hp,'2024'!Maxi_hp)</f>
        <v>30.440535467920558</v>
      </c>
      <c r="J302" s="85">
        <f>IF(H302,An,'2024'!An_max)</f>
        <v>2022</v>
      </c>
      <c r="K302" s="197">
        <f t="shared" si="104"/>
        <v>45945</v>
      </c>
      <c r="L302" s="147">
        <f>IF(t&lt;Tvie,1-EXP((T0-t)*PertePVj)+'2024'!Pspv,1-EXP((T0-t)*PertePVj)+Pspv)</f>
        <v>8.0524174391618547E-2</v>
      </c>
      <c r="M302" s="843"/>
      <c r="N302" s="843"/>
      <c r="O302" s="48">
        <f>IF(t&lt;Tnet,'2024'!Resal+('2024'!Salim-'2024'!Resal)*(1-EXP(('2024'!Tnet-t)/('2024'!Tau_j))),Resal+(Salim-Resal)*(1-EXP((Tnet-t)/(Tau_j))))*Salcycl</f>
        <v>5.3594809532838766E-2</v>
      </c>
      <c r="P302" s="169">
        <f>(INDEX(Models!$BJ302:$BT302,,T302)*(1-R302)+INDEX(Models!$BJ302:$BT302,,T302+1)*R302-ERP_i)*Q302*Ramure*Pc/MaxiM</f>
        <v>4.2035480176266377E-2</v>
      </c>
      <c r="Q302" s="305">
        <f t="shared" si="105"/>
        <v>0.8</v>
      </c>
      <c r="R302" s="177">
        <f t="shared" si="106"/>
        <v>0.39631259596594504</v>
      </c>
      <c r="S302" s="809">
        <f t="shared" si="107"/>
        <v>2</v>
      </c>
      <c r="T302" s="176">
        <f t="shared" si="108"/>
        <v>8</v>
      </c>
      <c r="U302" s="251">
        <f t="shared" si="109"/>
        <v>2.396312595965945</v>
      </c>
      <c r="V302" s="383">
        <f t="shared" si="110"/>
        <v>25.747445343742054</v>
      </c>
      <c r="W302" s="402">
        <f t="shared" si="111"/>
        <v>25.380617724711605</v>
      </c>
      <c r="X302" s="157">
        <f t="shared" si="112"/>
        <v>45945</v>
      </c>
      <c r="Y302" s="385">
        <f t="shared" si="113"/>
        <v>22.542529803287749</v>
      </c>
      <c r="Z302" s="385">
        <f t="shared" si="114"/>
        <v>24.516718303466252</v>
      </c>
      <c r="AA302" s="386">
        <f t="shared" si="115"/>
        <v>28.452156351308691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0.13831774292430465</v>
      </c>
      <c r="AD302" s="231">
        <f>(INDEX(Models!$BJ302:$BT302,,AH302)*(1-AF302)+INDEX(Models!$BJ302:$BT302,,AH302+1)*AF302-ERP_i)*AE302*Ramure*Pc/MaxiM</f>
        <v>6.6007687413485339E-2</v>
      </c>
      <c r="AE302" s="305">
        <f t="shared" si="117"/>
        <v>0.8</v>
      </c>
      <c r="AF302" s="177">
        <f t="shared" si="118"/>
        <v>0.5970293431308491</v>
      </c>
      <c r="AG302" s="809">
        <f t="shared" si="124"/>
        <v>3</v>
      </c>
      <c r="AH302" s="176">
        <f t="shared" si="119"/>
        <v>9</v>
      </c>
      <c r="AI302" s="225">
        <f t="shared" si="120"/>
        <v>3.5970293431308491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IF(t&gt;Tmaj,'2024'!Wh/'2024'!Env_an*'2025'!Env_an,0.001*'[12]mon-tableau (1)'!$B$155)</f>
        <v>23.905502862031856</v>
      </c>
      <c r="C303" s="839"/>
      <c r="D303" s="393">
        <f t="shared" si="102"/>
        <v>25.999674269543263</v>
      </c>
      <c r="E303" s="385">
        <f t="shared" si="125"/>
        <v>27.476494391483129</v>
      </c>
      <c r="F303" s="385">
        <f t="shared" si="103"/>
        <v>28.556417619488549</v>
      </c>
      <c r="G303" s="110">
        <f t="shared" si="126"/>
        <v>0.93608525392347075</v>
      </c>
      <c r="H303" s="414" t="b">
        <f>Wh_hp&gt;='2024'!Maxi_hp</f>
        <v>0</v>
      </c>
      <c r="I303" s="390">
        <f>IF(H303,Wh_hp,'2024'!Maxi_hp)</f>
        <v>30.080595648759999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8.0546063223745051E-2</v>
      </c>
      <c r="M303" s="843"/>
      <c r="N303" s="843"/>
      <c r="O303" s="48">
        <f>IF(t&lt;Tnet,'2024'!Resal+('2024'!Salim-'2024'!Resal)*(1-EXP(('2024'!Tnet-t)/('2024'!Tau_j))),Resal+(Salim-Resal)*(1-EXP((Tnet-t)/(Tau_j))))*Salcycl</f>
        <v>5.3748491379512868E-2</v>
      </c>
      <c r="P303" s="169">
        <f>(INDEX(Models!$BJ303:$BT303,,T303)*(1-R303)+INDEX(Models!$BJ303:$BT303,,T303+1)*R303-ERP_i)*Q303*Ramure*Pc/MaxiM</f>
        <v>4.139007966849647E-2</v>
      </c>
      <c r="Q303" s="305">
        <f t="shared" si="105"/>
        <v>0.8</v>
      </c>
      <c r="R303" s="177">
        <f t="shared" si="106"/>
        <v>0.3964421796155051</v>
      </c>
      <c r="S303" s="809">
        <f t="shared" si="107"/>
        <v>2</v>
      </c>
      <c r="T303" s="176">
        <f t="shared" si="108"/>
        <v>8</v>
      </c>
      <c r="U303" s="251">
        <f t="shared" si="109"/>
        <v>2.3964421796155051</v>
      </c>
      <c r="V303" s="383">
        <f t="shared" si="110"/>
        <v>25.442911149872913</v>
      </c>
      <c r="W303" s="402">
        <f t="shared" si="111"/>
        <v>23.905502862031856</v>
      </c>
      <c r="X303" s="157">
        <f t="shared" si="112"/>
        <v>45946</v>
      </c>
      <c r="Y303" s="385">
        <f t="shared" si="113"/>
        <v>21.265989840129283</v>
      </c>
      <c r="Z303" s="385">
        <f t="shared" si="114"/>
        <v>23.128934457218239</v>
      </c>
      <c r="AA303" s="386">
        <f t="shared" si="115"/>
        <v>26.841201200816748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0.13830479179469615</v>
      </c>
      <c r="AD303" s="231">
        <f>(INDEX(Models!$BJ303:$BT303,,AH303)*(1-AF303)+INDEX(Models!$BJ303:$BT303,,AH303+1)*AF303-ERP_i)*AE303*Ramure*Pc/MaxiM</f>
        <v>6.5738880669008945E-2</v>
      </c>
      <c r="AE303" s="305">
        <f t="shared" si="117"/>
        <v>0.8</v>
      </c>
      <c r="AF303" s="177">
        <f t="shared" si="118"/>
        <v>0.59715892678040827</v>
      </c>
      <c r="AG303" s="809">
        <f t="shared" si="124"/>
        <v>3</v>
      </c>
      <c r="AH303" s="176">
        <f t="shared" si="119"/>
        <v>9</v>
      </c>
      <c r="AI303" s="225">
        <f t="shared" si="120"/>
        <v>3.5971589267804083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IF(t&gt;Tmaj,'2024'!Wh/'2024'!Env_an*'2025'!Env_an,0.001*'[12]mon-tableau (1)'!$B$156)</f>
        <v>15.914086390340636</v>
      </c>
      <c r="C304" s="839"/>
      <c r="D304" s="393">
        <f t="shared" si="102"/>
        <v>17.308605260288846</v>
      </c>
      <c r="E304" s="385">
        <f t="shared" si="125"/>
        <v>18.294708819060123</v>
      </c>
      <c r="F304" s="385">
        <f t="shared" si="103"/>
        <v>18.656910033615965</v>
      </c>
      <c r="G304" s="110">
        <f t="shared" si="126"/>
        <v>0.61925882610568883</v>
      </c>
      <c r="H304" s="414" t="b">
        <f>Wh_hp&gt;='2024'!Maxi_hp</f>
        <v>0</v>
      </c>
      <c r="I304" s="390">
        <f>IF(H304,Wh_hp,'2024'!Maxi_hp)</f>
        <v>27.817595190845999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8.0567951546486466E-2</v>
      </c>
      <c r="M304" s="843"/>
      <c r="N304" s="843"/>
      <c r="O304" s="48">
        <f>IF(t&lt;Tnet,'2024'!Resal+('2024'!Salim-'2024'!Resal)*(1-EXP(('2024'!Tnet-t)/('2024'!Tau_j))),Resal+(Salim-Resal)*(1-EXP((Tnet-t)/(Tau_j))))*Salcycl</f>
        <v>5.390102507364946E-2</v>
      </c>
      <c r="P304" s="169">
        <f>(INDEX(Models!$BJ304:$BT304,,T304)*(1-R304)+INDEX(Models!$BJ304:$BT304,,T304+1)*R304-ERP_i)*Q304*Ramure*Pc/MaxiM</f>
        <v>4.0801571859642581E-2</v>
      </c>
      <c r="Q304" s="305">
        <f t="shared" si="105"/>
        <v>0.8</v>
      </c>
      <c r="R304" s="177">
        <f t="shared" si="106"/>
        <v>0.39656659869379851</v>
      </c>
      <c r="S304" s="809">
        <f t="shared" si="107"/>
        <v>2</v>
      </c>
      <c r="T304" s="176">
        <f t="shared" si="108"/>
        <v>8</v>
      </c>
      <c r="U304" s="251">
        <f t="shared" si="109"/>
        <v>2.3965665986937985</v>
      </c>
      <c r="V304" s="383">
        <f t="shared" si="110"/>
        <v>25.138084414198698</v>
      </c>
      <c r="W304" s="402">
        <f t="shared" si="111"/>
        <v>15.914086390340636</v>
      </c>
      <c r="X304" s="157">
        <f t="shared" si="112"/>
        <v>45947</v>
      </c>
      <c r="Y304" s="385">
        <f t="shared" si="113"/>
        <v>14.32032094368776</v>
      </c>
      <c r="Z304" s="385">
        <f t="shared" si="114"/>
        <v>15.575181404405651</v>
      </c>
      <c r="AA304" s="386">
        <f t="shared" si="115"/>
        <v>18.074735267329654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0.13828992933810672</v>
      </c>
      <c r="AD304" s="231">
        <f>(INDEX(Models!$BJ304:$BT304,,AH304)*(1-AF304)+INDEX(Models!$BJ304:$BT304,,AH304+1)*AF304-ERP_i)*AE304*Ramure*Pc/MaxiM</f>
        <v>6.5581352593281059E-2</v>
      </c>
      <c r="AE304" s="305">
        <f t="shared" si="117"/>
        <v>0.8</v>
      </c>
      <c r="AF304" s="177">
        <f t="shared" si="118"/>
        <v>0.59728334585870213</v>
      </c>
      <c r="AG304" s="809">
        <f t="shared" si="124"/>
        <v>3</v>
      </c>
      <c r="AH304" s="176">
        <f t="shared" si="119"/>
        <v>9</v>
      </c>
      <c r="AI304" s="225">
        <f t="shared" si="120"/>
        <v>3.5972833458587021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IF(t&gt;Tmaj,'2024'!Wh/'2024'!Env_an*'2025'!Env_an,0.001*'[12]mon-tableau (1)'!$B$157)</f>
        <v>23.656532618600224</v>
      </c>
      <c r="C305" s="839"/>
      <c r="D305" s="393">
        <f t="shared" si="102"/>
        <v>25.730118755843645</v>
      </c>
      <c r="E305" s="385">
        <f t="shared" si="125"/>
        <v>27.200364488188793</v>
      </c>
      <c r="F305" s="385">
        <f t="shared" si="103"/>
        <v>28.26105015833285</v>
      </c>
      <c r="G305" s="110">
        <f t="shared" si="126"/>
        <v>0.9499066387774312</v>
      </c>
      <c r="H305" s="414" t="b">
        <f>Wh_hp&gt;='2024'!Maxi_hp</f>
        <v>0</v>
      </c>
      <c r="I305" s="390">
        <f>IF(H305,Wh_hp,'2024'!Maxi_hp)</f>
        <v>30.068535736268366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8.058983935985467E-2</v>
      </c>
      <c r="M305" s="843"/>
      <c r="N305" s="843"/>
      <c r="O305" s="48">
        <f>IF(t&lt;Tnet,'2024'!Resal+('2024'!Salim-'2024'!Resal)*(1-EXP(('2024'!Tnet-t)/('2024'!Tau_j))),Resal+(Salim-Resal)*(1-EXP((Tnet-t)/(Tau_j))))*Salcycl</f>
        <v>5.4052427605651064E-2</v>
      </c>
      <c r="P305" s="169">
        <f>(INDEX(Models!$BJ305:$BT305,,T305)*(1-R305)+INDEX(Models!$BJ305:$BT305,,T305+1)*R305-ERP_i)*Q305*Ramure*Pc/MaxiM</f>
        <v>4.0257463949529101E-2</v>
      </c>
      <c r="Q305" s="305">
        <f t="shared" si="105"/>
        <v>0.8</v>
      </c>
      <c r="R305" s="177">
        <f t="shared" si="106"/>
        <v>0.39668605700232717</v>
      </c>
      <c r="S305" s="809">
        <f t="shared" si="107"/>
        <v>2</v>
      </c>
      <c r="T305" s="176">
        <f t="shared" si="108"/>
        <v>8</v>
      </c>
      <c r="U305" s="251">
        <f t="shared" si="109"/>
        <v>2.3966860570023272</v>
      </c>
      <c r="V305" s="383">
        <f t="shared" si="110"/>
        <v>24.833531416384957</v>
      </c>
      <c r="W305" s="402">
        <f t="shared" si="111"/>
        <v>23.656532618600224</v>
      </c>
      <c r="X305" s="157">
        <f t="shared" si="112"/>
        <v>45948</v>
      </c>
      <c r="Y305" s="385">
        <f t="shared" si="113"/>
        <v>21.023821695581265</v>
      </c>
      <c r="Z305" s="385">
        <f t="shared" si="114"/>
        <v>22.866640587203531</v>
      </c>
      <c r="AA305" s="386">
        <f t="shared" si="115"/>
        <v>26.535835858388516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0.13827321252535862</v>
      </c>
      <c r="AD305" s="231">
        <f>(INDEX(Models!$BJ305:$BT305,,AH305)*(1-AF305)+INDEX(Models!$BJ305:$BT305,,AH305+1)*AF305-ERP_i)*AE305*Ramure*Pc/MaxiM</f>
        <v>6.54791088822652E-2</v>
      </c>
      <c r="AE305" s="305">
        <f t="shared" si="117"/>
        <v>0.8</v>
      </c>
      <c r="AF305" s="177">
        <f t="shared" si="118"/>
        <v>0.59740280416723079</v>
      </c>
      <c r="AG305" s="809">
        <f t="shared" si="124"/>
        <v>3</v>
      </c>
      <c r="AH305" s="176">
        <f t="shared" si="119"/>
        <v>9</v>
      </c>
      <c r="AI305" s="225">
        <f t="shared" si="120"/>
        <v>3.5974028041672308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IF(t&gt;Tmaj,'2024'!Wh/'2024'!Env_an*'2025'!Env_an,0.001*'[12]mon-tableau (1)'!$B$158)</f>
        <v>12.457576009277128</v>
      </c>
      <c r="C306" s="839"/>
      <c r="D306" s="393">
        <f t="shared" si="102"/>
        <v>13.549853060527887</v>
      </c>
      <c r="E306" s="385">
        <f t="shared" si="125"/>
        <v>14.326381915114487</v>
      </c>
      <c r="F306" s="385">
        <f t="shared" si="103"/>
        <v>14.49754295900558</v>
      </c>
      <c r="G306" s="110">
        <f t="shared" si="126"/>
        <v>0.49349624126727826</v>
      </c>
      <c r="H306" s="414" t="b">
        <f>Wh_hp&gt;='2024'!Maxi_hp</f>
        <v>0</v>
      </c>
      <c r="I306" s="390">
        <f>IF(H306,Wh_hp,'2024'!Maxi_hp)</f>
        <v>28.870083274747984</v>
      </c>
      <c r="J306" s="85">
        <f>IF(H306,An,'2024'!An_max)</f>
        <v>2021</v>
      </c>
      <c r="K306" s="197">
        <f t="shared" si="104"/>
        <v>45949</v>
      </c>
      <c r="L306" s="147">
        <f>IF(t&lt;Tvie,1-EXP((T0-t)*PertePVj)+'2024'!Pspv,1-EXP((T0-t)*PertePVj)+Pspv)</f>
        <v>8.0611726663861433E-2</v>
      </c>
      <c r="M306" s="843"/>
      <c r="N306" s="843"/>
      <c r="O306" s="48">
        <f>IF(t&lt;Tnet,'2024'!Resal+('2024'!Salim-'2024'!Resal)*(1-EXP(('2024'!Tnet-t)/('2024'!Tau_j))),Resal+(Salim-Resal)*(1-EXP((Tnet-t)/(Tau_j))))*Salcycl</f>
        <v>5.4202719094578473E-2</v>
      </c>
      <c r="P306" s="169">
        <f>(INDEX(Models!$BJ306:$BT306,,T306)*(1-R306)+INDEX(Models!$BJ306:$BT306,,T306+1)*R306-ERP_i)*Q306*Ramure*Pc/MaxiM</f>
        <v>3.9758833290979859E-2</v>
      </c>
      <c r="Q306" s="305">
        <f t="shared" si="105"/>
        <v>0.8</v>
      </c>
      <c r="R306" s="177">
        <f t="shared" si="106"/>
        <v>0.39680075046004326</v>
      </c>
      <c r="S306" s="809">
        <f t="shared" si="107"/>
        <v>2</v>
      </c>
      <c r="T306" s="176">
        <f t="shared" si="108"/>
        <v>8</v>
      </c>
      <c r="U306" s="251">
        <f t="shared" si="109"/>
        <v>2.3968007504600433</v>
      </c>
      <c r="V306" s="383">
        <f t="shared" si="110"/>
        <v>24.529454887871715</v>
      </c>
      <c r="W306" s="402">
        <f t="shared" si="111"/>
        <v>12.457576009277128</v>
      </c>
      <c r="X306" s="157">
        <f t="shared" si="112"/>
        <v>45949</v>
      </c>
      <c r="Y306" s="385">
        <f t="shared" si="113"/>
        <v>11.262915943005696</v>
      </c>
      <c r="Z306" s="385">
        <f t="shared" si="114"/>
        <v>12.250445507790209</v>
      </c>
      <c r="AA306" s="386">
        <f t="shared" si="115"/>
        <v>14.215854251963037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0.13825470557996386</v>
      </c>
      <c r="AD306" s="231">
        <f>(INDEX(Models!$BJ306:$BT306,,AH306)*(1-AF306)+INDEX(Models!$BJ306:$BT306,,AH306+1)*AF306-ERP_i)*AE306*Ramure*Pc/MaxiM</f>
        <v>6.5433197231388004E-2</v>
      </c>
      <c r="AE306" s="305">
        <f t="shared" si="117"/>
        <v>0.8</v>
      </c>
      <c r="AF306" s="177">
        <f t="shared" si="118"/>
        <v>0.59751749762494688</v>
      </c>
      <c r="AG306" s="809">
        <f t="shared" si="124"/>
        <v>3</v>
      </c>
      <c r="AH306" s="176">
        <f t="shared" si="119"/>
        <v>9</v>
      </c>
      <c r="AI306" s="225">
        <f t="shared" si="120"/>
        <v>3.5975174976249469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IF(t&gt;Tmaj,'2024'!Wh/'2024'!Env_an*'2025'!Env_an,0.001*'[12]mon-tableau (1)'!$B$159)</f>
        <v>5.5427305398953814</v>
      </c>
      <c r="C307" s="839"/>
      <c r="D307" s="393">
        <f t="shared" si="102"/>
        <v>6.0288592459272996</v>
      </c>
      <c r="E307" s="385">
        <f t="shared" si="125"/>
        <v>6.3753730286587267</v>
      </c>
      <c r="F307" s="385">
        <f t="shared" si="103"/>
        <v>6.3753730286587267</v>
      </c>
      <c r="G307" s="110">
        <f t="shared" si="126"/>
        <v>0.21979901293221599</v>
      </c>
      <c r="H307" s="414" t="b">
        <f>Wh_hp&gt;='2024'!Maxi_hp</f>
        <v>0</v>
      </c>
      <c r="I307" s="390">
        <f>IF(H307,Wh_hp,'2024'!Maxi_hp)</f>
        <v>24.548923439144371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8.0633613458518744E-2</v>
      </c>
      <c r="M307" s="843"/>
      <c r="N307" s="843"/>
      <c r="O307" s="48">
        <f>IF(t&lt;Tnet,'2024'!Resal+('2024'!Salim-'2024'!Resal)*(1-EXP(('2024'!Tnet-t)/('2024'!Tau_j))),Resal+(Salim-Resal)*(1-EXP((Tnet-t)/(Tau_j))))*Salcycl</f>
        <v>5.4351922808872549E-2</v>
      </c>
      <c r="P307" s="169">
        <f>(INDEX(Models!$BJ307:$BT307,,T307)*(1-R307)+INDEX(Models!$BJ307:$BT307,,T307+1)*R307-ERP_i)*Q307*Ramure*Pc/MaxiM</f>
        <v>3.930677104225163E-2</v>
      </c>
      <c r="Q307" s="305">
        <f t="shared" si="105"/>
        <v>0.8</v>
      </c>
      <c r="R307" s="177">
        <f t="shared" si="106"/>
        <v>0.39691086739563541</v>
      </c>
      <c r="S307" s="809">
        <f t="shared" si="107"/>
        <v>2</v>
      </c>
      <c r="T307" s="176">
        <f t="shared" si="108"/>
        <v>8</v>
      </c>
      <c r="U307" s="251">
        <f t="shared" si="109"/>
        <v>2.3969108673956354</v>
      </c>
      <c r="V307" s="383">
        <f t="shared" si="110"/>
        <v>24.226058291066835</v>
      </c>
      <c r="W307" s="402">
        <f t="shared" si="111"/>
        <v>5.5427305398953814</v>
      </c>
      <c r="X307" s="157">
        <f t="shared" si="112"/>
        <v>45950</v>
      </c>
      <c r="Y307" s="385">
        <f t="shared" si="113"/>
        <v>5.051069400476659</v>
      </c>
      <c r="Z307" s="385">
        <f t="shared" si="114"/>
        <v>5.4940766536810486</v>
      </c>
      <c r="AA307" s="386">
        <f t="shared" si="115"/>
        <v>6.3753730286587267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0.1382344799302023</v>
      </c>
      <c r="AD307" s="231">
        <f>(INDEX(Models!$BJ307:$BT307,,AH307)*(1-AF307)+INDEX(Models!$BJ307:$BT307,,AH307+1)*AF307-ERP_i)*AE307*Ramure*Pc/MaxiM</f>
        <v>6.5444674072938649E-2</v>
      </c>
      <c r="AE307" s="305">
        <f t="shared" si="117"/>
        <v>0.8</v>
      </c>
      <c r="AF307" s="177">
        <f t="shared" si="118"/>
        <v>0.59762761456053903</v>
      </c>
      <c r="AG307" s="809">
        <f t="shared" si="124"/>
        <v>3</v>
      </c>
      <c r="AH307" s="176">
        <f t="shared" si="119"/>
        <v>9</v>
      </c>
      <c r="AI307" s="225">
        <f t="shared" si="120"/>
        <v>3.597627614560539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IF(t&gt;Tmaj,'2024'!Wh/'2024'!Env_an*'2025'!Env_an,0.001*'[12]mon-tableau (1)'!$B$160)</f>
        <v>12.959890646417497</v>
      </c>
      <c r="C308" s="839"/>
      <c r="D308" s="393">
        <f t="shared" si="102"/>
        <v>14.096881683423803</v>
      </c>
      <c r="E308" s="385">
        <f t="shared" si="125"/>
        <v>14.909447546320372</v>
      </c>
      <c r="F308" s="385">
        <f t="shared" si="103"/>
        <v>15.112462485305951</v>
      </c>
      <c r="G308" s="110">
        <f t="shared" si="126"/>
        <v>0.52773630847076913</v>
      </c>
      <c r="H308" s="414" t="b">
        <f>Wh_hp&gt;='2024'!Maxi_hp</f>
        <v>0</v>
      </c>
      <c r="I308" s="390">
        <f>IF(H308,Wh_hp,'2024'!Maxi_hp)</f>
        <v>22.767117495614556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8.065549974383826E-2</v>
      </c>
      <c r="M308" s="843"/>
      <c r="N308" s="843"/>
      <c r="O308" s="48">
        <f>IF(t&lt;Tnet,'2024'!Resal+('2024'!Salim-'2024'!Resal)*(1-EXP(('2024'!Tnet-t)/('2024'!Tau_j))),Resal+(Salim-Resal)*(1-EXP((Tnet-t)/(Tau_j))))*Salcycl</f>
        <v>5.4500065168216656E-2</v>
      </c>
      <c r="P308" s="169">
        <f>(INDEX(Models!$BJ308:$BT308,,T308)*(1-R308)+INDEX(Models!$BJ308:$BT308,,T308+1)*R308-ERP_i)*Q308*Ramure*Pc/MaxiM</f>
        <v>3.8902378726658783E-2</v>
      </c>
      <c r="Q308" s="305">
        <f t="shared" si="105"/>
        <v>0.8</v>
      </c>
      <c r="R308" s="177">
        <f t="shared" si="106"/>
        <v>0.39701658882997792</v>
      </c>
      <c r="S308" s="809">
        <f t="shared" si="107"/>
        <v>2</v>
      </c>
      <c r="T308" s="176">
        <f t="shared" si="108"/>
        <v>8</v>
      </c>
      <c r="U308" s="251">
        <f t="shared" si="109"/>
        <v>2.3970165888299779</v>
      </c>
      <c r="V308" s="383">
        <f t="shared" si="110"/>
        <v>23.92354582191939</v>
      </c>
      <c r="W308" s="402">
        <f t="shared" si="111"/>
        <v>12.959890646417497</v>
      </c>
      <c r="X308" s="157">
        <f t="shared" si="112"/>
        <v>45951</v>
      </c>
      <c r="Y308" s="385">
        <f t="shared" si="113"/>
        <v>11.70241948124993</v>
      </c>
      <c r="Z308" s="385">
        <f t="shared" si="114"/>
        <v>12.729090648814697</v>
      </c>
      <c r="AA308" s="386">
        <f t="shared" si="115"/>
        <v>14.77056969886071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0.13821261411490962</v>
      </c>
      <c r="AD308" s="231">
        <f>(INDEX(Models!$BJ308:$BT308,,AH308)*(1-AF308)+INDEX(Models!$BJ308:$BT308,,AH308+1)*AF308-ERP_i)*AE308*Ramure*Pc/MaxiM</f>
        <v>6.5514600692268651E-2</v>
      </c>
      <c r="AE308" s="305">
        <f t="shared" si="117"/>
        <v>0.8</v>
      </c>
      <c r="AF308" s="177">
        <f t="shared" si="118"/>
        <v>0.59773333599488154</v>
      </c>
      <c r="AG308" s="809">
        <f t="shared" si="124"/>
        <v>3</v>
      </c>
      <c r="AH308" s="176">
        <f t="shared" si="119"/>
        <v>9</v>
      </c>
      <c r="AI308" s="225">
        <f t="shared" si="120"/>
        <v>3.5977333359948815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IF(t&gt;Tmaj,'2024'!Wh/'2024'!Env_an*'2025'!Env_an,0.001*'[12]mon-tableau (1)'!$B$161)</f>
        <v>22.594380973736083</v>
      </c>
      <c r="C309" s="839"/>
      <c r="D309" s="393">
        <f t="shared" si="102"/>
        <v>24.577205670625325</v>
      </c>
      <c r="E309" s="385">
        <f t="shared" si="125"/>
        <v>25.997918490907594</v>
      </c>
      <c r="F309" s="385">
        <f t="shared" si="103"/>
        <v>26.973018493049004</v>
      </c>
      <c r="G309" s="110">
        <f t="shared" si="126"/>
        <v>0.95411488040489656</v>
      </c>
      <c r="H309" s="414" t="b">
        <f>Wh_hp&gt;='2024'!Maxi_hp</f>
        <v>0</v>
      </c>
      <c r="I309" s="390">
        <f>IF(H309,Wh_hp,'2024'!Maxi_hp)</f>
        <v>27.02636286510641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8.0677385519832084E-2</v>
      </c>
      <c r="M309" s="843"/>
      <c r="N309" s="843"/>
      <c r="O309" s="48">
        <f>IF(t&lt;Tnet,'2024'!Resal+('2024'!Salim-'2024'!Resal)*(1-EXP(('2024'!Tnet-t)/('2024'!Tau_j))),Resal+(Salim-Resal)*(1-EXP((Tnet-t)/(Tau_j))))*Salcycl</f>
        <v>5.4647175725977576E-2</v>
      </c>
      <c r="P309" s="169">
        <f>(INDEX(Models!$BJ309:$BT309,,T309)*(1-R309)+INDEX(Models!$BJ309:$BT309,,T309+1)*R309-ERP_i)*Q309*Ramure*Pc/MaxiM</f>
        <v>3.8546764696790109E-2</v>
      </c>
      <c r="Q309" s="305">
        <f t="shared" si="105"/>
        <v>0.8</v>
      </c>
      <c r="R309" s="177">
        <f t="shared" si="106"/>
        <v>0.3971180887489929</v>
      </c>
      <c r="S309" s="809">
        <f t="shared" si="107"/>
        <v>2</v>
      </c>
      <c r="T309" s="176">
        <f t="shared" si="108"/>
        <v>8</v>
      </c>
      <c r="U309" s="251">
        <f t="shared" si="109"/>
        <v>2.3971180887489929</v>
      </c>
      <c r="V309" s="383">
        <f t="shared" si="110"/>
        <v>23.622122407382651</v>
      </c>
      <c r="W309" s="402">
        <f t="shared" si="111"/>
        <v>22.594380973736083</v>
      </c>
      <c r="X309" s="157">
        <f t="shared" si="112"/>
        <v>45952</v>
      </c>
      <c r="Y309" s="385">
        <f t="shared" si="113"/>
        <v>20.054603480764371</v>
      </c>
      <c r="Z309" s="385">
        <f t="shared" si="114"/>
        <v>21.814543844441673</v>
      </c>
      <c r="AA309" s="386">
        <f t="shared" si="115"/>
        <v>25.312451043218463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0.13818919364246726</v>
      </c>
      <c r="AD309" s="231">
        <f>(INDEX(Models!$BJ309:$BT309,,AH309)*(1-AF309)+INDEX(Models!$BJ309:$BT309,,AH309+1)*AF309-ERP_i)*AE309*Ramure*Pc/MaxiM</f>
        <v>6.5644039186951025E-2</v>
      </c>
      <c r="AE309" s="305">
        <f t="shared" si="117"/>
        <v>0.8</v>
      </c>
      <c r="AF309" s="177">
        <f t="shared" si="118"/>
        <v>0.59783483591389652</v>
      </c>
      <c r="AG309" s="809">
        <f t="shared" si="124"/>
        <v>3</v>
      </c>
      <c r="AH309" s="176">
        <f t="shared" si="119"/>
        <v>9</v>
      </c>
      <c r="AI309" s="225">
        <f t="shared" si="120"/>
        <v>3.5978348359138965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IF(t&gt;Tmaj,'2024'!Wh/'2024'!Env_an*'2025'!Env_an,0.001*'[12]mon-tableau (1)'!$B$162)</f>
        <v>14.01837378613676</v>
      </c>
      <c r="C310" s="839"/>
      <c r="D310" s="393">
        <f t="shared" si="102"/>
        <v>15.248953188724478</v>
      </c>
      <c r="E310" s="385">
        <f t="shared" si="125"/>
        <v>16.132929422868987</v>
      </c>
      <c r="F310" s="385">
        <f t="shared" si="103"/>
        <v>16.402915634767538</v>
      </c>
      <c r="G310" s="110">
        <f t="shared" si="126"/>
        <v>0.58776811162030307</v>
      </c>
      <c r="H310" s="414" t="b">
        <f>Wh_hp&gt;='2024'!Maxi_hp</f>
        <v>0</v>
      </c>
      <c r="I310" s="390">
        <f>IF(H310,Wh_hp,'2024'!Maxi_hp)</f>
        <v>29.192406870940115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8.0699270786511762E-2</v>
      </c>
      <c r="M310" s="843"/>
      <c r="N310" s="843"/>
      <c r="O310" s="48">
        <f>IF(t&lt;Tnet,'2024'!Resal+('2024'!Salim-'2024'!Resal)*(1-EXP(('2024'!Tnet-t)/('2024'!Tau_j))),Resal+(Salim-Resal)*(1-EXP((Tnet-t)/(Tau_j))))*Salcycl</f>
        <v>5.4793287131811419E-2</v>
      </c>
      <c r="P310" s="169">
        <f>(INDEX(Models!$BJ310:$BT310,,T310)*(1-R310)+INDEX(Models!$BJ310:$BT310,,T310+1)*R310-ERP_i)*Q310*Ramure*Pc/MaxiM</f>
        <v>3.8266141066908739E-2</v>
      </c>
      <c r="Q310" s="305">
        <f t="shared" si="105"/>
        <v>0.8</v>
      </c>
      <c r="R310" s="177">
        <f t="shared" si="106"/>
        <v>0.39721553436717905</v>
      </c>
      <c r="S310" s="809">
        <f t="shared" si="107"/>
        <v>2</v>
      </c>
      <c r="T310" s="176">
        <f t="shared" si="108"/>
        <v>8</v>
      </c>
      <c r="U310" s="251">
        <f t="shared" si="109"/>
        <v>2.397215534367179</v>
      </c>
      <c r="V310" s="383">
        <f t="shared" si="110"/>
        <v>23.321385015617089</v>
      </c>
      <c r="W310" s="402">
        <f t="shared" si="111"/>
        <v>14.01837378613676</v>
      </c>
      <c r="X310" s="157">
        <f t="shared" si="112"/>
        <v>45953</v>
      </c>
      <c r="Y310" s="385">
        <f t="shared" si="113"/>
        <v>12.627754679236714</v>
      </c>
      <c r="Z310" s="385">
        <f t="shared" si="114"/>
        <v>13.73626091870986</v>
      </c>
      <c r="AA310" s="386">
        <f t="shared" si="115"/>
        <v>15.938375598608896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0.1381643108028674</v>
      </c>
      <c r="AD310" s="231">
        <f>(INDEX(Models!$BJ310:$BT310,,AH310)*(1-AF310)+INDEX(Models!$BJ310:$BT310,,AH310+1)*AF310-ERP_i)*AE310*Ramure*Pc/MaxiM</f>
        <v>6.5840971766191081E-2</v>
      </c>
      <c r="AE310" s="305">
        <f t="shared" si="117"/>
        <v>0.8</v>
      </c>
      <c r="AF310" s="177">
        <f t="shared" si="118"/>
        <v>0.59793228153208267</v>
      </c>
      <c r="AG310" s="809">
        <f t="shared" si="124"/>
        <v>3</v>
      </c>
      <c r="AH310" s="176">
        <f t="shared" si="119"/>
        <v>9</v>
      </c>
      <c r="AI310" s="225">
        <f t="shared" si="120"/>
        <v>3.5979322815320827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IF(t&gt;Tmaj,'2024'!Wh/'2024'!Env_an*'2025'!Env_an,0.001*'[12]mon-tableau (1)'!$B$163)</f>
        <v>16.817324874673094</v>
      </c>
      <c r="C311" s="839"/>
      <c r="D311" s="393">
        <f t="shared" si="102"/>
        <v>18.29404100409058</v>
      </c>
      <c r="E311" s="385">
        <f t="shared" si="125"/>
        <v>19.35751244473315</v>
      </c>
      <c r="F311" s="385">
        <f t="shared" si="103"/>
        <v>19.821128949658945</v>
      </c>
      <c r="G311" s="110">
        <f t="shared" si="126"/>
        <v>0.71952880594047475</v>
      </c>
      <c r="H311" s="414" t="b">
        <f>Wh_hp&gt;='2024'!Maxi_hp</f>
        <v>0</v>
      </c>
      <c r="I311" s="390">
        <f>IF(H311,Wh_hp,'2024'!Maxi_hp)</f>
        <v>28.410947539123171</v>
      </c>
      <c r="J311" s="85">
        <f>IF(H311,An,'2024'!An_max)</f>
        <v>2018</v>
      </c>
      <c r="K311" s="197">
        <f t="shared" si="104"/>
        <v>45954</v>
      </c>
      <c r="L311" s="147">
        <f>IF(t&lt;Tvie,1-EXP((T0-t)*PertePVj)+'2024'!Pspv,1-EXP((T0-t)*PertePVj)+Pspv)</f>
        <v>8.0721155543889395E-2</v>
      </c>
      <c r="M311" s="843"/>
      <c r="N311" s="843"/>
      <c r="O311" s="48">
        <f>IF(t&lt;Tnet,'2024'!Resal+('2024'!Salim-'2024'!Resal)*(1-EXP(('2024'!Tnet-t)/('2024'!Tau_j))),Resal+(Salim-Resal)*(1-EXP((Tnet-t)/(Tau_j))))*Salcycl</f>
        <v>5.4938435074178289E-2</v>
      </c>
      <c r="P311" s="169">
        <f>(INDEX(Models!$BJ311:$BT311,,T311)*(1-R311)+INDEX(Models!$BJ311:$BT311,,T311+1)*R311-ERP_i)*Q311*Ramure*Pc/MaxiM</f>
        <v>3.8034112097791888E-2</v>
      </c>
      <c r="Q311" s="305">
        <f t="shared" si="105"/>
        <v>0.8</v>
      </c>
      <c r="R311" s="177">
        <f t="shared" si="106"/>
        <v>0.39730908638205031</v>
      </c>
      <c r="S311" s="809">
        <f t="shared" si="107"/>
        <v>2</v>
      </c>
      <c r="T311" s="176">
        <f t="shared" si="108"/>
        <v>8</v>
      </c>
      <c r="U311" s="251">
        <f t="shared" si="109"/>
        <v>2.3973090863820503</v>
      </c>
      <c r="V311" s="383">
        <f t="shared" si="110"/>
        <v>23.022222145489049</v>
      </c>
      <c r="W311" s="402">
        <f t="shared" si="111"/>
        <v>16.817324874673094</v>
      </c>
      <c r="X311" s="157">
        <f t="shared" si="112"/>
        <v>45954</v>
      </c>
      <c r="Y311" s="385">
        <f t="shared" si="113"/>
        <v>15.066129726748898</v>
      </c>
      <c r="Z311" s="385">
        <f t="shared" si="114"/>
        <v>16.389074781398609</v>
      </c>
      <c r="AA311" s="386">
        <f t="shared" si="115"/>
        <v>19.015893503428412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0.13813806443311263</v>
      </c>
      <c r="AD311" s="231">
        <f>(INDEX(Models!$BJ311:$BT311,,AH311)*(1-AF311)+INDEX(Models!$BJ311:$BT311,,AH311+1)*AF311-ERP_i)*AE311*Ramure*Pc/MaxiM</f>
        <v>6.6059803526514665E-2</v>
      </c>
      <c r="AE311" s="305">
        <f t="shared" si="117"/>
        <v>0.8</v>
      </c>
      <c r="AF311" s="177">
        <f t="shared" si="118"/>
        <v>0.59802583354695393</v>
      </c>
      <c r="AG311" s="809">
        <f t="shared" si="124"/>
        <v>3</v>
      </c>
      <c r="AH311" s="176">
        <f t="shared" si="119"/>
        <v>9</v>
      </c>
      <c r="AI311" s="225">
        <f t="shared" si="120"/>
        <v>3.5980258335469539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IF(t&gt;Tmaj,'2024'!Wh/'2024'!Env_an*'2025'!Env_an,0.001*'[12]mon-tableau (1)'!$B$164)</f>
        <v>16.898027403431044</v>
      </c>
      <c r="C312" s="839"/>
      <c r="D312" s="393">
        <f t="shared" si="102"/>
        <v>18.382267564889695</v>
      </c>
      <c r="E312" s="385">
        <f t="shared" si="125"/>
        <v>19.453836596886603</v>
      </c>
      <c r="F312" s="385">
        <f t="shared" si="103"/>
        <v>19.931943801588535</v>
      </c>
      <c r="G312" s="110">
        <f t="shared" si="126"/>
        <v>0.73302971101518888</v>
      </c>
      <c r="H312" s="414" t="b">
        <f>Wh_hp&gt;='2024'!Maxi_hp</f>
        <v>0</v>
      </c>
      <c r="I312" s="390">
        <f>IF(H312,Wh_hp,'2024'!Maxi_hp)</f>
        <v>27.544324929727701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8.0743039791976751E-2</v>
      </c>
      <c r="M312" s="843"/>
      <c r="N312" s="843"/>
      <c r="O312" s="48">
        <f>IF(t&lt;Tnet,'2024'!Resal+('2024'!Salim-'2024'!Resal)*(1-EXP(('2024'!Tnet-t)/('2024'!Tau_j))),Resal+(Salim-Resal)*(1-EXP((Tnet-t)/(Tau_j))))*Salcycl</f>
        <v>5.5082658202670554E-2</v>
      </c>
      <c r="P312" s="169">
        <f>(INDEX(Models!$BJ312:$BT312,,T312)*(1-R312)+INDEX(Models!$BJ312:$BT312,,T312+1)*R312-ERP_i)*Q312*Ramure*Pc/MaxiM</f>
        <v>3.7852011154080011E-2</v>
      </c>
      <c r="Q312" s="305">
        <f t="shared" si="105"/>
        <v>0.8</v>
      </c>
      <c r="R312" s="177">
        <f t="shared" si="106"/>
        <v>0.39739889921974036</v>
      </c>
      <c r="S312" s="809">
        <f t="shared" si="107"/>
        <v>2</v>
      </c>
      <c r="T312" s="176">
        <f t="shared" si="108"/>
        <v>8</v>
      </c>
      <c r="U312" s="251">
        <f t="shared" si="109"/>
        <v>2.3973988992197404</v>
      </c>
      <c r="V312" s="383">
        <f t="shared" si="110"/>
        <v>22.724832931030235</v>
      </c>
      <c r="W312" s="402">
        <f t="shared" si="111"/>
        <v>16.898027403431044</v>
      </c>
      <c r="X312" s="157">
        <f t="shared" si="112"/>
        <v>45955</v>
      </c>
      <c r="Y312" s="385">
        <f t="shared" si="113"/>
        <v>15.12852736319183</v>
      </c>
      <c r="Z312" s="385">
        <f t="shared" si="114"/>
        <v>16.457343287091696</v>
      </c>
      <c r="AA312" s="386">
        <f t="shared" si="115"/>
        <v>19.094494625845286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0.1381105596366024</v>
      </c>
      <c r="AD312" s="231">
        <f>(INDEX(Models!$BJ312:$BT312,,AH312)*(1-AF312)+INDEX(Models!$BJ312:$BT312,,AH312+1)*AF312-ERP_i)*AE312*Ramure*Pc/MaxiM</f>
        <v>6.6301313239926454E-2</v>
      </c>
      <c r="AE312" s="305">
        <f t="shared" si="117"/>
        <v>0.8</v>
      </c>
      <c r="AF312" s="177">
        <f t="shared" si="118"/>
        <v>0.59811564638464354</v>
      </c>
      <c r="AG312" s="809">
        <f t="shared" si="124"/>
        <v>3</v>
      </c>
      <c r="AH312" s="176">
        <f t="shared" si="119"/>
        <v>9</v>
      </c>
      <c r="AI312" s="225">
        <f t="shared" si="120"/>
        <v>3.5981156463846435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IF(t&gt;Tmaj,'2024'!Wh/'2024'!Env_an*'2025'!Env_an,0.001*'[12]mon-tableau (1)'!$B$165)</f>
        <v>11.007829701606907</v>
      </c>
      <c r="C313" s="839"/>
      <c r="D313" s="393">
        <f t="shared" si="102"/>
        <v>11.974988752483235</v>
      </c>
      <c r="E313" s="385">
        <f t="shared" si="125"/>
        <v>12.67497700774617</v>
      </c>
      <c r="F313" s="385">
        <f t="shared" si="103"/>
        <v>12.806633664917465</v>
      </c>
      <c r="G313" s="110">
        <f t="shared" si="126"/>
        <v>0.47716925050304049</v>
      </c>
      <c r="H313" s="414" t="b">
        <f>Wh_hp&gt;='2024'!Maxi_hp</f>
        <v>0</v>
      </c>
      <c r="I313" s="390">
        <f>IF(H313,Wh_hp,'2024'!Maxi_hp)</f>
        <v>27.696361546697236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8.0764923530785709E-2</v>
      </c>
      <c r="M313" s="843"/>
      <c r="N313" s="843"/>
      <c r="O313" s="48">
        <f>IF(t&lt;Tnet,'2024'!Resal+('2024'!Salim-'2024'!Resal)*(1-EXP(('2024'!Tnet-t)/('2024'!Tau_j))),Resal+(Salim-Resal)*(1-EXP((Tnet-t)/(Tau_j))))*Salcycl</f>
        <v>5.5225998030224911E-2</v>
      </c>
      <c r="P313" s="169">
        <f>(INDEX(Models!$BJ313:$BT313,,T313)*(1-R313)+INDEX(Models!$BJ313:$BT313,,T313+1)*R313-ERP_i)*Q313*Ramure*Pc/MaxiM</f>
        <v>3.7720851902932895E-2</v>
      </c>
      <c r="Q313" s="305">
        <f t="shared" si="105"/>
        <v>0.8</v>
      </c>
      <c r="R313" s="177">
        <f t="shared" si="106"/>
        <v>0.39748512127201563</v>
      </c>
      <c r="S313" s="809">
        <f t="shared" si="107"/>
        <v>2</v>
      </c>
      <c r="T313" s="176">
        <f t="shared" si="108"/>
        <v>8</v>
      </c>
      <c r="U313" s="251">
        <f t="shared" si="109"/>
        <v>2.3974851212720156</v>
      </c>
      <c r="V313" s="383">
        <f t="shared" si="110"/>
        <v>22.429424697522695</v>
      </c>
      <c r="W313" s="402">
        <f t="shared" si="111"/>
        <v>11.007829701606907</v>
      </c>
      <c r="X313" s="157">
        <f t="shared" si="112"/>
        <v>45956</v>
      </c>
      <c r="Y313" s="385">
        <f t="shared" si="113"/>
        <v>9.962685115610137</v>
      </c>
      <c r="Z313" s="385">
        <f t="shared" si="114"/>
        <v>10.838016706104005</v>
      </c>
      <c r="AA313" s="386">
        <f t="shared" si="115"/>
        <v>12.574300040662139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0.13808190745754664</v>
      </c>
      <c r="AD313" s="231">
        <f>(INDEX(Models!$BJ313:$BT313,,AH313)*(1-AF313)+INDEX(Models!$BJ313:$BT313,,AH313+1)*AF313-ERP_i)*AE313*Ramure*Pc/MaxiM</f>
        <v>6.6565735610349369E-2</v>
      </c>
      <c r="AE313" s="305">
        <f t="shared" si="117"/>
        <v>0.8</v>
      </c>
      <c r="AF313" s="177">
        <f t="shared" si="118"/>
        <v>0.59820186843691925</v>
      </c>
      <c r="AG313" s="809">
        <f t="shared" si="124"/>
        <v>3</v>
      </c>
      <c r="AH313" s="176">
        <f t="shared" si="119"/>
        <v>9</v>
      </c>
      <c r="AI313" s="225">
        <f t="shared" si="120"/>
        <v>3.5982018684369192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IF(t&gt;Tmaj,'2024'!Wh/'2024'!Env_an*'2025'!Env_an,0.001*'[12]mon-tableau (1)'!$B$166)</f>
        <v>10.622310660691992</v>
      </c>
      <c r="C314" s="839"/>
      <c r="D314" s="393">
        <f t="shared" si="102"/>
        <v>11.555872716812033</v>
      </c>
      <c r="E314" s="385">
        <f t="shared" si="125"/>
        <v>12.23320702551341</v>
      </c>
      <c r="F314" s="385">
        <f t="shared" si="103"/>
        <v>12.352680015647234</v>
      </c>
      <c r="G314" s="110">
        <f t="shared" si="126"/>
        <v>0.4663086983422477</v>
      </c>
      <c r="H314" s="414" t="b">
        <f>Wh_hp&gt;='2024'!Maxi_hp</f>
        <v>0</v>
      </c>
      <c r="I314" s="390">
        <f>IF(H314,Wh_hp,'2024'!Maxi_hp)</f>
        <v>24.453755622088135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8.0786806760328039E-2</v>
      </c>
      <c r="M314" s="843"/>
      <c r="N314" s="843"/>
      <c r="O314" s="48">
        <f>IF(t&lt;Tnet,'2024'!Resal+('2024'!Salim-'2024'!Resal)*(1-EXP(('2024'!Tnet-t)/('2024'!Tau_j))),Resal+(Salim-Resal)*(1-EXP((Tnet-t)/(Tau_j))))*Salcycl</f>
        <v>5.5368498815456774E-2</v>
      </c>
      <c r="P314" s="169">
        <f>(INDEX(Models!$BJ314:$BT314,,T314)*(1-R314)+INDEX(Models!$BJ314:$BT314,,T314+1)*R314-ERP_i)*Q314*Ramure*Pc/MaxiM</f>
        <v>3.7641643716696795E-2</v>
      </c>
      <c r="Q314" s="305">
        <f t="shared" si="105"/>
        <v>0.8</v>
      </c>
      <c r="R314" s="177">
        <f t="shared" si="106"/>
        <v>0.39756789512494839</v>
      </c>
      <c r="S314" s="809">
        <f t="shared" si="107"/>
        <v>2</v>
      </c>
      <c r="T314" s="176">
        <f t="shared" si="108"/>
        <v>8</v>
      </c>
      <c r="U314" s="251">
        <f t="shared" si="109"/>
        <v>2.3975678951249484</v>
      </c>
      <c r="V314" s="383">
        <f t="shared" si="110"/>
        <v>22.136205087115567</v>
      </c>
      <c r="W314" s="402">
        <f t="shared" si="111"/>
        <v>10.622310660691992</v>
      </c>
      <c r="X314" s="157">
        <f t="shared" si="112"/>
        <v>45957</v>
      </c>
      <c r="Y314" s="385">
        <f t="shared" si="113"/>
        <v>9.6190777262332556</v>
      </c>
      <c r="Z314" s="385">
        <f t="shared" si="114"/>
        <v>10.464468740197047</v>
      </c>
      <c r="AA314" s="386">
        <f t="shared" si="115"/>
        <v>12.140490454042299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0.13805222451183619</v>
      </c>
      <c r="AD314" s="231">
        <f>(INDEX(Models!$BJ314:$BT314,,AH314)*(1-AF314)+INDEX(Models!$BJ314:$BT314,,AH314+1)*AF314-ERP_i)*AE314*Ramure*Pc/MaxiM</f>
        <v>6.6853301900191134E-2</v>
      </c>
      <c r="AE314" s="305">
        <f t="shared" si="117"/>
        <v>0.8</v>
      </c>
      <c r="AF314" s="177">
        <f t="shared" si="118"/>
        <v>0.59828464228985201</v>
      </c>
      <c r="AG314" s="809">
        <f t="shared" si="124"/>
        <v>3</v>
      </c>
      <c r="AH314" s="176">
        <f t="shared" si="119"/>
        <v>9</v>
      </c>
      <c r="AI314" s="225">
        <f t="shared" si="120"/>
        <v>3.598284642289852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IF(t&gt;Tmaj,'2024'!Wh/'2024'!Env_an*'2025'!Env_an,0.001*'[12]mon-tableau (1)'!$B$167)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Wh_hp&gt;='2024'!Maxi_hp</f>
        <v>0</v>
      </c>
      <c r="I315" s="390">
        <f>IF(H315,Wh_hp,'2024'!Maxi_hp)</f>
        <v>25.702565660135079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8.0808689480615731E-2</v>
      </c>
      <c r="M315" s="843"/>
      <c r="N315" s="843"/>
      <c r="O315" s="48">
        <f>IF(t&lt;Tnet,'2024'!Resal+('2024'!Salim-'2024'!Resal)*(1-EXP(('2024'!Tnet-t)/('2024'!Tau_j))),Resal+(Salim-Resal)*(1-EXP((Tnet-t)/(Tau_j))))*Salcycl</f>
        <v>5.5510207425523234E-2</v>
      </c>
      <c r="P315" s="169">
        <f>(INDEX(Models!$BJ315:$BT315,,T315)*(1-R315)+INDEX(Models!$BJ315:$BT315,,T315+1)*R315-ERP_i)*Q315*Ramure*Pc/MaxiM</f>
        <v>3.7615387978431475E-2</v>
      </c>
      <c r="Q315" s="305">
        <f t="shared" si="105"/>
        <v>0.8</v>
      </c>
      <c r="R315" s="177">
        <f t="shared" si="106"/>
        <v>0.39764735777948701</v>
      </c>
      <c r="S315" s="809">
        <f t="shared" si="107"/>
        <v>2</v>
      </c>
      <c r="T315" s="176">
        <f t="shared" si="108"/>
        <v>8</v>
      </c>
      <c r="U315" s="251">
        <f t="shared" si="109"/>
        <v>2.397647357779487</v>
      </c>
      <c r="V315" s="383">
        <f t="shared" si="110"/>
        <v>21.845382005813942</v>
      </c>
      <c r="W315" s="402">
        <f t="shared" si="111"/>
        <v>0</v>
      </c>
      <c r="X315" s="157">
        <f t="shared" si="112"/>
        <v>45958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0.13802163257617792</v>
      </c>
      <c r="AD315" s="231">
        <f>(INDEX(Models!$BJ315:$BT315,,AH315)*(1-AF315)+INDEX(Models!$BJ315:$BT315,,AH315+1)*AF315-ERP_i)*AE315*Ramure*Pc/MaxiM</f>
        <v>6.7164237117277287E-2</v>
      </c>
      <c r="AE315" s="305">
        <f t="shared" si="117"/>
        <v>0.8</v>
      </c>
      <c r="AF315" s="177">
        <f t="shared" si="118"/>
        <v>0.59836410494439018</v>
      </c>
      <c r="AG315" s="809">
        <f t="shared" si="124"/>
        <v>3</v>
      </c>
      <c r="AH315" s="176">
        <f t="shared" si="119"/>
        <v>9</v>
      </c>
      <c r="AI315" s="225">
        <f t="shared" si="120"/>
        <v>3.5983641049443902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IF(t&gt;Tmaj,'2024'!Wh/'2024'!Env_an*'2025'!Env_an,0.001*'[12]mon-tableau (1)'!$B$168)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Wh_hp&gt;='2024'!Maxi_hp</f>
        <v>0</v>
      </c>
      <c r="I316" s="390">
        <f>IF(H316,Wh_hp,'2024'!Maxi_hp)</f>
        <v>24.397649963595786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8.0830571691660441E-2</v>
      </c>
      <c r="M316" s="843"/>
      <c r="N316" s="843"/>
      <c r="O316" s="48">
        <f>IF(t&lt;Tnet,'2024'!Resal+('2024'!Salim-'2024'!Resal)*(1-EXP(('2024'!Tnet-t)/('2024'!Tau_j))),Resal+(Salim-Resal)*(1-EXP((Tnet-t)/(Tau_j))))*Salcycl</f>
        <v>5.5651173180088949E-2</v>
      </c>
      <c r="P316" s="169">
        <f>(INDEX(Models!$BJ316:$BT316,,T316)*(1-R316)+INDEX(Models!$BJ316:$BT316,,T316+1)*R316-ERP_i)*Q316*Ramure*Pc/MaxiM</f>
        <v>3.7643074229486428E-2</v>
      </c>
      <c r="Q316" s="305">
        <f t="shared" si="105"/>
        <v>0.8</v>
      </c>
      <c r="R316" s="177">
        <f t="shared" si="106"/>
        <v>0.39772364086417022</v>
      </c>
      <c r="S316" s="809">
        <f t="shared" si="107"/>
        <v>2</v>
      </c>
      <c r="T316" s="176">
        <f t="shared" si="108"/>
        <v>8</v>
      </c>
      <c r="U316" s="251">
        <f t="shared" si="109"/>
        <v>2.3977236408641702</v>
      </c>
      <c r="V316" s="383">
        <f t="shared" si="110"/>
        <v>21.557163571544322</v>
      </c>
      <c r="W316" s="402">
        <f t="shared" si="111"/>
        <v>0</v>
      </c>
      <c r="X316" s="157">
        <f t="shared" si="112"/>
        <v>45959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0.1379902581376701</v>
      </c>
      <c r="AD316" s="231">
        <f>(INDEX(Models!$BJ316:$BT316,,AH316)*(1-AF316)+INDEX(Models!$BJ316:$BT316,,AH316+1)*AF316-ERP_i)*AE316*Ramure*Pc/MaxiM</f>
        <v>6.7498756923909234E-2</v>
      </c>
      <c r="AE316" s="305">
        <f t="shared" si="117"/>
        <v>0.8</v>
      </c>
      <c r="AF316" s="177">
        <f t="shared" si="118"/>
        <v>0.59844038802907384</v>
      </c>
      <c r="AG316" s="809">
        <f t="shared" si="124"/>
        <v>3</v>
      </c>
      <c r="AH316" s="176">
        <f t="shared" si="119"/>
        <v>9</v>
      </c>
      <c r="AI316" s="225">
        <f t="shared" si="120"/>
        <v>3.5984403880290738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IF(t&gt;Tmaj,'2024'!Wh/'2024'!Env_an*'2025'!Env_an,0.001*'[12]mon-tableau (1)'!$B$169)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Wh_hp&gt;='2024'!Maxi_hp</f>
        <v>0</v>
      </c>
      <c r="I317" s="390">
        <f>IF(H317,Wh_hp,'2024'!Maxi_hp)</f>
        <v>23.315037308519852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8.0852453393474272E-2</v>
      </c>
      <c r="M317" s="843"/>
      <c r="N317" s="843"/>
      <c r="O317" s="48">
        <f>IF(t&lt;Tnet,'2024'!Resal+('2024'!Salim-'2024'!Resal)*(1-EXP(('2024'!Tnet-t)/('2024'!Tau_j))),Resal+(Salim-Resal)*(1-EXP((Tnet-t)/(Tau_j))))*Salcycl</f>
        <v>5.579144767713478E-2</v>
      </c>
      <c r="P317" s="169">
        <f>(INDEX(Models!$BJ317:$BT317,,T317)*(1-R317)+INDEX(Models!$BJ317:$BT317,,T317+1)*R317-ERP_i)*Q317*Ramure*Pc/MaxiM</f>
        <v>3.7728994248296663E-2</v>
      </c>
      <c r="Q317" s="305">
        <f t="shared" si="105"/>
        <v>0.8</v>
      </c>
      <c r="R317" s="177">
        <f t="shared" si="106"/>
        <v>0.39779687084022131</v>
      </c>
      <c r="S317" s="809">
        <f t="shared" si="107"/>
        <v>2</v>
      </c>
      <c r="T317" s="176">
        <f t="shared" si="108"/>
        <v>8</v>
      </c>
      <c r="U317" s="251">
        <f t="shared" si="109"/>
        <v>2.3977968708402213</v>
      </c>
      <c r="V317" s="383">
        <f t="shared" si="110"/>
        <v>21.269813954434362</v>
      </c>
      <c r="W317" s="402">
        <f t="shared" si="111"/>
        <v>0</v>
      </c>
      <c r="X317" s="157">
        <f t="shared" si="112"/>
        <v>45960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0.1379582319063494</v>
      </c>
      <c r="AD317" s="231">
        <f>(INDEX(Models!$BJ317:$BT317,,AH317)*(1-AF317)+INDEX(Models!$BJ317:$BT317,,AH317+1)*AF317-ERP_i)*AE317*Ramure*Pc/MaxiM</f>
        <v>6.7863032533203083E-2</v>
      </c>
      <c r="AE317" s="305">
        <f t="shared" si="117"/>
        <v>0.8</v>
      </c>
      <c r="AF317" s="177">
        <f t="shared" si="118"/>
        <v>0.59851361800512493</v>
      </c>
      <c r="AG317" s="809">
        <f t="shared" si="124"/>
        <v>3</v>
      </c>
      <c r="AH317" s="176">
        <f t="shared" si="119"/>
        <v>9</v>
      </c>
      <c r="AI317" s="225">
        <f t="shared" si="120"/>
        <v>3.5985136180051249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IF(t&gt;Tmaj,'2024'!Wh/'2024'!Env_an*'2025'!Env_an,0.001*'[12]mon-tableau (1)'!$B$170)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Wh_hp&gt;='2024'!Maxi_hp</f>
        <v>0</v>
      </c>
      <c r="I318" s="390">
        <f>IF(H318,Wh_hp,'2024'!Maxi_hp)</f>
        <v>25.066473522391494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8.0874334586068769E-2</v>
      </c>
      <c r="M318" s="843"/>
      <c r="N318" s="843"/>
      <c r="O318" s="48">
        <f>IF(t&lt;Tnet,'2024'!Resal+('2024'!Salim-'2024'!Resal)*(1-EXP(('2024'!Tnet-t)/('2024'!Tau_j))),Resal+(Salim-Resal)*(1-EXP((Tnet-t)/(Tau_j))))*Salcycl</f>
        <v>5.5931084601509425E-2</v>
      </c>
      <c r="P318" s="169">
        <f>(INDEX(Models!$BJ318:$BT318,,T318)*(1-R318)+INDEX(Models!$BJ318:$BT318,,T318+1)*R318-ERP_i)*Q318*Ramure*Pc/MaxiM</f>
        <v>3.7885904028345761E-2</v>
      </c>
      <c r="Q318" s="305">
        <f t="shared" si="105"/>
        <v>0.8</v>
      </c>
      <c r="R318" s="177">
        <f t="shared" si="106"/>
        <v>0.39786716919925436</v>
      </c>
      <c r="S318" s="809">
        <f t="shared" si="107"/>
        <v>2</v>
      </c>
      <c r="T318" s="176">
        <f t="shared" si="108"/>
        <v>8</v>
      </c>
      <c r="U318" s="251">
        <f t="shared" si="109"/>
        <v>2.3978671691992544</v>
      </c>
      <c r="V318" s="383">
        <f t="shared" si="110"/>
        <v>20.981727788585985</v>
      </c>
      <c r="W318" s="402">
        <f t="shared" si="111"/>
        <v>0</v>
      </c>
      <c r="X318" s="157">
        <f t="shared" si="112"/>
        <v>45961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0.13792568829357424</v>
      </c>
      <c r="AD318" s="231">
        <f>(INDEX(Models!$BJ318:$BT318,,AH318)*(1-AF318)+INDEX(Models!$BJ318:$BT318,,AH318+1)*AF318-ERP_i)*AE318*Ramure*Pc/MaxiM</f>
        <v>6.8246456745208434E-2</v>
      </c>
      <c r="AE318" s="305">
        <f t="shared" si="117"/>
        <v>0.8</v>
      </c>
      <c r="AF318" s="177">
        <f t="shared" si="118"/>
        <v>0.59858391636415798</v>
      </c>
      <c r="AG318" s="809">
        <f t="shared" si="124"/>
        <v>3</v>
      </c>
      <c r="AH318" s="176">
        <f t="shared" si="119"/>
        <v>9</v>
      </c>
      <c r="AI318" s="225">
        <f t="shared" si="120"/>
        <v>3.598583916364158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IF(t&gt;Tmaj,'2024'!Wh/'2024'!Env_an*'2025'!Env_an,0.001*'[13]mon-tableau (3)'!$B$136)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Wh_hp&gt;='2024'!Maxi_hp</f>
        <v>0</v>
      </c>
      <c r="I319" s="390">
        <f>IF(H319,Wh_hp,'2024'!Maxi_hp)</f>
        <v>24.353652394890183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8.0896215269456034E-2</v>
      </c>
      <c r="M319" s="843"/>
      <c r="N319" s="843"/>
      <c r="O319" s="48">
        <f>IF(t&lt;Tnet,'2024'!Resal+('2024'!Salim-'2024'!Resal)*(1-EXP(('2024'!Tnet-t)/('2024'!Tau_j))),Resal+(Salim-Resal)*(1-EXP((Tnet-t)/(Tau_j))))*Salcycl</f>
        <v>5.6070139517280904E-2</v>
      </c>
      <c r="P319" s="169">
        <f>(INDEX(Models!$BJ319:$BT319,,T319)*(1-R319)+INDEX(Models!$BJ319:$BT319,,T319+1)*R319-ERP_i)*Q319*Ramure*Pc/MaxiM</f>
        <v>3.8080538829284041E-2</v>
      </c>
      <c r="Q319" s="305">
        <f t="shared" si="105"/>
        <v>0.8</v>
      </c>
      <c r="R319" s="177">
        <f t="shared" si="106"/>
        <v>0.39793465265382455</v>
      </c>
      <c r="S319" s="809">
        <f t="shared" si="107"/>
        <v>2</v>
      </c>
      <c r="T319" s="176">
        <f t="shared" si="108"/>
        <v>8</v>
      </c>
      <c r="U319" s="251">
        <f t="shared" si="109"/>
        <v>2.3979346526538245</v>
      </c>
      <c r="V319" s="383">
        <f t="shared" si="110"/>
        <v>20.694330088354498</v>
      </c>
      <c r="W319" s="402">
        <f t="shared" si="111"/>
        <v>0</v>
      </c>
      <c r="X319" s="157">
        <f t="shared" si="112"/>
        <v>45962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0.13789276485942542</v>
      </c>
      <c r="AD319" s="231">
        <f>(INDEX(Models!$BJ319:$BT319,,AH319)*(1-AF319)+INDEX(Models!$BJ319:$BT319,,AH319+1)*AF319-ERP_i)*AE319*Ramure*Pc/MaxiM</f>
        <v>6.8626231073929733E-2</v>
      </c>
      <c r="AE319" s="305">
        <f t="shared" si="117"/>
        <v>0.8</v>
      </c>
      <c r="AF319" s="177">
        <f t="shared" si="118"/>
        <v>0.59865139981872817</v>
      </c>
      <c r="AG319" s="809">
        <f t="shared" si="124"/>
        <v>3</v>
      </c>
      <c r="AH319" s="176">
        <f t="shared" si="119"/>
        <v>9</v>
      </c>
      <c r="AI319" s="225">
        <f t="shared" si="120"/>
        <v>3.5986513998187282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IF(t&gt;Tmaj,'2024'!Wh/'2024'!Env_an*'2025'!Env_an,0.001*'[13]mon-tableau (3)'!$B$137)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Wh_hp&gt;='2024'!Maxi_hp</f>
        <v>0</v>
      </c>
      <c r="I320" s="390">
        <f>IF(H320,Wh_hp,'2024'!Maxi_hp)</f>
        <v>23.216009548028094</v>
      </c>
      <c r="J320" s="85">
        <f>IF(H320,An,'2024'!An_max)</f>
        <v>2021</v>
      </c>
      <c r="K320" s="197">
        <f t="shared" si="104"/>
        <v>45963</v>
      </c>
      <c r="L320" s="147">
        <f>IF(t&lt;Tvie,1-EXP((T0-t)*PertePVj)+'2024'!Pspv,1-EXP((T0-t)*PertePVj)+Pspv)</f>
        <v>8.0918095443647836E-2</v>
      </c>
      <c r="M320" s="843"/>
      <c r="N320" s="843"/>
      <c r="O320" s="48">
        <f>IF(t&lt;Tnet,'2024'!Resal+('2024'!Salim-'2024'!Resal)*(1-EXP(('2024'!Tnet-t)/('2024'!Tau_j))),Resal+(Salim-Resal)*(1-EXP((Tnet-t)/(Tau_j))))*Salcycl</f>
        <v>5.6208669645092572E-2</v>
      </c>
      <c r="P320" s="169">
        <f>(INDEX(Models!$BJ320:$BT320,,T320)*(1-R320)+INDEX(Models!$BJ320:$BT320,,T320+1)*R320-ERP_i)*Q320*Ramure*Pc/MaxiM</f>
        <v>3.8312820529454304E-2</v>
      </c>
      <c r="Q320" s="305">
        <f t="shared" si="105"/>
        <v>0.8</v>
      </c>
      <c r="R320" s="177">
        <f t="shared" si="106"/>
        <v>0.39799943332104926</v>
      </c>
      <c r="S320" s="809">
        <f t="shared" si="107"/>
        <v>2</v>
      </c>
      <c r="T320" s="176">
        <f t="shared" si="108"/>
        <v>8</v>
      </c>
      <c r="U320" s="251">
        <f t="shared" si="109"/>
        <v>2.3979994333210493</v>
      </c>
      <c r="V320" s="383">
        <f t="shared" si="110"/>
        <v>20.408301167701644</v>
      </c>
      <c r="W320" s="402">
        <f t="shared" si="111"/>
        <v>0</v>
      </c>
      <c r="X320" s="157">
        <f t="shared" si="112"/>
        <v>45963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0.13785960173259393</v>
      </c>
      <c r="AD320" s="231">
        <f>(INDEX(Models!$BJ320:$BT320,,AH320)*(1-AF320)+INDEX(Models!$BJ320:$BT320,,AH320+1)*AF320-ERP_i)*AE320*Ramure*Pc/MaxiM</f>
        <v>6.9000802896673472E-2</v>
      </c>
      <c r="AE320" s="305">
        <f t="shared" si="117"/>
        <v>0.8</v>
      </c>
      <c r="AF320" s="177">
        <f t="shared" si="118"/>
        <v>0.59871618048595288</v>
      </c>
      <c r="AG320" s="809">
        <f t="shared" si="124"/>
        <v>3</v>
      </c>
      <c r="AH320" s="176">
        <f t="shared" si="119"/>
        <v>9</v>
      </c>
      <c r="AI320" s="225">
        <f t="shared" si="120"/>
        <v>3.5987161804859529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IF(t&gt;Tmaj,'2024'!Wh/'2024'!Env_an*'2025'!Env_an,0.001*'[13]mon-tableau (3)'!$B$138)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Wh_hp&gt;='2024'!Maxi_hp</f>
        <v>0</v>
      </c>
      <c r="I321" s="390">
        <f>IF(H321,Wh_hp,'2024'!Maxi_hp)</f>
        <v>24.561857270116509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8.0939975108656054E-2</v>
      </c>
      <c r="M321" s="843"/>
      <c r="N321" s="843"/>
      <c r="O321" s="48">
        <f>IF(t&lt;Tnet,'2024'!Resal+('2024'!Salim-'2024'!Resal)*(1-EXP(('2024'!Tnet-t)/('2024'!Tau_j))),Resal+(Salim-Resal)*(1-EXP((Tnet-t)/(Tau_j))))*Salcycl</f>
        <v>5.6346733625868749E-2</v>
      </c>
      <c r="P321" s="169">
        <f>(INDEX(Models!$BJ321:$BT321,,T321)*(1-R321)+INDEX(Models!$BJ321:$BT321,,T321+1)*R321-ERP_i)*Q321*Ramure*Pc/MaxiM</f>
        <v>3.8582620905575855E-2</v>
      </c>
      <c r="Q321" s="305">
        <f t="shared" si="105"/>
        <v>0.8</v>
      </c>
      <c r="R321" s="177">
        <f t="shared" si="106"/>
        <v>0.39806161889952119</v>
      </c>
      <c r="S321" s="809">
        <f t="shared" si="107"/>
        <v>2</v>
      </c>
      <c r="T321" s="176">
        <f t="shared" si="108"/>
        <v>8</v>
      </c>
      <c r="U321" s="251">
        <f t="shared" si="109"/>
        <v>2.3980616188995212</v>
      </c>
      <c r="V321" s="383">
        <f t="shared" si="110"/>
        <v>20.12432084127262</v>
      </c>
      <c r="W321" s="402">
        <f t="shared" si="111"/>
        <v>0</v>
      </c>
      <c r="X321" s="157">
        <f t="shared" si="112"/>
        <v>45964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0.13782634100648947</v>
      </c>
      <c r="AD321" s="231">
        <f>(INDEX(Models!$BJ321:$BT321,,AH321)*(1-AF321)+INDEX(Models!$BJ321:$BT321,,AH321+1)*AF321-ERP_i)*AE321*Ramure*Pc/MaxiM</f>
        <v>6.936849883075856E-2</v>
      </c>
      <c r="AE321" s="305">
        <f t="shared" si="117"/>
        <v>0.8</v>
      </c>
      <c r="AF321" s="177">
        <f t="shared" si="118"/>
        <v>0.59877836606442481</v>
      </c>
      <c r="AG321" s="809">
        <f t="shared" si="124"/>
        <v>3</v>
      </c>
      <c r="AH321" s="176">
        <f t="shared" si="119"/>
        <v>9</v>
      </c>
      <c r="AI321" s="225">
        <f t="shared" si="120"/>
        <v>3.5987783660644248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IF(t&gt;Tmaj,'2024'!Wh/'2024'!Env_an*'2025'!Env_an,0.001*'[13]mon-tableau (3)'!$B$139)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Wh_hp&gt;='2024'!Maxi_hp</f>
        <v>0</v>
      </c>
      <c r="I322" s="390">
        <f>IF(H322,Wh_hp,'2024'!Maxi_hp)</f>
        <v>20.723995905929119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8.0961854264492455E-2</v>
      </c>
      <c r="M322" s="843"/>
      <c r="N322" s="843"/>
      <c r="O322" s="48">
        <f>IF(t&lt;Tnet,'2024'!Resal+('2024'!Salim-'2024'!Resal)*(1-EXP(('2024'!Tnet-t)/('2024'!Tau_j))),Resal+(Salim-Resal)*(1-EXP((Tnet-t)/(Tau_j))))*Salcycl</f>
        <v>5.6484391272345114E-2</v>
      </c>
      <c r="P322" s="169">
        <f>(INDEX(Models!$BJ322:$BT322,,T322)*(1-R322)+INDEX(Models!$BJ322:$BT322,,T322+1)*R322-ERP_i)*Q322*Ramure*Pc/MaxiM</f>
        <v>3.8889747678029912E-2</v>
      </c>
      <c r="Q322" s="305">
        <f t="shared" si="105"/>
        <v>0.8</v>
      </c>
      <c r="R322" s="177">
        <f t="shared" si="106"/>
        <v>0.39812131283972807</v>
      </c>
      <c r="S322" s="809">
        <f t="shared" si="107"/>
        <v>2</v>
      </c>
      <c r="T322" s="176">
        <f t="shared" si="108"/>
        <v>8</v>
      </c>
      <c r="U322" s="251">
        <f t="shared" si="109"/>
        <v>2.3981213128397281</v>
      </c>
      <c r="V322" s="383">
        <f t="shared" si="110"/>
        <v>19.843068405764672</v>
      </c>
      <c r="W322" s="402">
        <f t="shared" si="111"/>
        <v>0</v>
      </c>
      <c r="X322" s="157">
        <f t="shared" si="112"/>
        <v>45965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0.13779312611553593</v>
      </c>
      <c r="AD322" s="231">
        <f>(INDEX(Models!$BJ322:$BT322,,AH322)*(1-AF322)+INDEX(Models!$BJ322:$BT322,,AH322+1)*AF322-ERP_i)*AE322*Ramure*Pc/MaxiM</f>
        <v>6.9727515774707455E-2</v>
      </c>
      <c r="AE322" s="305">
        <f t="shared" si="117"/>
        <v>0.8</v>
      </c>
      <c r="AF322" s="177">
        <f t="shared" si="118"/>
        <v>0.59883806000463169</v>
      </c>
      <c r="AG322" s="809">
        <f t="shared" si="124"/>
        <v>3</v>
      </c>
      <c r="AH322" s="176">
        <f t="shared" si="119"/>
        <v>9</v>
      </c>
      <c r="AI322" s="225">
        <f t="shared" si="120"/>
        <v>3.5988380600046317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IF(t&gt;Tmaj,'2024'!Wh/'2024'!Env_an*'2025'!Env_an,0.001*'[13]mon-tableau (3)'!$B$140)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Wh_hp&gt;='2024'!Maxi_hp</f>
        <v>0</v>
      </c>
      <c r="I323" s="390">
        <f>IF(H323,Wh_hp,'2024'!Maxi_hp)</f>
        <v>15.637654954165301</v>
      </c>
      <c r="J323" s="85">
        <f>IF(H323,An,'2024'!An_max)</f>
        <v>2020</v>
      </c>
      <c r="K323" s="197">
        <f t="shared" si="104"/>
        <v>45966</v>
      </c>
      <c r="L323" s="147">
        <f>IF(t&lt;Tvie,1-EXP((T0-t)*PertePVj)+'2024'!Pspv,1-EXP((T0-t)*PertePVj)+Pspv)</f>
        <v>8.0983732911168921E-2</v>
      </c>
      <c r="M323" s="843"/>
      <c r="N323" s="843"/>
      <c r="O323" s="48">
        <f>IF(t&lt;Tnet,'2024'!Resal+('2024'!Salim-'2024'!Resal)*(1-EXP(('2024'!Tnet-t)/('2024'!Tau_j))),Resal+(Salim-Resal)*(1-EXP((Tnet-t)/(Tau_j))))*Salcycl</f>
        <v>5.662170331001698E-2</v>
      </c>
      <c r="P323" s="169">
        <f>(INDEX(Models!$BJ323:$BT323,,T323)*(1-R323)+INDEX(Models!$BJ323:$BT323,,T323+1)*R323-ERP_i)*Q323*Ramure*Pc/MaxiM</f>
        <v>3.9233929663058241E-2</v>
      </c>
      <c r="Q323" s="305">
        <f t="shared" si="105"/>
        <v>0.8</v>
      </c>
      <c r="R323" s="177">
        <f t="shared" si="106"/>
        <v>0.39817861450819514</v>
      </c>
      <c r="S323" s="809">
        <f t="shared" si="107"/>
        <v>2</v>
      </c>
      <c r="T323" s="176">
        <f t="shared" si="108"/>
        <v>8</v>
      </c>
      <c r="U323" s="251">
        <f t="shared" si="109"/>
        <v>2.3981786145081951</v>
      </c>
      <c r="V323" s="383">
        <f t="shared" si="110"/>
        <v>19.565222603614039</v>
      </c>
      <c r="W323" s="402">
        <f t="shared" si="111"/>
        <v>0</v>
      </c>
      <c r="X323" s="157">
        <f t="shared" si="112"/>
        <v>45966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0.13776010119582063</v>
      </c>
      <c r="AD323" s="231">
        <f>(INDEX(Models!$BJ323:$BT323,,AH323)*(1-AF323)+INDEX(Models!$BJ323:$BT323,,AH323+1)*AF323-ERP_i)*AE323*Ramure*Pc/MaxiM</f>
        <v>7.0075912566093995E-2</v>
      </c>
      <c r="AE323" s="305">
        <f t="shared" si="117"/>
        <v>0.8</v>
      </c>
      <c r="AF323" s="177">
        <f t="shared" si="118"/>
        <v>0.5988953616730992</v>
      </c>
      <c r="AG323" s="809">
        <f t="shared" si="124"/>
        <v>3</v>
      </c>
      <c r="AH323" s="176">
        <f t="shared" si="119"/>
        <v>9</v>
      </c>
      <c r="AI323" s="225">
        <f t="shared" si="120"/>
        <v>3.5988953616730992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IF(t&gt;Tmaj,'2024'!Wh/'2024'!Env_an*'2025'!Env_an,0.001*'[13]mon-tableau (3)'!$B$141)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Wh_hp&gt;='2024'!Maxi_hp</f>
        <v>0</v>
      </c>
      <c r="I324" s="390">
        <f>IF(H324,Wh_hp,'2024'!Maxi_hp)</f>
        <v>19.931335355516538</v>
      </c>
      <c r="J324" s="85">
        <f>IF(H324,An,'2024'!An_max)</f>
        <v>2020</v>
      </c>
      <c r="K324" s="197">
        <f t="shared" si="104"/>
        <v>45967</v>
      </c>
      <c r="L324" s="147">
        <f>IF(t&lt;Tvie,1-EXP((T0-t)*PertePVj)+'2024'!Pspv,1-EXP((T0-t)*PertePVj)+Pspv)</f>
        <v>8.1005611048697329E-2</v>
      </c>
      <c r="M324" s="843"/>
      <c r="N324" s="843"/>
      <c r="O324" s="48">
        <f>IF(t&lt;Tnet,'2024'!Resal+('2024'!Salim-'2024'!Resal)*(1-EXP(('2024'!Tnet-t)/('2024'!Tau_j))),Resal+(Salim-Resal)*(1-EXP((Tnet-t)/(Tau_j))))*Salcycl</f>
        <v>5.6758731109206477E-2</v>
      </c>
      <c r="P324" s="169">
        <f>(INDEX(Models!$BJ324:$BT324,,T324)*(1-R324)+INDEX(Models!$BJ324:$BT324,,T324+1)*R324-ERP_i)*Q324*Ramure*Pc/MaxiM</f>
        <v>3.9608669987997398E-2</v>
      </c>
      <c r="Q324" s="305">
        <f t="shared" si="105"/>
        <v>0.8</v>
      </c>
      <c r="R324" s="177">
        <f t="shared" si="106"/>
        <v>0.39823361934555823</v>
      </c>
      <c r="S324" s="809">
        <f t="shared" si="107"/>
        <v>2</v>
      </c>
      <c r="T324" s="176">
        <f t="shared" si="108"/>
        <v>8</v>
      </c>
      <c r="U324" s="251">
        <f t="shared" si="109"/>
        <v>2.3982336193455582</v>
      </c>
      <c r="V324" s="383">
        <f t="shared" si="110"/>
        <v>19.291584758786616</v>
      </c>
      <c r="W324" s="402">
        <f t="shared" si="111"/>
        <v>0</v>
      </c>
      <c r="X324" s="157">
        <f t="shared" si="112"/>
        <v>45967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0.1377274104344316</v>
      </c>
      <c r="AD324" s="231">
        <f>(INDEX(Models!$BJ324:$BT324,,AH324)*(1-AF324)+INDEX(Models!$BJ324:$BT324,,AH324+1)*AF324-ERP_i)*AE324*Ramure*Pc/MaxiM</f>
        <v>7.0384104621585009E-2</v>
      </c>
      <c r="AE324" s="305">
        <f t="shared" si="117"/>
        <v>0.8</v>
      </c>
      <c r="AF324" s="177">
        <f t="shared" si="118"/>
        <v>0.5989503665104623</v>
      </c>
      <c r="AG324" s="809">
        <f t="shared" si="124"/>
        <v>3</v>
      </c>
      <c r="AH324" s="176">
        <f t="shared" si="119"/>
        <v>9</v>
      </c>
      <c r="AI324" s="225">
        <f t="shared" si="120"/>
        <v>3.5989503665104623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IF(t&gt;Tmaj,'2024'!Wh/'2024'!Env_an*'2025'!Env_an,0.001*'[13]mon-tableau (3)'!$B$142)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Wh_hp&gt;='2024'!Maxi_hp</f>
        <v>0</v>
      </c>
      <c r="I325" s="390">
        <f>IF(H325,Wh_hp,'2024'!Maxi_hp)</f>
        <v>13.60303974842923</v>
      </c>
      <c r="J325" s="85">
        <f>IF(H325,An,'2024'!An_max)</f>
        <v>2020</v>
      </c>
      <c r="K325" s="197">
        <f t="shared" si="104"/>
        <v>45968</v>
      </c>
      <c r="L325" s="147">
        <f>IF(t&lt;Tvie,1-EXP((T0-t)*PertePVj)+'2024'!Pspv,1-EXP((T0-t)*PertePVj)+Pspv)</f>
        <v>8.102748867708956E-2</v>
      </c>
      <c r="M325" s="843"/>
      <c r="N325" s="843"/>
      <c r="O325" s="48">
        <f>IF(t&lt;Tnet,'2024'!Resal+('2024'!Salim-'2024'!Resal)*(1-EXP(('2024'!Tnet-t)/('2024'!Tau_j))),Resal+(Salim-Resal)*(1-EXP((Tnet-t)/(Tau_j))))*Salcycl</f>
        <v>5.6895536410039985E-2</v>
      </c>
      <c r="P325" s="169">
        <f>(INDEX(Models!$BJ325:$BT325,,T325)*(1-R325)+INDEX(Models!$BJ325:$BT325,,T325+1)*R325-ERP_i)*Q325*Ramure*Pc/MaxiM</f>
        <v>3.9985702580552639E-2</v>
      </c>
      <c r="Q325" s="305">
        <f t="shared" si="105"/>
        <v>0.8</v>
      </c>
      <c r="R325" s="177">
        <f t="shared" si="106"/>
        <v>0.39828641901876383</v>
      </c>
      <c r="S325" s="809">
        <f t="shared" si="107"/>
        <v>2</v>
      </c>
      <c r="T325" s="176">
        <f t="shared" si="108"/>
        <v>8</v>
      </c>
      <c r="U325" s="251">
        <f t="shared" si="109"/>
        <v>2.3982864190187638</v>
      </c>
      <c r="V325" s="383">
        <f t="shared" si="110"/>
        <v>19.023378104079988</v>
      </c>
      <c r="W325" s="402">
        <f t="shared" si="111"/>
        <v>0</v>
      </c>
      <c r="X325" s="157">
        <f t="shared" si="112"/>
        <v>45968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0.13769519741194647</v>
      </c>
      <c r="AD325" s="231">
        <f>(INDEX(Models!$BJ325:$BT325,,AH325)*(1-AF325)+INDEX(Models!$BJ325:$BT325,,AH325+1)*AF325-ERP_i)*AE325*Ramure*Pc/MaxiM</f>
        <v>7.0641702881800078E-2</v>
      </c>
      <c r="AE325" s="305">
        <f t="shared" si="117"/>
        <v>0.8</v>
      </c>
      <c r="AF325" s="177">
        <f t="shared" si="118"/>
        <v>0.59900316618366745</v>
      </c>
      <c r="AG325" s="809">
        <f t="shared" si="124"/>
        <v>3</v>
      </c>
      <c r="AH325" s="176">
        <f t="shared" si="119"/>
        <v>9</v>
      </c>
      <c r="AI325" s="225">
        <f t="shared" si="120"/>
        <v>3.5990031661836674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IF(t&gt;Tmaj,'2024'!Wh/'2024'!Env_an*'2025'!Env_an,0.001*'[13]mon-tableau (3)'!$B$143)</f>
        <v>0.93527833413956196</v>
      </c>
      <c r="C326" s="839"/>
      <c r="D326" s="393">
        <f t="shared" si="102"/>
        <v>1.0177677661108193</v>
      </c>
      <c r="E326" s="385">
        <f t="shared" si="125"/>
        <v>1.0793239659394722</v>
      </c>
      <c r="F326" s="385">
        <f t="shared" si="103"/>
        <v>1.0793239659394722</v>
      </c>
      <c r="G326" s="110">
        <f t="shared" si="126"/>
        <v>4.7839362346262508E-2</v>
      </c>
      <c r="H326" s="414" t="b">
        <f>Wh_hp&gt;='2024'!Maxi_hp</f>
        <v>0</v>
      </c>
      <c r="I326" s="390">
        <f>IF(H326,Wh_hp,'2024'!Maxi_hp)</f>
        <v>20.0155602932596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8.1049365796357381E-2</v>
      </c>
      <c r="M326" s="843"/>
      <c r="N326" s="843"/>
      <c r="O326" s="48">
        <f>IF(t&lt;Tnet,'2024'!Resal+('2024'!Salim-'2024'!Resal)*(1-EXP(('2024'!Tnet-t)/('2024'!Tau_j))),Resal+(Salim-Resal)*(1-EXP((Tnet-t)/(Tau_j))))*Salcycl</f>
        <v>5.7032181042207072E-2</v>
      </c>
      <c r="P326" s="169">
        <f>(INDEX(Models!$BJ326:$BT326,,T326)*(1-R326)+INDEX(Models!$BJ326:$BT326,,T326+1)*R326-ERP_i)*Q326*Ramure*Pc/MaxiM</f>
        <v>4.0363790477115441E-2</v>
      </c>
      <c r="Q326" s="305">
        <f t="shared" si="105"/>
        <v>0.8</v>
      </c>
      <c r="R326" s="177">
        <f t="shared" si="106"/>
        <v>0.39833710156760294</v>
      </c>
      <c r="S326" s="809">
        <f t="shared" si="107"/>
        <v>2</v>
      </c>
      <c r="T326" s="176">
        <f t="shared" si="108"/>
        <v>8</v>
      </c>
      <c r="U326" s="251">
        <f t="shared" si="109"/>
        <v>2.3983371015676029</v>
      </c>
      <c r="V326" s="383">
        <f t="shared" si="110"/>
        <v>18.761265021181604</v>
      </c>
      <c r="W326" s="402">
        <f t="shared" si="111"/>
        <v>0.93527833413956196</v>
      </c>
      <c r="X326" s="157">
        <f t="shared" si="112"/>
        <v>45969</v>
      </c>
      <c r="Y326" s="385">
        <f t="shared" si="113"/>
        <v>0.85530442427633913</v>
      </c>
      <c r="Z326" s="385">
        <f t="shared" si="114"/>
        <v>0.93074033842692871</v>
      </c>
      <c r="AA326" s="386">
        <f t="shared" si="115"/>
        <v>1.0793239659394722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0.13766360444263129</v>
      </c>
      <c r="AD326" s="231">
        <f>(INDEX(Models!$BJ326:$BT326,,AH326)*(1-AF326)+INDEX(Models!$BJ326:$BT326,,AH326+1)*AF326-ERP_i)*AE326*Ramure*Pc/MaxiM</f>
        <v>7.0845655669364571E-2</v>
      </c>
      <c r="AE326" s="305">
        <f t="shared" si="117"/>
        <v>0.8</v>
      </c>
      <c r="AF326" s="177">
        <f t="shared" si="118"/>
        <v>0.59905384873250656</v>
      </c>
      <c r="AG326" s="809">
        <f t="shared" si="124"/>
        <v>3</v>
      </c>
      <c r="AH326" s="176">
        <f t="shared" si="119"/>
        <v>9</v>
      </c>
      <c r="AI326" s="225">
        <f t="shared" si="120"/>
        <v>3.5990538487325066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IF(t&gt;Tmaj,'2024'!Wh/'2024'!Env_an*'2025'!Env_an,0.001*'[13]mon-tableau (3)'!$B$144)</f>
        <v>7.4272869448092225</v>
      </c>
      <c r="C327" s="839"/>
      <c r="D327" s="393">
        <f t="shared" si="102"/>
        <v>8.082549254699547</v>
      </c>
      <c r="E327" s="385">
        <f t="shared" si="125"/>
        <v>8.5726359350679822</v>
      </c>
      <c r="F327" s="385">
        <f t="shared" si="103"/>
        <v>8.6235026351025343</v>
      </c>
      <c r="G327" s="110">
        <f t="shared" si="126"/>
        <v>0.38727972180026943</v>
      </c>
      <c r="H327" s="414" t="b">
        <f>Wh_hp&gt;='2024'!Maxi_hp</f>
        <v>0</v>
      </c>
      <c r="I327" s="390">
        <f>IF(H327,Wh_hp,'2024'!Maxi_hp)</f>
        <v>17.157196529957051</v>
      </c>
      <c r="J327" s="85">
        <f>IF(H327,An,'2024'!An_max)</f>
        <v>2021</v>
      </c>
      <c r="K327" s="197">
        <f t="shared" si="104"/>
        <v>45970</v>
      </c>
      <c r="L327" s="147">
        <f>IF(t&lt;Tvie,1-EXP((T0-t)*PertePVj)+'2024'!Pspv,1-EXP((T0-t)*PertePVj)+Pspv)</f>
        <v>8.1071242406512672E-2</v>
      </c>
      <c r="M327" s="843"/>
      <c r="N327" s="843"/>
      <c r="O327" s="48">
        <f>IF(t&lt;Tnet,'2024'!Resal+('2024'!Salim-'2024'!Resal)*(1-EXP(('2024'!Tnet-t)/('2024'!Tau_j))),Resal+(Salim-Resal)*(1-EXP((Tnet-t)/(Tau_j))))*Salcycl</f>
        <v>5.7168726641433944E-2</v>
      </c>
      <c r="P327" s="169">
        <f>(INDEX(Models!$BJ327:$BT327,,T327)*(1-R327)+INDEX(Models!$BJ327:$BT327,,T327+1)*R327-ERP_i)*Q327*Ramure*Pc/MaxiM</f>
        <v>4.0741575489243509E-2</v>
      </c>
      <c r="Q327" s="305">
        <f t="shared" si="105"/>
        <v>0.8</v>
      </c>
      <c r="R327" s="177">
        <f t="shared" si="106"/>
        <v>0.39838575154576628</v>
      </c>
      <c r="S327" s="809">
        <f t="shared" si="107"/>
        <v>2</v>
      </c>
      <c r="T327" s="176">
        <f t="shared" si="108"/>
        <v>8</v>
      </c>
      <c r="U327" s="251">
        <f t="shared" si="109"/>
        <v>2.3983857515457663</v>
      </c>
      <c r="V327" s="383">
        <f t="shared" si="110"/>
        <v>18.505907500750222</v>
      </c>
      <c r="W327" s="402">
        <f t="shared" si="111"/>
        <v>7.4272869448092225</v>
      </c>
      <c r="X327" s="157">
        <f t="shared" si="112"/>
        <v>45970</v>
      </c>
      <c r="Y327" s="385">
        <f t="shared" si="113"/>
        <v>6.7634896272968916</v>
      </c>
      <c r="Z327" s="385">
        <f t="shared" si="114"/>
        <v>7.3601893198002424</v>
      </c>
      <c r="AA327" s="386">
        <f t="shared" si="115"/>
        <v>8.5348666787364458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0.13763277191696099</v>
      </c>
      <c r="AD327" s="231">
        <f>(INDEX(Models!$BJ327:$BT327,,AH327)*(1-AF327)+INDEX(Models!$BJ327:$BT327,,AH327+1)*AF327-ERP_i)*AE327*Ramure*Pc/MaxiM</f>
        <v>7.099278122813972E-2</v>
      </c>
      <c r="AE327" s="305">
        <f t="shared" si="117"/>
        <v>0.8</v>
      </c>
      <c r="AF327" s="177">
        <f t="shared" si="118"/>
        <v>0.5991024987106699</v>
      </c>
      <c r="AG327" s="809">
        <f t="shared" si="124"/>
        <v>3</v>
      </c>
      <c r="AH327" s="176">
        <f t="shared" si="119"/>
        <v>9</v>
      </c>
      <c r="AI327" s="225">
        <f t="shared" si="120"/>
        <v>3.5991024987106699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IF(t&gt;Tmaj,'2024'!Wh/'2024'!Env_an*'2025'!Env_an,0.001*'[13]mon-tableau (3)'!$B$145)</f>
        <v>16.614938280289646</v>
      </c>
      <c r="C328" s="839"/>
      <c r="D328" s="393">
        <f t="shared" si="102"/>
        <v>18.081199101811787</v>
      </c>
      <c r="E328" s="385">
        <f t="shared" si="125"/>
        <v>19.180332554011336</v>
      </c>
      <c r="F328" s="385">
        <f t="shared" si="103"/>
        <v>19.893136099196902</v>
      </c>
      <c r="G328" s="110">
        <f t="shared" si="126"/>
        <v>0.9050212809392959</v>
      </c>
      <c r="H328" s="414" t="b">
        <f>Wh_hp&gt;='2024'!Maxi_hp</f>
        <v>0</v>
      </c>
      <c r="I328" s="390">
        <f>IF(H328,Wh_hp,'2024'!Maxi_hp)</f>
        <v>19.985849148012122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8.1093118507567313E-2</v>
      </c>
      <c r="M328" s="843"/>
      <c r="N328" s="843"/>
      <c r="O328" s="48">
        <f>IF(t&lt;Tnet,'2024'!Resal+('2024'!Salim-'2024'!Resal)*(1-EXP(('2024'!Tnet-t)/('2024'!Tau_j))),Resal+(Salim-Resal)*(1-EXP((Tnet-t)/(Tau_j))))*Salcycl</f>
        <v>5.7305234364650209E-2</v>
      </c>
      <c r="P328" s="169">
        <f>(INDEX(Models!$BJ328:$BT328,,T328)*(1-R328)+INDEX(Models!$BJ328:$BT328,,T328+1)*R328-ERP_i)*Q328*Ramure*Pc/MaxiM</f>
        <v>4.1117572342878057E-2</v>
      </c>
      <c r="Q328" s="305">
        <f t="shared" si="105"/>
        <v>0.8</v>
      </c>
      <c r="R328" s="177">
        <f t="shared" si="106"/>
        <v>0.39843245015660855</v>
      </c>
      <c r="S328" s="809">
        <f t="shared" si="107"/>
        <v>2</v>
      </c>
      <c r="T328" s="176">
        <f t="shared" si="108"/>
        <v>8</v>
      </c>
      <c r="U328" s="251">
        <f t="shared" si="109"/>
        <v>2.3984324501566086</v>
      </c>
      <c r="V328" s="383">
        <f t="shared" si="110"/>
        <v>18.257967169611021</v>
      </c>
      <c r="W328" s="402">
        <f t="shared" si="111"/>
        <v>16.614938280289646</v>
      </c>
      <c r="X328" s="157">
        <f t="shared" si="112"/>
        <v>45971</v>
      </c>
      <c r="Y328" s="385">
        <f t="shared" si="113"/>
        <v>14.788079240905205</v>
      </c>
      <c r="Z328" s="385">
        <f t="shared" si="114"/>
        <v>16.093120574837034</v>
      </c>
      <c r="AA328" s="386">
        <f t="shared" si="115"/>
        <v>18.660915500932564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0.1376028376510898</v>
      </c>
      <c r="AD328" s="231">
        <f>(INDEX(Models!$BJ328:$BT328,,AH328)*(1-AF328)+INDEX(Models!$BJ328:$BT328,,AH328+1)*AF328-ERP_i)*AE328*Ramure*Pc/MaxiM</f>
        <v>7.1079780584324403E-2</v>
      </c>
      <c r="AE328" s="305">
        <f t="shared" si="117"/>
        <v>0.8</v>
      </c>
      <c r="AF328" s="177">
        <f t="shared" si="118"/>
        <v>0.59914919732151217</v>
      </c>
      <c r="AG328" s="809">
        <f t="shared" si="124"/>
        <v>3</v>
      </c>
      <c r="AH328" s="176">
        <f t="shared" si="119"/>
        <v>9</v>
      </c>
      <c r="AI328" s="225">
        <f t="shared" si="120"/>
        <v>3.5991491973215122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IF(t&gt;Tmaj,'2024'!Wh/'2024'!Env_an*'2025'!Env_an,0.001*'[13]mon-tableau (3)'!$B$146)</f>
        <v>17.980037359723859</v>
      </c>
      <c r="C329" s="839"/>
      <c r="D329" s="393">
        <f t="shared" si="102"/>
        <v>19.567233379876747</v>
      </c>
      <c r="E329" s="385">
        <f t="shared" si="125"/>
        <v>20.75970761816588</v>
      </c>
      <c r="F329" s="385">
        <f t="shared" si="103"/>
        <v>21.655485407963823</v>
      </c>
      <c r="G329" s="110">
        <f t="shared" si="126"/>
        <v>0.99775688279732921</v>
      </c>
      <c r="H329" s="414" t="b">
        <f>Wh_hp&gt;='2024'!Maxi_hp</f>
        <v>0</v>
      </c>
      <c r="I329" s="390">
        <f>IF(H329,Wh_hp,'2024'!Maxi_hp)</f>
        <v>21.657878919803085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8.1114994099533072E-2</v>
      </c>
      <c r="M329" s="843"/>
      <c r="N329" s="843"/>
      <c r="O329" s="48">
        <f>IF(t&lt;Tnet,'2024'!Resal+('2024'!Salim-'2024'!Resal)*(1-EXP(('2024'!Tnet-t)/('2024'!Tau_j))),Resal+(Salim-Resal)*(1-EXP((Tnet-t)/(Tau_j))))*Salcycl</f>
        <v>5.7441764605858536E-2</v>
      </c>
      <c r="P329" s="169">
        <f>(INDEX(Models!$BJ329:$BT329,,T329)*(1-R329)+INDEX(Models!$BJ329:$BT329,,T329+1)*R329-ERP_i)*Q329*Ramure*Pc/MaxiM</f>
        <v>4.1490163968050754E-2</v>
      </c>
      <c r="Q329" s="305">
        <f t="shared" si="105"/>
        <v>0.8</v>
      </c>
      <c r="R329" s="177">
        <f t="shared" si="106"/>
        <v>0.39847727538380529</v>
      </c>
      <c r="S329" s="809">
        <f t="shared" si="107"/>
        <v>2</v>
      </c>
      <c r="T329" s="176">
        <f t="shared" si="108"/>
        <v>8</v>
      </c>
      <c r="U329" s="251">
        <f t="shared" si="109"/>
        <v>2.3984772753838053</v>
      </c>
      <c r="V329" s="383">
        <f t="shared" si="110"/>
        <v>18.018105340849409</v>
      </c>
      <c r="W329" s="402">
        <f t="shared" si="111"/>
        <v>17.980037359723859</v>
      </c>
      <c r="X329" s="157">
        <f t="shared" si="112"/>
        <v>45972</v>
      </c>
      <c r="Y329" s="385">
        <f t="shared" si="113"/>
        <v>15.944787181347394</v>
      </c>
      <c r="Z329" s="385">
        <f t="shared" si="114"/>
        <v>17.352320561289606</v>
      </c>
      <c r="AA329" s="386">
        <f t="shared" si="115"/>
        <v>20.120357315959954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0.13757393624787534</v>
      </c>
      <c r="AD329" s="231">
        <f>(INDEX(Models!$BJ329:$BT329,,AH329)*(1-AF329)+INDEX(Models!$BJ329:$BT329,,AH329+1)*AF329-ERP_i)*AE329*Ramure*Pc/MaxiM</f>
        <v>7.1103254595727902E-2</v>
      </c>
      <c r="AE329" s="305">
        <f t="shared" si="117"/>
        <v>0.8</v>
      </c>
      <c r="AF329" s="177">
        <f t="shared" si="118"/>
        <v>0.5991940225487089</v>
      </c>
      <c r="AG329" s="809">
        <f t="shared" si="124"/>
        <v>3</v>
      </c>
      <c r="AH329" s="176">
        <f t="shared" si="119"/>
        <v>9</v>
      </c>
      <c r="AI329" s="225">
        <f t="shared" si="120"/>
        <v>3.5991940225487089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IF(t&gt;Tmaj,'2024'!Wh/'2024'!Env_an*'2025'!Env_an,0.001*'[13]mon-tableau (3)'!$B$147)</f>
        <v>18.180728610111</v>
      </c>
      <c r="C330" s="839"/>
      <c r="D330" s="393">
        <f t="shared" si="102"/>
        <v>19.786111772636158</v>
      </c>
      <c r="E330" s="385">
        <f t="shared" si="125"/>
        <v>20.994967946153416</v>
      </c>
      <c r="F330" s="385">
        <f t="shared" si="103"/>
        <v>21.912158265711366</v>
      </c>
      <c r="G330" s="110">
        <f t="shared" si="126"/>
        <v>1.0221367254498741</v>
      </c>
      <c r="H330" s="414" t="b">
        <f>Wh_hp&gt;='2024'!Maxi_hp</f>
        <v>1</v>
      </c>
      <c r="I330" s="390">
        <f>IF(H330,Wh_hp,'2024'!Maxi_hp)</f>
        <v>21.912158265711366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8.1136869182421939E-2</v>
      </c>
      <c r="M330" s="843"/>
      <c r="N330" s="843"/>
      <c r="O330" s="48">
        <f>IF(t&lt;Tnet,'2024'!Resal+('2024'!Salim-'2024'!Resal)*(1-EXP(('2024'!Tnet-t)/('2024'!Tau_j))),Resal+(Salim-Resal)*(1-EXP((Tnet-t)/(Tau_j))))*Salcycl</f>
        <v>5.7578376714727861E-2</v>
      </c>
      <c r="P330" s="169">
        <f>(INDEX(Models!$BJ330:$BT330,,T330)*(1-R330)+INDEX(Models!$BJ330:$BT330,,T330+1)*R330-ERP_i)*Q330*Ramure*Pc/MaxiM</f>
        <v>4.1857598344987715E-2</v>
      </c>
      <c r="Q330" s="305">
        <f t="shared" si="105"/>
        <v>0.8</v>
      </c>
      <c r="R330" s="177">
        <f t="shared" si="106"/>
        <v>0.39852030211708112</v>
      </c>
      <c r="S330" s="809">
        <f t="shared" si="107"/>
        <v>2</v>
      </c>
      <c r="T330" s="176">
        <f t="shared" si="108"/>
        <v>8</v>
      </c>
      <c r="U330" s="251">
        <f t="shared" si="109"/>
        <v>2.3985203021170811</v>
      </c>
      <c r="V330" s="383">
        <f t="shared" si="110"/>
        <v>17.786983049756966</v>
      </c>
      <c r="W330" s="402">
        <f t="shared" si="111"/>
        <v>18.180728610111</v>
      </c>
      <c r="X330" s="157">
        <f t="shared" si="112"/>
        <v>45973</v>
      </c>
      <c r="Y330" s="385">
        <f t="shared" si="113"/>
        <v>16.130937736849749</v>
      </c>
      <c r="Z330" s="385">
        <f t="shared" si="114"/>
        <v>17.5553215662238</v>
      </c>
      <c r="AA330" s="386">
        <f t="shared" si="115"/>
        <v>20.355086307419459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0.13754619847399713</v>
      </c>
      <c r="AD330" s="231">
        <f>(INDEX(Models!$BJ330:$BT330,,AH330)*(1-AF330)+INDEX(Models!$BJ330:$BT330,,AH330+1)*AF330-ERP_i)*AE330*Ramure*Pc/MaxiM</f>
        <v>7.1059725811147001E-2</v>
      </c>
      <c r="AE330" s="305">
        <f t="shared" si="117"/>
        <v>0.8</v>
      </c>
      <c r="AF330" s="177">
        <f t="shared" si="118"/>
        <v>0.59923704928198473</v>
      </c>
      <c r="AG330" s="809">
        <f t="shared" si="124"/>
        <v>3</v>
      </c>
      <c r="AH330" s="176">
        <f t="shared" si="119"/>
        <v>9</v>
      </c>
      <c r="AI330" s="225">
        <f t="shared" si="120"/>
        <v>3.5992370492819847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IF(t&gt;Tmaj,'2024'!Wh/'2024'!Env_an*'2025'!Env_an,0.001*'[13]mon-tableau (3)'!$B$148)</f>
        <v>17.516782102189556</v>
      </c>
      <c r="C331" s="839"/>
      <c r="D331" s="393">
        <f t="shared" si="102"/>
        <v>19.063991721267055</v>
      </c>
      <c r="E331" s="385">
        <f t="shared" si="125"/>
        <v>20.231664863056796</v>
      </c>
      <c r="F331" s="385">
        <f t="shared" si="103"/>
        <v>21.120022575580723</v>
      </c>
      <c r="G331" s="110">
        <f t="shared" si="126"/>
        <v>0.99718088096833246</v>
      </c>
      <c r="H331" s="414" t="b">
        <f>Wh_hp&gt;='2024'!Maxi_hp</f>
        <v>0</v>
      </c>
      <c r="I331" s="390">
        <f>IF(H331,Wh_hp,'2024'!Maxi_hp)</f>
        <v>21.123000933531273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8.1158743756245572E-2</v>
      </c>
      <c r="M331" s="843"/>
      <c r="N331" s="843"/>
      <c r="O331" s="48">
        <f>IF(t&lt;Tnet,'2024'!Resal+('2024'!Salim-'2024'!Resal)*(1-EXP(('2024'!Tnet-t)/('2024'!Tau_j))),Resal+(Salim-Resal)*(1-EXP((Tnet-t)/(Tau_j))))*Salcycl</f>
        <v>5.771512871992681E-2</v>
      </c>
      <c r="P331" s="169">
        <f>(INDEX(Models!$BJ331:$BT331,,T331)*(1-R331)+INDEX(Models!$BJ331:$BT331,,T331+1)*R331-ERP_i)*Q331*Ramure*Pc/MaxiM</f>
        <v>4.2222341765483042E-2</v>
      </c>
      <c r="Q331" s="305">
        <f t="shared" si="105"/>
        <v>0.8</v>
      </c>
      <c r="R331" s="177">
        <f t="shared" si="106"/>
        <v>0.39856160227318194</v>
      </c>
      <c r="S331" s="809">
        <f t="shared" si="107"/>
        <v>2</v>
      </c>
      <c r="T331" s="176">
        <f t="shared" si="108"/>
        <v>8</v>
      </c>
      <c r="U331" s="251">
        <f t="shared" si="109"/>
        <v>2.3985616022731819</v>
      </c>
      <c r="V331" s="383">
        <f t="shared" si="110"/>
        <v>17.563369673676007</v>
      </c>
      <c r="W331" s="402">
        <f t="shared" si="111"/>
        <v>17.516782102189556</v>
      </c>
      <c r="X331" s="157">
        <f t="shared" si="112"/>
        <v>45974</v>
      </c>
      <c r="Y331" s="385">
        <f t="shared" si="113"/>
        <v>15.554189400808692</v>
      </c>
      <c r="Z331" s="385">
        <f t="shared" si="114"/>
        <v>16.928048555845869</v>
      </c>
      <c r="AA331" s="386">
        <f t="shared" si="115"/>
        <v>19.627172412067225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0.13751975065760749</v>
      </c>
      <c r="AD331" s="231">
        <f>(INDEX(Models!$BJ331:$BT331,,AH331)*(1-AF331)+INDEX(Models!$BJ331:$BT331,,AH331+1)*AF331-ERP_i)*AE331*Ramure*Pc/MaxiM</f>
        <v>7.0952983150722113E-2</v>
      </c>
      <c r="AE331" s="305">
        <f t="shared" si="117"/>
        <v>0.8</v>
      </c>
      <c r="AF331" s="177">
        <f t="shared" si="118"/>
        <v>0.59927834943808556</v>
      </c>
      <c r="AG331" s="809">
        <f t="shared" si="124"/>
        <v>3</v>
      </c>
      <c r="AH331" s="176">
        <f t="shared" si="119"/>
        <v>9</v>
      </c>
      <c r="AI331" s="225">
        <f t="shared" si="120"/>
        <v>3.5992783494380856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IF(t&gt;Tmaj,'2024'!Wh/'2024'!Env_an*'2025'!Env_an,0.001*'[13]mon-tableau (3)'!$B$149)</f>
        <v>7.2425353664395073</v>
      </c>
      <c r="C332" s="839"/>
      <c r="D332" s="393">
        <f t="shared" si="102"/>
        <v>7.8824364253873309</v>
      </c>
      <c r="E332" s="385">
        <f t="shared" si="125"/>
        <v>8.3664531157519164</v>
      </c>
      <c r="F332" s="385">
        <f t="shared" si="103"/>
        <v>8.4266798845913691</v>
      </c>
      <c r="G332" s="110">
        <f t="shared" si="126"/>
        <v>0.40263730218906024</v>
      </c>
      <c r="H332" s="414" t="b">
        <f>Wh_hp&gt;='2024'!Maxi_hp</f>
        <v>0</v>
      </c>
      <c r="I332" s="390">
        <f>IF(H332,Wh_hp,'2024'!Maxi_hp)</f>
        <v>16.142697199455277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8.118061782101596E-2</v>
      </c>
      <c r="M332" s="843"/>
      <c r="N332" s="843"/>
      <c r="O332" s="48">
        <f>IF(t&lt;Tnet,'2024'!Resal+('2024'!Salim-'2024'!Resal)*(1-EXP(('2024'!Tnet-t)/('2024'!Tau_j))),Resal+(Salim-Resal)*(1-EXP((Tnet-t)/(Tau_j))))*Salcycl</f>
        <v>5.7852077059190724E-2</v>
      </c>
      <c r="P332" s="169">
        <f>(INDEX(Models!$BJ332:$BT332,,T332)*(1-R332)+INDEX(Models!$BJ332:$BT332,,T332+1)*R332-ERP_i)*Q332*Ramure*Pc/MaxiM</f>
        <v>4.25669430387665E-2</v>
      </c>
      <c r="Q332" s="305">
        <f t="shared" si="105"/>
        <v>0.8</v>
      </c>
      <c r="R332" s="177">
        <f t="shared" si="106"/>
        <v>0.39860124491225601</v>
      </c>
      <c r="S332" s="809">
        <f t="shared" si="107"/>
        <v>2</v>
      </c>
      <c r="T332" s="176">
        <f t="shared" si="108"/>
        <v>8</v>
      </c>
      <c r="U332" s="251">
        <f t="shared" si="109"/>
        <v>2.398601244912256</v>
      </c>
      <c r="V332" s="383">
        <f t="shared" si="110"/>
        <v>17.346032258383946</v>
      </c>
      <c r="W332" s="402">
        <f t="shared" si="111"/>
        <v>7.2425353664395073</v>
      </c>
      <c r="X332" s="157">
        <f t="shared" si="112"/>
        <v>45975</v>
      </c>
      <c r="Y332" s="385">
        <f t="shared" si="113"/>
        <v>6.5986751665896906</v>
      </c>
      <c r="Z332" s="385">
        <f t="shared" si="114"/>
        <v>7.1816891269107801</v>
      </c>
      <c r="AA332" s="386">
        <f t="shared" si="115"/>
        <v>8.3265450593811963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0.13749471411081252</v>
      </c>
      <c r="AD332" s="231">
        <f>(INDEX(Models!$BJ332:$BT332,,AH332)*(1-AF332)+INDEX(Models!$BJ332:$BT332,,AH332+1)*AF332-ERP_i)*AE332*Ramure*Pc/MaxiM</f>
        <v>7.0773071228189488E-2</v>
      </c>
      <c r="AE332" s="305">
        <f t="shared" si="117"/>
        <v>0.8</v>
      </c>
      <c r="AF332" s="177">
        <f t="shared" si="118"/>
        <v>0.59931799207715963</v>
      </c>
      <c r="AG332" s="809">
        <f t="shared" si="124"/>
        <v>3</v>
      </c>
      <c r="AH332" s="176">
        <f t="shared" si="119"/>
        <v>9</v>
      </c>
      <c r="AI332" s="225">
        <f t="shared" si="120"/>
        <v>3.5993179920771596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IF(t&gt;Tmaj,'2024'!Wh/'2024'!Env_an*'2025'!Env_an,0.001*'[13]mon-tableau (3)'!$B$150)</f>
        <v>9.8847558249018626</v>
      </c>
      <c r="C333" s="839"/>
      <c r="D333" s="393">
        <f t="shared" si="102"/>
        <v>10.758361589065888</v>
      </c>
      <c r="E333" s="385">
        <f t="shared" si="125"/>
        <v>11.420636006154984</v>
      </c>
      <c r="F333" s="385">
        <f t="shared" si="103"/>
        <v>11.617679125587777</v>
      </c>
      <c r="G333" s="110">
        <f t="shared" si="126"/>
        <v>0.56165695278291672</v>
      </c>
      <c r="H333" s="414" t="b">
        <f>Wh_hp&gt;='2024'!Maxi_hp</f>
        <v>0</v>
      </c>
      <c r="I333" s="390">
        <f>IF(H333,Wh_hp,'2024'!Maxi_hp)</f>
        <v>20.45344773267831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8.1202491376744873E-2</v>
      </c>
      <c r="M333" s="843"/>
      <c r="N333" s="843"/>
      <c r="O333" s="48">
        <f>IF(t&lt;Tnet,'2024'!Resal+('2024'!Salim-'2024'!Resal)*(1-EXP(('2024'!Tnet-t)/('2024'!Tau_j))),Resal+(Salim-Resal)*(1-EXP((Tnet-t)/(Tau_j))))*Salcycl</f>
        <v>5.7989276318076606E-2</v>
      </c>
      <c r="P333" s="169">
        <f>(INDEX(Models!$BJ333:$BT333,,T333)*(1-R333)+INDEX(Models!$BJ333:$BT333,,T333+1)*R333-ERP_i)*Q333*Ramure*Pc/MaxiM</f>
        <v>4.2881267706954003E-2</v>
      </c>
      <c r="Q333" s="305">
        <f t="shared" si="105"/>
        <v>0.8</v>
      </c>
      <c r="R333" s="177">
        <f t="shared" si="106"/>
        <v>0.39863929634980977</v>
      </c>
      <c r="S333" s="809">
        <f t="shared" si="107"/>
        <v>2</v>
      </c>
      <c r="T333" s="176">
        <f t="shared" si="108"/>
        <v>8</v>
      </c>
      <c r="U333" s="251">
        <f t="shared" si="109"/>
        <v>2.3986392963498098</v>
      </c>
      <c r="V333" s="383">
        <f t="shared" si="110"/>
        <v>17.135220984755634</v>
      </c>
      <c r="W333" s="402">
        <f t="shared" si="111"/>
        <v>9.8847558249018626</v>
      </c>
      <c r="X333" s="157">
        <f t="shared" si="112"/>
        <v>45976</v>
      </c>
      <c r="Y333" s="385">
        <f t="shared" si="113"/>
        <v>8.9500233665775664</v>
      </c>
      <c r="Z333" s="385">
        <f t="shared" si="114"/>
        <v>9.7410183229474168</v>
      </c>
      <c r="AA333" s="386">
        <f t="shared" si="115"/>
        <v>11.293557240853124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0.13747120458110221</v>
      </c>
      <c r="AD333" s="231">
        <f>(INDEX(Models!$BJ333:$BT333,,AH333)*(1-AF333)+INDEX(Models!$BJ333:$BT333,,AH333+1)*AF333-ERP_i)*AE333*Ramure*Pc/MaxiM</f>
        <v>7.0536628475016169E-2</v>
      </c>
      <c r="AE333" s="305">
        <f t="shared" si="117"/>
        <v>0.8</v>
      </c>
      <c r="AF333" s="177">
        <f t="shared" si="118"/>
        <v>0.59935604351471383</v>
      </c>
      <c r="AG333" s="809">
        <f t="shared" si="124"/>
        <v>3</v>
      </c>
      <c r="AH333" s="176">
        <f t="shared" si="119"/>
        <v>9</v>
      </c>
      <c r="AI333" s="225">
        <f t="shared" si="120"/>
        <v>3.5993560435147138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IF(t&gt;Tmaj,'2024'!Wh/'2024'!Env_an*'2025'!Env_an,0.001*'[13]mon-tableau (3)'!$B$151)</f>
        <v>17.704967877487274</v>
      </c>
      <c r="C334" s="839"/>
      <c r="D334" s="393">
        <f t="shared" si="102"/>
        <v>19.270175646720258</v>
      </c>
      <c r="E334" s="385">
        <f t="shared" si="125"/>
        <v>20.459415573825712</v>
      </c>
      <c r="F334" s="385">
        <f t="shared" si="103"/>
        <v>21.38237855654209</v>
      </c>
      <c r="G334" s="110">
        <f t="shared" si="126"/>
        <v>1.0457124086047511</v>
      </c>
      <c r="H334" s="414" t="b">
        <f>Wh_hp&gt;='2024'!Maxi_hp</f>
        <v>1</v>
      </c>
      <c r="I334" s="390">
        <f>IF(H334,Wh_hp,'2024'!Maxi_hp)</f>
        <v>21.38237855654209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8.122436442344419E-2</v>
      </c>
      <c r="M334" s="843"/>
      <c r="N334" s="843"/>
      <c r="O334" s="48">
        <f>IF(t&lt;Tnet,'2024'!Resal+('2024'!Salim-'2024'!Resal)*(1-EXP(('2024'!Tnet-t)/('2024'!Tau_j))),Resal+(Salim-Resal)*(1-EXP((Tnet-t)/(Tau_j))))*Salcycl</f>
        <v>5.8126778979301935E-2</v>
      </c>
      <c r="P334" s="169">
        <f>(INDEX(Models!$BJ334:$BT334,,T334)*(1-R334)+INDEX(Models!$BJ334:$BT334,,T334+1)*R334-ERP_i)*Q334*Ramure*Pc/MaxiM</f>
        <v>4.3164654496961531E-2</v>
      </c>
      <c r="Q334" s="305">
        <f t="shared" si="105"/>
        <v>0.8</v>
      </c>
      <c r="R334" s="177">
        <f t="shared" si="106"/>
        <v>0.39867582026439763</v>
      </c>
      <c r="S334" s="809">
        <f t="shared" si="107"/>
        <v>2</v>
      </c>
      <c r="T334" s="176">
        <f t="shared" si="108"/>
        <v>8</v>
      </c>
      <c r="U334" s="251">
        <f t="shared" si="109"/>
        <v>2.3986758202643976</v>
      </c>
      <c r="V334" s="383">
        <f t="shared" si="110"/>
        <v>16.931010602724172</v>
      </c>
      <c r="W334" s="402">
        <f t="shared" si="111"/>
        <v>17.704967877487274</v>
      </c>
      <c r="X334" s="157">
        <f t="shared" si="112"/>
        <v>45977</v>
      </c>
      <c r="Y334" s="385">
        <f t="shared" si="113"/>
        <v>15.755045185959242</v>
      </c>
      <c r="Z334" s="385">
        <f t="shared" si="114"/>
        <v>17.147870030393804</v>
      </c>
      <c r="AA334" s="386">
        <f t="shared" si="115"/>
        <v>19.880420549553325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0.13744933173563648</v>
      </c>
      <c r="AD334" s="231">
        <f>(INDEX(Models!$BJ334:$BT334,,AH334)*(1-AF334)+INDEX(Models!$BJ334:$BT334,,AH334+1)*AF334-ERP_i)*AE334*Ramure*Pc/MaxiM</f>
        <v>7.0242793757349764E-2</v>
      </c>
      <c r="AE334" s="305">
        <f t="shared" si="117"/>
        <v>0.8</v>
      </c>
      <c r="AF334" s="177">
        <f t="shared" si="118"/>
        <v>0.59939256742930125</v>
      </c>
      <c r="AG334" s="809">
        <f t="shared" si="124"/>
        <v>3</v>
      </c>
      <c r="AH334" s="176">
        <f t="shared" si="119"/>
        <v>9</v>
      </c>
      <c r="AI334" s="225">
        <f t="shared" si="120"/>
        <v>3.5993925674293012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IF(t&gt;Tmaj,'2024'!Wh/'2024'!Env_an*'2025'!Env_an,0.001*'[13]mon-tableau (3)'!$B$152)</f>
        <v>10.357870648065434</v>
      </c>
      <c r="C335" s="839"/>
      <c r="D335" s="393">
        <f t="shared" ref="D335:D379" si="127">Wh/(1-Ppv)</f>
        <v>11.273826638604117</v>
      </c>
      <c r="E335" s="385">
        <f t="shared" si="125"/>
        <v>11.97133192594155</v>
      </c>
      <c r="F335" s="385">
        <f t="shared" ref="F335:F379" si="128">Wh_sa/(1-Pvg*MEDIAN((-Sdif+Wh/Env_an)/Csdif,0,1))</f>
        <v>12.212964507130947</v>
      </c>
      <c r="G335" s="110">
        <f t="shared" si="126"/>
        <v>0.60406801821780565</v>
      </c>
      <c r="H335" s="414" t="b">
        <f>Wh_hp&gt;='2024'!Maxi_hp</f>
        <v>0</v>
      </c>
      <c r="I335" s="390">
        <f>IF(H335,Wh_hp,'2024'!Maxi_hp)</f>
        <v>19.633088626435899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8.124623696112579E-2</v>
      </c>
      <c r="M335" s="843"/>
      <c r="N335" s="843"/>
      <c r="O335" s="48">
        <f>IF(t&lt;Tnet,'2024'!Resal+('2024'!Salim-'2024'!Resal)*(1-EXP(('2024'!Tnet-t)/('2024'!Tau_j))),Resal+(Salim-Resal)*(1-EXP((Tnet-t)/(Tau_j))))*Salcycl</f>
        <v>5.826463518449089E-2</v>
      </c>
      <c r="P335" s="169">
        <f>(INDEX(Models!$BJ335:$BT335,,T335)*(1-R335)+INDEX(Models!$BJ335:$BT335,,T335+1)*R335-ERP_i)*Q335*Ramure*Pc/MaxiM</f>
        <v>4.3416426214115546E-2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0.3987108778011903</v>
      </c>
      <c r="S335" s="809">
        <f t="shared" ref="S335:S379" si="132">INDEX(Echel_vg,T335)</f>
        <v>2</v>
      </c>
      <c r="T335" s="176">
        <f t="shared" ref="T335:T379" si="133">MIN(MATCH(Hp_vg,Echel_vg),10)</f>
        <v>8</v>
      </c>
      <c r="U335" s="251">
        <f t="shared" ref="U335:U379" si="134">IF(OR(t&lt;Ttai,Notai),Hdd+PousH*Croivg,Hdtf+PousH*(Croivg-Croi_tai))</f>
        <v>2.3987108778011903</v>
      </c>
      <c r="V335" s="383">
        <f t="shared" ref="V335:V379" si="135">MaxiM*(1-Ppv)*(1-Pvg)*(1-Psa)</f>
        <v>16.733476630228253</v>
      </c>
      <c r="W335" s="402">
        <f t="shared" ref="W335:W379" si="136">Wh*(A335&gt;Tmaj)</f>
        <v>10.357870648065434</v>
      </c>
      <c r="X335" s="157">
        <f t="shared" ref="X335:X379" si="137">t</f>
        <v>45978</v>
      </c>
      <c r="Y335" s="385">
        <f t="shared" ref="Y335:Y379" si="138">Wh_pvt_s*(1-Ppv)</f>
        <v>9.3703960907163211</v>
      </c>
      <c r="Z335" s="385">
        <f t="shared" ref="Z335:Z379" si="139">Wh_sa_s*(1-Psa_s)</f>
        <v>10.199028801496013</v>
      </c>
      <c r="AA335" s="386">
        <f t="shared" ref="AA335:AA379" si="140">Wh_hp*(1-Pvg_s*MEDIAN((-Sdif+Wh/Env_an)/Csdif,0,1))</f>
        <v>11.823990315823954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0.13742919868204459</v>
      </c>
      <c r="AD335" s="231">
        <f>(INDEX(Models!$BJ335:$BT335,,AH335)*(1-AF335)+INDEX(Models!$BJ335:$BT335,,AH335+1)*AF335-ERP_i)*AE335*Ramure*Pc/MaxiM</f>
        <v>6.9890696001952773E-2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0.59942762496609436</v>
      </c>
      <c r="AG335" s="809">
        <f t="shared" si="124"/>
        <v>3</v>
      </c>
      <c r="AH335" s="176">
        <f t="shared" ref="AH335:AH379" si="144">MIN(MATCH(Hp_vg_s,Echel_vg),10)</f>
        <v>9</v>
      </c>
      <c r="AI335" s="225">
        <f t="shared" ref="AI335:AI379" si="145">IF(OR(t&lt;Ttai,Notai),Hdd_s+PousH*Croivg,Hdtai_s+PousH*(Croivg-Croi_tai))</f>
        <v>3.5994276249660944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IF(t&gt;Tmaj,'2024'!Wh/'2024'!Env_an*'2025'!Env_an,0.001*'[13]mon-tableau (3)'!$B$153)</f>
        <v>10.735455259289626</v>
      </c>
      <c r="C336" s="839"/>
      <c r="D336" s="393">
        <f t="shared" si="127"/>
        <v>11.685079580164976</v>
      </c>
      <c r="E336" s="385">
        <f t="shared" si="125"/>
        <v>12.409850760177516</v>
      </c>
      <c r="F336" s="385">
        <f t="shared" si="128"/>
        <v>12.685802041639493</v>
      </c>
      <c r="G336" s="110">
        <f t="shared" si="126"/>
        <v>0.63443748391674393</v>
      </c>
      <c r="H336" s="414" t="b">
        <f>Wh_hp&gt;='2024'!Maxi_hp</f>
        <v>0</v>
      </c>
      <c r="I336" s="390">
        <f>IF(H336,Wh_hp,'2024'!Maxi_hp)</f>
        <v>18.436950655926712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8.1268108989801441E-2</v>
      </c>
      <c r="M336" s="843"/>
      <c r="N336" s="843"/>
      <c r="O336" s="48">
        <f>IF(t&lt;Tnet,'2024'!Resal+('2024'!Salim-'2024'!Resal)*(1-EXP(('2024'!Tnet-t)/('2024'!Tau_j))),Resal+(Salim-Resal)*(1-EXP((Tnet-t)/(Tau_j))))*Salcycl</f>
        <v>5.8402892510060637E-2</v>
      </c>
      <c r="P336" s="169">
        <f>(INDEX(Models!$BJ336:$BT336,,T336)*(1-R336)+INDEX(Models!$BJ336:$BT336,,T336+1)*R336-ERP_i)*Q336*Ramure*Pc/MaxiM</f>
        <v>4.3635888736176839E-2</v>
      </c>
      <c r="Q336" s="305">
        <f t="shared" si="130"/>
        <v>0.8</v>
      </c>
      <c r="R336" s="177">
        <f t="shared" si="131"/>
        <v>0.39874452767158663</v>
      </c>
      <c r="S336" s="809">
        <f t="shared" si="132"/>
        <v>2</v>
      </c>
      <c r="T336" s="176">
        <f t="shared" si="133"/>
        <v>8</v>
      </c>
      <c r="U336" s="251">
        <f t="shared" si="134"/>
        <v>2.3987445276715866</v>
      </c>
      <c r="V336" s="383">
        <f t="shared" si="135"/>
        <v>16.542695426216667</v>
      </c>
      <c r="W336" s="402">
        <f t="shared" si="136"/>
        <v>10.735455259289626</v>
      </c>
      <c r="X336" s="157">
        <f t="shared" si="137"/>
        <v>45979</v>
      </c>
      <c r="Y336" s="385">
        <f t="shared" si="138"/>
        <v>9.705140125984661</v>
      </c>
      <c r="Z336" s="385">
        <f t="shared" si="139"/>
        <v>10.563626038183241</v>
      </c>
      <c r="AA336" s="386">
        <f t="shared" si="140"/>
        <v>12.246417276672592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0.13741090152911822</v>
      </c>
      <c r="AD336" s="231">
        <f>(INDEX(Models!$BJ336:$BT336,,AH336)*(1-AF336)+INDEX(Models!$BJ336:$BT336,,AH336+1)*AF336-ERP_i)*AE336*Ramure*Pc/MaxiM</f>
        <v>6.9479455267935308E-2</v>
      </c>
      <c r="AE336" s="305">
        <f t="shared" si="142"/>
        <v>0.8</v>
      </c>
      <c r="AF336" s="177">
        <f t="shared" si="143"/>
        <v>0.59946127483649025</v>
      </c>
      <c r="AG336" s="809">
        <f t="shared" ref="AG336:AG379" si="149">INDEX(Echel_vg,AH336)</f>
        <v>3</v>
      </c>
      <c r="AH336" s="176">
        <f t="shared" si="144"/>
        <v>9</v>
      </c>
      <c r="AI336" s="225">
        <f t="shared" si="145"/>
        <v>3.5994612748364903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IF(t&gt;Tmaj,'2024'!Wh/'2024'!Env_an*'2025'!Env_an,0.001*'[13]mon-tableau (3)'!$B$154)</f>
        <v>7.0414542103831144</v>
      </c>
      <c r="C337" s="839"/>
      <c r="D337" s="393">
        <f t="shared" si="127"/>
        <v>7.6645013780170244</v>
      </c>
      <c r="E337" s="385">
        <f t="shared" si="125"/>
        <v>8.1410940127462119</v>
      </c>
      <c r="F337" s="385">
        <f t="shared" si="128"/>
        <v>8.208121237319423</v>
      </c>
      <c r="G337" s="110">
        <f t="shared" si="126"/>
        <v>0.41496549522496839</v>
      </c>
      <c r="H337" s="414" t="b">
        <f>Wh_hp&gt;='2024'!Maxi_hp</f>
        <v>0</v>
      </c>
      <c r="I337" s="390">
        <f>IF(H337,Wh_hp,'2024'!Maxi_hp)</f>
        <v>19.188007096665945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8.1289980509483134E-2</v>
      </c>
      <c r="M337" s="843"/>
      <c r="N337" s="843"/>
      <c r="O337" s="48">
        <f>IF(t&lt;Tnet,'2024'!Resal+('2024'!Salim-'2024'!Resal)*(1-EXP(('2024'!Tnet-t)/('2024'!Tau_j))),Resal+(Salim-Resal)*(1-EXP((Tnet-t)/(Tau_j))))*Salcycl</f>
        <v>5.8541595758875187E-2</v>
      </c>
      <c r="P337" s="169">
        <f>(INDEX(Models!$BJ337:$BT337,,T337)*(1-R337)+INDEX(Models!$BJ337:$BT337,,T337+1)*R337-ERP_i)*Q337*Ramure*Pc/MaxiM</f>
        <v>4.3822330514337822E-2</v>
      </c>
      <c r="Q337" s="305">
        <f t="shared" si="130"/>
        <v>0.8</v>
      </c>
      <c r="R337" s="177">
        <f t="shared" si="131"/>
        <v>0.39877682624899125</v>
      </c>
      <c r="S337" s="809">
        <f t="shared" si="132"/>
        <v>2</v>
      </c>
      <c r="T337" s="176">
        <f t="shared" si="133"/>
        <v>8</v>
      </c>
      <c r="U337" s="251">
        <f t="shared" si="134"/>
        <v>2.3987768262489912</v>
      </c>
      <c r="V337" s="383">
        <f t="shared" si="135"/>
        <v>16.358744251183246</v>
      </c>
      <c r="W337" s="402">
        <f t="shared" si="136"/>
        <v>7.0414542103831144</v>
      </c>
      <c r="X337" s="157">
        <f t="shared" si="137"/>
        <v>45980</v>
      </c>
      <c r="Y337" s="385">
        <f t="shared" si="138"/>
        <v>6.4211607662794323</v>
      </c>
      <c r="Z337" s="385">
        <f t="shared" si="139"/>
        <v>6.9893226698892148</v>
      </c>
      <c r="AA337" s="386">
        <f t="shared" si="140"/>
        <v>8.1025716909833889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0.13739452899046939</v>
      </c>
      <c r="AD337" s="231">
        <f>(INDEX(Models!$BJ337:$BT337,,AH337)*(1-AF337)+INDEX(Models!$BJ337:$BT337,,AH337+1)*AF337-ERP_i)*AE337*Ramure*Pc/MaxiM</f>
        <v>6.9008184877534323E-2</v>
      </c>
      <c r="AE337" s="305">
        <f t="shared" si="142"/>
        <v>0.8</v>
      </c>
      <c r="AF337" s="177">
        <f t="shared" si="143"/>
        <v>0.59949357341389486</v>
      </c>
      <c r="AG337" s="809">
        <f t="shared" si="149"/>
        <v>3</v>
      </c>
      <c r="AH337" s="176">
        <f t="shared" si="144"/>
        <v>9</v>
      </c>
      <c r="AI337" s="225">
        <f t="shared" si="145"/>
        <v>3.5994935734138949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IF(t&gt;Tmaj,'2024'!Wh/'2024'!Env_an*'2025'!Env_an,0.001*'[13]mon-tableau (3)'!$B$155)</f>
        <v>11.208103420326214</v>
      </c>
      <c r="C338" s="839"/>
      <c r="D338" s="393">
        <f t="shared" si="127"/>
        <v>12.200117568592367</v>
      </c>
      <c r="E338" s="385">
        <f t="shared" si="125"/>
        <v>12.960659250456317</v>
      </c>
      <c r="F338" s="385">
        <f t="shared" si="128"/>
        <v>13.288274685875963</v>
      </c>
      <c r="G338" s="110">
        <f t="shared" si="126"/>
        <v>0.6789201397778386</v>
      </c>
      <c r="H338" s="414" t="b">
        <f>Wh_hp&gt;='2024'!Maxi_hp</f>
        <v>0</v>
      </c>
      <c r="I338" s="390">
        <f>IF(H338,Wh_hp,'2024'!Maxi_hp)</f>
        <v>20.296414509075642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8.1311851520182526E-2</v>
      </c>
      <c r="M338" s="843"/>
      <c r="N338" s="843"/>
      <c r="O338" s="48">
        <f>IF(t&lt;Tnet,'2024'!Resal+('2024'!Salim-'2024'!Resal)*(1-EXP(('2024'!Tnet-t)/('2024'!Tau_j))),Resal+(Salim-Resal)*(1-EXP((Tnet-t)/(Tau_j))))*Salcycl</f>
        <v>5.8680786769174119E-2</v>
      </c>
      <c r="P338" s="169">
        <f>(INDEX(Models!$BJ338:$BT338,,T338)*(1-R338)+INDEX(Models!$BJ338:$BT338,,T338+1)*R338-ERP_i)*Q338*Ramure*Pc/MaxiM</f>
        <v>4.3955594205155317E-2</v>
      </c>
      <c r="Q338" s="305">
        <f t="shared" si="130"/>
        <v>0.8</v>
      </c>
      <c r="R338" s="177">
        <f t="shared" si="131"/>
        <v>0.39880782766091816</v>
      </c>
      <c r="S338" s="809">
        <f t="shared" si="132"/>
        <v>2</v>
      </c>
      <c r="T338" s="176">
        <f t="shared" si="133"/>
        <v>8</v>
      </c>
      <c r="U338" s="251">
        <f t="shared" si="134"/>
        <v>2.3988078276609182</v>
      </c>
      <c r="V338" s="383">
        <f t="shared" si="135"/>
        <v>16.182030170507126</v>
      </c>
      <c r="W338" s="402">
        <f t="shared" si="136"/>
        <v>11.208103420326214</v>
      </c>
      <c r="X338" s="157">
        <f t="shared" si="137"/>
        <v>45981</v>
      </c>
      <c r="Y338" s="385">
        <f t="shared" si="138"/>
        <v>10.126223831885023</v>
      </c>
      <c r="Z338" s="385">
        <f t="shared" si="139"/>
        <v>11.022482273926366</v>
      </c>
      <c r="AA338" s="386">
        <f t="shared" si="140"/>
        <v>12.777914196727981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0.13738016203388853</v>
      </c>
      <c r="AD338" s="231">
        <f>(INDEX(Models!$BJ338:$BT338,,AH338)*(1-AF338)+INDEX(Models!$BJ338:$BT338,,AH338+1)*AF338-ERP_i)*AE338*Ramure*Pc/MaxiM</f>
        <v>6.8474180804693391E-2</v>
      </c>
      <c r="AE338" s="305">
        <f t="shared" si="142"/>
        <v>0.8</v>
      </c>
      <c r="AF338" s="177">
        <f t="shared" si="143"/>
        <v>0.59952457482582178</v>
      </c>
      <c r="AG338" s="809">
        <f t="shared" si="149"/>
        <v>3</v>
      </c>
      <c r="AH338" s="176">
        <f t="shared" si="144"/>
        <v>9</v>
      </c>
      <c r="AI338" s="225">
        <f t="shared" si="145"/>
        <v>3.5995245748258218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IF(t&gt;Tmaj,'2024'!Wh/'2024'!Env_an*'2025'!Env_an,0.001*'[13]mon-tableau (3)'!$B$156)</f>
        <v>3.0464836057630378</v>
      </c>
      <c r="C339" s="839"/>
      <c r="D339" s="393">
        <f t="shared" si="127"/>
        <v>3.3162027156021292</v>
      </c>
      <c r="E339" s="385">
        <f t="shared" si="125"/>
        <v>3.5234540600907187</v>
      </c>
      <c r="F339" s="385">
        <f t="shared" si="128"/>
        <v>3.5234540600907187</v>
      </c>
      <c r="G339" s="110">
        <f t="shared" si="126"/>
        <v>0.18187726349465644</v>
      </c>
      <c r="H339" s="414" t="b">
        <f>Wh_hp&gt;='2024'!Maxi_hp</f>
        <v>0</v>
      </c>
      <c r="I339" s="390">
        <f>IF(H339,Wh_hp,'2024'!Maxi_hp)</f>
        <v>20.252187824566644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8.1333722021911498E-2</v>
      </c>
      <c r="M339" s="843"/>
      <c r="N339" s="843"/>
      <c r="O339" s="48">
        <f>IF(t&lt;Tnet,'2024'!Resal+('2024'!Salim-'2024'!Resal)*(1-EXP(('2024'!Tnet-t)/('2024'!Tau_j))),Resal+(Salim-Resal)*(1-EXP((Tnet-t)/(Tau_j))))*Salcycl</f>
        <v>5.8820504242150851E-2</v>
      </c>
      <c r="P339" s="169">
        <f>(INDEX(Models!$BJ339:$BT339,,T339)*(1-R339)+INDEX(Models!$BJ339:$BT339,,T339+1)*R339-ERP_i)*Q339*Ramure*Pc/MaxiM</f>
        <v>4.4041326809711609E-2</v>
      </c>
      <c r="Q339" s="305">
        <f t="shared" si="130"/>
        <v>0.8</v>
      </c>
      <c r="R339" s="177">
        <f t="shared" si="131"/>
        <v>0.39883758387754042</v>
      </c>
      <c r="S339" s="809">
        <f t="shared" si="132"/>
        <v>2</v>
      </c>
      <c r="T339" s="176">
        <f t="shared" si="133"/>
        <v>8</v>
      </c>
      <c r="U339" s="251">
        <f t="shared" si="134"/>
        <v>2.3988375838775404</v>
      </c>
      <c r="V339" s="383">
        <f t="shared" si="135"/>
        <v>16.012515086839116</v>
      </c>
      <c r="W339" s="402">
        <f t="shared" si="136"/>
        <v>3.0464836057630378</v>
      </c>
      <c r="X339" s="157">
        <f t="shared" si="137"/>
        <v>45982</v>
      </c>
      <c r="Y339" s="385">
        <f t="shared" si="138"/>
        <v>2.7922353204588832</v>
      </c>
      <c r="Z339" s="385">
        <f t="shared" si="139"/>
        <v>3.0394446682035303</v>
      </c>
      <c r="AA339" s="386">
        <f t="shared" si="140"/>
        <v>3.5234540600907187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0.13736787357878211</v>
      </c>
      <c r="AD339" s="231">
        <f>(INDEX(Models!$BJ339:$BT339,,AH339)*(1-AF339)+INDEX(Models!$BJ339:$BT339,,AH339+1)*AF339-ERP_i)*AE339*Ramure*Pc/MaxiM</f>
        <v>6.7906269887874432E-2</v>
      </c>
      <c r="AE339" s="305">
        <f t="shared" si="142"/>
        <v>0.8</v>
      </c>
      <c r="AF339" s="177">
        <f t="shared" si="143"/>
        <v>0.5995543310424436</v>
      </c>
      <c r="AG339" s="809">
        <f t="shared" si="149"/>
        <v>3</v>
      </c>
      <c r="AH339" s="176">
        <f t="shared" si="144"/>
        <v>9</v>
      </c>
      <c r="AI339" s="225">
        <f t="shared" si="145"/>
        <v>3.5995543310424436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IF(t&gt;Tmaj,'2024'!Wh/'2024'!Env_an*'2025'!Env_an,0.001*'[13]mon-tableau (3)'!$B$157)</f>
        <v>6.7912739439470498</v>
      </c>
      <c r="C340" s="839"/>
      <c r="D340" s="393">
        <f t="shared" si="127"/>
        <v>7.392712441194754</v>
      </c>
      <c r="E340" s="385">
        <f t="shared" si="125"/>
        <v>7.8559026151883389</v>
      </c>
      <c r="F340" s="385">
        <f t="shared" si="128"/>
        <v>7.919969740102049</v>
      </c>
      <c r="G340" s="110">
        <f t="shared" si="126"/>
        <v>0.41291821412761437</v>
      </c>
      <c r="H340" s="414" t="b">
        <f>Wh_hp&gt;='2024'!Maxi_hp</f>
        <v>0</v>
      </c>
      <c r="I340" s="390">
        <f>IF(H340,Wh_hp,'2024'!Maxi_hp)</f>
        <v>19.238098983375799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8.1355592014682038E-2</v>
      </c>
      <c r="M340" s="843"/>
      <c r="N340" s="843"/>
      <c r="O340" s="48">
        <f>IF(t&lt;Tnet,'2024'!Resal+('2024'!Salim-'2024'!Resal)*(1-EXP(('2024'!Tnet-t)/('2024'!Tau_j))),Resal+(Salim-Resal)*(1-EXP((Tnet-t)/(Tau_j))))*Salcycl</f>
        <v>5.8960783589408101E-2</v>
      </c>
      <c r="P340" s="169">
        <f>(INDEX(Models!$BJ340:$BT340,,T340)*(1-R340)+INDEX(Models!$BJ340:$BT340,,T340+1)*R340-ERP_i)*Q340*Ramure*Pc/MaxiM</f>
        <v>4.4078620172038903E-2</v>
      </c>
      <c r="Q340" s="305">
        <f t="shared" si="130"/>
        <v>0.8</v>
      </c>
      <c r="R340" s="177">
        <f t="shared" si="131"/>
        <v>0.39886614479682247</v>
      </c>
      <c r="S340" s="809">
        <f t="shared" si="132"/>
        <v>2</v>
      </c>
      <c r="T340" s="176">
        <f t="shared" si="133"/>
        <v>8</v>
      </c>
      <c r="U340" s="251">
        <f t="shared" si="134"/>
        <v>2.3988661447968225</v>
      </c>
      <c r="V340" s="383">
        <f t="shared" si="135"/>
        <v>15.850275491792424</v>
      </c>
      <c r="W340" s="402">
        <f t="shared" si="136"/>
        <v>6.7912739439470498</v>
      </c>
      <c r="X340" s="157">
        <f t="shared" si="137"/>
        <v>45983</v>
      </c>
      <c r="Y340" s="385">
        <f t="shared" si="138"/>
        <v>6.1987489647860876</v>
      </c>
      <c r="Z340" s="385">
        <f t="shared" si="139"/>
        <v>6.7477131639875587</v>
      </c>
      <c r="AA340" s="386">
        <f t="shared" si="140"/>
        <v>7.8221452679908987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0.1373577282436875</v>
      </c>
      <c r="AD340" s="231">
        <f>(INDEX(Models!$BJ340:$BT340,,AH340)*(1-AF340)+INDEX(Models!$BJ340:$BT340,,AH340+1)*AF340-ERP_i)*AE340*Ramure*Pc/MaxiM</f>
        <v>6.7303905950599305E-2</v>
      </c>
      <c r="AE340" s="305">
        <f t="shared" si="142"/>
        <v>0.8</v>
      </c>
      <c r="AF340" s="177">
        <f t="shared" si="143"/>
        <v>0.59958289196172609</v>
      </c>
      <c r="AG340" s="809">
        <f t="shared" si="149"/>
        <v>3</v>
      </c>
      <c r="AH340" s="176">
        <f t="shared" si="144"/>
        <v>9</v>
      </c>
      <c r="AI340" s="225">
        <f t="shared" si="145"/>
        <v>3.5995828919617261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IF(t&gt;Tmaj,'2024'!Wh/'2024'!Env_an*'2025'!Env_an,0.001*'[13]mon-tableau (3)'!$B$158)</f>
        <v>9.326767158351446</v>
      </c>
      <c r="C341" s="839"/>
      <c r="D341" s="393">
        <f t="shared" si="127"/>
        <v>10.15299186275765</v>
      </c>
      <c r="E341" s="385">
        <f t="shared" si="125"/>
        <v>10.79074263032707</v>
      </c>
      <c r="F341" s="385">
        <f t="shared" si="128"/>
        <v>10.994388341908094</v>
      </c>
      <c r="G341" s="110">
        <f t="shared" si="126"/>
        <v>0.57877056517105951</v>
      </c>
      <c r="H341" s="414" t="b">
        <f>Wh_hp&gt;='2024'!Maxi_hp</f>
        <v>0</v>
      </c>
      <c r="I341" s="390">
        <f>IF(H341,Wh_hp,'2024'!Maxi_hp)</f>
        <v>18.879598059880493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8.1377461498505915E-2</v>
      </c>
      <c r="M341" s="843"/>
      <c r="N341" s="843"/>
      <c r="O341" s="48">
        <f>IF(t&lt;Tnet,'2024'!Resal+('2024'!Salim-'2024'!Resal)*(1-EXP(('2024'!Tnet-t)/('2024'!Tau_j))),Resal+(Salim-Resal)*(1-EXP((Tnet-t)/(Tau_j))))*Salcycl</f>
        <v>5.9101656801362389E-2</v>
      </c>
      <c r="P341" s="169">
        <f>(INDEX(Models!$BJ341:$BT341,,T341)*(1-R341)+INDEX(Models!$BJ341:$BT341,,T341+1)*R341-ERP_i)*Q341*Ramure*Pc/MaxiM</f>
        <v>4.4066291605346621E-2</v>
      </c>
      <c r="Q341" s="305">
        <f t="shared" si="130"/>
        <v>0.8</v>
      </c>
      <c r="R341" s="177">
        <f t="shared" si="131"/>
        <v>0.3988935583263622</v>
      </c>
      <c r="S341" s="809">
        <f t="shared" si="132"/>
        <v>2</v>
      </c>
      <c r="T341" s="176">
        <f t="shared" si="133"/>
        <v>8</v>
      </c>
      <c r="U341" s="251">
        <f t="shared" si="134"/>
        <v>2.3988935583263622</v>
      </c>
      <c r="V341" s="383">
        <f t="shared" si="135"/>
        <v>15.695393690412585</v>
      </c>
      <c r="W341" s="402">
        <f t="shared" si="136"/>
        <v>9.326767158351446</v>
      </c>
      <c r="X341" s="157">
        <f t="shared" si="137"/>
        <v>45984</v>
      </c>
      <c r="Y341" s="385">
        <f t="shared" si="138"/>
        <v>8.4683584725981778</v>
      </c>
      <c r="Z341" s="385">
        <f t="shared" si="139"/>
        <v>9.2185398438102926</v>
      </c>
      <c r="AA341" s="386">
        <f t="shared" si="140"/>
        <v>10.686300951430143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0.13734978214546928</v>
      </c>
      <c r="AD341" s="231">
        <f>(INDEX(Models!$BJ341:$BT341,,AH341)*(1-AF341)+INDEX(Models!$BJ341:$BT341,,AH341+1)*AF341-ERP_i)*AE341*Ramure*Pc/MaxiM</f>
        <v>6.6666116773739251E-2</v>
      </c>
      <c r="AE341" s="305">
        <f t="shared" si="142"/>
        <v>0.8</v>
      </c>
      <c r="AF341" s="177">
        <f t="shared" si="143"/>
        <v>0.59961030549126582</v>
      </c>
      <c r="AG341" s="809">
        <f t="shared" si="149"/>
        <v>3</v>
      </c>
      <c r="AH341" s="176">
        <f t="shared" si="144"/>
        <v>9</v>
      </c>
      <c r="AI341" s="225">
        <f t="shared" si="145"/>
        <v>3.5996103054912658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IF(t&gt;Tmaj,'2024'!Wh/'2024'!Env_an*'2025'!Env_an,0.001*'[13]mon-tableau (3)'!$B$159)</f>
        <v>10.352066691858495</v>
      </c>
      <c r="C342" s="839"/>
      <c r="D342" s="393">
        <f t="shared" si="127"/>
        <v>11.269387270524597</v>
      </c>
      <c r="E342" s="385">
        <f t="shared" si="125"/>
        <v>11.979064833304898</v>
      </c>
      <c r="F342" s="385">
        <f t="shared" si="128"/>
        <v>12.261017576443152</v>
      </c>
      <c r="G342" s="110">
        <f t="shared" si="126"/>
        <v>0.65149920910267922</v>
      </c>
      <c r="H342" s="414" t="b">
        <f>Wh_hp&gt;='2024'!Maxi_hp</f>
        <v>0</v>
      </c>
      <c r="I342" s="390">
        <f>IF(H342,Wh_hp,'2024'!Maxi_hp)</f>
        <v>17.858943426555001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8.1399330473394899E-2</v>
      </c>
      <c r="M342" s="843"/>
      <c r="N342" s="843"/>
      <c r="O342" s="48">
        <f>IF(t&lt;Tnet,'2024'!Resal+('2024'!Salim-'2024'!Resal)*(1-EXP(('2024'!Tnet-t)/('2024'!Tau_j))),Resal+(Salim-Resal)*(1-EXP((Tnet-t)/(Tau_j))))*Salcycl</f>
        <v>5.9243152337502512E-2</v>
      </c>
      <c r="P342" s="169">
        <f>(INDEX(Models!$BJ342:$BT342,,T342)*(1-R342)+INDEX(Models!$BJ342:$BT342,,T342+1)*R342-ERP_i)*Q342*Ramure*Pc/MaxiM</f>
        <v>4.4003346820310749E-2</v>
      </c>
      <c r="Q342" s="305">
        <f t="shared" si="130"/>
        <v>0.8</v>
      </c>
      <c r="R342" s="177">
        <f t="shared" si="131"/>
        <v>0.39891987046206001</v>
      </c>
      <c r="S342" s="809">
        <f t="shared" si="132"/>
        <v>2</v>
      </c>
      <c r="T342" s="176">
        <f t="shared" si="133"/>
        <v>8</v>
      </c>
      <c r="U342" s="251">
        <f t="shared" si="134"/>
        <v>2.39891987046206</v>
      </c>
      <c r="V342" s="383">
        <f t="shared" si="135"/>
        <v>15.547950161583188</v>
      </c>
      <c r="W342" s="402">
        <f t="shared" si="136"/>
        <v>10.352066691858495</v>
      </c>
      <c r="X342" s="157">
        <f t="shared" si="137"/>
        <v>45985</v>
      </c>
      <c r="Y342" s="385">
        <f t="shared" si="138"/>
        <v>9.3809960782188444</v>
      </c>
      <c r="Z342" s="385">
        <f t="shared" si="139"/>
        <v>10.212267843276535</v>
      </c>
      <c r="AA342" s="386">
        <f t="shared" si="140"/>
        <v>11.838170513972679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0.13734408275139132</v>
      </c>
      <c r="AD342" s="231">
        <f>(INDEX(Models!$BJ342:$BT342,,AH342)*(1-AF342)+INDEX(Models!$BJ342:$BT342,,AH342+1)*AF342-ERP_i)*AE342*Ramure*Pc/MaxiM</f>
        <v>6.5992214634046309E-2</v>
      </c>
      <c r="AE342" s="305">
        <f t="shared" si="142"/>
        <v>0.8</v>
      </c>
      <c r="AF342" s="177">
        <f t="shared" si="143"/>
        <v>0.59963661762696319</v>
      </c>
      <c r="AG342" s="809">
        <f t="shared" si="149"/>
        <v>3</v>
      </c>
      <c r="AH342" s="176">
        <f t="shared" si="144"/>
        <v>9</v>
      </c>
      <c r="AI342" s="225">
        <f t="shared" si="145"/>
        <v>3.5996366176269632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IF(t&gt;Tmaj,'2024'!Wh/'2024'!Env_an*'2025'!Env_an,0.001*'[13]mon-tableau (3)'!$B$160)</f>
        <v>4.9830955798477587</v>
      </c>
      <c r="C343" s="839"/>
      <c r="D343" s="393">
        <f t="shared" si="127"/>
        <v>5.424788351412003</v>
      </c>
      <c r="E343" s="385">
        <f t="shared" si="125"/>
        <v>5.7672799742571161</v>
      </c>
      <c r="F343" s="385">
        <f t="shared" si="128"/>
        <v>5.7757571746517069</v>
      </c>
      <c r="G343" s="110">
        <f t="shared" si="126"/>
        <v>0.30966954174854416</v>
      </c>
      <c r="H343" s="414" t="b">
        <f>Wh_hp&gt;='2024'!Maxi_hp</f>
        <v>0</v>
      </c>
      <c r="I343" s="390">
        <f>IF(H343,Wh_hp,'2024'!Maxi_hp)</f>
        <v>17.941310299000229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8.1421198939360867E-2</v>
      </c>
      <c r="M343" s="843"/>
      <c r="N343" s="843"/>
      <c r="O343" s="48">
        <f>IF(t&lt;Tnet,'2024'!Resal+('2024'!Salim-'2024'!Resal)*(1-EXP(('2024'!Tnet-t)/('2024'!Tau_j))),Resal+(Salim-Resal)*(1-EXP((Tnet-t)/(Tau_j))))*Salcycl</f>
        <v>5.938529503923199E-2</v>
      </c>
      <c r="P343" s="169">
        <f>(INDEX(Models!$BJ343:$BT343,,T343)*(1-R343)+INDEX(Models!$BJ343:$BT343,,T343+1)*R343-ERP_i)*Q343*Ramure*Pc/MaxiM</f>
        <v>4.3889029511306868E-2</v>
      </c>
      <c r="Q343" s="305">
        <f t="shared" si="130"/>
        <v>0.8</v>
      </c>
      <c r="R343" s="177">
        <f t="shared" si="131"/>
        <v>0.39894512536373661</v>
      </c>
      <c r="S343" s="809">
        <f t="shared" si="132"/>
        <v>2</v>
      </c>
      <c r="T343" s="176">
        <f t="shared" si="133"/>
        <v>8</v>
      </c>
      <c r="U343" s="251">
        <f t="shared" si="134"/>
        <v>2.3989451253637366</v>
      </c>
      <c r="V343" s="383">
        <f t="shared" si="135"/>
        <v>15.408023021769184</v>
      </c>
      <c r="W343" s="402">
        <f t="shared" si="136"/>
        <v>4.9830955798477587</v>
      </c>
      <c r="X343" s="157">
        <f t="shared" si="137"/>
        <v>45986</v>
      </c>
      <c r="Y343" s="385">
        <f t="shared" si="138"/>
        <v>4.566836994569865</v>
      </c>
      <c r="Z343" s="385">
        <f t="shared" si="139"/>
        <v>4.9716333419590741</v>
      </c>
      <c r="AA343" s="386">
        <f t="shared" si="140"/>
        <v>5.7631479334442774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0.1373406687848395</v>
      </c>
      <c r="AD343" s="231">
        <f>(INDEX(Models!$BJ343:$BT343,,AH343)*(1-AF343)+INDEX(Models!$BJ343:$BT343,,AH343+1)*AF343-ERP_i)*AE343*Ramure*Pc/MaxiM</f>
        <v>6.5281854115562213E-2</v>
      </c>
      <c r="AE343" s="305">
        <f t="shared" si="142"/>
        <v>0.8</v>
      </c>
      <c r="AF343" s="177">
        <f t="shared" si="143"/>
        <v>0.59966187252864023</v>
      </c>
      <c r="AG343" s="809">
        <f t="shared" si="149"/>
        <v>3</v>
      </c>
      <c r="AH343" s="176">
        <f t="shared" si="144"/>
        <v>9</v>
      </c>
      <c r="AI343" s="225">
        <f t="shared" si="145"/>
        <v>3.5996618725286402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IF(t&gt;Tmaj,'2024'!Wh/'2024'!Env_an*'2025'!Env_an,0.001*'[13]mon-tableau (3)'!$B$161)</f>
        <v>9.5434686785858105</v>
      </c>
      <c r="C344" s="839"/>
      <c r="D344" s="393">
        <f t="shared" si="127"/>
        <v>10.38963218789358</v>
      </c>
      <c r="E344" s="385">
        <f t="shared" si="125"/>
        <v>11.047254314461188</v>
      </c>
      <c r="F344" s="385">
        <f t="shared" si="128"/>
        <v>11.275977169455551</v>
      </c>
      <c r="G344" s="110">
        <f t="shared" si="126"/>
        <v>0.609802347572168</v>
      </c>
      <c r="H344" s="414" t="b">
        <f>Wh_hp&gt;='2024'!Maxi_hp</f>
        <v>0</v>
      </c>
      <c r="I344" s="390">
        <f>IF(H344,Wh_hp,'2024'!Maxi_hp)</f>
        <v>17.978894299225775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8.14430668964157E-2</v>
      </c>
      <c r="M344" s="843"/>
      <c r="N344" s="843"/>
      <c r="O344" s="48">
        <f>IF(t&lt;Tnet,'2024'!Resal+('2024'!Salim-'2024'!Resal)*(1-EXP(('2024'!Tnet-t)/('2024'!Tau_j))),Resal+(Salim-Resal)*(1-EXP((Tnet-t)/(Tau_j))))*Salcycl</f>
        <v>5.952810606584491E-2</v>
      </c>
      <c r="P344" s="169">
        <f>(INDEX(Models!$BJ344:$BT344,,T344)*(1-R344)+INDEX(Models!$BJ344:$BT344,,T344+1)*R344-ERP_i)*Q344*Ramure*Pc/MaxiM</f>
        <v>4.3722600863708522E-2</v>
      </c>
      <c r="Q344" s="305">
        <f t="shared" si="130"/>
        <v>0.8</v>
      </c>
      <c r="R344" s="177">
        <f t="shared" si="131"/>
        <v>0.39896936542781436</v>
      </c>
      <c r="S344" s="809">
        <f t="shared" si="132"/>
        <v>2</v>
      </c>
      <c r="T344" s="176">
        <f t="shared" si="133"/>
        <v>8</v>
      </c>
      <c r="U344" s="251">
        <f t="shared" si="134"/>
        <v>2.3989693654278144</v>
      </c>
      <c r="V344" s="383">
        <f t="shared" si="135"/>
        <v>15.275691826288503</v>
      </c>
      <c r="W344" s="402">
        <f t="shared" si="136"/>
        <v>9.5434686785858105</v>
      </c>
      <c r="X344" s="157">
        <f t="shared" si="137"/>
        <v>45987</v>
      </c>
      <c r="Y344" s="385">
        <f t="shared" si="138"/>
        <v>8.6676032776866219</v>
      </c>
      <c r="Z344" s="385">
        <f t="shared" si="139"/>
        <v>9.4361089283827653</v>
      </c>
      <c r="AA344" s="386">
        <f t="shared" si="140"/>
        <v>10.938381548817389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0.13733957018504658</v>
      </c>
      <c r="AD344" s="231">
        <f>(INDEX(Models!$BJ344:$BT344,,AH344)*(1-AF344)+INDEX(Models!$BJ344:$BT344,,AH344+1)*AF344-ERP_i)*AE344*Ramure*Pc/MaxiM</f>
        <v>6.4534690137818235E-2</v>
      </c>
      <c r="AE344" s="305">
        <f t="shared" si="142"/>
        <v>0.8</v>
      </c>
      <c r="AF344" s="177">
        <f t="shared" si="143"/>
        <v>0.59968611259271842</v>
      </c>
      <c r="AG344" s="809">
        <f t="shared" si="149"/>
        <v>3</v>
      </c>
      <c r="AH344" s="176">
        <f t="shared" si="144"/>
        <v>9</v>
      </c>
      <c r="AI344" s="225">
        <f t="shared" si="145"/>
        <v>3.5996861125927184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IF(t&gt;Tmaj,'2024'!Wh/'2024'!Env_an*'2025'!Env_an,0.001*'[13]mon-tableau (3)'!$B$162)</f>
        <v>10.760226907371093</v>
      </c>
      <c r="C345" s="839"/>
      <c r="D345" s="393">
        <f t="shared" si="127"/>
        <v>11.714552127297436</v>
      </c>
      <c r="E345" s="385">
        <f t="shared" si="125"/>
        <v>12.457937208801056</v>
      </c>
      <c r="F345" s="385">
        <f t="shared" si="128"/>
        <v>12.783908765797081</v>
      </c>
      <c r="G345" s="110">
        <f t="shared" si="126"/>
        <v>0.69713214473743146</v>
      </c>
      <c r="H345" s="414" t="b">
        <f>Wh_hp&gt;='2024'!Maxi_hp</f>
        <v>0</v>
      </c>
      <c r="I345" s="390">
        <f>IF(H345,Wh_hp,'2024'!Maxi_hp)</f>
        <v>16.263070033899286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8.1464934344571277E-2</v>
      </c>
      <c r="M345" s="843"/>
      <c r="N345" s="843"/>
      <c r="O345" s="48">
        <f>IF(t&lt;Tnet,'2024'!Resal+('2024'!Salim-'2024'!Resal)*(1-EXP(('2024'!Tnet-t)/('2024'!Tau_j))),Resal+(Salim-Resal)*(1-EXP((Tnet-t)/(Tau_j))))*Salcycl</f>
        <v>5.9671602853997814E-2</v>
      </c>
      <c r="P345" s="169">
        <f>(INDEX(Models!$BJ345:$BT345,,T345)*(1-R345)+INDEX(Models!$BJ345:$BT345,,T345+1)*R345-ERP_i)*Q345*Ramure*Pc/MaxiM</f>
        <v>4.3506859596247824E-2</v>
      </c>
      <c r="Q345" s="305">
        <f t="shared" si="130"/>
        <v>0.8</v>
      </c>
      <c r="R345" s="177">
        <f t="shared" si="131"/>
        <v>0.39899263135716723</v>
      </c>
      <c r="S345" s="809">
        <f t="shared" si="132"/>
        <v>2</v>
      </c>
      <c r="T345" s="176">
        <f t="shared" si="133"/>
        <v>8</v>
      </c>
      <c r="U345" s="251">
        <f t="shared" si="134"/>
        <v>2.3989926313571672</v>
      </c>
      <c r="V345" s="383">
        <f t="shared" si="135"/>
        <v>15.149758362396897</v>
      </c>
      <c r="W345" s="402">
        <f t="shared" si="136"/>
        <v>10.760226907371093</v>
      </c>
      <c r="X345" s="157">
        <f t="shared" si="137"/>
        <v>45988</v>
      </c>
      <c r="Y345" s="385">
        <f t="shared" si="138"/>
        <v>9.751240550007866</v>
      </c>
      <c r="Z345" s="385">
        <f t="shared" si="139"/>
        <v>10.61607870468155</v>
      </c>
      <c r="AA345" s="386">
        <f t="shared" si="140"/>
        <v>12.306225685203653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0.13734080812074215</v>
      </c>
      <c r="AD345" s="231">
        <f>(INDEX(Models!$BJ345:$BT345,,AH345)*(1-AF345)+INDEX(Models!$BJ345:$BT345,,AH345+1)*AF345-ERP_i)*AE345*Ramure*Pc/MaxiM</f>
        <v>6.3755534103654393E-2</v>
      </c>
      <c r="AE345" s="305">
        <f t="shared" si="142"/>
        <v>0.8</v>
      </c>
      <c r="AF345" s="177">
        <f t="shared" si="143"/>
        <v>0.59970937852207085</v>
      </c>
      <c r="AG345" s="809">
        <f t="shared" si="149"/>
        <v>3</v>
      </c>
      <c r="AH345" s="176">
        <f t="shared" si="144"/>
        <v>9</v>
      </c>
      <c r="AI345" s="225">
        <f t="shared" si="145"/>
        <v>3.5997093785220708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IF(t&gt;Tmaj,'2024'!Wh/'2024'!Env_an*'2025'!Env_an,0.001*'[13]mon-tableau (3)'!$B$163)</f>
        <v>9.1573605638852733</v>
      </c>
      <c r="C346" s="839"/>
      <c r="D346" s="393">
        <f t="shared" si="127"/>
        <v>9.9697648076095682</v>
      </c>
      <c r="E346" s="385">
        <f t="shared" si="125"/>
        <v>10.604054820401087</v>
      </c>
      <c r="F346" s="385">
        <f t="shared" si="128"/>
        <v>10.810646477101708</v>
      </c>
      <c r="G346" s="110">
        <f t="shared" si="126"/>
        <v>0.59430992115717018</v>
      </c>
      <c r="H346" s="414" t="b">
        <f>Wh_hp&gt;='2024'!Maxi_hp</f>
        <v>0</v>
      </c>
      <c r="I346" s="390">
        <f>IF(H346,Wh_hp,'2024'!Maxi_hp)</f>
        <v>12.704962668086491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8.1486801283839255E-2</v>
      </c>
      <c r="M346" s="843"/>
      <c r="N346" s="843"/>
      <c r="O346" s="48">
        <f>IF(t&lt;Tnet,'2024'!Resal+('2024'!Salim-'2024'!Resal)*(1-EXP(('2024'!Tnet-t)/('2024'!Tau_j))),Resal+(Salim-Resal)*(1-EXP((Tnet-t)/(Tau_j))))*Salcycl</f>
        <v>5.9815799100850699E-2</v>
      </c>
      <c r="P346" s="169">
        <f>(INDEX(Models!$BJ346:$BT346,,T346)*(1-R346)+INDEX(Models!$BJ346:$BT346,,T346+1)*R346-ERP_i)*Q346*Ramure*Pc/MaxiM</f>
        <v>4.3248717091124302E-2</v>
      </c>
      <c r="Q346" s="305">
        <f t="shared" si="130"/>
        <v>0.8</v>
      </c>
      <c r="R346" s="177">
        <f t="shared" si="131"/>
        <v>0.39901496222824884</v>
      </c>
      <c r="S346" s="809">
        <f t="shared" si="132"/>
        <v>2</v>
      </c>
      <c r="T346" s="176">
        <f t="shared" si="133"/>
        <v>8</v>
      </c>
      <c r="U346" s="251">
        <f t="shared" si="134"/>
        <v>2.3990149622282488</v>
      </c>
      <c r="V346" s="383">
        <f t="shared" si="135"/>
        <v>15.029207785877254</v>
      </c>
      <c r="W346" s="402">
        <f t="shared" si="136"/>
        <v>9.1573605638852733</v>
      </c>
      <c r="X346" s="157">
        <f t="shared" si="137"/>
        <v>45989</v>
      </c>
      <c r="Y346" s="385">
        <f t="shared" si="138"/>
        <v>8.3276075445771109</v>
      </c>
      <c r="Z346" s="385">
        <f t="shared" si="139"/>
        <v>9.0663994335812603</v>
      </c>
      <c r="AA346" s="386">
        <f t="shared" si="140"/>
        <v>10.509871357275541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0.13734439505722648</v>
      </c>
      <c r="AD346" s="231">
        <f>(INDEX(Models!$BJ346:$BT346,,AH346)*(1-AF346)+INDEX(Models!$BJ346:$BT346,,AH346+1)*AF346-ERP_i)*AE346*Ramure*Pc/MaxiM</f>
        <v>6.2965456946121739E-2</v>
      </c>
      <c r="AE346" s="305">
        <f t="shared" si="142"/>
        <v>0.8</v>
      </c>
      <c r="AF346" s="177">
        <f t="shared" si="143"/>
        <v>0.59973170939315246</v>
      </c>
      <c r="AG346" s="809">
        <f t="shared" si="149"/>
        <v>3</v>
      </c>
      <c r="AH346" s="176">
        <f t="shared" si="144"/>
        <v>9</v>
      </c>
      <c r="AI346" s="225">
        <f t="shared" si="145"/>
        <v>3.5997317093931525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IF(t&gt;Tmaj,'2024'!Wh/'2024'!Env_an*'2025'!Env_an,0.001*'[13]mon-tableau (3)'!$B$164)</f>
        <v>12.221005506330473</v>
      </c>
      <c r="C347" s="839"/>
      <c r="D347" s="393">
        <f t="shared" si="127"/>
        <v>13.305520778206077</v>
      </c>
      <c r="E347" s="385">
        <f t="shared" si="125"/>
        <v>14.154217643596251</v>
      </c>
      <c r="F347" s="385">
        <f t="shared" si="128"/>
        <v>14.620377792996777</v>
      </c>
      <c r="G347" s="110">
        <f t="shared" si="126"/>
        <v>0.81004079575345667</v>
      </c>
      <c r="H347" s="414" t="b">
        <f>Wh_hp&gt;='2024'!Maxi_hp</f>
        <v>0</v>
      </c>
      <c r="I347" s="390">
        <f>IF(H347,Wh_hp,'2024'!Maxi_hp)</f>
        <v>18.062192612165116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8.1508667714231736E-2</v>
      </c>
      <c r="M347" s="843"/>
      <c r="N347" s="843"/>
      <c r="O347" s="48">
        <f>IF(t&lt;Tnet,'2024'!Resal+('2024'!Salim-'2024'!Resal)*(1-EXP(('2024'!Tnet-t)/('2024'!Tau_j))),Resal+(Salim-Resal)*(1-EXP((Tnet-t)/(Tau_j))))*Salcycl</f>
        <v>5.9960704770860081E-2</v>
      </c>
      <c r="P347" s="169">
        <f>(INDEX(Models!$BJ347:$BT347,,T347)*(1-R347)+INDEX(Models!$BJ347:$BT347,,T347+1)*R347-ERP_i)*Q347*Ramure*Pc/MaxiM</f>
        <v>4.296882905258452E-2</v>
      </c>
      <c r="Q347" s="305">
        <f t="shared" si="130"/>
        <v>0.8</v>
      </c>
      <c r="R347" s="177">
        <f t="shared" si="131"/>
        <v>0.399036395555604</v>
      </c>
      <c r="S347" s="809">
        <f t="shared" si="132"/>
        <v>2</v>
      </c>
      <c r="T347" s="176">
        <f t="shared" si="133"/>
        <v>8</v>
      </c>
      <c r="U347" s="251">
        <f t="shared" si="134"/>
        <v>2.399036395555604</v>
      </c>
      <c r="V347" s="383">
        <f t="shared" si="135"/>
        <v>14.91416203071064</v>
      </c>
      <c r="W347" s="402">
        <f t="shared" si="136"/>
        <v>12.221005506330473</v>
      </c>
      <c r="X347" s="157">
        <f t="shared" si="137"/>
        <v>45990</v>
      </c>
      <c r="Y347" s="385">
        <f t="shared" si="138"/>
        <v>11.049770551799339</v>
      </c>
      <c r="Z347" s="385">
        <f t="shared" si="139"/>
        <v>12.030348206227217</v>
      </c>
      <c r="AA347" s="386">
        <f t="shared" si="140"/>
        <v>13.945809860712336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0.13735033487594672</v>
      </c>
      <c r="AD347" s="231">
        <f>(INDEX(Models!$BJ347:$BT347,,AH347)*(1-AF347)+INDEX(Models!$BJ347:$BT347,,AH347+1)*AF347-ERP_i)*AE347*Ramure*Pc/MaxiM</f>
        <v>6.2179047702726753E-2</v>
      </c>
      <c r="AE347" s="305">
        <f t="shared" si="142"/>
        <v>0.8</v>
      </c>
      <c r="AF347" s="177">
        <f t="shared" si="143"/>
        <v>0.59975314272050761</v>
      </c>
      <c r="AG347" s="809">
        <f t="shared" si="149"/>
        <v>3</v>
      </c>
      <c r="AH347" s="176">
        <f t="shared" si="144"/>
        <v>9</v>
      </c>
      <c r="AI347" s="225">
        <f t="shared" si="145"/>
        <v>3.5997531427205076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IF(t&gt;Tmaj,'2024'!Wh/'2024'!Env_an*'2025'!Env_an,0.001*'[13]mon-tableau (3)'!$B$165)</f>
        <v>3.6618617734064727</v>
      </c>
      <c r="C348" s="839"/>
      <c r="D348" s="393">
        <f t="shared" si="127"/>
        <v>3.9869172656353493</v>
      </c>
      <c r="E348" s="385">
        <f t="shared" si="125"/>
        <v>4.2418811578998792</v>
      </c>
      <c r="F348" s="385">
        <f t="shared" si="128"/>
        <v>4.2418811578998792</v>
      </c>
      <c r="G348" s="110">
        <f t="shared" si="126"/>
        <v>0.23678506569605823</v>
      </c>
      <c r="H348" s="414" t="b">
        <f>Wh_hp&gt;='2024'!Maxi_hp</f>
        <v>0</v>
      </c>
      <c r="I348" s="390">
        <f>IF(H348,Wh_hp,'2024'!Maxi_hp)</f>
        <v>16.943177507664462</v>
      </c>
      <c r="J348" s="85">
        <f>IF(H348,An,'2024'!An_max)</f>
        <v>2021</v>
      </c>
      <c r="K348" s="197">
        <f t="shared" si="129"/>
        <v>45991</v>
      </c>
      <c r="L348" s="147">
        <f>IF(t&lt;Tvie,1-EXP((T0-t)*PertePVj)+'2024'!Pspv,1-EXP((T0-t)*PertePVj)+Pspv)</f>
        <v>8.1530533635760377E-2</v>
      </c>
      <c r="M348" s="843"/>
      <c r="N348" s="843"/>
      <c r="O348" s="48">
        <f>IF(t&lt;Tnet,'2024'!Resal+('2024'!Salim-'2024'!Resal)*(1-EXP(('2024'!Tnet-t)/('2024'!Tau_j))),Resal+(Salim-Resal)*(1-EXP((Tnet-t)/(Tau_j))))*Salcycl</f>
        <v>6.0106326126015401E-2</v>
      </c>
      <c r="P348" s="169">
        <f>(INDEX(Models!$BJ348:$BT348,,T348)*(1-R348)+INDEX(Models!$BJ348:$BT348,,T348+1)*R348-ERP_i)*Q348*Ramure*Pc/MaxiM</f>
        <v>4.2665701557143353E-2</v>
      </c>
      <c r="Q348" s="305">
        <f t="shared" si="130"/>
        <v>0.8</v>
      </c>
      <c r="R348" s="177">
        <f t="shared" si="131"/>
        <v>0.39905696735385465</v>
      </c>
      <c r="S348" s="809">
        <f t="shared" si="132"/>
        <v>2</v>
      </c>
      <c r="T348" s="176">
        <f t="shared" si="133"/>
        <v>8</v>
      </c>
      <c r="U348" s="251">
        <f t="shared" si="134"/>
        <v>2.3990569673538547</v>
      </c>
      <c r="V348" s="383">
        <f t="shared" si="135"/>
        <v>14.805097025581368</v>
      </c>
      <c r="W348" s="402">
        <f t="shared" si="136"/>
        <v>3.6618617734064727</v>
      </c>
      <c r="X348" s="157">
        <f t="shared" si="137"/>
        <v>45991</v>
      </c>
      <c r="Y348" s="385">
        <f t="shared" si="138"/>
        <v>3.3608838640325462</v>
      </c>
      <c r="Z348" s="385">
        <f t="shared" si="139"/>
        <v>3.6592222029291852</v>
      </c>
      <c r="AA348" s="386">
        <f t="shared" si="140"/>
        <v>4.2418811578998792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0.13735862304524429</v>
      </c>
      <c r="AD348" s="231">
        <f>(INDEX(Models!$BJ348:$BT348,,AH348)*(1-AF348)+INDEX(Models!$BJ348:$BT348,,AH348+1)*AF348-ERP_i)*AE348*Ramure*Pc/MaxiM</f>
        <v>6.1394597396089885E-2</v>
      </c>
      <c r="AE348" s="305">
        <f t="shared" si="142"/>
        <v>0.8</v>
      </c>
      <c r="AF348" s="177">
        <f t="shared" si="143"/>
        <v>0.59977371451875872</v>
      </c>
      <c r="AG348" s="809">
        <f t="shared" si="149"/>
        <v>3</v>
      </c>
      <c r="AH348" s="176">
        <f t="shared" si="144"/>
        <v>9</v>
      </c>
      <c r="AI348" s="225">
        <f t="shared" si="145"/>
        <v>3.5997737145187587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IF(t&gt;Tmaj,'2024'!Wh/'2024'!Env_an*'2025'!Env_an,0.001*'[14]mon-tableau (2)'!$B$140)</f>
        <v>3.2800171770812447</v>
      </c>
      <c r="C349" s="839"/>
      <c r="D349" s="393">
        <f t="shared" si="127"/>
        <v>3.5712621750908426</v>
      </c>
      <c r="E349" s="385">
        <f t="shared" si="125"/>
        <v>3.8002365583209543</v>
      </c>
      <c r="F349" s="385">
        <f t="shared" si="128"/>
        <v>3.8002365583209543</v>
      </c>
      <c r="G349" s="110">
        <f t="shared" si="126"/>
        <v>0.21364738421378401</v>
      </c>
      <c r="H349" s="414" t="b">
        <f>Wh_hp&gt;='2024'!Maxi_hp</f>
        <v>0</v>
      </c>
      <c r="I349" s="390">
        <f>IF(H349,Wh_hp,'2024'!Maxi_hp)</f>
        <v>17.003353982063814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8.1552399048437169E-2</v>
      </c>
      <c r="M349" s="843"/>
      <c r="N349" s="843"/>
      <c r="O349" s="48">
        <f>IF(t&lt;Tnet,'2024'!Resal+('2024'!Salim-'2024'!Resal)*(1-EXP(('2024'!Tnet-t)/('2024'!Tau_j))),Resal+(Salim-Resal)*(1-EXP((Tnet-t)/(Tau_j))))*Salcycl</f>
        <v>6.0252665779121549E-2</v>
      </c>
      <c r="P349" s="169">
        <f>(INDEX(Models!$BJ349:$BT349,,T349)*(1-R349)+INDEX(Models!$BJ349:$BT349,,T349+1)*R349-ERP_i)*Q349*Ramure*Pc/MaxiM</f>
        <v>4.2337828081380778E-2</v>
      </c>
      <c r="Q349" s="305">
        <f t="shared" si="130"/>
        <v>0.8</v>
      </c>
      <c r="R349" s="177">
        <f t="shared" si="131"/>
        <v>0.39907671219726559</v>
      </c>
      <c r="S349" s="809">
        <f t="shared" si="132"/>
        <v>2</v>
      </c>
      <c r="T349" s="176">
        <f t="shared" si="133"/>
        <v>8</v>
      </c>
      <c r="U349" s="251">
        <f t="shared" si="134"/>
        <v>2.3990767121972656</v>
      </c>
      <c r="V349" s="383">
        <f t="shared" si="135"/>
        <v>14.702489268910709</v>
      </c>
      <c r="W349" s="402">
        <f t="shared" si="136"/>
        <v>3.2800171770812447</v>
      </c>
      <c r="X349" s="157">
        <f t="shared" si="137"/>
        <v>45992</v>
      </c>
      <c r="Y349" s="385">
        <f t="shared" si="138"/>
        <v>3.0108557745336673</v>
      </c>
      <c r="Z349" s="385">
        <f t="shared" si="139"/>
        <v>3.2782009244885097</v>
      </c>
      <c r="AA349" s="386">
        <f t="shared" si="140"/>
        <v>3.8002365583209543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0.13736924684054244</v>
      </c>
      <c r="AD349" s="231">
        <f>(INDEX(Models!$BJ349:$BT349,,AH349)*(1-AF349)+INDEX(Models!$BJ349:$BT349,,AH349+1)*AF349-ERP_i)*AE349*Ramure*Pc/MaxiM</f>
        <v>6.061040127432727E-2</v>
      </c>
      <c r="AE349" s="305">
        <f t="shared" si="142"/>
        <v>0.8</v>
      </c>
      <c r="AF349" s="177">
        <f t="shared" si="143"/>
        <v>0.59979345936216921</v>
      </c>
      <c r="AG349" s="809">
        <f t="shared" si="149"/>
        <v>3</v>
      </c>
      <c r="AH349" s="176">
        <f t="shared" si="144"/>
        <v>9</v>
      </c>
      <c r="AI349" s="225">
        <f t="shared" si="145"/>
        <v>3.5997934593621692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IF(t&gt;Tmaj,'2024'!Wh/'2024'!Env_an*'2025'!Env_an,0.001*'[14]mon-tableau (2)'!$B$141)</f>
        <v>5.478344795455774</v>
      </c>
      <c r="C350" s="839"/>
      <c r="D350" s="393">
        <f t="shared" si="127"/>
        <v>5.9649295315164057</v>
      </c>
      <c r="E350" s="385">
        <f t="shared" si="125"/>
        <v>6.3483692758142887</v>
      </c>
      <c r="F350" s="385">
        <f t="shared" si="128"/>
        <v>6.3770756397153745</v>
      </c>
      <c r="G350" s="110">
        <f t="shared" si="126"/>
        <v>0.36093258670459494</v>
      </c>
      <c r="H350" s="414" t="b">
        <f>Wh_hp&gt;='2024'!Maxi_hp</f>
        <v>0</v>
      </c>
      <c r="I350" s="390">
        <f>IF(H350,Wh_hp,'2024'!Maxi_hp)</f>
        <v>9.0516021673760747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8.1574263952273768E-2</v>
      </c>
      <c r="M350" s="843"/>
      <c r="N350" s="843"/>
      <c r="O350" s="48">
        <f>IF(t&lt;Tnet,'2024'!Resal+('2024'!Salim-'2024'!Resal)*(1-EXP(('2024'!Tnet-t)/('2024'!Tau_j))),Resal+(Salim-Resal)*(1-EXP((Tnet-t)/(Tau_j))))*Salcycl</f>
        <v>6.0399722769545423E-2</v>
      </c>
      <c r="P350" s="169">
        <f>(INDEX(Models!$BJ350:$BT350,,T350)*(1-R350)+INDEX(Models!$BJ350:$BT350,,T350+1)*R350-ERP_i)*Q350*Ramure*Pc/MaxiM</f>
        <v>4.1983705591430991E-2</v>
      </c>
      <c r="Q350" s="305">
        <f t="shared" si="130"/>
        <v>0.8</v>
      </c>
      <c r="R350" s="177">
        <f t="shared" si="131"/>
        <v>0.39909566327697199</v>
      </c>
      <c r="S350" s="809">
        <f t="shared" si="132"/>
        <v>2</v>
      </c>
      <c r="T350" s="176">
        <f t="shared" si="133"/>
        <v>8</v>
      </c>
      <c r="U350" s="251">
        <f t="shared" si="134"/>
        <v>2.399095663276972</v>
      </c>
      <c r="V350" s="383">
        <f t="shared" si="135"/>
        <v>14.606815757377641</v>
      </c>
      <c r="W350" s="402">
        <f t="shared" si="136"/>
        <v>5.478344795455774</v>
      </c>
      <c r="X350" s="157">
        <f t="shared" si="137"/>
        <v>45993</v>
      </c>
      <c r="Y350" s="385">
        <f t="shared" si="138"/>
        <v>5.0198335763676383</v>
      </c>
      <c r="Z350" s="385">
        <f t="shared" si="139"/>
        <v>5.465693500673833</v>
      </c>
      <c r="AA350" s="386">
        <f t="shared" si="140"/>
        <v>6.3361704447881317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0.13738218561186544</v>
      </c>
      <c r="AD350" s="231">
        <f>(INDEX(Models!$BJ350:$BT350,,AH350)*(1-AF350)+INDEX(Models!$BJ350:$BT350,,AH350+1)*AF350-ERP_i)*AE350*Ramure*Pc/MaxiM</f>
        <v>5.9824771500249035E-2</v>
      </c>
      <c r="AE350" s="305">
        <f t="shared" si="142"/>
        <v>0.8</v>
      </c>
      <c r="AF350" s="177">
        <f t="shared" si="143"/>
        <v>0.59981241044187517</v>
      </c>
      <c r="AG350" s="809">
        <f t="shared" si="149"/>
        <v>3</v>
      </c>
      <c r="AH350" s="176">
        <f t="shared" si="144"/>
        <v>9</v>
      </c>
      <c r="AI350" s="225">
        <f t="shared" si="145"/>
        <v>3.5998124104418752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IF(t&gt;Tmaj,'2024'!Wh/'2024'!Env_an*'2025'!Env_an,0.001*'[14]mon-tableau (2)'!$B$142)</f>
        <v>6.1547145830528391</v>
      </c>
      <c r="C351" s="839"/>
      <c r="D351" s="393">
        <f t="shared" si="127"/>
        <v>6.7015337946878368</v>
      </c>
      <c r="E351" s="385">
        <f t="shared" si="125"/>
        <v>7.1334460681440346</v>
      </c>
      <c r="F351" s="385">
        <f t="shared" si="128"/>
        <v>7.1863719307758238</v>
      </c>
      <c r="G351" s="110">
        <f t="shared" si="126"/>
        <v>0.40929913746074681</v>
      </c>
      <c r="H351" s="414" t="b">
        <f>Wh_hp&gt;='2024'!Maxi_hp</f>
        <v>0</v>
      </c>
      <c r="I351" s="390">
        <f>IF(H351,Wh_hp,'2024'!Maxi_hp)</f>
        <v>12.664538267846305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8.1596128347282165E-2</v>
      </c>
      <c r="M351" s="843"/>
      <c r="N351" s="843"/>
      <c r="O351" s="48">
        <f>IF(t&lt;Tnet,'2024'!Resal+('2024'!Salim-'2024'!Resal)*(1-EXP(('2024'!Tnet-t)/('2024'!Tau_j))),Resal+(Salim-Resal)*(1-EXP((Tnet-t)/(Tau_j))))*Salcycl</f>
        <v>6.0547492660664601E-2</v>
      </c>
      <c r="P351" s="169">
        <f>(INDEX(Models!$BJ351:$BT351,,T351)*(1-R351)+INDEX(Models!$BJ351:$BT351,,T351+1)*R351-ERP_i)*Q351*Ramure*Pc/MaxiM</f>
        <v>4.1601852478364509E-2</v>
      </c>
      <c r="Q351" s="305">
        <f t="shared" si="130"/>
        <v>0.8</v>
      </c>
      <c r="R351" s="177">
        <f t="shared" si="131"/>
        <v>0.39911385245596698</v>
      </c>
      <c r="S351" s="809">
        <f t="shared" si="132"/>
        <v>2</v>
      </c>
      <c r="T351" s="176">
        <f t="shared" si="133"/>
        <v>8</v>
      </c>
      <c r="U351" s="251">
        <f t="shared" si="134"/>
        <v>2.399113852455967</v>
      </c>
      <c r="V351" s="383">
        <f t="shared" si="135"/>
        <v>14.518553935161162</v>
      </c>
      <c r="W351" s="402">
        <f t="shared" si="136"/>
        <v>6.1547145830528391</v>
      </c>
      <c r="X351" s="157">
        <f t="shared" si="137"/>
        <v>45994</v>
      </c>
      <c r="Y351" s="385">
        <f t="shared" si="138"/>
        <v>5.633670007136514</v>
      </c>
      <c r="Z351" s="385">
        <f t="shared" si="139"/>
        <v>6.1341967091214649</v>
      </c>
      <c r="AA351" s="386">
        <f t="shared" si="140"/>
        <v>7.1112662865027447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0.13739741109621614</v>
      </c>
      <c r="AD351" s="231">
        <f>(INDEX(Models!$BJ351:$BT351,,AH351)*(1-AF351)+INDEX(Models!$BJ351:$BT351,,AH351+1)*AF351-ERP_i)*AE351*Ramure*Pc/MaxiM</f>
        <v>5.9036051147222234E-2</v>
      </c>
      <c r="AE351" s="305">
        <f t="shared" si="142"/>
        <v>0.8</v>
      </c>
      <c r="AF351" s="177">
        <f t="shared" si="143"/>
        <v>0.5998305996208706</v>
      </c>
      <c r="AG351" s="809">
        <f t="shared" si="149"/>
        <v>3</v>
      </c>
      <c r="AH351" s="176">
        <f t="shared" si="144"/>
        <v>9</v>
      </c>
      <c r="AI351" s="225">
        <f t="shared" si="145"/>
        <v>3.5998305996208706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IF(t&gt;Tmaj,'2024'!Wh/'2024'!Env_an*'2025'!Env_an,0.001*'[14]mon-tableau (2)'!$B$143)</f>
        <v>12.005418380765182</v>
      </c>
      <c r="C352" s="839"/>
      <c r="D352" s="393">
        <f t="shared" si="127"/>
        <v>13.072357993992014</v>
      </c>
      <c r="E352" s="385">
        <f t="shared" si="125"/>
        <v>13.917067896961326</v>
      </c>
      <c r="F352" s="385">
        <f t="shared" si="128"/>
        <v>14.366571070819562</v>
      </c>
      <c r="G352" s="110">
        <f t="shared" si="126"/>
        <v>0.82300477991367571</v>
      </c>
      <c r="H352" s="414" t="b">
        <f>Wh_hp&gt;='2024'!Maxi_hp</f>
        <v>0</v>
      </c>
      <c r="I352" s="390">
        <f>IF(H352,Wh_hp,'2024'!Maxi_hp)</f>
        <v>14.483247185091793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8.1617992233474129E-2</v>
      </c>
      <c r="M352" s="843"/>
      <c r="N352" s="843"/>
      <c r="O352" s="48">
        <f>IF(t&lt;Tnet,'2024'!Resal+('2024'!Salim-'2024'!Resal)*(1-EXP(('2024'!Tnet-t)/('2024'!Tau_j))),Resal+(Salim-Resal)*(1-EXP((Tnet-t)/(Tau_j))))*Salcycl</f>
        <v>6.0695967658083119E-2</v>
      </c>
      <c r="P352" s="169">
        <f>(INDEX(Models!$BJ352:$BT352,,T352)*(1-R352)+INDEX(Models!$BJ352:$BT352,,T352+1)*R352-ERP_i)*Q352*Ramure*Pc/MaxiM</f>
        <v>4.1205930476678677E-2</v>
      </c>
      <c r="Q352" s="305">
        <f t="shared" si="130"/>
        <v>0.8</v>
      </c>
      <c r="R352" s="177">
        <f t="shared" si="131"/>
        <v>0.39913131032192872</v>
      </c>
      <c r="S352" s="809">
        <f t="shared" si="132"/>
        <v>2</v>
      </c>
      <c r="T352" s="176">
        <f t="shared" si="133"/>
        <v>8</v>
      </c>
      <c r="U352" s="251">
        <f t="shared" si="134"/>
        <v>2.3991313103219287</v>
      </c>
      <c r="V352" s="383">
        <f t="shared" si="135"/>
        <v>14.437954229160487</v>
      </c>
      <c r="W352" s="402">
        <f t="shared" si="136"/>
        <v>12.005418380765182</v>
      </c>
      <c r="X352" s="157">
        <f t="shared" si="137"/>
        <v>45995</v>
      </c>
      <c r="Y352" s="385">
        <f t="shared" si="138"/>
        <v>10.877409191261274</v>
      </c>
      <c r="Z352" s="385">
        <f t="shared" si="139"/>
        <v>11.844100928887714</v>
      </c>
      <c r="AA352" s="386">
        <f t="shared" si="140"/>
        <v>13.730935951694345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0.13741488777200242</v>
      </c>
      <c r="AD352" s="231">
        <f>(INDEX(Models!$BJ352:$BT352,,AH352)*(1-AF352)+INDEX(Models!$BJ352:$BT352,,AH352+1)*AF352-ERP_i)*AE352*Ramure*Pc/MaxiM</f>
        <v>5.8268635352215416E-2</v>
      </c>
      <c r="AE352" s="305">
        <f t="shared" si="142"/>
        <v>0.8</v>
      </c>
      <c r="AF352" s="177">
        <f t="shared" si="143"/>
        <v>0.59984805748683234</v>
      </c>
      <c r="AG352" s="809">
        <f t="shared" si="149"/>
        <v>3</v>
      </c>
      <c r="AH352" s="176">
        <f t="shared" si="144"/>
        <v>9</v>
      </c>
      <c r="AI352" s="225">
        <f t="shared" si="145"/>
        <v>3.5998480574868323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IF(t&gt;Tmaj,'2024'!Wh/'2024'!Env_an*'2025'!Env_an,0.001*'[14]mon-tableau (2)'!$B$144)</f>
        <v>15.025331303235953</v>
      </c>
      <c r="C353" s="839"/>
      <c r="D353" s="393">
        <f t="shared" si="127"/>
        <v>16.36104462398059</v>
      </c>
      <c r="E353" s="385">
        <f t="shared" si="125"/>
        <v>17.421029549183164</v>
      </c>
      <c r="F353" s="385">
        <f t="shared" si="128"/>
        <v>18.162323905204566</v>
      </c>
      <c r="G353" s="110">
        <f t="shared" si="126"/>
        <v>1.04595400362965</v>
      </c>
      <c r="H353" s="414" t="b">
        <f>Wh_hp&gt;='2024'!Maxi_hp</f>
        <v>1</v>
      </c>
      <c r="I353" s="390">
        <f>IF(H353,Wh_hp,'2024'!Maxi_hp)</f>
        <v>18.162323905204566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8.1639855610861539E-2</v>
      </c>
      <c r="M353" s="843"/>
      <c r="N353" s="843"/>
      <c r="O353" s="48">
        <f>IF(t&lt;Tnet,'2024'!Resal+('2024'!Salim-'2024'!Resal)*(1-EXP(('2024'!Tnet-t)/('2024'!Tau_j))),Resal+(Salim-Resal)*(1-EXP((Tnet-t)/(Tau_j))))*Salcycl</f>
        <v>6.0845136747516453E-2</v>
      </c>
      <c r="P353" s="169">
        <f>(INDEX(Models!$BJ353:$BT353,,T353)*(1-R353)+INDEX(Models!$BJ353:$BT353,,T353+1)*R353-ERP_i)*Q353*Ramure*Pc/MaxiM</f>
        <v>4.081495076789033E-2</v>
      </c>
      <c r="Q353" s="305">
        <f t="shared" si="130"/>
        <v>0.8</v>
      </c>
      <c r="R353" s="177">
        <f t="shared" si="131"/>
        <v>0.39914806623797183</v>
      </c>
      <c r="S353" s="809">
        <f t="shared" si="132"/>
        <v>2</v>
      </c>
      <c r="T353" s="176">
        <f t="shared" si="133"/>
        <v>8</v>
      </c>
      <c r="U353" s="251">
        <f t="shared" si="134"/>
        <v>2.3991480662379718</v>
      </c>
      <c r="V353" s="383">
        <f t="shared" si="135"/>
        <v>14.365193164417677</v>
      </c>
      <c r="W353" s="402">
        <f t="shared" si="136"/>
        <v>15.025331303235953</v>
      </c>
      <c r="X353" s="157">
        <f t="shared" si="137"/>
        <v>45996</v>
      </c>
      <c r="Y353" s="385">
        <f t="shared" si="138"/>
        <v>13.55961187270011</v>
      </c>
      <c r="Z353" s="385">
        <f t="shared" si="139"/>
        <v>14.765026504628526</v>
      </c>
      <c r="AA353" s="386">
        <f t="shared" si="140"/>
        <v>17.117572820303671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0.13743457325238992</v>
      </c>
      <c r="AD353" s="231">
        <f>(INDEX(Models!$BJ353:$BT353,,AH353)*(1-AF353)+INDEX(Models!$BJ353:$BT353,,AH353+1)*AF353-ERP_i)*AE353*Ramure*Pc/MaxiM</f>
        <v>5.7522984963477769E-2</v>
      </c>
      <c r="AE353" s="305">
        <f t="shared" si="142"/>
        <v>0.8</v>
      </c>
      <c r="AF353" s="177">
        <f t="shared" si="143"/>
        <v>0.59986481340287501</v>
      </c>
      <c r="AG353" s="809">
        <f t="shared" si="149"/>
        <v>3</v>
      </c>
      <c r="AH353" s="176">
        <f t="shared" si="144"/>
        <v>9</v>
      </c>
      <c r="AI353" s="225">
        <f t="shared" si="145"/>
        <v>3.599864813402875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IF(t&gt;Tmaj,'2024'!Wh/'2024'!Env_an*'2025'!Env_an,0.001*'[14]mon-tableau (2)'!$B$145)</f>
        <v>8.375329122887047</v>
      </c>
      <c r="C354" s="839"/>
      <c r="D354" s="393">
        <f t="shared" si="127"/>
        <v>9.1200914645739779</v>
      </c>
      <c r="E354" s="385">
        <f t="shared" si="125"/>
        <v>9.7125056066289694</v>
      </c>
      <c r="F354" s="385">
        <f t="shared" si="128"/>
        <v>9.875428182436826</v>
      </c>
      <c r="G354" s="110">
        <f t="shared" si="126"/>
        <v>0.5714066092613439</v>
      </c>
      <c r="H354" s="414" t="b">
        <f>Wh_hp&gt;='2024'!Maxi_hp</f>
        <v>0</v>
      </c>
      <c r="I354" s="390">
        <f>IF(H354,Wh_hp,'2024'!Maxi_hp)</f>
        <v>13.343805020579753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8.1661718479456163E-2</v>
      </c>
      <c r="M354" s="843"/>
      <c r="N354" s="843"/>
      <c r="O354" s="48">
        <f>IF(t&lt;Tnet,'2024'!Resal+('2024'!Salim-'2024'!Resal)*(1-EXP(('2024'!Tnet-t)/('2024'!Tau_j))),Resal+(Salim-Resal)*(1-EXP((Tnet-t)/(Tau_j))))*Salcycl</f>
        <v>6.0994985851092497E-2</v>
      </c>
      <c r="P354" s="169">
        <f>(INDEX(Models!$BJ354:$BT354,,T354)*(1-R354)+INDEX(Models!$BJ354:$BT354,,T354+1)*R354-ERP_i)*Q354*Ramure*Pc/MaxiM</f>
        <v>4.0427730665856108E-2</v>
      </c>
      <c r="Q354" s="305">
        <f t="shared" si="130"/>
        <v>0.8</v>
      </c>
      <c r="R354" s="177">
        <f t="shared" si="131"/>
        <v>0.39916414839139902</v>
      </c>
      <c r="S354" s="809">
        <f t="shared" si="132"/>
        <v>2</v>
      </c>
      <c r="T354" s="176">
        <f t="shared" si="133"/>
        <v>8</v>
      </c>
      <c r="U354" s="251">
        <f t="shared" si="134"/>
        <v>2.399164148391399</v>
      </c>
      <c r="V354" s="383">
        <f t="shared" si="135"/>
        <v>14.300754930523862</v>
      </c>
      <c r="W354" s="402">
        <f t="shared" si="136"/>
        <v>8.375329122887047</v>
      </c>
      <c r="X354" s="157">
        <f t="shared" si="137"/>
        <v>45997</v>
      </c>
      <c r="Y354" s="385">
        <f t="shared" si="138"/>
        <v>7.6410859554953365</v>
      </c>
      <c r="Z354" s="385">
        <f t="shared" si="139"/>
        <v>8.3205569333814164</v>
      </c>
      <c r="AA354" s="386">
        <f t="shared" si="140"/>
        <v>9.6465351014237086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0.13745641871417583</v>
      </c>
      <c r="AD354" s="231">
        <f>(INDEX(Models!$BJ354:$BT354,,AH354)*(1-AF354)+INDEX(Models!$BJ354:$BT354,,AH354+1)*AF354-ERP_i)*AE354*Ramure*Pc/MaxiM</f>
        <v>5.6797701513077094E-2</v>
      </c>
      <c r="AE354" s="305">
        <f t="shared" si="142"/>
        <v>0.8</v>
      </c>
      <c r="AF354" s="177">
        <f t="shared" si="143"/>
        <v>0.59988089555630264</v>
      </c>
      <c r="AG354" s="809">
        <f t="shared" si="149"/>
        <v>3</v>
      </c>
      <c r="AH354" s="176">
        <f t="shared" si="144"/>
        <v>9</v>
      </c>
      <c r="AI354" s="225">
        <f t="shared" si="145"/>
        <v>3.5998808955563026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IF(t&gt;Tmaj,'2024'!Wh/'2024'!Env_an*'2025'!Env_an,0.001*'[14]mon-tableau (2)'!$B$146)</f>
        <v>13.372927884007874</v>
      </c>
      <c r="C355" s="839"/>
      <c r="D355" s="393">
        <f t="shared" si="127"/>
        <v>14.562440140436227</v>
      </c>
      <c r="E355" s="385">
        <f t="shared" si="125"/>
        <v>15.510859360449313</v>
      </c>
      <c r="F355" s="385">
        <f t="shared" si="128"/>
        <v>16.099131503410707</v>
      </c>
      <c r="G355" s="110">
        <f t="shared" si="126"/>
        <v>0.93535960493562009</v>
      </c>
      <c r="H355" s="414" t="b">
        <f>Wh_hp&gt;='2024'!Maxi_hp</f>
        <v>0</v>
      </c>
      <c r="I355" s="390">
        <f>IF(H355,Wh_hp,'2024'!Maxi_hp)</f>
        <v>16.145056868445899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8.1683580839269992E-2</v>
      </c>
      <c r="M355" s="843"/>
      <c r="N355" s="843"/>
      <c r="O355" s="48">
        <f>IF(t&lt;Tnet,'2024'!Resal+('2024'!Salim-'2024'!Resal)*(1-EXP(('2024'!Tnet-t)/('2024'!Tau_j))),Resal+(Salim-Resal)*(1-EXP((Tnet-t)/(Tau_j))))*Salcycl</f>
        <v>6.1145498000673773E-2</v>
      </c>
      <c r="P355" s="169">
        <f>(INDEX(Models!$BJ355:$BT355,,T355)*(1-R355)+INDEX(Models!$BJ355:$BT355,,T355+1)*R355-ERP_i)*Q355*Ramure*Pc/MaxiM</f>
        <v>4.0043106735020983E-2</v>
      </c>
      <c r="Q355" s="305">
        <f t="shared" si="130"/>
        <v>0.8</v>
      </c>
      <c r="R355" s="177">
        <f t="shared" si="131"/>
        <v>0.39917958384054142</v>
      </c>
      <c r="S355" s="809">
        <f t="shared" si="132"/>
        <v>2</v>
      </c>
      <c r="T355" s="176">
        <f t="shared" si="133"/>
        <v>8</v>
      </c>
      <c r="U355" s="251">
        <f t="shared" si="134"/>
        <v>2.3991795838405414</v>
      </c>
      <c r="V355" s="383">
        <f t="shared" si="135"/>
        <v>14.245123268915915</v>
      </c>
      <c r="W355" s="402">
        <f t="shared" si="136"/>
        <v>13.372927884007874</v>
      </c>
      <c r="X355" s="157">
        <f t="shared" si="137"/>
        <v>45998</v>
      </c>
      <c r="Y355" s="385">
        <f t="shared" si="138"/>
        <v>12.098881803505282</v>
      </c>
      <c r="Z355" s="385">
        <f t="shared" si="139"/>
        <v>13.175068583182604</v>
      </c>
      <c r="AA355" s="386">
        <f t="shared" si="140"/>
        <v>15.275094171925108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0.13748036935852412</v>
      </c>
      <c r="AD355" s="231">
        <f>(INDEX(Models!$BJ355:$BT355,,AH355)*(1-AF355)+INDEX(Models!$BJ355:$BT355,,AH355+1)*AF355-ERP_i)*AE355*Ramure*Pc/MaxiM</f>
        <v>5.6091411454927742E-2</v>
      </c>
      <c r="AE355" s="305">
        <f t="shared" si="142"/>
        <v>0.8</v>
      </c>
      <c r="AF355" s="177">
        <f t="shared" si="143"/>
        <v>0.59989633100544459</v>
      </c>
      <c r="AG355" s="809">
        <f t="shared" si="149"/>
        <v>3</v>
      </c>
      <c r="AH355" s="176">
        <f t="shared" si="144"/>
        <v>9</v>
      </c>
      <c r="AI355" s="225">
        <f t="shared" si="145"/>
        <v>3.5998963310054446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IF(t&gt;Tmaj,'2024'!Wh/'2024'!Env_an*'2025'!Env_an,0.001*'[14]mon-tableau (2)'!$B$147)</f>
        <v>3.9302231362318611</v>
      </c>
      <c r="C356" s="839"/>
      <c r="D356" s="393">
        <f t="shared" si="127"/>
        <v>4.2799155292242839</v>
      </c>
      <c r="E356" s="385">
        <f t="shared" si="125"/>
        <v>4.5593909357027247</v>
      </c>
      <c r="F356" s="385">
        <f t="shared" si="128"/>
        <v>4.5593909357027247</v>
      </c>
      <c r="G356" s="110">
        <f t="shared" si="126"/>
        <v>0.26582215693544947</v>
      </c>
      <c r="H356" s="414" t="b">
        <f>Wh_hp&gt;='2024'!Maxi_hp</f>
        <v>0</v>
      </c>
      <c r="I356" s="390">
        <f>IF(H356,Wh_hp,'2024'!Maxi_hp)</f>
        <v>13.163873636421526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8.1705442690314684E-2</v>
      </c>
      <c r="M356" s="843"/>
      <c r="N356" s="843"/>
      <c r="O356" s="48">
        <f>IF(t&lt;Tnet,'2024'!Resal+('2024'!Salim-'2024'!Resal)*(1-EXP(('2024'!Tnet-t)/('2024'!Tau_j))),Resal+(Salim-Resal)*(1-EXP((Tnet-t)/(Tau_j))))*Salcycl</f>
        <v>6.1296653526676799E-2</v>
      </c>
      <c r="P356" s="169">
        <f>(INDEX(Models!$BJ356:$BT356,,T356)*(1-R356)+INDEX(Models!$BJ356:$BT356,,T356+1)*R356-ERP_i)*Q356*Ramure*Pc/MaxiM</f>
        <v>3.9659943958670091E-2</v>
      </c>
      <c r="Q356" s="305">
        <f t="shared" si="130"/>
        <v>0.8</v>
      </c>
      <c r="R356" s="177">
        <f t="shared" si="131"/>
        <v>0.39919439855974215</v>
      </c>
      <c r="S356" s="809">
        <f t="shared" si="132"/>
        <v>2</v>
      </c>
      <c r="T356" s="176">
        <f t="shared" si="133"/>
        <v>8</v>
      </c>
      <c r="U356" s="251">
        <f t="shared" si="134"/>
        <v>2.3991943985597421</v>
      </c>
      <c r="V356" s="383">
        <f t="shared" si="135"/>
        <v>14.198781434989169</v>
      </c>
      <c r="W356" s="402">
        <f t="shared" si="136"/>
        <v>3.9302231362318611</v>
      </c>
      <c r="X356" s="157">
        <f t="shared" si="137"/>
        <v>45999</v>
      </c>
      <c r="Y356" s="385">
        <f t="shared" si="138"/>
        <v>3.6111434483101723</v>
      </c>
      <c r="Z356" s="385">
        <f t="shared" si="139"/>
        <v>3.9324456619776647</v>
      </c>
      <c r="AA356" s="386">
        <f t="shared" si="140"/>
        <v>4.5593909357027247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0.13750636489968604</v>
      </c>
      <c r="AD356" s="231">
        <f>(INDEX(Models!$BJ356:$BT356,,AH356)*(1-AF356)+INDEX(Models!$BJ356:$BT356,,AH356+1)*AF356-ERP_i)*AE356*Ramure*Pc/MaxiM</f>
        <v>5.5402772471644671E-2</v>
      </c>
      <c r="AE356" s="305">
        <f t="shared" si="142"/>
        <v>0.8</v>
      </c>
      <c r="AF356" s="177">
        <f t="shared" si="143"/>
        <v>0.59991114572464577</v>
      </c>
      <c r="AG356" s="809">
        <f t="shared" si="149"/>
        <v>3</v>
      </c>
      <c r="AH356" s="176">
        <f t="shared" si="144"/>
        <v>9</v>
      </c>
      <c r="AI356" s="225">
        <f t="shared" si="145"/>
        <v>3.5999111457246458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IF(t&gt;Tmaj,'2024'!Wh/'2024'!Env_an*'2025'!Env_an,0.001*'[14]mon-tableau (2)'!$B$148)</f>
        <v>4.6504764376615704</v>
      </c>
      <c r="C357" s="839"/>
      <c r="D357" s="393">
        <f t="shared" si="127"/>
        <v>5.0643740776396555</v>
      </c>
      <c r="E357" s="385">
        <f t="shared" si="125"/>
        <v>5.3959465211343023</v>
      </c>
      <c r="F357" s="385">
        <f t="shared" si="128"/>
        <v>5.4045503964888351</v>
      </c>
      <c r="G357" s="110">
        <f t="shared" si="126"/>
        <v>0.31597768195339032</v>
      </c>
      <c r="H357" s="414" t="b">
        <f>Wh_hp&gt;='2024'!Maxi_hp</f>
        <v>0</v>
      </c>
      <c r="I357" s="390">
        <f>IF(H357,Wh_hp,'2024'!Maxi_hp)</f>
        <v>9.5730272396475531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8.1727304032602227E-2</v>
      </c>
      <c r="M357" s="843"/>
      <c r="N357" s="843"/>
      <c r="O357" s="48">
        <f>IF(t&lt;Tnet,'2024'!Resal+('2024'!Salim-'2024'!Resal)*(1-EXP(('2024'!Tnet-t)/('2024'!Tau_j))),Resal+(Salim-Resal)*(1-EXP((Tnet-t)/(Tau_j))))*Salcycl</f>
        <v>6.1448430260748019E-2</v>
      </c>
      <c r="P357" s="169">
        <f>(INDEX(Models!$BJ357:$BT357,,T357)*(1-R357)+INDEX(Models!$BJ357:$BT357,,T357+1)*R357-ERP_i)*Q357*Ramure*Pc/MaxiM</f>
        <v>3.9277145439277357E-2</v>
      </c>
      <c r="Q357" s="305">
        <f t="shared" si="130"/>
        <v>0.8</v>
      </c>
      <c r="R357" s="177">
        <f t="shared" si="131"/>
        <v>0.39920861748257419</v>
      </c>
      <c r="S357" s="809">
        <f t="shared" si="132"/>
        <v>2</v>
      </c>
      <c r="T357" s="176">
        <f t="shared" si="133"/>
        <v>8</v>
      </c>
      <c r="U357" s="251">
        <f t="shared" si="134"/>
        <v>2.3992086174825742</v>
      </c>
      <c r="V357" s="383">
        <f t="shared" si="135"/>
        <v>14.16221215361994</v>
      </c>
      <c r="W357" s="402">
        <f t="shared" si="136"/>
        <v>4.6504764376615704</v>
      </c>
      <c r="X357" s="157">
        <f t="shared" si="137"/>
        <v>46000</v>
      </c>
      <c r="Y357" s="385">
        <f t="shared" si="138"/>
        <v>4.2707935742469232</v>
      </c>
      <c r="Z357" s="385">
        <f t="shared" si="139"/>
        <v>4.6508990118100524</v>
      </c>
      <c r="AA357" s="386">
        <f t="shared" si="140"/>
        <v>5.3925613829410288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0.13753434007764304</v>
      </c>
      <c r="AD357" s="231">
        <f>(INDEX(Models!$BJ357:$BT357,,AH357)*(1-AF357)+INDEX(Models!$BJ357:$BT357,,AH357+1)*AF357-ERP_i)*AE357*Ramure*Pc/MaxiM</f>
        <v>5.473048009029554E-2</v>
      </c>
      <c r="AE357" s="305">
        <f t="shared" si="142"/>
        <v>0.8</v>
      </c>
      <c r="AF357" s="177">
        <f t="shared" si="143"/>
        <v>0.59992536464747781</v>
      </c>
      <c r="AG357" s="809">
        <f t="shared" si="149"/>
        <v>3</v>
      </c>
      <c r="AH357" s="176">
        <f t="shared" si="144"/>
        <v>9</v>
      </c>
      <c r="AI357" s="225">
        <f t="shared" si="145"/>
        <v>3.5999253646474778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IF(t&gt;Tmaj,'2024'!Wh/'2024'!Env_an*'2025'!Env_an,0.001*'[14]mon-tableau (2)'!$B$149)</f>
        <v>9.4817933423230407</v>
      </c>
      <c r="C358" s="839"/>
      <c r="D358" s="393">
        <f t="shared" si="127"/>
        <v>10.325929451445427</v>
      </c>
      <c r="E358" s="385">
        <f t="shared" si="125"/>
        <v>11.003770562374399</v>
      </c>
      <c r="F358" s="385">
        <f t="shared" si="128"/>
        <v>11.235219464572882</v>
      </c>
      <c r="G358" s="110">
        <f t="shared" si="126"/>
        <v>0.65823136154947992</v>
      </c>
      <c r="H358" s="414" t="b">
        <f>Wh_hp&gt;='2024'!Maxi_hp</f>
        <v>0</v>
      </c>
      <c r="I358" s="390">
        <f>IF(H358,Wh_hp,'2024'!Maxi_hp)</f>
        <v>15.549770066457318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8.174916486614428E-2</v>
      </c>
      <c r="M358" s="843"/>
      <c r="N358" s="843"/>
      <c r="O358" s="48">
        <f>IF(t&lt;Tnet,'2024'!Resal+('2024'!Salim-'2024'!Resal)*(1-EXP(('2024'!Tnet-t)/('2024'!Tau_j))),Resal+(Salim-Resal)*(1-EXP((Tnet-t)/(Tau_j))))*Salcycl</f>
        <v>6.1600803750556057E-2</v>
      </c>
      <c r="P358" s="169">
        <f>(INDEX(Models!$BJ358:$BT358,,T358)*(1-R358)+INDEX(Models!$BJ358:$BT358,,T358+1)*R358-ERP_i)*Q358*Ramure*Pc/MaxiM</f>
        <v>3.8893662447324694E-2</v>
      </c>
      <c r="Q358" s="305">
        <f t="shared" si="130"/>
        <v>0.8</v>
      </c>
      <c r="R358" s="177">
        <f t="shared" si="131"/>
        <v>0.39922226454334764</v>
      </c>
      <c r="S358" s="809">
        <f t="shared" si="132"/>
        <v>2</v>
      </c>
      <c r="T358" s="176">
        <f t="shared" si="133"/>
        <v>8</v>
      </c>
      <c r="U358" s="251">
        <f t="shared" si="134"/>
        <v>2.3992222645433476</v>
      </c>
      <c r="V358" s="383">
        <f t="shared" si="135"/>
        <v>14.135897578424528</v>
      </c>
      <c r="W358" s="402">
        <f t="shared" si="136"/>
        <v>9.4817933423230407</v>
      </c>
      <c r="X358" s="157">
        <f t="shared" si="137"/>
        <v>46001</v>
      </c>
      <c r="Y358" s="385">
        <f t="shared" si="138"/>
        <v>8.6427060399143301</v>
      </c>
      <c r="Z358" s="385">
        <f t="shared" si="139"/>
        <v>9.4121406801165186</v>
      </c>
      <c r="AA358" s="386">
        <f t="shared" si="140"/>
        <v>10.913439533738183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0.1375642251904633</v>
      </c>
      <c r="AD358" s="231">
        <f>(INDEX(Models!$BJ358:$BT358,,AH358)*(1-AF358)+INDEX(Models!$BJ358:$BT358,,AH358+1)*AF358-ERP_i)*AE358*Ramure*Pc/MaxiM</f>
        <v>5.4073274460708434E-2</v>
      </c>
      <c r="AE358" s="305">
        <f t="shared" si="142"/>
        <v>0.8</v>
      </c>
      <c r="AF358" s="177">
        <f t="shared" si="143"/>
        <v>0.59993901170825126</v>
      </c>
      <c r="AG358" s="809">
        <f t="shared" si="149"/>
        <v>3</v>
      </c>
      <c r="AH358" s="176">
        <f t="shared" si="144"/>
        <v>9</v>
      </c>
      <c r="AI358" s="225">
        <f t="shared" si="145"/>
        <v>3.5999390117082513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IF(t&gt;Tmaj,'2024'!Wh/'2024'!Env_an*'2025'!Env_an,0.001*'[14]mon-tableau (2)'!$B$150)</f>
        <v>11.53518796661008</v>
      </c>
      <c r="C359" s="839"/>
      <c r="D359" s="393">
        <f t="shared" si="127"/>
        <v>12.562430813086586</v>
      </c>
      <c r="E359" s="385">
        <f t="shared" si="125"/>
        <v>13.389268307132483</v>
      </c>
      <c r="F359" s="385">
        <f t="shared" si="128"/>
        <v>13.781118785863047</v>
      </c>
      <c r="G359" s="110">
        <f t="shared" si="126"/>
        <v>0.80841701269033894</v>
      </c>
      <c r="H359" s="414" t="b">
        <f>Wh_hp&gt;='2024'!Maxi_hp</f>
        <v>0</v>
      </c>
      <c r="I359" s="390">
        <f>IF(H359,Wh_hp,'2024'!Maxi_hp)</f>
        <v>14.841331638958879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8.1771025190952945E-2</v>
      </c>
      <c r="M359" s="843"/>
      <c r="N359" s="843"/>
      <c r="O359" s="48">
        <f>IF(t&lt;Tnet,'2024'!Resal+('2024'!Salim-'2024'!Resal)*(1-EXP(('2024'!Tnet-t)/('2024'!Tau_j))),Resal+(Salim-Resal)*(1-EXP((Tnet-t)/(Tau_j))))*Salcycl</f>
        <v>6.1753747484874881E-2</v>
      </c>
      <c r="P359" s="169">
        <f>(INDEX(Models!$BJ359:$BT359,,T359)*(1-R359)+INDEX(Models!$BJ359:$BT359,,T359+1)*R359-ERP_i)*Q359*Ramure*Pc/MaxiM</f>
        <v>3.850692688319475E-2</v>
      </c>
      <c r="Q359" s="305">
        <f t="shared" si="130"/>
        <v>0.8</v>
      </c>
      <c r="R359" s="177">
        <f t="shared" si="131"/>
        <v>0.39923536271697735</v>
      </c>
      <c r="S359" s="809">
        <f t="shared" si="132"/>
        <v>2</v>
      </c>
      <c r="T359" s="176">
        <f t="shared" si="133"/>
        <v>8</v>
      </c>
      <c r="U359" s="251">
        <f t="shared" si="134"/>
        <v>2.3992353627169773</v>
      </c>
      <c r="V359" s="383">
        <f t="shared" si="135"/>
        <v>14.120920981931144</v>
      </c>
      <c r="W359" s="402">
        <f t="shared" si="136"/>
        <v>11.53518796661008</v>
      </c>
      <c r="X359" s="157">
        <f t="shared" si="137"/>
        <v>46002</v>
      </c>
      <c r="Y359" s="385">
        <f t="shared" si="138"/>
        <v>10.48251606465557</v>
      </c>
      <c r="Z359" s="385">
        <f t="shared" si="139"/>
        <v>11.416015342834822</v>
      </c>
      <c r="AA359" s="386">
        <f t="shared" si="140"/>
        <v>13.237432382633424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0.13759594664205221</v>
      </c>
      <c r="AD359" s="231">
        <f>(INDEX(Models!$BJ359:$BT359,,AH359)*(1-AF359)+INDEX(Models!$BJ359:$BT359,,AH359+1)*AF359-ERP_i)*AE359*Ramure*Pc/MaxiM</f>
        <v>5.3427758068264428E-2</v>
      </c>
      <c r="AE359" s="305">
        <f t="shared" si="142"/>
        <v>0.8</v>
      </c>
      <c r="AF359" s="177">
        <f t="shared" si="143"/>
        <v>0.59995210988188097</v>
      </c>
      <c r="AG359" s="809">
        <f t="shared" si="149"/>
        <v>3</v>
      </c>
      <c r="AH359" s="176">
        <f t="shared" si="144"/>
        <v>9</v>
      </c>
      <c r="AI359" s="225">
        <f t="shared" si="145"/>
        <v>3.599952109881881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IF(t&gt;Tmaj,'2024'!Wh/'2024'!Env_an*'2025'!Env_an,0.001*'[14]mon-tableau (2)'!$B$151)</f>
        <v>3.8538123267806714</v>
      </c>
      <c r="C360" s="839"/>
      <c r="D360" s="393">
        <f t="shared" si="127"/>
        <v>4.1971057116130259</v>
      </c>
      <c r="E360" s="385">
        <f t="shared" si="125"/>
        <v>4.4740838644388816</v>
      </c>
      <c r="F360" s="385">
        <f t="shared" si="128"/>
        <v>4.4740838644388816</v>
      </c>
      <c r="G360" s="110">
        <f t="shared" si="126"/>
        <v>0.26257619510957164</v>
      </c>
      <c r="H360" s="414" t="b">
        <f>Wh_hp&gt;='2024'!Maxi_hp</f>
        <v>0</v>
      </c>
      <c r="I360" s="390">
        <f>IF(H360,Wh_hp,'2024'!Maxi_hp)</f>
        <v>16.842886191960798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8.1792885007039878E-2</v>
      </c>
      <c r="M360" s="843"/>
      <c r="N360" s="843"/>
      <c r="O360" s="48">
        <f>IF(t&lt;Tnet,'2024'!Resal+('2024'!Salim-'2024'!Resal)*(1-EXP(('2024'!Tnet-t)/('2024'!Tau_j))),Resal+(Salim-Resal)*(1-EXP((Tnet-t)/(Tau_j))))*Salcycl</f>
        <v>6.1907233127064573E-2</v>
      </c>
      <c r="P360" s="169">
        <f>(INDEX(Models!$BJ360:$BT360,,T360)*(1-R360)+INDEX(Models!$BJ360:$BT360,,T360+1)*R360-ERP_i)*Q360*Ramure*Pc/MaxiM</f>
        <v>3.8116764821122369E-2</v>
      </c>
      <c r="Q360" s="305">
        <f t="shared" si="130"/>
        <v>0.8</v>
      </c>
      <c r="R360" s="177">
        <f t="shared" si="131"/>
        <v>0.39924793405727499</v>
      </c>
      <c r="S360" s="809">
        <f t="shared" si="132"/>
        <v>2</v>
      </c>
      <c r="T360" s="176">
        <f t="shared" si="133"/>
        <v>8</v>
      </c>
      <c r="U360" s="251">
        <f t="shared" si="134"/>
        <v>2.399247934057275</v>
      </c>
      <c r="V360" s="383">
        <f t="shared" si="135"/>
        <v>14.117492513398455</v>
      </c>
      <c r="W360" s="402">
        <f t="shared" si="136"/>
        <v>3.8538123267806714</v>
      </c>
      <c r="X360" s="157">
        <f t="shared" si="137"/>
        <v>46003</v>
      </c>
      <c r="Y360" s="385">
        <f t="shared" si="138"/>
        <v>3.5427352815311393</v>
      </c>
      <c r="Z360" s="385">
        <f t="shared" si="139"/>
        <v>3.8583182635851183</v>
      </c>
      <c r="AA360" s="386">
        <f t="shared" si="140"/>
        <v>4.4740838644388816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0.13762942750090584</v>
      </c>
      <c r="AD360" s="231">
        <f>(INDEX(Models!$BJ360:$BT360,,AH360)*(1-AF360)+INDEX(Models!$BJ360:$BT360,,AH360+1)*AF360-ERP_i)*AE360*Ramure*Pc/MaxiM</f>
        <v>5.2793828008205923E-2</v>
      </c>
      <c r="AE360" s="305">
        <f t="shared" si="142"/>
        <v>0.8</v>
      </c>
      <c r="AF360" s="177">
        <f t="shared" si="143"/>
        <v>0.59996468122217861</v>
      </c>
      <c r="AG360" s="809">
        <f t="shared" si="149"/>
        <v>3</v>
      </c>
      <c r="AH360" s="176">
        <f t="shared" si="144"/>
        <v>9</v>
      </c>
      <c r="AI360" s="225">
        <f t="shared" si="145"/>
        <v>3.5999646812221786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IF(t&gt;Tmaj,'2024'!Wh/'2024'!Env_an*'2025'!Env_an,0.001*'[14]mon-tableau (2)'!$B$152)</f>
        <v>5.0062982073068527</v>
      </c>
      <c r="C361" s="839"/>
      <c r="D361" s="393">
        <f t="shared" si="127"/>
        <v>5.4523835754352099</v>
      </c>
      <c r="E361" s="385">
        <f t="shared" ref="E361:E379" si="150">Wh_pvt/(1-Psa)</f>
        <v>5.8131551378606252</v>
      </c>
      <c r="F361" s="385">
        <f t="shared" si="128"/>
        <v>5.8302647809778261</v>
      </c>
      <c r="G361" s="110">
        <f t="shared" ref="G361:G379" si="151">+Wh_hp/MaxiM</f>
        <v>0.34206617185955546</v>
      </c>
      <c r="H361" s="414" t="b">
        <f>Wh_hp&gt;='2024'!Maxi_hp</f>
        <v>0</v>
      </c>
      <c r="I361" s="390">
        <f>IF(H361,Wh_hp,'2024'!Maxi_hp)</f>
        <v>17.504311781575961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8.1814744314416848E-2</v>
      </c>
      <c r="M361" s="843"/>
      <c r="N361" s="843"/>
      <c r="O361" s="48">
        <f>IF(t&lt;Tnet,'2024'!Resal+('2024'!Salim-'2024'!Resal)*(1-EXP(('2024'!Tnet-t)/('2024'!Tau_j))),Resal+(Salim-Resal)*(1-EXP((Tnet-t)/(Tau_j))))*Salcycl</f>
        <v>6.2061230755005671E-2</v>
      </c>
      <c r="P361" s="169">
        <f>(INDEX(Models!$BJ361:$BT361,,T361)*(1-R361)+INDEX(Models!$BJ361:$BT361,,T361+1)*R361-ERP_i)*Q361*Ramure*Pc/MaxiM</f>
        <v>3.7735833503197515E-2</v>
      </c>
      <c r="Q361" s="305">
        <f t="shared" si="130"/>
        <v>0.8</v>
      </c>
      <c r="R361" s="177">
        <f t="shared" si="131"/>
        <v>0.39925999973372583</v>
      </c>
      <c r="S361" s="809">
        <f t="shared" si="132"/>
        <v>2</v>
      </c>
      <c r="T361" s="176">
        <f t="shared" si="133"/>
        <v>8</v>
      </c>
      <c r="U361" s="251">
        <f t="shared" si="134"/>
        <v>2.3992599997337258</v>
      </c>
      <c r="V361" s="383">
        <f t="shared" si="135"/>
        <v>14.124636074601719</v>
      </c>
      <c r="W361" s="402">
        <f t="shared" si="136"/>
        <v>5.0062982073068527</v>
      </c>
      <c r="X361" s="157">
        <f t="shared" si="137"/>
        <v>46004</v>
      </c>
      <c r="Y361" s="385">
        <f t="shared" si="138"/>
        <v>4.5975749647959425</v>
      </c>
      <c r="Z361" s="385">
        <f t="shared" si="139"/>
        <v>5.0072411164597304</v>
      </c>
      <c r="AA361" s="386">
        <f t="shared" si="140"/>
        <v>5.806605002137772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0.13766458806544379</v>
      </c>
      <c r="AD361" s="231">
        <f>(INDEX(Models!$BJ361:$BT361,,AH361)*(1-AF361)+INDEX(Models!$BJ361:$BT361,,AH361+1)*AF361-ERP_i)*AE361*Ramure*Pc/MaxiM</f>
        <v>5.2182355231780463E-2</v>
      </c>
      <c r="AE361" s="305">
        <f t="shared" si="142"/>
        <v>0.8</v>
      </c>
      <c r="AF361" s="177">
        <f t="shared" si="143"/>
        <v>0.59997674689862945</v>
      </c>
      <c r="AG361" s="809">
        <f t="shared" si="149"/>
        <v>3</v>
      </c>
      <c r="AH361" s="176">
        <f t="shared" si="144"/>
        <v>9</v>
      </c>
      <c r="AI361" s="225">
        <f t="shared" si="145"/>
        <v>3.5999767468986295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IF(t&gt;Tmaj,'2024'!Wh/'2024'!Env_an*'2025'!Env_an,0.001*'[14]mon-tableau (2)'!$B$153)</f>
        <v>13.361462217949621</v>
      </c>
      <c r="C362" s="839"/>
      <c r="D362" s="393">
        <f t="shared" si="127"/>
        <v>14.552379525531702</v>
      </c>
      <c r="E362" s="385">
        <f t="shared" si="150"/>
        <v>15.517832476860059</v>
      </c>
      <c r="F362" s="385">
        <f t="shared" si="128"/>
        <v>16.071029155428732</v>
      </c>
      <c r="G362" s="110">
        <f t="shared" si="151"/>
        <v>0.94195753428328166</v>
      </c>
      <c r="H362" s="414" t="b">
        <f>Wh_hp&gt;='2024'!Maxi_hp</f>
        <v>0</v>
      </c>
      <c r="I362" s="390">
        <f>IF(H362,Wh_hp,'2024'!Maxi_hp)</f>
        <v>17.825188760800483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8.1836603113095957E-2</v>
      </c>
      <c r="M362" s="843"/>
      <c r="N362" s="843"/>
      <c r="O362" s="48">
        <f>IF(t&lt;Tnet,'2024'!Resal+('2024'!Salim-'2024'!Resal)*(1-EXP(('2024'!Tnet-t)/('2024'!Tau_j))),Resal+(Salim-Resal)*(1-EXP((Tnet-t)/(Tau_j))))*Salcycl</f>
        <v>6.221570910550981E-2</v>
      </c>
      <c r="P362" s="169">
        <f>(INDEX(Models!$BJ362:$BT362,,T362)*(1-R362)+INDEX(Models!$BJ362:$BT362,,T362+1)*R362-ERP_i)*Q362*Ramure*Pc/MaxiM</f>
        <v>3.7366526664536895E-2</v>
      </c>
      <c r="Q362" s="305">
        <f t="shared" si="130"/>
        <v>0.8</v>
      </c>
      <c r="R362" s="177">
        <f t="shared" si="131"/>
        <v>0.39927158006680941</v>
      </c>
      <c r="S362" s="809">
        <f t="shared" si="132"/>
        <v>2</v>
      </c>
      <c r="T362" s="176">
        <f t="shared" si="133"/>
        <v>8</v>
      </c>
      <c r="U362" s="251">
        <f t="shared" si="134"/>
        <v>2.3992715800668094</v>
      </c>
      <c r="V362" s="383">
        <f t="shared" si="135"/>
        <v>14.141525233790388</v>
      </c>
      <c r="W362" s="402">
        <f t="shared" si="136"/>
        <v>13.361462217949621</v>
      </c>
      <c r="X362" s="157">
        <f t="shared" si="137"/>
        <v>46005</v>
      </c>
      <c r="Y362" s="385">
        <f t="shared" si="138"/>
        <v>12.119154080379117</v>
      </c>
      <c r="Z362" s="385">
        <f t="shared" si="139"/>
        <v>13.19934351714514</v>
      </c>
      <c r="AA362" s="386">
        <f t="shared" si="140"/>
        <v>15.307160068639318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0.13770134643150342</v>
      </c>
      <c r="AD362" s="231">
        <f>(INDEX(Models!$BJ362:$BT362,,AH362)*(1-AF362)+INDEX(Models!$BJ362:$BT362,,AH362+1)*AF362-ERP_i)*AE362*Ramure*Pc/MaxiM</f>
        <v>5.1596720850862324E-2</v>
      </c>
      <c r="AE362" s="305">
        <f t="shared" si="142"/>
        <v>0.8</v>
      </c>
      <c r="AF362" s="177">
        <f t="shared" si="143"/>
        <v>0.59998832723171258</v>
      </c>
      <c r="AG362" s="809">
        <f t="shared" si="149"/>
        <v>3</v>
      </c>
      <c r="AH362" s="176">
        <f t="shared" si="144"/>
        <v>9</v>
      </c>
      <c r="AI362" s="225">
        <f t="shared" si="145"/>
        <v>3.5999883272317126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IF(t&gt;Tmaj,'2024'!Wh/'2024'!Env_an*'2025'!Env_an,0.001*'[14]mon-tableau (2)'!$B$154)</f>
        <v>5.2427214061491911</v>
      </c>
      <c r="C363" s="839"/>
      <c r="D363" s="393">
        <f t="shared" si="127"/>
        <v>5.7101450982830286</v>
      </c>
      <c r="E363" s="385">
        <f t="shared" si="150"/>
        <v>6.0899810910723833</v>
      </c>
      <c r="F363" s="385">
        <f t="shared" si="128"/>
        <v>6.1126230308837348</v>
      </c>
      <c r="G363" s="110">
        <f t="shared" si="151"/>
        <v>0.35768571286481193</v>
      </c>
      <c r="H363" s="414" t="b">
        <f>Wh_hp&gt;='2024'!Maxi_hp</f>
        <v>0</v>
      </c>
      <c r="I363" s="390">
        <f>IF(H363,Wh_hp,'2024'!Maxi_hp)</f>
        <v>16.523910631894243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8.185846140308875E-2</v>
      </c>
      <c r="M363" s="843"/>
      <c r="N363" s="843"/>
      <c r="O363" s="48">
        <f>IF(t&lt;Tnet,'2024'!Resal+('2024'!Salim-'2024'!Resal)*(1-EXP(('2024'!Tnet-t)/('2024'!Tau_j))),Resal+(Salim-Resal)*(1-EXP((Tnet-t)/(Tau_j))))*Salcycl</f>
        <v>6.2370635821213979E-2</v>
      </c>
      <c r="P363" s="169">
        <f>(INDEX(Models!$BJ363:$BT363,,T363)*(1-R363)+INDEX(Models!$BJ363:$BT363,,T363+1)*R363-ERP_i)*Q363*Ramure*Pc/MaxiM</f>
        <v>3.7011130327758934E-2</v>
      </c>
      <c r="Q363" s="305">
        <f t="shared" si="130"/>
        <v>0.8</v>
      </c>
      <c r="R363" s="177">
        <f t="shared" si="131"/>
        <v>0.39928269456191678</v>
      </c>
      <c r="S363" s="809">
        <f t="shared" si="132"/>
        <v>2</v>
      </c>
      <c r="T363" s="176">
        <f t="shared" si="133"/>
        <v>8</v>
      </c>
      <c r="U363" s="251">
        <f t="shared" si="134"/>
        <v>2.3992826945619168</v>
      </c>
      <c r="V363" s="383">
        <f t="shared" si="135"/>
        <v>14.167333706849822</v>
      </c>
      <c r="W363" s="402">
        <f t="shared" si="136"/>
        <v>5.2427214061491911</v>
      </c>
      <c r="X363" s="157">
        <f t="shared" si="137"/>
        <v>46006</v>
      </c>
      <c r="Y363" s="385">
        <f t="shared" si="138"/>
        <v>4.8145039363709188</v>
      </c>
      <c r="Z363" s="385">
        <f t="shared" si="139"/>
        <v>5.2437491758932548</v>
      </c>
      <c r="AA363" s="386">
        <f t="shared" si="140"/>
        <v>6.0813987187516192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0.13773961905762291</v>
      </c>
      <c r="AD363" s="231">
        <f>(INDEX(Models!$BJ363:$BT363,,AH363)*(1-AF363)+INDEX(Models!$BJ363:$BT363,,AH363+1)*AF363-ERP_i)*AE363*Ramure*Pc/MaxiM</f>
        <v>5.1040109431658515E-2</v>
      </c>
      <c r="AE363" s="305">
        <f t="shared" si="142"/>
        <v>0.8</v>
      </c>
      <c r="AF363" s="177">
        <f t="shared" si="143"/>
        <v>0.59999944172682085</v>
      </c>
      <c r="AG363" s="809">
        <f t="shared" si="149"/>
        <v>3</v>
      </c>
      <c r="AH363" s="176">
        <f t="shared" si="144"/>
        <v>9</v>
      </c>
      <c r="AI363" s="225">
        <f t="shared" si="145"/>
        <v>3.5999994417268208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IF(t&gt;Tmaj,'2024'!Wh/'2024'!Env_an*'2025'!Env_an,0.001*'[14]mon-tableau (2)'!$B$155)</f>
        <v>4.4315964699082624</v>
      </c>
      <c r="C364" s="839"/>
      <c r="D364" s="393">
        <f t="shared" si="127"/>
        <v>4.8268178566562749</v>
      </c>
      <c r="E364" s="385">
        <f t="shared" si="150"/>
        <v>5.1487483832391359</v>
      </c>
      <c r="F364" s="385">
        <f t="shared" si="128"/>
        <v>5.1520026540808574</v>
      </c>
      <c r="G364" s="110">
        <f t="shared" si="151"/>
        <v>0.3008034127583144</v>
      </c>
      <c r="H364" s="414" t="b">
        <f>Wh_hp&gt;='2024'!Maxi_hp</f>
        <v>0</v>
      </c>
      <c r="I364" s="390">
        <f>IF(H364,Wh_hp,'2024'!Maxi_hp)</f>
        <v>16.953885897183909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8.188031918440733E-2</v>
      </c>
      <c r="M364" s="843"/>
      <c r="N364" s="843"/>
      <c r="O364" s="48">
        <f>IF(t&lt;Tnet,'2024'!Resal+('2024'!Salim-'2024'!Resal)*(1-EXP(('2024'!Tnet-t)/('2024'!Tau_j))),Resal+(Salim-Resal)*(1-EXP((Tnet-t)/(Tau_j))))*Salcycl</f>
        <v>6.2525977697968457E-2</v>
      </c>
      <c r="P364" s="169">
        <f>(INDEX(Models!$BJ364:$BT364,,T364)*(1-R364)+INDEX(Models!$BJ364:$BT364,,T364+1)*R364-ERP_i)*Q364*Ramure*Pc/MaxiM</f>
        <v>3.6671815582499843E-2</v>
      </c>
      <c r="Q364" s="305">
        <f t="shared" si="130"/>
        <v>0.8</v>
      </c>
      <c r="R364" s="177">
        <f t="shared" si="131"/>
        <v>0.39929336194193121</v>
      </c>
      <c r="S364" s="809">
        <f t="shared" si="132"/>
        <v>2</v>
      </c>
      <c r="T364" s="176">
        <f t="shared" si="133"/>
        <v>8</v>
      </c>
      <c r="U364" s="251">
        <f t="shared" si="134"/>
        <v>2.3992933619419312</v>
      </c>
      <c r="V364" s="383">
        <f t="shared" si="135"/>
        <v>14.201235348582326</v>
      </c>
      <c r="W364" s="402">
        <f t="shared" si="136"/>
        <v>4.4315964699082624</v>
      </c>
      <c r="X364" s="157">
        <f t="shared" si="137"/>
        <v>46007</v>
      </c>
      <c r="Y364" s="385">
        <f t="shared" si="138"/>
        <v>4.0748888278216491</v>
      </c>
      <c r="Z364" s="385">
        <f t="shared" si="139"/>
        <v>4.4382980922506805</v>
      </c>
      <c r="AA364" s="386">
        <f t="shared" si="140"/>
        <v>5.1475198890672358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0.13777932132382131</v>
      </c>
      <c r="AD364" s="231">
        <f>(INDEX(Models!$BJ364:$BT364,,AH364)*(1-AF364)+INDEX(Models!$BJ364:$BT364,,AH364+1)*AF364-ERP_i)*AE364*Ramure*Pc/MaxiM</f>
        <v>5.0515504048290576E-2</v>
      </c>
      <c r="AE364" s="305">
        <f t="shared" si="142"/>
        <v>0.8</v>
      </c>
      <c r="AF364" s="177">
        <f t="shared" si="143"/>
        <v>0.60001010910683483</v>
      </c>
      <c r="AG364" s="809">
        <f t="shared" si="149"/>
        <v>3</v>
      </c>
      <c r="AH364" s="176">
        <f t="shared" si="144"/>
        <v>9</v>
      </c>
      <c r="AI364" s="225">
        <f t="shared" si="145"/>
        <v>3.6000101091068348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IF(t&gt;Tmaj,'2024'!Wh/'2024'!Env_an*'2025'!Env_an,0.001*'[14]mon-tableau (2)'!$B$156)</f>
        <v>3.2940829668243388</v>
      </c>
      <c r="C365" s="839"/>
      <c r="D365" s="393">
        <f t="shared" si="127"/>
        <v>3.5879433349623708</v>
      </c>
      <c r="E365" s="385">
        <f t="shared" si="150"/>
        <v>3.8278814555580176</v>
      </c>
      <c r="F365" s="385">
        <f t="shared" si="128"/>
        <v>3.8278814555580176</v>
      </c>
      <c r="G365" s="110">
        <f t="shared" si="151"/>
        <v>0.22287957326343888</v>
      </c>
      <c r="H365" s="414" t="b">
        <f>Wh_hp&gt;='2024'!Maxi_hp</f>
        <v>0</v>
      </c>
      <c r="I365" s="390">
        <f>IF(H365,Wh_hp,'2024'!Maxi_hp)</f>
        <v>16.997202859341002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8.1902176457063242E-2</v>
      </c>
      <c r="M365" s="843"/>
      <c r="N365" s="843"/>
      <c r="O365" s="48">
        <f>IF(t&lt;Tnet,'2024'!Resal+('2024'!Salim-'2024'!Resal)*(1-EXP(('2024'!Tnet-t)/('2024'!Tau_j))),Resal+(Salim-Resal)*(1-EXP((Tnet-t)/(Tau_j))))*Salcycl</f>
        <v>6.2681700930748804E-2</v>
      </c>
      <c r="P365" s="169">
        <f>(INDEX(Models!$BJ365:$BT365,,T365)*(1-R365)+INDEX(Models!$BJ365:$BT365,,T365+1)*R365-ERP_i)*Q365*Ramure*Pc/MaxiM</f>
        <v>3.6350634832528768E-2</v>
      </c>
      <c r="Q365" s="305">
        <f t="shared" si="130"/>
        <v>0.8</v>
      </c>
      <c r="R365" s="177">
        <f t="shared" si="131"/>
        <v>0.39930360017850619</v>
      </c>
      <c r="S365" s="809">
        <f t="shared" si="132"/>
        <v>2</v>
      </c>
      <c r="T365" s="176">
        <f t="shared" si="133"/>
        <v>8</v>
      </c>
      <c r="U365" s="251">
        <f t="shared" si="134"/>
        <v>2.3993036001785062</v>
      </c>
      <c r="V365" s="383">
        <f t="shared" si="135"/>
        <v>14.24240415265535</v>
      </c>
      <c r="W365" s="402">
        <f t="shared" si="136"/>
        <v>3.2940829668243388</v>
      </c>
      <c r="X365" s="157">
        <f t="shared" si="137"/>
        <v>46008</v>
      </c>
      <c r="Y365" s="385">
        <f t="shared" si="138"/>
        <v>3.0300179167223185</v>
      </c>
      <c r="Z365" s="385">
        <f t="shared" si="139"/>
        <v>3.3003214243875325</v>
      </c>
      <c r="AA365" s="386">
        <f t="shared" si="140"/>
        <v>3.8278814555580176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0.13782036807970555</v>
      </c>
      <c r="AD365" s="231">
        <f>(INDEX(Models!$BJ365:$BT365,,AH365)*(1-AF365)+INDEX(Models!$BJ365:$BT365,,AH365+1)*AF365-ERP_i)*AE365*Ramure*Pc/MaxiM</f>
        <v>5.0025686470596992E-2</v>
      </c>
      <c r="AE365" s="305">
        <f t="shared" si="142"/>
        <v>0.8</v>
      </c>
      <c r="AF365" s="177">
        <f t="shared" si="143"/>
        <v>0.60002034734340981</v>
      </c>
      <c r="AG365" s="809">
        <f t="shared" si="149"/>
        <v>3</v>
      </c>
      <c r="AH365" s="176">
        <f t="shared" si="144"/>
        <v>9</v>
      </c>
      <c r="AI365" s="225">
        <f t="shared" si="145"/>
        <v>3.6000203473434098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IF(t&gt;Tmaj,'2024'!Wh/'2024'!Env_an*'2025'!Env_an,0.001*'[14]mon-tableau (2)'!$B$157)</f>
        <v>13.241124386099706</v>
      </c>
      <c r="C366" s="839"/>
      <c r="D366" s="393">
        <f t="shared" si="127"/>
        <v>14.422689260188543</v>
      </c>
      <c r="E366" s="385">
        <f t="shared" si="150"/>
        <v>15.389746640834536</v>
      </c>
      <c r="F366" s="385">
        <f t="shared" si="128"/>
        <v>15.903152702612633</v>
      </c>
      <c r="G366" s="110">
        <f t="shared" si="151"/>
        <v>0.92299359157725858</v>
      </c>
      <c r="H366" s="414" t="b">
        <f>Wh_hp&gt;='2024'!Maxi_hp</f>
        <v>0</v>
      </c>
      <c r="I366" s="390">
        <f>IF(H366,Wh_hp,'2024'!Maxi_hp)</f>
        <v>17.776988276378741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8.1924033221068698E-2</v>
      </c>
      <c r="M366" s="843"/>
      <c r="N366" s="843"/>
      <c r="O366" s="48">
        <f>IF(t&lt;Tnet,'2024'!Resal+('2024'!Salim-'2024'!Resal)*(1-EXP(('2024'!Tnet-t)/('2024'!Tau_j))),Resal+(Salim-Resal)*(1-EXP((Tnet-t)/(Tau_j))))*Salcycl</f>
        <v>6.283777135616013E-2</v>
      </c>
      <c r="P366" s="169">
        <f>(INDEX(Models!$BJ366:$BT366,,T366)*(1-R366)+INDEX(Models!$BJ366:$BT366,,T366+1)*R366-ERP_i)*Q366*Ramure*Pc/MaxiM</f>
        <v>3.6064158038417837E-2</v>
      </c>
      <c r="Q366" s="305">
        <f t="shared" si="130"/>
        <v>0.8</v>
      </c>
      <c r="R366" s="177">
        <f t="shared" si="131"/>
        <v>0.39931342652210944</v>
      </c>
      <c r="S366" s="809">
        <f t="shared" si="132"/>
        <v>2</v>
      </c>
      <c r="T366" s="176">
        <f t="shared" si="133"/>
        <v>8</v>
      </c>
      <c r="U366" s="251">
        <f t="shared" si="134"/>
        <v>2.3993134265221094</v>
      </c>
      <c r="V366" s="383">
        <f t="shared" si="135"/>
        <v>14.289797268878443</v>
      </c>
      <c r="W366" s="402">
        <f t="shared" si="136"/>
        <v>13.241124386099706</v>
      </c>
      <c r="X366" s="157">
        <f t="shared" si="137"/>
        <v>46009</v>
      </c>
      <c r="Y366" s="385">
        <f t="shared" si="138"/>
        <v>12.028608263215196</v>
      </c>
      <c r="Z366" s="385">
        <f t="shared" si="139"/>
        <v>13.101974889308513</v>
      </c>
      <c r="AA366" s="386">
        <f t="shared" si="140"/>
        <v>15.197085773794532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0.13786267417788578</v>
      </c>
      <c r="AD366" s="231">
        <f>(INDEX(Models!$BJ366:$BT366,,AH366)*(1-AF366)+INDEX(Models!$BJ366:$BT366,,AH366+1)*AF366-ERP_i)*AE366*Ramure*Pc/MaxiM</f>
        <v>4.9597601591237453E-2</v>
      </c>
      <c r="AE366" s="305">
        <f t="shared" si="142"/>
        <v>0.8</v>
      </c>
      <c r="AF366" s="177">
        <f t="shared" si="143"/>
        <v>0.60003017368701306</v>
      </c>
      <c r="AG366" s="809">
        <f t="shared" si="149"/>
        <v>3</v>
      </c>
      <c r="AH366" s="176">
        <f t="shared" si="144"/>
        <v>9</v>
      </c>
      <c r="AI366" s="225">
        <f t="shared" si="145"/>
        <v>3.6000301736870131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IF(t&gt;Tmaj,'2024'!Wh/'2024'!Env_an*'2025'!Env_an,0.001*'[14]mon-tableau (2)'!$B$158)</f>
        <v>11.018071763253673</v>
      </c>
      <c r="C367" s="839"/>
      <c r="D367" s="393">
        <f t="shared" si="127"/>
        <v>12.001549404283026</v>
      </c>
      <c r="E367" s="385">
        <f t="shared" si="150"/>
        <v>12.808403986325217</v>
      </c>
      <c r="F367" s="385">
        <f t="shared" si="128"/>
        <v>13.122616480278822</v>
      </c>
      <c r="G367" s="110">
        <f t="shared" si="151"/>
        <v>0.75886454243986523</v>
      </c>
      <c r="H367" s="414" t="b">
        <f>Wh_hp&gt;='2024'!Maxi_hp</f>
        <v>0</v>
      </c>
      <c r="I367" s="390">
        <f>IF(H367,Wh_hp,'2024'!Maxi_hp)</f>
        <v>17.087258276429306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8.1945889476435135E-2</v>
      </c>
      <c r="M367" s="843"/>
      <c r="N367" s="843"/>
      <c r="O367" s="48">
        <f>IF(t&lt;Tnet,'2024'!Resal+('2024'!Salim-'2024'!Resal)*(1-EXP(('2024'!Tnet-t)/('2024'!Tau_j))),Resal+(Salim-Resal)*(1-EXP((Tnet-t)/(Tau_j))))*Salcycl</f>
        <v>6.2994154689657106E-2</v>
      </c>
      <c r="P367" s="169">
        <f>(INDEX(Models!$BJ367:$BT367,,T367)*(1-R367)+INDEX(Models!$BJ367:$BT367,,T367+1)*R367-ERP_i)*Q367*Ramure*Pc/MaxiM</f>
        <v>3.5799290143909902E-2</v>
      </c>
      <c r="Q367" s="305">
        <f t="shared" si="130"/>
        <v>0.8</v>
      </c>
      <c r="R367" s="177">
        <f t="shared" si="131"/>
        <v>0.39932285753086871</v>
      </c>
      <c r="S367" s="809">
        <f t="shared" si="132"/>
        <v>2</v>
      </c>
      <c r="T367" s="176">
        <f t="shared" si="133"/>
        <v>8</v>
      </c>
      <c r="U367" s="251">
        <f t="shared" si="134"/>
        <v>2.3993228575308687</v>
      </c>
      <c r="V367" s="383">
        <f t="shared" si="135"/>
        <v>14.342808561441259</v>
      </c>
      <c r="W367" s="402">
        <f t="shared" si="136"/>
        <v>11.018071763253673</v>
      </c>
      <c r="X367" s="157">
        <f t="shared" si="137"/>
        <v>46010</v>
      </c>
      <c r="Y367" s="385">
        <f t="shared" si="138"/>
        <v>10.044051193945613</v>
      </c>
      <c r="Z367" s="385">
        <f t="shared" si="139"/>
        <v>10.940587356247995</v>
      </c>
      <c r="AA367" s="386">
        <f t="shared" si="140"/>
        <v>12.690715076508603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0.13790615498887177</v>
      </c>
      <c r="AD367" s="231">
        <f>(INDEX(Models!$BJ367:$BT367,,AH367)*(1-AF367)+INDEX(Models!$BJ367:$BT367,,AH367+1)*AF367-ERP_i)*AE367*Ramure*Pc/MaxiM</f>
        <v>4.9207984929507759E-2</v>
      </c>
      <c r="AE367" s="305">
        <f t="shared" si="142"/>
        <v>0.8</v>
      </c>
      <c r="AF367" s="177">
        <f t="shared" si="143"/>
        <v>0.60003960469577233</v>
      </c>
      <c r="AG367" s="809">
        <f t="shared" si="149"/>
        <v>3</v>
      </c>
      <c r="AH367" s="176">
        <f t="shared" si="144"/>
        <v>9</v>
      </c>
      <c r="AI367" s="225">
        <f t="shared" si="145"/>
        <v>3.6000396046957723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IF(t&gt;Tmaj,'2024'!Wh/'2024'!Env_an*'2025'!Env_an,0.001*'[14]mon-tableau (2)'!$B$159)</f>
        <v>4.4556487497853059</v>
      </c>
      <c r="C368" s="839"/>
      <c r="D368" s="393">
        <f t="shared" si="127"/>
        <v>4.8534773441794581</v>
      </c>
      <c r="E368" s="385">
        <f t="shared" si="150"/>
        <v>5.1806389235157138</v>
      </c>
      <c r="F368" s="385">
        <f t="shared" si="128"/>
        <v>5.1831156221714449</v>
      </c>
      <c r="G368" s="110">
        <f t="shared" si="151"/>
        <v>0.298547745575104</v>
      </c>
      <c r="H368" s="414" t="b">
        <f>Wh_hp&gt;='2024'!Maxi_hp</f>
        <v>0</v>
      </c>
      <c r="I368" s="390">
        <f>IF(H368,Wh_hp,'2024'!Maxi_hp)</f>
        <v>17.638070585315422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8.1967745223174654E-2</v>
      </c>
      <c r="M368" s="843"/>
      <c r="N368" s="843"/>
      <c r="O368" s="48">
        <f>IF(t&lt;Tnet,'2024'!Resal+('2024'!Salim-'2024'!Resal)*(1-EXP(('2024'!Tnet-t)/('2024'!Tau_j))),Resal+(Salim-Resal)*(1-EXP((Tnet-t)/(Tau_j))))*Salcycl</f>
        <v>6.3150816755674577E-2</v>
      </c>
      <c r="P368" s="169">
        <f>(INDEX(Models!$BJ368:$BT368,,T368)*(1-R368)+INDEX(Models!$BJ368:$BT368,,T368+1)*R368-ERP_i)*Q368*Ramure*Pc/MaxiM</f>
        <v>3.5557730536749634E-2</v>
      </c>
      <c r="Q368" s="305">
        <f t="shared" si="130"/>
        <v>0.8</v>
      </c>
      <c r="R368" s="177">
        <f t="shared" si="131"/>
        <v>0.39933190909827498</v>
      </c>
      <c r="S368" s="809">
        <f t="shared" si="132"/>
        <v>2</v>
      </c>
      <c r="T368" s="176">
        <f t="shared" si="133"/>
        <v>8</v>
      </c>
      <c r="U368" s="251">
        <f t="shared" si="134"/>
        <v>2.399331909098275</v>
      </c>
      <c r="V368" s="383">
        <f t="shared" si="135"/>
        <v>14.40061235816437</v>
      </c>
      <c r="W368" s="402">
        <f t="shared" si="136"/>
        <v>4.4556487497853059</v>
      </c>
      <c r="X368" s="157">
        <f t="shared" si="137"/>
        <v>46011</v>
      </c>
      <c r="Y368" s="385">
        <f t="shared" si="138"/>
        <v>4.0991676503148424</v>
      </c>
      <c r="Z368" s="385">
        <f t="shared" si="139"/>
        <v>4.4651673500419164</v>
      </c>
      <c r="AA368" s="386">
        <f t="shared" si="140"/>
        <v>5.1797124472397016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0.13795072689383964</v>
      </c>
      <c r="AD368" s="231">
        <f>(INDEX(Models!$BJ368:$BT368,,AH368)*(1-AF368)+INDEX(Models!$BJ368:$BT368,,AH368+1)*AF368-ERP_i)*AE368*Ramure*Pc/MaxiM</f>
        <v>4.8859063621780448E-2</v>
      </c>
      <c r="AE368" s="305">
        <f t="shared" si="142"/>
        <v>0.8</v>
      </c>
      <c r="AF368" s="177">
        <f t="shared" si="143"/>
        <v>0.60004865626317816</v>
      </c>
      <c r="AG368" s="809">
        <f t="shared" si="149"/>
        <v>3</v>
      </c>
      <c r="AH368" s="176">
        <f t="shared" si="144"/>
        <v>9</v>
      </c>
      <c r="AI368" s="225">
        <f t="shared" si="145"/>
        <v>3.6000486562631782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IF(t&gt;Tmaj,'2024'!Wh/'2024'!Env_an*'2025'!Env_an,0.001*'[14]mon-tableau (2)'!$B$160)</f>
        <v>14.011579476871914</v>
      </c>
      <c r="C369" s="839"/>
      <c r="D369" s="393">
        <f t="shared" si="127"/>
        <v>15.262985565210061</v>
      </c>
      <c r="E369" s="385">
        <f t="shared" si="150"/>
        <v>16.294556869461726</v>
      </c>
      <c r="F369" s="385">
        <f t="shared" si="128"/>
        <v>16.864009820025064</v>
      </c>
      <c r="G369" s="110">
        <f t="shared" si="151"/>
        <v>0.96725127041135373</v>
      </c>
      <c r="H369" s="414" t="b">
        <f>Wh_hp&gt;='2024'!Maxi_hp</f>
        <v>0</v>
      </c>
      <c r="I369" s="390">
        <f>IF(H369,Wh_hp,'2024'!Maxi_hp)</f>
        <v>16.885283849711772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8.1989600461299023E-2</v>
      </c>
      <c r="M369" s="843"/>
      <c r="N369" s="843"/>
      <c r="O369" s="48">
        <f>IF(t&lt;Tnet,'2024'!Resal+('2024'!Salim-'2024'!Resal)*(1-EXP(('2024'!Tnet-t)/('2024'!Tau_j))),Resal+(Salim-Resal)*(1-EXP((Tnet-t)/(Tau_j))))*Salcycl</f>
        <v>6.3307723708950603E-2</v>
      </c>
      <c r="P369" s="169">
        <f>(INDEX(Models!$BJ369:$BT369,,T369)*(1-R369)+INDEX(Models!$BJ369:$BT369,,T369+1)*R369-ERP_i)*Q369*Ramure*Pc/MaxiM</f>
        <v>3.5341078492954855E-2</v>
      </c>
      <c r="Q369" s="305">
        <f t="shared" si="130"/>
        <v>0.8</v>
      </c>
      <c r="R369" s="177">
        <f t="shared" si="131"/>
        <v>0.39934059647977893</v>
      </c>
      <c r="S369" s="809">
        <f t="shared" si="132"/>
        <v>2</v>
      </c>
      <c r="T369" s="176">
        <f t="shared" si="133"/>
        <v>8</v>
      </c>
      <c r="U369" s="251">
        <f t="shared" si="134"/>
        <v>2.3993405964797789</v>
      </c>
      <c r="V369" s="383">
        <f t="shared" si="135"/>
        <v>14.462383148870112</v>
      </c>
      <c r="W369" s="402">
        <f t="shared" si="136"/>
        <v>14.011579476871914</v>
      </c>
      <c r="X369" s="157">
        <f t="shared" si="137"/>
        <v>46012</v>
      </c>
      <c r="Y369" s="385">
        <f t="shared" si="138"/>
        <v>12.725884435257463</v>
      </c>
      <c r="Z369" s="385">
        <f t="shared" si="139"/>
        <v>13.862462169984351</v>
      </c>
      <c r="AA369" s="386">
        <f t="shared" si="140"/>
        <v>16.081673773149763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0.13799630775191102</v>
      </c>
      <c r="AD369" s="231">
        <f>(INDEX(Models!$BJ369:$BT369,,AH369)*(1-AF369)+INDEX(Models!$BJ369:$BT369,,AH369+1)*AF369-ERP_i)*AE369*Ramure*Pc/MaxiM</f>
        <v>4.8552913130288047E-2</v>
      </c>
      <c r="AE369" s="305">
        <f t="shared" si="142"/>
        <v>0.8</v>
      </c>
      <c r="AF369" s="177">
        <f t="shared" si="143"/>
        <v>0.60005734364468255</v>
      </c>
      <c r="AG369" s="809">
        <f t="shared" si="149"/>
        <v>3</v>
      </c>
      <c r="AH369" s="176">
        <f t="shared" si="144"/>
        <v>9</v>
      </c>
      <c r="AI369" s="225">
        <f t="shared" si="145"/>
        <v>3.6000573436446826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IF(t&gt;Tmaj,'2024'!Wh/'2024'!Env_an*'2025'!Env_an,0.001*'[14]mon-tableau (2)'!$B$161)</f>
        <v>10.344941748928802</v>
      </c>
      <c r="C370" s="839"/>
      <c r="D370" s="393">
        <f t="shared" si="127"/>
        <v>11.269140347583727</v>
      </c>
      <c r="E370" s="385">
        <f t="shared" si="150"/>
        <v>12.032800108222837</v>
      </c>
      <c r="F370" s="385">
        <f t="shared" si="128"/>
        <v>12.287068607038284</v>
      </c>
      <c r="G370" s="110">
        <f t="shared" si="151"/>
        <v>0.70159143592584861</v>
      </c>
      <c r="H370" s="414" t="b">
        <f>Wh_hp&gt;='2024'!Maxi_hp</f>
        <v>0</v>
      </c>
      <c r="I370" s="390">
        <f>IF(H370,Wh_hp,'2024'!Maxi_hp)</f>
        <v>16.570747847760565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8.2011455190820121E-2</v>
      </c>
      <c r="M370" s="843"/>
      <c r="N370" s="843"/>
      <c r="O370" s="48">
        <f>IF(t&lt;Tnet,'2024'!Resal+('2024'!Salim-'2024'!Resal)*(1-EXP(('2024'!Tnet-t)/('2024'!Tau_j))),Resal+(Salim-Resal)*(1-EXP((Tnet-t)/(Tau_j))))*Salcycl</f>
        <v>6.3464842245426312E-2</v>
      </c>
      <c r="P370" s="169">
        <f>(INDEX(Models!$BJ370:$BT370,,T370)*(1-R370)+INDEX(Models!$BJ370:$BT370,,T370+1)*R370-ERP_i)*Q370*Ramure*Pc/MaxiM</f>
        <v>3.5150842877865268E-2</v>
      </c>
      <c r="Q370" s="305">
        <f t="shared" si="130"/>
        <v>0.8</v>
      </c>
      <c r="R370" s="177">
        <f t="shared" si="131"/>
        <v>0.39934893431833585</v>
      </c>
      <c r="S370" s="809">
        <f t="shared" si="132"/>
        <v>2</v>
      </c>
      <c r="T370" s="176">
        <f t="shared" si="133"/>
        <v>8</v>
      </c>
      <c r="U370" s="251">
        <f t="shared" si="134"/>
        <v>2.3993489343183358</v>
      </c>
      <c r="V370" s="383">
        <f t="shared" si="135"/>
        <v>14.527295590262085</v>
      </c>
      <c r="W370" s="402">
        <f t="shared" si="136"/>
        <v>10.344941748928802</v>
      </c>
      <c r="X370" s="157">
        <f t="shared" si="137"/>
        <v>46013</v>
      </c>
      <c r="Y370" s="385">
        <f t="shared" si="138"/>
        <v>9.4459419325923388</v>
      </c>
      <c r="Z370" s="385">
        <f t="shared" si="139"/>
        <v>10.289825495105545</v>
      </c>
      <c r="AA370" s="386">
        <f t="shared" si="140"/>
        <v>11.937745519258305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0.13804281733885934</v>
      </c>
      <c r="AD370" s="231">
        <f>(INDEX(Models!$BJ370:$BT370,,AH370)*(1-AF370)+INDEX(Models!$BJ370:$BT370,,AH370+1)*AF370-ERP_i)*AE370*Ramure*Pc/MaxiM</f>
        <v>4.829147546537832E-2</v>
      </c>
      <c r="AE370" s="305">
        <f t="shared" si="142"/>
        <v>0.8</v>
      </c>
      <c r="AF370" s="177">
        <f t="shared" si="143"/>
        <v>0.60006568148323947</v>
      </c>
      <c r="AG370" s="809">
        <f t="shared" si="149"/>
        <v>3</v>
      </c>
      <c r="AH370" s="176">
        <f t="shared" si="144"/>
        <v>9</v>
      </c>
      <c r="AI370" s="225">
        <f t="shared" si="145"/>
        <v>3.6000656814832395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IF(t&gt;Tmaj,'2024'!Wh/'2024'!Env_an*'2025'!Env_an,0.001*'[14]mon-tableau (2)'!$B$162)</f>
        <v>11.12014148136892</v>
      </c>
      <c r="C371" s="839"/>
      <c r="D371" s="393">
        <f t="shared" si="127"/>
        <v>12.113883428867036</v>
      </c>
      <c r="E371" s="385">
        <f t="shared" si="150"/>
        <v>12.93696054101007</v>
      </c>
      <c r="F371" s="385">
        <f t="shared" si="128"/>
        <v>13.242725620576044</v>
      </c>
      <c r="G371" s="110">
        <f t="shared" si="151"/>
        <v>0.75265855038850882</v>
      </c>
      <c r="H371" s="414" t="b">
        <f>Wh_hp&gt;='2024'!Maxi_hp</f>
        <v>0</v>
      </c>
      <c r="I371" s="390">
        <f>IF(H371,Wh_hp,'2024'!Maxi_hp)</f>
        <v>14.372652723691925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8.2033309411749605E-2</v>
      </c>
      <c r="M371" s="843"/>
      <c r="N371" s="843"/>
      <c r="O371" s="48">
        <f>IF(t&lt;Tnet,'2024'!Resal+('2024'!Salim-'2024'!Resal)*(1-EXP(('2024'!Tnet-t)/('2024'!Tau_j))),Resal+(Salim-Resal)*(1-EXP((Tnet-t)/(Tau_j))))*Salcycl</f>
        <v>6.362213980122193E-2</v>
      </c>
      <c r="P371" s="169">
        <f>(INDEX(Models!$BJ371:$BT371,,T371)*(1-R371)+INDEX(Models!$BJ371:$BT371,,T371+1)*R371-ERP_i)*Q371*Ramure*Pc/MaxiM</f>
        <v>3.4988370236087328E-2</v>
      </c>
      <c r="Q371" s="305">
        <f t="shared" si="130"/>
        <v>0.8</v>
      </c>
      <c r="R371" s="177">
        <f t="shared" si="131"/>
        <v>0.39934893431833585</v>
      </c>
      <c r="S371" s="809">
        <f t="shared" si="132"/>
        <v>2</v>
      </c>
      <c r="T371" s="176">
        <f t="shared" si="133"/>
        <v>8</v>
      </c>
      <c r="U371" s="251">
        <f t="shared" si="134"/>
        <v>2.3993489343183358</v>
      </c>
      <c r="V371" s="383">
        <f t="shared" si="135"/>
        <v>14.594525770262749</v>
      </c>
      <c r="W371" s="402">
        <f t="shared" si="136"/>
        <v>11.12014148136892</v>
      </c>
      <c r="X371" s="157">
        <f t="shared" si="137"/>
        <v>46014</v>
      </c>
      <c r="Y371" s="385">
        <f t="shared" si="138"/>
        <v>10.145284933253613</v>
      </c>
      <c r="Z371" s="385">
        <f t="shared" si="139"/>
        <v>11.051909657802859</v>
      </c>
      <c r="AA371" s="386">
        <f t="shared" si="140"/>
        <v>12.822582331187776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0.13809017775445989</v>
      </c>
      <c r="AD371" s="231">
        <f>(INDEX(Models!$BJ371:$BT371,,AH371)*(1-AF371)+INDEX(Models!$BJ371:$BT371,,AH371+1)*AF371-ERP_i)*AE371*Ramure*Pc/MaxiM</f>
        <v>4.8076546158216507E-2</v>
      </c>
      <c r="AE371" s="305">
        <f t="shared" si="142"/>
        <v>0.8</v>
      </c>
      <c r="AF371" s="177">
        <f t="shared" si="143"/>
        <v>0.60006568148323947</v>
      </c>
      <c r="AG371" s="809">
        <f t="shared" si="149"/>
        <v>3</v>
      </c>
      <c r="AH371" s="176">
        <f t="shared" si="144"/>
        <v>9</v>
      </c>
      <c r="AI371" s="225">
        <f t="shared" si="145"/>
        <v>3.6000656814832395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IF(t&gt;Tmaj,'2024'!Wh/'2024'!Env_an*'2025'!Env_an,0.001*'[14]mon-tableau (2)'!$B$163)</f>
        <v>14.782559850046498</v>
      </c>
      <c r="C372" s="839"/>
      <c r="D372" s="393">
        <f t="shared" si="127"/>
        <v>16.103974069244636</v>
      </c>
      <c r="E372" s="385">
        <f t="shared" si="150"/>
        <v>17.20104988817555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Wh_hp&gt;='2024'!Maxi_hp</f>
        <v>1</v>
      </c>
      <c r="I372" s="390">
        <f>IF(H372,Wh_hp,'2024'!Maxi_hp)</f>
        <v>17.822245305266634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8.2055163124099578E-2</v>
      </c>
      <c r="M372" s="843"/>
      <c r="N372" s="843"/>
      <c r="O372" s="48">
        <f>IF(t&lt;Tnet,'2024'!Resal+('2024'!Salim-'2024'!Resal)*(1-EXP(('2024'!Tnet-t)/('2024'!Tau_j))),Resal+(Salim-Resal)*(1-EXP((Tnet-t)/(Tau_j))))*Salcycl</f>
        <v>6.3779584738317283E-2</v>
      </c>
      <c r="P372" s="169">
        <f>(INDEX(Models!$BJ372:$BT372,,T372)*(1-R372)+INDEX(Models!$BJ372:$BT372,,T372+1)*R372-ERP_i)*Q372*Ramure*Pc/MaxiM</f>
        <v>3.4855059306557405E-2</v>
      </c>
      <c r="Q372" s="305">
        <f t="shared" si="130"/>
        <v>0.8</v>
      </c>
      <c r="R372" s="177">
        <f t="shared" si="131"/>
        <v>0.39934893431833585</v>
      </c>
      <c r="S372" s="809">
        <f t="shared" si="132"/>
        <v>2</v>
      </c>
      <c r="T372" s="176">
        <f t="shared" si="133"/>
        <v>8</v>
      </c>
      <c r="U372" s="251">
        <f t="shared" si="134"/>
        <v>2.3993489343183358</v>
      </c>
      <c r="V372" s="383">
        <f t="shared" si="135"/>
        <v>14.663248179876627</v>
      </c>
      <c r="W372" s="402">
        <f t="shared" si="136"/>
        <v>14.782559850046498</v>
      </c>
      <c r="X372" s="157">
        <f t="shared" si="137"/>
        <v>46015</v>
      </c>
      <c r="Y372" s="385">
        <f t="shared" si="138"/>
        <v>13.424393006751329</v>
      </c>
      <c r="Z372" s="385">
        <f t="shared" si="139"/>
        <v>14.624400582108411</v>
      </c>
      <c r="AA372" s="386">
        <f t="shared" si="140"/>
        <v>16.96838462157513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0.13813831379602085</v>
      </c>
      <c r="AD372" s="231">
        <f>(INDEX(Models!$BJ372:$BT372,,AH372)*(1-AF372)+INDEX(Models!$BJ372:$BT372,,AH372+1)*AF372-ERP_i)*AE372*Ramure*Pc/MaxiM</f>
        <v>4.7909826683800665E-2</v>
      </c>
      <c r="AE372" s="305">
        <f t="shared" si="142"/>
        <v>0.8</v>
      </c>
      <c r="AF372" s="177">
        <f t="shared" si="143"/>
        <v>0.60006568148323947</v>
      </c>
      <c r="AG372" s="809">
        <f t="shared" si="149"/>
        <v>3</v>
      </c>
      <c r="AH372" s="176">
        <f t="shared" si="144"/>
        <v>9</v>
      </c>
      <c r="AI372" s="225">
        <f t="shared" si="145"/>
        <v>3.6000656814832395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IF(t&gt;Tmaj,'2024'!Wh/'2024'!Env_an*'2025'!Env_an,0.001*'[14]mon-tableau (2)'!$B$164)</f>
        <v>8.8744584125776775</v>
      </c>
      <c r="C373" s="839"/>
      <c r="D373" s="393">
        <f t="shared" si="127"/>
        <v>9.6679771292747478</v>
      </c>
      <c r="E373" s="385">
        <f t="shared" si="150"/>
        <v>10.328341834405405</v>
      </c>
      <c r="F373" s="385">
        <f t="shared" si="128"/>
        <v>10.485702466714717</v>
      </c>
      <c r="G373" s="110">
        <f t="shared" si="151"/>
        <v>0.59023965481914464</v>
      </c>
      <c r="H373" s="414" t="b">
        <f>Wh_hp&gt;='2024'!Maxi_hp</f>
        <v>0</v>
      </c>
      <c r="I373" s="390">
        <f>IF(H373,Wh_hp,'2024'!Maxi_hp)</f>
        <v>13.575447760552157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8.2077016327881697E-2</v>
      </c>
      <c r="M373" s="843"/>
      <c r="N373" s="843"/>
      <c r="O373" s="48">
        <f>IF(t&lt;Tnet,'2024'!Resal+('2024'!Salim-'2024'!Resal)*(1-EXP(('2024'!Tnet-t)/('2024'!Tau_j))),Resal+(Salim-Resal)*(1-EXP((Tnet-t)/(Tau_j))))*Salcycl</f>
        <v>6.3937146515704327E-2</v>
      </c>
      <c r="P373" s="169">
        <f>(INDEX(Models!$BJ373:$BT373,,T373)*(1-R373)+INDEX(Models!$BJ373:$BT373,,T373+1)*R373-ERP_i)*Q373*Ramure*Pc/MaxiM</f>
        <v>3.4748965677003835E-2</v>
      </c>
      <c r="Q373" s="305">
        <f t="shared" si="130"/>
        <v>0.8</v>
      </c>
      <c r="R373" s="177">
        <f t="shared" si="131"/>
        <v>0.39934893431833585</v>
      </c>
      <c r="S373" s="809">
        <f t="shared" si="132"/>
        <v>2</v>
      </c>
      <c r="T373" s="176">
        <f t="shared" si="133"/>
        <v>8</v>
      </c>
      <c r="U373" s="251">
        <f t="shared" si="134"/>
        <v>2.3993489343183358</v>
      </c>
      <c r="V373" s="383">
        <f t="shared" si="135"/>
        <v>14.734000406029015</v>
      </c>
      <c r="W373" s="402">
        <f t="shared" si="136"/>
        <v>8.8744584125776775</v>
      </c>
      <c r="X373" s="157">
        <f t="shared" si="137"/>
        <v>46016</v>
      </c>
      <c r="Y373" s="385">
        <f t="shared" si="138"/>
        <v>8.1238093448244104</v>
      </c>
      <c r="Z373" s="385">
        <f t="shared" si="139"/>
        <v>8.8502080123600351</v>
      </c>
      <c r="AA373" s="386">
        <f t="shared" si="140"/>
        <v>10.269292278720746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0.13818715329597062</v>
      </c>
      <c r="AD373" s="231">
        <f>(INDEX(Models!$BJ373:$BT373,,AH373)*(1-AF373)+INDEX(Models!$BJ373:$BT373,,AH373+1)*AF373-ERP_i)*AE373*Ramure*Pc/MaxiM</f>
        <v>4.7788510279845049E-2</v>
      </c>
      <c r="AE373" s="305">
        <f t="shared" si="142"/>
        <v>0.8</v>
      </c>
      <c r="AF373" s="177">
        <f t="shared" si="143"/>
        <v>0.60006568148323947</v>
      </c>
      <c r="AG373" s="809">
        <f t="shared" si="149"/>
        <v>3</v>
      </c>
      <c r="AH373" s="176">
        <f t="shared" si="144"/>
        <v>9</v>
      </c>
      <c r="AI373" s="225">
        <f t="shared" si="145"/>
        <v>3.6000656814832395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IF(t&gt;Tmaj,'2024'!Wh/'2024'!Env_an*'2025'!Env_an,0.001*'[14]mon-tableau (2)'!$B$165)</f>
        <v>14.585560601820617</v>
      </c>
      <c r="C374" s="839"/>
      <c r="D374" s="393">
        <f t="shared" si="127"/>
        <v>15.890121615056387</v>
      </c>
      <c r="E374" s="385">
        <f t="shared" si="150"/>
        <v>16.978345183369157</v>
      </c>
      <c r="F374" s="385">
        <f t="shared" si="128"/>
        <v>17.574513647775202</v>
      </c>
      <c r="G374" s="110">
        <f t="shared" si="151"/>
        <v>0.98421483081762895</v>
      </c>
      <c r="H374" s="414" t="b">
        <f>Wh_hp&gt;='2024'!Maxi_hp</f>
        <v>0</v>
      </c>
      <c r="I374" s="390">
        <f>IF(H374,Wh_hp,'2024'!Maxi_hp)</f>
        <v>17.584999794203402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8.209886902310784E-2</v>
      </c>
      <c r="M374" s="843"/>
      <c r="N374" s="843"/>
      <c r="O374" s="48">
        <f>IF(t&lt;Tnet,'2024'!Resal+('2024'!Salim-'2024'!Resal)*(1-EXP(('2024'!Tnet-t)/('2024'!Tau_j))),Resal+(Salim-Resal)*(1-EXP((Tnet-t)/(Tau_j))))*Salcycl</f>
        <v>6.4094795844928346E-2</v>
      </c>
      <c r="P374" s="169">
        <f>(INDEX(Models!$BJ374:$BT374,,T374)*(1-R374)+INDEX(Models!$BJ374:$BT374,,T374+1)*R374-ERP_i)*Q374*Ramure*Pc/MaxiM</f>
        <v>3.4666494096671899E-2</v>
      </c>
      <c r="Q374" s="305">
        <f t="shared" si="130"/>
        <v>0.8</v>
      </c>
      <c r="R374" s="177">
        <f t="shared" si="131"/>
        <v>0.39934893431833585</v>
      </c>
      <c r="S374" s="809">
        <f t="shared" si="132"/>
        <v>2</v>
      </c>
      <c r="T374" s="176">
        <f t="shared" si="133"/>
        <v>8</v>
      </c>
      <c r="U374" s="251">
        <f t="shared" si="134"/>
        <v>2.3993489343183358</v>
      </c>
      <c r="V374" s="383">
        <f t="shared" si="135"/>
        <v>14.808073382664164</v>
      </c>
      <c r="W374" s="402">
        <f t="shared" si="136"/>
        <v>14.585560601820617</v>
      </c>
      <c r="X374" s="157">
        <f t="shared" si="137"/>
        <v>46017</v>
      </c>
      <c r="Y374" s="385">
        <f t="shared" si="138"/>
        <v>13.252701114850401</v>
      </c>
      <c r="Z374" s="385">
        <f t="shared" si="139"/>
        <v>14.438048573647562</v>
      </c>
      <c r="AA374" s="386">
        <f t="shared" si="140"/>
        <v>16.754075460936608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0.1382366274217301</v>
      </c>
      <c r="AD374" s="231">
        <f>(INDEX(Models!$BJ374:$BT374,,AH374)*(1-AF374)+INDEX(Models!$BJ374:$BT374,,AH374+1)*AF374-ERP_i)*AE374*Ramure*Pc/MaxiM</f>
        <v>4.7707514333319309E-2</v>
      </c>
      <c r="AE374" s="305">
        <f t="shared" si="142"/>
        <v>0.8</v>
      </c>
      <c r="AF374" s="177">
        <f t="shared" si="143"/>
        <v>0.60006568148323947</v>
      </c>
      <c r="AG374" s="809">
        <f t="shared" si="149"/>
        <v>3</v>
      </c>
      <c r="AH374" s="176">
        <f t="shared" si="144"/>
        <v>9</v>
      </c>
      <c r="AI374" s="225">
        <f t="shared" si="145"/>
        <v>3.6000656814832395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IF(t&gt;Tmaj,'2024'!Wh/'2024'!Env_an*'2025'!Env_an,0.001*'[14]mon-tableau (2)'!$B$166)</f>
        <v>6.4936244745035001</v>
      </c>
      <c r="C375" s="839"/>
      <c r="D375" s="393">
        <f t="shared" si="127"/>
        <v>7.0745953466367313</v>
      </c>
      <c r="E375" s="385">
        <f t="shared" si="150"/>
        <v>7.5603679231271776</v>
      </c>
      <c r="F375" s="385">
        <f t="shared" si="128"/>
        <v>7.6116548918787927</v>
      </c>
      <c r="G375" s="110">
        <f t="shared" si="151"/>
        <v>0.42399070771881209</v>
      </c>
      <c r="H375" s="414" t="b">
        <f>Wh_hp&gt;='2024'!Maxi_hp</f>
        <v>0</v>
      </c>
      <c r="I375" s="390">
        <f>IF(H375,Wh_hp,'2024'!Maxi_hp)</f>
        <v>16.697654329104385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8.2120721209789777E-2</v>
      </c>
      <c r="M375" s="843"/>
      <c r="N375" s="843"/>
      <c r="O375" s="48">
        <f>IF(t&lt;Tnet,'2024'!Resal+('2024'!Salim-'2024'!Resal)*(1-EXP(('2024'!Tnet-t)/('2024'!Tau_j))),Resal+(Salim-Resal)*(1-EXP((Tnet-t)/(Tau_j))))*Salcycl</f>
        <v>6.4252504829092769E-2</v>
      </c>
      <c r="P375" s="169">
        <f>(INDEX(Models!$BJ375:$BT375,,T375)*(1-R375)+INDEX(Models!$BJ375:$BT375,,T375+1)*R375-ERP_i)*Q375*Ramure*Pc/MaxiM</f>
        <v>3.4620415926253298E-2</v>
      </c>
      <c r="Q375" s="305">
        <f t="shared" si="130"/>
        <v>0.8</v>
      </c>
      <c r="R375" s="177">
        <f t="shared" si="131"/>
        <v>0.39934893431833585</v>
      </c>
      <c r="S375" s="809">
        <f t="shared" si="132"/>
        <v>2</v>
      </c>
      <c r="T375" s="176">
        <f t="shared" si="133"/>
        <v>8</v>
      </c>
      <c r="U375" s="251">
        <f t="shared" si="134"/>
        <v>2.3993489343183358</v>
      </c>
      <c r="V375" s="383">
        <f t="shared" si="135"/>
        <v>14.885557335853266</v>
      </c>
      <c r="W375" s="402">
        <f t="shared" si="136"/>
        <v>6.4936244745035001</v>
      </c>
      <c r="X375" s="157">
        <f t="shared" si="137"/>
        <v>46018</v>
      </c>
      <c r="Y375" s="385">
        <f t="shared" si="138"/>
        <v>5.9645511570287031</v>
      </c>
      <c r="Z375" s="385">
        <f t="shared" si="139"/>
        <v>6.4981869564482846</v>
      </c>
      <c r="AA375" s="386">
        <f t="shared" si="140"/>
        <v>7.5410078239246463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0.13828667093646319</v>
      </c>
      <c r="AD375" s="231">
        <f>(INDEX(Models!$BJ375:$BT375,,AH375)*(1-AF375)+INDEX(Models!$BJ375:$BT375,,AH375+1)*AF375-ERP_i)*AE375*Ramure*Pc/MaxiM</f>
        <v>4.7689129150683032E-2</v>
      </c>
      <c r="AE375" s="305">
        <f t="shared" si="142"/>
        <v>0.8</v>
      </c>
      <c r="AF375" s="177">
        <f t="shared" si="143"/>
        <v>0.60006568148323947</v>
      </c>
      <c r="AG375" s="809">
        <f t="shared" si="149"/>
        <v>3</v>
      </c>
      <c r="AH375" s="176">
        <f t="shared" si="144"/>
        <v>9</v>
      </c>
      <c r="AI375" s="225">
        <f t="shared" si="145"/>
        <v>3.6000656814832395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IF(t&gt;Tmaj,'2024'!Wh/'2024'!Env_an*'2025'!Env_an,0.001*'[14]mon-tableau (2)'!$B$167)</f>
        <v>13.699357210541958</v>
      </c>
      <c r="C376" s="839"/>
      <c r="D376" s="393">
        <f t="shared" si="127"/>
        <v>14.925365101250538</v>
      </c>
      <c r="E376" s="385">
        <f t="shared" si="150"/>
        <v>15.952895010597258</v>
      </c>
      <c r="F376" s="385">
        <f t="shared" si="128"/>
        <v>16.453231014566434</v>
      </c>
      <c r="G376" s="110">
        <f t="shared" si="151"/>
        <v>0.91135433339804284</v>
      </c>
      <c r="H376" s="414" t="b">
        <f>Wh_hp&gt;='2024'!Maxi_hp</f>
        <v>0</v>
      </c>
      <c r="I376" s="390">
        <f>IF(H376,Wh_hp,'2024'!Maxi_hp)</f>
        <v>16.508460643102687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8.2142572887939497E-2</v>
      </c>
      <c r="M376" s="843"/>
      <c r="N376" s="843"/>
      <c r="O376" s="48">
        <f>IF(t&lt;Tnet,'2024'!Resal+('2024'!Salim-'2024'!Resal)*(1-EXP(('2024'!Tnet-t)/('2024'!Tau_j))),Resal+(Salim-Resal)*(1-EXP((Tnet-t)/(Tau_j))))*Salcycl</f>
        <v>6.4410247084566663E-2</v>
      </c>
      <c r="P376" s="169">
        <f>(INDEX(Models!$BJ376:$BT376,,T376)*(1-R376)+INDEX(Models!$BJ376:$BT376,,T376+1)*R376-ERP_i)*Q376*Ramure*Pc/MaxiM</f>
        <v>3.4595342560311389E-2</v>
      </c>
      <c r="Q376" s="305">
        <f t="shared" si="130"/>
        <v>0.8</v>
      </c>
      <c r="R376" s="177">
        <f t="shared" si="131"/>
        <v>0.39934893431833585</v>
      </c>
      <c r="S376" s="809">
        <f t="shared" si="132"/>
        <v>2</v>
      </c>
      <c r="T376" s="176">
        <f t="shared" si="133"/>
        <v>8</v>
      </c>
      <c r="U376" s="251">
        <f t="shared" si="134"/>
        <v>2.3993489343183358</v>
      </c>
      <c r="V376" s="383">
        <f t="shared" si="135"/>
        <v>14.966974036772438</v>
      </c>
      <c r="W376" s="402">
        <f t="shared" si="136"/>
        <v>13.699357210541958</v>
      </c>
      <c r="X376" s="157">
        <f t="shared" si="137"/>
        <v>46019</v>
      </c>
      <c r="Y376" s="385">
        <f t="shared" si="138"/>
        <v>12.466898536818684</v>
      </c>
      <c r="Z376" s="385">
        <f t="shared" si="139"/>
        <v>13.582608985411206</v>
      </c>
      <c r="AA376" s="386">
        <f t="shared" si="140"/>
        <v>15.763253721546462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0.1383372224196695</v>
      </c>
      <c r="AD376" s="231">
        <f>(INDEX(Models!$BJ376:$BT376,,AH376)*(1-AF376)+INDEX(Models!$BJ376:$BT376,,AH376+1)*AF376-ERP_i)*AE376*Ramure*Pc/MaxiM</f>
        <v>4.7707941506309963E-2</v>
      </c>
      <c r="AE376" s="305">
        <f t="shared" si="142"/>
        <v>0.8</v>
      </c>
      <c r="AF376" s="177">
        <f t="shared" si="143"/>
        <v>0.60006568148323947</v>
      </c>
      <c r="AG376" s="809">
        <f t="shared" si="149"/>
        <v>3</v>
      </c>
      <c r="AH376" s="176">
        <f t="shared" si="144"/>
        <v>9</v>
      </c>
      <c r="AI376" s="225">
        <f t="shared" si="145"/>
        <v>3.6000656814832395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IF(t&gt;Tmaj,'2024'!Wh/'2024'!Env_an*'2025'!Env_an,0.001*'[14]mon-tableau (2)'!$B$168)</f>
        <v>8.0285022523557821</v>
      </c>
      <c r="C377" s="839"/>
      <c r="D377" s="393">
        <f t="shared" si="127"/>
        <v>8.747211878458879</v>
      </c>
      <c r="E377" s="385">
        <f t="shared" si="150"/>
        <v>9.350986344604058</v>
      </c>
      <c r="F377" s="385">
        <f t="shared" si="128"/>
        <v>9.4600744714845604</v>
      </c>
      <c r="G377" s="110">
        <f t="shared" si="151"/>
        <v>0.52092006695912663</v>
      </c>
      <c r="H377" s="414" t="b">
        <f>Wh_hp&gt;='2024'!Maxi_hp</f>
        <v>0</v>
      </c>
      <c r="I377" s="390">
        <f>IF(H377,Wh_hp,'2024'!Maxi_hp)</f>
        <v>18.884024419131489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8.2164424057568658E-2</v>
      </c>
      <c r="M377" s="843"/>
      <c r="N377" s="843"/>
      <c r="O377" s="48">
        <f>IF(t&lt;Tnet,'2024'!Resal+('2024'!Salim-'2024'!Resal)*(1-EXP(('2024'!Tnet-t)/('2024'!Tau_j))),Resal+(Salim-Resal)*(1-EXP((Tnet-t)/(Tau_j))))*Salcycl</f>
        <v>6.456799784480316E-2</v>
      </c>
      <c r="P377" s="169">
        <f>(INDEX(Models!$BJ377:$BT377,,T377)*(1-R377)+INDEX(Models!$BJ377:$BT377,,T377+1)*R377-ERP_i)*Q377*Ramure*Pc/MaxiM</f>
        <v>3.4590004416195662E-2</v>
      </c>
      <c r="Q377" s="305">
        <f t="shared" si="130"/>
        <v>0.8</v>
      </c>
      <c r="R377" s="177">
        <f t="shared" si="131"/>
        <v>0.39934893431833585</v>
      </c>
      <c r="S377" s="809">
        <f t="shared" si="132"/>
        <v>2</v>
      </c>
      <c r="T377" s="176">
        <f t="shared" si="133"/>
        <v>8</v>
      </c>
      <c r="U377" s="251">
        <f t="shared" si="134"/>
        <v>2.3993489343183358</v>
      </c>
      <c r="V377" s="383">
        <f t="shared" si="135"/>
        <v>15.052629402382435</v>
      </c>
      <c r="W377" s="402">
        <f t="shared" si="136"/>
        <v>8.0285022523557821</v>
      </c>
      <c r="X377" s="157">
        <f t="shared" si="137"/>
        <v>46020</v>
      </c>
      <c r="Y377" s="385">
        <f t="shared" si="138"/>
        <v>7.3620762307943233</v>
      </c>
      <c r="Z377" s="385">
        <f t="shared" si="139"/>
        <v>8.0211275567902902</v>
      </c>
      <c r="AA377" s="386">
        <f t="shared" si="140"/>
        <v>9.3094451403496521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0.13838822444695928</v>
      </c>
      <c r="AD377" s="231">
        <f>(INDEX(Models!$BJ377:$BT377,,AH377)*(1-AF377)+INDEX(Models!$BJ377:$BT377,,AH377+1)*AF377-ERP_i)*AE377*Ramure*Pc/MaxiM</f>
        <v>4.7762019370563825E-2</v>
      </c>
      <c r="AE377" s="305">
        <f t="shared" si="142"/>
        <v>0.8</v>
      </c>
      <c r="AF377" s="177">
        <f t="shared" si="143"/>
        <v>0.60006568148323947</v>
      </c>
      <c r="AG377" s="809">
        <f t="shared" si="149"/>
        <v>3</v>
      </c>
      <c r="AH377" s="176">
        <f t="shared" si="144"/>
        <v>9</v>
      </c>
      <c r="AI377" s="225">
        <f t="shared" si="145"/>
        <v>3.6000656814832395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IF(t&gt;Tmaj,'2024'!Wh/'2024'!Env_an*'2025'!Env_an,0.001*'[14]mon-tableau (2)'!$B$169)</f>
        <v>10.425622046131384</v>
      </c>
      <c r="C378" s="839"/>
      <c r="D378" s="393">
        <f t="shared" si="127"/>
        <v>11.359191695391045</v>
      </c>
      <c r="E378" s="385">
        <f t="shared" si="150"/>
        <v>12.145305509718716</v>
      </c>
      <c r="F378" s="385">
        <f t="shared" si="128"/>
        <v>12.383111300668824</v>
      </c>
      <c r="G378" s="110">
        <f t="shared" si="151"/>
        <v>0.67767611136962902</v>
      </c>
      <c r="H378" s="414" t="b">
        <f>Wh_hp&gt;='2024'!Maxi_hp</f>
        <v>0</v>
      </c>
      <c r="I378" s="390">
        <f>IF(H378,Wh_hp,'2024'!Maxi_hp)</f>
        <v>17.411891706814348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8.2186274718689251E-2</v>
      </c>
      <c r="M378" s="843"/>
      <c r="N378" s="843"/>
      <c r="O378" s="48">
        <f>IF(t&lt;Tnet,'2024'!Resal+('2024'!Salim-'2024'!Resal)*(1-EXP(('2024'!Tnet-t)/('2024'!Tau_j))),Resal+(Salim-Resal)*(1-EXP((Tnet-t)/(Tau_j))))*Salcycl</f>
        <v>6.4725734045851691E-2</v>
      </c>
      <c r="P378" s="169">
        <f>(INDEX(Models!$BJ378:$BT378,,T378)*(1-R378)+INDEX(Models!$BJ378:$BT378,,T378+1)*R378-ERP_i)*Q378*Ramure*Pc/MaxiM</f>
        <v>3.4603145670428111E-2</v>
      </c>
      <c r="Q378" s="305">
        <f t="shared" si="130"/>
        <v>0.8</v>
      </c>
      <c r="R378" s="177">
        <f t="shared" si="131"/>
        <v>0.39934893431833585</v>
      </c>
      <c r="S378" s="809">
        <f t="shared" si="132"/>
        <v>2</v>
      </c>
      <c r="T378" s="176">
        <f t="shared" si="133"/>
        <v>8</v>
      </c>
      <c r="U378" s="251">
        <f t="shared" si="134"/>
        <v>2.3993489343183358</v>
      </c>
      <c r="V378" s="383">
        <f t="shared" si="135"/>
        <v>15.142828787107165</v>
      </c>
      <c r="W378" s="402">
        <f t="shared" si="136"/>
        <v>10.425622046131384</v>
      </c>
      <c r="X378" s="157">
        <f t="shared" si="137"/>
        <v>46021</v>
      </c>
      <c r="Y378" s="385">
        <f t="shared" si="138"/>
        <v>9.5319389764373383</v>
      </c>
      <c r="Z378" s="385">
        <f t="shared" si="139"/>
        <v>10.385483147482665</v>
      </c>
      <c r="AA378" s="386">
        <f t="shared" si="140"/>
        <v>12.054272031903031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0.13843962372872648</v>
      </c>
      <c r="AD378" s="231">
        <f>(INDEX(Models!$BJ378:$BT378,,AH378)*(1-AF378)+INDEX(Models!$BJ378:$BT378,,AH378+1)*AF378-ERP_i)*AE378*Ramure*Pc/MaxiM</f>
        <v>4.7849436608745556E-2</v>
      </c>
      <c r="AE378" s="305">
        <f t="shared" si="142"/>
        <v>0.8</v>
      </c>
      <c r="AF378" s="177">
        <f t="shared" si="143"/>
        <v>0.60006568148323947</v>
      </c>
      <c r="AG378" s="809">
        <f t="shared" si="149"/>
        <v>3</v>
      </c>
      <c r="AH378" s="176">
        <f t="shared" si="144"/>
        <v>9</v>
      </c>
      <c r="AI378" s="225">
        <f t="shared" si="145"/>
        <v>3.6000656814832395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IF(t&gt;Tmaj,'2024'!Wh/'2024'!Env_an*'2025'!Env_an,0.001*'[14]mon-tableau (2)'!$B$170)</f>
        <v>8.5567925230656972</v>
      </c>
      <c r="C379" s="839"/>
      <c r="D379" s="393">
        <f t="shared" si="127"/>
        <v>9.3232384758972913</v>
      </c>
      <c r="E379" s="385">
        <f t="shared" si="150"/>
        <v>9.9701350813399472</v>
      </c>
      <c r="F379" s="385">
        <f t="shared" si="128"/>
        <v>10.100844526650322</v>
      </c>
      <c r="G379" s="110">
        <f t="shared" si="151"/>
        <v>0.54920615488714142</v>
      </c>
      <c r="H379" s="414" t="b">
        <f>Wh_hp&gt;='2024'!Maxi_hp</f>
        <v>0</v>
      </c>
      <c r="I379" s="390">
        <f>IF(H379,Wh_hp,'2024'!Maxi_hp)</f>
        <v>17.60535838608622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8.2208124871312932E-2</v>
      </c>
      <c r="M379" s="843"/>
      <c r="N379" s="843"/>
      <c r="O379" s="48">
        <f>IF(t&lt;Tnet,'2024'!Resal+('2024'!Salim-'2024'!Resal)*(1-EXP(('2024'!Tnet-t)/('2024'!Tau_j))),Resal+(Salim-Resal)*(1-EXP((Tnet-t)/(Tau_j))))*Salcycl</f>
        <v>6.4883434393319839E-2</v>
      </c>
      <c r="P379" s="169">
        <f>(INDEX(Models!$BJ379:$BT379,,T379)*(1-R379)+INDEX(Models!$BJ379:$BT379,,T379+1)*R379-ERP_i)*Q379*Ramure*Pc/MaxiM</f>
        <v>3.4633522630195063E-2</v>
      </c>
      <c r="Q379" s="306">
        <f t="shared" si="130"/>
        <v>0.8</v>
      </c>
      <c r="R379" s="177">
        <f t="shared" si="131"/>
        <v>0.39934893431833585</v>
      </c>
      <c r="S379" s="809">
        <f t="shared" si="132"/>
        <v>2</v>
      </c>
      <c r="T379" s="176">
        <f t="shared" si="133"/>
        <v>8</v>
      </c>
      <c r="U379" s="307">
        <f t="shared" si="134"/>
        <v>2.3993489343183358</v>
      </c>
      <c r="V379" s="383">
        <f t="shared" si="135"/>
        <v>15.237877007394315</v>
      </c>
      <c r="W379" s="402">
        <f t="shared" si="136"/>
        <v>8.5567925230656972</v>
      </c>
      <c r="X379" s="157">
        <f t="shared" si="137"/>
        <v>46022</v>
      </c>
      <c r="Y379" s="385">
        <f t="shared" si="138"/>
        <v>7.8434501474647549</v>
      </c>
      <c r="Z379" s="385">
        <f t="shared" si="139"/>
        <v>8.546000852715105</v>
      </c>
      <c r="AA379" s="386">
        <f t="shared" si="140"/>
        <v>9.9198087716153616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0.13849137120780833</v>
      </c>
      <c r="AD379" s="231">
        <f>(INDEX(Models!$BJ379:$BT379,,AH379)*(1-AF379)+INDEX(Models!$BJ379:$BT379,,AH379+1)*AF379-ERP_i)*AE379*Ramure*Pc/MaxiM</f>
        <v>4.7968269653272305E-2</v>
      </c>
      <c r="AE379" s="306">
        <f t="shared" si="142"/>
        <v>0.8</v>
      </c>
      <c r="AF379" s="177">
        <f t="shared" si="143"/>
        <v>0.60006568148323947</v>
      </c>
      <c r="AG379" s="809">
        <f t="shared" si="149"/>
        <v>3</v>
      </c>
      <c r="AH379" s="176">
        <f t="shared" si="144"/>
        <v>9</v>
      </c>
      <c r="AI379" s="222">
        <f t="shared" si="145"/>
        <v>3.6000656814832395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12.748654420137802</v>
      </c>
      <c r="J380" s="85">
        <f>IF(H380,An,'2024'!An_max)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9.0516021673760747</v>
      </c>
      <c r="J381" s="57">
        <f>MIN(J15:J380)</f>
        <v>2018</v>
      </c>
      <c r="K381" s="200" t="s">
        <v>7</v>
      </c>
      <c r="L381" s="146">
        <f t="shared" ref="L381:T381" si="152">MIN(L15:L380)</f>
        <v>7.4220980429666877E-2</v>
      </c>
      <c r="M381" s="845"/>
      <c r="N381" s="845"/>
      <c r="O381" s="47">
        <f t="shared" si="152"/>
        <v>1.8199148020337074E-2</v>
      </c>
      <c r="P381" s="168">
        <f t="shared" si="152"/>
        <v>5.7622877096620935E-3</v>
      </c>
      <c r="Q381" s="310">
        <f t="shared" si="152"/>
        <v>0.8</v>
      </c>
      <c r="R381" s="311">
        <f t="shared" si="152"/>
        <v>3.6427779036234398E-3</v>
      </c>
      <c r="S381" s="809">
        <f t="shared" si="152"/>
        <v>1</v>
      </c>
      <c r="T381" s="176">
        <f t="shared" si="152"/>
        <v>7</v>
      </c>
      <c r="U381" s="252">
        <f>MIN(U15:U380)</f>
        <v>1.7993504619617409</v>
      </c>
      <c r="V381" s="57">
        <f>MIN(V15:V380)</f>
        <v>14.117492513398455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0.1228308006381313</v>
      </c>
      <c r="AD381" s="168">
        <f t="shared" si="153"/>
        <v>1.3771763712511832E-2</v>
      </c>
      <c r="AE381" s="310">
        <f t="shared" si="153"/>
        <v>0.8</v>
      </c>
      <c r="AF381" s="311">
        <f t="shared" si="153"/>
        <v>6.7209126644485195E-5</v>
      </c>
      <c r="AG381" s="809">
        <f t="shared" si="153"/>
        <v>3</v>
      </c>
      <c r="AH381" s="176">
        <f t="shared" si="153"/>
        <v>9</v>
      </c>
      <c r="AI381" s="226">
        <f>MIN(AI15:AI380)</f>
        <v>3.0000672091266445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25.044064253528301</v>
      </c>
      <c r="C382" s="375"/>
      <c r="D382" s="375">
        <f>AVERAGE(D15:D380)</f>
        <v>27.164928423135152</v>
      </c>
      <c r="E382" s="375">
        <f>AVERAGE(E15:E380)</f>
        <v>28.857958414456782</v>
      </c>
      <c r="F382" s="376">
        <f>AVERAGE(F15:F380)</f>
        <v>29.279282554635319</v>
      </c>
      <c r="G382" s="126">
        <f>AVERAGE(G15:G380)</f>
        <v>0.67323219795988087</v>
      </c>
      <c r="H382" s="94"/>
      <c r="I382" s="376">
        <f>AVERAGE(I15:I380)</f>
        <v>39.044491058617467</v>
      </c>
      <c r="J382" s="59">
        <f>AVERAGE(J15:J380)</f>
        <v>2020.3715846994535</v>
      </c>
      <c r="K382" s="200" t="s">
        <v>8</v>
      </c>
      <c r="L382" s="147">
        <f t="shared" ref="L382:V382" si="154">AVERAGE(L15:L380)</f>
        <v>7.8220175352908719E-2</v>
      </c>
      <c r="M382" s="843"/>
      <c r="N382" s="843"/>
      <c r="O382" s="48">
        <f t="shared" si="154"/>
        <v>6.7639089082803139E-2</v>
      </c>
      <c r="P382" s="169">
        <f t="shared" si="154"/>
        <v>2.4582253779662635E-2</v>
      </c>
      <c r="Q382" s="312">
        <f t="shared" si="154"/>
        <v>0.80000000000000548</v>
      </c>
      <c r="R382" s="177">
        <f t="shared" si="154"/>
        <v>0.5297313263059189</v>
      </c>
      <c r="S382" s="809">
        <f t="shared" si="154"/>
        <v>1.6054794520547946</v>
      </c>
      <c r="T382" s="176">
        <f t="shared" si="154"/>
        <v>7.6054794520547944</v>
      </c>
      <c r="U382" s="251">
        <f>AVERAGE(U15:U380)</f>
        <v>2.1352107783607117</v>
      </c>
      <c r="V382" s="59">
        <f t="shared" si="154"/>
        <v>35.094195590152253</v>
      </c>
      <c r="X382" s="112" t="s">
        <v>8</v>
      </c>
      <c r="Y382" s="375">
        <f>AVERAGE(Y15:Y380)</f>
        <v>22.582675955009595</v>
      </c>
      <c r="Z382" s="375">
        <f>AVERAGE(Z15:Z380)</f>
        <v>24.494366292549987</v>
      </c>
      <c r="AA382" s="375">
        <f>AVERAGE(AA15:AA380)</f>
        <v>28.49787005086063</v>
      </c>
      <c r="AB382" s="200" t="s">
        <v>8</v>
      </c>
      <c r="AC382" s="48">
        <f t="shared" ref="AC382:AH382" si="155">AVERAGE(AC15:AC380)</f>
        <v>0.14327226235744828</v>
      </c>
      <c r="AD382" s="169">
        <f t="shared" si="155"/>
        <v>4.3462085231444035E-2</v>
      </c>
      <c r="AE382" s="312">
        <f t="shared" si="155"/>
        <v>0.80000000000000548</v>
      </c>
      <c r="AF382" s="177">
        <f t="shared" si="155"/>
        <v>0.33592752552561744</v>
      </c>
      <c r="AG382" s="809">
        <f t="shared" si="155"/>
        <v>3</v>
      </c>
      <c r="AH382" s="176">
        <f t="shared" si="155"/>
        <v>9</v>
      </c>
      <c r="AI382" s="225">
        <f>AVERAGE(AI15:AI380)</f>
        <v>3.3359275255256207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54.570209694140104</v>
      </c>
      <c r="C383" s="377"/>
      <c r="D383" s="377">
        <f>MAX(D15:D380)</f>
        <v>59.195460965039793</v>
      </c>
      <c r="E383" s="377">
        <f>MAX(E15:E380)</f>
        <v>61.16565808186067</v>
      </c>
      <c r="F383" s="378">
        <f>MAX(F15:F380)</f>
        <v>61.907521444604463</v>
      </c>
      <c r="G383" s="127">
        <f>+MAX(G15:G380)</f>
        <v>1.04595400362965</v>
      </c>
      <c r="H383" s="94"/>
      <c r="I383" s="378">
        <f>MAX(I15:I380)</f>
        <v>64.737412852018437</v>
      </c>
      <c r="J383" s="60">
        <f>MAX(J15:J380)</f>
        <v>2025</v>
      </c>
      <c r="K383" s="200" t="s">
        <v>9</v>
      </c>
      <c r="L383" s="148">
        <f t="shared" ref="L383:T383" si="156">MAX(L15:L380)</f>
        <v>8.2208124871312932E-2</v>
      </c>
      <c r="M383" s="846"/>
      <c r="N383" s="846"/>
      <c r="O383" s="49">
        <f t="shared" si="156"/>
        <v>0.1226869347250469</v>
      </c>
      <c r="P383" s="170">
        <f t="shared" si="156"/>
        <v>5.4628192146474769E-2</v>
      </c>
      <c r="Q383" s="313">
        <f t="shared" si="156"/>
        <v>0.8</v>
      </c>
      <c r="R383" s="314">
        <f t="shared" si="156"/>
        <v>0.998126659402363</v>
      </c>
      <c r="S383" s="810">
        <f t="shared" si="156"/>
        <v>2</v>
      </c>
      <c r="T383" s="233">
        <f t="shared" si="156"/>
        <v>8</v>
      </c>
      <c r="U383" s="253">
        <f>MAX(U15:U380)</f>
        <v>2.3993489343183358</v>
      </c>
      <c r="V383" s="60">
        <f>MAX(V15:V380)</f>
        <v>55.569892998026617</v>
      </c>
      <c r="X383" s="112" t="s">
        <v>9</v>
      </c>
      <c r="Y383" s="377">
        <f>MAX(Y15:Y380)</f>
        <v>48.5520683185457</v>
      </c>
      <c r="Z383" s="377">
        <f>MAX(Z15:Z380)</f>
        <v>52.667235127576241</v>
      </c>
      <c r="AA383" s="377">
        <f>MAX(AA15:AA380)</f>
        <v>60.673374478831406</v>
      </c>
      <c r="AB383" s="200" t="s">
        <v>9</v>
      </c>
      <c r="AC383" s="49">
        <f t="shared" ref="AC383:AH383" si="157">MAX(AC15:AC380)</f>
        <v>0.16430431294855288</v>
      </c>
      <c r="AD383" s="170">
        <f t="shared" si="157"/>
        <v>8.838992594408461E-2</v>
      </c>
      <c r="AE383" s="313">
        <f t="shared" si="157"/>
        <v>0.8</v>
      </c>
      <c r="AF383" s="314">
        <f t="shared" si="157"/>
        <v>0.60006568148323947</v>
      </c>
      <c r="AG383" s="810">
        <f t="shared" si="157"/>
        <v>3</v>
      </c>
      <c r="AH383" s="233">
        <f t="shared" si="157"/>
        <v>9</v>
      </c>
      <c r="AI383" s="227">
        <f>MAX(AI15:AI380)</f>
        <v>3.6000656814832395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3" stopIfTrue="1" operator="lessThan">
      <formula>0.01</formula>
    </cfRule>
    <cfRule type="cellIs" dxfId="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'2025'!An+1</f>
        <v>2026</v>
      </c>
      <c r="K1" s="1275"/>
      <c r="L1" s="113" t="str">
        <f>"Calcul pertes et enveloppes en "&amp;TEXT(An,0)</f>
        <v>Calcul pertes et enveloppes en 2026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549.27378888059502</v>
      </c>
      <c r="AK4" s="832">
        <f>AM12-AK12</f>
        <v>99.66277656399231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549.27378888059502</v>
      </c>
      <c r="AA5" s="237">
        <f>Wh_Pvg_s-Wh_Pvg</f>
        <v>99.66277656399231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8670.8310021355592</v>
      </c>
      <c r="AK6" s="515">
        <f>SUMIF(AK15:AK380,"FAUX",Wh)</f>
        <v>8670.8310021355592</v>
      </c>
      <c r="AL6" s="515">
        <f>SUMIF(AJ15:AJ380,"FAUX",Wh_s)</f>
        <v>7990.2474013673855</v>
      </c>
      <c r="AM6" s="515">
        <f>SUMIF(AK15:AK380,"FAUX",Wh_s)</f>
        <v>7990.2474013673855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9486.569524398692</v>
      </c>
      <c r="AK8" s="515">
        <f>SUMIF(AK15:AK380,"FAUX",Wh_sa)</f>
        <v>10445.392121620038</v>
      </c>
      <c r="AL8" s="515">
        <f>SUMIF(AJ15:AJ380,"FAUX",Wh_pvt_s)</f>
        <v>8742.0094888528074</v>
      </c>
      <c r="AM8" s="515">
        <f>SUMIF(AK15:AK380,"FAUX",Wh_sa_s)</f>
        <v>10301.789960769758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9486.569524398692</v>
      </c>
      <c r="E9" s="184">
        <f>SUM(E$15:E$380)</f>
        <v>10445.392121620038</v>
      </c>
      <c r="F9" s="184">
        <f>SUM(F$15:F$380)</f>
        <v>10660.419818611927</v>
      </c>
      <c r="H9" s="1276">
        <f>+SUM(Wh)</f>
        <v>8670.8310021355592</v>
      </c>
      <c r="I9" s="1277"/>
      <c r="J9" s="1278"/>
      <c r="K9" s="191"/>
      <c r="L9" s="232"/>
      <c r="M9" s="232"/>
      <c r="N9" s="232"/>
      <c r="O9" s="223">
        <f>Tnet_2026</f>
        <v>45777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7990.2474013673855</v>
      </c>
      <c r="Y9" s="1271"/>
      <c r="Z9" s="515">
        <f>SUM(Z$15:Z$380)</f>
        <v>8742.0094888528074</v>
      </c>
      <c r="AA9" s="515">
        <f>SUM(AA$15:AA$380)</f>
        <v>10301.789960769758</v>
      </c>
      <c r="AB9" s="515">
        <f>F9</f>
        <v>10660.419818611927</v>
      </c>
      <c r="AC9" s="325">
        <f>IF(An_Tnet,Tnet,'2025'!Tnet_s)</f>
        <v>45777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1.7999999999999999E-2</v>
      </c>
      <c r="P10" s="420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IF(OR(Inflex,GainD),'2025'!Resal_s+('2025'!Salim-'2025'!Resal_s)*(1-EXP(('2025'!Tnet_s-Tnet)/('2025'!Tau_j))),IF(Acti_net,'2025'!Resal+('2025'!Salim-'2025'!Resal)*(1-EXP(('2025'!Tnet-Tnet)/'2025'!Tau_j)),'2025'!Resal_s))</f>
        <v>0.12148669866389784</v>
      </c>
      <c r="AD10" s="427"/>
      <c r="AE10" s="427"/>
      <c r="AF10" s="260"/>
      <c r="AG10" s="261"/>
      <c r="AH10" s="262"/>
      <c r="AI10" s="472"/>
      <c r="AJ10" s="515">
        <f>SUMIF(AJ15:AJ380,"FAUX",Wh_sa)</f>
        <v>10445.392121620038</v>
      </c>
      <c r="AK10" s="515">
        <f>SUMIF(AK15:AK380,"FAUX",Wh_hp)</f>
        <v>10660.419818611927</v>
      </c>
      <c r="AL10" s="515">
        <f>SUMIF(AJ15:AJ380,"FAUX",Wh_sa_s)</f>
        <v>10301.789960769758</v>
      </c>
      <c r="AM10" s="515">
        <f>SUMIF(AK15:AK380,"FAUX",Wh_hp)</f>
        <v>10660.419818611927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815.73852226313284</v>
      </c>
      <c r="E11" s="51">
        <f>(E$9-D$9)*Prod_an/D$9</f>
        <v>876.37461362113959</v>
      </c>
      <c r="F11" s="186">
        <f>(F$9-E$9)*Prod_an/E$9</f>
        <v>178.49677634753149</v>
      </c>
      <c r="G11" s="185" t="s">
        <v>6</v>
      </c>
      <c r="K11" s="194"/>
      <c r="L11" s="211">
        <f>Tvie_2026</f>
        <v>44743</v>
      </c>
      <c r="M11" s="842"/>
      <c r="N11" s="842"/>
      <c r="O11" s="202">
        <f>IF(An_Tnet,Salim_2026,'2025'!Salim)</f>
        <v>0.18000000000000002</v>
      </c>
      <c r="P11" s="256">
        <f>Ttai_2026</f>
        <v>44576</v>
      </c>
      <c r="Q11" s="272">
        <f>Dens_2026</f>
        <v>0.8</v>
      </c>
      <c r="R11" s="277"/>
      <c r="S11" s="230"/>
      <c r="T11" s="230"/>
      <c r="U11" s="266">
        <f>Htf_2026</f>
        <v>2.9993489343183359</v>
      </c>
      <c r="V11" s="427"/>
      <c r="W11" s="518"/>
      <c r="X11" s="525" t="s">
        <v>43</v>
      </c>
      <c r="Y11" s="50">
        <f>Z$9-Prod_an_s</f>
        <v>751.76208748542194</v>
      </c>
      <c r="Z11" s="51">
        <f>(AA$9-Z$9)*Prod_an_s/Z$9</f>
        <v>1425.6484025017346</v>
      </c>
      <c r="AA11" s="186">
        <f>(AB$9-AA$9)*Prod_an_s/AA$9</f>
        <v>278.1595529115238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4.5954003629650408E-2</v>
      </c>
      <c r="K12" s="191"/>
      <c r="L12" s="212">
        <f>Pspv_2026</f>
        <v>2.1111111111111112E-2</v>
      </c>
      <c r="M12" s="212"/>
      <c r="N12" s="212"/>
      <c r="O12" s="205">
        <f>IF(An_Tnet,Tau_2026*365,'2025'!Tau_j)</f>
        <v>717.83333333333337</v>
      </c>
      <c r="P12" s="281">
        <f>INDEX(Croivg,MIN(MAX(Ttai-$A$15,0)+1,366))</f>
        <v>2.3909964587625958E-6</v>
      </c>
      <c r="Q12" s="280">
        <f>'2025'!Df</f>
        <v>0.8</v>
      </c>
      <c r="R12" s="278"/>
      <c r="S12" s="279"/>
      <c r="T12" s="279"/>
      <c r="U12" s="267">
        <f>'2025'!Hdf</f>
        <v>2.3993489343183358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'2025'!Df_s</f>
        <v>0.8</v>
      </c>
      <c r="AF12" s="203"/>
      <c r="AG12" s="203"/>
      <c r="AH12" s="203"/>
      <c r="AI12" s="297">
        <f>'2025'!Hdf_s</f>
        <v>3.6000656814832395</v>
      </c>
      <c r="AJ12" s="831">
        <f>IF($AJ8=0,0,($AJ10-$AJ8)*$AJ6/$AJ8)</f>
        <v>876.37461362113959</v>
      </c>
      <c r="AK12" s="832">
        <f>IF($AK8=0,0,($AK10-$AK8)*$AK6/$AK8)</f>
        <v>178.49677634753149</v>
      </c>
      <c r="AL12" s="831">
        <f>IF($AL8=0,0,($AL10-$AL8)*$AL6/$AL8)</f>
        <v>1425.6484025017346</v>
      </c>
      <c r="AM12" s="832">
        <f>IF($AM8=0,0,($AM10-$AM8)*$AM6/$AM8)</f>
        <v>278.1595529115238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876.37461362113959</v>
      </c>
      <c r="AK13" s="73">
        <f>+AK11+AK12</f>
        <v>178.49677634753149</v>
      </c>
      <c r="AL13" s="73">
        <f>+AL11+AL12</f>
        <v>1425.6484025017346</v>
      </c>
      <c r="AM13" s="73">
        <f>+AM11+AM12</f>
        <v>278.1595529115238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93" t="s">
        <v>400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IF(t&gt;Tmaj,'2025'!Wh/'2025'!Env_an*'2026'!Env_an,0.001*'[3]mon-tableau (2)'!$B$140)</f>
        <v>5.8545270085713925</v>
      </c>
      <c r="C15" s="839"/>
      <c r="D15" s="393">
        <f t="shared" ref="D15:D78" si="0">Wh/(1-Ppv)</f>
        <v>6.3790784684653667</v>
      </c>
      <c r="E15" s="400">
        <f t="shared" ref="E15:E79" si="1">Wh_pvt/(1-Psa)</f>
        <v>6.8228435795283771</v>
      </c>
      <c r="F15" s="400">
        <f t="shared" ref="F15:F78" si="2">Wh_sa/(1-Pvg*MEDIAN((-Sdif+Wh/Env_an)/Csdif,0,1))</f>
        <v>6.8505718599541323</v>
      </c>
      <c r="G15" s="123">
        <f>+Wh_hp/MaxiM</f>
        <v>0.36995902058231023</v>
      </c>
      <c r="H15" s="414" t="b">
        <f>Wh_hp&gt;='2025'!Maxi_hp</f>
        <v>0</v>
      </c>
      <c r="I15" s="396">
        <f>IF(H15,Wh_hp,'2025'!Maxi_hp)</f>
        <v>18.425979166910196</v>
      </c>
      <c r="J15" s="84">
        <f>IF(H15,An,'2025'!An_max)</f>
        <v>2022</v>
      </c>
      <c r="K15" s="197">
        <f t="shared" ref="K15:K78" si="3">t</f>
        <v>46023</v>
      </c>
      <c r="L15" s="146">
        <f>IF(t&lt;Tvie,1-EXP((T0-t)*PertePVj)+'2025'!Pspv,1-EXP((T0-t)*PertePVj)+Pspv)</f>
        <v>8.2229974515451804E-2</v>
      </c>
      <c r="M15" s="843"/>
      <c r="N15" s="843"/>
      <c r="O15" s="48">
        <f>IF(t&lt;Tnet,'2025'!Resal+('2025'!Salim-'2025'!Resal)*(1-EXP(('2025'!Tnet-t)/('2025'!Tau_j))),Resal+(Salim-Resal)*(1-EXP((Tnet-t)/(Tau_j))))*Salcycl</f>
        <v>6.504107941071767E-2</v>
      </c>
      <c r="P15" s="302">
        <f>(INDEX(Models!$BJ15:$BT15,,T15)*(1-R15)+INDEX(Models!$BJ15:$BT15,,T15+1)*R15-ERP_i)*Q15*Ramure*Pc/MaxiM</f>
        <v>3.4679922574505001E-2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0.39935036891621101</v>
      </c>
      <c r="S15" s="808">
        <f t="shared" ref="S15:S78" si="6">INDEX(Echel_vg,T15)</f>
        <v>2</v>
      </c>
      <c r="T15" s="249">
        <f t="shared" ref="T15:T78" si="7">MIN(MATCH(Hp_vg,Echel_vg),10)</f>
        <v>8</v>
      </c>
      <c r="U15" s="251">
        <f t="shared" ref="U15:U78" si="8">IF(OR(t&lt;Ttai,Notai),Hdd+PousH*Croivg,Hdtf+PousH*(Croivg-Croi_tai))</f>
        <v>2.399350368916211</v>
      </c>
      <c r="V15" s="382">
        <f t="shared" ref="V15:V78" si="9">MaxiM*(1-Ppv)*(1-Pvg)*(1-Psa)</f>
        <v>15.338078049452465</v>
      </c>
      <c r="W15" s="402">
        <f t="shared" ref="W15:W78" si="10">Wh*(A15&gt;Tmaj)</f>
        <v>5.8545270085713925</v>
      </c>
      <c r="X15" s="156">
        <f t="shared" ref="X15:X78" si="11">t</f>
        <v>46023</v>
      </c>
      <c r="Y15" s="385">
        <f t="shared" ref="Y15:Y78" si="12">Wh_pvt_s*(1-Ppv)</f>
        <v>5.3857760989978773</v>
      </c>
      <c r="Z15" s="385">
        <f>Wh_sa_s*(1-Psa_s)</f>
        <v>5.8683286111402353</v>
      </c>
      <c r="AA15" s="386">
        <f t="shared" ref="AA15:AA78" si="13">Wh_hp*(1-Pvg_s*MEDIAN((-Sdif+Wh/Env_an)/Csdif,0,1))</f>
        <v>6.8121002982630081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0.13854342211658599</v>
      </c>
      <c r="AD15" s="231">
        <f>(INDEX(Models!$BJ15:$BT15,,AH15)*(1-AF15)+INDEX(Models!$BJ15:$BT15,,AH15+1)*AF15-ERP_i)*AE15*Ramure*Pc/MaxiM</f>
        <v>4.8116607315079628E-2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0.60006711608111463</v>
      </c>
      <c r="AG15" s="808">
        <f>INDEX(Echel_vg,AH15)</f>
        <v>3</v>
      </c>
      <c r="AH15" s="249">
        <f t="shared" ref="AH15:AH78" si="16">MIN(MATCH(Hp_vg_s,Echel_vg),10)</f>
        <v>9</v>
      </c>
      <c r="AI15" s="224">
        <f t="shared" ref="AI15:AI78" si="17">IF(OR(t&lt;Ttai,Notai),Hdd_s+PousH*Croivg,Hdtai_s+PousH*(Croivg-Croi_tai))</f>
        <v>3.6000671160811146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IF(t&gt;Tmaj,'2025'!Wh/'2025'!Env_an*'2026'!Env_an,0.001*'[3]mon-tableau (2)'!$B$141)</f>
        <v>1.7974945050123528</v>
      </c>
      <c r="C16" s="839"/>
      <c r="D16" s="393">
        <f t="shared" si="0"/>
        <v>1.9585922928917201</v>
      </c>
      <c r="E16" s="385">
        <f t="shared" si="1"/>
        <v>2.0951962638588078</v>
      </c>
      <c r="F16" s="385">
        <f t="shared" si="2"/>
        <v>2.0951962638588078</v>
      </c>
      <c r="G16" s="110">
        <f t="shared" ref="G16:G79" si="21">+Wh_hp/MaxiM</f>
        <v>0.11234636225035835</v>
      </c>
      <c r="H16" s="414" t="b">
        <f>Wh_hp&gt;='2025'!Maxi_hp</f>
        <v>0</v>
      </c>
      <c r="I16" s="390">
        <f>IF(H16,Wh_hp,'2025'!Maxi_hp)</f>
        <v>16.317377222864518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8.2251823651117412E-2</v>
      </c>
      <c r="M16" s="843"/>
      <c r="N16" s="843"/>
      <c r="O16" s="48">
        <f>IF(t&lt;Tnet,'2025'!Resal+('2025'!Salim-'2025'!Resal)*(1-EXP(('2025'!Tnet-t)/('2025'!Tau_j))),Resal+(Salim-Resal)*(1-EXP((Tnet-t)/(Tau_j))))*Salcycl</f>
        <v>6.519865146928927E-2</v>
      </c>
      <c r="P16" s="169">
        <f>(INDEX(Models!$BJ16:$BT16,,T16)*(1-R16)+INDEX(Models!$BJ16:$BT16,,T16+1)*R16-ERP_i)*Q16*Ramure*Pc/MaxiM</f>
        <v>3.4732496649206024E-2</v>
      </c>
      <c r="Q16" s="305">
        <f t="shared" si="4"/>
        <v>0.8</v>
      </c>
      <c r="R16" s="177">
        <f t="shared" si="5"/>
        <v>0.39938542645300412</v>
      </c>
      <c r="S16" s="809">
        <f t="shared" si="6"/>
        <v>2</v>
      </c>
      <c r="T16" s="176">
        <f t="shared" si="7"/>
        <v>8</v>
      </c>
      <c r="U16" s="251">
        <f t="shared" si="8"/>
        <v>2.3993854264530041</v>
      </c>
      <c r="V16" s="383">
        <f t="shared" si="9"/>
        <v>15.443873734634526</v>
      </c>
      <c r="W16" s="402">
        <f t="shared" si="10"/>
        <v>1.7974945050123528</v>
      </c>
      <c r="X16" s="157">
        <f t="shared" si="11"/>
        <v>46024</v>
      </c>
      <c r="Y16" s="385">
        <f t="shared" si="12"/>
        <v>1.6563619998816477</v>
      </c>
      <c r="Z16" s="385">
        <f t="shared" ref="Z16:Z78" si="22">Wh_sa_s*(1-Psa_s)</f>
        <v>1.8048109956167109</v>
      </c>
      <c r="AA16" s="386">
        <f t="shared" si="13"/>
        <v>2.0951962638588078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0.13859573599433719</v>
      </c>
      <c r="AD16" s="231">
        <f>(INDEX(Models!$BJ16:$BT16,,AH16)*(1-AF16)+INDEX(Models!$BJ16:$BT16,,AH16+1)*AF16-ERP_i)*AE16*Ramure*Pc/MaxiM</f>
        <v>4.8286279415030324E-2</v>
      </c>
      <c r="AE16" s="305">
        <f t="shared" si="15"/>
        <v>0.8</v>
      </c>
      <c r="AF16" s="177">
        <f t="shared" ref="AF16:AF78" si="23">(Hp_vg_s-AG16)/(INDEX(Echel_vg,AH16+1)-AG16)</f>
        <v>0.60010217361790774</v>
      </c>
      <c r="AG16" s="809">
        <f t="shared" ref="AG16:AG79" si="24">INDEX(Echel_vg,AH16)</f>
        <v>3</v>
      </c>
      <c r="AH16" s="176">
        <f t="shared" si="16"/>
        <v>9</v>
      </c>
      <c r="AI16" s="225">
        <f t="shared" si="17"/>
        <v>3.6001021736179077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IF(t&gt;Tmaj,'2025'!Wh/'2025'!Env_an*'2026'!Env_an,0.001*'[3]mon-tableau (2)'!$B$142)</f>
        <v>12.869222821420264</v>
      </c>
      <c r="C17" s="839"/>
      <c r="D17" s="393">
        <f t="shared" si="0"/>
        <v>14.022941734023297</v>
      </c>
      <c r="E17" s="385">
        <f t="shared" si="1"/>
        <v>15.003513376741315</v>
      </c>
      <c r="F17" s="385">
        <f t="shared" si="2"/>
        <v>15.40729169830592</v>
      </c>
      <c r="G17" s="110">
        <f t="shared" si="21"/>
        <v>0.82001446338687078</v>
      </c>
      <c r="H17" s="414" t="b">
        <f>Wh_hp&gt;='2025'!Maxi_hp</f>
        <v>0</v>
      </c>
      <c r="I17" s="390">
        <f>IF(H17,Wh_hp,'2025'!Maxi_hp)</f>
        <v>18.889891187353829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8.2273672278321747E-2</v>
      </c>
      <c r="M17" s="843"/>
      <c r="N17" s="843"/>
      <c r="O17" s="48">
        <f>IF(t&lt;Tnet,'2025'!Resal+('2025'!Salim-'2025'!Resal)*(1-EXP(('2025'!Tnet-t)/('2025'!Tau_j))),Resal+(Salim-Resal)*(1-EXP((Tnet-t)/(Tau_j))))*Salcycl</f>
        <v>6.5356134799607488E-2</v>
      </c>
      <c r="P17" s="169">
        <f>(INDEX(Models!$BJ17:$BT17,,T17)*(1-R17)+INDEX(Models!$BJ17:$BT17,,T17+1)*R17-ERP_i)*Q17*Ramure*Pc/MaxiM</f>
        <v>3.4789794730594063E-2</v>
      </c>
      <c r="Q17" s="305">
        <f t="shared" si="4"/>
        <v>0.8</v>
      </c>
      <c r="R17" s="177">
        <f t="shared" si="5"/>
        <v>0.39942195036759154</v>
      </c>
      <c r="S17" s="809">
        <f t="shared" si="6"/>
        <v>2</v>
      </c>
      <c r="T17" s="176">
        <f t="shared" si="7"/>
        <v>8</v>
      </c>
      <c r="U17" s="251">
        <f t="shared" si="8"/>
        <v>2.3994219503675915</v>
      </c>
      <c r="V17" s="383">
        <f t="shared" si="9"/>
        <v>15.555574248360994</v>
      </c>
      <c r="W17" s="402">
        <f t="shared" si="10"/>
        <v>12.869222821420264</v>
      </c>
      <c r="X17" s="157">
        <f t="shared" si="11"/>
        <v>46025</v>
      </c>
      <c r="Y17" s="385">
        <f t="shared" si="12"/>
        <v>11.734496792435753</v>
      </c>
      <c r="Z17" s="385">
        <f t="shared" si="22"/>
        <v>12.786488126114335</v>
      </c>
      <c r="AA17" s="386">
        <f t="shared" si="13"/>
        <v>14.844677011409564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0.13864827666599364</v>
      </c>
      <c r="AD17" s="231">
        <f>(INDEX(Models!$BJ17:$BT17,,AH17)*(1-AF17)+INDEX(Models!$BJ17:$BT17,,AH17+1)*AF17-ERP_i)*AE17*Ramure*Pc/MaxiM</f>
        <v>4.8475236099097915E-2</v>
      </c>
      <c r="AE17" s="305">
        <f t="shared" si="15"/>
        <v>0.8</v>
      </c>
      <c r="AF17" s="177">
        <f>(Hp_vg_s-AG17)/(INDEX(Echel_vg,AH17+1)-AG17)</f>
        <v>0.60013869753249516</v>
      </c>
      <c r="AG17" s="809">
        <f>INDEX(Echel_vg,AH17)</f>
        <v>3</v>
      </c>
      <c r="AH17" s="176">
        <f t="shared" si="16"/>
        <v>9</v>
      </c>
      <c r="AI17" s="225">
        <f t="shared" si="17"/>
        <v>3.6001386975324952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IF(t&gt;Tmaj,'2025'!Wh/'2025'!Env_an*'2026'!Env_an,0.001*'[3]mon-tableau (2)'!$B$143)</f>
        <v>10.848317767822257</v>
      </c>
      <c r="C18" s="839"/>
      <c r="D18" s="393">
        <f t="shared" si="0"/>
        <v>11.821145051526997</v>
      </c>
      <c r="E18" s="385">
        <f t="shared" si="1"/>
        <v>12.649883382387186</v>
      </c>
      <c r="F18" s="385">
        <f t="shared" si="2"/>
        <v>12.901773374537148</v>
      </c>
      <c r="G18" s="110">
        <f t="shared" si="21"/>
        <v>0.68132484407455707</v>
      </c>
      <c r="H18" s="414" t="b">
        <f>Wh_hp&gt;='2025'!Maxi_hp</f>
        <v>0</v>
      </c>
      <c r="I18" s="390">
        <f>IF(H18,Wh_hp,'2025'!Maxi_hp)</f>
        <v>18.708529066845525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8.2295520397076577E-2</v>
      </c>
      <c r="M18" s="843"/>
      <c r="N18" s="843"/>
      <c r="O18" s="48">
        <f>IF(t&lt;Tnet,'2025'!Resal+('2025'!Salim-'2025'!Resal)*(1-EXP(('2025'!Tnet-t)/('2025'!Tau_j))),Resal+(Salim-Resal)*(1-EXP((Tnet-t)/(Tau_j))))*Salcycl</f>
        <v>6.551351548537318E-2</v>
      </c>
      <c r="P18" s="169">
        <f>(INDEX(Models!$BJ18:$BT18,,T18)*(1-R18)+INDEX(Models!$BJ18:$BT18,,T18+1)*R18-ERP_i)*Q18*Ramure*Pc/MaxiM</f>
        <v>3.4850835294280937E-2</v>
      </c>
      <c r="Q18" s="305">
        <f t="shared" si="4"/>
        <v>0.8</v>
      </c>
      <c r="R18" s="177">
        <f t="shared" si="5"/>
        <v>0.39946000180514574</v>
      </c>
      <c r="S18" s="809">
        <f t="shared" si="6"/>
        <v>2</v>
      </c>
      <c r="T18" s="176">
        <f t="shared" si="7"/>
        <v>8</v>
      </c>
      <c r="U18" s="251">
        <f t="shared" si="8"/>
        <v>2.3994600018051457</v>
      </c>
      <c r="V18" s="383">
        <f t="shared" si="9"/>
        <v>15.673482339816431</v>
      </c>
      <c r="W18" s="402">
        <f t="shared" si="10"/>
        <v>10.848317767822257</v>
      </c>
      <c r="X18" s="157">
        <f t="shared" si="11"/>
        <v>46026</v>
      </c>
      <c r="Y18" s="385">
        <f t="shared" si="12"/>
        <v>9.9196807479799123</v>
      </c>
      <c r="Z18" s="385">
        <f>Wh_sa_s*(1-Psa_s)</f>
        <v>10.809232131319664</v>
      </c>
      <c r="AA18" s="386">
        <f t="shared" si="13"/>
        <v>12.549918534939854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0.13870101218378403</v>
      </c>
      <c r="AD18" s="231">
        <f>(INDEX(Models!$BJ18:$BT18,,AH18)*(1-AF18)+INDEX(Models!$BJ18:$BT18,,AH18+1)*AF18-ERP_i)*AE18*Ramure*Pc/MaxiM</f>
        <v>4.8681708064846362E-2</v>
      </c>
      <c r="AE18" s="305">
        <f t="shared" si="15"/>
        <v>0.8</v>
      </c>
      <c r="AF18" s="177">
        <f t="shared" si="23"/>
        <v>0.60017674897004936</v>
      </c>
      <c r="AG18" s="809">
        <f t="shared" si="24"/>
        <v>3</v>
      </c>
      <c r="AH18" s="176">
        <f t="shared" si="16"/>
        <v>9</v>
      </c>
      <c r="AI18" s="225">
        <f t="shared" si="17"/>
        <v>3.6001767489700494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IF(t&gt;Tmaj,'2025'!Wh/'2025'!Env_an*'2026'!Env_an,0.001*'[3]mon-tableau (2)'!$B$144)</f>
        <v>10.833466138464056</v>
      </c>
      <c r="C19" s="839"/>
      <c r="D19" s="393">
        <f t="shared" si="0"/>
        <v>11.805242641392107</v>
      </c>
      <c r="E19" s="385">
        <f t="shared" si="1"/>
        <v>12.63499247041287</v>
      </c>
      <c r="F19" s="385">
        <f t="shared" si="2"/>
        <v>12.882867210055718</v>
      </c>
      <c r="G19" s="110">
        <f t="shared" si="21"/>
        <v>0.67479416832163286</v>
      </c>
      <c r="H19" s="414" t="b">
        <f>Wh_hp&gt;='2025'!Maxi_hp</f>
        <v>0</v>
      </c>
      <c r="I19" s="390">
        <f>IF(H19,Wh_hp,'2025'!Maxi_hp)</f>
        <v>18.453425057954192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8.2317368007393782E-2</v>
      </c>
      <c r="M19" s="843"/>
      <c r="N19" s="843"/>
      <c r="O19" s="48">
        <f>IF(t&lt;Tnet,'2025'!Resal+('2025'!Salim-'2025'!Resal)*(1-EXP(('2025'!Tnet-t)/('2025'!Tau_j))),Resal+(Salim-Resal)*(1-EXP((Tnet-t)/(Tau_j))))*Salcycl</f>
        <v>6.5670781440018464E-2</v>
      </c>
      <c r="P19" s="169">
        <f>(INDEX(Models!$BJ19:$BT19,,T19)*(1-R19)+INDEX(Models!$BJ19:$BT19,,T19+1)*R19-ERP_i)*Q19*Ramure*Pc/MaxiM</f>
        <v>3.4914663132794593E-2</v>
      </c>
      <c r="Q19" s="305">
        <f t="shared" si="4"/>
        <v>0.8</v>
      </c>
      <c r="R19" s="177">
        <f t="shared" si="5"/>
        <v>0.39949964444421981</v>
      </c>
      <c r="S19" s="809">
        <f t="shared" si="6"/>
        <v>2</v>
      </c>
      <c r="T19" s="176">
        <f t="shared" si="7"/>
        <v>8</v>
      </c>
      <c r="U19" s="251">
        <f t="shared" si="8"/>
        <v>2.3994996444442198</v>
      </c>
      <c r="V19" s="383">
        <f t="shared" si="9"/>
        <v>15.797900332637143</v>
      </c>
      <c r="W19" s="402">
        <f t="shared" si="10"/>
        <v>10.833466138464056</v>
      </c>
      <c r="X19" s="157">
        <f t="shared" si="11"/>
        <v>46027</v>
      </c>
      <c r="Y19" s="385">
        <f t="shared" si="12"/>
        <v>9.907579033886849</v>
      </c>
      <c r="Z19" s="385">
        <f t="shared" si="22"/>
        <v>10.796302216567039</v>
      </c>
      <c r="AA19" s="386">
        <f t="shared" si="13"/>
        <v>12.535676389433917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0.13875391473354906</v>
      </c>
      <c r="AD19" s="231">
        <f>(INDEX(Models!$BJ19:$BT19,,AH19)*(1-AF19)+INDEX(Models!$BJ19:$BT19,,AH19+1)*AF19-ERP_i)*AE19*Ramure*Pc/MaxiM</f>
        <v>4.890393657003865E-2</v>
      </c>
      <c r="AE19" s="305">
        <f t="shared" si="15"/>
        <v>0.8</v>
      </c>
      <c r="AF19" s="177">
        <f t="shared" si="23"/>
        <v>0.60021639160912343</v>
      </c>
      <c r="AG19" s="809">
        <f t="shared" si="24"/>
        <v>3</v>
      </c>
      <c r="AH19" s="176">
        <f t="shared" si="16"/>
        <v>9</v>
      </c>
      <c r="AI19" s="225">
        <f t="shared" si="17"/>
        <v>3.6002163916091234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IF(t&gt;Tmaj,'2025'!Wh/'2025'!Env_an*'2026'!Env_an,0.001*'[3]mon-tableau (2)'!$B$145)</f>
        <v>4.7304725465411845</v>
      </c>
      <c r="C20" s="839"/>
      <c r="D20" s="393">
        <f t="shared" si="0"/>
        <v>5.1549250272305596</v>
      </c>
      <c r="E20" s="385">
        <f t="shared" si="1"/>
        <v>5.5181750243395618</v>
      </c>
      <c r="F20" s="385">
        <f t="shared" si="2"/>
        <v>5.5181750243395618</v>
      </c>
      <c r="G20" s="110">
        <f t="shared" si="21"/>
        <v>0.28658181047594544</v>
      </c>
      <c r="H20" s="414" t="b">
        <f>Wh_hp&gt;='2025'!Maxi_hp</f>
        <v>0</v>
      </c>
      <c r="I20" s="390">
        <f>IF(H20,Wh_hp,'2025'!Maxi_hp)</f>
        <v>17.976062678070381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8.2339215109285241E-2</v>
      </c>
      <c r="M20" s="843"/>
      <c r="N20" s="843"/>
      <c r="O20" s="48">
        <f>IF(t&lt;Tnet,'2025'!Resal+('2025'!Salim-'2025'!Resal)*(1-EXP(('2025'!Tnet-t)/('2025'!Tau_j))),Resal+(Salim-Resal)*(1-EXP((Tnet-t)/(Tau_j))))*Salcycl</f>
        <v>6.5827922366865771E-2</v>
      </c>
      <c r="P20" s="169">
        <f>(INDEX(Models!$BJ20:$BT20,,T20)*(1-R20)+INDEX(Models!$BJ20:$BT20,,T20+1)*R20-ERP_i)*Q20*Ramure*Pc/MaxiM</f>
        <v>3.498035092231503E-2</v>
      </c>
      <c r="Q20" s="305">
        <f t="shared" si="4"/>
        <v>0.8</v>
      </c>
      <c r="R20" s="177">
        <f t="shared" si="5"/>
        <v>0.39954094460032064</v>
      </c>
      <c r="S20" s="809">
        <f t="shared" si="6"/>
        <v>2</v>
      </c>
      <c r="T20" s="176">
        <f t="shared" si="7"/>
        <v>8</v>
      </c>
      <c r="U20" s="251">
        <f t="shared" si="8"/>
        <v>2.3995409446003206</v>
      </c>
      <c r="V20" s="383">
        <f t="shared" si="9"/>
        <v>15.929130147002004</v>
      </c>
      <c r="W20" s="402">
        <f t="shared" si="10"/>
        <v>4.7304725465411845</v>
      </c>
      <c r="X20" s="157">
        <f t="shared" si="11"/>
        <v>46028</v>
      </c>
      <c r="Y20" s="385">
        <f t="shared" si="12"/>
        <v>4.3609203573199444</v>
      </c>
      <c r="Z20" s="385">
        <f t="shared" si="22"/>
        <v>4.7522139216609229</v>
      </c>
      <c r="AA20" s="386">
        <f t="shared" si="13"/>
        <v>5.5181750243395618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0.13880696050780159</v>
      </c>
      <c r="AD20" s="231">
        <f>(INDEX(Models!$BJ20:$BT20,,AH20)*(1-AF20)+INDEX(Models!$BJ20:$BT20,,AH20+1)*AF20-ERP_i)*AE20*Ramure*Pc/MaxiM</f>
        <v>4.9140175642484379E-2</v>
      </c>
      <c r="AE20" s="305">
        <f t="shared" si="15"/>
        <v>0.8</v>
      </c>
      <c r="AF20" s="177">
        <f t="shared" si="23"/>
        <v>0.60025769176522425</v>
      </c>
      <c r="AG20" s="809">
        <f t="shared" si="24"/>
        <v>3</v>
      </c>
      <c r="AH20" s="176">
        <f t="shared" si="16"/>
        <v>9</v>
      </c>
      <c r="AI20" s="225">
        <f t="shared" si="17"/>
        <v>3.6002576917652243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IF(t&gt;Tmaj,'2025'!Wh/'2025'!Env_an*'2026'!Env_an,0.001*'[3]mon-tableau (2)'!$B$146)</f>
        <v>10.87924477942542</v>
      </c>
      <c r="C21" s="839"/>
      <c r="D21" s="393">
        <f t="shared" si="0"/>
        <v>11.855692174105918</v>
      </c>
      <c r="E21" s="385">
        <f t="shared" si="1"/>
        <v>12.693255763362961</v>
      </c>
      <c r="F21" s="385">
        <f t="shared" si="2"/>
        <v>12.937518586402932</v>
      </c>
      <c r="G21" s="110">
        <f t="shared" si="21"/>
        <v>0.66594026937307471</v>
      </c>
      <c r="H21" s="414" t="b">
        <f>Wh_hp&gt;='2025'!Maxi_hp</f>
        <v>0</v>
      </c>
      <c r="I21" s="390">
        <f>IF(H21,Wh_hp,'2025'!Maxi_hp)</f>
        <v>13.106878010800106</v>
      </c>
      <c r="J21" s="85">
        <f>IF(H21,An,'2025'!An_max)</f>
        <v>2023</v>
      </c>
      <c r="K21" s="197">
        <f t="shared" si="3"/>
        <v>46029</v>
      </c>
      <c r="L21" s="147">
        <f>IF(t&lt;Tvie,1-EXP((T0-t)*PertePVj)+'2025'!Pspv,1-EXP((T0-t)*PertePVj)+Pspv)</f>
        <v>8.2361061702762722E-2</v>
      </c>
      <c r="M21" s="843"/>
      <c r="N21" s="843"/>
      <c r="O21" s="48">
        <f>IF(t&lt;Tnet,'2025'!Resal+('2025'!Salim-'2025'!Resal)*(1-EXP(('2025'!Tnet-t)/('2025'!Tau_j))),Resal+(Salim-Resal)*(1-EXP((Tnet-t)/(Tau_j))))*Salcycl</f>
        <v>6.5984929703735748E-2</v>
      </c>
      <c r="P21" s="169">
        <f>(INDEX(Models!$BJ21:$BT21,,T21)*(1-R21)+INDEX(Models!$BJ21:$BT21,,T21+1)*R21-ERP_i)*Q21*Ramure*Pc/MaxiM</f>
        <v>3.5047000910042654E-2</v>
      </c>
      <c r="Q21" s="305">
        <f t="shared" si="4"/>
        <v>0.8</v>
      </c>
      <c r="R21" s="177">
        <f t="shared" si="5"/>
        <v>0.39958397133359647</v>
      </c>
      <c r="S21" s="809">
        <f t="shared" si="6"/>
        <v>2</v>
      </c>
      <c r="T21" s="176">
        <f t="shared" si="7"/>
        <v>8</v>
      </c>
      <c r="U21" s="251">
        <f t="shared" si="8"/>
        <v>2.3995839713335965</v>
      </c>
      <c r="V21" s="383">
        <f t="shared" si="9"/>
        <v>16.067473299880415</v>
      </c>
      <c r="W21" s="402">
        <f t="shared" si="10"/>
        <v>10.87924477942542</v>
      </c>
      <c r="X21" s="157">
        <f t="shared" si="11"/>
        <v>46029</v>
      </c>
      <c r="Y21" s="385">
        <f t="shared" si="12"/>
        <v>9.9514207192112298</v>
      </c>
      <c r="Z21" s="385">
        <f t="shared" si="22"/>
        <v>10.844592904565491</v>
      </c>
      <c r="AA21" s="386">
        <f t="shared" si="13"/>
        <v>12.593300202058492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0.13886012954786528</v>
      </c>
      <c r="AD21" s="231">
        <f>(INDEX(Models!$BJ21:$BT21,,AH21)*(1-AF21)+INDEX(Models!$BJ21:$BT21,,AH21+1)*AF21-ERP_i)*AE21*Ramure*Pc/MaxiM</f>
        <v>4.9388694846120282E-2</v>
      </c>
      <c r="AE21" s="305">
        <f t="shared" si="15"/>
        <v>0.8</v>
      </c>
      <c r="AF21" s="177">
        <f t="shared" si="23"/>
        <v>0.60030071849850009</v>
      </c>
      <c r="AG21" s="809">
        <f t="shared" si="24"/>
        <v>3</v>
      </c>
      <c r="AH21" s="176">
        <f t="shared" si="16"/>
        <v>9</v>
      </c>
      <c r="AI21" s="225">
        <f t="shared" si="17"/>
        <v>3.6003007184985001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IF(t&gt;Tmaj,'2025'!Wh/'2025'!Env_an*'2026'!Env_an,0.001*'[3]mon-tableau (2)'!$B$147)</f>
        <v>5.4941327779072404</v>
      </c>
      <c r="C22" s="839"/>
      <c r="D22" s="393">
        <f t="shared" si="0"/>
        <v>5.9873914997182105</v>
      </c>
      <c r="E22" s="385">
        <f t="shared" si="1"/>
        <v>6.4114567689378283</v>
      </c>
      <c r="F22" s="385">
        <f t="shared" si="2"/>
        <v>6.423981461749479</v>
      </c>
      <c r="G22" s="110">
        <f t="shared" si="21"/>
        <v>0.32760706732513462</v>
      </c>
      <c r="H22" s="414" t="b">
        <f>Wh_hp&gt;='2025'!Maxi_hp</f>
        <v>0</v>
      </c>
      <c r="I22" s="390">
        <f>IF(H22,Wh_hp,'2025'!Maxi_hp)</f>
        <v>14.204515850119641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8.2382907787837995E-2</v>
      </c>
      <c r="M22" s="843"/>
      <c r="N22" s="843"/>
      <c r="O22" s="48">
        <f>IF(t&lt;Tnet,'2025'!Resal+('2025'!Salim-'2025'!Resal)*(1-EXP(('2025'!Tnet-t)/('2025'!Tau_j))),Resal+(Salim-Resal)*(1-EXP((Tnet-t)/(Tau_j))))*Salcycl</f>
        <v>6.6141796553027696E-2</v>
      </c>
      <c r="P22" s="169">
        <f>(INDEX(Models!$BJ22:$BT22,,T22)*(1-R22)+INDEX(Models!$BJ22:$BT22,,T22+1)*R22-ERP_i)*Q22*Ramure*Pc/MaxiM</f>
        <v>3.5113746565319987E-2</v>
      </c>
      <c r="Q22" s="305">
        <f t="shared" si="4"/>
        <v>0.8</v>
      </c>
      <c r="R22" s="177">
        <f t="shared" si="5"/>
        <v>0.3996287965607932</v>
      </c>
      <c r="S22" s="809">
        <f t="shared" si="6"/>
        <v>2</v>
      </c>
      <c r="T22" s="176">
        <f t="shared" si="7"/>
        <v>8</v>
      </c>
      <c r="U22" s="251">
        <f t="shared" si="8"/>
        <v>2.3996287965607932</v>
      </c>
      <c r="V22" s="383">
        <f t="shared" si="9"/>
        <v>16.213230937097983</v>
      </c>
      <c r="W22" s="402">
        <f t="shared" si="10"/>
        <v>5.4941327779072404</v>
      </c>
      <c r="X22" s="157">
        <f t="shared" si="11"/>
        <v>46030</v>
      </c>
      <c r="Y22" s="385">
        <f t="shared" si="12"/>
        <v>5.0619020816941847</v>
      </c>
      <c r="Z22" s="385">
        <f t="shared" si="22"/>
        <v>5.5163554871140343</v>
      </c>
      <c r="AA22" s="386">
        <f t="shared" si="13"/>
        <v>6.4062726358973894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0.13891340555766021</v>
      </c>
      <c r="AD22" s="231">
        <f>(INDEX(Models!$BJ22:$BT22,,AH22)*(1-AF22)+INDEX(Models!$BJ22:$BT22,,AH22+1)*AF22-ERP_i)*AE22*Ramure*Pc/MaxiM</f>
        <v>4.9647782368062353E-2</v>
      </c>
      <c r="AE22" s="305">
        <f t="shared" si="15"/>
        <v>0.8</v>
      </c>
      <c r="AF22" s="177">
        <f t="shared" si="23"/>
        <v>0.60034554372569682</v>
      </c>
      <c r="AG22" s="809">
        <f t="shared" si="24"/>
        <v>3</v>
      </c>
      <c r="AH22" s="176">
        <f t="shared" si="16"/>
        <v>9</v>
      </c>
      <c r="AI22" s="225">
        <f t="shared" si="17"/>
        <v>3.6003455437256968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IF(t&gt;Tmaj,'2025'!Wh/'2025'!Env_an*'2026'!Env_an,0.001*'[3]mon-tableau (2)'!$B$148)</f>
        <v>6.8369729440386156</v>
      </c>
      <c r="C23" s="839"/>
      <c r="D23" s="393">
        <f t="shared" si="0"/>
        <v>7.450968135577825</v>
      </c>
      <c r="E23" s="385">
        <f t="shared" si="1"/>
        <v>7.9800324579255459</v>
      </c>
      <c r="F23" s="385">
        <f t="shared" si="2"/>
        <v>8.0275242548641845</v>
      </c>
      <c r="G23" s="110">
        <f t="shared" si="21"/>
        <v>0.40542555577720191</v>
      </c>
      <c r="H23" s="414" t="b">
        <f>Wh_hp&gt;='2025'!Maxi_hp</f>
        <v>0</v>
      </c>
      <c r="I23" s="390">
        <f>IF(H23,Wh_hp,'2025'!Maxi_hp)</f>
        <v>18.029266819342844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8.2404753364522937E-2</v>
      </c>
      <c r="M23" s="843"/>
      <c r="N23" s="843"/>
      <c r="O23" s="48">
        <f>IF(t&lt;Tnet,'2025'!Resal+('2025'!Salim-'2025'!Resal)*(1-EXP(('2025'!Tnet-t)/('2025'!Tau_j))),Resal+(Salim-Resal)*(1-EXP((Tnet-t)/(Tau_j))))*Salcycl</f>
        <v>6.6298517598417608E-2</v>
      </c>
      <c r="P23" s="169">
        <f>(INDEX(Models!$BJ23:$BT23,,T23)*(1-R23)+INDEX(Models!$BJ23:$BT23,,T23+1)*R23-ERP_i)*Q23*Ramure*Pc/MaxiM</f>
        <v>3.5178547861549038E-2</v>
      </c>
      <c r="Q23" s="305">
        <f t="shared" si="4"/>
        <v>0.8</v>
      </c>
      <c r="R23" s="177">
        <f t="shared" si="5"/>
        <v>0.39967549517163503</v>
      </c>
      <c r="S23" s="809">
        <f t="shared" si="6"/>
        <v>2</v>
      </c>
      <c r="T23" s="176">
        <f t="shared" si="7"/>
        <v>8</v>
      </c>
      <c r="U23" s="251">
        <f t="shared" si="8"/>
        <v>2.399675495171635</v>
      </c>
      <c r="V23" s="383">
        <f t="shared" si="9"/>
        <v>16.367285586583247</v>
      </c>
      <c r="W23" s="402">
        <f t="shared" si="10"/>
        <v>6.8369729440386156</v>
      </c>
      <c r="X23" s="157">
        <f t="shared" si="11"/>
        <v>46031</v>
      </c>
      <c r="Y23" s="385">
        <f t="shared" si="12"/>
        <v>6.2891467541822772</v>
      </c>
      <c r="Z23" s="385">
        <f t="shared" si="22"/>
        <v>6.8539443477312352</v>
      </c>
      <c r="AA23" s="386">
        <f t="shared" si="13"/>
        <v>7.9601392306771102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0.13896677569190949</v>
      </c>
      <c r="AD23" s="231">
        <f>(INDEX(Models!$BJ23:$BT23,,AH23)*(1-AF23)+INDEX(Models!$BJ23:$BT23,,AH23+1)*AF23-ERP_i)*AE23*Ramure*Pc/MaxiM</f>
        <v>4.991403676680034E-2</v>
      </c>
      <c r="AE23" s="305">
        <f t="shared" si="15"/>
        <v>0.8</v>
      </c>
      <c r="AF23" s="177">
        <f t="shared" si="23"/>
        <v>0.60039224233653865</v>
      </c>
      <c r="AG23" s="809">
        <f t="shared" si="24"/>
        <v>3</v>
      </c>
      <c r="AH23" s="176">
        <f t="shared" si="16"/>
        <v>9</v>
      </c>
      <c r="AI23" s="225">
        <f t="shared" si="17"/>
        <v>3.6003922423365387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IF(t&gt;Tmaj,'2025'!Wh/'2025'!Env_an*'2026'!Env_an,0.001*'[3]mon-tableau (2)'!$B$149)</f>
        <v>14.741057985619092</v>
      </c>
      <c r="C24" s="839"/>
      <c r="D24" s="393">
        <f t="shared" si="0"/>
        <v>16.06526296473076</v>
      </c>
      <c r="E24" s="385">
        <f t="shared" si="1"/>
        <v>17.208880660796538</v>
      </c>
      <c r="F24" s="385">
        <f t="shared" si="2"/>
        <v>17.73704560303625</v>
      </c>
      <c r="G24" s="110">
        <f t="shared" si="21"/>
        <v>0.88676046714850065</v>
      </c>
      <c r="H24" s="414" t="b">
        <f>Wh_hp&gt;='2025'!Maxi_hp</f>
        <v>0</v>
      </c>
      <c r="I24" s="390">
        <f>IF(H24,Wh_hp,'2025'!Maxi_hp)</f>
        <v>17.81595985452303</v>
      </c>
      <c r="J24" s="85">
        <f>IF(H24,An,'2025'!An_max)</f>
        <v>2023</v>
      </c>
      <c r="K24" s="197">
        <f t="shared" si="3"/>
        <v>46032</v>
      </c>
      <c r="L24" s="147">
        <f>IF(t&lt;Tvie,1-EXP((T0-t)*PertePVj)+'2025'!Pspv,1-EXP((T0-t)*PertePVj)+Pspv)</f>
        <v>8.2426598432829429E-2</v>
      </c>
      <c r="M24" s="843"/>
      <c r="N24" s="843"/>
      <c r="O24" s="48">
        <f>IF(t&lt;Tnet,'2025'!Resal+('2025'!Salim-'2025'!Resal)*(1-EXP(('2025'!Tnet-t)/('2025'!Tau_j))),Resal+(Salim-Resal)*(1-EXP((Tnet-t)/(Tau_j))))*Salcycl</f>
        <v>6.6455089009423388E-2</v>
      </c>
      <c r="P24" s="169">
        <f>(INDEX(Models!$BJ24:$BT24,,T24)*(1-R24)+INDEX(Models!$BJ24:$BT24,,T24+1)*R24-ERP_i)*Q24*Ramure*Pc/MaxiM</f>
        <v>3.5223788703125772E-2</v>
      </c>
      <c r="Q24" s="305">
        <f t="shared" si="4"/>
        <v>0.8</v>
      </c>
      <c r="R24" s="177">
        <f t="shared" si="5"/>
        <v>0.39972414514979882</v>
      </c>
      <c r="S24" s="809">
        <f t="shared" si="6"/>
        <v>2</v>
      </c>
      <c r="T24" s="176">
        <f t="shared" si="7"/>
        <v>8</v>
      </c>
      <c r="U24" s="251">
        <f t="shared" si="8"/>
        <v>2.3997241451497988</v>
      </c>
      <c r="V24" s="383">
        <f t="shared" si="9"/>
        <v>16.530179791231618</v>
      </c>
      <c r="W24" s="402">
        <f t="shared" si="10"/>
        <v>14.741057985619092</v>
      </c>
      <c r="X24" s="157">
        <f t="shared" si="11"/>
        <v>46032</v>
      </c>
      <c r="Y24" s="385">
        <f t="shared" si="12"/>
        <v>13.418003012848009</v>
      </c>
      <c r="Z24" s="385">
        <f t="shared" si="22"/>
        <v>14.623356551018933</v>
      </c>
      <c r="AA24" s="386">
        <f t="shared" si="13"/>
        <v>16.984553024379622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0.13902023032171801</v>
      </c>
      <c r="AD24" s="231">
        <f>(INDEX(Models!$BJ24:$BT24,,AH24)*(1-AF24)+INDEX(Models!$BJ24:$BT24,,AH24+1)*AF24-ERP_i)*AE24*Ramure*Pc/MaxiM</f>
        <v>5.0184397849037027E-2</v>
      </c>
      <c r="AE24" s="305">
        <f t="shared" si="15"/>
        <v>0.8</v>
      </c>
      <c r="AF24" s="177">
        <f t="shared" si="23"/>
        <v>0.60044089231470243</v>
      </c>
      <c r="AG24" s="809">
        <f t="shared" si="24"/>
        <v>3</v>
      </c>
      <c r="AH24" s="176">
        <f t="shared" si="16"/>
        <v>9</v>
      </c>
      <c r="AI24" s="225">
        <f t="shared" si="17"/>
        <v>3.6004408923147024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IF(t&gt;Tmaj,'2025'!Wh/'2025'!Env_an*'2026'!Env_an,0.001*'[3]mon-tableau (2)'!$B$150)</f>
        <v>4.1057066198138106</v>
      </c>
      <c r="C25" s="839"/>
      <c r="D25" s="393">
        <f t="shared" si="0"/>
        <v>4.4746331565338462</v>
      </c>
      <c r="E25" s="385">
        <f t="shared" si="1"/>
        <v>4.7939664957222297</v>
      </c>
      <c r="F25" s="385">
        <f t="shared" si="2"/>
        <v>4.7939664957222297</v>
      </c>
      <c r="G25" s="110">
        <f t="shared" si="21"/>
        <v>0.23716614290560833</v>
      </c>
      <c r="H25" s="414" t="b">
        <f>Wh_hp&gt;='2025'!Maxi_hp</f>
        <v>0</v>
      </c>
      <c r="I25" s="390">
        <f>IF(H25,Wh_hp,'2025'!Maxi_hp)</f>
        <v>20.883768698219409</v>
      </c>
      <c r="J25" s="85">
        <f>IF(H25,An,'2025'!An_max)</f>
        <v>2022</v>
      </c>
      <c r="K25" s="197">
        <f t="shared" si="3"/>
        <v>46033</v>
      </c>
      <c r="L25" s="147">
        <f>IF(t&lt;Tvie,1-EXP((T0-t)*PertePVj)+'2025'!Pspv,1-EXP((T0-t)*PertePVj)+Pspv)</f>
        <v>8.2448442992769239E-2</v>
      </c>
      <c r="M25" s="843"/>
      <c r="N25" s="843"/>
      <c r="O25" s="48">
        <f>IF(t&lt;Tnet,'2025'!Resal+('2025'!Salim-'2025'!Resal)*(1-EXP(('2025'!Tnet-t)/('2025'!Tau_j))),Resal+(Salim-Resal)*(1-EXP((Tnet-t)/(Tau_j))))*Salcycl</f>
        <v>6.6611508335181716E-2</v>
      </c>
      <c r="P25" s="169">
        <f>(INDEX(Models!$BJ25:$BT25,,T25)*(1-R25)+INDEX(Models!$BJ25:$BT25,,T25+1)*R25-ERP_i)*Q25*Ramure*Pc/MaxiM</f>
        <v>3.5238697556436348E-2</v>
      </c>
      <c r="Q25" s="305">
        <f t="shared" si="4"/>
        <v>0.8</v>
      </c>
      <c r="R25" s="177">
        <f t="shared" si="5"/>
        <v>0.39977482769863792</v>
      </c>
      <c r="S25" s="809">
        <f t="shared" si="6"/>
        <v>2</v>
      </c>
      <c r="T25" s="176">
        <f t="shared" si="7"/>
        <v>8</v>
      </c>
      <c r="U25" s="251">
        <f t="shared" si="8"/>
        <v>2.3997748276986379</v>
      </c>
      <c r="V25" s="383">
        <f t="shared" si="9"/>
        <v>16.701485369938382</v>
      </c>
      <c r="W25" s="402">
        <f t="shared" si="10"/>
        <v>4.1057066198138106</v>
      </c>
      <c r="X25" s="157">
        <f t="shared" si="11"/>
        <v>46033</v>
      </c>
      <c r="Y25" s="385">
        <f t="shared" si="12"/>
        <v>3.786966073492505</v>
      </c>
      <c r="Z25" s="385">
        <f t="shared" si="22"/>
        <v>4.1272515365179219</v>
      </c>
      <c r="AA25" s="386">
        <f t="shared" si="13"/>
        <v>4.7939664957222297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0.13907376278061881</v>
      </c>
      <c r="AD25" s="231">
        <f>(INDEX(Models!$BJ25:$BT25,,AH25)*(1-AF25)+INDEX(Models!$BJ25:$BT25,,AH25+1)*AF25-ERP_i)*AE25*Ramure*Pc/MaxiM</f>
        <v>5.043855883110903E-2</v>
      </c>
      <c r="AE25" s="305">
        <f t="shared" si="15"/>
        <v>0.8</v>
      </c>
      <c r="AF25" s="177">
        <f t="shared" si="23"/>
        <v>0.60049157486354154</v>
      </c>
      <c r="AG25" s="809">
        <f t="shared" si="24"/>
        <v>3</v>
      </c>
      <c r="AH25" s="176">
        <f t="shared" si="16"/>
        <v>9</v>
      </c>
      <c r="AI25" s="225">
        <f t="shared" si="17"/>
        <v>3.6004915748635415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IF(t&gt;Tmaj,'2025'!Wh/'2025'!Env_an*'2026'!Env_an,0.001*'[3]mon-tableau (2)'!$B$151)</f>
        <v>14.229970713840954</v>
      </c>
      <c r="C26" s="839"/>
      <c r="D26" s="393">
        <f t="shared" si="0"/>
        <v>15.509002610936529</v>
      </c>
      <c r="E26" s="385">
        <f t="shared" si="1"/>
        <v>16.618588798495708</v>
      </c>
      <c r="F26" s="385">
        <f t="shared" si="2"/>
        <v>17.085427974260206</v>
      </c>
      <c r="G26" s="110">
        <f t="shared" si="21"/>
        <v>0.83613189312985281</v>
      </c>
      <c r="H26" s="414" t="b">
        <f>Wh_hp&gt;='2025'!Maxi_hp</f>
        <v>0</v>
      </c>
      <c r="I26" s="390">
        <f>IF(H26,Wh_hp,'2025'!Maxi_hp)</f>
        <v>19.450333694535168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8.2470287044354246E-2</v>
      </c>
      <c r="M26" s="843"/>
      <c r="N26" s="843"/>
      <c r="O26" s="48">
        <f>IF(t&lt;Tnet,'2025'!Resal+('2025'!Salim-'2025'!Resal)*(1-EXP(('2025'!Tnet-t)/('2025'!Tau_j))),Resal+(Salim-Resal)*(1-EXP((Tnet-t)/(Tau_j))))*Salcycl</f>
        <v>6.6767774388858836E-2</v>
      </c>
      <c r="P26" s="169">
        <f>(INDEX(Models!$BJ26:$BT26,,T26)*(1-R26)+INDEX(Models!$BJ26:$BT26,,T26+1)*R26-ERP_i)*Q26*Ramure*Pc/MaxiM</f>
        <v>3.5225384831024553E-2</v>
      </c>
      <c r="Q26" s="305">
        <f t="shared" si="4"/>
        <v>0.8</v>
      </c>
      <c r="R26" s="177">
        <f t="shared" si="5"/>
        <v>0.39982762737184308</v>
      </c>
      <c r="S26" s="809">
        <f t="shared" si="6"/>
        <v>2</v>
      </c>
      <c r="T26" s="176">
        <f t="shared" si="7"/>
        <v>8</v>
      </c>
      <c r="U26" s="251">
        <f t="shared" si="8"/>
        <v>2.3998276273718431</v>
      </c>
      <c r="V26" s="383">
        <f t="shared" si="9"/>
        <v>16.880558247003222</v>
      </c>
      <c r="W26" s="402">
        <f t="shared" si="10"/>
        <v>14.229970713840954</v>
      </c>
      <c r="X26" s="157">
        <f t="shared" si="11"/>
        <v>46034</v>
      </c>
      <c r="Y26" s="385">
        <f t="shared" si="12"/>
        <v>12.964863500825777</v>
      </c>
      <c r="Z26" s="385">
        <f t="shared" si="22"/>
        <v>14.130183816131641</v>
      </c>
      <c r="AA26" s="386">
        <f t="shared" si="13"/>
        <v>16.413791435401532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0.13912736909429527</v>
      </c>
      <c r="AD26" s="231">
        <f>(INDEX(Models!$BJ26:$BT26,,AH26)*(1-AF26)+INDEX(Models!$BJ26:$BT26,,AH26+1)*AF26-ERP_i)*AE26*Ramure*Pc/MaxiM</f>
        <v>5.0678385140087476E-2</v>
      </c>
      <c r="AE26" s="305">
        <f t="shared" si="15"/>
        <v>0.8</v>
      </c>
      <c r="AF26" s="177">
        <f t="shared" si="23"/>
        <v>0.60054437453674669</v>
      </c>
      <c r="AG26" s="809">
        <f t="shared" si="24"/>
        <v>3</v>
      </c>
      <c r="AH26" s="176">
        <f t="shared" si="16"/>
        <v>9</v>
      </c>
      <c r="AI26" s="225">
        <f t="shared" si="17"/>
        <v>3.6005443745367467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IF(t&gt;Tmaj,'2025'!Wh/'2025'!Env_an*'2026'!Env_an,0.001*'[3]mon-tableau (2)'!$B$152)</f>
        <v>9.7649116204268438</v>
      </c>
      <c r="C27" s="839"/>
      <c r="D27" s="393">
        <f t="shared" si="0"/>
        <v>10.642864160588129</v>
      </c>
      <c r="E27" s="385">
        <f t="shared" si="1"/>
        <v>11.406212219693344</v>
      </c>
      <c r="F27" s="385">
        <f t="shared" si="2"/>
        <v>11.564416786334833</v>
      </c>
      <c r="G27" s="110">
        <f t="shared" si="21"/>
        <v>0.55968449559299771</v>
      </c>
      <c r="H27" s="414" t="b">
        <f>Wh_hp&gt;='2025'!Maxi_hp</f>
        <v>0</v>
      </c>
      <c r="I27" s="390">
        <f>IF(H27,Wh_hp,'2025'!Maxi_hp)</f>
        <v>13.955743056810109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8.249213058759633E-2</v>
      </c>
      <c r="M27" s="843"/>
      <c r="N27" s="843"/>
      <c r="O27" s="48">
        <f>IF(t&lt;Tnet,'2025'!Resal+('2025'!Salim-'2025'!Resal)*(1-EXP(('2025'!Tnet-t)/('2025'!Tau_j))),Resal+(Salim-Resal)*(1-EXP((Tnet-t)/(Tau_j))))*Salcycl</f>
        <v>6.692388712418125E-2</v>
      </c>
      <c r="P27" s="169">
        <f>(INDEX(Models!$BJ27:$BT27,,T27)*(1-R27)+INDEX(Models!$BJ27:$BT27,,T27+1)*R27-ERP_i)*Q27*Ramure*Pc/MaxiM</f>
        <v>3.51859501707932E-2</v>
      </c>
      <c r="Q27" s="305">
        <f t="shared" si="4"/>
        <v>0.8</v>
      </c>
      <c r="R27" s="177">
        <f t="shared" si="5"/>
        <v>0.39988263220920617</v>
      </c>
      <c r="S27" s="809">
        <f t="shared" si="6"/>
        <v>2</v>
      </c>
      <c r="T27" s="176">
        <f t="shared" si="7"/>
        <v>8</v>
      </c>
      <c r="U27" s="251">
        <f t="shared" si="8"/>
        <v>2.3998826322092062</v>
      </c>
      <c r="V27" s="383">
        <f t="shared" si="9"/>
        <v>17.066754748082918</v>
      </c>
      <c r="W27" s="402">
        <f t="shared" si="10"/>
        <v>9.7649116204268438</v>
      </c>
      <c r="X27" s="157">
        <f t="shared" si="11"/>
        <v>46035</v>
      </c>
      <c r="Y27" s="385">
        <f t="shared" si="12"/>
        <v>8.9528958853945468</v>
      </c>
      <c r="Z27" s="385">
        <f t="shared" si="22"/>
        <v>9.7578409775691828</v>
      </c>
      <c r="AA27" s="386">
        <f t="shared" si="13"/>
        <v>11.335532229473449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0.13918104769726841</v>
      </c>
      <c r="AD27" s="231">
        <f>(INDEX(Models!$BJ27:$BT27,,AH27)*(1-AF27)+INDEX(Models!$BJ27:$BT27,,AH27+1)*AF27-ERP_i)*AE27*Ramure*Pc/MaxiM</f>
        <v>5.0905740482441258E-2</v>
      </c>
      <c r="AE27" s="305">
        <f t="shared" si="15"/>
        <v>0.8</v>
      </c>
      <c r="AF27" s="177">
        <f t="shared" si="23"/>
        <v>0.60059937937410979</v>
      </c>
      <c r="AG27" s="809">
        <f t="shared" si="24"/>
        <v>3</v>
      </c>
      <c r="AH27" s="176">
        <f t="shared" si="16"/>
        <v>9</v>
      </c>
      <c r="AI27" s="225">
        <f t="shared" si="17"/>
        <v>3.6005993793741098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IF(t&gt;Tmaj,'2025'!Wh/'2025'!Env_an*'2026'!Env_an,0.001*'[3]mon-tableau (2)'!$B$153)</f>
        <v>12.360959776466359</v>
      </c>
      <c r="C28" s="839"/>
      <c r="D28" s="393">
        <f t="shared" si="0"/>
        <v>13.472640913421969</v>
      </c>
      <c r="E28" s="385">
        <f t="shared" si="1"/>
        <v>14.44136550957734</v>
      </c>
      <c r="F28" s="385">
        <f t="shared" si="2"/>
        <v>14.749363205436206</v>
      </c>
      <c r="G28" s="110">
        <f t="shared" si="21"/>
        <v>0.70576953763707639</v>
      </c>
      <c r="H28" s="414" t="b">
        <f>Wh_hp&gt;='2025'!Maxi_hp</f>
        <v>0</v>
      </c>
      <c r="I28" s="390">
        <f>IF(H28,Wh_hp,'2025'!Maxi_hp)</f>
        <v>21.54879733993512</v>
      </c>
      <c r="J28" s="85">
        <f>IF(H28,An,'2025'!An_max)</f>
        <v>2022</v>
      </c>
      <c r="K28" s="197">
        <f t="shared" si="3"/>
        <v>46036</v>
      </c>
      <c r="L28" s="147">
        <f>IF(t&lt;Tvie,1-EXP((T0-t)*PertePVj)+'2025'!Pspv,1-EXP((T0-t)*PertePVj)+Pspv)</f>
        <v>8.2513973622507147E-2</v>
      </c>
      <c r="M28" s="843"/>
      <c r="N28" s="843"/>
      <c r="O28" s="48">
        <f>IF(t&lt;Tnet,'2025'!Resal+('2025'!Salim-'2025'!Resal)*(1-EXP(('2025'!Tnet-t)/('2025'!Tau_j))),Resal+(Salim-Resal)*(1-EXP((Tnet-t)/(Tau_j))))*Salcycl</f>
        <v>6.7079847505620085E-2</v>
      </c>
      <c r="P28" s="169">
        <f>(INDEX(Models!$BJ28:$BT28,,T28)*(1-R28)+INDEX(Models!$BJ28:$BT28,,T28+1)*R28-ERP_i)*Q28*Ramure*Pc/MaxiM</f>
        <v>3.5122464497105314E-2</v>
      </c>
      <c r="Q28" s="305">
        <f t="shared" si="4"/>
        <v>0.8</v>
      </c>
      <c r="R28" s="177">
        <f t="shared" si="5"/>
        <v>0.39993993387767368</v>
      </c>
      <c r="S28" s="809">
        <f t="shared" si="6"/>
        <v>2</v>
      </c>
      <c r="T28" s="176">
        <f t="shared" si="7"/>
        <v>8</v>
      </c>
      <c r="U28" s="251">
        <f t="shared" si="8"/>
        <v>2.3999399338776737</v>
      </c>
      <c r="V28" s="383">
        <f t="shared" si="9"/>
        <v>17.259431602351764</v>
      </c>
      <c r="W28" s="402">
        <f t="shared" si="10"/>
        <v>12.360959776466359</v>
      </c>
      <c r="X28" s="157">
        <f t="shared" si="11"/>
        <v>46036</v>
      </c>
      <c r="Y28" s="385">
        <f t="shared" si="12"/>
        <v>11.294117711477677</v>
      </c>
      <c r="Z28" s="385">
        <f t="shared" si="22"/>
        <v>12.309852560992351</v>
      </c>
      <c r="AA28" s="386">
        <f t="shared" si="13"/>
        <v>14.301057418087748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0.13923479913988407</v>
      </c>
      <c r="AD28" s="231">
        <f>(INDEX(Models!$BJ28:$BT28,,AH28)*(1-AF28)+INDEX(Models!$BJ28:$BT28,,AH28+1)*AF28-ERP_i)*AE28*Ramure*Pc/MaxiM</f>
        <v>5.1122473679829805E-2</v>
      </c>
      <c r="AE28" s="305">
        <f t="shared" si="15"/>
        <v>0.8</v>
      </c>
      <c r="AF28" s="177">
        <f t="shared" si="23"/>
        <v>0.6006566810425773</v>
      </c>
      <c r="AG28" s="809">
        <f t="shared" si="24"/>
        <v>3</v>
      </c>
      <c r="AH28" s="176">
        <f t="shared" si="16"/>
        <v>9</v>
      </c>
      <c r="AI28" s="225">
        <f t="shared" si="17"/>
        <v>3.6006566810425773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IF(t&gt;Tmaj,'2025'!Wh/'2025'!Env_an*'2026'!Env_an,0.001*'[3]mon-tableau (2)'!$B$154)</f>
        <v>6.3873854500415082</v>
      </c>
      <c r="C29" s="839"/>
      <c r="D29" s="393">
        <f t="shared" si="0"/>
        <v>6.9619997842657293</v>
      </c>
      <c r="E29" s="385">
        <f t="shared" si="1"/>
        <v>7.4638356829380648</v>
      </c>
      <c r="F29" s="385">
        <f t="shared" si="2"/>
        <v>7.4885261888043768</v>
      </c>
      <c r="G29" s="110">
        <f t="shared" si="21"/>
        <v>0.35422152196920814</v>
      </c>
      <c r="H29" s="414" t="b">
        <f>Wh_hp&gt;='2025'!Maxi_hp</f>
        <v>0</v>
      </c>
      <c r="I29" s="390">
        <f>IF(H29,Wh_hp,'2025'!Maxi_hp)</f>
        <v>20.889632657989388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8.253581614909869E-2</v>
      </c>
      <c r="M29" s="843"/>
      <c r="N29" s="843"/>
      <c r="O29" s="48">
        <f>IF(t&lt;Tnet,'2025'!Resal+('2025'!Salim-'2025'!Resal)*(1-EXP(('2025'!Tnet-t)/('2025'!Tau_j))),Resal+(Salim-Resal)*(1-EXP((Tnet-t)/(Tau_j))))*Salcycl</f>
        <v>6.7235657373795873E-2</v>
      </c>
      <c r="P29" s="169">
        <f>(INDEX(Models!$BJ29:$BT29,,T29)*(1-R29)+INDEX(Models!$BJ29:$BT29,,T29+1)*R29-ERP_i)*Q29*Ramure*Pc/MaxiM</f>
        <v>3.5036954693177247E-2</v>
      </c>
      <c r="Q29" s="305">
        <f t="shared" si="4"/>
        <v>0.8</v>
      </c>
      <c r="R29" s="177">
        <f t="shared" si="5"/>
        <v>0.39999962781788012</v>
      </c>
      <c r="S29" s="809">
        <f t="shared" si="6"/>
        <v>2</v>
      </c>
      <c r="T29" s="176">
        <f t="shared" si="7"/>
        <v>8</v>
      </c>
      <c r="U29" s="251">
        <f t="shared" si="8"/>
        <v>2.3999996278178801</v>
      </c>
      <c r="V29" s="383">
        <f t="shared" si="9"/>
        <v>17.457945957876721</v>
      </c>
      <c r="W29" s="402">
        <f t="shared" si="10"/>
        <v>6.3873854500415082</v>
      </c>
      <c r="X29" s="157">
        <f t="shared" si="11"/>
        <v>46037</v>
      </c>
      <c r="Y29" s="385">
        <f t="shared" si="12"/>
        <v>5.8849139990119879</v>
      </c>
      <c r="Z29" s="385">
        <f t="shared" si="22"/>
        <v>6.4143255972250088</v>
      </c>
      <c r="AA29" s="386">
        <f t="shared" si="13"/>
        <v>7.452353703475266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0.13928862578894935</v>
      </c>
      <c r="AD29" s="231">
        <f>(INDEX(Models!$BJ29:$BT29,,AH29)*(1-AF29)+INDEX(Models!$BJ29:$BT29,,AH29+1)*AF29-ERP_i)*AE29*Ramure*Pc/MaxiM</f>
        <v>5.1330407585729397E-2</v>
      </c>
      <c r="AE29" s="305">
        <f t="shared" si="15"/>
        <v>0.8</v>
      </c>
      <c r="AF29" s="177">
        <f t="shared" si="23"/>
        <v>0.60071637498278374</v>
      </c>
      <c r="AG29" s="809">
        <f t="shared" si="24"/>
        <v>3</v>
      </c>
      <c r="AH29" s="176">
        <f t="shared" si="16"/>
        <v>9</v>
      </c>
      <c r="AI29" s="225">
        <f t="shared" si="17"/>
        <v>3.6007163749827837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IF(t&gt;Tmaj,'2025'!Wh/'2025'!Env_an*'2026'!Env_an,0.001*'[3]mon-tableau (2)'!$B$155)</f>
        <v>3.4226155311067097</v>
      </c>
      <c r="C30" s="839"/>
      <c r="D30" s="393">
        <f t="shared" si="0"/>
        <v>3.7306055923579211</v>
      </c>
      <c r="E30" s="385">
        <f t="shared" si="1"/>
        <v>4.0001832168112994</v>
      </c>
      <c r="F30" s="385">
        <f t="shared" si="2"/>
        <v>4.0001832168112994</v>
      </c>
      <c r="G30" s="110">
        <f t="shared" si="21"/>
        <v>0.18701864236608068</v>
      </c>
      <c r="H30" s="414" t="b">
        <f>Wh_hp&gt;='2025'!Maxi_hp</f>
        <v>0</v>
      </c>
      <c r="I30" s="390">
        <f>IF(H30,Wh_hp,'2025'!Maxi_hp)</f>
        <v>20.57239192220748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8.2557658167382725E-2</v>
      </c>
      <c r="M30" s="843"/>
      <c r="N30" s="843"/>
      <c r="O30" s="48">
        <f>IF(t&lt;Tnet,'2025'!Resal+('2025'!Salim-'2025'!Resal)*(1-EXP(('2025'!Tnet-t)/('2025'!Tau_j))),Resal+(Salim-Resal)*(1-EXP((Tnet-t)/(Tau_j))))*Salcycl</f>
        <v>6.7391319307686326E-2</v>
      </c>
      <c r="P30" s="169">
        <f>(INDEX(Models!$BJ30:$BT30,,T30)*(1-R30)+INDEX(Models!$BJ30:$BT30,,T30+1)*R30-ERP_i)*Q30*Ramure*Pc/MaxiM</f>
        <v>3.4913731103654866E-2</v>
      </c>
      <c r="Q30" s="305">
        <f t="shared" si="4"/>
        <v>0.8</v>
      </c>
      <c r="R30" s="177">
        <f t="shared" si="5"/>
        <v>0.40006181339635249</v>
      </c>
      <c r="S30" s="809">
        <f t="shared" si="6"/>
        <v>2</v>
      </c>
      <c r="T30" s="176">
        <f t="shared" si="7"/>
        <v>8</v>
      </c>
      <c r="U30" s="251">
        <f t="shared" si="8"/>
        <v>2.4000618133963525</v>
      </c>
      <c r="V30" s="383">
        <f t="shared" si="9"/>
        <v>17.661978565306597</v>
      </c>
      <c r="W30" s="402">
        <f t="shared" si="10"/>
        <v>3.4226155311067097</v>
      </c>
      <c r="X30" s="157">
        <f t="shared" si="11"/>
        <v>46038</v>
      </c>
      <c r="Y30" s="385">
        <f t="shared" si="12"/>
        <v>3.1585590822268648</v>
      </c>
      <c r="Z30" s="385">
        <f t="shared" si="22"/>
        <v>3.4427875608155958</v>
      </c>
      <c r="AA30" s="386">
        <f t="shared" si="13"/>
        <v>4.0001832168112994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0.13934253152534987</v>
      </c>
      <c r="AD30" s="231">
        <f>(INDEX(Models!$BJ30:$BT30,,AH30)*(1-AF30)+INDEX(Models!$BJ30:$BT30,,AH30+1)*AF30-ERP_i)*AE30*Ramure*Pc/MaxiM</f>
        <v>5.1518339383736081E-2</v>
      </c>
      <c r="AE30" s="305">
        <f t="shared" si="15"/>
        <v>0.8</v>
      </c>
      <c r="AF30" s="177">
        <f t="shared" si="23"/>
        <v>0.60077856056125611</v>
      </c>
      <c r="AG30" s="809">
        <f t="shared" si="24"/>
        <v>3</v>
      </c>
      <c r="AH30" s="176">
        <f t="shared" si="16"/>
        <v>9</v>
      </c>
      <c r="AI30" s="225">
        <f t="shared" si="17"/>
        <v>3.6007785605612561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IF(t&gt;Tmaj,'2025'!Wh/'2025'!Env_an*'2026'!Env_an,0.001*'[3]mon-tableau (2)'!$B$156)</f>
        <v>5.5668188520720818</v>
      </c>
      <c r="C31" s="839"/>
      <c r="D31" s="393">
        <f t="shared" si="0"/>
        <v>6.0679032680372851</v>
      </c>
      <c r="E31" s="385">
        <f t="shared" si="1"/>
        <v>6.5074617208278696</v>
      </c>
      <c r="F31" s="385">
        <f t="shared" si="2"/>
        <v>6.5111793631472654</v>
      </c>
      <c r="G31" s="110">
        <f t="shared" si="21"/>
        <v>0.3008475156417591</v>
      </c>
      <c r="H31" s="414" t="b">
        <f>Wh_hp&gt;='2025'!Maxi_hp</f>
        <v>0</v>
      </c>
      <c r="I31" s="390">
        <f>IF(H31,Wh_hp,'2025'!Maxi_hp)</f>
        <v>13.681968685413491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8.2579499677371021E-2</v>
      </c>
      <c r="M31" s="843"/>
      <c r="N31" s="843"/>
      <c r="O31" s="48">
        <f>IF(t&lt;Tnet,'2025'!Resal+('2025'!Salim-'2025'!Resal)*(1-EXP(('2025'!Tnet-t)/('2025'!Tau_j))),Resal+(Salim-Resal)*(1-EXP((Tnet-t)/(Tau_j))))*Salcycl</f>
        <v>6.7546836485219378E-2</v>
      </c>
      <c r="P31" s="169">
        <f>(INDEX(Models!$BJ31:$BT31,,T31)*(1-R31)+INDEX(Models!$BJ31:$BT31,,T31+1)*R31-ERP_i)*Q31*Ramure*Pc/MaxiM</f>
        <v>3.4751577676337707E-2</v>
      </c>
      <c r="Q31" s="305">
        <f t="shared" si="4"/>
        <v>0.8</v>
      </c>
      <c r="R31" s="177">
        <f t="shared" si="5"/>
        <v>0.4001265940635772</v>
      </c>
      <c r="S31" s="809">
        <f t="shared" si="6"/>
        <v>2</v>
      </c>
      <c r="T31" s="176">
        <f t="shared" si="7"/>
        <v>8</v>
      </c>
      <c r="U31" s="251">
        <f t="shared" si="8"/>
        <v>2.4001265940635772</v>
      </c>
      <c r="V31" s="383">
        <f t="shared" si="9"/>
        <v>17.870956477530179</v>
      </c>
      <c r="W31" s="402">
        <f t="shared" si="10"/>
        <v>5.5668188520720818</v>
      </c>
      <c r="X31" s="157">
        <f t="shared" si="11"/>
        <v>46039</v>
      </c>
      <c r="Y31" s="385">
        <f t="shared" si="12"/>
        <v>5.1364411884622712</v>
      </c>
      <c r="Z31" s="385">
        <f t="shared" si="22"/>
        <v>5.5987861473075222</v>
      </c>
      <c r="AA31" s="386">
        <f t="shared" si="13"/>
        <v>6.5056513095766144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0.13939652144192627</v>
      </c>
      <c r="AD31" s="231">
        <f>(INDEX(Models!$BJ31:$BT31,,AH31)*(1-AF31)+INDEX(Models!$BJ31:$BT31,,AH31+1)*AF31-ERP_i)*AE31*Ramure*Pc/MaxiM</f>
        <v>5.1674842966238581E-2</v>
      </c>
      <c r="AE31" s="305">
        <f t="shared" si="15"/>
        <v>0.8</v>
      </c>
      <c r="AF31" s="177">
        <f t="shared" si="23"/>
        <v>0.60084334122848082</v>
      </c>
      <c r="AG31" s="809">
        <f t="shared" si="24"/>
        <v>3</v>
      </c>
      <c r="AH31" s="176">
        <f t="shared" si="16"/>
        <v>9</v>
      </c>
      <c r="AI31" s="225">
        <f t="shared" si="17"/>
        <v>3.6008433412284808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IF(t&gt;Tmaj,'2025'!Wh/'2025'!Env_an*'2026'!Env_an,0.001*'[3]mon-tableau (2)'!$B$157)</f>
        <v>13.671651517695919</v>
      </c>
      <c r="C32" s="839"/>
      <c r="D32" s="393">
        <f t="shared" si="0"/>
        <v>14.902628621471857</v>
      </c>
      <c r="E32" s="385">
        <f t="shared" si="1"/>
        <v>15.984837486458495</v>
      </c>
      <c r="F32" s="385">
        <f t="shared" si="2"/>
        <v>16.352921559878315</v>
      </c>
      <c r="G32" s="110">
        <f t="shared" si="21"/>
        <v>0.74668306871605383</v>
      </c>
      <c r="H32" s="414" t="b">
        <f>Wh_hp&gt;='2025'!Maxi_hp</f>
        <v>0</v>
      </c>
      <c r="I32" s="390">
        <f>IF(H32,Wh_hp,'2025'!Maxi_hp)</f>
        <v>21.36929658640063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8.2601340679075569E-2</v>
      </c>
      <c r="M32" s="843"/>
      <c r="N32" s="843"/>
      <c r="O32" s="48">
        <f>IF(t&lt;Tnet,'2025'!Resal+('2025'!Salim-'2025'!Resal)*(1-EXP(('2025'!Tnet-t)/('2025'!Tau_j))),Resal+(Salim-Resal)*(1-EXP((Tnet-t)/(Tau_j))))*Salcycl</f>
        <v>6.7702212543820209E-2</v>
      </c>
      <c r="P32" s="169">
        <f>(INDEX(Models!$BJ32:$BT32,,T32)*(1-R32)+INDEX(Models!$BJ32:$BT32,,T32+1)*R32-ERP_i)*Q32*Ramure*Pc/MaxiM</f>
        <v>3.4553064835445714E-2</v>
      </c>
      <c r="Q32" s="305">
        <f t="shared" si="4"/>
        <v>0.8</v>
      </c>
      <c r="R32" s="177">
        <f t="shared" si="5"/>
        <v>0.4001940775181474</v>
      </c>
      <c r="S32" s="809">
        <f t="shared" si="6"/>
        <v>2</v>
      </c>
      <c r="T32" s="176">
        <f t="shared" si="7"/>
        <v>8</v>
      </c>
      <c r="U32" s="251">
        <f t="shared" si="8"/>
        <v>2.4001940775181474</v>
      </c>
      <c r="V32" s="383">
        <f t="shared" si="9"/>
        <v>18.084237949418398</v>
      </c>
      <c r="W32" s="402">
        <f t="shared" si="10"/>
        <v>13.671651517695919</v>
      </c>
      <c r="X32" s="157">
        <f t="shared" si="11"/>
        <v>46040</v>
      </c>
      <c r="Y32" s="385">
        <f t="shared" si="12"/>
        <v>12.474431926169284</v>
      </c>
      <c r="Z32" s="385">
        <f t="shared" si="22"/>
        <v>13.59761298910453</v>
      </c>
      <c r="AA32" s="386">
        <f t="shared" si="13"/>
        <v>15.801083602538315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0.13945060154480887</v>
      </c>
      <c r="AD32" s="231">
        <f>(INDEX(Models!$BJ32:$BT32,,AH32)*(1-AF32)+INDEX(Models!$BJ32:$BT32,,AH32+1)*AF32-ERP_i)*AE32*Ramure*Pc/MaxiM</f>
        <v>5.1802547557881586E-2</v>
      </c>
      <c r="AE32" s="305">
        <f t="shared" si="15"/>
        <v>0.8</v>
      </c>
      <c r="AF32" s="177">
        <f t="shared" si="23"/>
        <v>0.60091082468305101</v>
      </c>
      <c r="AG32" s="809">
        <f t="shared" si="24"/>
        <v>3</v>
      </c>
      <c r="AH32" s="176">
        <f t="shared" si="16"/>
        <v>9</v>
      </c>
      <c r="AI32" s="225">
        <f t="shared" si="17"/>
        <v>3.600910824683051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IF(t&gt;Tmaj,'2025'!Wh/'2025'!Env_an*'2026'!Env_an,0.001*'[3]mon-tableau (2)'!$B$158)</f>
        <v>7.335516957127612</v>
      </c>
      <c r="C33" s="839"/>
      <c r="D33" s="393">
        <f t="shared" si="0"/>
        <v>7.9961873971300097</v>
      </c>
      <c r="E33" s="385">
        <f t="shared" si="1"/>
        <v>8.5782881700913105</v>
      </c>
      <c r="F33" s="385">
        <f t="shared" si="2"/>
        <v>8.6209035085308763</v>
      </c>
      <c r="G33" s="110">
        <f t="shared" si="21"/>
        <v>0.38898842946919115</v>
      </c>
      <c r="H33" s="414" t="b">
        <f>Wh_hp&gt;='2025'!Maxi_hp</f>
        <v>0</v>
      </c>
      <c r="I33" s="390">
        <f>IF(H33,Wh_hp,'2025'!Maxi_hp)</f>
        <v>22.802724307103638</v>
      </c>
      <c r="J33" s="85">
        <f>IF(H33,An,'2025'!An_max)</f>
        <v>2020</v>
      </c>
      <c r="K33" s="197">
        <f t="shared" si="3"/>
        <v>46041</v>
      </c>
      <c r="L33" s="147">
        <f>IF(t&lt;Tvie,1-EXP((T0-t)*PertePVj)+'2025'!Pspv,1-EXP((T0-t)*PertePVj)+Pspv)</f>
        <v>8.2623181172508026E-2</v>
      </c>
      <c r="M33" s="843"/>
      <c r="N33" s="843"/>
      <c r="O33" s="48">
        <f>IF(t&lt;Tnet,'2025'!Resal+('2025'!Salim-'2025'!Resal)*(1-EXP(('2025'!Tnet-t)/('2025'!Tau_j))),Resal+(Salim-Resal)*(1-EXP((Tnet-t)/(Tau_j))))*Salcycl</f>
        <v>6.7857451442448327E-2</v>
      </c>
      <c r="P33" s="169">
        <f>(INDEX(Models!$BJ33:$BT33,,T33)*(1-R33)+INDEX(Models!$BJ33:$BT33,,T33+1)*R33-ERP_i)*Q33*Ramure*Pc/MaxiM</f>
        <v>3.4320666960070557E-2</v>
      </c>
      <c r="Q33" s="305">
        <f t="shared" si="4"/>
        <v>0.8</v>
      </c>
      <c r="R33" s="177">
        <f t="shared" si="5"/>
        <v>0.40026437587718044</v>
      </c>
      <c r="S33" s="809">
        <f t="shared" si="6"/>
        <v>2</v>
      </c>
      <c r="T33" s="176">
        <f t="shared" si="7"/>
        <v>8</v>
      </c>
      <c r="U33" s="251">
        <f t="shared" si="8"/>
        <v>2.4002643758771804</v>
      </c>
      <c r="V33" s="383">
        <f t="shared" si="9"/>
        <v>18.301181654268827</v>
      </c>
      <c r="W33" s="402">
        <f t="shared" si="10"/>
        <v>7.335516957127612</v>
      </c>
      <c r="X33" s="157">
        <f t="shared" si="11"/>
        <v>46041</v>
      </c>
      <c r="Y33" s="385">
        <f t="shared" si="12"/>
        <v>6.7544518204681898</v>
      </c>
      <c r="Z33" s="385">
        <f t="shared" si="22"/>
        <v>7.3627888582372494</v>
      </c>
      <c r="AA33" s="386">
        <f t="shared" si="13"/>
        <v>8.5564552526757822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0.13950477846129655</v>
      </c>
      <c r="AD33" s="231">
        <f>(INDEX(Models!$BJ33:$BT33,,AH33)*(1-AF33)+INDEX(Models!$BJ33:$BT33,,AH33+1)*AF33-ERP_i)*AE33*Ramure*Pc/MaxiM</f>
        <v>5.1904014055804207E-2</v>
      </c>
      <c r="AE33" s="305">
        <f t="shared" si="15"/>
        <v>0.8</v>
      </c>
      <c r="AF33" s="177">
        <f t="shared" si="23"/>
        <v>0.60098112304208406</v>
      </c>
      <c r="AG33" s="809">
        <f t="shared" si="24"/>
        <v>3</v>
      </c>
      <c r="AH33" s="176">
        <f t="shared" si="16"/>
        <v>9</v>
      </c>
      <c r="AI33" s="225">
        <f t="shared" si="17"/>
        <v>3.6009811230420841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IF(t&gt;Tmaj,'2025'!Wh/'2025'!Env_an*'2026'!Env_an,0.001*'[3]mon-tableau (2)'!$B$159)</f>
        <v>14.69582123415543</v>
      </c>
      <c r="C34" s="839"/>
      <c r="D34" s="393">
        <f t="shared" si="0"/>
        <v>16.019775957068671</v>
      </c>
      <c r="E34" s="385">
        <f t="shared" si="1"/>
        <v>17.188832406492867</v>
      </c>
      <c r="F34" s="385">
        <f t="shared" si="2"/>
        <v>17.61165819942811</v>
      </c>
      <c r="G34" s="110">
        <f t="shared" si="21"/>
        <v>0.78529253943125499</v>
      </c>
      <c r="H34" s="414" t="b">
        <f>Wh_hp&gt;='2025'!Maxi_hp</f>
        <v>0</v>
      </c>
      <c r="I34" s="390">
        <f>IF(H34,Wh_hp,'2025'!Maxi_hp)</f>
        <v>17.761021939938079</v>
      </c>
      <c r="J34" s="85">
        <f>IF(H34,An,'2025'!An_max)</f>
        <v>2023</v>
      </c>
      <c r="K34" s="197">
        <f t="shared" si="3"/>
        <v>46042</v>
      </c>
      <c r="L34" s="147">
        <f>IF(t&lt;Tvie,1-EXP((T0-t)*PertePVj)+'2025'!Pspv,1-EXP((T0-t)*PertePVj)+Pspv)</f>
        <v>8.2645021157680382E-2</v>
      </c>
      <c r="M34" s="843"/>
      <c r="N34" s="843"/>
      <c r="O34" s="48">
        <f>IF(t&lt;Tnet,'2025'!Resal+('2025'!Salim-'2025'!Resal)*(1-EXP(('2025'!Tnet-t)/('2025'!Tau_j))),Resal+(Salim-Resal)*(1-EXP((Tnet-t)/(Tau_j))))*Salcycl</f>
        <v>6.8012557326616291E-2</v>
      </c>
      <c r="P34" s="169">
        <f>(INDEX(Models!$BJ34:$BT34,,T34)*(1-R34)+INDEX(Models!$BJ34:$BT34,,T34+1)*R34-ERP_i)*Q34*Ramure*Pc/MaxiM</f>
        <v>3.405694143813081E-2</v>
      </c>
      <c r="Q34" s="305">
        <f t="shared" si="4"/>
        <v>0.8</v>
      </c>
      <c r="R34" s="177">
        <f t="shared" si="5"/>
        <v>0.40033760585323153</v>
      </c>
      <c r="S34" s="809">
        <f t="shared" si="6"/>
        <v>2</v>
      </c>
      <c r="T34" s="176">
        <f t="shared" si="7"/>
        <v>8</v>
      </c>
      <c r="U34" s="251">
        <f t="shared" si="8"/>
        <v>2.4003376058532315</v>
      </c>
      <c r="V34" s="383">
        <f t="shared" si="9"/>
        <v>18.521143041424143</v>
      </c>
      <c r="W34" s="402">
        <f t="shared" si="10"/>
        <v>14.69582123415543</v>
      </c>
      <c r="X34" s="157">
        <f t="shared" si="11"/>
        <v>46042</v>
      </c>
      <c r="Y34" s="385">
        <f t="shared" si="12"/>
        <v>13.391996362905273</v>
      </c>
      <c r="Z34" s="385">
        <f t="shared" si="22"/>
        <v>14.598488776728129</v>
      </c>
      <c r="AA34" s="386">
        <f t="shared" si="13"/>
        <v>16.966287962110915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0.13955905915722699</v>
      </c>
      <c r="AD34" s="231">
        <f>(INDEX(Models!$BJ34:$BT34,,AH34)*(1-AF34)+INDEX(Models!$BJ34:$BT34,,AH34+1)*AF34-ERP_i)*AE34*Ramure*Pc/MaxiM</f>
        <v>5.1982014213570911E-2</v>
      </c>
      <c r="AE34" s="305">
        <f t="shared" si="15"/>
        <v>0.8</v>
      </c>
      <c r="AF34" s="177">
        <f t="shared" si="23"/>
        <v>0.60105435301813515</v>
      </c>
      <c r="AG34" s="809">
        <f t="shared" si="24"/>
        <v>3</v>
      </c>
      <c r="AH34" s="176">
        <f t="shared" si="16"/>
        <v>9</v>
      </c>
      <c r="AI34" s="225">
        <f t="shared" si="17"/>
        <v>3.6010543530181351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IF(t&gt;Tmaj,'2025'!Wh/'2025'!Env_an*'2026'!Env_an,0.001*'[3]mon-tableau (2)'!$B$160)</f>
        <v>5.6339309566893281</v>
      </c>
      <c r="C35" s="839"/>
      <c r="D35" s="393">
        <f t="shared" si="0"/>
        <v>6.1416411496774659</v>
      </c>
      <c r="E35" s="385">
        <f t="shared" si="1"/>
        <v>6.5909284945427977</v>
      </c>
      <c r="F35" s="385">
        <f t="shared" si="2"/>
        <v>6.5911131748552787</v>
      </c>
      <c r="G35" s="110">
        <f t="shared" si="21"/>
        <v>0.29044010074644172</v>
      </c>
      <c r="H35" s="414" t="b">
        <f>Wh_hp&gt;='2025'!Maxi_hp</f>
        <v>0</v>
      </c>
      <c r="I35" s="390">
        <f>IF(H35,Wh_hp,'2025'!Maxi_hp)</f>
        <v>16.083260697407649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8.2666860634604294E-2</v>
      </c>
      <c r="M35" s="843"/>
      <c r="N35" s="843"/>
      <c r="O35" s="48">
        <f>IF(t&lt;Tnet,'2025'!Resal+('2025'!Salim-'2025'!Resal)*(1-EXP(('2025'!Tnet-t)/('2025'!Tau_j))),Resal+(Salim-Resal)*(1-EXP((Tnet-t)/(Tau_j))))*Salcycl</f>
        <v>6.8167534397822097E-2</v>
      </c>
      <c r="P35" s="169">
        <f>(INDEX(Models!$BJ35:$BT35,,T35)*(1-R35)+INDEX(Models!$BJ35:$BT35,,T35+1)*R35-ERP_i)*Q35*Ramure*Pc/MaxiM</f>
        <v>3.3764408914231839E-2</v>
      </c>
      <c r="Q35" s="305">
        <f t="shared" si="4"/>
        <v>0.8</v>
      </c>
      <c r="R35" s="177">
        <f t="shared" si="5"/>
        <v>0.40041388893791474</v>
      </c>
      <c r="S35" s="809">
        <f t="shared" si="6"/>
        <v>2</v>
      </c>
      <c r="T35" s="176">
        <f t="shared" si="7"/>
        <v>8</v>
      </c>
      <c r="U35" s="251">
        <f t="shared" si="8"/>
        <v>2.4004138889379147</v>
      </c>
      <c r="V35" s="383">
        <f t="shared" si="9"/>
        <v>18.743476292519254</v>
      </c>
      <c r="W35" s="402">
        <f t="shared" si="10"/>
        <v>5.6339309566893281</v>
      </c>
      <c r="X35" s="157">
        <f t="shared" si="11"/>
        <v>46043</v>
      </c>
      <c r="Y35" s="385">
        <f t="shared" si="12"/>
        <v>5.2018845435002907</v>
      </c>
      <c r="Z35" s="385">
        <f t="shared" si="22"/>
        <v>5.6706602217586033</v>
      </c>
      <c r="AA35" s="386">
        <f t="shared" si="13"/>
        <v>6.5908285364899939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0.13961345066661901</v>
      </c>
      <c r="AD35" s="231">
        <f>(INDEX(Models!$BJ35:$BT35,,AH35)*(1-AF35)+INDEX(Models!$BJ35:$BT35,,AH35+1)*AF35-ERP_i)*AE35*Ramure*Pc/MaxiM</f>
        <v>5.203936483006865E-2</v>
      </c>
      <c r="AE35" s="305">
        <f t="shared" si="15"/>
        <v>0.8</v>
      </c>
      <c r="AF35" s="177">
        <f t="shared" si="23"/>
        <v>0.60113063610281836</v>
      </c>
      <c r="AG35" s="809">
        <f t="shared" si="24"/>
        <v>3</v>
      </c>
      <c r="AH35" s="176">
        <f t="shared" si="16"/>
        <v>9</v>
      </c>
      <c r="AI35" s="225">
        <f t="shared" si="17"/>
        <v>3.6011306361028184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IF(t&gt;Tmaj,'2025'!Wh/'2025'!Env_an*'2026'!Env_an,0.001*'[3]mon-tableau (2)'!$B$161)</f>
        <v>18.23929641593541</v>
      </c>
      <c r="C36" s="839"/>
      <c r="D36" s="393">
        <f t="shared" si="0"/>
        <v>19.883431511251946</v>
      </c>
      <c r="E36" s="385">
        <f t="shared" si="1"/>
        <v>21.34153620233398</v>
      </c>
      <c r="F36" s="385">
        <f t="shared" si="2"/>
        <v>22.038182512798961</v>
      </c>
      <c r="G36" s="110">
        <f t="shared" si="21"/>
        <v>0.9597842708312716</v>
      </c>
      <c r="H36" s="414" t="b">
        <f>Wh_hp&gt;='2025'!Maxi_hp</f>
        <v>0</v>
      </c>
      <c r="I36" s="390">
        <f>IF(H36,Wh_hp,'2025'!Maxi_hp)</f>
        <v>22.080002975196251</v>
      </c>
      <c r="J36" s="85">
        <f>IF(H36,An,'2025'!An_max)</f>
        <v>2022</v>
      </c>
      <c r="K36" s="197">
        <f t="shared" si="3"/>
        <v>46044</v>
      </c>
      <c r="L36" s="147">
        <f>IF(t&lt;Tvie,1-EXP((T0-t)*PertePVj)+'2025'!Pspv,1-EXP((T0-t)*PertePVj)+Pspv)</f>
        <v>8.2688699603291643E-2</v>
      </c>
      <c r="M36" s="843"/>
      <c r="N36" s="843"/>
      <c r="O36" s="48">
        <f>IF(t&lt;Tnet,'2025'!Resal+('2025'!Salim-'2025'!Resal)*(1-EXP(('2025'!Tnet-t)/('2025'!Tau_j))),Resal+(Salim-Resal)*(1-EXP((Tnet-t)/(Tau_j))))*Salcycl</f>
        <v>6.8322386788752895E-2</v>
      </c>
      <c r="P36" s="169">
        <f>(INDEX(Models!$BJ36:$BT36,,T36)*(1-R36)+INDEX(Models!$BJ36:$BT36,,T36+1)*R36-ERP_i)*Q36*Ramure*Pc/MaxiM</f>
        <v>3.3445313067606959E-2</v>
      </c>
      <c r="Q36" s="305">
        <f t="shared" si="4"/>
        <v>0.8</v>
      </c>
      <c r="R36" s="177">
        <f t="shared" si="5"/>
        <v>0.40049335159245336</v>
      </c>
      <c r="S36" s="809">
        <f t="shared" si="6"/>
        <v>2</v>
      </c>
      <c r="T36" s="176">
        <f t="shared" si="7"/>
        <v>8</v>
      </c>
      <c r="U36" s="251">
        <f t="shared" si="8"/>
        <v>2.4004933515924534</v>
      </c>
      <c r="V36" s="383">
        <f t="shared" si="9"/>
        <v>18.967538838708546</v>
      </c>
      <c r="W36" s="402">
        <f t="shared" si="10"/>
        <v>18.23929641593541</v>
      </c>
      <c r="X36" s="157">
        <f t="shared" si="11"/>
        <v>46044</v>
      </c>
      <c r="Y36" s="385">
        <f t="shared" si="12"/>
        <v>16.53627498166987</v>
      </c>
      <c r="Z36" s="385">
        <f t="shared" si="22"/>
        <v>18.026895531013789</v>
      </c>
      <c r="AA36" s="386">
        <f t="shared" si="13"/>
        <v>20.953416459511558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0.13966795983617791</v>
      </c>
      <c r="AD36" s="231">
        <f>(INDEX(Models!$BJ36:$BT36,,AH36)*(1-AF36)+INDEX(Models!$BJ36:$BT36,,AH36+1)*AF36-ERP_i)*AE36*Ramure*Pc/MaxiM</f>
        <v>5.2078565137442689E-2</v>
      </c>
      <c r="AE36" s="305">
        <f t="shared" si="15"/>
        <v>0.8</v>
      </c>
      <c r="AF36" s="177">
        <f t="shared" si="23"/>
        <v>0.60121009875735698</v>
      </c>
      <c r="AG36" s="809">
        <f t="shared" si="24"/>
        <v>3</v>
      </c>
      <c r="AH36" s="176">
        <f t="shared" si="16"/>
        <v>9</v>
      </c>
      <c r="AI36" s="225">
        <f t="shared" si="17"/>
        <v>3.601210098757357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IF(t&gt;Tmaj,'2025'!Wh/'2025'!Env_an*'2026'!Env_an,0.001*'[3]mon-tableau (2)'!$B$162)</f>
        <v>18.506323985836136</v>
      </c>
      <c r="C37" s="839"/>
      <c r="D37" s="393">
        <f t="shared" si="0"/>
        <v>20.175009911018012</v>
      </c>
      <c r="E37" s="385">
        <f t="shared" si="1"/>
        <v>21.658093762926384</v>
      </c>
      <c r="F37" s="385">
        <f t="shared" si="2"/>
        <v>22.360266428545994</v>
      </c>
      <c r="G37" s="110">
        <f t="shared" si="21"/>
        <v>0.96244931381036847</v>
      </c>
      <c r="H37" s="414" t="b">
        <f>Wh_hp&gt;='2025'!Maxi_hp</f>
        <v>0</v>
      </c>
      <c r="I37" s="390">
        <f>IF(H37,Wh_hp,'2025'!Maxi_hp)</f>
        <v>22.39947454636982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8.2710538063754419E-2</v>
      </c>
      <c r="M37" s="843"/>
      <c r="N37" s="843"/>
      <c r="O37" s="48">
        <f>IF(t&lt;Tnet,'2025'!Resal+('2025'!Salim-'2025'!Resal)*(1-EXP(('2025'!Tnet-t)/('2025'!Tau_j))),Resal+(Salim-Resal)*(1-EXP((Tnet-t)/(Tau_j))))*Salcycl</f>
        <v>6.84771184455331E-2</v>
      </c>
      <c r="P37" s="169">
        <f>(INDEX(Models!$BJ37:$BT37,,T37)*(1-R37)+INDEX(Models!$BJ37:$BT37,,T37+1)*R37-ERP_i)*Q37*Ramure*Pc/MaxiM</f>
        <v>3.3098412510723763E-2</v>
      </c>
      <c r="Q37" s="305">
        <f t="shared" si="4"/>
        <v>0.8</v>
      </c>
      <c r="R37" s="177">
        <f t="shared" si="5"/>
        <v>0.40057612544538612</v>
      </c>
      <c r="S37" s="809">
        <f t="shared" si="6"/>
        <v>2</v>
      </c>
      <c r="T37" s="176">
        <f t="shared" si="7"/>
        <v>8</v>
      </c>
      <c r="U37" s="251">
        <f t="shared" si="8"/>
        <v>2.4005761254453861</v>
      </c>
      <c r="V37" s="383">
        <f t="shared" si="9"/>
        <v>19.194699235720588</v>
      </c>
      <c r="W37" s="402">
        <f t="shared" si="10"/>
        <v>18.506323985836136</v>
      </c>
      <c r="X37" s="157">
        <f t="shared" si="11"/>
        <v>46045</v>
      </c>
      <c r="Y37" s="385">
        <f t="shared" si="12"/>
        <v>16.772857389053097</v>
      </c>
      <c r="Z37" s="385">
        <f t="shared" si="22"/>
        <v>18.285239376508681</v>
      </c>
      <c r="AA37" s="386">
        <f t="shared" si="13"/>
        <v>21.255050091486094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0.13972259308704232</v>
      </c>
      <c r="AD37" s="231">
        <f>(INDEX(Models!$BJ37:$BT37,,AH37)*(1-AF37)+INDEX(Models!$BJ37:$BT37,,AH37+1)*AF37-ERP_i)*AE37*Ramure*Pc/MaxiM</f>
        <v>5.2096739204907871E-2</v>
      </c>
      <c r="AE37" s="305">
        <f t="shared" si="15"/>
        <v>0.8</v>
      </c>
      <c r="AF37" s="177">
        <f t="shared" si="23"/>
        <v>0.60129287261028974</v>
      </c>
      <c r="AG37" s="809">
        <f t="shared" si="24"/>
        <v>3</v>
      </c>
      <c r="AH37" s="176">
        <f t="shared" si="16"/>
        <v>9</v>
      </c>
      <c r="AI37" s="225">
        <f t="shared" si="17"/>
        <v>3.6012928726102897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IF(t&gt;Tmaj,'2025'!Wh/'2025'!Env_an*'2026'!Env_an,0.001*'[3]mon-tableau (2)'!$B$163)</f>
        <v>18.62046121164137</v>
      </c>
      <c r="C38" s="839"/>
      <c r="D38" s="393">
        <f t="shared" si="0"/>
        <v>20.299921990886983</v>
      </c>
      <c r="E38" s="385">
        <f t="shared" si="1"/>
        <v>21.79580592397776</v>
      </c>
      <c r="F38" s="385">
        <f t="shared" si="2"/>
        <v>22.487926501457579</v>
      </c>
      <c r="G38" s="110">
        <f t="shared" si="21"/>
        <v>0.95657891677432949</v>
      </c>
      <c r="H38" s="414" t="b">
        <f>Wh_hp&gt;='2025'!Maxi_hp</f>
        <v>0</v>
      </c>
      <c r="I38" s="390">
        <f>IF(H38,Wh_hp,'2025'!Maxi_hp)</f>
        <v>22.533015476555242</v>
      </c>
      <c r="J38" s="85">
        <f>IF(H38,An,'2025'!An_max)</f>
        <v>2022</v>
      </c>
      <c r="K38" s="197">
        <f t="shared" si="3"/>
        <v>46046</v>
      </c>
      <c r="L38" s="147">
        <f>IF(t&lt;Tvie,1-EXP((T0-t)*PertePVj)+'2025'!Pspv,1-EXP((T0-t)*PertePVj)+Pspv)</f>
        <v>8.2732376016004167E-2</v>
      </c>
      <c r="M38" s="843"/>
      <c r="N38" s="843"/>
      <c r="O38" s="48">
        <f>IF(t&lt;Tnet,'2025'!Resal+('2025'!Salim-'2025'!Resal)*(1-EXP(('2025'!Tnet-t)/('2025'!Tau_j))),Resal+(Salim-Resal)*(1-EXP((Tnet-t)/(Tau_j))))*Salcycl</f>
        <v>6.8631733018192351E-2</v>
      </c>
      <c r="P38" s="169">
        <f>(INDEX(Models!$BJ38:$BT38,,T38)*(1-R38)+INDEX(Models!$BJ38:$BT38,,T38+1)*R38-ERP_i)*Q38*Ramure*Pc/MaxiM</f>
        <v>3.2717222438983819E-2</v>
      </c>
      <c r="Q38" s="305">
        <f t="shared" si="4"/>
        <v>0.8</v>
      </c>
      <c r="R38" s="177">
        <f t="shared" si="5"/>
        <v>0.40066234749766139</v>
      </c>
      <c r="S38" s="809">
        <f t="shared" si="6"/>
        <v>2</v>
      </c>
      <c r="T38" s="176">
        <f t="shared" si="7"/>
        <v>8</v>
      </c>
      <c r="U38" s="251">
        <f t="shared" si="8"/>
        <v>2.4006623474976614</v>
      </c>
      <c r="V38" s="383">
        <f t="shared" si="9"/>
        <v>19.426723790412481</v>
      </c>
      <c r="W38" s="402">
        <f t="shared" si="10"/>
        <v>18.62046121164137</v>
      </c>
      <c r="X38" s="157">
        <f t="shared" si="11"/>
        <v>46046</v>
      </c>
      <c r="Y38" s="385">
        <f t="shared" si="12"/>
        <v>16.875064145243169</v>
      </c>
      <c r="Z38" s="385">
        <f t="shared" si="22"/>
        <v>18.397099934639794</v>
      </c>
      <c r="AA38" s="386">
        <f t="shared" si="13"/>
        <v>21.386439972428622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0.13977735619592049</v>
      </c>
      <c r="AD38" s="231">
        <f>(INDEX(Models!$BJ38:$BT38,,AH38)*(1-AF38)+INDEX(Models!$BJ38:$BT38,,AH38+1)*AF38-ERP_i)*AE38*Ramure*Pc/MaxiM</f>
        <v>5.2068354787263037E-2</v>
      </c>
      <c r="AE38" s="305">
        <f t="shared" si="15"/>
        <v>0.8</v>
      </c>
      <c r="AF38" s="177">
        <f t="shared" si="23"/>
        <v>0.60137909466256501</v>
      </c>
      <c r="AG38" s="809">
        <f t="shared" si="24"/>
        <v>3</v>
      </c>
      <c r="AH38" s="176">
        <f t="shared" si="16"/>
        <v>9</v>
      </c>
      <c r="AI38" s="225">
        <f t="shared" si="17"/>
        <v>3.601379094662565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IF(t&gt;Tmaj,'2025'!Wh/'2025'!Env_an*'2026'!Env_an,0.001*'[3]mon-tableau (2)'!$B$164)</f>
        <v>18.652999876026968</v>
      </c>
      <c r="C39" s="839"/>
      <c r="D39" s="393">
        <f t="shared" si="0"/>
        <v>20.335879597103617</v>
      </c>
      <c r="E39" s="385">
        <f t="shared" si="1"/>
        <v>21.838035834912343</v>
      </c>
      <c r="F39" s="385">
        <f t="shared" si="2"/>
        <v>22.512186782564861</v>
      </c>
      <c r="G39" s="110">
        <f t="shared" si="21"/>
        <v>0.9463088957905631</v>
      </c>
      <c r="H39" s="414" t="b">
        <f>Wh_hp&gt;='2025'!Maxi_hp</f>
        <v>0</v>
      </c>
      <c r="I39" s="390">
        <f>IF(H39,Wh_hp,'2025'!Maxi_hp)</f>
        <v>22.567351646183756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8.2754213460052989E-2</v>
      </c>
      <c r="M39" s="843"/>
      <c r="N39" s="843"/>
      <c r="O39" s="48">
        <f>IF(t&lt;Tnet,'2025'!Resal+('2025'!Salim-'2025'!Resal)*(1-EXP(('2025'!Tnet-t)/('2025'!Tau_j))),Resal+(Salim-Resal)*(1-EXP((Tnet-t)/(Tau_j))))*Salcycl</f>
        <v>6.8786233760420867E-2</v>
      </c>
      <c r="P39" s="169">
        <f>(INDEX(Models!$BJ39:$BT39,,T39)*(1-R39)+INDEX(Models!$BJ39:$BT39,,T39+1)*R39-ERP_i)*Q39*Ramure*Pc/MaxiM</f>
        <v>3.2317789105363148E-2</v>
      </c>
      <c r="Q39" s="305">
        <f t="shared" si="4"/>
        <v>0.8</v>
      </c>
      <c r="R39" s="177">
        <f t="shared" si="5"/>
        <v>0.40075216033535144</v>
      </c>
      <c r="S39" s="809">
        <f t="shared" si="6"/>
        <v>2</v>
      </c>
      <c r="T39" s="176">
        <f t="shared" si="7"/>
        <v>8</v>
      </c>
      <c r="U39" s="251">
        <f t="shared" si="8"/>
        <v>2.4007521603353514</v>
      </c>
      <c r="V39" s="383">
        <f t="shared" si="9"/>
        <v>19.66312912415869</v>
      </c>
      <c r="W39" s="402">
        <f t="shared" si="10"/>
        <v>18.652999876026968</v>
      </c>
      <c r="X39" s="157">
        <f t="shared" si="11"/>
        <v>46047</v>
      </c>
      <c r="Y39" s="385">
        <f t="shared" si="12"/>
        <v>16.906003244951311</v>
      </c>
      <c r="Z39" s="385">
        <f t="shared" si="22"/>
        <v>18.431268361258411</v>
      </c>
      <c r="AA39" s="386">
        <f t="shared" si="13"/>
        <v>21.427527885180542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0.13983225409751396</v>
      </c>
      <c r="AD39" s="231">
        <f>(INDEX(Models!$BJ39:$BT39,,AH39)*(1-AF39)+INDEX(Models!$BJ39:$BT39,,AH39+1)*AF39-ERP_i)*AE39*Ramure*Pc/MaxiM</f>
        <v>5.1996926829197689E-2</v>
      </c>
      <c r="AE39" s="305">
        <f t="shared" si="15"/>
        <v>0.8</v>
      </c>
      <c r="AF39" s="177">
        <f t="shared" si="23"/>
        <v>0.60146890750025506</v>
      </c>
      <c r="AG39" s="809">
        <f t="shared" si="24"/>
        <v>3</v>
      </c>
      <c r="AH39" s="176">
        <f t="shared" si="16"/>
        <v>9</v>
      </c>
      <c r="AI39" s="225">
        <f t="shared" si="17"/>
        <v>3.6014689075002551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IF(t&gt;Tmaj,'2025'!Wh/'2025'!Env_an*'2026'!Env_an,0.001*'[3]mon-tableau (2)'!$B$165)</f>
        <v>18.915332982423081</v>
      </c>
      <c r="C40" s="839"/>
      <c r="D40" s="393">
        <f t="shared" si="0"/>
        <v>20.622371440025891</v>
      </c>
      <c r="E40" s="385">
        <f t="shared" si="1"/>
        <v>22.149362284723495</v>
      </c>
      <c r="F40" s="385">
        <f t="shared" si="2"/>
        <v>22.82588106780441</v>
      </c>
      <c r="G40" s="110">
        <f t="shared" si="21"/>
        <v>0.94812509257447408</v>
      </c>
      <c r="H40" s="414" t="b">
        <f>Wh_hp&gt;='2025'!Maxi_hp</f>
        <v>0</v>
      </c>
      <c r="I40" s="390">
        <f>IF(H40,Wh_hp,'2025'!Maxi_hp)</f>
        <v>22.879228367903401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8.2776050395912543E-2</v>
      </c>
      <c r="M40" s="843"/>
      <c r="N40" s="843"/>
      <c r="O40" s="48">
        <f>IF(t&lt;Tnet,'2025'!Resal+('2025'!Salim-'2025'!Resal)*(1-EXP(('2025'!Tnet-t)/('2025'!Tau_j))),Resal+(Salim-Resal)*(1-EXP((Tnet-t)/(Tau_j))))*Salcycl</f>
        <v>6.8940623439563975E-2</v>
      </c>
      <c r="P40" s="169">
        <f>(INDEX(Models!$BJ40:$BT40,,T40)*(1-R40)+INDEX(Models!$BJ40:$BT40,,T40+1)*R40-ERP_i)*Q40*Ramure*Pc/MaxiM</f>
        <v>3.1901336473502039E-2</v>
      </c>
      <c r="Q40" s="305">
        <f t="shared" si="4"/>
        <v>0.8</v>
      </c>
      <c r="R40" s="177">
        <f t="shared" si="5"/>
        <v>0.4008457123502227</v>
      </c>
      <c r="S40" s="809">
        <f t="shared" si="6"/>
        <v>2</v>
      </c>
      <c r="T40" s="176">
        <f t="shared" si="7"/>
        <v>8</v>
      </c>
      <c r="U40" s="251">
        <f t="shared" si="8"/>
        <v>2.4008457123502227</v>
      </c>
      <c r="V40" s="383">
        <f t="shared" si="9"/>
        <v>19.903721871530855</v>
      </c>
      <c r="W40" s="402">
        <f t="shared" si="10"/>
        <v>18.915332982423081</v>
      </c>
      <c r="X40" s="157">
        <f t="shared" si="11"/>
        <v>46048</v>
      </c>
      <c r="Y40" s="385">
        <f t="shared" si="12"/>
        <v>17.139661753945227</v>
      </c>
      <c r="Z40" s="385">
        <f t="shared" si="22"/>
        <v>18.686452486705594</v>
      </c>
      <c r="AA40" s="386">
        <f t="shared" si="13"/>
        <v>21.725585827150315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0.13988729070986591</v>
      </c>
      <c r="AD40" s="231">
        <f>(INDEX(Models!$BJ40:$BT40,,AH40)*(1-AF40)+INDEX(Models!$BJ40:$BT40,,AH40+1)*AF40-ERP_i)*AE40*Ramure*Pc/MaxiM</f>
        <v>5.1884573747453415E-2</v>
      </c>
      <c r="AE40" s="305">
        <f t="shared" si="15"/>
        <v>0.8</v>
      </c>
      <c r="AF40" s="177">
        <f t="shared" si="23"/>
        <v>0.60156245951512632</v>
      </c>
      <c r="AG40" s="809">
        <f t="shared" si="24"/>
        <v>3</v>
      </c>
      <c r="AH40" s="176">
        <f t="shared" si="16"/>
        <v>9</v>
      </c>
      <c r="AI40" s="225">
        <f t="shared" si="17"/>
        <v>3.6015624595151263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IF(t&gt;Tmaj,'2025'!Wh/'2025'!Env_an*'2026'!Env_an,0.001*'[3]mon-tableau (2)'!$B$166)</f>
        <v>19.801560733911085</v>
      </c>
      <c r="C41" s="839"/>
      <c r="D41" s="393">
        <f t="shared" si="0"/>
        <v>21.589091923627798</v>
      </c>
      <c r="E41" s="385">
        <f t="shared" si="1"/>
        <v>23.191506870431652</v>
      </c>
      <c r="F41" s="385">
        <f t="shared" si="2"/>
        <v>23.925921467864303</v>
      </c>
      <c r="G41" s="110">
        <f t="shared" si="21"/>
        <v>0.9820057667954567</v>
      </c>
      <c r="H41" s="414" t="b">
        <f>Wh_hp&gt;='2025'!Maxi_hp</f>
        <v>0</v>
      </c>
      <c r="I41" s="390">
        <f>IF(H41,Wh_hp,'2025'!Maxi_hp)</f>
        <v>23.945029081134049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8.2797886823594596E-2</v>
      </c>
      <c r="M41" s="843"/>
      <c r="N41" s="843"/>
      <c r="O41" s="48">
        <f>IF(t&lt;Tnet,'2025'!Resal+('2025'!Salim-'2025'!Resal)*(1-EXP(('2025'!Tnet-t)/('2025'!Tau_j))),Resal+(Salim-Resal)*(1-EXP((Tnet-t)/(Tau_j))))*Salcycl</f>
        <v>6.9094904257682305E-2</v>
      </c>
      <c r="P41" s="169">
        <f>(INDEX(Models!$BJ41:$BT41,,T41)*(1-R41)+INDEX(Models!$BJ41:$BT41,,T41+1)*R41-ERP_i)*Q41*Ramure*Pc/MaxiM</f>
        <v>3.1469031861482567E-2</v>
      </c>
      <c r="Q41" s="305">
        <f t="shared" si="4"/>
        <v>0.8</v>
      </c>
      <c r="R41" s="177">
        <f t="shared" si="5"/>
        <v>0.40094315796840885</v>
      </c>
      <c r="S41" s="809">
        <f t="shared" si="6"/>
        <v>2</v>
      </c>
      <c r="T41" s="176">
        <f t="shared" si="7"/>
        <v>8</v>
      </c>
      <c r="U41" s="251">
        <f t="shared" si="8"/>
        <v>2.4009431579684088</v>
      </c>
      <c r="V41" s="383">
        <f t="shared" si="9"/>
        <v>20.14830890123558</v>
      </c>
      <c r="W41" s="402">
        <f t="shared" si="10"/>
        <v>19.801560733911085</v>
      </c>
      <c r="X41" s="157">
        <f t="shared" si="11"/>
        <v>46049</v>
      </c>
      <c r="Y41" s="385">
        <f t="shared" si="12"/>
        <v>17.921477657569501</v>
      </c>
      <c r="Z41" s="385">
        <f t="shared" si="22"/>
        <v>19.539289541652707</v>
      </c>
      <c r="AA41" s="386">
        <f t="shared" si="13"/>
        <v>22.71858431845466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0.13994246878399741</v>
      </c>
      <c r="AD41" s="231">
        <f>(INDEX(Models!$BJ41:$BT41,,AH41)*(1-AF41)+INDEX(Models!$BJ41:$BT41,,AH41+1)*AF41-ERP_i)*AE41*Ramure*Pc/MaxiM</f>
        <v>5.1733355185396894E-2</v>
      </c>
      <c r="AE41" s="305">
        <f t="shared" si="15"/>
        <v>0.8</v>
      </c>
      <c r="AF41" s="177">
        <f t="shared" si="23"/>
        <v>0.60165990513331247</v>
      </c>
      <c r="AG41" s="809">
        <f t="shared" si="24"/>
        <v>3</v>
      </c>
      <c r="AH41" s="176">
        <f t="shared" si="16"/>
        <v>9</v>
      </c>
      <c r="AI41" s="225">
        <f t="shared" si="17"/>
        <v>3.6016599051333125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IF(t&gt;Tmaj,'2025'!Wh/'2025'!Env_an*'2026'!Env_an,0.001*'[3]mon-tableau (2)'!$B$167)</f>
        <v>3.9398615559921213</v>
      </c>
      <c r="C42" s="839"/>
      <c r="D42" s="393">
        <f t="shared" si="0"/>
        <v>4.2956239396855498</v>
      </c>
      <c r="E42" s="385">
        <f t="shared" si="1"/>
        <v>4.6152239413955547</v>
      </c>
      <c r="F42" s="385">
        <f t="shared" si="2"/>
        <v>4.6152239413955547</v>
      </c>
      <c r="G42" s="110">
        <f t="shared" si="21"/>
        <v>0.18716947979848475</v>
      </c>
      <c r="H42" s="414" t="b">
        <f>Wh_hp&gt;='2025'!Maxi_hp</f>
        <v>0</v>
      </c>
      <c r="I42" s="390">
        <f>IF(H42,Wh_hp,'2025'!Maxi_hp)</f>
        <v>16.864393920494742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8.2819722743111251E-2</v>
      </c>
      <c r="M42" s="843"/>
      <c r="N42" s="843"/>
      <c r="O42" s="48">
        <f>IF(t&lt;Tnet,'2025'!Resal+('2025'!Salim-'2025'!Resal)*(1-EXP(('2025'!Tnet-t)/('2025'!Tau_j))),Resal+(Salim-Resal)*(1-EXP((Tnet-t)/(Tau_j))))*Salcycl</f>
        <v>6.9249077784373864E-2</v>
      </c>
      <c r="P42" s="169">
        <f>(INDEX(Models!$BJ42:$BT42,,T42)*(1-R42)+INDEX(Models!$BJ42:$BT42,,T42+1)*R42-ERP_i)*Q42*Ramure*Pc/MaxiM</f>
        <v>3.1021985003459235E-2</v>
      </c>
      <c r="Q42" s="305">
        <f t="shared" si="4"/>
        <v>0.8</v>
      </c>
      <c r="R42" s="177">
        <f t="shared" si="5"/>
        <v>0.40104465788742383</v>
      </c>
      <c r="S42" s="809">
        <f t="shared" si="6"/>
        <v>2</v>
      </c>
      <c r="T42" s="176">
        <f t="shared" si="7"/>
        <v>8</v>
      </c>
      <c r="U42" s="251">
        <f t="shared" si="8"/>
        <v>2.4010446578874238</v>
      </c>
      <c r="V42" s="383">
        <f t="shared" si="9"/>
        <v>20.396697335466627</v>
      </c>
      <c r="W42" s="402">
        <f t="shared" si="10"/>
        <v>3.9398615559921213</v>
      </c>
      <c r="X42" s="157">
        <f t="shared" si="11"/>
        <v>46050</v>
      </c>
      <c r="Y42" s="385">
        <f t="shared" si="12"/>
        <v>3.6403827976367622</v>
      </c>
      <c r="Z42" s="385">
        <f t="shared" si="22"/>
        <v>3.9691027902654565</v>
      </c>
      <c r="AA42" s="386">
        <f t="shared" si="13"/>
        <v>4.6152239413955547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0.13999778977891228</v>
      </c>
      <c r="AD42" s="231">
        <f>(INDEX(Models!$BJ42:$BT42,,AH42)*(1-AF42)+INDEX(Models!$BJ42:$BT42,,AH42+1)*AF42-ERP_i)*AE42*Ramure*Pc/MaxiM</f>
        <v>5.1545266781996592E-2</v>
      </c>
      <c r="AE42" s="305">
        <f t="shared" si="15"/>
        <v>0.8</v>
      </c>
      <c r="AF42" s="177">
        <f t="shared" si="23"/>
        <v>0.60176140505232745</v>
      </c>
      <c r="AG42" s="809">
        <f t="shared" si="24"/>
        <v>3</v>
      </c>
      <c r="AH42" s="176">
        <f t="shared" si="16"/>
        <v>9</v>
      </c>
      <c r="AI42" s="225">
        <f t="shared" si="17"/>
        <v>3.6017614050523274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IF(t&gt;Tmaj,'2025'!Wh/'2025'!Env_an*'2026'!Env_an,0.001*'[3]mon-tableau (2)'!$B$168)</f>
        <v>7.8202058412040607</v>
      </c>
      <c r="C43" s="839"/>
      <c r="D43" s="393">
        <f t="shared" si="0"/>
        <v>8.5265592992504917</v>
      </c>
      <c r="E43" s="385">
        <f t="shared" si="1"/>
        <v>9.1624630499657389</v>
      </c>
      <c r="F43" s="385">
        <f t="shared" si="2"/>
        <v>9.1940640612215692</v>
      </c>
      <c r="G43" s="110">
        <f t="shared" si="21"/>
        <v>0.36841834710990251</v>
      </c>
      <c r="H43" s="414" t="b">
        <f>Wh_hp&gt;='2025'!Maxi_hp</f>
        <v>0</v>
      </c>
      <c r="I43" s="390">
        <f>IF(H43,Wh_hp,'2025'!Maxi_hp)</f>
        <v>15.521194705525005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8.2841558154474054E-2</v>
      </c>
      <c r="M43" s="843"/>
      <c r="N43" s="843"/>
      <c r="O43" s="48">
        <f>IF(t&lt;Tnet,'2025'!Resal+('2025'!Salim-'2025'!Resal)*(1-EXP(('2025'!Tnet-t)/('2025'!Tau_j))),Resal+(Salim-Resal)*(1-EXP((Tnet-t)/(Tau_j))))*Salcycl</f>
        <v>6.9403144901918706E-2</v>
      </c>
      <c r="P43" s="169">
        <f>(INDEX(Models!$BJ43:$BT43,,T43)*(1-R43)+INDEX(Models!$BJ43:$BT43,,T43+1)*R43-ERP_i)*Q43*Ramure*Pc/MaxiM</f>
        <v>3.0561247649896518E-2</v>
      </c>
      <c r="Q43" s="305">
        <f t="shared" si="4"/>
        <v>0.8</v>
      </c>
      <c r="R43" s="177">
        <f t="shared" si="5"/>
        <v>0.40115037932176634</v>
      </c>
      <c r="S43" s="809">
        <f t="shared" si="6"/>
        <v>2</v>
      </c>
      <c r="T43" s="176">
        <f t="shared" si="7"/>
        <v>8</v>
      </c>
      <c r="U43" s="251">
        <f t="shared" si="8"/>
        <v>2.4011503793217663</v>
      </c>
      <c r="V43" s="383">
        <f t="shared" si="9"/>
        <v>20.648694563967808</v>
      </c>
      <c r="W43" s="402">
        <f t="shared" si="10"/>
        <v>7.8202058412040607</v>
      </c>
      <c r="X43" s="157">
        <f t="shared" si="11"/>
        <v>46051</v>
      </c>
      <c r="Y43" s="385">
        <f t="shared" si="12"/>
        <v>7.2095711350483054</v>
      </c>
      <c r="Z43" s="385">
        <f t="shared" si="22"/>
        <v>7.8607695313157135</v>
      </c>
      <c r="AA43" s="386">
        <f t="shared" si="13"/>
        <v>9.1409957252715266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0.14005325376276614</v>
      </c>
      <c r="AD43" s="231">
        <f>(INDEX(Models!$BJ43:$BT43,,AH43)*(1-AF43)+INDEX(Models!$BJ43:$BT43,,AH43+1)*AF43-ERP_i)*AE43*Ramure*Pc/MaxiM</f>
        <v>5.1322235994518857E-2</v>
      </c>
      <c r="AE43" s="305">
        <f t="shared" si="15"/>
        <v>0.8</v>
      </c>
      <c r="AF43" s="177">
        <f t="shared" si="23"/>
        <v>0.60186712648666996</v>
      </c>
      <c r="AG43" s="809">
        <f t="shared" si="24"/>
        <v>3</v>
      </c>
      <c r="AH43" s="176">
        <f t="shared" si="16"/>
        <v>9</v>
      </c>
      <c r="AI43" s="225">
        <f t="shared" si="17"/>
        <v>3.60186712648667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IF(t&gt;Tmaj,'2025'!Wh/'2025'!Env_an*'2026'!Env_an,0.001*'[3]mon-tableau (2)'!$B$169)</f>
        <v>4.1195854304728767</v>
      </c>
      <c r="C44" s="839"/>
      <c r="D44" s="393">
        <f t="shared" si="0"/>
        <v>4.4917904260821091</v>
      </c>
      <c r="E44" s="385">
        <f t="shared" si="1"/>
        <v>4.8275831369171343</v>
      </c>
      <c r="F44" s="385">
        <f t="shared" si="2"/>
        <v>4.8275831369171343</v>
      </c>
      <c r="G44" s="110">
        <f t="shared" si="21"/>
        <v>0.19114118928544371</v>
      </c>
      <c r="H44" s="414" t="b">
        <f>Wh_hp&gt;='2025'!Maxi_hp</f>
        <v>0</v>
      </c>
      <c r="I44" s="390">
        <f>IF(H44,Wh_hp,'2025'!Maxi_hp)</f>
        <v>11.334187659797209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8.2863393057694884E-2</v>
      </c>
      <c r="M44" s="843"/>
      <c r="N44" s="843"/>
      <c r="O44" s="48">
        <f>IF(t&lt;Tnet,'2025'!Resal+('2025'!Salim-'2025'!Resal)*(1-EXP(('2025'!Tnet-t)/('2025'!Tau_j))),Resal+(Salim-Resal)*(1-EXP((Tnet-t)/(Tau_j))))*Salcycl</f>
        <v>6.9557105763166691E-2</v>
      </c>
      <c r="P44" s="169">
        <f>(INDEX(Models!$BJ44:$BT44,,T44)*(1-R44)+INDEX(Models!$BJ44:$BT44,,T44+1)*R44-ERP_i)*Q44*Ramure*Pc/MaxiM</f>
        <v>3.0094587623191019E-2</v>
      </c>
      <c r="Q44" s="305">
        <f t="shared" si="4"/>
        <v>0.8</v>
      </c>
      <c r="R44" s="177">
        <f t="shared" si="5"/>
        <v>0.40126049625735849</v>
      </c>
      <c r="S44" s="809">
        <f t="shared" si="6"/>
        <v>2</v>
      </c>
      <c r="T44" s="176">
        <f t="shared" si="7"/>
        <v>8</v>
      </c>
      <c r="U44" s="251">
        <f t="shared" si="8"/>
        <v>2.4012604962573585</v>
      </c>
      <c r="V44" s="383">
        <f t="shared" si="9"/>
        <v>20.903962252727148</v>
      </c>
      <c r="W44" s="402">
        <f t="shared" si="10"/>
        <v>4.1195854304728767</v>
      </c>
      <c r="X44" s="157">
        <f t="shared" si="11"/>
        <v>46052</v>
      </c>
      <c r="Y44" s="385">
        <f t="shared" si="12"/>
        <v>3.8072137868904643</v>
      </c>
      <c r="Z44" s="385">
        <f t="shared" si="22"/>
        <v>4.1511959702312557</v>
      </c>
      <c r="AA44" s="386">
        <f t="shared" si="13"/>
        <v>4.8275831369171343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0.14010885934070419</v>
      </c>
      <c r="AD44" s="231">
        <f>(INDEX(Models!$BJ44:$BT44,,AH44)*(1-AF44)+INDEX(Models!$BJ44:$BT44,,AH44+1)*AF44-ERP_i)*AE44*Ramure*Pc/MaxiM</f>
        <v>5.105351286171942E-2</v>
      </c>
      <c r="AE44" s="305">
        <f t="shared" si="15"/>
        <v>0.8</v>
      </c>
      <c r="AF44" s="177">
        <f t="shared" si="23"/>
        <v>0.60197724342226211</v>
      </c>
      <c r="AG44" s="809">
        <f t="shared" si="24"/>
        <v>3</v>
      </c>
      <c r="AH44" s="176">
        <f t="shared" si="16"/>
        <v>9</v>
      </c>
      <c r="AI44" s="225">
        <f t="shared" si="17"/>
        <v>3.6019772434222621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IF(t&gt;Tmaj,'2025'!Wh/'2025'!Env_an*'2026'!Env_an,0.001*'[3]mon-tableau (2)'!$B$170)</f>
        <v>8.5079345812880156</v>
      </c>
      <c r="C45" s="839"/>
      <c r="D45" s="393">
        <f t="shared" si="0"/>
        <v>9.2768482593055346</v>
      </c>
      <c r="E45" s="385">
        <f t="shared" si="1"/>
        <v>9.9720063959225769</v>
      </c>
      <c r="F45" s="385">
        <f t="shared" si="2"/>
        <v>10.015274746265492</v>
      </c>
      <c r="G45" s="110">
        <f t="shared" si="21"/>
        <v>0.39181589503462394</v>
      </c>
      <c r="H45" s="414" t="b">
        <f>Wh_hp&gt;='2025'!Maxi_hp</f>
        <v>0</v>
      </c>
      <c r="I45" s="390">
        <f>IF(H45,Wh_hp,'2025'!Maxi_hp)</f>
        <v>19.643738017718885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8.2885227452785731E-2</v>
      </c>
      <c r="M45" s="843"/>
      <c r="N45" s="843"/>
      <c r="O45" s="48">
        <f>IF(t&lt;Tnet,'2025'!Resal+('2025'!Salim-'2025'!Resal)*(1-EXP(('2025'!Tnet-t)/('2025'!Tau_j))),Resal+(Salim-Resal)*(1-EXP((Tnet-t)/(Tau_j))))*Salcycl</f>
        <v>6.9710959762449037E-2</v>
      </c>
      <c r="P45" s="169">
        <f>(INDEX(Models!$BJ45:$BT45,,T45)*(1-R45)+INDEX(Models!$BJ45:$BT45,,T45+1)*R45-ERP_i)*Q45*Ramure*Pc/MaxiM</f>
        <v>2.9637472760491265E-2</v>
      </c>
      <c r="Q45" s="305">
        <f t="shared" si="4"/>
        <v>0.8</v>
      </c>
      <c r="R45" s="177">
        <f t="shared" si="5"/>
        <v>0.40137518971507458</v>
      </c>
      <c r="S45" s="809">
        <f t="shared" si="6"/>
        <v>2</v>
      </c>
      <c r="T45" s="176">
        <f t="shared" si="7"/>
        <v>8</v>
      </c>
      <c r="U45" s="251">
        <f t="shared" si="8"/>
        <v>2.4013751897150746</v>
      </c>
      <c r="V45" s="383">
        <f t="shared" si="9"/>
        <v>21.161986246087146</v>
      </c>
      <c r="W45" s="402">
        <f t="shared" si="10"/>
        <v>8.5079345812880156</v>
      </c>
      <c r="X45" s="157">
        <f t="shared" si="11"/>
        <v>46053</v>
      </c>
      <c r="Y45" s="385">
        <f t="shared" si="12"/>
        <v>7.8392943607745931</v>
      </c>
      <c r="Z45" s="385">
        <f t="shared" si="22"/>
        <v>8.5477789644599973</v>
      </c>
      <c r="AA45" s="386">
        <f t="shared" si="13"/>
        <v>9.9411806031055985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0.14016460360958599</v>
      </c>
      <c r="AD45" s="231">
        <f>(INDEX(Models!$BJ45:$BT45,,AH45)*(1-AF45)+INDEX(Models!$BJ45:$BT45,,AH45+1)*AF45-ERP_i)*AE45*Ramure*Pc/MaxiM</f>
        <v>5.0752181033240272E-2</v>
      </c>
      <c r="AE45" s="305">
        <f t="shared" si="15"/>
        <v>0.8</v>
      </c>
      <c r="AF45" s="177">
        <f t="shared" si="23"/>
        <v>0.6020919368799782</v>
      </c>
      <c r="AG45" s="809">
        <f t="shared" si="24"/>
        <v>3</v>
      </c>
      <c r="AH45" s="176">
        <f t="shared" si="16"/>
        <v>9</v>
      </c>
      <c r="AI45" s="225">
        <f t="shared" si="17"/>
        <v>3.6020919368799782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IF(t&gt;Tmaj,'2025'!Wh/'2025'!Env_an*'2026'!Env_an,0.001*'[4]mon-tableau'!$B$128)</f>
        <v>8.3343844605459978</v>
      </c>
      <c r="C46" s="839"/>
      <c r="D46" s="393">
        <f t="shared" si="0"/>
        <v>9.0878297162788026</v>
      </c>
      <c r="E46" s="385">
        <f t="shared" si="1"/>
        <v>9.7704385267479008</v>
      </c>
      <c r="F46" s="385">
        <f t="shared" si="2"/>
        <v>9.8068538660029727</v>
      </c>
      <c r="G46" s="110">
        <f t="shared" si="21"/>
        <v>0.37909821274159083</v>
      </c>
      <c r="H46" s="414" t="b">
        <f>Wh_hp&gt;='2025'!Maxi_hp</f>
        <v>0</v>
      </c>
      <c r="I46" s="390">
        <f>IF(H46,Wh_hp,'2025'!Maxi_hp)</f>
        <v>19.85137426834298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8.2907061339758253E-2</v>
      </c>
      <c r="M46" s="843"/>
      <c r="N46" s="843"/>
      <c r="O46" s="48">
        <f>IF(t&lt;Tnet,'2025'!Resal+('2025'!Salim-'2025'!Resal)*(1-EXP(('2025'!Tnet-t)/('2025'!Tau_j))),Resal+(Salim-Resal)*(1-EXP((Tnet-t)/(Tau_j))))*Salcycl</f>
        <v>6.9864705519651349E-2</v>
      </c>
      <c r="P46" s="169">
        <f>(INDEX(Models!$BJ46:$BT46,,T46)*(1-R46)+INDEX(Models!$BJ46:$BT46,,T46+1)*R46-ERP_i)*Q46*Ramure*Pc/MaxiM</f>
        <v>2.9190016626505121E-2</v>
      </c>
      <c r="Q46" s="305">
        <f t="shared" si="4"/>
        <v>0.8</v>
      </c>
      <c r="R46" s="177">
        <f t="shared" si="5"/>
        <v>0.4014946480236028</v>
      </c>
      <c r="S46" s="809">
        <f t="shared" si="6"/>
        <v>2</v>
      </c>
      <c r="T46" s="176">
        <f t="shared" si="7"/>
        <v>8</v>
      </c>
      <c r="U46" s="251">
        <f t="shared" si="8"/>
        <v>2.4014946480236028</v>
      </c>
      <c r="V46" s="383">
        <f t="shared" si="9"/>
        <v>21.422575120371089</v>
      </c>
      <c r="W46" s="402">
        <f t="shared" si="10"/>
        <v>8.3343844605459978</v>
      </c>
      <c r="X46" s="157">
        <f t="shared" si="11"/>
        <v>46054</v>
      </c>
      <c r="Y46" s="385">
        <f t="shared" si="12"/>
        <v>7.6830852106936645</v>
      </c>
      <c r="Z46" s="385">
        <f t="shared" si="22"/>
        <v>8.3776516935324921</v>
      </c>
      <c r="AA46" s="386">
        <f t="shared" si="13"/>
        <v>9.7439535596055666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0.14022048213952915</v>
      </c>
      <c r="AD46" s="231">
        <f>(INDEX(Models!$BJ46:$BT46,,AH46)*(1-AF46)+INDEX(Models!$BJ46:$BT46,,AH46+1)*AF46-ERP_i)*AE46*Ramure*Pc/MaxiM</f>
        <v>5.0419988584804662E-2</v>
      </c>
      <c r="AE46" s="305">
        <f t="shared" si="15"/>
        <v>0.8</v>
      </c>
      <c r="AF46" s="177">
        <f t="shared" si="23"/>
        <v>0.60221139518850642</v>
      </c>
      <c r="AG46" s="809">
        <f t="shared" si="24"/>
        <v>3</v>
      </c>
      <c r="AH46" s="176">
        <f t="shared" si="16"/>
        <v>9</v>
      </c>
      <c r="AI46" s="225">
        <f t="shared" si="17"/>
        <v>3.6022113951885064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IF(t&gt;Tmaj,'2025'!Wh/'2025'!Env_an*'2026'!Env_an,0.001*'[4]mon-tableau'!$B$129)</f>
        <v>5.0045423527193096</v>
      </c>
      <c r="C47" s="839"/>
      <c r="D47" s="393">
        <f t="shared" si="0"/>
        <v>5.4570930475274499</v>
      </c>
      <c r="E47" s="385">
        <f t="shared" si="1"/>
        <v>5.8679577107749248</v>
      </c>
      <c r="F47" s="385">
        <f t="shared" si="2"/>
        <v>5.8679577107749248</v>
      </c>
      <c r="G47" s="110">
        <f t="shared" si="21"/>
        <v>0.22414248196336797</v>
      </c>
      <c r="H47" s="414" t="b">
        <f>Wh_hp&gt;='2025'!Maxi_hp</f>
        <v>0</v>
      </c>
      <c r="I47" s="390">
        <f>IF(H47,Wh_hp,'2025'!Maxi_hp)</f>
        <v>23.358776993635303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8.292889471862433E-2</v>
      </c>
      <c r="M47" s="843"/>
      <c r="N47" s="843"/>
      <c r="O47" s="48">
        <f>IF(t&lt;Tnet,'2025'!Resal+('2025'!Salim-'2025'!Resal)*(1-EXP(('2025'!Tnet-t)/('2025'!Tau_j))),Resal+(Salim-Resal)*(1-EXP((Tnet-t)/(Tau_j))))*Salcycl</f>
        <v>7.0018340877445684E-2</v>
      </c>
      <c r="P47" s="169">
        <f>(INDEX(Models!$BJ47:$BT47,,T47)*(1-R47)+INDEX(Models!$BJ47:$BT47,,T47+1)*R47-ERP_i)*Q47*Ramure*Pc/MaxiM</f>
        <v>2.8752300364589405E-2</v>
      </c>
      <c r="Q47" s="305">
        <f t="shared" si="4"/>
        <v>0.8</v>
      </c>
      <c r="R47" s="177">
        <f t="shared" si="5"/>
        <v>0.40161906710189665</v>
      </c>
      <c r="S47" s="809">
        <f t="shared" si="6"/>
        <v>2</v>
      </c>
      <c r="T47" s="176">
        <f t="shared" si="7"/>
        <v>8</v>
      </c>
      <c r="U47" s="251">
        <f t="shared" si="8"/>
        <v>2.4016190671018967</v>
      </c>
      <c r="V47" s="383">
        <f t="shared" si="9"/>
        <v>21.685537722389455</v>
      </c>
      <c r="W47" s="402">
        <f t="shared" si="10"/>
        <v>5.0045423527193096</v>
      </c>
      <c r="X47" s="157">
        <f t="shared" si="11"/>
        <v>46055</v>
      </c>
      <c r="Y47" s="385">
        <f t="shared" si="12"/>
        <v>4.62645975897843</v>
      </c>
      <c r="Z47" s="385">
        <f t="shared" si="22"/>
        <v>5.0448212056129931</v>
      </c>
      <c r="AA47" s="386">
        <f t="shared" si="13"/>
        <v>5.8679577107749248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0.14027648898192691</v>
      </c>
      <c r="AD47" s="231">
        <f>(INDEX(Models!$BJ47:$BT47,,AH47)*(1-AF47)+INDEX(Models!$BJ47:$BT47,,AH47+1)*AF47-ERP_i)*AE47*Ramure*Pc/MaxiM</f>
        <v>5.0058605248740104E-2</v>
      </c>
      <c r="AE47" s="305">
        <f t="shared" si="15"/>
        <v>0.8</v>
      </c>
      <c r="AF47" s="177">
        <f t="shared" si="23"/>
        <v>0.60233581426680027</v>
      </c>
      <c r="AG47" s="809">
        <f t="shared" si="24"/>
        <v>3</v>
      </c>
      <c r="AH47" s="176">
        <f t="shared" si="16"/>
        <v>9</v>
      </c>
      <c r="AI47" s="225">
        <f t="shared" si="17"/>
        <v>3.6023358142668003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IF(t&gt;Tmaj,'2025'!Wh/'2025'!Env_an*'2026'!Env_an,0.001*'[4]mon-tableau'!$B$130)</f>
        <v>9.1251738560795133</v>
      </c>
      <c r="C48" s="839"/>
      <c r="D48" s="393">
        <f t="shared" si="0"/>
        <v>9.9505818614223411</v>
      </c>
      <c r="E48" s="385">
        <f t="shared" si="1"/>
        <v>10.701528018479072</v>
      </c>
      <c r="F48" s="385">
        <f t="shared" si="2"/>
        <v>10.751869576099383</v>
      </c>
      <c r="G48" s="110">
        <f t="shared" si="21"/>
        <v>0.40583790661903119</v>
      </c>
      <c r="H48" s="414" t="b">
        <f>Wh_hp&gt;='2025'!Maxi_hp</f>
        <v>0</v>
      </c>
      <c r="I48" s="390">
        <f>IF(H48,Wh_hp,'2025'!Maxi_hp)</f>
        <v>21.831324615372054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8.295072758939584E-2</v>
      </c>
      <c r="M48" s="843"/>
      <c r="N48" s="843"/>
      <c r="O48" s="48">
        <f>IF(t&lt;Tnet,'2025'!Resal+('2025'!Salim-'2025'!Resal)*(1-EXP(('2025'!Tnet-t)/('2025'!Tau_j))),Resal+(Salim-Resal)*(1-EXP((Tnet-t)/(Tau_j))))*Salcycl</f>
        <v>7.0171862911541344E-2</v>
      </c>
      <c r="P48" s="169">
        <f>(INDEX(Models!$BJ48:$BT48,,T48)*(1-R48)+INDEX(Models!$BJ48:$BT48,,T48+1)*R48-ERP_i)*Q48*Ramure*Pc/MaxiM</f>
        <v>2.8324375455803415E-2</v>
      </c>
      <c r="Q48" s="305">
        <f t="shared" si="4"/>
        <v>0.8</v>
      </c>
      <c r="R48" s="177">
        <f t="shared" si="5"/>
        <v>0.40174865075145627</v>
      </c>
      <c r="S48" s="809">
        <f t="shared" si="6"/>
        <v>2</v>
      </c>
      <c r="T48" s="176">
        <f t="shared" si="7"/>
        <v>8</v>
      </c>
      <c r="U48" s="251">
        <f t="shared" si="8"/>
        <v>2.4017486507514563</v>
      </c>
      <c r="V48" s="383">
        <f t="shared" si="9"/>
        <v>21.95068316739329</v>
      </c>
      <c r="W48" s="402">
        <f t="shared" si="10"/>
        <v>9.1251738560795133</v>
      </c>
      <c r="X48" s="157">
        <f t="shared" si="11"/>
        <v>46056</v>
      </c>
      <c r="Y48" s="385">
        <f t="shared" si="12"/>
        <v>8.4067200293434894</v>
      </c>
      <c r="Z48" s="385">
        <f t="shared" si="22"/>
        <v>9.1671410492973191</v>
      </c>
      <c r="AA48" s="386">
        <f t="shared" si="13"/>
        <v>10.66359062518219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0.14033261670332586</v>
      </c>
      <c r="AD48" s="231">
        <f>(INDEX(Models!$BJ48:$BT48,,AH48)*(1-AF48)+INDEX(Models!$BJ48:$BT48,,AH48+1)*AF48-ERP_i)*AE48*Ramure*Pc/MaxiM</f>
        <v>4.9669622252892787E-2</v>
      </c>
      <c r="AE48" s="305">
        <f t="shared" si="15"/>
        <v>0.8</v>
      </c>
      <c r="AF48" s="177">
        <f t="shared" si="23"/>
        <v>0.60246539791635989</v>
      </c>
      <c r="AG48" s="809">
        <f t="shared" si="24"/>
        <v>3</v>
      </c>
      <c r="AH48" s="176">
        <f t="shared" si="16"/>
        <v>9</v>
      </c>
      <c r="AI48" s="225">
        <f t="shared" si="17"/>
        <v>3.6024653979163599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IF(t&gt;Tmaj,'2025'!Wh/'2025'!Env_an*'2026'!Env_an,0.001*'[4]mon-tableau'!$B$131)</f>
        <v>8.3021709881343764</v>
      </c>
      <c r="C49" s="839"/>
      <c r="D49" s="393">
        <f t="shared" si="0"/>
        <v>9.0533506693110297</v>
      </c>
      <c r="E49" s="385">
        <f t="shared" si="1"/>
        <v>9.7381916031895965</v>
      </c>
      <c r="F49" s="385">
        <f t="shared" si="2"/>
        <v>9.7668769518026242</v>
      </c>
      <c r="G49" s="110">
        <f t="shared" si="21"/>
        <v>0.36431391382015732</v>
      </c>
      <c r="H49" s="414" t="b">
        <f>Wh_hp&gt;='2025'!Maxi_hp</f>
        <v>0</v>
      </c>
      <c r="I49" s="390">
        <f>IF(H49,Wh_hp,'2025'!Maxi_hp)</f>
        <v>19.89663781404116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8.297255995208444E-2</v>
      </c>
      <c r="M49" s="843"/>
      <c r="N49" s="843"/>
      <c r="O49" s="48">
        <f>IF(t&lt;Tnet,'2025'!Resal+('2025'!Salim-'2025'!Resal)*(1-EXP(('2025'!Tnet-t)/('2025'!Tau_j))),Resal+(Salim-Resal)*(1-EXP((Tnet-t)/(Tau_j))))*Salcycl</f>
        <v>7.032526795367823E-2</v>
      </c>
      <c r="P49" s="169">
        <f>(INDEX(Models!$BJ49:$BT49,,T49)*(1-R49)+INDEX(Models!$BJ49:$BT49,,T49+1)*R49-ERP_i)*Q49*Ramure*Pc/MaxiM</f>
        <v>2.790626640929094E-2</v>
      </c>
      <c r="Q49" s="305">
        <f t="shared" si="4"/>
        <v>0.8</v>
      </c>
      <c r="R49" s="177">
        <f t="shared" si="5"/>
        <v>0.4018836109586954</v>
      </c>
      <c r="S49" s="809">
        <f t="shared" si="6"/>
        <v>2</v>
      </c>
      <c r="T49" s="176">
        <f t="shared" si="7"/>
        <v>8</v>
      </c>
      <c r="U49" s="251">
        <f t="shared" si="8"/>
        <v>2.4018836109586954</v>
      </c>
      <c r="V49" s="383">
        <f t="shared" si="9"/>
        <v>22.217820831809451</v>
      </c>
      <c r="W49" s="402">
        <f t="shared" si="10"/>
        <v>8.3021709881343764</v>
      </c>
      <c r="X49" s="157">
        <f t="shared" si="11"/>
        <v>46057</v>
      </c>
      <c r="Y49" s="385">
        <f t="shared" si="12"/>
        <v>7.6591915127726962</v>
      </c>
      <c r="Z49" s="385">
        <f t="shared" si="22"/>
        <v>8.3521944690908008</v>
      </c>
      <c r="AA49" s="386">
        <f t="shared" si="13"/>
        <v>9.7162473191571994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0.14038885644429225</v>
      </c>
      <c r="AD49" s="231">
        <f>(INDEX(Models!$BJ49:$BT49,,AH49)*(1-AF49)+INDEX(Models!$BJ49:$BT49,,AH49+1)*AF49-ERP_i)*AE49*Ramure*Pc/MaxiM</f>
        <v>4.9254552763779887E-2</v>
      </c>
      <c r="AE49" s="305">
        <f t="shared" si="15"/>
        <v>0.8</v>
      </c>
      <c r="AF49" s="177">
        <f t="shared" si="23"/>
        <v>0.60260035812359902</v>
      </c>
      <c r="AG49" s="809">
        <f t="shared" si="24"/>
        <v>3</v>
      </c>
      <c r="AH49" s="176">
        <f t="shared" si="16"/>
        <v>9</v>
      </c>
      <c r="AI49" s="225">
        <f t="shared" si="17"/>
        <v>3.602600358123599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IF(t&gt;Tmaj,'2025'!Wh/'2025'!Env_an*'2026'!Env_an,0.001*'[4]mon-tableau'!$B$132)</f>
        <v>8.6170887490099517</v>
      </c>
      <c r="C50" s="839"/>
      <c r="D50" s="393">
        <f t="shared" si="0"/>
        <v>9.3969858766594747</v>
      </c>
      <c r="E50" s="385">
        <f t="shared" si="1"/>
        <v>10.109487944691532</v>
      </c>
      <c r="F50" s="385">
        <f t="shared" si="2"/>
        <v>10.142640319510429</v>
      </c>
      <c r="G50" s="110">
        <f t="shared" si="21"/>
        <v>0.37389189888287772</v>
      </c>
      <c r="H50" s="414" t="b">
        <f>Wh_hp&gt;='2025'!Maxi_hp</f>
        <v>0</v>
      </c>
      <c r="I50" s="390">
        <f>IF(H50,Wh_hp,'2025'!Maxi_hp)</f>
        <v>27.074904186376749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8.2994391806702122E-2</v>
      </c>
      <c r="M50" s="843"/>
      <c r="N50" s="843"/>
      <c r="O50" s="48">
        <f>IF(t&lt;Tnet,'2025'!Resal+('2025'!Salim-'2025'!Resal)*(1-EXP(('2025'!Tnet-t)/('2025'!Tau_j))),Resal+(Salim-Resal)*(1-EXP((Tnet-t)/(Tau_j))))*Salcycl</f>
        <v>7.0478551626958652E-2</v>
      </c>
      <c r="P50" s="169">
        <f>(INDEX(Models!$BJ50:$BT50,,T50)*(1-R50)+INDEX(Models!$BJ50:$BT50,,T50+1)*R50-ERP_i)*Q50*Ramure*Pc/MaxiM</f>
        <v>2.7497973357947056E-2</v>
      </c>
      <c r="Q50" s="305">
        <f t="shared" si="4"/>
        <v>0.8</v>
      </c>
      <c r="R50" s="177">
        <f t="shared" si="5"/>
        <v>0.40202416820763265</v>
      </c>
      <c r="S50" s="809">
        <f t="shared" si="6"/>
        <v>2</v>
      </c>
      <c r="T50" s="176">
        <f t="shared" si="7"/>
        <v>8</v>
      </c>
      <c r="U50" s="251">
        <f t="shared" si="8"/>
        <v>2.4020241682076326</v>
      </c>
      <c r="V50" s="383">
        <f t="shared" si="9"/>
        <v>22.48676035117192</v>
      </c>
      <c r="W50" s="402">
        <f t="shared" si="10"/>
        <v>8.6170887490099517</v>
      </c>
      <c r="X50" s="157">
        <f t="shared" si="11"/>
        <v>46058</v>
      </c>
      <c r="Y50" s="385">
        <f t="shared" si="12"/>
        <v>7.9482085973350181</v>
      </c>
      <c r="Z50" s="385">
        <f t="shared" si="22"/>
        <v>8.6675681438794374</v>
      </c>
      <c r="AA50" s="386">
        <f t="shared" si="13"/>
        <v>10.083787704674078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0.14044519800215433</v>
      </c>
      <c r="AD50" s="231">
        <f>(INDEX(Models!$BJ50:$BT50,,AH50)*(1-AF50)+INDEX(Models!$BJ50:$BT50,,AH50+1)*AF50-ERP_i)*AE50*Ramure*Pc/MaxiM</f>
        <v>4.8814832833424394E-2</v>
      </c>
      <c r="AE50" s="305">
        <f t="shared" si="15"/>
        <v>0.8</v>
      </c>
      <c r="AF50" s="177">
        <f t="shared" si="23"/>
        <v>0.60274091537253627</v>
      </c>
      <c r="AG50" s="809">
        <f t="shared" si="24"/>
        <v>3</v>
      </c>
      <c r="AH50" s="176">
        <f t="shared" si="16"/>
        <v>9</v>
      </c>
      <c r="AI50" s="225">
        <f t="shared" si="17"/>
        <v>3.6027409153725363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IF(t&gt;Tmaj,'2025'!Wh/'2025'!Env_an*'2026'!Env_an,0.001*'[4]mon-tableau'!$B$133)</f>
        <v>14.942624421830811</v>
      </c>
      <c r="C51" s="839"/>
      <c r="D51" s="393">
        <f t="shared" si="0"/>
        <v>16.295407616931325</v>
      </c>
      <c r="E51" s="385">
        <f t="shared" si="1"/>
        <v>17.533853664752407</v>
      </c>
      <c r="F51" s="385">
        <f t="shared" si="2"/>
        <v>17.779317311688889</v>
      </c>
      <c r="G51" s="110">
        <f t="shared" si="21"/>
        <v>0.64776653883492907</v>
      </c>
      <c r="H51" s="414" t="b">
        <f>Wh_hp&gt;='2025'!Maxi_hp</f>
        <v>0</v>
      </c>
      <c r="I51" s="390">
        <f>IF(H51,Wh_hp,'2025'!Maxi_hp)</f>
        <v>27.752705659425114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8.3016223153260654E-2</v>
      </c>
      <c r="M51" s="843"/>
      <c r="N51" s="843"/>
      <c r="O51" s="48">
        <f>IF(t&lt;Tnet,'2025'!Resal+('2025'!Salim-'2025'!Resal)*(1-EXP(('2025'!Tnet-t)/('2025'!Tau_j))),Resal+(Salim-Resal)*(1-EXP((Tnet-t)/(Tau_j))))*Salcycl</f>
        <v>7.0631708892990169E-2</v>
      </c>
      <c r="P51" s="169">
        <f>(INDEX(Models!$BJ51:$BT51,,T51)*(1-R51)+INDEX(Models!$BJ51:$BT51,,T51+1)*R51-ERP_i)*Q51*Ramure*Pc/MaxiM</f>
        <v>2.7099876698770686E-2</v>
      </c>
      <c r="Q51" s="305">
        <f t="shared" si="4"/>
        <v>0.8</v>
      </c>
      <c r="R51" s="177">
        <f t="shared" si="5"/>
        <v>0.40217055180314576</v>
      </c>
      <c r="S51" s="809">
        <f t="shared" si="6"/>
        <v>2</v>
      </c>
      <c r="T51" s="176">
        <f t="shared" si="7"/>
        <v>8</v>
      </c>
      <c r="U51" s="251">
        <f t="shared" si="8"/>
        <v>2.4021705518031458</v>
      </c>
      <c r="V51" s="383">
        <f t="shared" si="9"/>
        <v>22.756964509751089</v>
      </c>
      <c r="W51" s="402">
        <f t="shared" si="10"/>
        <v>14.942624421830811</v>
      </c>
      <c r="X51" s="157">
        <f t="shared" si="11"/>
        <v>46059</v>
      </c>
      <c r="Y51" s="385">
        <f t="shared" si="12"/>
        <v>13.667518719266386</v>
      </c>
      <c r="Z51" s="385">
        <f t="shared" si="22"/>
        <v>14.904864256448798</v>
      </c>
      <c r="AA51" s="386">
        <f t="shared" si="13"/>
        <v>17.341352555844651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0.14050162993628029</v>
      </c>
      <c r="AD51" s="231">
        <f>(INDEX(Models!$BJ51:$BT51,,AH51)*(1-AF51)+INDEX(Models!$BJ51:$BT51,,AH51+1)*AF51-ERP_i)*AE51*Ramure*Pc/MaxiM</f>
        <v>4.8352540304501236E-2</v>
      </c>
      <c r="AE51" s="305">
        <f t="shared" si="15"/>
        <v>0.8</v>
      </c>
      <c r="AF51" s="177">
        <f t="shared" si="23"/>
        <v>0.60288729896804938</v>
      </c>
      <c r="AG51" s="809">
        <f t="shared" si="24"/>
        <v>3</v>
      </c>
      <c r="AH51" s="176">
        <f t="shared" si="16"/>
        <v>9</v>
      </c>
      <c r="AI51" s="225">
        <f t="shared" si="17"/>
        <v>3.6028872989680494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IF(t&gt;Tmaj,'2025'!Wh/'2025'!Env_an*'2026'!Env_an,0.001*'[4]mon-tableau'!$B$134)</f>
        <v>8.6225597213744454</v>
      </c>
      <c r="C52" s="839"/>
      <c r="D52" s="393">
        <f t="shared" si="0"/>
        <v>9.403399736391103</v>
      </c>
      <c r="E52" s="385">
        <f t="shared" si="1"/>
        <v>10.119721534478382</v>
      </c>
      <c r="F52" s="385">
        <f t="shared" si="2"/>
        <v>10.148570022308064</v>
      </c>
      <c r="G52" s="110">
        <f t="shared" si="21"/>
        <v>0.365470660879464</v>
      </c>
      <c r="H52" s="414" t="b">
        <f>Wh_hp&gt;='2025'!Maxi_hp</f>
        <v>0</v>
      </c>
      <c r="I52" s="390">
        <f>IF(H52,Wh_hp,'2025'!Maxi_hp)</f>
        <v>19.538155508149512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8.3038053991771915E-2</v>
      </c>
      <c r="M52" s="843"/>
      <c r="N52" s="843"/>
      <c r="O52" s="48">
        <f>IF(t&lt;Tnet,'2025'!Resal+('2025'!Salim-'2025'!Resal)*(1-EXP(('2025'!Tnet-t)/('2025'!Tau_j))),Resal+(Salim-Resal)*(1-EXP((Tnet-t)/(Tau_j))))*Salcycl</f>
        <v>7.0784734110196257E-2</v>
      </c>
      <c r="P52" s="169">
        <f>(INDEX(Models!$BJ52:$BT52,,T52)*(1-R52)+INDEX(Models!$BJ52:$BT52,,T52+1)*R52-ERP_i)*Q52*Ramure*Pc/MaxiM</f>
        <v>2.6730412332077885E-2</v>
      </c>
      <c r="Q52" s="305">
        <f t="shared" si="4"/>
        <v>0.8</v>
      </c>
      <c r="R52" s="177">
        <f t="shared" si="5"/>
        <v>0.40232300020502754</v>
      </c>
      <c r="S52" s="809">
        <f t="shared" si="6"/>
        <v>2</v>
      </c>
      <c r="T52" s="176">
        <f t="shared" si="7"/>
        <v>8</v>
      </c>
      <c r="U52" s="251">
        <f t="shared" si="8"/>
        <v>2.4023230002050275</v>
      </c>
      <c r="V52" s="383">
        <f t="shared" si="9"/>
        <v>23.027836425870795</v>
      </c>
      <c r="W52" s="402">
        <f t="shared" si="10"/>
        <v>8.6225597213744454</v>
      </c>
      <c r="X52" s="157">
        <f t="shared" si="11"/>
        <v>46060</v>
      </c>
      <c r="Y52" s="385">
        <f t="shared" si="12"/>
        <v>7.9571213871595221</v>
      </c>
      <c r="Z52" s="385">
        <f t="shared" si="22"/>
        <v>8.6777007724245525</v>
      </c>
      <c r="AA52" s="386">
        <f t="shared" si="13"/>
        <v>10.096902621590246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0.14055813969434633</v>
      </c>
      <c r="AD52" s="231">
        <f>(INDEX(Models!$BJ52:$BT52,,AH52)*(1-AF52)+INDEX(Models!$BJ52:$BT52,,AH52+1)*AF52-ERP_i)*AE52*Ramure*Pc/MaxiM</f>
        <v>4.7873945194901055E-2</v>
      </c>
      <c r="AE52" s="305">
        <f t="shared" si="15"/>
        <v>0.8</v>
      </c>
      <c r="AF52" s="177">
        <f t="shared" si="23"/>
        <v>0.60303974736993116</v>
      </c>
      <c r="AG52" s="809">
        <f t="shared" si="24"/>
        <v>3</v>
      </c>
      <c r="AH52" s="176">
        <f t="shared" si="16"/>
        <v>9</v>
      </c>
      <c r="AI52" s="225">
        <f t="shared" si="17"/>
        <v>3.6030397473699312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IF(t&gt;Tmaj,'2025'!Wh/'2025'!Env_an*'2026'!Env_an,0.001*'[4]mon-tableau'!$B$135)</f>
        <v>23.5145754749792</v>
      </c>
      <c r="C53" s="839"/>
      <c r="D53" s="393">
        <f t="shared" si="0"/>
        <v>25.644614160651592</v>
      </c>
      <c r="E53" s="385">
        <f t="shared" si="1"/>
        <v>27.602682815641316</v>
      </c>
      <c r="F53" s="385">
        <f t="shared" si="2"/>
        <v>28.35093087832141</v>
      </c>
      <c r="G53" s="110">
        <f t="shared" si="21"/>
        <v>1.009224158935293</v>
      </c>
      <c r="H53" s="414" t="b">
        <f>Wh_hp&gt;='2025'!Maxi_hp</f>
        <v>1</v>
      </c>
      <c r="I53" s="390">
        <f>IF(H53,Wh_hp,'2025'!Maxi_hp)</f>
        <v>28.35093087832141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8.3059884322247562E-2</v>
      </c>
      <c r="M53" s="843"/>
      <c r="N53" s="843"/>
      <c r="O53" s="48">
        <f>IF(t&lt;Tnet,'2025'!Resal+('2025'!Salim-'2025'!Resal)*(1-EXP(('2025'!Tnet-t)/('2025'!Tau_j))),Resal+(Salim-Resal)*(1-EXP((Tnet-t)/(Tau_j))))*Salcycl</f>
        <v>7.0937621102546117E-2</v>
      </c>
      <c r="P53" s="169">
        <f>(INDEX(Models!$BJ53:$BT53,,T53)*(1-R53)+INDEX(Models!$BJ53:$BT53,,T53+1)*R53-ERP_i)*Q53*Ramure*Pc/MaxiM</f>
        <v>2.6392363125270154E-2</v>
      </c>
      <c r="Q53" s="305">
        <f t="shared" si="4"/>
        <v>0.8</v>
      </c>
      <c r="R53" s="177">
        <f t="shared" si="5"/>
        <v>0.40248176137306668</v>
      </c>
      <c r="S53" s="809">
        <f t="shared" si="6"/>
        <v>2</v>
      </c>
      <c r="T53" s="176">
        <f t="shared" si="7"/>
        <v>8</v>
      </c>
      <c r="U53" s="251">
        <f t="shared" si="8"/>
        <v>2.4024817613730667</v>
      </c>
      <c r="V53" s="383">
        <f t="shared" si="9"/>
        <v>23.299655747229146</v>
      </c>
      <c r="W53" s="402">
        <f t="shared" si="10"/>
        <v>23.5145754749792</v>
      </c>
      <c r="X53" s="157">
        <f t="shared" si="11"/>
        <v>46061</v>
      </c>
      <c r="Y53" s="385">
        <f t="shared" si="12"/>
        <v>21.281781625638139</v>
      </c>
      <c r="Z53" s="385">
        <f t="shared" si="22"/>
        <v>23.209565446820701</v>
      </c>
      <c r="AA53" s="386">
        <f t="shared" si="13"/>
        <v>27.007171077259017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0.14061471375785942</v>
      </c>
      <c r="AD53" s="231">
        <f>(INDEX(Models!$BJ53:$BT53,,AH53)*(1-AF53)+INDEX(Models!$BJ53:$BT53,,AH53+1)*AF53-ERP_i)*AE53*Ramure*Pc/MaxiM</f>
        <v>4.7397378478669344E-2</v>
      </c>
      <c r="AE53" s="305">
        <f t="shared" si="15"/>
        <v>0.8</v>
      </c>
      <c r="AF53" s="177">
        <f t="shared" si="23"/>
        <v>0.6031985085379703</v>
      </c>
      <c r="AG53" s="809">
        <f t="shared" si="24"/>
        <v>3</v>
      </c>
      <c r="AH53" s="176">
        <f t="shared" si="16"/>
        <v>9</v>
      </c>
      <c r="AI53" s="225">
        <f t="shared" si="17"/>
        <v>3.6031985085379703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IF(t&gt;Tmaj,'2025'!Wh/'2025'!Env_an*'2026'!Env_an,0.001*'[4]mon-tableau'!$B$136)</f>
        <v>23.273993969702598</v>
      </c>
      <c r="C54" s="839"/>
      <c r="D54" s="393">
        <f t="shared" si="0"/>
        <v>25.382844173505212</v>
      </c>
      <c r="E54" s="385">
        <f t="shared" si="1"/>
        <v>27.325418069706991</v>
      </c>
      <c r="F54" s="385">
        <f t="shared" si="2"/>
        <v>28.043671558110727</v>
      </c>
      <c r="G54" s="110">
        <f t="shared" si="21"/>
        <v>0.98684546676459206</v>
      </c>
      <c r="H54" s="414" t="b">
        <f>Wh_hp&gt;='2025'!Maxi_hp</f>
        <v>0</v>
      </c>
      <c r="I54" s="390">
        <f>IF(H54,Wh_hp,'2025'!Maxi_hp)</f>
        <v>28.057262374648079</v>
      </c>
      <c r="J54" s="85">
        <f>IF(H54,An,'2025'!An_max)</f>
        <v>2022</v>
      </c>
      <c r="K54" s="197">
        <f t="shared" si="3"/>
        <v>46062</v>
      </c>
      <c r="L54" s="147">
        <f>IF(t&lt;Tvie,1-EXP((T0-t)*PertePVj)+'2025'!Pspv,1-EXP((T0-t)*PertePVj)+Pspv)</f>
        <v>8.3081714144699587E-2</v>
      </c>
      <c r="M54" s="843"/>
      <c r="N54" s="843"/>
      <c r="O54" s="48">
        <f>IF(t&lt;Tnet,'2025'!Resal+('2025'!Salim-'2025'!Resal)*(1-EXP(('2025'!Tnet-t)/('2025'!Tau_j))),Resal+(Salim-Resal)*(1-EXP((Tnet-t)/(Tau_j))))*Salcycl</f>
        <v>7.1090363237857168E-2</v>
      </c>
      <c r="P54" s="169">
        <f>(INDEX(Models!$BJ54:$BT54,,T54)*(1-R54)+INDEX(Models!$BJ54:$BT54,,T54+1)*R54-ERP_i)*Q54*Ramure*Pc/MaxiM</f>
        <v>2.6084309811868066E-2</v>
      </c>
      <c r="Q54" s="305">
        <f t="shared" si="4"/>
        <v>0.8</v>
      </c>
      <c r="R54" s="177">
        <f t="shared" si="5"/>
        <v>0.4026470931233761</v>
      </c>
      <c r="S54" s="809">
        <f t="shared" si="6"/>
        <v>2</v>
      </c>
      <c r="T54" s="176">
        <f t="shared" si="7"/>
        <v>8</v>
      </c>
      <c r="U54" s="251">
        <f t="shared" si="8"/>
        <v>2.4026470931233761</v>
      </c>
      <c r="V54" s="383">
        <f t="shared" si="9"/>
        <v>23.572800809737366</v>
      </c>
      <c r="W54" s="402">
        <f t="shared" si="10"/>
        <v>23.273993969702598</v>
      </c>
      <c r="X54" s="157">
        <f t="shared" si="11"/>
        <v>46062</v>
      </c>
      <c r="Y54" s="385">
        <f t="shared" si="12"/>
        <v>21.078524191844433</v>
      </c>
      <c r="Z54" s="385">
        <f t="shared" si="22"/>
        <v>22.988443481833723</v>
      </c>
      <c r="AA54" s="386">
        <f t="shared" si="13"/>
        <v>26.751631236312885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0.14067133780503752</v>
      </c>
      <c r="AD54" s="231">
        <f>(INDEX(Models!$BJ54:$BT54,,AH54)*(1-AF54)+INDEX(Models!$BJ54:$BT54,,AH54+1)*AF54-ERP_i)*AE54*Ramure*Pc/MaxiM</f>
        <v>4.6922125109480059E-2</v>
      </c>
      <c r="AE54" s="305">
        <f t="shared" si="15"/>
        <v>0.8</v>
      </c>
      <c r="AF54" s="177">
        <f t="shared" si="23"/>
        <v>0.60336384028827972</v>
      </c>
      <c r="AG54" s="809">
        <f t="shared" si="24"/>
        <v>3</v>
      </c>
      <c r="AH54" s="176">
        <f t="shared" si="16"/>
        <v>9</v>
      </c>
      <c r="AI54" s="225">
        <f t="shared" si="17"/>
        <v>3.6033638402882797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IF(t&gt;Tmaj,'2025'!Wh/'2025'!Env_an*'2026'!Env_an,0.001*'[4]mon-tableau'!$B$137)</f>
        <v>21.757357390609659</v>
      </c>
      <c r="C55" s="839"/>
      <c r="D55" s="393">
        <f t="shared" si="0"/>
        <v>23.729350501247215</v>
      </c>
      <c r="E55" s="385">
        <f t="shared" si="1"/>
        <v>25.549577891276627</v>
      </c>
      <c r="F55" s="385">
        <f t="shared" si="2"/>
        <v>26.1396461157054</v>
      </c>
      <c r="G55" s="110">
        <f t="shared" si="21"/>
        <v>0.90933200377178192</v>
      </c>
      <c r="H55" s="414" t="b">
        <f>Wh_hp&gt;='2025'!Maxi_hp</f>
        <v>0</v>
      </c>
      <c r="I55" s="390">
        <f>IF(H55,Wh_hp,'2025'!Maxi_hp)</f>
        <v>26.226274713136441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8.3103543459139756E-2</v>
      </c>
      <c r="M55" s="843"/>
      <c r="N55" s="843"/>
      <c r="O55" s="48">
        <f>IF(t&lt;Tnet,'2025'!Resal+('2025'!Salim-'2025'!Resal)*(1-EXP(('2025'!Tnet-t)/('2025'!Tau_j))),Resal+(Salim-Resal)*(1-EXP((Tnet-t)/(Tau_j))))*Salcycl</f>
        <v>7.1242953514738583E-2</v>
      </c>
      <c r="P55" s="169">
        <f>(INDEX(Models!$BJ55:$BT55,,T55)*(1-R55)+INDEX(Models!$BJ55:$BT55,,T55+1)*R55-ERP_i)*Q55*Ramure*Pc/MaxiM</f>
        <v>2.5804901455467936E-2</v>
      </c>
      <c r="Q55" s="305">
        <f t="shared" si="4"/>
        <v>0.8</v>
      </c>
      <c r="R55" s="177">
        <f t="shared" si="5"/>
        <v>0.40281926349617114</v>
      </c>
      <c r="S55" s="809">
        <f t="shared" si="6"/>
        <v>2</v>
      </c>
      <c r="T55" s="176">
        <f t="shared" si="7"/>
        <v>8</v>
      </c>
      <c r="U55" s="251">
        <f t="shared" si="8"/>
        <v>2.4028192634961711</v>
      </c>
      <c r="V55" s="383">
        <f t="shared" si="9"/>
        <v>23.847649703248514</v>
      </c>
      <c r="W55" s="402">
        <f t="shared" si="10"/>
        <v>21.757357390609659</v>
      </c>
      <c r="X55" s="157">
        <f t="shared" si="11"/>
        <v>46063</v>
      </c>
      <c r="Y55" s="385">
        <f t="shared" si="12"/>
        <v>19.757687486931349</v>
      </c>
      <c r="Z55" s="385">
        <f t="shared" si="22"/>
        <v>21.548439135069199</v>
      </c>
      <c r="AA55" s="386">
        <f t="shared" si="13"/>
        <v>25.077552925095969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0.14072799688900525</v>
      </c>
      <c r="AD55" s="231">
        <f>(INDEX(Models!$BJ55:$BT55,,AH55)*(1-AF55)+INDEX(Models!$BJ55:$BT55,,AH55+1)*AF55-ERP_i)*AE55*Ramure*Pc/MaxiM</f>
        <v>4.6447527566379238E-2</v>
      </c>
      <c r="AE55" s="305">
        <f t="shared" si="15"/>
        <v>0.8</v>
      </c>
      <c r="AF55" s="177">
        <f t="shared" si="23"/>
        <v>0.60353601066107476</v>
      </c>
      <c r="AG55" s="809">
        <f t="shared" si="24"/>
        <v>3</v>
      </c>
      <c r="AH55" s="176">
        <f t="shared" si="16"/>
        <v>9</v>
      </c>
      <c r="AI55" s="225">
        <f t="shared" si="17"/>
        <v>3.6035360106610748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IF(t&gt;Tmaj,'2025'!Wh/'2025'!Env_an*'2026'!Env_an,0.001*'[4]mon-tableau'!$B$138)</f>
        <v>14.386379372239185</v>
      </c>
      <c r="C56" s="839"/>
      <c r="D56" s="393">
        <f t="shared" si="0"/>
        <v>15.690672352650498</v>
      </c>
      <c r="E56" s="385">
        <f t="shared" si="1"/>
        <v>16.897043255441563</v>
      </c>
      <c r="F56" s="385">
        <f t="shared" si="2"/>
        <v>17.081826007020091</v>
      </c>
      <c r="G56" s="110">
        <f t="shared" si="21"/>
        <v>0.58745365598051236</v>
      </c>
      <c r="H56" s="414" t="b">
        <f>Wh_hp&gt;='2025'!Maxi_hp</f>
        <v>0</v>
      </c>
      <c r="I56" s="390">
        <f>IF(H56,Wh_hp,'2025'!Maxi_hp)</f>
        <v>22.96810519767752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8.3125372265579839E-2</v>
      </c>
      <c r="M56" s="843"/>
      <c r="N56" s="843"/>
      <c r="O56" s="48">
        <f>IF(t&lt;Tnet,'2025'!Resal+('2025'!Salim-'2025'!Resal)*(1-EXP(('2025'!Tnet-t)/('2025'!Tau_j))),Resal+(Salim-Resal)*(1-EXP((Tnet-t)/(Tau_j))))*Salcycl</f>
        <v>7.1395384657168423E-2</v>
      </c>
      <c r="P56" s="169">
        <f>(INDEX(Models!$BJ56:$BT56,,T56)*(1-R56)+INDEX(Models!$BJ56:$BT56,,T56+1)*R56-ERP_i)*Q56*Ramure*Pc/MaxiM</f>
        <v>2.5552848695978393E-2</v>
      </c>
      <c r="Q56" s="305">
        <f t="shared" si="4"/>
        <v>0.8</v>
      </c>
      <c r="R56" s="177">
        <f t="shared" si="5"/>
        <v>0.40299855113520477</v>
      </c>
      <c r="S56" s="809">
        <f t="shared" si="6"/>
        <v>2</v>
      </c>
      <c r="T56" s="176">
        <f t="shared" si="7"/>
        <v>8</v>
      </c>
      <c r="U56" s="251">
        <f t="shared" si="8"/>
        <v>2.4029985511352048</v>
      </c>
      <c r="V56" s="383">
        <f t="shared" si="9"/>
        <v>24.12458026749032</v>
      </c>
      <c r="W56" s="402">
        <f t="shared" si="10"/>
        <v>14.386379372239185</v>
      </c>
      <c r="X56" s="157">
        <f t="shared" si="11"/>
        <v>46064</v>
      </c>
      <c r="Y56" s="385">
        <f t="shared" si="12"/>
        <v>13.195037589561391</v>
      </c>
      <c r="Z56" s="385">
        <f t="shared" si="22"/>
        <v>14.391321550871222</v>
      </c>
      <c r="AA56" s="386">
        <f t="shared" si="13"/>
        <v>16.749377184827388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0.14078467562914745</v>
      </c>
      <c r="AD56" s="231">
        <f>(INDEX(Models!$BJ56:$BT56,,AH56)*(1-AF56)+INDEX(Models!$BJ56:$BT56,,AH56+1)*AF56-ERP_i)*AE56*Ramure*Pc/MaxiM</f>
        <v>4.5972983842250792E-2</v>
      </c>
      <c r="AE56" s="305">
        <f t="shared" si="15"/>
        <v>0.8</v>
      </c>
      <c r="AF56" s="177">
        <f t="shared" si="23"/>
        <v>0.60371529830010839</v>
      </c>
      <c r="AG56" s="809">
        <f t="shared" si="24"/>
        <v>3</v>
      </c>
      <c r="AH56" s="176">
        <f t="shared" si="16"/>
        <v>9</v>
      </c>
      <c r="AI56" s="225">
        <f t="shared" si="17"/>
        <v>3.6037152983001084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IF(t&gt;Tmaj,'2025'!Wh/'2025'!Env_an*'2026'!Env_an,0.001*'[4]mon-tableau'!$B$139)</f>
        <v>20.406115584378806</v>
      </c>
      <c r="C57" s="839"/>
      <c r="D57" s="393">
        <f t="shared" si="0"/>
        <v>22.25669769120222</v>
      </c>
      <c r="E57" s="385">
        <f t="shared" si="1"/>
        <v>23.971825449523127</v>
      </c>
      <c r="F57" s="385">
        <f t="shared" si="2"/>
        <v>24.446071939590656</v>
      </c>
      <c r="G57" s="110">
        <f t="shared" si="21"/>
        <v>0.83112588699429113</v>
      </c>
      <c r="H57" s="414" t="b">
        <f>Wh_hp&gt;='2025'!Maxi_hp</f>
        <v>0</v>
      </c>
      <c r="I57" s="390">
        <f>IF(H57,Wh_hp,'2025'!Maxi_hp)</f>
        <v>29.947194156112754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8.3147200564031826E-2</v>
      </c>
      <c r="M57" s="843"/>
      <c r="N57" s="843"/>
      <c r="O57" s="48">
        <f>IF(t&lt;Tnet,'2025'!Resal+('2025'!Salim-'2025'!Resal)*(1-EXP(('2025'!Tnet-t)/('2025'!Tau_j))),Resal+(Salim-Resal)*(1-EXP((Tnet-t)/(Tau_j))))*Salcycl</f>
        <v>7.1547649215634723E-2</v>
      </c>
      <c r="P57" s="169">
        <f>(INDEX(Models!$BJ57:$BT57,,T57)*(1-R57)+INDEX(Models!$BJ57:$BT57,,T57+1)*R57-ERP_i)*Q57*Ramure*Pc/MaxiM</f>
        <v>2.5326917778546745E-2</v>
      </c>
      <c r="Q57" s="305">
        <f t="shared" si="4"/>
        <v>0.8</v>
      </c>
      <c r="R57" s="177">
        <f t="shared" si="5"/>
        <v>0.40318524567903191</v>
      </c>
      <c r="S57" s="809">
        <f t="shared" si="6"/>
        <v>2</v>
      </c>
      <c r="T57" s="176">
        <f t="shared" si="7"/>
        <v>8</v>
      </c>
      <c r="U57" s="251">
        <f t="shared" si="8"/>
        <v>2.4031852456790319</v>
      </c>
      <c r="V57" s="383">
        <f t="shared" si="9"/>
        <v>24.403970074232316</v>
      </c>
      <c r="W57" s="402">
        <f t="shared" si="10"/>
        <v>20.406115584378806</v>
      </c>
      <c r="X57" s="157">
        <f t="shared" si="11"/>
        <v>46065</v>
      </c>
      <c r="Y57" s="385">
        <f t="shared" si="12"/>
        <v>18.585609881885357</v>
      </c>
      <c r="Z57" s="385">
        <f t="shared" si="22"/>
        <v>20.271094654800532</v>
      </c>
      <c r="AA57" s="386">
        <f t="shared" si="13"/>
        <v>23.594122986839047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0.14084135841336939</v>
      </c>
      <c r="AD57" s="231">
        <f>(INDEX(Models!$BJ57:$BT57,,AH57)*(1-AF57)+INDEX(Models!$BJ57:$BT57,,AH57+1)*AF57-ERP_i)*AE57*Ramure*Pc/MaxiM</f>
        <v>4.5497945751346879E-2</v>
      </c>
      <c r="AE57" s="305">
        <f t="shared" si="15"/>
        <v>0.8</v>
      </c>
      <c r="AF57" s="177">
        <f t="shared" si="23"/>
        <v>0.60390199284393553</v>
      </c>
      <c r="AG57" s="809">
        <f t="shared" si="24"/>
        <v>3</v>
      </c>
      <c r="AH57" s="176">
        <f t="shared" si="16"/>
        <v>9</v>
      </c>
      <c r="AI57" s="225">
        <f t="shared" si="17"/>
        <v>3.6039019928439355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IF(t&gt;Tmaj,'2025'!Wh/'2025'!Env_an*'2026'!Env_an,0.001*'[4]mon-tableau'!$B$140)</f>
        <v>23.38482265293165</v>
      </c>
      <c r="C58" s="839"/>
      <c r="D58" s="393">
        <f t="shared" si="0"/>
        <v>25.506143854369878</v>
      </c>
      <c r="E58" s="385">
        <f t="shared" si="1"/>
        <v>27.476178715499824</v>
      </c>
      <c r="F58" s="385">
        <f t="shared" si="2"/>
        <v>28.13034875145782</v>
      </c>
      <c r="G58" s="110">
        <f t="shared" si="21"/>
        <v>0.94546880765648944</v>
      </c>
      <c r="H58" s="414" t="b">
        <f>Wh_hp&gt;='2025'!Maxi_hp</f>
        <v>0</v>
      </c>
      <c r="I58" s="390">
        <f>IF(H58,Wh_hp,'2025'!Maxi_hp)</f>
        <v>30.793710907907265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8.3169028354507263E-2</v>
      </c>
      <c r="M58" s="843"/>
      <c r="N58" s="843"/>
      <c r="O58" s="48">
        <f>IF(t&lt;Tnet,'2025'!Resal+('2025'!Salim-'2025'!Resal)*(1-EXP(('2025'!Tnet-t)/('2025'!Tau_j))),Resal+(Salim-Resal)*(1-EXP((Tnet-t)/(Tau_j))))*Salcycl</f>
        <v>7.1699739673720134E-2</v>
      </c>
      <c r="P58" s="169">
        <f>(INDEX(Models!$BJ58:$BT58,,T58)*(1-R58)+INDEX(Models!$BJ58:$BT58,,T58+1)*R58-ERP_i)*Q58*Ramure*Pc/MaxiM</f>
        <v>2.5148072365442829E-2</v>
      </c>
      <c r="Q58" s="305">
        <f t="shared" si="4"/>
        <v>0.8</v>
      </c>
      <c r="R58" s="177">
        <f t="shared" si="5"/>
        <v>0.40337964816427929</v>
      </c>
      <c r="S58" s="809">
        <f t="shared" si="6"/>
        <v>2</v>
      </c>
      <c r="T58" s="176">
        <f t="shared" si="7"/>
        <v>8</v>
      </c>
      <c r="U58" s="251">
        <f t="shared" si="8"/>
        <v>2.4033796481642793</v>
      </c>
      <c r="V58" s="383">
        <f t="shared" si="9"/>
        <v>24.685635604861854</v>
      </c>
      <c r="W58" s="402">
        <f t="shared" si="10"/>
        <v>23.38482265293165</v>
      </c>
      <c r="X58" s="157">
        <f t="shared" si="11"/>
        <v>46066</v>
      </c>
      <c r="Y58" s="385">
        <f t="shared" si="12"/>
        <v>21.234164093693376</v>
      </c>
      <c r="Z58" s="385">
        <f t="shared" si="22"/>
        <v>23.160391337547335</v>
      </c>
      <c r="AA58" s="386">
        <f t="shared" si="13"/>
        <v>26.958838573033404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0.14089802960894648</v>
      </c>
      <c r="AD58" s="231">
        <f>(INDEX(Models!$BJ58:$BT58,,AH58)*(1-AF58)+INDEX(Models!$BJ58:$BT58,,AH58+1)*AF58-ERP_i)*AE58*Ramure*Pc/MaxiM</f>
        <v>4.5036032108571884E-2</v>
      </c>
      <c r="AE58" s="305">
        <f t="shared" si="15"/>
        <v>0.8</v>
      </c>
      <c r="AF58" s="177">
        <f t="shared" si="23"/>
        <v>0.60409639532918291</v>
      </c>
      <c r="AG58" s="809">
        <f t="shared" si="24"/>
        <v>3</v>
      </c>
      <c r="AH58" s="176">
        <f t="shared" si="16"/>
        <v>9</v>
      </c>
      <c r="AI58" s="225">
        <f t="shared" si="17"/>
        <v>3.6040963953291829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IF(t&gt;Tmaj,'2025'!Wh/'2025'!Env_an*'2026'!Env_an,0.001*'[4]mon-tableau'!$B$141)</f>
        <v>12.345813292989595</v>
      </c>
      <c r="C59" s="839"/>
      <c r="D59" s="393">
        <f t="shared" si="0"/>
        <v>13.466066922322993</v>
      </c>
      <c r="E59" s="385">
        <f t="shared" si="1"/>
        <v>14.508528621977073</v>
      </c>
      <c r="F59" s="385">
        <f t="shared" si="2"/>
        <v>14.610011865694272</v>
      </c>
      <c r="G59" s="110">
        <f t="shared" si="21"/>
        <v>0.48543082640214769</v>
      </c>
      <c r="H59" s="414" t="b">
        <f>Wh_hp&gt;='2025'!Maxi_hp</f>
        <v>0</v>
      </c>
      <c r="I59" s="390">
        <f>IF(H59,Wh_hp,'2025'!Maxi_hp)</f>
        <v>30.902600245057862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8.3190855637018252E-2</v>
      </c>
      <c r="M59" s="843"/>
      <c r="N59" s="843"/>
      <c r="O59" s="48">
        <f>IF(t&lt;Tnet,'2025'!Resal+('2025'!Salim-'2025'!Resal)*(1-EXP(('2025'!Tnet-t)/('2025'!Tau_j))),Resal+(Salim-Resal)*(1-EXP((Tnet-t)/(Tau_j))))*Salcycl</f>
        <v>7.185164855897179E-2</v>
      </c>
      <c r="P59" s="169">
        <f>(INDEX(Models!$BJ59:$BT59,,T59)*(1-R59)+INDEX(Models!$BJ59:$BT59,,T59+1)*R59-ERP_i)*Q59*Ramure*Pc/MaxiM</f>
        <v>2.5008762259991855E-2</v>
      </c>
      <c r="Q59" s="305">
        <f t="shared" si="4"/>
        <v>0.8</v>
      </c>
      <c r="R59" s="177">
        <f t="shared" si="5"/>
        <v>0.40358207144105718</v>
      </c>
      <c r="S59" s="809">
        <f t="shared" si="6"/>
        <v>2</v>
      </c>
      <c r="T59" s="176">
        <f t="shared" si="7"/>
        <v>8</v>
      </c>
      <c r="U59" s="251">
        <f t="shared" si="8"/>
        <v>2.4035820714410572</v>
      </c>
      <c r="V59" s="383">
        <f t="shared" si="9"/>
        <v>24.97009895148646</v>
      </c>
      <c r="W59" s="402">
        <f t="shared" si="10"/>
        <v>12.345813292989595</v>
      </c>
      <c r="X59" s="157">
        <f t="shared" si="11"/>
        <v>46067</v>
      </c>
      <c r="Y59" s="385">
        <f t="shared" si="12"/>
        <v>11.364033420149704</v>
      </c>
      <c r="Z59" s="385">
        <f t="shared" si="22"/>
        <v>12.395200778724424</v>
      </c>
      <c r="AA59" s="386">
        <f t="shared" si="13"/>
        <v>14.42904163539365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0.14095467377960336</v>
      </c>
      <c r="AD59" s="231">
        <f>(INDEX(Models!$BJ59:$BT59,,AH59)*(1-AF59)+INDEX(Models!$BJ59:$BT59,,AH59+1)*AF59-ERP_i)*AE59*Ramure*Pc/MaxiM</f>
        <v>4.4596933443871813E-2</v>
      </c>
      <c r="AE59" s="305">
        <f t="shared" si="15"/>
        <v>0.8</v>
      </c>
      <c r="AF59" s="177">
        <f t="shared" si="23"/>
        <v>0.6042988186059608</v>
      </c>
      <c r="AG59" s="809">
        <f t="shared" si="24"/>
        <v>3</v>
      </c>
      <c r="AH59" s="176">
        <f t="shared" si="16"/>
        <v>9</v>
      </c>
      <c r="AI59" s="225">
        <f t="shared" si="17"/>
        <v>3.6042988186059608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IF(t&gt;Tmaj,'2025'!Wh/'2025'!Env_an*'2026'!Env_an,0.001*'[4]mon-tableau'!$B$142)</f>
        <v>15.660203489350419</v>
      </c>
      <c r="C60" s="839"/>
      <c r="D60" s="393">
        <f t="shared" si="0"/>
        <v>17.08161008438034</v>
      </c>
      <c r="E60" s="385">
        <f t="shared" si="1"/>
        <v>18.406974234180947</v>
      </c>
      <c r="F60" s="385">
        <f t="shared" si="2"/>
        <v>18.618984758827359</v>
      </c>
      <c r="G60" s="110">
        <f t="shared" si="21"/>
        <v>0.61153658408095912</v>
      </c>
      <c r="H60" s="414" t="b">
        <f>Wh_hp&gt;='2025'!Maxi_hp</f>
        <v>0</v>
      </c>
      <c r="I60" s="390">
        <f>IF(H60,Wh_hp,'2025'!Maxi_hp)</f>
        <v>31.193309368180032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8.321268241157645E-2</v>
      </c>
      <c r="M60" s="843"/>
      <c r="N60" s="843"/>
      <c r="O60" s="48">
        <f>IF(t&lt;Tnet,'2025'!Resal+('2025'!Salim-'2025'!Resal)*(1-EXP(('2025'!Tnet-t)/('2025'!Tau_j))),Resal+(Salim-Resal)*(1-EXP((Tnet-t)/(Tau_j))))*Salcycl</f>
        <v>7.200336855687349E-2</v>
      </c>
      <c r="P60" s="169">
        <f>(INDEX(Models!$BJ60:$BT60,,T60)*(1-R60)+INDEX(Models!$BJ60:$BT60,,T60+1)*R60-ERP_i)*Q60*Ramure*Pc/MaxiM</f>
        <v>2.4907356029680552E-2</v>
      </c>
      <c r="Q60" s="305">
        <f t="shared" si="4"/>
        <v>0.8</v>
      </c>
      <c r="R60" s="177">
        <f t="shared" si="5"/>
        <v>0.40379284060065368</v>
      </c>
      <c r="S60" s="809">
        <f t="shared" si="6"/>
        <v>2</v>
      </c>
      <c r="T60" s="176">
        <f t="shared" si="7"/>
        <v>8</v>
      </c>
      <c r="U60" s="251">
        <f t="shared" si="8"/>
        <v>2.4037928406006537</v>
      </c>
      <c r="V60" s="383">
        <f t="shared" si="9"/>
        <v>25.257736614645491</v>
      </c>
      <c r="W60" s="402">
        <f t="shared" si="10"/>
        <v>15.660203489350419</v>
      </c>
      <c r="X60" s="157">
        <f t="shared" si="11"/>
        <v>46068</v>
      </c>
      <c r="Y60" s="385">
        <f t="shared" si="12"/>
        <v>14.366490090815619</v>
      </c>
      <c r="Z60" s="385">
        <f t="shared" si="22"/>
        <v>15.670472109721326</v>
      </c>
      <c r="AA60" s="386">
        <f t="shared" si="13"/>
        <v>18.242931100472369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0.14101127590644866</v>
      </c>
      <c r="AD60" s="231">
        <f>(INDEX(Models!$BJ60:$BT60,,AH60)*(1-AF60)+INDEX(Models!$BJ60:$BT60,,AH60+1)*AF60-ERP_i)*AE60*Ramure*Pc/MaxiM</f>
        <v>4.4179421613775374E-2</v>
      </c>
      <c r="AE60" s="305">
        <f t="shared" si="15"/>
        <v>0.8</v>
      </c>
      <c r="AF60" s="177">
        <f t="shared" si="23"/>
        <v>0.6045095877655573</v>
      </c>
      <c r="AG60" s="809">
        <f t="shared" si="24"/>
        <v>3</v>
      </c>
      <c r="AH60" s="176">
        <f t="shared" si="16"/>
        <v>9</v>
      </c>
      <c r="AI60" s="225">
        <f t="shared" si="17"/>
        <v>3.6045095877655573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IF(t&gt;Tmaj,'2025'!Wh/'2025'!Env_an*'2026'!Env_an,0.001*'[4]mon-tableau'!$B$143)</f>
        <v>9.5893972266102541</v>
      </c>
      <c r="C61" s="839"/>
      <c r="D61" s="393">
        <f t="shared" si="0"/>
        <v>10.460032928141871</v>
      </c>
      <c r="E61" s="385">
        <f t="shared" si="1"/>
        <v>11.273468863519879</v>
      </c>
      <c r="F61" s="385">
        <f t="shared" si="2"/>
        <v>11.303689828717413</v>
      </c>
      <c r="G61" s="110">
        <f t="shared" si="21"/>
        <v>0.36699167511081177</v>
      </c>
      <c r="H61" s="414" t="b">
        <f>Wh_hp&gt;='2025'!Maxi_hp</f>
        <v>0</v>
      </c>
      <c r="I61" s="390">
        <f>IF(H61,Wh_hp,'2025'!Maxi_hp)</f>
        <v>31.828917483030121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8.3234508678193736E-2</v>
      </c>
      <c r="M61" s="843"/>
      <c r="N61" s="843"/>
      <c r="O61" s="48">
        <f>IF(t&lt;Tnet,'2025'!Resal+('2025'!Salim-'2025'!Resal)*(1-EXP(('2025'!Tnet-t)/('2025'!Tau_j))),Resal+(Salim-Resal)*(1-EXP((Tnet-t)/(Tau_j))))*Salcycl</f>
        <v>7.2154892626725378E-2</v>
      </c>
      <c r="P61" s="169">
        <f>(INDEX(Models!$BJ61:$BT61,,T61)*(1-R61)+INDEX(Models!$BJ61:$BT61,,T61+1)*R61-ERP_i)*Q61*Ramure*Pc/MaxiM</f>
        <v>2.4842268458421034E-2</v>
      </c>
      <c r="Q61" s="305">
        <f t="shared" si="4"/>
        <v>0.8</v>
      </c>
      <c r="R61" s="177">
        <f t="shared" si="5"/>
        <v>0.40401229341559919</v>
      </c>
      <c r="S61" s="809">
        <f t="shared" si="6"/>
        <v>2</v>
      </c>
      <c r="T61" s="176">
        <f t="shared" si="7"/>
        <v>8</v>
      </c>
      <c r="U61" s="251">
        <f t="shared" si="8"/>
        <v>2.4040122934155992</v>
      </c>
      <c r="V61" s="383">
        <f t="shared" si="9"/>
        <v>25.54892474040221</v>
      </c>
      <c r="W61" s="402">
        <f t="shared" si="10"/>
        <v>9.5893972266102541</v>
      </c>
      <c r="X61" s="157">
        <f t="shared" si="11"/>
        <v>46069</v>
      </c>
      <c r="Y61" s="385">
        <f t="shared" si="12"/>
        <v>8.8590300669846886</v>
      </c>
      <c r="Z61" s="385">
        <f t="shared" si="22"/>
        <v>9.6633546428668531</v>
      </c>
      <c r="AA61" s="386">
        <f t="shared" si="13"/>
        <v>11.250428015148458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0.14106782161039957</v>
      </c>
      <c r="AD61" s="231">
        <f>(INDEX(Models!$BJ61:$BT61,,AH61)*(1-AF61)+INDEX(Models!$BJ61:$BT61,,AH61+1)*AF61-ERP_i)*AE61*Ramure*Pc/MaxiM</f>
        <v>4.3782330002163812E-2</v>
      </c>
      <c r="AE61" s="305">
        <f t="shared" si="15"/>
        <v>0.8</v>
      </c>
      <c r="AF61" s="177">
        <f t="shared" si="23"/>
        <v>0.60472904058050281</v>
      </c>
      <c r="AG61" s="809">
        <f t="shared" si="24"/>
        <v>3</v>
      </c>
      <c r="AH61" s="176">
        <f t="shared" si="16"/>
        <v>9</v>
      </c>
      <c r="AI61" s="225">
        <f t="shared" si="17"/>
        <v>3.6047290405805028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IF(t&gt;Tmaj,'2025'!Wh/'2025'!Env_an*'2026'!Env_an,0.001*'[4]mon-tableau'!$B$144)</f>
        <v>10.303605954111939</v>
      </c>
      <c r="C62" s="839"/>
      <c r="D62" s="393">
        <f t="shared" si="0"/>
        <v>11.239353312338247</v>
      </c>
      <c r="E62" s="385">
        <f t="shared" si="1"/>
        <v>12.115369837963678</v>
      </c>
      <c r="F62" s="385">
        <f t="shared" si="2"/>
        <v>12.157897191019995</v>
      </c>
      <c r="G62" s="110">
        <f t="shared" si="21"/>
        <v>0.39015664731096056</v>
      </c>
      <c r="H62" s="414" t="b">
        <f>Wh_hp&gt;='2025'!Maxi_hp</f>
        <v>0</v>
      </c>
      <c r="I62" s="390">
        <f>IF(H62,Wh_hp,'2025'!Maxi_hp)</f>
        <v>32.141014438582829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8.3256334436881879E-2</v>
      </c>
      <c r="M62" s="843"/>
      <c r="N62" s="843"/>
      <c r="O62" s="48">
        <f>IF(t&lt;Tnet,'2025'!Resal+('2025'!Salim-'2025'!Resal)*(1-EXP(('2025'!Tnet-t)/('2025'!Tau_j))),Resal+(Salim-Resal)*(1-EXP((Tnet-t)/(Tau_j))))*Salcycl</f>
        <v>7.2306214118236928E-2</v>
      </c>
      <c r="P62" s="169">
        <f>(INDEX(Models!$BJ62:$BT62,,T62)*(1-R62)+INDEX(Models!$BJ62:$BT62,,T62+1)*R62-ERP_i)*Q62*Ramure*Pc/MaxiM</f>
        <v>2.4811955834292198E-2</v>
      </c>
      <c r="Q62" s="305">
        <f t="shared" si="4"/>
        <v>0.8</v>
      </c>
      <c r="R62" s="177">
        <f t="shared" si="5"/>
        <v>0.40424078079218706</v>
      </c>
      <c r="S62" s="809">
        <f t="shared" si="6"/>
        <v>2</v>
      </c>
      <c r="T62" s="176">
        <f t="shared" si="7"/>
        <v>8</v>
      </c>
      <c r="U62" s="251">
        <f t="shared" si="8"/>
        <v>2.4042407807921871</v>
      </c>
      <c r="V62" s="383">
        <f t="shared" si="9"/>
        <v>25.844039101976627</v>
      </c>
      <c r="W62" s="402">
        <f t="shared" si="10"/>
        <v>10.303605954111939</v>
      </c>
      <c r="X62" s="157">
        <f t="shared" si="11"/>
        <v>46070</v>
      </c>
      <c r="Y62" s="385">
        <f t="shared" si="12"/>
        <v>9.5141734971168397</v>
      </c>
      <c r="Z62" s="385">
        <f t="shared" si="22"/>
        <v>10.378226601950582</v>
      </c>
      <c r="AA62" s="386">
        <f t="shared" si="13"/>
        <v>12.083502385987247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0.14112429737376514</v>
      </c>
      <c r="AD62" s="231">
        <f>(INDEX(Models!$BJ62:$BT62,,AH62)*(1-AF62)+INDEX(Models!$BJ62:$BT62,,AH62+1)*AF62-ERP_i)*AE62*Ramure*Pc/MaxiM</f>
        <v>4.3404549874734549E-2</v>
      </c>
      <c r="AE62" s="305">
        <f t="shared" si="15"/>
        <v>0.8</v>
      </c>
      <c r="AF62" s="177">
        <f t="shared" si="23"/>
        <v>0.60495752795709068</v>
      </c>
      <c r="AG62" s="809">
        <f t="shared" si="24"/>
        <v>3</v>
      </c>
      <c r="AH62" s="176">
        <f t="shared" si="16"/>
        <v>9</v>
      </c>
      <c r="AI62" s="225">
        <f t="shared" si="17"/>
        <v>3.6049575279570907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IF(t&gt;Tmaj,'2025'!Wh/'2025'!Env_an*'2026'!Env_an,0.001*'[4]mon-tableau'!$B$145)</f>
        <v>20.334193866021952</v>
      </c>
      <c r="C63" s="839"/>
      <c r="D63" s="393">
        <f t="shared" si="0"/>
        <v>22.181421857576385</v>
      </c>
      <c r="E63" s="385">
        <f t="shared" si="1"/>
        <v>23.914179369394581</v>
      </c>
      <c r="F63" s="385">
        <f t="shared" si="2"/>
        <v>24.326209365665054</v>
      </c>
      <c r="G63" s="110">
        <f t="shared" si="21"/>
        <v>0.77156050099137663</v>
      </c>
      <c r="H63" s="414" t="b">
        <f>Wh_hp&gt;='2025'!Maxi_hp</f>
        <v>0</v>
      </c>
      <c r="I63" s="390">
        <f>IF(H63,Wh_hp,'2025'!Maxi_hp)</f>
        <v>31.856589753625187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8.3278159687652648E-2</v>
      </c>
      <c r="M63" s="843"/>
      <c r="N63" s="843"/>
      <c r="O63" s="48">
        <f>IF(t&lt;Tnet,'2025'!Resal+('2025'!Salim-'2025'!Resal)*(1-EXP(('2025'!Tnet-t)/('2025'!Tau_j))),Resal+(Salim-Resal)*(1-EXP((Tnet-t)/(Tau_j))))*Salcycl</f>
        <v>7.2457326887653162E-2</v>
      </c>
      <c r="P63" s="169">
        <f>(INDEX(Models!$BJ63:$BT63,,T63)*(1-R63)+INDEX(Models!$BJ63:$BT63,,T63+1)*R63-ERP_i)*Q63*Ramure*Pc/MaxiM</f>
        <v>2.4814911935767483E-2</v>
      </c>
      <c r="Q63" s="305">
        <f t="shared" si="4"/>
        <v>0.8</v>
      </c>
      <c r="R63" s="177">
        <f t="shared" si="5"/>
        <v>0.40447866723548476</v>
      </c>
      <c r="S63" s="809">
        <f t="shared" si="6"/>
        <v>2</v>
      </c>
      <c r="T63" s="176">
        <f t="shared" si="7"/>
        <v>8</v>
      </c>
      <c r="U63" s="251">
        <f t="shared" si="8"/>
        <v>2.4044786672354848</v>
      </c>
      <c r="V63" s="383">
        <f t="shared" si="9"/>
        <v>26.143455090922714</v>
      </c>
      <c r="W63" s="402">
        <f t="shared" si="10"/>
        <v>20.334193866021952</v>
      </c>
      <c r="X63" s="157">
        <f t="shared" si="11"/>
        <v>46071</v>
      </c>
      <c r="Y63" s="385">
        <f t="shared" si="12"/>
        <v>18.589284138915829</v>
      </c>
      <c r="Z63" s="385">
        <f t="shared" si="22"/>
        <v>20.277998539428328</v>
      </c>
      <c r="AA63" s="386">
        <f t="shared" si="13"/>
        <v>23.611484186752541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0.14118069075871564</v>
      </c>
      <c r="AD63" s="231">
        <f>(INDEX(Models!$BJ63:$BT63,,AH63)*(1-AF63)+INDEX(Models!$BJ63:$BT63,,AH63+1)*AF63-ERP_i)*AE63*Ramure*Pc/MaxiM</f>
        <v>4.3045027142507283E-2</v>
      </c>
      <c r="AE63" s="305">
        <f t="shared" si="15"/>
        <v>0.8</v>
      </c>
      <c r="AF63" s="177">
        <f t="shared" si="23"/>
        <v>0.60519541440038838</v>
      </c>
      <c r="AG63" s="809">
        <f t="shared" si="24"/>
        <v>3</v>
      </c>
      <c r="AH63" s="176">
        <f t="shared" si="16"/>
        <v>9</v>
      </c>
      <c r="AI63" s="225">
        <f t="shared" si="17"/>
        <v>3.6051954144003884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IF(t&gt;Tmaj,'2025'!Wh/'2025'!Env_an*'2026'!Env_an,0.001*'[4]mon-tableau'!$B$146)</f>
        <v>18.116134176964394</v>
      </c>
      <c r="C64" s="839"/>
      <c r="D64" s="393">
        <f t="shared" si="0"/>
        <v>19.762336499700066</v>
      </c>
      <c r="E64" s="385">
        <f t="shared" si="1"/>
        <v>21.309587858362384</v>
      </c>
      <c r="F64" s="385">
        <f t="shared" si="2"/>
        <v>21.604855594599037</v>
      </c>
      <c r="G64" s="110">
        <f t="shared" si="21"/>
        <v>0.67721724993519694</v>
      </c>
      <c r="H64" s="414" t="b">
        <f>Wh_hp&gt;='2025'!Maxi_hp</f>
        <v>0</v>
      </c>
      <c r="I64" s="390">
        <f>IF(H64,Wh_hp,'2025'!Maxi_hp)</f>
        <v>31.674857385546339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8.3299984430518031E-2</v>
      </c>
      <c r="M64" s="843"/>
      <c r="N64" s="843"/>
      <c r="O64" s="48">
        <f>IF(t&lt;Tnet,'2025'!Resal+('2025'!Salim-'2025'!Resal)*(1-EXP(('2025'!Tnet-t)/('2025'!Tau_j))),Resal+(Salim-Resal)*(1-EXP((Tnet-t)/(Tau_j))))*Salcycl</f>
        <v>7.2608225412259211E-2</v>
      </c>
      <c r="P64" s="169">
        <f>(INDEX(Models!$BJ64:$BT64,,T64)*(1-R64)+INDEX(Models!$BJ64:$BT64,,T64+1)*R64-ERP_i)*Q64*Ramure*Pc/MaxiM</f>
        <v>2.4849664699125668E-2</v>
      </c>
      <c r="Q64" s="305">
        <f t="shared" si="4"/>
        <v>0.8</v>
      </c>
      <c r="R64" s="177">
        <f t="shared" si="5"/>
        <v>0.40472633132685587</v>
      </c>
      <c r="S64" s="809">
        <f t="shared" si="6"/>
        <v>2</v>
      </c>
      <c r="T64" s="176">
        <f t="shared" si="7"/>
        <v>8</v>
      </c>
      <c r="U64" s="251">
        <f t="shared" si="8"/>
        <v>2.4047263313268559</v>
      </c>
      <c r="V64" s="383">
        <f t="shared" si="9"/>
        <v>26.447547683995321</v>
      </c>
      <c r="W64" s="402">
        <f t="shared" si="10"/>
        <v>18.116134176964394</v>
      </c>
      <c r="X64" s="157">
        <f t="shared" si="11"/>
        <v>46072</v>
      </c>
      <c r="Y64" s="385">
        <f t="shared" si="12"/>
        <v>16.608508260537253</v>
      </c>
      <c r="Z64" s="385">
        <f t="shared" si="22"/>
        <v>18.117713514185489</v>
      </c>
      <c r="AA64" s="386">
        <f t="shared" si="13"/>
        <v>21.097454497108927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0.1412369906204449</v>
      </c>
      <c r="AD64" s="231">
        <f>(INDEX(Models!$BJ64:$BT64,,AH64)*(1-AF64)+INDEX(Models!$BJ64:$BT64,,AH64+1)*AF64-ERP_i)*AE64*Ramure*Pc/MaxiM</f>
        <v>4.2702759540554608E-2</v>
      </c>
      <c r="AE64" s="305">
        <f t="shared" si="15"/>
        <v>0.8</v>
      </c>
      <c r="AF64" s="177">
        <f t="shared" si="23"/>
        <v>0.60544307849175949</v>
      </c>
      <c r="AG64" s="809">
        <f t="shared" si="24"/>
        <v>3</v>
      </c>
      <c r="AH64" s="176">
        <f t="shared" si="16"/>
        <v>9</v>
      </c>
      <c r="AI64" s="225">
        <f t="shared" si="17"/>
        <v>3.6054430784917595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IF(t&gt;Tmaj,'2025'!Wh/'2025'!Env_an*'2026'!Env_an,0.001*'[4]mon-tableau'!$B$147)</f>
        <v>16.47675059000203</v>
      </c>
      <c r="C65" s="839"/>
      <c r="D65" s="393">
        <f t="shared" si="0"/>
        <v>17.974411026420292</v>
      </c>
      <c r="E65" s="385">
        <f t="shared" si="1"/>
        <v>19.384830031205013</v>
      </c>
      <c r="F65" s="385">
        <f t="shared" si="2"/>
        <v>19.60519735425299</v>
      </c>
      <c r="G65" s="110">
        <f t="shared" si="21"/>
        <v>0.60728554999221562</v>
      </c>
      <c r="H65" s="414" t="b">
        <f>Wh_hp&gt;='2025'!Maxi_hp</f>
        <v>0</v>
      </c>
      <c r="I65" s="390">
        <f>IF(H65,Wh_hp,'2025'!Maxi_hp)</f>
        <v>32.961384862018924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8.3321808665489799E-2</v>
      </c>
      <c r="M65" s="843"/>
      <c r="N65" s="843"/>
      <c r="O65" s="48">
        <f>IF(t&lt;Tnet,'2025'!Resal+('2025'!Salim-'2025'!Resal)*(1-EXP(('2025'!Tnet-t)/('2025'!Tau_j))),Resal+(Salim-Resal)*(1-EXP((Tnet-t)/(Tau_j))))*Salcycl</f>
        <v>7.2758904902146565E-2</v>
      </c>
      <c r="P65" s="169">
        <f>(INDEX(Models!$BJ65:$BT65,,T65)*(1-R65)+INDEX(Models!$BJ65:$BT65,,T65+1)*R65-ERP_i)*Q65*Ramure*Pc/MaxiM</f>
        <v>2.4914887774041598E-2</v>
      </c>
      <c r="Q65" s="305">
        <f t="shared" si="4"/>
        <v>0.8</v>
      </c>
      <c r="R65" s="177">
        <f t="shared" si="5"/>
        <v>0.40498416621394817</v>
      </c>
      <c r="S65" s="809">
        <f t="shared" si="6"/>
        <v>2</v>
      </c>
      <c r="T65" s="176">
        <f t="shared" si="7"/>
        <v>8</v>
      </c>
      <c r="U65" s="251">
        <f t="shared" si="8"/>
        <v>2.4049841662139482</v>
      </c>
      <c r="V65" s="383">
        <f t="shared" si="9"/>
        <v>26.756565548969213</v>
      </c>
      <c r="W65" s="402">
        <f t="shared" si="10"/>
        <v>16.47675059000203</v>
      </c>
      <c r="X65" s="157">
        <f t="shared" si="11"/>
        <v>46073</v>
      </c>
      <c r="Y65" s="385">
        <f t="shared" si="12"/>
        <v>15.13734467661455</v>
      </c>
      <c r="Z65" s="385">
        <f t="shared" si="22"/>
        <v>16.513259309221088</v>
      </c>
      <c r="AA65" s="386">
        <f t="shared" si="13"/>
        <v>19.23038115599411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0.14129318731293553</v>
      </c>
      <c r="AD65" s="231">
        <f>(INDEX(Models!$BJ65:$BT65,,AH65)*(1-AF65)+INDEX(Models!$BJ65:$BT65,,AH65+1)*AF65-ERP_i)*AE65*Ramure*Pc/MaxiM</f>
        <v>4.2376988504234048E-2</v>
      </c>
      <c r="AE65" s="305">
        <f t="shared" si="15"/>
        <v>0.8</v>
      </c>
      <c r="AF65" s="177">
        <f t="shared" si="23"/>
        <v>0.60570091337885179</v>
      </c>
      <c r="AG65" s="809">
        <f t="shared" si="24"/>
        <v>3</v>
      </c>
      <c r="AH65" s="176">
        <f t="shared" si="16"/>
        <v>9</v>
      </c>
      <c r="AI65" s="225">
        <f t="shared" si="17"/>
        <v>3.6057009133788518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IF(t&gt;Tmaj,'2025'!Wh/'2025'!Env_an*'2026'!Env_an,0.001*'[4]mon-tableau'!$B$148)</f>
        <v>17.789631542849254</v>
      </c>
      <c r="C66" s="839"/>
      <c r="D66" s="393">
        <f t="shared" si="0"/>
        <v>19.40708881920742</v>
      </c>
      <c r="E66" s="385">
        <f t="shared" si="1"/>
        <v>20.933324112392231</v>
      </c>
      <c r="F66" s="385">
        <f t="shared" si="2"/>
        <v>21.204111728108021</v>
      </c>
      <c r="G66" s="110">
        <f t="shared" si="21"/>
        <v>0.6490180808955921</v>
      </c>
      <c r="H66" s="414" t="b">
        <f>Wh_hp&gt;='2025'!Maxi_hp</f>
        <v>0</v>
      </c>
      <c r="I66" s="390">
        <f>IF(H66,Wh_hp,'2025'!Maxi_hp)</f>
        <v>32.315694426247191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8.334363239257972E-2</v>
      </c>
      <c r="M66" s="843"/>
      <c r="N66" s="843"/>
      <c r="O66" s="48">
        <f>IF(t&lt;Tnet,'2025'!Resal+('2025'!Salim-'2025'!Resal)*(1-EXP(('2025'!Tnet-t)/('2025'!Tau_j))),Resal+(Salim-Resal)*(1-EXP((Tnet-t)/(Tau_j))))*Salcycl</f>
        <v>7.2909361408172293E-2</v>
      </c>
      <c r="P66" s="169">
        <f>(INDEX(Models!$BJ66:$BT66,,T66)*(1-R66)+INDEX(Models!$BJ66:$BT66,,T66+1)*R66-ERP_i)*Q66*Ramure*Pc/MaxiM</f>
        <v>2.5027800087244988E-2</v>
      </c>
      <c r="Q66" s="305">
        <f t="shared" si="4"/>
        <v>0.8</v>
      </c>
      <c r="R66" s="177">
        <f t="shared" si="5"/>
        <v>0.40525258011309218</v>
      </c>
      <c r="S66" s="809">
        <f t="shared" si="6"/>
        <v>2</v>
      </c>
      <c r="T66" s="176">
        <f t="shared" si="7"/>
        <v>8</v>
      </c>
      <c r="U66" s="251">
        <f t="shared" si="8"/>
        <v>2.4052525801130922</v>
      </c>
      <c r="V66" s="383">
        <f t="shared" si="9"/>
        <v>27.069751934350563</v>
      </c>
      <c r="W66" s="402">
        <f t="shared" si="10"/>
        <v>17.789631542849254</v>
      </c>
      <c r="X66" s="157">
        <f t="shared" si="11"/>
        <v>46074</v>
      </c>
      <c r="Y66" s="385">
        <f t="shared" si="12"/>
        <v>16.330997036602103</v>
      </c>
      <c r="Z66" s="385">
        <f t="shared" si="22"/>
        <v>17.815833297736102</v>
      </c>
      <c r="AA66" s="386">
        <f t="shared" si="13"/>
        <v>20.74863822406968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0.14134927288535712</v>
      </c>
      <c r="AD66" s="231">
        <f>(INDEX(Models!$BJ66:$BT66,,AH66)*(1-AF66)+INDEX(Models!$BJ66:$BT66,,AH66+1)*AF66-ERP_i)*AE66*Ramure*Pc/MaxiM</f>
        <v>4.2097567032286808E-2</v>
      </c>
      <c r="AE66" s="305">
        <f t="shared" si="15"/>
        <v>0.8</v>
      </c>
      <c r="AF66" s="177">
        <f t="shared" si="23"/>
        <v>0.6059693272779958</v>
      </c>
      <c r="AG66" s="809">
        <f t="shared" si="24"/>
        <v>3</v>
      </c>
      <c r="AH66" s="176">
        <f t="shared" si="16"/>
        <v>9</v>
      </c>
      <c r="AI66" s="225">
        <f t="shared" si="17"/>
        <v>3.6059693272779958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IF(t&gt;Tmaj,'2025'!Wh/'2025'!Env_an*'2026'!Env_an,0.001*'[4]mon-tableau'!$B$149)</f>
        <v>25.894113550968921</v>
      </c>
      <c r="C67" s="839"/>
      <c r="D67" s="393">
        <f t="shared" si="0"/>
        <v>28.249113792947568</v>
      </c>
      <c r="E67" s="385">
        <f t="shared" si="1"/>
        <v>30.475652530475287</v>
      </c>
      <c r="F67" s="385">
        <f t="shared" si="2"/>
        <v>31.199831754990818</v>
      </c>
      <c r="G67" s="110">
        <f t="shared" si="21"/>
        <v>0.94358595030980186</v>
      </c>
      <c r="H67" s="414" t="b">
        <f>Wh_hp&gt;='2025'!Maxi_hp</f>
        <v>0</v>
      </c>
      <c r="I67" s="390">
        <f>IF(H67,Wh_hp,'2025'!Maxi_hp)</f>
        <v>32.908275792453587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8.3365455611799671E-2</v>
      </c>
      <c r="M67" s="843"/>
      <c r="N67" s="843"/>
      <c r="O67" s="48">
        <f>IF(t&lt;Tnet,'2025'!Resal+('2025'!Salim-'2025'!Resal)*(1-EXP(('2025'!Tnet-t)/('2025'!Tau_j))),Resal+(Salim-Resal)*(1-EXP((Tnet-t)/(Tau_j))))*Salcycl</f>
        <v>7.3059591925101697E-2</v>
      </c>
      <c r="P67" s="169">
        <f>(INDEX(Models!$BJ67:$BT67,,T67)*(1-R67)+INDEX(Models!$BJ67:$BT67,,T67+1)*R67-ERP_i)*Q67*Ramure*Pc/MaxiM</f>
        <v>2.517136189488119E-2</v>
      </c>
      <c r="Q67" s="305">
        <f t="shared" si="4"/>
        <v>0.8</v>
      </c>
      <c r="R67" s="177">
        <f t="shared" si="5"/>
        <v>0.40553199682397523</v>
      </c>
      <c r="S67" s="809">
        <f t="shared" si="6"/>
        <v>2</v>
      </c>
      <c r="T67" s="176">
        <f t="shared" si="7"/>
        <v>8</v>
      </c>
      <c r="U67" s="251">
        <f t="shared" si="8"/>
        <v>2.4055319968239752</v>
      </c>
      <c r="V67" s="383">
        <f t="shared" si="9"/>
        <v>27.387166392827723</v>
      </c>
      <c r="W67" s="402">
        <f t="shared" si="10"/>
        <v>25.894113550968921</v>
      </c>
      <c r="X67" s="157">
        <f t="shared" si="11"/>
        <v>46075</v>
      </c>
      <c r="Y67" s="385">
        <f t="shared" si="12"/>
        <v>23.607022799831988</v>
      </c>
      <c r="Z67" s="385">
        <f t="shared" si="22"/>
        <v>25.75401826644913</v>
      </c>
      <c r="AA67" s="386">
        <f t="shared" si="13"/>
        <v>29.995545633730057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0.14140524126726736</v>
      </c>
      <c r="AD67" s="231">
        <f>(INDEX(Models!$BJ67:$BT67,,AH67)*(1-AF67)+INDEX(Models!$BJ67:$BT67,,AH67+1)*AF67-ERP_i)*AE67*Ramure*Pc/MaxiM</f>
        <v>4.1859143091983839E-2</v>
      </c>
      <c r="AE67" s="305">
        <f t="shared" si="15"/>
        <v>0.8</v>
      </c>
      <c r="AF67" s="177">
        <f t="shared" si="23"/>
        <v>0.60624874398887885</v>
      </c>
      <c r="AG67" s="809">
        <f t="shared" si="24"/>
        <v>3</v>
      </c>
      <c r="AH67" s="176">
        <f t="shared" si="16"/>
        <v>9</v>
      </c>
      <c r="AI67" s="225">
        <f t="shared" si="17"/>
        <v>3.6062487439888788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IF(t&gt;Tmaj,'2025'!Wh/'2025'!Env_an*'2026'!Env_an,0.001*'[4]mon-tableau'!$B$150)</f>
        <v>25.892209601233414</v>
      </c>
      <c r="C68" s="839"/>
      <c r="D68" s="393">
        <f t="shared" si="0"/>
        <v>28.247709189401782</v>
      </c>
      <c r="E68" s="385">
        <f t="shared" si="1"/>
        <v>30.479069508522574</v>
      </c>
      <c r="F68" s="385">
        <f t="shared" si="2"/>
        <v>31.195677660628483</v>
      </c>
      <c r="G68" s="110">
        <f t="shared" si="21"/>
        <v>0.93218251791054973</v>
      </c>
      <c r="H68" s="414" t="b">
        <f>Wh_hp&gt;='2025'!Maxi_hp</f>
        <v>0</v>
      </c>
      <c r="I68" s="390">
        <f>IF(H68,Wh_hp,'2025'!Maxi_hp)</f>
        <v>33.900366462796477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8.3387278323161312E-2</v>
      </c>
      <c r="M68" s="843"/>
      <c r="N68" s="843"/>
      <c r="O68" s="48">
        <f>IF(t&lt;Tnet,'2025'!Resal+('2025'!Salim-'2025'!Resal)*(1-EXP(('2025'!Tnet-t)/('2025'!Tau_j))),Resal+(Salim-Resal)*(1-EXP((Tnet-t)/(Tau_j))))*Salcycl</f>
        <v>7.3209594488993737E-2</v>
      </c>
      <c r="P68" s="169">
        <f>(INDEX(Models!$BJ68:$BT68,,T68)*(1-R68)+INDEX(Models!$BJ68:$BT68,,T68+1)*R68-ERP_i)*Q68*Ramure*Pc/MaxiM</f>
        <v>2.534465269677625E-2</v>
      </c>
      <c r="Q68" s="305">
        <f t="shared" si="4"/>
        <v>0.8</v>
      </c>
      <c r="R68" s="177">
        <f t="shared" si="5"/>
        <v>0.40582285625642855</v>
      </c>
      <c r="S68" s="809">
        <f t="shared" si="6"/>
        <v>2</v>
      </c>
      <c r="T68" s="176">
        <f t="shared" si="7"/>
        <v>8</v>
      </c>
      <c r="U68" s="251">
        <f t="shared" si="8"/>
        <v>2.4058228562564286</v>
      </c>
      <c r="V68" s="383">
        <f t="shared" si="9"/>
        <v>27.708431981205969</v>
      </c>
      <c r="W68" s="402">
        <f t="shared" si="10"/>
        <v>25.892209601233414</v>
      </c>
      <c r="X68" s="157">
        <f t="shared" si="11"/>
        <v>46076</v>
      </c>
      <c r="Y68" s="385">
        <f t="shared" si="12"/>
        <v>23.622391173751861</v>
      </c>
      <c r="Z68" s="385">
        <f t="shared" si="22"/>
        <v>25.771397903508674</v>
      </c>
      <c r="AA68" s="386">
        <f t="shared" si="13"/>
        <v>30.017740089041865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0.14146108844094299</v>
      </c>
      <c r="AD68" s="231">
        <f>(INDEX(Models!$BJ68:$BT68,,AH68)*(1-AF68)+INDEX(Models!$BJ68:$BT68,,AH68+1)*AF68-ERP_i)*AE68*Ramure*Pc/MaxiM</f>
        <v>4.1660729873938832E-2</v>
      </c>
      <c r="AE68" s="305">
        <f t="shared" si="15"/>
        <v>0.8</v>
      </c>
      <c r="AF68" s="177">
        <f t="shared" si="23"/>
        <v>0.60653960342133217</v>
      </c>
      <c r="AG68" s="809">
        <f t="shared" si="24"/>
        <v>3</v>
      </c>
      <c r="AH68" s="176">
        <f t="shared" si="16"/>
        <v>9</v>
      </c>
      <c r="AI68" s="225">
        <f t="shared" si="17"/>
        <v>3.6065396034213322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IF(t&gt;Tmaj,'2025'!Wh/'2025'!Env_an*'2026'!Env_an,0.001*'[4]mon-tableau'!$B$151)</f>
        <v>14.760729007126981</v>
      </c>
      <c r="C69" s="839"/>
      <c r="D69" s="393">
        <f t="shared" si="0"/>
        <v>16.103944535788596</v>
      </c>
      <c r="E69" s="385">
        <f t="shared" si="1"/>
        <v>17.37884567579108</v>
      </c>
      <c r="F69" s="385">
        <f t="shared" si="2"/>
        <v>17.523730008205781</v>
      </c>
      <c r="G69" s="110">
        <f t="shared" si="21"/>
        <v>0.51737112948680164</v>
      </c>
      <c r="H69" s="414" t="b">
        <f>Wh_hp&gt;='2025'!Maxi_hp</f>
        <v>0</v>
      </c>
      <c r="I69" s="390">
        <f>IF(H69,Wh_hp,'2025'!Maxi_hp)</f>
        <v>34.946187395768554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8.3409100526676633E-2</v>
      </c>
      <c r="M69" s="843"/>
      <c r="N69" s="843"/>
      <c r="O69" s="48">
        <f>IF(t&lt;Tnet,'2025'!Resal+('2025'!Salim-'2025'!Resal)*(1-EXP(('2025'!Tnet-t)/('2025'!Tau_j))),Resal+(Salim-Resal)*(1-EXP((Tnet-t)/(Tau_j))))*Salcycl</f>
        <v>7.3359368267964603E-2</v>
      </c>
      <c r="P69" s="169">
        <f>(INDEX(Models!$BJ69:$BT69,,T69)*(1-R69)+INDEX(Models!$BJ69:$BT69,,T69+1)*R69-ERP_i)*Q69*Ramure*Pc/MaxiM</f>
        <v>2.5546895626431868E-2</v>
      </c>
      <c r="Q69" s="305">
        <f t="shared" si="4"/>
        <v>0.8</v>
      </c>
      <c r="R69" s="177">
        <f t="shared" si="5"/>
        <v>0.40612561496909061</v>
      </c>
      <c r="S69" s="809">
        <f t="shared" si="6"/>
        <v>2</v>
      </c>
      <c r="T69" s="176">
        <f t="shared" si="7"/>
        <v>8</v>
      </c>
      <c r="U69" s="251">
        <f t="shared" si="8"/>
        <v>2.4061256149690906</v>
      </c>
      <c r="V69" s="383">
        <f t="shared" si="9"/>
        <v>28.033168454692134</v>
      </c>
      <c r="W69" s="402">
        <f t="shared" si="10"/>
        <v>14.760729007126981</v>
      </c>
      <c r="X69" s="157">
        <f t="shared" si="11"/>
        <v>46077</v>
      </c>
      <c r="Y69" s="385">
        <f t="shared" si="12"/>
        <v>13.603829557986446</v>
      </c>
      <c r="Z69" s="385">
        <f t="shared" si="22"/>
        <v>14.841768084107379</v>
      </c>
      <c r="AA69" s="386">
        <f t="shared" si="13"/>
        <v>17.288361964368331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0.14151681259933307</v>
      </c>
      <c r="AD69" s="231">
        <f>(INDEX(Models!$BJ69:$BT69,,AH69)*(1-AF69)+INDEX(Models!$BJ69:$BT69,,AH69+1)*AF69-ERP_i)*AE69*Ramure*Pc/MaxiM</f>
        <v>4.1501539535013031E-2</v>
      </c>
      <c r="AE69" s="305">
        <f t="shared" si="15"/>
        <v>0.8</v>
      </c>
      <c r="AF69" s="177">
        <f t="shared" si="23"/>
        <v>0.60684236213399423</v>
      </c>
      <c r="AG69" s="809">
        <f t="shared" si="24"/>
        <v>3</v>
      </c>
      <c r="AH69" s="176">
        <f t="shared" si="16"/>
        <v>9</v>
      </c>
      <c r="AI69" s="225">
        <f t="shared" si="17"/>
        <v>3.6068423621339942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IF(t&gt;Tmaj,'2025'!Wh/'2025'!Env_an*'2026'!Env_an,0.001*'[4]mon-tableau'!$B$152)</f>
        <v>26.363382621392383</v>
      </c>
      <c r="C70" s="839"/>
      <c r="D70" s="393">
        <f t="shared" si="0"/>
        <v>28.76311590754764</v>
      </c>
      <c r="E70" s="385">
        <f t="shared" si="1"/>
        <v>31.045216010360694</v>
      </c>
      <c r="F70" s="385">
        <f t="shared" si="2"/>
        <v>31.782037346193352</v>
      </c>
      <c r="G70" s="110">
        <f t="shared" si="21"/>
        <v>0.9270964856616345</v>
      </c>
      <c r="H70" s="414" t="b">
        <f>Wh_hp&gt;='2025'!Maxi_hp</f>
        <v>0</v>
      </c>
      <c r="I70" s="390">
        <f>IF(H70,Wh_hp,'2025'!Maxi_hp)</f>
        <v>34.047177423693249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8.3430922222357401E-2</v>
      </c>
      <c r="M70" s="843"/>
      <c r="N70" s="843"/>
      <c r="O70" s="48">
        <f>IF(t&lt;Tnet,'2025'!Resal+('2025'!Salim-'2025'!Resal)*(1-EXP(('2025'!Tnet-t)/('2025'!Tau_j))),Resal+(Salim-Resal)*(1-EXP((Tnet-t)/(Tau_j))))*Salcycl</f>
        <v>7.3508913645550109E-2</v>
      </c>
      <c r="P70" s="169">
        <f>(INDEX(Models!$BJ70:$BT70,,T70)*(1-R70)+INDEX(Models!$BJ70:$BT70,,T70+1)*R70-ERP_i)*Q70*Ramure*Pc/MaxiM</f>
        <v>2.577733861580531E-2</v>
      </c>
      <c r="Q70" s="305">
        <f t="shared" si="4"/>
        <v>0.8</v>
      </c>
      <c r="R70" s="177">
        <f t="shared" si="5"/>
        <v>0.40644074671965358</v>
      </c>
      <c r="S70" s="809">
        <f t="shared" si="6"/>
        <v>2</v>
      </c>
      <c r="T70" s="176">
        <f t="shared" si="7"/>
        <v>8</v>
      </c>
      <c r="U70" s="251">
        <f t="shared" si="8"/>
        <v>2.4064407467196536</v>
      </c>
      <c r="V70" s="383">
        <f t="shared" si="9"/>
        <v>28.360995639738977</v>
      </c>
      <c r="W70" s="402">
        <f t="shared" si="10"/>
        <v>26.363382621392383</v>
      </c>
      <c r="X70" s="157">
        <f t="shared" si="11"/>
        <v>46078</v>
      </c>
      <c r="Y70" s="385">
        <f t="shared" si="12"/>
        <v>24.075705660574247</v>
      </c>
      <c r="Z70" s="385">
        <f t="shared" si="22"/>
        <v>26.267202597483823</v>
      </c>
      <c r="AA70" s="386">
        <f t="shared" si="13"/>
        <v>30.599206077128507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0.14157241428831241</v>
      </c>
      <c r="AD70" s="231">
        <f>(INDEX(Models!$BJ70:$BT70,,AH70)*(1-AF70)+INDEX(Models!$BJ70:$BT70,,AH70+1)*AF70-ERP_i)*AE70*Ramure*Pc/MaxiM</f>
        <v>4.1380780747331446E-2</v>
      </c>
      <c r="AE70" s="305">
        <f t="shared" si="15"/>
        <v>0.8</v>
      </c>
      <c r="AF70" s="177">
        <f t="shared" si="23"/>
        <v>0.6071574938845572</v>
      </c>
      <c r="AG70" s="809">
        <f t="shared" si="24"/>
        <v>3</v>
      </c>
      <c r="AH70" s="176">
        <f t="shared" si="16"/>
        <v>9</v>
      </c>
      <c r="AI70" s="225">
        <f t="shared" si="17"/>
        <v>3.6071574938845572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IF(t&gt;Tmaj,'2025'!Wh/'2025'!Env_an*'2026'!Env_an,0.001*'[4]mon-tableau'!$B$153)</f>
        <v>29.58931721238395</v>
      </c>
      <c r="C71" s="839"/>
      <c r="D71" s="393">
        <f t="shared" si="0"/>
        <v>32.283460563154705</v>
      </c>
      <c r="E71" s="385">
        <f t="shared" si="1"/>
        <v>34.850485737214079</v>
      </c>
      <c r="F71" s="385">
        <f t="shared" si="2"/>
        <v>35.782081482153075</v>
      </c>
      <c r="G71" s="110">
        <f t="shared" si="21"/>
        <v>1.031290897084685</v>
      </c>
      <c r="H71" s="414" t="b">
        <f>Wh_hp&gt;='2025'!Maxi_hp</f>
        <v>1</v>
      </c>
      <c r="I71" s="390">
        <f>IF(H71,Wh_hp,'2025'!Maxi_hp)</f>
        <v>35.782081482153075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8.3452743410215385E-2</v>
      </c>
      <c r="M71" s="843"/>
      <c r="N71" s="843"/>
      <c r="O71" s="48">
        <f>IF(t&lt;Tnet,'2025'!Resal+('2025'!Salim-'2025'!Resal)*(1-EXP(('2025'!Tnet-t)/('2025'!Tau_j))),Resal+(Salim-Resal)*(1-EXP((Tnet-t)/(Tau_j))))*Salcycl</f>
        <v>7.365823229597783E-2</v>
      </c>
      <c r="P71" s="169">
        <f>(INDEX(Models!$BJ71:$BT71,,T71)*(1-R71)+INDEX(Models!$BJ71:$BT71,,T71+1)*R71-ERP_i)*Q71*Ramure*Pc/MaxiM</f>
        <v>2.6035258608520035E-2</v>
      </c>
      <c r="Q71" s="305">
        <f t="shared" si="4"/>
        <v>0.8</v>
      </c>
      <c r="R71" s="177">
        <f t="shared" si="5"/>
        <v>0.40676874302633204</v>
      </c>
      <c r="S71" s="809">
        <f t="shared" si="6"/>
        <v>2</v>
      </c>
      <c r="T71" s="176">
        <f t="shared" si="7"/>
        <v>8</v>
      </c>
      <c r="U71" s="251">
        <f t="shared" si="8"/>
        <v>2.406768743026332</v>
      </c>
      <c r="V71" s="383">
        <f t="shared" si="9"/>
        <v>28.691533393758064</v>
      </c>
      <c r="W71" s="402">
        <f t="shared" si="10"/>
        <v>29.58931721238395</v>
      </c>
      <c r="X71" s="157">
        <f t="shared" si="11"/>
        <v>46079</v>
      </c>
      <c r="Y71" s="385">
        <f t="shared" si="12"/>
        <v>26.988568010767548</v>
      </c>
      <c r="Z71" s="385">
        <f t="shared" si="22"/>
        <v>29.44590998088243</v>
      </c>
      <c r="AA71" s="386">
        <f t="shared" si="13"/>
        <v>34.304365043922481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0.14162789653210034</v>
      </c>
      <c r="AD71" s="231">
        <f>(INDEX(Models!$BJ71:$BT71,,AH71)*(1-AF71)+INDEX(Models!$BJ71:$BT71,,AH71+1)*AF71-ERP_i)*AE71*Ramure*Pc/MaxiM</f>
        <v>4.1297665675699417E-2</v>
      </c>
      <c r="AE71" s="305">
        <f t="shared" si="15"/>
        <v>0.8</v>
      </c>
      <c r="AF71" s="177">
        <f t="shared" si="23"/>
        <v>0.60748549019123566</v>
      </c>
      <c r="AG71" s="809">
        <f t="shared" si="24"/>
        <v>3</v>
      </c>
      <c r="AH71" s="176">
        <f t="shared" si="16"/>
        <v>9</v>
      </c>
      <c r="AI71" s="225">
        <f t="shared" si="17"/>
        <v>3.6074854901912357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IF(t&gt;Tmaj,'2025'!Wh/'2025'!Env_an*'2026'!Env_an,0.001*'[4]mon-tableau'!$B$154)</f>
        <v>24.143420305984801</v>
      </c>
      <c r="C72" s="839"/>
      <c r="D72" s="393">
        <f t="shared" si="0"/>
        <v>26.342335258835661</v>
      </c>
      <c r="E72" s="385">
        <f t="shared" si="1"/>
        <v>28.441528457186958</v>
      </c>
      <c r="F72" s="385">
        <f t="shared" si="2"/>
        <v>29.022077778788343</v>
      </c>
      <c r="G72" s="110">
        <f t="shared" si="21"/>
        <v>0.82647049802039751</v>
      </c>
      <c r="H72" s="414" t="b">
        <f>Wh_hp&gt;='2025'!Maxi_hp</f>
        <v>0</v>
      </c>
      <c r="I72" s="390">
        <f>IF(H72,Wh_hp,'2025'!Maxi_hp)</f>
        <v>35.119765108958404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8.3474564090262576E-2</v>
      </c>
      <c r="M72" s="843"/>
      <c r="N72" s="843"/>
      <c r="O72" s="48">
        <f>IF(t&lt;Tnet,'2025'!Resal+('2025'!Salim-'2025'!Resal)*(1-EXP(('2025'!Tnet-t)/('2025'!Tau_j))),Resal+(Salim-Resal)*(1-EXP((Tnet-t)/(Tau_j))))*Salcycl</f>
        <v>7.3807327250756297E-2</v>
      </c>
      <c r="P72" s="169">
        <f>(INDEX(Models!$BJ72:$BT72,,T72)*(1-R72)+INDEX(Models!$BJ72:$BT72,,T72+1)*R72-ERP_i)*Q72*Ramure*Pc/MaxiM</f>
        <v>2.6328632886157926E-2</v>
      </c>
      <c r="Q72" s="305">
        <f t="shared" si="4"/>
        <v>0.8</v>
      </c>
      <c r="R72" s="177">
        <f t="shared" si="5"/>
        <v>0.40711011374010431</v>
      </c>
      <c r="S72" s="809">
        <f t="shared" si="6"/>
        <v>2</v>
      </c>
      <c r="T72" s="176">
        <f t="shared" si="7"/>
        <v>8</v>
      </c>
      <c r="U72" s="251">
        <f t="shared" si="8"/>
        <v>2.4071101137401043</v>
      </c>
      <c r="V72" s="383">
        <f t="shared" si="9"/>
        <v>29.024143205549528</v>
      </c>
      <c r="W72" s="402">
        <f t="shared" si="10"/>
        <v>24.143420305984801</v>
      </c>
      <c r="X72" s="157">
        <f t="shared" si="11"/>
        <v>46080</v>
      </c>
      <c r="Y72" s="385">
        <f t="shared" si="12"/>
        <v>22.114598143696053</v>
      </c>
      <c r="Z72" s="385">
        <f t="shared" si="22"/>
        <v>24.128733668744545</v>
      </c>
      <c r="AA72" s="386">
        <f t="shared" si="13"/>
        <v>28.111689639936237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0.14168326494090899</v>
      </c>
      <c r="AD72" s="231">
        <f>(INDEX(Models!$BJ72:$BT72,,AH72)*(1-AF72)+INDEX(Models!$BJ72:$BT72,,AH72+1)*AF72-ERP_i)*AE72*Ramure*Pc/MaxiM</f>
        <v>4.1287232970375121E-2</v>
      </c>
      <c r="AE72" s="305">
        <f t="shared" si="15"/>
        <v>0.8</v>
      </c>
      <c r="AF72" s="177">
        <f t="shared" si="23"/>
        <v>0.60782686090500793</v>
      </c>
      <c r="AG72" s="809">
        <f t="shared" si="24"/>
        <v>3</v>
      </c>
      <c r="AH72" s="176">
        <f t="shared" si="16"/>
        <v>9</v>
      </c>
      <c r="AI72" s="225">
        <f t="shared" si="17"/>
        <v>3.6078268609050079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IF(t&gt;Tmaj,'2025'!Wh/'2025'!Env_an*'2026'!Env_an,0.001*'[4]mon-tableau'!$B$155)</f>
        <v>24.321458067683771</v>
      </c>
      <c r="C73" s="839"/>
      <c r="D73" s="393">
        <f t="shared" si="0"/>
        <v>26.537219984792806</v>
      </c>
      <c r="E73" s="385">
        <f t="shared" si="1"/>
        <v>28.656549581676487</v>
      </c>
      <c r="F73" s="385">
        <f t="shared" si="2"/>
        <v>29.244612426870194</v>
      </c>
      <c r="G73" s="110">
        <f t="shared" si="21"/>
        <v>0.82289545590518964</v>
      </c>
      <c r="H73" s="414" t="b">
        <f>Wh_hp&gt;='2025'!Maxi_hp</f>
        <v>0</v>
      </c>
      <c r="I73" s="390">
        <f>IF(H73,Wh_hp,'2025'!Maxi_hp)</f>
        <v>30.515146112920245</v>
      </c>
      <c r="J73" s="85">
        <f>IF(H73,An,'2025'!An_max)</f>
        <v>2021</v>
      </c>
      <c r="K73" s="197">
        <f t="shared" si="3"/>
        <v>46081</v>
      </c>
      <c r="L73" s="147">
        <f>IF(t&lt;Tvie,1-EXP((T0-t)*PertePVj)+'2025'!Pspv,1-EXP((T0-t)*PertePVj)+Pspv)</f>
        <v>8.349638426251052E-2</v>
      </c>
      <c r="M73" s="843"/>
      <c r="N73" s="843"/>
      <c r="O73" s="48">
        <f>IF(t&lt;Tnet,'2025'!Resal+('2025'!Salim-'2025'!Resal)*(1-EXP(('2025'!Tnet-t)/('2025'!Tau_j))),Resal+(Salim-Resal)*(1-EXP((Tnet-t)/(Tau_j))))*Salcycl</f>
        <v>7.3956202956088554E-2</v>
      </c>
      <c r="P73" s="169">
        <f>(INDEX(Models!$BJ73:$BT73,,T73)*(1-R73)+INDEX(Models!$BJ73:$BT73,,T73+1)*R73-ERP_i)*Q73*Ramure*Pc/MaxiM</f>
        <v>2.6637918238410579E-2</v>
      </c>
      <c r="Q73" s="305">
        <f t="shared" si="4"/>
        <v>0.8</v>
      </c>
      <c r="R73" s="177">
        <f t="shared" si="5"/>
        <v>0.40746538762720963</v>
      </c>
      <c r="S73" s="809">
        <f t="shared" si="6"/>
        <v>2</v>
      </c>
      <c r="T73" s="176">
        <f t="shared" si="7"/>
        <v>8</v>
      </c>
      <c r="U73" s="251">
        <f t="shared" si="8"/>
        <v>2.4074653876272096</v>
      </c>
      <c r="V73" s="383">
        <f t="shared" si="9"/>
        <v>29.359005450286052</v>
      </c>
      <c r="W73" s="402">
        <f t="shared" si="10"/>
        <v>24.321458067683771</v>
      </c>
      <c r="X73" s="157">
        <f t="shared" si="11"/>
        <v>46081</v>
      </c>
      <c r="Y73" s="385">
        <f t="shared" si="12"/>
        <v>22.286006041575547</v>
      </c>
      <c r="Z73" s="385">
        <f t="shared" si="22"/>
        <v>24.316331827717349</v>
      </c>
      <c r="AA73" s="386">
        <f t="shared" si="13"/>
        <v>28.332078993816697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0.14173852780008703</v>
      </c>
      <c r="AD73" s="231">
        <f>(INDEX(Models!$BJ73:$BT73,,AH73)*(1-AF73)+INDEX(Models!$BJ73:$BT73,,AH73+1)*AF73-ERP_i)*AE73*Ramure*Pc/MaxiM</f>
        <v>4.1335702770829159E-2</v>
      </c>
      <c r="AE73" s="305">
        <f t="shared" si="15"/>
        <v>0.8</v>
      </c>
      <c r="AF73" s="177">
        <f t="shared" si="23"/>
        <v>0.60818213479211325</v>
      </c>
      <c r="AG73" s="809">
        <f t="shared" si="24"/>
        <v>3</v>
      </c>
      <c r="AH73" s="176">
        <f t="shared" si="16"/>
        <v>9</v>
      </c>
      <c r="AI73" s="225">
        <f t="shared" si="17"/>
        <v>3.6081821347921132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IF(t&gt;Tmaj,'2025'!Wh/'2025'!Env_an*'2026'!Env_an,0.001*'[5]mon-tableau'!$B$140)</f>
        <v>29.814542002265032</v>
      </c>
      <c r="C74" s="839"/>
      <c r="D74" s="393">
        <f t="shared" si="0"/>
        <v>32.531515770433586</v>
      </c>
      <c r="E74" s="385">
        <f t="shared" si="1"/>
        <v>35.135205437386979</v>
      </c>
      <c r="F74" s="385">
        <f t="shared" si="2"/>
        <v>36.108802524436257</v>
      </c>
      <c r="G74" s="110">
        <f t="shared" si="21"/>
        <v>1.0040006644989006</v>
      </c>
      <c r="H74" s="414" t="b">
        <f>Wh_hp&gt;='2025'!Maxi_hp</f>
        <v>1</v>
      </c>
      <c r="I74" s="390">
        <f>IF(H74,Wh_hp,'2025'!Maxi_hp)</f>
        <v>36.108802524436257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8.3518203926971318E-2</v>
      </c>
      <c r="M74" s="843"/>
      <c r="N74" s="843"/>
      <c r="O74" s="48">
        <f>IF(t&lt;Tnet,'2025'!Resal+('2025'!Salim-'2025'!Resal)*(1-EXP(('2025'!Tnet-t)/('2025'!Tau_j))),Resal+(Salim-Resal)*(1-EXP((Tnet-t)/(Tau_j))))*Salcycl</f>
        <v>7.4104865320719998E-2</v>
      </c>
      <c r="P74" s="169">
        <f>(INDEX(Models!$BJ74:$BT74,,T74)*(1-R74)+INDEX(Models!$BJ74:$BT74,,T74+1)*R74-ERP_i)*Q74*Ramure*Pc/MaxiM</f>
        <v>2.6962873841922752E-2</v>
      </c>
      <c r="Q74" s="305">
        <f t="shared" si="4"/>
        <v>0.8</v>
      </c>
      <c r="R74" s="177">
        <f t="shared" si="5"/>
        <v>0.40783511296127983</v>
      </c>
      <c r="S74" s="809">
        <f t="shared" si="6"/>
        <v>2</v>
      </c>
      <c r="T74" s="176">
        <f t="shared" si="7"/>
        <v>8</v>
      </c>
      <c r="U74" s="251">
        <f t="shared" si="8"/>
        <v>2.4078351129612798</v>
      </c>
      <c r="V74" s="383">
        <f t="shared" si="9"/>
        <v>29.695739312229989</v>
      </c>
      <c r="W74" s="402">
        <f t="shared" si="10"/>
        <v>29.814542002265032</v>
      </c>
      <c r="X74" s="157">
        <f t="shared" si="11"/>
        <v>46082</v>
      </c>
      <c r="Y74" s="385">
        <f t="shared" si="12"/>
        <v>27.223704388877298</v>
      </c>
      <c r="Z74" s="385">
        <f t="shared" si="22"/>
        <v>29.704577336425359</v>
      </c>
      <c r="AA74" s="386">
        <f t="shared" si="13"/>
        <v>34.612397045826214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0.14179369614022944</v>
      </c>
      <c r="AD74" s="231">
        <f>(INDEX(Models!$BJ74:$BT74,,AH74)*(1-AF74)+INDEX(Models!$BJ74:$BT74,,AH74+1)*AF74-ERP_i)*AE74*Ramure*Pc/MaxiM</f>
        <v>4.1441570309548842E-2</v>
      </c>
      <c r="AE74" s="305">
        <f t="shared" si="15"/>
        <v>0.8</v>
      </c>
      <c r="AF74" s="177">
        <f t="shared" si="23"/>
        <v>0.60855186012618345</v>
      </c>
      <c r="AG74" s="809">
        <f t="shared" si="24"/>
        <v>3</v>
      </c>
      <c r="AH74" s="176">
        <f t="shared" si="16"/>
        <v>9</v>
      </c>
      <c r="AI74" s="225">
        <f t="shared" si="17"/>
        <v>3.6085518601261835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IF(t&gt;Tmaj,'2025'!Wh/'2025'!Env_an*'2026'!Env_an,0.001*'[5]mon-tableau'!$B$141)</f>
        <v>8.5759109392891215</v>
      </c>
      <c r="C75" s="839"/>
      <c r="D75" s="393">
        <f t="shared" si="0"/>
        <v>9.3576491666825401</v>
      </c>
      <c r="E75" s="385">
        <f t="shared" si="1"/>
        <v>10.108217924596504</v>
      </c>
      <c r="F75" s="385">
        <f t="shared" si="2"/>
        <v>10.108217924596504</v>
      </c>
      <c r="G75" s="110">
        <f t="shared" si="21"/>
        <v>0.2777442368245166</v>
      </c>
      <c r="H75" s="414" t="b">
        <f>Wh_hp&gt;='2025'!Maxi_hp</f>
        <v>0</v>
      </c>
      <c r="I75" s="390">
        <f>IF(H75,Wh_hp,'2025'!Maxi_hp)</f>
        <v>24.299923659656329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8.3540023083656517E-2</v>
      </c>
      <c r="M75" s="843"/>
      <c r="N75" s="843"/>
      <c r="O75" s="48">
        <f>IF(t&lt;Tnet,'2025'!Resal+('2025'!Salim-'2025'!Resal)*(1-EXP(('2025'!Tnet-t)/('2025'!Tau_j))),Resal+(Salim-Resal)*(1-EXP((Tnet-t)/(Tau_j))))*Salcycl</f>
        <v>7.4253321753935703E-2</v>
      </c>
      <c r="P75" s="169">
        <f>(INDEX(Models!$BJ75:$BT75,,T75)*(1-R75)+INDEX(Models!$BJ75:$BT75,,T75+1)*R75-ERP_i)*Q75*Ramure*Pc/MaxiM</f>
        <v>2.730328987083883E-2</v>
      </c>
      <c r="Q75" s="305">
        <f t="shared" si="4"/>
        <v>0.8</v>
      </c>
      <c r="R75" s="177">
        <f t="shared" si="5"/>
        <v>0.40821985812439365</v>
      </c>
      <c r="S75" s="809">
        <f t="shared" si="6"/>
        <v>2</v>
      </c>
      <c r="T75" s="176">
        <f t="shared" si="7"/>
        <v>8</v>
      </c>
      <c r="U75" s="251">
        <f t="shared" si="8"/>
        <v>2.4082198581243937</v>
      </c>
      <c r="V75" s="383">
        <f t="shared" si="9"/>
        <v>30.033963809220907</v>
      </c>
      <c r="W75" s="402">
        <f t="shared" si="10"/>
        <v>8.5759109392891215</v>
      </c>
      <c r="X75" s="157">
        <f t="shared" si="11"/>
        <v>46083</v>
      </c>
      <c r="Y75" s="385">
        <f t="shared" si="12"/>
        <v>7.9497216415841345</v>
      </c>
      <c r="Z75" s="385">
        <f t="shared" si="22"/>
        <v>8.674379505729144</v>
      </c>
      <c r="AA75" s="386">
        <f t="shared" si="13"/>
        <v>10.108217924596504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0.1418487837879292</v>
      </c>
      <c r="AD75" s="231">
        <f>(INDEX(Models!$BJ75:$BT75,,AH75)*(1-AF75)+INDEX(Models!$BJ75:$BT75,,AH75+1)*AF75-ERP_i)*AE75*Ramure*Pc/MaxiM</f>
        <v>4.1603387333905791E-2</v>
      </c>
      <c r="AE75" s="305">
        <f t="shared" si="15"/>
        <v>0.8</v>
      </c>
      <c r="AF75" s="177">
        <f t="shared" si="23"/>
        <v>0.60893660528929727</v>
      </c>
      <c r="AG75" s="809">
        <f t="shared" si="24"/>
        <v>3</v>
      </c>
      <c r="AH75" s="176">
        <f t="shared" si="16"/>
        <v>9</v>
      </c>
      <c r="AI75" s="225">
        <f t="shared" si="17"/>
        <v>3.6089366052892973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IF(t&gt;Tmaj,'2025'!Wh/'2025'!Env_an*'2026'!Env_an,0.001*'[5]mon-tableau'!$B$142)</f>
        <v>29.015756427208874</v>
      </c>
      <c r="C76" s="839"/>
      <c r="D76" s="393">
        <f t="shared" si="0"/>
        <v>31.661445090921138</v>
      </c>
      <c r="E76" s="385">
        <f t="shared" si="1"/>
        <v>34.206459786034884</v>
      </c>
      <c r="F76" s="385">
        <f t="shared" si="2"/>
        <v>35.115709224157413</v>
      </c>
      <c r="G76" s="110">
        <f t="shared" si="21"/>
        <v>0.95357282972400426</v>
      </c>
      <c r="H76" s="414" t="b">
        <f>Wh_hp&gt;='2025'!Maxi_hp</f>
        <v>0</v>
      </c>
      <c r="I76" s="390">
        <f>IF(H76,Wh_hp,'2025'!Maxi_hp)</f>
        <v>35.179291593929499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8.3561841732578107E-2</v>
      </c>
      <c r="M76" s="843"/>
      <c r="N76" s="843"/>
      <c r="O76" s="48">
        <f>IF(t&lt;Tnet,'2025'!Resal+('2025'!Salim-'2025'!Resal)*(1-EXP(('2025'!Tnet-t)/('2025'!Tau_j))),Resal+(Salim-Resal)*(1-EXP((Tnet-t)/(Tau_j))))*Salcycl</f>
        <v>7.4401581193525732E-2</v>
      </c>
      <c r="P76" s="169">
        <f>(INDEX(Models!$BJ76:$BT76,,T76)*(1-R76)+INDEX(Models!$BJ76:$BT76,,T76+1)*R76-ERP_i)*Q76*Ramure*Pc/MaxiM</f>
        <v>2.7658989114461494E-2</v>
      </c>
      <c r="Q76" s="305">
        <f t="shared" si="4"/>
        <v>0.8</v>
      </c>
      <c r="R76" s="177">
        <f t="shared" si="5"/>
        <v>0.40862021221622324</v>
      </c>
      <c r="S76" s="809">
        <f t="shared" si="6"/>
        <v>2</v>
      </c>
      <c r="T76" s="176">
        <f t="shared" si="7"/>
        <v>8</v>
      </c>
      <c r="U76" s="251">
        <f t="shared" si="8"/>
        <v>2.4086202122162232</v>
      </c>
      <c r="V76" s="383">
        <f t="shared" si="9"/>
        <v>30.373297746822345</v>
      </c>
      <c r="W76" s="402">
        <f t="shared" si="10"/>
        <v>29.015756427208874</v>
      </c>
      <c r="X76" s="157">
        <f t="shared" si="11"/>
        <v>46084</v>
      </c>
      <c r="Y76" s="385">
        <f t="shared" si="12"/>
        <v>26.533612057945497</v>
      </c>
      <c r="Z76" s="385">
        <f t="shared" si="22"/>
        <v>28.952976061263957</v>
      </c>
      <c r="AA76" s="386">
        <f t="shared" si="13"/>
        <v>33.74094455941804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0.14190380739704658</v>
      </c>
      <c r="AD76" s="231">
        <f>(INDEX(Models!$BJ76:$BT76,,AH76)*(1-AF76)+INDEX(Models!$BJ76:$BT76,,AH76+1)*AF76-ERP_i)*AE76*Ramure*Pc/MaxiM</f>
        <v>4.1819768374548469E-2</v>
      </c>
      <c r="AE76" s="305">
        <f t="shared" si="15"/>
        <v>0.8</v>
      </c>
      <c r="AF76" s="177">
        <f t="shared" si="23"/>
        <v>0.60933695938112686</v>
      </c>
      <c r="AG76" s="809">
        <f t="shared" si="24"/>
        <v>3</v>
      </c>
      <c r="AH76" s="176">
        <f t="shared" si="16"/>
        <v>9</v>
      </c>
      <c r="AI76" s="225">
        <f t="shared" si="17"/>
        <v>3.6093369593811269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IF(t&gt;Tmaj,'2025'!Wh/'2025'!Env_an*'2026'!Env_an,0.001*'[5]mon-tableau'!$B$143)</f>
        <v>3.8711042465440118</v>
      </c>
      <c r="C77" s="839"/>
      <c r="D77" s="393">
        <f t="shared" si="0"/>
        <v>4.2241763672728707</v>
      </c>
      <c r="E77" s="385">
        <f t="shared" si="1"/>
        <v>4.5644549014380402</v>
      </c>
      <c r="F77" s="385">
        <f t="shared" si="2"/>
        <v>4.5644549014380402</v>
      </c>
      <c r="G77" s="110">
        <f t="shared" si="21"/>
        <v>0.12250687972478351</v>
      </c>
      <c r="H77" s="414" t="b">
        <f>Wh_hp&gt;='2025'!Maxi_hp</f>
        <v>0</v>
      </c>
      <c r="I77" s="390">
        <f>IF(H77,Wh_hp,'2025'!Maxi_hp)</f>
        <v>28.821969075833852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8.3583659873747856E-2</v>
      </c>
      <c r="M77" s="843"/>
      <c r="N77" s="843"/>
      <c r="O77" s="48">
        <f>IF(t&lt;Tnet,'2025'!Resal+('2025'!Salim-'2025'!Resal)*(1-EXP(('2025'!Tnet-t)/('2025'!Tau_j))),Resal+(Salim-Resal)*(1-EXP((Tnet-t)/(Tau_j))))*Salcycl</f>
        <v>7.4549654123642298E-2</v>
      </c>
      <c r="P77" s="169">
        <f>(INDEX(Models!$BJ77:$BT77,,T77)*(1-R77)+INDEX(Models!$BJ77:$BT77,,T77+1)*R77-ERP_i)*Q77*Ramure*Pc/MaxiM</f>
        <v>2.8029828473734419E-2</v>
      </c>
      <c r="Q77" s="305">
        <f t="shared" si="4"/>
        <v>0.8</v>
      </c>
      <c r="R77" s="177">
        <f t="shared" si="5"/>
        <v>0.40903678567034119</v>
      </c>
      <c r="S77" s="809">
        <f t="shared" si="6"/>
        <v>2</v>
      </c>
      <c r="T77" s="176">
        <f t="shared" si="7"/>
        <v>8</v>
      </c>
      <c r="U77" s="251">
        <f t="shared" si="8"/>
        <v>2.4090367856703412</v>
      </c>
      <c r="V77" s="383">
        <f t="shared" si="9"/>
        <v>30.713359665696004</v>
      </c>
      <c r="W77" s="402">
        <f t="shared" si="10"/>
        <v>3.8711042465440118</v>
      </c>
      <c r="X77" s="157">
        <f t="shared" si="11"/>
        <v>46085</v>
      </c>
      <c r="Y77" s="385">
        <f t="shared" si="12"/>
        <v>3.589135819379794</v>
      </c>
      <c r="Z77" s="385">
        <f t="shared" si="22"/>
        <v>3.9164904227758841</v>
      </c>
      <c r="AA77" s="386">
        <f t="shared" si="13"/>
        <v>4.5644549014380402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0.14195878646057247</v>
      </c>
      <c r="AD77" s="231">
        <f>(INDEX(Models!$BJ77:$BT77,,AH77)*(1-AF77)+INDEX(Models!$BJ77:$BT77,,AH77+1)*AF77-ERP_i)*AE77*Ramure*Pc/MaxiM</f>
        <v>4.2089396354125126E-2</v>
      </c>
      <c r="AE77" s="305">
        <f t="shared" si="15"/>
        <v>0.8</v>
      </c>
      <c r="AF77" s="177">
        <f t="shared" si="23"/>
        <v>0.6097535328352448</v>
      </c>
      <c r="AG77" s="809">
        <f t="shared" si="24"/>
        <v>3</v>
      </c>
      <c r="AH77" s="176">
        <f t="shared" si="16"/>
        <v>9</v>
      </c>
      <c r="AI77" s="225">
        <f t="shared" si="17"/>
        <v>3.6097535328352448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IF(t&gt;Tmaj,'2025'!Wh/'2025'!Env_an*'2026'!Env_an,0.001*'[5]mon-tableau'!$B$144)</f>
        <v>12.42162834103088</v>
      </c>
      <c r="C78" s="839"/>
      <c r="D78" s="393">
        <f t="shared" si="0"/>
        <v>13.554891519038048</v>
      </c>
      <c r="E78" s="385">
        <f t="shared" si="1"/>
        <v>14.649146943110919</v>
      </c>
      <c r="F78" s="385">
        <f t="shared" si="2"/>
        <v>14.708858203494128</v>
      </c>
      <c r="G78" s="110">
        <f t="shared" si="21"/>
        <v>0.39022163453776632</v>
      </c>
      <c r="H78" s="414" t="b">
        <f>Wh_hp&gt;='2025'!Maxi_hp</f>
        <v>0</v>
      </c>
      <c r="I78" s="390">
        <f>IF(H78,Wh_hp,'2025'!Maxi_hp)</f>
        <v>37.277702445333496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8.3605477507177645E-2</v>
      </c>
      <c r="M78" s="843"/>
      <c r="N78" s="843"/>
      <c r="O78" s="48">
        <f>IF(t&lt;Tnet,'2025'!Resal+('2025'!Salim-'2025'!Resal)*(1-EXP(('2025'!Tnet-t)/('2025'!Tau_j))),Resal+(Salim-Resal)*(1-EXP((Tnet-t)/(Tau_j))))*Salcycl</f>
        <v>7.4697552582573379E-2</v>
      </c>
      <c r="P78" s="169">
        <f>(INDEX(Models!$BJ78:$BT78,,T78)*(1-R78)+INDEX(Models!$BJ78:$BT78,,T78+1)*R78-ERP_i)*Q78*Ramure*Pc/MaxiM</f>
        <v>2.8415700338971932E-2</v>
      </c>
      <c r="Q78" s="305">
        <f t="shared" si="4"/>
        <v>0.8</v>
      </c>
      <c r="R78" s="177">
        <f t="shared" si="5"/>
        <v>0.40947021087661595</v>
      </c>
      <c r="S78" s="809">
        <f t="shared" si="6"/>
        <v>2</v>
      </c>
      <c r="T78" s="176">
        <f t="shared" si="7"/>
        <v>8</v>
      </c>
      <c r="U78" s="251">
        <f t="shared" si="8"/>
        <v>2.4094702108766159</v>
      </c>
      <c r="V78" s="383">
        <f t="shared" si="9"/>
        <v>31.053767797759143</v>
      </c>
      <c r="W78" s="402">
        <f t="shared" si="10"/>
        <v>12.42162834103088</v>
      </c>
      <c r="X78" s="157">
        <f t="shared" si="11"/>
        <v>46086</v>
      </c>
      <c r="Y78" s="385">
        <f t="shared" si="12"/>
        <v>11.494826026714396</v>
      </c>
      <c r="Z78" s="385">
        <f t="shared" si="22"/>
        <v>12.543534192506513</v>
      </c>
      <c r="AA78" s="386">
        <f t="shared" si="13"/>
        <v>14.619737897435106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0.14201374330334904</v>
      </c>
      <c r="AD78" s="231">
        <f>(INDEX(Models!$BJ78:$BT78,,AH78)*(1-AF78)+INDEX(Models!$BJ78:$BT78,,AH78+1)*AF78-ERP_i)*AE78*Ramure*Pc/MaxiM</f>
        <v>4.2411027582374271E-2</v>
      </c>
      <c r="AE78" s="305">
        <f t="shared" si="15"/>
        <v>0.8</v>
      </c>
      <c r="AF78" s="177">
        <f t="shared" si="23"/>
        <v>0.61018695804151957</v>
      </c>
      <c r="AG78" s="809">
        <f t="shared" si="24"/>
        <v>3</v>
      </c>
      <c r="AH78" s="176">
        <f t="shared" si="16"/>
        <v>9</v>
      </c>
      <c r="AI78" s="225">
        <f t="shared" si="17"/>
        <v>3.6101869580415196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IF(t&gt;Tmaj,'2025'!Wh/'2025'!Env_an*'2026'!Env_an,0.001*'[5]mon-tableau'!$B$145)</f>
        <v>14.316855786723714</v>
      </c>
      <c r="C79" s="839"/>
      <c r="D79" s="393">
        <f t="shared" ref="D79:D142" si="25">Wh/(1-Ppv)</f>
        <v>15.623398321306437</v>
      </c>
      <c r="E79" s="385">
        <f t="shared" si="1"/>
        <v>16.887335874902263</v>
      </c>
      <c r="F79" s="385">
        <f t="shared" ref="F79:F142" si="26">Wh_sa/(1-Pvg*MEDIAN((-Sdif+Wh/Env_an)/Csdif,0,1))</f>
        <v>16.996477036056966</v>
      </c>
      <c r="G79" s="110">
        <f t="shared" si="21"/>
        <v>0.44572144516819556</v>
      </c>
      <c r="H79" s="414" t="b">
        <f>Wh_hp&gt;='2025'!Maxi_hp</f>
        <v>0</v>
      </c>
      <c r="I79" s="390">
        <f>IF(H79,Wh_hp,'2025'!Maxi_hp)</f>
        <v>22.684826096802258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8.362729463287924E-2</v>
      </c>
      <c r="M79" s="843"/>
      <c r="N79" s="843"/>
      <c r="O79" s="48">
        <f>IF(t&lt;Tnet,'2025'!Resal+('2025'!Salim-'2025'!Resal)*(1-EXP(('2025'!Tnet-t)/('2025'!Tau_j))),Resal+(Salim-Resal)*(1-EXP((Tnet-t)/(Tau_j))))*Salcycl</f>
        <v>7.4845290160555966E-2</v>
      </c>
      <c r="P79" s="169">
        <f>(INDEX(Models!$BJ79:$BT79,,T79)*(1-R79)+INDEX(Models!$BJ79:$BT79,,T79+1)*R79-ERP_i)*Q79*Ramure*Pc/MaxiM</f>
        <v>2.8814239479638785E-2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0.40992114280849368</v>
      </c>
      <c r="S79" s="809">
        <f t="shared" ref="S79:S142" si="30">INDEX(Echel_vg,T79)</f>
        <v>2</v>
      </c>
      <c r="T79" s="176">
        <f t="shared" ref="T79:T142" si="31">MIN(MATCH(Hp_vg,Echel_vg),10)</f>
        <v>8</v>
      </c>
      <c r="U79" s="251">
        <f t="shared" ref="U79:U142" si="32">IF(OR(t&lt;Ttai,Notai),Hdd+PousH*Croivg,Hdtf+PousH*(Croivg-Croi_tai))</f>
        <v>2.4099211428084937</v>
      </c>
      <c r="V79" s="383">
        <f t="shared" ref="V79:V142" si="33">MaxiM*(1-Ppv)*(1-Pvg)*(1-Psa)</f>
        <v>31.396714017757407</v>
      </c>
      <c r="W79" s="402">
        <f t="shared" ref="W79:W142" si="34">Wh*(A79&gt;Tmaj)</f>
        <v>14.316855786723714</v>
      </c>
      <c r="X79" s="157">
        <f t="shared" ref="X79:X142" si="35">t</f>
        <v>46087</v>
      </c>
      <c r="Y79" s="385">
        <f t="shared" ref="Y79:Y142" si="36">Wh_pvt_s*(1-Ppv)</f>
        <v>13.234978657691949</v>
      </c>
      <c r="Z79" s="385">
        <f t="shared" ref="Z79:Z142" si="37">Wh_sa_s*(1-Psa_s)</f>
        <v>14.442790122595042</v>
      </c>
      <c r="AA79" s="386">
        <f t="shared" ref="AA79:AA142" si="38">Wh_hp*(1-Pvg_s*MEDIAN((-Sdif+Wh/Env_an)/Csdif,0,1))</f>
        <v>16.834436713105926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0.1420687030560959</v>
      </c>
      <c r="AD79" s="231">
        <f>(INDEX(Models!$BJ79:$BT79,,AH79)*(1-AF79)+INDEX(Models!$BJ79:$BT79,,AH79+1)*AF79-ERP_i)*AE79*Ramure*Pc/MaxiM</f>
        <v>4.2780089761469735E-2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0.6106378899733973</v>
      </c>
      <c r="AG79" s="809">
        <f t="shared" si="24"/>
        <v>3</v>
      </c>
      <c r="AH79" s="176">
        <f t="shared" ref="AH79:AH142" si="42">MIN(MATCH(Hp_vg_s,Echel_vg),10)</f>
        <v>9</v>
      </c>
      <c r="AI79" s="225">
        <f t="shared" ref="AI79:AI142" si="43">IF(OR(t&lt;Ttai,Notai),Hdd_s+PousH*Croivg,Hdtai_s+PousH*(Croivg-Croi_tai))</f>
        <v>3.6106378899733973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IF(t&gt;Tmaj,'2025'!Wh/'2025'!Env_an*'2026'!Env_an,0.001*'[5]mon-tableau'!$B$146)</f>
        <v>30.450759315357121</v>
      </c>
      <c r="C80" s="839"/>
      <c r="D80" s="393">
        <f t="shared" si="25"/>
        <v>33.230457556410421</v>
      </c>
      <c r="E80" s="385">
        <f t="shared" ref="E80:E143" si="47">Wh_pvt/(1-Psa)</f>
        <v>35.924542535221669</v>
      </c>
      <c r="F80" s="385">
        <f t="shared" si="26"/>
        <v>36.941047919571119</v>
      </c>
      <c r="G80" s="110">
        <f t="shared" ref="G80:G143" si="48">+Wh_hp/MaxiM</f>
        <v>0.95757302805621991</v>
      </c>
      <c r="H80" s="414" t="b">
        <f>Wh_hp&gt;='2025'!Maxi_hp</f>
        <v>0</v>
      </c>
      <c r="I80" s="390">
        <f>IF(H80,Wh_hp,'2025'!Maxi_hp)</f>
        <v>37.005534165316867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8.3649111250864411E-2</v>
      </c>
      <c r="M80" s="843"/>
      <c r="N80" s="843"/>
      <c r="O80" s="48">
        <f>IF(t&lt;Tnet,'2025'!Resal+('2025'!Salim-'2025'!Resal)*(1-EXP(('2025'!Tnet-t)/('2025'!Tau_j))),Resal+(Salim-Resal)*(1-EXP((Tnet-t)/(Tau_j))))*Salcycl</f>
        <v>7.4992881987846538E-2</v>
      </c>
      <c r="P80" s="169">
        <f>(INDEX(Models!$BJ80:$BT80,,T80)*(1-R80)+INDEX(Models!$BJ80:$BT80,,T80+1)*R80-ERP_i)*Q80*Ramure*Pc/MaxiM</f>
        <v>2.9217824816721298E-2</v>
      </c>
      <c r="Q80" s="305">
        <f t="shared" si="28"/>
        <v>0.8</v>
      </c>
      <c r="R80" s="177">
        <f t="shared" si="29"/>
        <v>0.41039025965381626</v>
      </c>
      <c r="S80" s="809">
        <f t="shared" si="30"/>
        <v>2</v>
      </c>
      <c r="T80" s="176">
        <f t="shared" si="31"/>
        <v>8</v>
      </c>
      <c r="U80" s="251">
        <f t="shared" si="32"/>
        <v>2.4103902596538163</v>
      </c>
      <c r="V80" s="383">
        <f t="shared" si="33"/>
        <v>31.744316451146165</v>
      </c>
      <c r="W80" s="402">
        <f t="shared" si="34"/>
        <v>30.450759315357121</v>
      </c>
      <c r="X80" s="157">
        <f t="shared" si="35"/>
        <v>46088</v>
      </c>
      <c r="Y80" s="385">
        <f t="shared" si="36"/>
        <v>27.858140695165606</v>
      </c>
      <c r="Z80" s="385">
        <f t="shared" si="37"/>
        <v>30.401171687838215</v>
      </c>
      <c r="AA80" s="386">
        <f t="shared" si="38"/>
        <v>35.43770991393442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0.14212369361135818</v>
      </c>
      <c r="AD80" s="231">
        <f>(INDEX(Models!$BJ80:$BT80,,AH80)*(1-AF80)+INDEX(Models!$BJ80:$BT80,,AH80+1)*AF80-ERP_i)*AE80*Ramure*Pc/MaxiM</f>
        <v>4.3211051476252829E-2</v>
      </c>
      <c r="AE80" s="305">
        <f t="shared" si="40"/>
        <v>0.8</v>
      </c>
      <c r="AF80" s="177">
        <f t="shared" si="41"/>
        <v>0.61110700681871988</v>
      </c>
      <c r="AG80" s="809">
        <f t="shared" ref="AG80:AG143" si="49">INDEX(Echel_vg,AH80)</f>
        <v>3</v>
      </c>
      <c r="AH80" s="176">
        <f t="shared" si="42"/>
        <v>9</v>
      </c>
      <c r="AI80" s="225">
        <f t="shared" si="43"/>
        <v>3.6111070068187199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IF(t&gt;Tmaj,'2025'!Wh/'2025'!Env_an*'2026'!Env_an,0.001*'[5]mon-tableau'!$B$147)</f>
        <v>23.546623089260322</v>
      </c>
      <c r="C81" s="839"/>
      <c r="D81" s="393">
        <f t="shared" si="25"/>
        <v>25.696688877774534</v>
      </c>
      <c r="E81" s="385">
        <f t="shared" si="47"/>
        <v>27.784419755892852</v>
      </c>
      <c r="F81" s="385">
        <f t="shared" si="26"/>
        <v>28.303601996126854</v>
      </c>
      <c r="G81" s="110">
        <f t="shared" si="48"/>
        <v>0.72520261016132181</v>
      </c>
      <c r="H81" s="414" t="b">
        <f>Wh_hp&gt;='2025'!Maxi_hp</f>
        <v>0</v>
      </c>
      <c r="I81" s="390">
        <f>IF(H81,Wh_hp,'2025'!Maxi_hp)</f>
        <v>28.631009499082833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8.3670927361144926E-2</v>
      </c>
      <c r="M81" s="843"/>
      <c r="N81" s="843"/>
      <c r="O81" s="48">
        <f>IF(t&lt;Tnet,'2025'!Resal+('2025'!Salim-'2025'!Resal)*(1-EXP(('2025'!Tnet-t)/('2025'!Tau_j))),Resal+(Salim-Resal)*(1-EXP((Tnet-t)/(Tau_j))))*Salcycl</f>
        <v>7.5140344713354207E-2</v>
      </c>
      <c r="P81" s="169">
        <f>(INDEX(Models!$BJ81:$BT81,,T81)*(1-R81)+INDEX(Models!$BJ81:$BT81,,T81+1)*R81-ERP_i)*Q81*Ramure*Pc/MaxiM</f>
        <v>2.9611679099728661E-2</v>
      </c>
      <c r="Q81" s="305">
        <f t="shared" si="28"/>
        <v>0.8</v>
      </c>
      <c r="R81" s="177">
        <f t="shared" si="29"/>
        <v>0.41087826344766842</v>
      </c>
      <c r="S81" s="809">
        <f t="shared" si="30"/>
        <v>2</v>
      </c>
      <c r="T81" s="176">
        <f t="shared" si="31"/>
        <v>8</v>
      </c>
      <c r="U81" s="251">
        <f t="shared" si="32"/>
        <v>2.4108782634476684</v>
      </c>
      <c r="V81" s="383">
        <f t="shared" si="33"/>
        <v>32.096317805917423</v>
      </c>
      <c r="W81" s="402">
        <f t="shared" si="34"/>
        <v>23.546623089260322</v>
      </c>
      <c r="X81" s="157">
        <f t="shared" si="35"/>
        <v>46089</v>
      </c>
      <c r="Y81" s="385">
        <f t="shared" si="36"/>
        <v>21.64599108465513</v>
      </c>
      <c r="Z81" s="385">
        <f t="shared" si="37"/>
        <v>23.622508257125087</v>
      </c>
      <c r="AA81" s="386">
        <f t="shared" si="38"/>
        <v>27.537797804515268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0.1421787455621526</v>
      </c>
      <c r="AD81" s="231">
        <f>(INDEX(Models!$BJ81:$BT81,,AH81)*(1-AF81)+INDEX(Models!$BJ81:$BT81,,AH81+1)*AF81-ERP_i)*AE81*Ramure*Pc/MaxiM</f>
        <v>4.367781911224216E-2</v>
      </c>
      <c r="AE81" s="305">
        <f t="shared" si="40"/>
        <v>0.8</v>
      </c>
      <c r="AF81" s="177">
        <f t="shared" si="41"/>
        <v>0.61159501061257204</v>
      </c>
      <c r="AG81" s="809">
        <f t="shared" si="49"/>
        <v>3</v>
      </c>
      <c r="AH81" s="176">
        <f t="shared" si="42"/>
        <v>9</v>
      </c>
      <c r="AI81" s="225">
        <f t="shared" si="43"/>
        <v>3.611595010612572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IF(t&gt;Tmaj,'2025'!Wh/'2025'!Env_an*'2026'!Env_an,0.001*'[5]mon-tableau'!$B$148)</f>
        <v>24.564605730994465</v>
      </c>
      <c r="C82" s="839"/>
      <c r="D82" s="393">
        <f t="shared" si="25"/>
        <v>26.808262776884462</v>
      </c>
      <c r="E82" s="385">
        <f t="shared" si="47"/>
        <v>28.990922554689721</v>
      </c>
      <c r="F82" s="385">
        <f t="shared" si="26"/>
        <v>29.569950348701834</v>
      </c>
      <c r="G82" s="110">
        <f t="shared" si="48"/>
        <v>0.74891172876666912</v>
      </c>
      <c r="H82" s="414" t="b">
        <f>Wh_hp&gt;='2025'!Maxi_hp</f>
        <v>0</v>
      </c>
      <c r="I82" s="390">
        <f>IF(H82,Wh_hp,'2025'!Maxi_hp)</f>
        <v>38.36219098507231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8.3692742963732775E-2</v>
      </c>
      <c r="M82" s="843"/>
      <c r="N82" s="843"/>
      <c r="O82" s="48">
        <f>IF(t&lt;Tnet,'2025'!Resal+('2025'!Salim-'2025'!Resal)*(1-EXP(('2025'!Tnet-t)/('2025'!Tau_j))),Resal+(Salim-Resal)*(1-EXP((Tnet-t)/(Tau_j))))*Salcycl</f>
        <v>7.5287696474225521E-2</v>
      </c>
      <c r="P82" s="169">
        <f>(INDEX(Models!$BJ82:$BT82,,T82)*(1-R82)+INDEX(Models!$BJ82:$BT82,,T82+1)*R82-ERP_i)*Q82*Ramure*Pc/MaxiM</f>
        <v>2.9996826931831356E-2</v>
      </c>
      <c r="Q82" s="305">
        <f t="shared" si="28"/>
        <v>0.8</v>
      </c>
      <c r="R82" s="177">
        <f t="shared" si="29"/>
        <v>0.41138588070557303</v>
      </c>
      <c r="S82" s="809">
        <f t="shared" si="30"/>
        <v>2</v>
      </c>
      <c r="T82" s="176">
        <f t="shared" si="31"/>
        <v>8</v>
      </c>
      <c r="U82" s="251">
        <f t="shared" si="32"/>
        <v>2.411385880705573</v>
      </c>
      <c r="V82" s="383">
        <f t="shared" si="33"/>
        <v>32.451956134254289</v>
      </c>
      <c r="W82" s="402">
        <f t="shared" si="34"/>
        <v>24.564605730994465</v>
      </c>
      <c r="X82" s="157">
        <f t="shared" si="35"/>
        <v>46090</v>
      </c>
      <c r="Y82" s="385">
        <f t="shared" si="36"/>
        <v>22.571021052118862</v>
      </c>
      <c r="Z82" s="385">
        <f t="shared" si="37"/>
        <v>24.632590082417632</v>
      </c>
      <c r="AA82" s="386">
        <f t="shared" si="38"/>
        <v>28.717140787270637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0.14223389212423102</v>
      </c>
      <c r="AD82" s="231">
        <f>(INDEX(Models!$BJ82:$BT82,,AH82)*(1-AF82)+INDEX(Models!$BJ82:$BT82,,AH82+1)*AF82-ERP_i)*AE82*Ramure*Pc/MaxiM</f>
        <v>4.4180229489169554E-2</v>
      </c>
      <c r="AE82" s="305">
        <f t="shared" si="40"/>
        <v>0.8</v>
      </c>
      <c r="AF82" s="177">
        <f t="shared" si="41"/>
        <v>0.61210262787047665</v>
      </c>
      <c r="AG82" s="809">
        <f t="shared" si="49"/>
        <v>3</v>
      </c>
      <c r="AH82" s="176">
        <f t="shared" si="42"/>
        <v>9</v>
      </c>
      <c r="AI82" s="225">
        <f t="shared" si="43"/>
        <v>3.6121026278704766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IF(t&gt;Tmaj,'2025'!Wh/'2025'!Env_an*'2026'!Env_an,0.001*'[5]mon-tableau'!$B$149)</f>
        <v>19.476289581119833</v>
      </c>
      <c r="C83" s="839"/>
      <c r="D83" s="393">
        <f t="shared" si="25"/>
        <v>21.255701214519849</v>
      </c>
      <c r="E83" s="385">
        <f t="shared" si="47"/>
        <v>22.98994686437511</v>
      </c>
      <c r="F83" s="385">
        <f t="shared" si="26"/>
        <v>23.286614740666952</v>
      </c>
      <c r="G83" s="110">
        <f t="shared" si="48"/>
        <v>0.58299695503831395</v>
      </c>
      <c r="H83" s="414" t="b">
        <f>Wh_hp&gt;='2025'!Maxi_hp</f>
        <v>0</v>
      </c>
      <c r="I83" s="390">
        <f>IF(H83,Wh_hp,'2025'!Maxi_hp)</f>
        <v>38.414933458593104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8.3714558058639615E-2</v>
      </c>
      <c r="M83" s="843"/>
      <c r="N83" s="843"/>
      <c r="O83" s="48">
        <f>IF(t&lt;Tnet,'2025'!Resal+('2025'!Salim-'2025'!Resal)*(1-EXP(('2025'!Tnet-t)/('2025'!Tau_j))),Resal+(Salim-Resal)*(1-EXP((Tnet-t)/(Tau_j))))*Salcycl</f>
        <v>7.5434956856843441E-2</v>
      </c>
      <c r="P83" s="169">
        <f>(INDEX(Models!$BJ83:$BT83,,T83)*(1-R83)+INDEX(Models!$BJ83:$BT83,,T83+1)*R83-ERP_i)*Q83*Ramure*Pc/MaxiM</f>
        <v>3.0374307014025541E-2</v>
      </c>
      <c r="Q83" s="305">
        <f t="shared" si="28"/>
        <v>0.8</v>
      </c>
      <c r="R83" s="177">
        <f t="shared" si="29"/>
        <v>0.41191386305517685</v>
      </c>
      <c r="S83" s="809">
        <f t="shared" si="30"/>
        <v>2</v>
      </c>
      <c r="T83" s="176">
        <f t="shared" si="31"/>
        <v>8</v>
      </c>
      <c r="U83" s="251">
        <f t="shared" si="32"/>
        <v>2.4119138630551769</v>
      </c>
      <c r="V83" s="383">
        <f t="shared" si="33"/>
        <v>32.810469293434714</v>
      </c>
      <c r="W83" s="402">
        <f t="shared" si="34"/>
        <v>19.476289581119833</v>
      </c>
      <c r="X83" s="157">
        <f t="shared" si="35"/>
        <v>46091</v>
      </c>
      <c r="Y83" s="385">
        <f t="shared" si="36"/>
        <v>17.957878201367603</v>
      </c>
      <c r="Z83" s="385">
        <f t="shared" si="37"/>
        <v>19.598563263560891</v>
      </c>
      <c r="AA83" s="386">
        <f t="shared" si="38"/>
        <v>22.849849338726198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0.14228916904300939</v>
      </c>
      <c r="AD83" s="231">
        <f>(INDEX(Models!$BJ83:$BT83,,AH83)*(1-AF83)+INDEX(Models!$BJ83:$BT83,,AH83+1)*AF83-ERP_i)*AE83*Ramure*Pc/MaxiM</f>
        <v>4.4718176357598671E-2</v>
      </c>
      <c r="AE83" s="305">
        <f t="shared" si="40"/>
        <v>0.8</v>
      </c>
      <c r="AF83" s="177">
        <f t="shared" si="41"/>
        <v>0.61263061022008047</v>
      </c>
      <c r="AG83" s="809">
        <f t="shared" si="49"/>
        <v>3</v>
      </c>
      <c r="AH83" s="176">
        <f t="shared" si="42"/>
        <v>9</v>
      </c>
      <c r="AI83" s="225">
        <f t="shared" si="43"/>
        <v>3.6126306102200805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IF(t&gt;Tmaj,'2025'!Wh/'2025'!Env_an*'2026'!Env_an,0.001*'[5]mon-tableau'!$B$150)</f>
        <v>12.696301184760367</v>
      </c>
      <c r="C84" s="839"/>
      <c r="D84" s="393">
        <f t="shared" si="25"/>
        <v>13.856602844121664</v>
      </c>
      <c r="E84" s="385">
        <f t="shared" si="47"/>
        <v>14.989544822074961</v>
      </c>
      <c r="F84" s="385">
        <f t="shared" si="26"/>
        <v>15.044224617699095</v>
      </c>
      <c r="G84" s="110">
        <f t="shared" si="48"/>
        <v>0.37233747337358974</v>
      </c>
      <c r="H84" s="414" t="b">
        <f>Wh_hp&gt;='2025'!Maxi_hp</f>
        <v>0</v>
      </c>
      <c r="I84" s="390">
        <f>IF(H84,Wh_hp,'2025'!Maxi_hp)</f>
        <v>32.677588662609999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8.3736372645877438E-2</v>
      </c>
      <c r="M84" s="843"/>
      <c r="N84" s="843"/>
      <c r="O84" s="48">
        <f>IF(t&lt;Tnet,'2025'!Resal+('2025'!Salim-'2025'!Resal)*(1-EXP(('2025'!Tnet-t)/('2025'!Tau_j))),Resal+(Salim-Resal)*(1-EXP((Tnet-t)/(Tau_j))))*Salcycl</f>
        <v>7.5582146849771228E-2</v>
      </c>
      <c r="P84" s="169">
        <f>(INDEX(Models!$BJ84:$BT84,,T84)*(1-R84)+INDEX(Models!$BJ84:$BT84,,T84+1)*R84-ERP_i)*Q84*Ramure*Pc/MaxiM</f>
        <v>3.0745169351184137E-2</v>
      </c>
      <c r="Q84" s="305">
        <f t="shared" si="28"/>
        <v>0.8</v>
      </c>
      <c r="R84" s="177">
        <f t="shared" si="29"/>
        <v>0.41246298786437485</v>
      </c>
      <c r="S84" s="809">
        <f t="shared" si="30"/>
        <v>2</v>
      </c>
      <c r="T84" s="176">
        <f t="shared" si="31"/>
        <v>8</v>
      </c>
      <c r="U84" s="251">
        <f t="shared" si="32"/>
        <v>2.4124629878643749</v>
      </c>
      <c r="V84" s="383">
        <f t="shared" si="33"/>
        <v>33.171094917161376</v>
      </c>
      <c r="W84" s="402">
        <f t="shared" si="34"/>
        <v>12.696301184760367</v>
      </c>
      <c r="X84" s="157">
        <f t="shared" si="35"/>
        <v>46092</v>
      </c>
      <c r="Y84" s="385">
        <f t="shared" si="36"/>
        <v>11.759030304321524</v>
      </c>
      <c r="Z84" s="385">
        <f t="shared" si="37"/>
        <v>12.833675760193445</v>
      </c>
      <c r="AA84" s="386">
        <f t="shared" si="38"/>
        <v>14.963674194743076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0.14234461448632221</v>
      </c>
      <c r="AD84" s="231">
        <f>(INDEX(Models!$BJ84:$BT84,,AH84)*(1-AF84)+INDEX(Models!$BJ84:$BT84,,AH84+1)*AF84-ERP_i)*AE84*Ramure*Pc/MaxiM</f>
        <v>4.5291617622638711E-2</v>
      </c>
      <c r="AE84" s="305">
        <f t="shared" si="40"/>
        <v>0.8</v>
      </c>
      <c r="AF84" s="177">
        <f t="shared" si="41"/>
        <v>0.61317973502927847</v>
      </c>
      <c r="AG84" s="809">
        <f t="shared" si="49"/>
        <v>3</v>
      </c>
      <c r="AH84" s="176">
        <f t="shared" si="42"/>
        <v>9</v>
      </c>
      <c r="AI84" s="225">
        <f t="shared" si="43"/>
        <v>3.6131797350292785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IF(t&gt;Tmaj,'2025'!Wh/'2025'!Env_an*'2026'!Env_an,0.001*'[5]mon-tableau'!$B$151)</f>
        <v>13.321988674566787</v>
      </c>
      <c r="C85" s="839"/>
      <c r="D85" s="393">
        <f t="shared" si="25"/>
        <v>14.539817416709615</v>
      </c>
      <c r="E85" s="385">
        <f t="shared" si="47"/>
        <v>15.731124269493341</v>
      </c>
      <c r="F85" s="385">
        <f t="shared" si="26"/>
        <v>15.799431972048811</v>
      </c>
      <c r="G85" s="110">
        <f t="shared" si="48"/>
        <v>0.38659097625566652</v>
      </c>
      <c r="H85" s="414" t="b">
        <f>Wh_hp&gt;='2025'!Maxi_hp</f>
        <v>0</v>
      </c>
      <c r="I85" s="390">
        <f>IF(H85,Wh_hp,'2025'!Maxi_hp)</f>
        <v>39.534128612030948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8.37581867254579E-2</v>
      </c>
      <c r="M85" s="843"/>
      <c r="N85" s="843"/>
      <c r="O85" s="48">
        <f>IF(t&lt;Tnet,'2025'!Resal+('2025'!Salim-'2025'!Resal)*(1-EXP(('2025'!Tnet-t)/('2025'!Tau_j))),Resal+(Salim-Resal)*(1-EXP((Tnet-t)/(Tau_j))))*Salcycl</f>
        <v>7.5729288789229923E-2</v>
      </c>
      <c r="P85" s="169">
        <f>(INDEX(Models!$BJ85:$BT85,,T85)*(1-R85)+INDEX(Models!$BJ85:$BT85,,T85+1)*R85-ERP_i)*Q85*Ramure*Pc/MaxiM</f>
        <v>3.111047303487351E-2</v>
      </c>
      <c r="Q85" s="305">
        <f t="shared" si="28"/>
        <v>0.8</v>
      </c>
      <c r="R85" s="177">
        <f t="shared" si="29"/>
        <v>0.41303405886360123</v>
      </c>
      <c r="S85" s="809">
        <f t="shared" si="30"/>
        <v>2</v>
      </c>
      <c r="T85" s="176">
        <f t="shared" si="31"/>
        <v>8</v>
      </c>
      <c r="U85" s="251">
        <f t="shared" si="32"/>
        <v>2.4130340588636012</v>
      </c>
      <c r="V85" s="383">
        <f t="shared" si="33"/>
        <v>33.533070385142693</v>
      </c>
      <c r="W85" s="402">
        <f t="shared" si="34"/>
        <v>13.321988674566787</v>
      </c>
      <c r="X85" s="157">
        <f t="shared" si="35"/>
        <v>46093</v>
      </c>
      <c r="Y85" s="385">
        <f t="shared" si="36"/>
        <v>12.33550860597799</v>
      </c>
      <c r="Z85" s="385">
        <f t="shared" si="37"/>
        <v>13.463158335780717</v>
      </c>
      <c r="AA85" s="386">
        <f t="shared" si="38"/>
        <v>15.698650370252549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0.14240026892425589</v>
      </c>
      <c r="AD85" s="231">
        <f>(INDEX(Models!$BJ85:$BT85,,AH85)*(1-AF85)+INDEX(Models!$BJ85:$BT85,,AH85+1)*AF85-ERP_i)*AE85*Ramure*Pc/MaxiM</f>
        <v>4.5900582039746604E-2</v>
      </c>
      <c r="AE85" s="305">
        <f t="shared" si="40"/>
        <v>0.8</v>
      </c>
      <c r="AF85" s="177">
        <f t="shared" si="41"/>
        <v>0.61375080602850485</v>
      </c>
      <c r="AG85" s="809">
        <f t="shared" si="49"/>
        <v>3</v>
      </c>
      <c r="AH85" s="176">
        <f t="shared" si="42"/>
        <v>9</v>
      </c>
      <c r="AI85" s="225">
        <f t="shared" si="43"/>
        <v>3.6137508060285048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IF(t&gt;Tmaj,'2025'!Wh/'2025'!Env_an*'2026'!Env_an,0.001*'[5]mon-tableau'!$B$152)</f>
        <v>9.5966319685340817</v>
      </c>
      <c r="C86" s="839"/>
      <c r="D86" s="393">
        <f t="shared" si="25"/>
        <v>10.474156830945645</v>
      </c>
      <c r="E86" s="385">
        <f t="shared" si="47"/>
        <v>11.334151516447875</v>
      </c>
      <c r="F86" s="385">
        <f t="shared" si="26"/>
        <v>11.334151516447875</v>
      </c>
      <c r="G86" s="110">
        <f t="shared" si="48"/>
        <v>0.27421271905278177</v>
      </c>
      <c r="H86" s="414" t="b">
        <f>Wh_hp&gt;='2025'!Maxi_hp</f>
        <v>0</v>
      </c>
      <c r="I86" s="390">
        <f>IF(H86,Wh_hp,'2025'!Maxi_hp)</f>
        <v>38.291818478565958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8.378000029739277E-2</v>
      </c>
      <c r="M86" s="843"/>
      <c r="N86" s="843"/>
      <c r="O86" s="48">
        <f>IF(t&lt;Tnet,'2025'!Resal+('2025'!Salim-'2025'!Resal)*(1-EXP(('2025'!Tnet-t)/('2025'!Tau_j))),Resal+(Salim-Resal)*(1-EXP((Tnet-t)/(Tau_j))))*Salcycl</f>
        <v>7.5876406297747473E-2</v>
      </c>
      <c r="P86" s="169">
        <f>(INDEX(Models!$BJ86:$BT86,,T86)*(1-R86)+INDEX(Models!$BJ86:$BT86,,T86+1)*R86-ERP_i)*Q86*Ramure*Pc/MaxiM</f>
        <v>3.1438285082194539E-2</v>
      </c>
      <c r="Q86" s="305">
        <f t="shared" si="28"/>
        <v>0.8</v>
      </c>
      <c r="R86" s="177">
        <f t="shared" si="29"/>
        <v>0.41362790675981609</v>
      </c>
      <c r="S86" s="809">
        <f t="shared" si="30"/>
        <v>2</v>
      </c>
      <c r="T86" s="176">
        <f t="shared" si="31"/>
        <v>8</v>
      </c>
      <c r="U86" s="251">
        <f t="shared" si="32"/>
        <v>2.4136279067598161</v>
      </c>
      <c r="V86" s="383">
        <f t="shared" si="33"/>
        <v>33.896787679966344</v>
      </c>
      <c r="W86" s="402">
        <f t="shared" si="34"/>
        <v>9.5966319685340817</v>
      </c>
      <c r="X86" s="157">
        <f t="shared" si="35"/>
        <v>46094</v>
      </c>
      <c r="Y86" s="385">
        <f t="shared" si="36"/>
        <v>8.9052292805009134</v>
      </c>
      <c r="Z86" s="385">
        <f t="shared" si="37"/>
        <v>9.7195316445738271</v>
      </c>
      <c r="AA86" s="386">
        <f t="shared" si="38"/>
        <v>11.334151516447875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0.14245617499739147</v>
      </c>
      <c r="AD86" s="231">
        <f>(INDEX(Models!$BJ86:$BT86,,AH86)*(1-AF86)+INDEX(Models!$BJ86:$BT86,,AH86+1)*AF86-ERP_i)*AE86*Ramure*Pc/MaxiM</f>
        <v>4.6522726192174853E-2</v>
      </c>
      <c r="AE86" s="305">
        <f t="shared" si="40"/>
        <v>0.8</v>
      </c>
      <c r="AF86" s="177">
        <f t="shared" si="41"/>
        <v>0.61434465392471971</v>
      </c>
      <c r="AG86" s="809">
        <f t="shared" si="49"/>
        <v>3</v>
      </c>
      <c r="AH86" s="176">
        <f t="shared" si="42"/>
        <v>9</v>
      </c>
      <c r="AI86" s="225">
        <f t="shared" si="43"/>
        <v>3.6143446539247197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IF(t&gt;Tmaj,'2025'!Wh/'2025'!Env_an*'2026'!Env_an,0.001*'[5]mon-tableau'!$B$153)</f>
        <v>12.794019721244249</v>
      </c>
      <c r="C87" s="839"/>
      <c r="D87" s="393">
        <f t="shared" si="25"/>
        <v>13.964249119710422</v>
      </c>
      <c r="E87" s="385">
        <f t="shared" si="47"/>
        <v>15.113208491451688</v>
      </c>
      <c r="F87" s="385">
        <f t="shared" si="26"/>
        <v>15.163662838441786</v>
      </c>
      <c r="G87" s="110">
        <f t="shared" si="48"/>
        <v>0.3627809145979608</v>
      </c>
      <c r="H87" s="414" t="b">
        <f>Wh_hp&gt;='2025'!Maxi_hp</f>
        <v>0</v>
      </c>
      <c r="I87" s="390">
        <f>IF(H87,Wh_hp,'2025'!Maxi_hp)</f>
        <v>37.562812339887081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8.3801813361694039E-2</v>
      </c>
      <c r="M87" s="843"/>
      <c r="N87" s="843"/>
      <c r="O87" s="48">
        <f>IF(t&lt;Tnet,'2025'!Resal+('2025'!Salim-'2025'!Resal)*(1-EXP(('2025'!Tnet-t)/('2025'!Tau_j))),Resal+(Salim-Resal)*(1-EXP((Tnet-t)/(Tau_j))))*Salcycl</f>
        <v>7.6023524216657257E-2</v>
      </c>
      <c r="P87" s="169">
        <f>(INDEX(Models!$BJ87:$BT87,,T87)*(1-R87)+INDEX(Models!$BJ87:$BT87,,T87+1)*R87-ERP_i)*Q87*Ramure*Pc/MaxiM</f>
        <v>3.1723308140739745E-2</v>
      </c>
      <c r="Q87" s="305">
        <f t="shared" si="28"/>
        <v>0.8</v>
      </c>
      <c r="R87" s="177">
        <f t="shared" si="29"/>
        <v>0.41424538983946135</v>
      </c>
      <c r="S87" s="809">
        <f t="shared" si="30"/>
        <v>2</v>
      </c>
      <c r="T87" s="176">
        <f t="shared" si="31"/>
        <v>8</v>
      </c>
      <c r="U87" s="251">
        <f t="shared" si="32"/>
        <v>2.4142453898394614</v>
      </c>
      <c r="V87" s="383">
        <f t="shared" si="33"/>
        <v>34.261747330792474</v>
      </c>
      <c r="W87" s="402">
        <f t="shared" si="34"/>
        <v>12.794019721244249</v>
      </c>
      <c r="X87" s="157">
        <f t="shared" si="35"/>
        <v>46095</v>
      </c>
      <c r="Y87" s="385">
        <f t="shared" si="36"/>
        <v>11.854119856472636</v>
      </c>
      <c r="Z87" s="385">
        <f t="shared" si="37"/>
        <v>12.938379522412623</v>
      </c>
      <c r="AA87" s="386">
        <f t="shared" si="38"/>
        <v>15.088707033230857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0.14251237737484251</v>
      </c>
      <c r="AD87" s="231">
        <f>(INDEX(Models!$BJ87:$BT87,,AH87)*(1-AF87)+INDEX(Models!$BJ87:$BT87,,AH87+1)*AF87-ERP_i)*AE87*Ramure*Pc/MaxiM</f>
        <v>4.7128666755121014E-2</v>
      </c>
      <c r="AE87" s="305">
        <f t="shared" si="40"/>
        <v>0.8</v>
      </c>
      <c r="AF87" s="177">
        <f t="shared" si="41"/>
        <v>0.61496213700436497</v>
      </c>
      <c r="AG87" s="809">
        <f t="shared" si="49"/>
        <v>3</v>
      </c>
      <c r="AH87" s="176">
        <f t="shared" si="42"/>
        <v>9</v>
      </c>
      <c r="AI87" s="225">
        <f t="shared" si="43"/>
        <v>3.614962137004365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IF(t&gt;Tmaj,'2025'!Wh/'2025'!Env_an*'2026'!Env_an,0.001*'[5]mon-tableau'!$B$154)</f>
        <v>12.86311643046249</v>
      </c>
      <c r="C88" s="839"/>
      <c r="D88" s="393">
        <f t="shared" si="25"/>
        <v>14.040000151015086</v>
      </c>
      <c r="E88" s="385">
        <f t="shared" si="47"/>
        <v>15.197612451558042</v>
      </c>
      <c r="F88" s="385">
        <f t="shared" si="26"/>
        <v>15.247381721634643</v>
      </c>
      <c r="G88" s="110">
        <f t="shared" si="48"/>
        <v>0.36077685821117694</v>
      </c>
      <c r="H88" s="414" t="b">
        <f>Wh_hp&gt;='2025'!Maxi_hp</f>
        <v>0</v>
      </c>
      <c r="I88" s="390">
        <f>IF(H88,Wh_hp,'2025'!Maxi_hp)</f>
        <v>29.969159838266769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8.3823625918373473E-2</v>
      </c>
      <c r="M88" s="843"/>
      <c r="N88" s="843"/>
      <c r="O88" s="48">
        <f>IF(t&lt;Tnet,'2025'!Resal+('2025'!Salim-'2025'!Resal)*(1-EXP(('2025'!Tnet-t)/('2025'!Tau_j))),Resal+(Salim-Resal)*(1-EXP((Tnet-t)/(Tau_j))))*Salcycl</f>
        <v>7.6170668533153685E-2</v>
      </c>
      <c r="P88" s="169">
        <f>(INDEX(Models!$BJ88:$BT88,,T88)*(1-R88)+INDEX(Models!$BJ88:$BT88,,T88+1)*R88-ERP_i)*Q88*Ramure*Pc/MaxiM</f>
        <v>3.1967825180518293E-2</v>
      </c>
      <c r="Q88" s="305">
        <f t="shared" si="28"/>
        <v>0.8</v>
      </c>
      <c r="R88" s="177">
        <f t="shared" si="29"/>
        <v>0.41488739455741896</v>
      </c>
      <c r="S88" s="809">
        <f t="shared" si="30"/>
        <v>2</v>
      </c>
      <c r="T88" s="176">
        <f t="shared" si="31"/>
        <v>8</v>
      </c>
      <c r="U88" s="251">
        <f t="shared" si="32"/>
        <v>2.414887394557419</v>
      </c>
      <c r="V88" s="383">
        <f t="shared" si="33"/>
        <v>34.627188277458671</v>
      </c>
      <c r="W88" s="402">
        <f t="shared" si="34"/>
        <v>12.86311643046249</v>
      </c>
      <c r="X88" s="157">
        <f t="shared" si="35"/>
        <v>46096</v>
      </c>
      <c r="Y88" s="385">
        <f t="shared" si="36"/>
        <v>11.919342169757268</v>
      </c>
      <c r="Z88" s="385">
        <f t="shared" si="37"/>
        <v>13.009877253935077</v>
      </c>
      <c r="AA88" s="386">
        <f t="shared" si="38"/>
        <v>15.173088073082685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0.14256892260351275</v>
      </c>
      <c r="AD88" s="231">
        <f>(INDEX(Models!$BJ88:$BT88,,AH88)*(1-AF88)+INDEX(Models!$BJ88:$BT88,,AH88+1)*AF88-ERP_i)*AE88*Ramure*Pc/MaxiM</f>
        <v>4.7720337575304354E-2</v>
      </c>
      <c r="AE88" s="305">
        <f t="shared" si="40"/>
        <v>0.8</v>
      </c>
      <c r="AF88" s="177">
        <f t="shared" si="41"/>
        <v>0.61560414172232258</v>
      </c>
      <c r="AG88" s="809">
        <f t="shared" si="49"/>
        <v>3</v>
      </c>
      <c r="AH88" s="176">
        <f t="shared" si="42"/>
        <v>9</v>
      </c>
      <c r="AI88" s="225">
        <f t="shared" si="43"/>
        <v>3.6156041417223226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IF(t&gt;Tmaj,'2025'!Wh/'2025'!Env_an*'2026'!Env_an,0.001*'[5]mon-tableau'!$B$155)</f>
        <v>11.713011898840188</v>
      </c>
      <c r="C89" s="839"/>
      <c r="D89" s="393">
        <f t="shared" si="25"/>
        <v>12.78497361062526</v>
      </c>
      <c r="E89" s="385">
        <f t="shared" si="47"/>
        <v>13.841313092685718</v>
      </c>
      <c r="F89" s="385">
        <f t="shared" si="26"/>
        <v>13.86344361598479</v>
      </c>
      <c r="G89" s="110">
        <f t="shared" si="48"/>
        <v>0.32447898256613189</v>
      </c>
      <c r="H89" s="414" t="b">
        <f>Wh_hp&gt;='2025'!Maxi_hp</f>
        <v>0</v>
      </c>
      <c r="I89" s="390">
        <f>IF(H89,Wh_hp,'2025'!Maxi_hp)</f>
        <v>42.898084527524084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8.3845437967442732E-2</v>
      </c>
      <c r="M89" s="843"/>
      <c r="N89" s="843"/>
      <c r="O89" s="48">
        <f>IF(t&lt;Tnet,'2025'!Resal+('2025'!Salim-'2025'!Resal)*(1-EXP(('2025'!Tnet-t)/('2025'!Tau_j))),Resal+(Salim-Resal)*(1-EXP((Tnet-t)/(Tau_j))))*Salcycl</f>
        <v>7.6317866302632098E-2</v>
      </c>
      <c r="P89" s="169">
        <f>(INDEX(Models!$BJ89:$BT89,,T89)*(1-R89)+INDEX(Models!$BJ89:$BT89,,T89+1)*R89-ERP_i)*Q89*Ramure*Pc/MaxiM</f>
        <v>3.2174047548516667E-2</v>
      </c>
      <c r="Q89" s="305">
        <f t="shared" si="28"/>
        <v>0.8</v>
      </c>
      <c r="R89" s="177">
        <f t="shared" si="29"/>
        <v>0.41555483610874555</v>
      </c>
      <c r="S89" s="809">
        <f t="shared" si="30"/>
        <v>2</v>
      </c>
      <c r="T89" s="176">
        <f t="shared" si="31"/>
        <v>8</v>
      </c>
      <c r="U89" s="251">
        <f t="shared" si="32"/>
        <v>2.4155548361087456</v>
      </c>
      <c r="V89" s="383">
        <f t="shared" si="33"/>
        <v>34.99234958171855</v>
      </c>
      <c r="W89" s="402">
        <f t="shared" si="34"/>
        <v>11.713011898840188</v>
      </c>
      <c r="X89" s="157">
        <f t="shared" si="35"/>
        <v>46097</v>
      </c>
      <c r="Y89" s="385">
        <f t="shared" si="36"/>
        <v>10.863462214836476</v>
      </c>
      <c r="Z89" s="385">
        <f t="shared" si="37"/>
        <v>11.857674092387942</v>
      </c>
      <c r="AA89" s="386">
        <f t="shared" si="38"/>
        <v>13.830221282235602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0.14262585895001717</v>
      </c>
      <c r="AD89" s="231">
        <f>(INDEX(Models!$BJ89:$BT89,,AH89)*(1-AF89)+INDEX(Models!$BJ89:$BT89,,AH89+1)*AF89-ERP_i)*AE89*Ramure*Pc/MaxiM</f>
        <v>4.8299668800143615E-2</v>
      </c>
      <c r="AE89" s="305">
        <f t="shared" si="40"/>
        <v>0.8</v>
      </c>
      <c r="AF89" s="177">
        <f t="shared" si="41"/>
        <v>0.61627158327364917</v>
      </c>
      <c r="AG89" s="809">
        <f t="shared" si="49"/>
        <v>3</v>
      </c>
      <c r="AH89" s="176">
        <f t="shared" si="42"/>
        <v>9</v>
      </c>
      <c r="AI89" s="225">
        <f t="shared" si="43"/>
        <v>3.6162715832736492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IF(t&gt;Tmaj,'2025'!Wh/'2025'!Env_an*'2026'!Env_an,0.001*'[5]mon-tableau'!$B$156)</f>
        <v>9.6785040939559828</v>
      </c>
      <c r="C90" s="839"/>
      <c r="D90" s="393">
        <f t="shared" si="25"/>
        <v>10.564521450377024</v>
      </c>
      <c r="E90" s="385">
        <f t="shared" si="47"/>
        <v>11.43922332727078</v>
      </c>
      <c r="F90" s="385">
        <f t="shared" si="26"/>
        <v>11.43922332727078</v>
      </c>
      <c r="G90" s="110">
        <f t="shared" si="48"/>
        <v>0.26488677650950754</v>
      </c>
      <c r="H90" s="414" t="b">
        <f>Wh_hp&gt;='2025'!Maxi_hp</f>
        <v>0</v>
      </c>
      <c r="I90" s="390">
        <f>IF(H90,Wh_hp,'2025'!Maxi_hp)</f>
        <v>25.162053403230466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8.3867249508913805E-2</v>
      </c>
      <c r="M90" s="843"/>
      <c r="N90" s="843"/>
      <c r="O90" s="48">
        <f>IF(t&lt;Tnet,'2025'!Resal+('2025'!Salim-'2025'!Resal)*(1-EXP(('2025'!Tnet-t)/('2025'!Tau_j))),Resal+(Salim-Resal)*(1-EXP((Tnet-t)/(Tau_j))))*Salcycl</f>
        <v>7.6465145567050224E-2</v>
      </c>
      <c r="P90" s="169">
        <f>(INDEX(Models!$BJ90:$BT90,,T90)*(1-R90)+INDEX(Models!$BJ90:$BT90,,T90+1)*R90-ERP_i)*Q90*Ramure*Pc/MaxiM</f>
        <v>3.234410994574452E-2</v>
      </c>
      <c r="Q90" s="305">
        <f t="shared" si="28"/>
        <v>0.8</v>
      </c>
      <c r="R90" s="177">
        <f t="shared" si="29"/>
        <v>0.41624865897966234</v>
      </c>
      <c r="S90" s="809">
        <f t="shared" si="30"/>
        <v>2</v>
      </c>
      <c r="T90" s="176">
        <f t="shared" si="31"/>
        <v>8</v>
      </c>
      <c r="U90" s="251">
        <f t="shared" si="32"/>
        <v>2.4162486589796623</v>
      </c>
      <c r="V90" s="383">
        <f t="shared" si="33"/>
        <v>35.356470477092991</v>
      </c>
      <c r="W90" s="402">
        <f t="shared" si="34"/>
        <v>9.6785040939559828</v>
      </c>
      <c r="X90" s="157">
        <f t="shared" si="35"/>
        <v>46098</v>
      </c>
      <c r="Y90" s="385">
        <f t="shared" si="36"/>
        <v>8.984548626477995</v>
      </c>
      <c r="Z90" s="385">
        <f t="shared" si="37"/>
        <v>9.8070379229013405</v>
      </c>
      <c r="AA90" s="386">
        <f t="shared" si="38"/>
        <v>11.43922332727078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0.14268323623670817</v>
      </c>
      <c r="AD90" s="231">
        <f>(INDEX(Models!$BJ90:$BT90,,AH90)*(1-AF90)+INDEX(Models!$BJ90:$BT90,,AH90+1)*AF90-ERP_i)*AE90*Ramure*Pc/MaxiM</f>
        <v>4.8868585293867034E-2</v>
      </c>
      <c r="AE90" s="305">
        <f t="shared" si="40"/>
        <v>0.8</v>
      </c>
      <c r="AF90" s="177">
        <f t="shared" si="41"/>
        <v>0.61696540614456596</v>
      </c>
      <c r="AG90" s="809">
        <f t="shared" si="49"/>
        <v>3</v>
      </c>
      <c r="AH90" s="176">
        <f t="shared" si="42"/>
        <v>9</v>
      </c>
      <c r="AI90" s="225">
        <f t="shared" si="43"/>
        <v>3.616965406144566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IF(t&gt;Tmaj,'2025'!Wh/'2025'!Env_an*'2026'!Env_an,0.001*'[5]mon-tableau'!$B$157)</f>
        <v>12.992886617901521</v>
      </c>
      <c r="C91" s="839"/>
      <c r="D91" s="393">
        <f t="shared" si="25"/>
        <v>14.18265633374037</v>
      </c>
      <c r="E91" s="385">
        <f t="shared" si="47"/>
        <v>15.359377157982264</v>
      </c>
      <c r="F91" s="385">
        <f t="shared" si="26"/>
        <v>15.404948623279552</v>
      </c>
      <c r="G91" s="110">
        <f t="shared" si="48"/>
        <v>0.35298437031548385</v>
      </c>
      <c r="H91" s="414" t="b">
        <f>Wh_hp&gt;='2025'!Maxi_hp</f>
        <v>0</v>
      </c>
      <c r="I91" s="390">
        <f>IF(H91,Wh_hp,'2025'!Maxi_hp)</f>
        <v>31.721839412381989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8.388906054279846E-2</v>
      </c>
      <c r="M91" s="843"/>
      <c r="N91" s="843"/>
      <c r="O91" s="48">
        <f>IF(t&lt;Tnet,'2025'!Resal+('2025'!Salim-'2025'!Resal)*(1-EXP(('2025'!Tnet-t)/('2025'!Tau_j))),Resal+(Salim-Resal)*(1-EXP((Tnet-t)/(Tau_j))))*Salcycl</f>
        <v>7.6612535270048535E-2</v>
      </c>
      <c r="P91" s="169">
        <f>(INDEX(Models!$BJ91:$BT91,,T91)*(1-R91)+INDEX(Models!$BJ91:$BT91,,T91+1)*R91-ERP_i)*Q91*Ramure*Pc/MaxiM</f>
        <v>3.2480066437220137E-2</v>
      </c>
      <c r="Q91" s="305">
        <f t="shared" si="28"/>
        <v>0.8</v>
      </c>
      <c r="R91" s="177">
        <f t="shared" si="29"/>
        <v>0.41696983747401317</v>
      </c>
      <c r="S91" s="809">
        <f t="shared" si="30"/>
        <v>2</v>
      </c>
      <c r="T91" s="176">
        <f t="shared" si="31"/>
        <v>8</v>
      </c>
      <c r="U91" s="251">
        <f t="shared" si="32"/>
        <v>2.4169698374740132</v>
      </c>
      <c r="V91" s="383">
        <f t="shared" si="33"/>
        <v>35.718790426078122</v>
      </c>
      <c r="W91" s="402">
        <f t="shared" si="34"/>
        <v>12.992886617901521</v>
      </c>
      <c r="X91" s="157">
        <f t="shared" si="35"/>
        <v>46099</v>
      </c>
      <c r="Y91" s="385">
        <f t="shared" si="36"/>
        <v>12.043722773549277</v>
      </c>
      <c r="Z91" s="385">
        <f t="shared" si="37"/>
        <v>13.146576746136464</v>
      </c>
      <c r="AA91" s="386">
        <f t="shared" si="38"/>
        <v>15.335596787783581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0.14274110567323345</v>
      </c>
      <c r="AD91" s="231">
        <f>(INDEX(Models!$BJ91:$BT91,,AH91)*(1-AF91)+INDEX(Models!$BJ91:$BT91,,AH91+1)*AF91-ERP_i)*AE91*Ramure*Pc/MaxiM</f>
        <v>4.9429005842969012E-2</v>
      </c>
      <c r="AE91" s="305">
        <f t="shared" si="40"/>
        <v>0.8</v>
      </c>
      <c r="AF91" s="177">
        <f t="shared" si="41"/>
        <v>0.61768658463891679</v>
      </c>
      <c r="AG91" s="809">
        <f t="shared" si="49"/>
        <v>3</v>
      </c>
      <c r="AH91" s="176">
        <f t="shared" si="42"/>
        <v>9</v>
      </c>
      <c r="AI91" s="225">
        <f t="shared" si="43"/>
        <v>3.6176865846389168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IF(t&gt;Tmaj,'2025'!Wh/'2025'!Env_an*'2026'!Env_an,0.001*'[5]mon-tableau'!$B$158)</f>
        <v>23.885987990058197</v>
      </c>
      <c r="C92" s="839"/>
      <c r="D92" s="393">
        <f t="shared" si="25"/>
        <v>26.073869054568949</v>
      </c>
      <c r="E92" s="385">
        <f t="shared" si="47"/>
        <v>28.241704101932601</v>
      </c>
      <c r="F92" s="385">
        <f t="shared" si="26"/>
        <v>28.725822984415423</v>
      </c>
      <c r="G92" s="110">
        <f t="shared" si="48"/>
        <v>0.65146193132022856</v>
      </c>
      <c r="H92" s="414" t="b">
        <f>Wh_hp&gt;='2025'!Maxi_hp</f>
        <v>0</v>
      </c>
      <c r="I92" s="390">
        <f>IF(H92,Wh_hp,'2025'!Maxi_hp)</f>
        <v>41.177223902410979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8.3910871069108467E-2</v>
      </c>
      <c r="M92" s="843"/>
      <c r="N92" s="843"/>
      <c r="O92" s="48">
        <f>IF(t&lt;Tnet,'2025'!Resal+('2025'!Salim-'2025'!Resal)*(1-EXP(('2025'!Tnet-t)/('2025'!Tau_j))),Resal+(Salim-Resal)*(1-EXP((Tnet-t)/(Tau_j))))*Salcycl</f>
        <v>7.6760065169555594E-2</v>
      </c>
      <c r="P92" s="169">
        <f>(INDEX(Models!$BJ92:$BT92,,T92)*(1-R92)+INDEX(Models!$BJ92:$BT92,,T92+1)*R92-ERP_i)*Q92*Ramure*Pc/MaxiM</f>
        <v>3.2583887378183587E-2</v>
      </c>
      <c r="Q92" s="305">
        <f t="shared" si="28"/>
        <v>0.8</v>
      </c>
      <c r="R92" s="177">
        <f t="shared" si="29"/>
        <v>0.41771937621106092</v>
      </c>
      <c r="S92" s="809">
        <f t="shared" si="30"/>
        <v>2</v>
      </c>
      <c r="T92" s="176">
        <f t="shared" si="31"/>
        <v>8</v>
      </c>
      <c r="U92" s="251">
        <f t="shared" si="32"/>
        <v>2.4177193762110609</v>
      </c>
      <c r="V92" s="383">
        <f t="shared" si="33"/>
        <v>36.078549180824389</v>
      </c>
      <c r="W92" s="402">
        <f t="shared" si="34"/>
        <v>23.885987990058197</v>
      </c>
      <c r="X92" s="157">
        <f t="shared" si="35"/>
        <v>46100</v>
      </c>
      <c r="Y92" s="385">
        <f t="shared" si="36"/>
        <v>21.974422310569174</v>
      </c>
      <c r="Z92" s="385">
        <f t="shared" si="37"/>
        <v>23.987209995837528</v>
      </c>
      <c r="AA92" s="386">
        <f t="shared" si="38"/>
        <v>27.983197101129875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0.14279951968501139</v>
      </c>
      <c r="AD92" s="231">
        <f>(INDEX(Models!$BJ92:$BT92,,AH92)*(1-AF92)+INDEX(Models!$BJ92:$BT92,,AH92+1)*AF92-ERP_i)*AE92*Ramure*Pc/MaxiM</f>
        <v>4.9982843100442133E-2</v>
      </c>
      <c r="AE92" s="305">
        <f t="shared" si="40"/>
        <v>0.8</v>
      </c>
      <c r="AF92" s="177">
        <f t="shared" si="41"/>
        <v>0.61843612337596454</v>
      </c>
      <c r="AG92" s="809">
        <f t="shared" si="49"/>
        <v>3</v>
      </c>
      <c r="AH92" s="176">
        <f t="shared" si="42"/>
        <v>9</v>
      </c>
      <c r="AI92" s="225">
        <f t="shared" si="43"/>
        <v>3.6184361233759645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IF(t&gt;Tmaj,'2025'!Wh/'2025'!Env_an*'2026'!Env_an,0.001*'[5]mon-tableau'!$B$159)</f>
        <v>24.859604059222804</v>
      </c>
      <c r="C93" s="839"/>
      <c r="D93" s="393">
        <f t="shared" si="25"/>
        <v>27.137311359108718</v>
      </c>
      <c r="E93" s="385">
        <f t="shared" si="47"/>
        <v>29.398266340216686</v>
      </c>
      <c r="F93" s="385">
        <f t="shared" si="26"/>
        <v>29.931956351775188</v>
      </c>
      <c r="G93" s="110">
        <f t="shared" si="48"/>
        <v>0.67192653195821106</v>
      </c>
      <c r="H93" s="414" t="b">
        <f>Wh_hp&gt;='2025'!Maxi_hp</f>
        <v>0</v>
      </c>
      <c r="I93" s="390">
        <f>IF(H93,Wh_hp,'2025'!Maxi_hp)</f>
        <v>44.675068559280305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8.3932681087855704E-2</v>
      </c>
      <c r="M93" s="843"/>
      <c r="N93" s="843"/>
      <c r="O93" s="48">
        <f>IF(t&lt;Tnet,'2025'!Resal+('2025'!Salim-'2025'!Resal)*(1-EXP(('2025'!Tnet-t)/('2025'!Tau_j))),Resal+(Salim-Resal)*(1-EXP((Tnet-t)/(Tau_j))))*Salcycl</f>
        <v>7.6907765748587459E-2</v>
      </c>
      <c r="P93" s="169">
        <f>(INDEX(Models!$BJ93:$BT93,,T93)*(1-R93)+INDEX(Models!$BJ93:$BT93,,T93+1)*R93-ERP_i)*Q93*Ramure*Pc/MaxiM</f>
        <v>3.2653888749404586E-2</v>
      </c>
      <c r="Q93" s="305">
        <f t="shared" si="28"/>
        <v>0.8</v>
      </c>
      <c r="R93" s="177">
        <f t="shared" si="29"/>
        <v>0.41849831059020692</v>
      </c>
      <c r="S93" s="809">
        <f t="shared" si="30"/>
        <v>2</v>
      </c>
      <c r="T93" s="176">
        <f t="shared" si="31"/>
        <v>8</v>
      </c>
      <c r="U93" s="251">
        <f t="shared" si="32"/>
        <v>2.4184983105902069</v>
      </c>
      <c r="V93" s="383">
        <f t="shared" si="33"/>
        <v>36.439104065764219</v>
      </c>
      <c r="W93" s="402">
        <f t="shared" si="34"/>
        <v>24.859604059222804</v>
      </c>
      <c r="X93" s="157">
        <f t="shared" si="35"/>
        <v>46101</v>
      </c>
      <c r="Y93" s="385">
        <f t="shared" si="36"/>
        <v>22.85413566476257</v>
      </c>
      <c r="Z93" s="385">
        <f t="shared" si="37"/>
        <v>24.948096272992796</v>
      </c>
      <c r="AA93" s="386">
        <f t="shared" si="38"/>
        <v>29.106159481043896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0.14285853173996177</v>
      </c>
      <c r="AD93" s="231">
        <f>(INDEX(Models!$BJ93:$BT93,,AH93)*(1-AF93)+INDEX(Models!$BJ93:$BT93,,AH93+1)*AF93-ERP_i)*AE93*Ramure*Pc/MaxiM</f>
        <v>5.0526482719286031E-2</v>
      </c>
      <c r="AE93" s="305">
        <f t="shared" si="40"/>
        <v>0.8</v>
      </c>
      <c r="AF93" s="177">
        <f t="shared" si="41"/>
        <v>0.61921505775511054</v>
      </c>
      <c r="AG93" s="809">
        <f t="shared" si="49"/>
        <v>3</v>
      </c>
      <c r="AH93" s="176">
        <f t="shared" si="42"/>
        <v>9</v>
      </c>
      <c r="AI93" s="225">
        <f t="shared" si="43"/>
        <v>3.6192150577551105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IF(t&gt;Tmaj,'2025'!Wh/'2025'!Env_an*'2026'!Env_an,0.001*'[5]mon-tableau'!$B$160)</f>
        <v>34.429448526242815</v>
      </c>
      <c r="C94" s="839"/>
      <c r="D94" s="393">
        <f t="shared" si="25"/>
        <v>37.584866879330157</v>
      </c>
      <c r="E94" s="385">
        <f t="shared" si="47"/>
        <v>40.722788559708299</v>
      </c>
      <c r="F94" s="385">
        <f t="shared" si="26"/>
        <v>41.966920820059414</v>
      </c>
      <c r="G94" s="110">
        <f t="shared" si="48"/>
        <v>0.93255705930908228</v>
      </c>
      <c r="H94" s="414" t="b">
        <f>Wh_hp&gt;='2025'!Maxi_hp</f>
        <v>0</v>
      </c>
      <c r="I94" s="390">
        <f>IF(H94,Wh_hp,'2025'!Maxi_hp)</f>
        <v>46.027750309068139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8.395449059905194E-2</v>
      </c>
      <c r="M94" s="843"/>
      <c r="N94" s="843"/>
      <c r="O94" s="48">
        <f>IF(t&lt;Tnet,'2025'!Resal+('2025'!Salim-'2025'!Resal)*(1-EXP(('2025'!Tnet-t)/('2025'!Tau_j))),Resal+(Salim-Resal)*(1-EXP((Tnet-t)/(Tau_j))))*Salcycl</f>
        <v>7.7055668124919305E-2</v>
      </c>
      <c r="P94" s="169">
        <f>(INDEX(Models!$BJ94:$BT94,,T94)*(1-R94)+INDEX(Models!$BJ94:$BT94,,T94+1)*R94-ERP_i)*Q94*Ramure*Pc/MaxiM</f>
        <v>3.2656486398200429E-2</v>
      </c>
      <c r="Q94" s="305">
        <f t="shared" si="28"/>
        <v>0.8</v>
      </c>
      <c r="R94" s="177">
        <f t="shared" si="29"/>
        <v>0.41930770721784683</v>
      </c>
      <c r="S94" s="809">
        <f t="shared" si="30"/>
        <v>2</v>
      </c>
      <c r="T94" s="176">
        <f t="shared" si="31"/>
        <v>8</v>
      </c>
      <c r="U94" s="251">
        <f t="shared" si="32"/>
        <v>2.4193077072178468</v>
      </c>
      <c r="V94" s="383">
        <f t="shared" si="33"/>
        <v>36.804843255298096</v>
      </c>
      <c r="W94" s="402">
        <f t="shared" si="34"/>
        <v>34.429448526242815</v>
      </c>
      <c r="X94" s="157">
        <f t="shared" si="35"/>
        <v>46102</v>
      </c>
      <c r="Y94" s="385">
        <f t="shared" si="36"/>
        <v>31.423394020618641</v>
      </c>
      <c r="Z94" s="385">
        <f t="shared" si="37"/>
        <v>34.303311023453524</v>
      </c>
      <c r="AA94" s="386">
        <f t="shared" si="38"/>
        <v>40.023380347540176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0.14291819617475679</v>
      </c>
      <c r="AD94" s="231">
        <f>(INDEX(Models!$BJ94:$BT94,,AH94)*(1-AF94)+INDEX(Models!$BJ94:$BT94,,AH94+1)*AF94-ERP_i)*AE94*Ramure*Pc/MaxiM</f>
        <v>5.101483582401805E-2</v>
      </c>
      <c r="AE94" s="305">
        <f t="shared" si="40"/>
        <v>0.8</v>
      </c>
      <c r="AF94" s="177">
        <f t="shared" si="41"/>
        <v>0.62002445438275045</v>
      </c>
      <c r="AG94" s="809">
        <f t="shared" si="49"/>
        <v>3</v>
      </c>
      <c r="AH94" s="176">
        <f t="shared" si="42"/>
        <v>9</v>
      </c>
      <c r="AI94" s="225">
        <f t="shared" si="43"/>
        <v>3.6200244543827504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IF(t&gt;Tmaj,'2025'!Wh/'2025'!Env_an*'2026'!Env_an,0.001*'[5]mon-tableau'!$B$161)</f>
        <v>32.769627181401361</v>
      </c>
      <c r="C95" s="839"/>
      <c r="D95" s="393">
        <f t="shared" si="25"/>
        <v>35.773776559699009</v>
      </c>
      <c r="E95" s="385">
        <f t="shared" si="47"/>
        <v>38.766714376615106</v>
      </c>
      <c r="F95" s="385">
        <f t="shared" si="26"/>
        <v>39.84578220961459</v>
      </c>
      <c r="G95" s="110">
        <f t="shared" si="48"/>
        <v>0.87650734886779957</v>
      </c>
      <c r="H95" s="414" t="b">
        <f>Wh_hp&gt;='2025'!Maxi_hp</f>
        <v>0</v>
      </c>
      <c r="I95" s="390">
        <f>IF(H95,Wh_hp,'2025'!Maxi_hp)</f>
        <v>44.110203483465384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8.3976299602708943E-2</v>
      </c>
      <c r="M95" s="843"/>
      <c r="N95" s="843"/>
      <c r="O95" s="48">
        <f>IF(t&lt;Tnet,'2025'!Resal+('2025'!Salim-'2025'!Resal)*(1-EXP(('2025'!Tnet-t)/('2025'!Tau_j))),Resal+(Salim-Resal)*(1-EXP((Tnet-t)/(Tau_j))))*Salcycl</f>
        <v>7.7203803960273223E-2</v>
      </c>
      <c r="P95" s="169">
        <f>(INDEX(Models!$BJ95:$BT95,,T95)*(1-R95)+INDEX(Models!$BJ95:$BT95,,T95+1)*R95-ERP_i)*Q95*Ramure*Pc/MaxiM</f>
        <v>3.2599382296581075E-2</v>
      </c>
      <c r="Q95" s="305">
        <f t="shared" si="28"/>
        <v>0.8</v>
      </c>
      <c r="R95" s="177">
        <f t="shared" si="29"/>
        <v>0.42014866429125641</v>
      </c>
      <c r="S95" s="809">
        <f t="shared" si="30"/>
        <v>2</v>
      </c>
      <c r="T95" s="176">
        <f t="shared" si="31"/>
        <v>8</v>
      </c>
      <c r="U95" s="251">
        <f t="shared" si="32"/>
        <v>2.4201486642912564</v>
      </c>
      <c r="V95" s="383">
        <f t="shared" si="33"/>
        <v>37.174544985991062</v>
      </c>
      <c r="W95" s="402">
        <f t="shared" si="34"/>
        <v>32.769627181401361</v>
      </c>
      <c r="X95" s="157">
        <f t="shared" si="35"/>
        <v>46103</v>
      </c>
      <c r="Y95" s="385">
        <f t="shared" si="36"/>
        <v>29.944414543149598</v>
      </c>
      <c r="Z95" s="385">
        <f t="shared" si="37"/>
        <v>32.689563086809137</v>
      </c>
      <c r="AA95" s="386">
        <f t="shared" si="38"/>
        <v>38.143227073508932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0.14297856802177727</v>
      </c>
      <c r="AD95" s="231">
        <f>(INDEX(Models!$BJ95:$BT95,,AH95)*(1-AF95)+INDEX(Models!$BJ95:$BT95,,AH95+1)*AF95-ERP_i)*AE95*Ramure*Pc/MaxiM</f>
        <v>5.1435363065764288E-2</v>
      </c>
      <c r="AE95" s="305">
        <f t="shared" si="40"/>
        <v>0.8</v>
      </c>
      <c r="AF95" s="177">
        <f t="shared" si="41"/>
        <v>0.62086541145616003</v>
      </c>
      <c r="AG95" s="809">
        <f t="shared" si="49"/>
        <v>3</v>
      </c>
      <c r="AH95" s="176">
        <f t="shared" si="42"/>
        <v>9</v>
      </c>
      <c r="AI95" s="225">
        <f t="shared" si="43"/>
        <v>3.62086541145616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IF(t&gt;Tmaj,'2025'!Wh/'2025'!Env_an*'2026'!Env_an,0.001*'[5]mon-tableau'!$B$162)</f>
        <v>37.252917113915927</v>
      </c>
      <c r="C96" s="839"/>
      <c r="D96" s="393">
        <f t="shared" si="25"/>
        <v>40.669039489206206</v>
      </c>
      <c r="E96" s="385">
        <f t="shared" si="47"/>
        <v>44.078617784480315</v>
      </c>
      <c r="F96" s="385">
        <f t="shared" si="26"/>
        <v>45.541484425057874</v>
      </c>
      <c r="G96" s="110">
        <f t="shared" si="48"/>
        <v>0.99179031241639448</v>
      </c>
      <c r="H96" s="414" t="b">
        <f>Wh_hp&gt;='2025'!Maxi_hp</f>
        <v>0</v>
      </c>
      <c r="I96" s="390">
        <f>IF(H96,Wh_hp,'2025'!Maxi_hp)</f>
        <v>47.127501005079935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8.3998108098838592E-2</v>
      </c>
      <c r="M96" s="843"/>
      <c r="N96" s="843"/>
      <c r="O96" s="48">
        <f>IF(t&lt;Tnet,'2025'!Resal+('2025'!Salim-'2025'!Resal)*(1-EXP(('2025'!Tnet-t)/('2025'!Tau_j))),Resal+(Salim-Resal)*(1-EXP((Tnet-t)/(Tau_j))))*Salcycl</f>
        <v>7.7352205369620008E-2</v>
      </c>
      <c r="P96" s="169">
        <f>(INDEX(Models!$BJ96:$BT96,,T96)*(1-R96)+INDEX(Models!$BJ96:$BT96,,T96+1)*R96-ERP_i)*Q96*Ramure*Pc/MaxiM</f>
        <v>3.2485318828546168E-2</v>
      </c>
      <c r="Q96" s="305">
        <f t="shared" si="28"/>
        <v>0.8</v>
      </c>
      <c r="R96" s="177">
        <f t="shared" si="29"/>
        <v>0.42102231193401041</v>
      </c>
      <c r="S96" s="809">
        <f t="shared" si="30"/>
        <v>2</v>
      </c>
      <c r="T96" s="176">
        <f t="shared" si="31"/>
        <v>8</v>
      </c>
      <c r="U96" s="251">
        <f t="shared" si="32"/>
        <v>2.4210223119340104</v>
      </c>
      <c r="V96" s="383">
        <f t="shared" si="33"/>
        <v>37.547169472336826</v>
      </c>
      <c r="W96" s="402">
        <f t="shared" si="34"/>
        <v>37.252917113915927</v>
      </c>
      <c r="X96" s="157">
        <f t="shared" si="35"/>
        <v>46104</v>
      </c>
      <c r="Y96" s="385">
        <f t="shared" si="36"/>
        <v>33.918250226747432</v>
      </c>
      <c r="Z96" s="385">
        <f t="shared" si="37"/>
        <v>37.028580974161663</v>
      </c>
      <c r="AA96" s="386">
        <f t="shared" si="38"/>
        <v>43.209214122035071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0.14303970283786122</v>
      </c>
      <c r="AD96" s="231">
        <f>(INDEX(Models!$BJ96:$BT96,,AH96)*(1-AF96)+INDEX(Models!$BJ96:$BT96,,AH96+1)*AF96-ERP_i)*AE96*Ramure*Pc/MaxiM</f>
        <v>5.1791832752528272E-2</v>
      </c>
      <c r="AE96" s="305">
        <f t="shared" si="40"/>
        <v>0.8</v>
      </c>
      <c r="AF96" s="177">
        <f t="shared" si="41"/>
        <v>0.62173905909891403</v>
      </c>
      <c r="AG96" s="809">
        <f t="shared" si="49"/>
        <v>3</v>
      </c>
      <c r="AH96" s="176">
        <f t="shared" si="42"/>
        <v>9</v>
      </c>
      <c r="AI96" s="225">
        <f t="shared" si="43"/>
        <v>3.621739059098914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IF(t&gt;Tmaj,'2025'!Wh/'2025'!Env_an*'2026'!Env_an,0.001*'[5]mon-tableau'!$B$163)</f>
        <v>36.307778897470271</v>
      </c>
      <c r="C97" s="839"/>
      <c r="D97" s="393">
        <f t="shared" si="25"/>
        <v>39.638175038024883</v>
      </c>
      <c r="E97" s="385">
        <f t="shared" si="47"/>
        <v>42.968253568605824</v>
      </c>
      <c r="F97" s="385">
        <f t="shared" si="26"/>
        <v>44.313253618436413</v>
      </c>
      <c r="G97" s="110">
        <f t="shared" si="48"/>
        <v>0.9555011630061232</v>
      </c>
      <c r="H97" s="414" t="b">
        <f>Wh_hp&gt;='2025'!Maxi_hp</f>
        <v>0</v>
      </c>
      <c r="I97" s="390">
        <f>IF(H97,Wh_hp,'2025'!Maxi_hp)</f>
        <v>46.384617938296579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8.4019916087452656E-2</v>
      </c>
      <c r="M97" s="843"/>
      <c r="N97" s="843"/>
      <c r="O97" s="48">
        <f>IF(t&lt;Tnet,'2025'!Resal+('2025'!Salim-'2025'!Resal)*(1-EXP(('2025'!Tnet-t)/('2025'!Tau_j))),Resal+(Salim-Resal)*(1-EXP((Tnet-t)/(Tau_j))))*Salcycl</f>
        <v>7.7500904831143025E-2</v>
      </c>
      <c r="P97" s="169">
        <f>(INDEX(Models!$BJ97:$BT97,,T97)*(1-R97)+INDEX(Models!$BJ97:$BT97,,T97+1)*R97-ERP_i)*Q97*Ramure*Pc/MaxiM</f>
        <v>3.2316904848276602E-2</v>
      </c>
      <c r="Q97" s="305">
        <f t="shared" si="28"/>
        <v>0.8</v>
      </c>
      <c r="R97" s="177">
        <f t="shared" si="29"/>
        <v>0.42192981247708206</v>
      </c>
      <c r="S97" s="809">
        <f t="shared" si="30"/>
        <v>2</v>
      </c>
      <c r="T97" s="176">
        <f t="shared" si="31"/>
        <v>8</v>
      </c>
      <c r="U97" s="251">
        <f t="shared" si="32"/>
        <v>2.4219298124770821</v>
      </c>
      <c r="V97" s="383">
        <f t="shared" si="33"/>
        <v>37.921678548379823</v>
      </c>
      <c r="W97" s="402">
        <f t="shared" si="34"/>
        <v>36.307778897470271</v>
      </c>
      <c r="X97" s="157">
        <f t="shared" si="35"/>
        <v>46105</v>
      </c>
      <c r="Y97" s="385">
        <f t="shared" si="36"/>
        <v>33.080002861345996</v>
      </c>
      <c r="Z97" s="385">
        <f t="shared" si="37"/>
        <v>36.11432545568784</v>
      </c>
      <c r="AA97" s="386">
        <f t="shared" si="38"/>
        <v>42.145402346897789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0.14310165653582557</v>
      </c>
      <c r="AD97" s="231">
        <f>(INDEX(Models!$BJ97:$BT97,,AH97)*(1-AF97)+INDEX(Models!$BJ97:$BT97,,AH97+1)*AF97-ERP_i)*AE97*Ramure*Pc/MaxiM</f>
        <v>5.2087911280265971E-2</v>
      </c>
      <c r="AE97" s="305">
        <f t="shared" si="40"/>
        <v>0.8</v>
      </c>
      <c r="AF97" s="177">
        <f t="shared" si="41"/>
        <v>0.62264655964198568</v>
      </c>
      <c r="AG97" s="809">
        <f t="shared" si="49"/>
        <v>3</v>
      </c>
      <c r="AH97" s="176">
        <f t="shared" si="42"/>
        <v>9</v>
      </c>
      <c r="AI97" s="225">
        <f t="shared" si="43"/>
        <v>3.6226465596419857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IF(t&gt;Tmaj,'2025'!Wh/'2025'!Env_an*'2026'!Env_an,0.001*'[5]mon-tableau'!$B$164)</f>
        <v>34.627030407830368</v>
      </c>
      <c r="C98" s="839"/>
      <c r="D98" s="393">
        <f t="shared" si="25"/>
        <v>37.804156912842018</v>
      </c>
      <c r="E98" s="385">
        <f t="shared" si="47"/>
        <v>40.986777527719099</v>
      </c>
      <c r="F98" s="385">
        <f t="shared" si="26"/>
        <v>42.154567746124052</v>
      </c>
      <c r="G98" s="110">
        <f t="shared" si="48"/>
        <v>0.90008384527197349</v>
      </c>
      <c r="H98" s="414" t="b">
        <f>Wh_hp&gt;='2025'!Maxi_hp</f>
        <v>0</v>
      </c>
      <c r="I98" s="390">
        <f>IF(H98,Wh_hp,'2025'!Maxi_hp)</f>
        <v>42.344777516113844</v>
      </c>
      <c r="J98" s="85">
        <f>IF(H98,An,'2025'!An_max)</f>
        <v>2022</v>
      </c>
      <c r="K98" s="197">
        <f t="shared" si="27"/>
        <v>46106</v>
      </c>
      <c r="L98" s="147">
        <f>IF(t&lt;Tvie,1-EXP((T0-t)*PertePVj)+'2025'!Pspv,1-EXP((T0-t)*PertePVj)+Pspv)</f>
        <v>8.4041723568563015E-2</v>
      </c>
      <c r="M98" s="843"/>
      <c r="N98" s="843"/>
      <c r="O98" s="48">
        <f>IF(t&lt;Tnet,'2025'!Resal+('2025'!Salim-'2025'!Resal)*(1-EXP(('2025'!Tnet-t)/('2025'!Tau_j))),Resal+(Salim-Resal)*(1-EXP((Tnet-t)/(Tau_j))))*Salcycl</f>
        <v>7.7649935097354059E-2</v>
      </c>
      <c r="P98" s="169">
        <f>(INDEX(Models!$BJ98:$BT98,,T98)*(1-R98)+INDEX(Models!$BJ98:$BT98,,T98+1)*R98-ERP_i)*Q98*Ramure*Pc/MaxiM</f>
        <v>3.2096604053557395E-2</v>
      </c>
      <c r="Q98" s="305">
        <f t="shared" si="28"/>
        <v>0.8</v>
      </c>
      <c r="R98" s="177">
        <f t="shared" si="29"/>
        <v>0.42287236067937872</v>
      </c>
      <c r="S98" s="809">
        <f t="shared" si="30"/>
        <v>2</v>
      </c>
      <c r="T98" s="176">
        <f t="shared" si="31"/>
        <v>8</v>
      </c>
      <c r="U98" s="251">
        <f t="shared" si="32"/>
        <v>2.4228723606793787</v>
      </c>
      <c r="V98" s="383">
        <f t="shared" si="33"/>
        <v>38.297035805772552</v>
      </c>
      <c r="W98" s="402">
        <f t="shared" si="34"/>
        <v>34.627030407830368</v>
      </c>
      <c r="X98" s="157">
        <f t="shared" si="35"/>
        <v>46106</v>
      </c>
      <c r="Y98" s="385">
        <f t="shared" si="36"/>
        <v>31.589792644923044</v>
      </c>
      <c r="Z98" s="385">
        <f t="shared" si="37"/>
        <v>34.488244123953457</v>
      </c>
      <c r="AA98" s="386">
        <f t="shared" si="38"/>
        <v>40.25071735360261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0.14316448521962519</v>
      </c>
      <c r="AD98" s="231">
        <f>(INDEX(Models!$BJ98:$BT98,,AH98)*(1-AF98)+INDEX(Models!$BJ98:$BT98,,AH98+1)*AF98-ERP_i)*AE98*Ramure*Pc/MaxiM</f>
        <v>5.2327148543369985E-2</v>
      </c>
      <c r="AE98" s="305">
        <f t="shared" si="40"/>
        <v>0.8</v>
      </c>
      <c r="AF98" s="177">
        <f t="shared" si="41"/>
        <v>0.62358910784428234</v>
      </c>
      <c r="AG98" s="809">
        <f t="shared" si="49"/>
        <v>3</v>
      </c>
      <c r="AH98" s="176">
        <f t="shared" si="42"/>
        <v>9</v>
      </c>
      <c r="AI98" s="225">
        <f t="shared" si="43"/>
        <v>3.6235891078442823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IF(t&gt;Tmaj,'2025'!Wh/'2025'!Env_an*'2026'!Env_an,0.001*'[5]mon-tableau'!$B$165)</f>
        <v>36.754283171352064</v>
      </c>
      <c r="C99" s="839"/>
      <c r="D99" s="393">
        <f t="shared" si="25"/>
        <v>40.127546393155932</v>
      </c>
      <c r="E99" s="385">
        <f t="shared" si="47"/>
        <v>43.512814140910713</v>
      </c>
      <c r="F99" s="385">
        <f t="shared" si="26"/>
        <v>44.83877891843391</v>
      </c>
      <c r="G99" s="110">
        <f t="shared" si="48"/>
        <v>0.94819726422112904</v>
      </c>
      <c r="H99" s="414" t="b">
        <f>Wh_hp&gt;='2025'!Maxi_hp</f>
        <v>0</v>
      </c>
      <c r="I99" s="390">
        <f>IF(H99,Wh_hp,'2025'!Maxi_hp)</f>
        <v>48.874468185394626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8.4063530542181436E-2</v>
      </c>
      <c r="M99" s="843"/>
      <c r="N99" s="843"/>
      <c r="O99" s="48">
        <f>IF(t&lt;Tnet,'2025'!Resal+('2025'!Salim-'2025'!Resal)*(1-EXP(('2025'!Tnet-t)/('2025'!Tau_j))),Resal+(Salim-Resal)*(1-EXP((Tnet-t)/(Tau_j))))*Salcycl</f>
        <v>7.7799329107789333E-2</v>
      </c>
      <c r="P99" s="169">
        <f>(INDEX(Models!$BJ99:$BT99,,T99)*(1-R99)+INDEX(Models!$BJ99:$BT99,,T99+1)*R99-ERP_i)*Q99*Ramure*Pc/MaxiM</f>
        <v>3.1826725314618103E-2</v>
      </c>
      <c r="Q99" s="305">
        <f t="shared" si="28"/>
        <v>0.8</v>
      </c>
      <c r="R99" s="177">
        <f t="shared" si="29"/>
        <v>0.4238511838810628</v>
      </c>
      <c r="S99" s="809">
        <f t="shared" si="30"/>
        <v>2</v>
      </c>
      <c r="T99" s="176">
        <f t="shared" si="31"/>
        <v>8</v>
      </c>
      <c r="U99" s="251">
        <f t="shared" si="32"/>
        <v>2.4238511838810628</v>
      </c>
      <c r="V99" s="383">
        <f t="shared" si="33"/>
        <v>38.672206732709817</v>
      </c>
      <c r="W99" s="402">
        <f t="shared" si="34"/>
        <v>36.754283171352064</v>
      </c>
      <c r="X99" s="157">
        <f t="shared" si="35"/>
        <v>46107</v>
      </c>
      <c r="Y99" s="385">
        <f t="shared" si="36"/>
        <v>33.470295676848934</v>
      </c>
      <c r="Z99" s="385">
        <f t="shared" si="37"/>
        <v>36.542158537110566</v>
      </c>
      <c r="AA99" s="386">
        <f t="shared" si="38"/>
        <v>42.65098414469719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0.14322824502388745</v>
      </c>
      <c r="AD99" s="231">
        <f>(INDEX(Models!$BJ99:$BT99,,AH99)*(1-AF99)+INDEX(Models!$BJ99:$BT99,,AH99+1)*AF99-ERP_i)*AE99*Ramure*Pc/MaxiM</f>
        <v>5.2512966022023592E-2</v>
      </c>
      <c r="AE99" s="305">
        <f t="shared" si="40"/>
        <v>0.8</v>
      </c>
      <c r="AF99" s="177">
        <f t="shared" si="41"/>
        <v>0.62456793104596642</v>
      </c>
      <c r="AG99" s="809">
        <f t="shared" si="49"/>
        <v>3</v>
      </c>
      <c r="AH99" s="176">
        <f t="shared" si="42"/>
        <v>9</v>
      </c>
      <c r="AI99" s="225">
        <f t="shared" si="43"/>
        <v>3.6245679310459664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IF(t&gt;Tmaj,'2025'!Wh/'2025'!Env_an*'2026'!Env_an,0.001*'[5]mon-tableau'!$B$166)</f>
        <v>35.473174567469229</v>
      </c>
      <c r="C100" s="839"/>
      <c r="D100" s="393">
        <f t="shared" si="25"/>
        <v>38.729781278533203</v>
      </c>
      <c r="E100" s="385">
        <f t="shared" si="47"/>
        <v>42.003952400637587</v>
      </c>
      <c r="F100" s="385">
        <f t="shared" si="26"/>
        <v>43.186161334967373</v>
      </c>
      <c r="G100" s="110">
        <f t="shared" si="48"/>
        <v>0.90463125331561645</v>
      </c>
      <c r="H100" s="414" t="b">
        <f>Wh_hp&gt;='2025'!Maxi_hp</f>
        <v>0</v>
      </c>
      <c r="I100" s="390">
        <f>IF(H100,Wh_hp,'2025'!Maxi_hp)</f>
        <v>48.250977884589958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8.4085337008319688E-2</v>
      </c>
      <c r="M100" s="843"/>
      <c r="N100" s="843"/>
      <c r="O100" s="48">
        <f>IF(t&lt;Tnet,'2025'!Resal+('2025'!Salim-'2025'!Resal)*(1-EXP(('2025'!Tnet-t)/('2025'!Tau_j))),Resal+(Salim-Resal)*(1-EXP((Tnet-t)/(Tau_j))))*Salcycl</f>
        <v>7.7949119903647016E-2</v>
      </c>
      <c r="P100" s="169">
        <f>(INDEX(Models!$BJ100:$BT100,,T100)*(1-R100)+INDEX(Models!$BJ100:$BT100,,T100+1)*R100-ERP_i)*Q100*Ramure*Pc/MaxiM</f>
        <v>3.1492226449514611E-2</v>
      </c>
      <c r="Q100" s="305">
        <f t="shared" si="28"/>
        <v>0.8</v>
      </c>
      <c r="R100" s="177">
        <f t="shared" si="29"/>
        <v>0.42486754208262045</v>
      </c>
      <c r="S100" s="809">
        <f t="shared" si="30"/>
        <v>2</v>
      </c>
      <c r="T100" s="176">
        <f t="shared" si="31"/>
        <v>8</v>
      </c>
      <c r="U100" s="251">
        <f t="shared" si="32"/>
        <v>2.4248675420826205</v>
      </c>
      <c r="V100" s="383">
        <f t="shared" si="33"/>
        <v>39.046851830870231</v>
      </c>
      <c r="W100" s="402">
        <f t="shared" si="34"/>
        <v>35.473174567469229</v>
      </c>
      <c r="X100" s="157">
        <f t="shared" si="35"/>
        <v>46108</v>
      </c>
      <c r="Y100" s="385">
        <f t="shared" si="36"/>
        <v>32.337220955492853</v>
      </c>
      <c r="Z100" s="385">
        <f t="shared" si="37"/>
        <v>35.305932159518868</v>
      </c>
      <c r="AA100" s="386">
        <f t="shared" si="38"/>
        <v>41.211209699601071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0.14329299195843229</v>
      </c>
      <c r="AD100" s="231">
        <f>(INDEX(Models!$BJ100:$BT100,,AH100)*(1-AF100)+INDEX(Models!$BJ100:$BT100,,AH100+1)*AF100-ERP_i)*AE100*Ramure*Pc/MaxiM</f>
        <v>5.2609671879239185E-2</v>
      </c>
      <c r="AE100" s="305">
        <f t="shared" si="40"/>
        <v>0.8</v>
      </c>
      <c r="AF100" s="177">
        <f t="shared" si="41"/>
        <v>0.62558428924752407</v>
      </c>
      <c r="AG100" s="809">
        <f t="shared" si="49"/>
        <v>3</v>
      </c>
      <c r="AH100" s="176">
        <f t="shared" si="42"/>
        <v>9</v>
      </c>
      <c r="AI100" s="225">
        <f t="shared" si="43"/>
        <v>3.6255842892475241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IF(t&gt;Tmaj,'2025'!Wh/'2025'!Env_an*'2026'!Env_an,0.001*'[5]mon-tableau'!$B$167)</f>
        <v>26.901172120844858</v>
      </c>
      <c r="C101" s="839"/>
      <c r="D101" s="393">
        <f t="shared" si="25"/>
        <v>29.371527372743</v>
      </c>
      <c r="E101" s="385">
        <f t="shared" si="47"/>
        <v>31.859753078054723</v>
      </c>
      <c r="F101" s="385">
        <f t="shared" si="26"/>
        <v>32.410890287299139</v>
      </c>
      <c r="G101" s="110">
        <f t="shared" si="48"/>
        <v>0.6726431757760607</v>
      </c>
      <c r="H101" s="414" t="b">
        <f>Wh_hp&gt;='2025'!Maxi_hp</f>
        <v>0</v>
      </c>
      <c r="I101" s="390">
        <f>IF(H101,Wh_hp,'2025'!Maxi_hp)</f>
        <v>47.544172268799947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8.410714296698954E-2</v>
      </c>
      <c r="M101" s="843"/>
      <c r="N101" s="843"/>
      <c r="O101" s="48">
        <f>IF(t&lt;Tnet,'2025'!Resal+('2025'!Salim-'2025'!Resal)*(1-EXP(('2025'!Tnet-t)/('2025'!Tau_j))),Resal+(Salim-Resal)*(1-EXP((Tnet-t)/(Tau_j))))*Salcycl</f>
        <v>7.8099340544658405E-2</v>
      </c>
      <c r="P101" s="169">
        <f>(INDEX(Models!$BJ101:$BT101,,T101)*(1-R101)+INDEX(Models!$BJ101:$BT101,,T101+1)*R101-ERP_i)*Q101*Ramure*Pc/MaxiM</f>
        <v>3.112412386430671E-2</v>
      </c>
      <c r="Q101" s="305">
        <f t="shared" si="28"/>
        <v>0.8</v>
      </c>
      <c r="R101" s="177">
        <f t="shared" si="29"/>
        <v>0.42592272794221753</v>
      </c>
      <c r="S101" s="809">
        <f t="shared" si="30"/>
        <v>2</v>
      </c>
      <c r="T101" s="176">
        <f t="shared" si="31"/>
        <v>8</v>
      </c>
      <c r="U101" s="251">
        <f t="shared" si="32"/>
        <v>2.4259227279422175</v>
      </c>
      <c r="V101" s="383">
        <f t="shared" si="33"/>
        <v>39.418778336022378</v>
      </c>
      <c r="W101" s="402">
        <f t="shared" si="34"/>
        <v>26.901172120844858</v>
      </c>
      <c r="X101" s="157">
        <f t="shared" si="35"/>
        <v>46109</v>
      </c>
      <c r="Y101" s="385">
        <f t="shared" si="36"/>
        <v>24.697959733873876</v>
      </c>
      <c r="Z101" s="385">
        <f t="shared" si="37"/>
        <v>26.965992303817821</v>
      </c>
      <c r="AA101" s="386">
        <f t="shared" si="38"/>
        <v>31.478747145935092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0.14335878175825095</v>
      </c>
      <c r="AD101" s="231">
        <f>(INDEX(Models!$BJ101:$BT101,,AH101)*(1-AF101)+INDEX(Models!$BJ101:$BT101,,AH101+1)*AF101-ERP_i)*AE101*Ramure*Pc/MaxiM</f>
        <v>5.2640500594857184E-2</v>
      </c>
      <c r="AE101" s="305">
        <f t="shared" si="40"/>
        <v>0.8</v>
      </c>
      <c r="AF101" s="177">
        <f t="shared" si="41"/>
        <v>0.62663947510712115</v>
      </c>
      <c r="AG101" s="809">
        <f t="shared" si="49"/>
        <v>3</v>
      </c>
      <c r="AH101" s="176">
        <f t="shared" si="42"/>
        <v>9</v>
      </c>
      <c r="AI101" s="225">
        <f t="shared" si="43"/>
        <v>3.6266394751071211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IF(t&gt;Tmaj,'2025'!Wh/'2025'!Env_an*'2026'!Env_an,0.001*'[5]mon-tableau'!$B$168)</f>
        <v>23.108640005748441</v>
      </c>
      <c r="C102" s="839"/>
      <c r="D102" s="393">
        <f t="shared" si="25"/>
        <v>25.231324830976593</v>
      </c>
      <c r="E102" s="385">
        <f t="shared" si="47"/>
        <v>27.373285043355789</v>
      </c>
      <c r="F102" s="385">
        <f t="shared" si="26"/>
        <v>27.71487324747066</v>
      </c>
      <c r="G102" s="110">
        <f t="shared" si="48"/>
        <v>0.56998986080445291</v>
      </c>
      <c r="H102" s="414" t="b">
        <f>Wh_hp&gt;='2025'!Maxi_hp</f>
        <v>0</v>
      </c>
      <c r="I102" s="390">
        <f>IF(H102,Wh_hp,'2025'!Maxi_hp)</f>
        <v>49.462573168637149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8.4128948418202981E-2</v>
      </c>
      <c r="M102" s="843"/>
      <c r="N102" s="843"/>
      <c r="O102" s="48">
        <f>IF(t&lt;Tnet,'2025'!Resal+('2025'!Salim-'2025'!Resal)*(1-EXP(('2025'!Tnet-t)/('2025'!Tau_j))),Resal+(Salim-Resal)*(1-EXP((Tnet-t)/(Tau_j))))*Salcycl</f>
        <v>7.8250024028413329E-2</v>
      </c>
      <c r="P102" s="169">
        <f>(INDEX(Models!$BJ102:$BT102,,T102)*(1-R102)+INDEX(Models!$BJ102:$BT102,,T102+1)*R102-ERP_i)*Q102*Ramure*Pc/MaxiM</f>
        <v>3.0723899834319206E-2</v>
      </c>
      <c r="Q102" s="305">
        <f t="shared" si="28"/>
        <v>0.8</v>
      </c>
      <c r="R102" s="177">
        <f t="shared" si="29"/>
        <v>0.4270180666834813</v>
      </c>
      <c r="S102" s="809">
        <f t="shared" si="30"/>
        <v>2</v>
      </c>
      <c r="T102" s="176">
        <f t="shared" si="31"/>
        <v>8</v>
      </c>
      <c r="U102" s="251">
        <f t="shared" si="32"/>
        <v>2.4270180666834813</v>
      </c>
      <c r="V102" s="383">
        <f t="shared" si="33"/>
        <v>39.786958220431266</v>
      </c>
      <c r="W102" s="402">
        <f t="shared" si="34"/>
        <v>23.108640005748441</v>
      </c>
      <c r="X102" s="157">
        <f t="shared" si="35"/>
        <v>46110</v>
      </c>
      <c r="Y102" s="385">
        <f t="shared" si="36"/>
        <v>21.283776902825746</v>
      </c>
      <c r="Z102" s="385">
        <f t="shared" si="37"/>
        <v>23.238835713899491</v>
      </c>
      <c r="AA102" s="386">
        <f t="shared" si="38"/>
        <v>27.129969802884759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0.14342566973928292</v>
      </c>
      <c r="AD102" s="231">
        <f>(INDEX(Models!$BJ102:$BT102,,AH102)*(1-AF102)+INDEX(Models!$BJ102:$BT102,,AH102+1)*AF102-ERP_i)*AE102*Ramure*Pc/MaxiM</f>
        <v>5.2608710218114668E-2</v>
      </c>
      <c r="AE102" s="305">
        <f t="shared" si="40"/>
        <v>0.8</v>
      </c>
      <c r="AF102" s="177">
        <f t="shared" si="41"/>
        <v>0.62773481384838492</v>
      </c>
      <c r="AG102" s="809">
        <f t="shared" si="49"/>
        <v>3</v>
      </c>
      <c r="AH102" s="176">
        <f t="shared" si="42"/>
        <v>9</v>
      </c>
      <c r="AI102" s="225">
        <f t="shared" si="43"/>
        <v>3.6277348138483849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IF(t&gt;Tmaj,'2025'!Wh/'2025'!Env_an*'2026'!Env_an,0.001*'[5]mon-tableau'!$B$169)</f>
        <v>7.1311223193344189</v>
      </c>
      <c r="C103" s="839"/>
      <c r="D103" s="393">
        <f t="shared" si="25"/>
        <v>7.7863494953038455</v>
      </c>
      <c r="E103" s="385">
        <f t="shared" si="47"/>
        <v>8.4487409515329599</v>
      </c>
      <c r="F103" s="385">
        <f t="shared" si="26"/>
        <v>8.4487409515329599</v>
      </c>
      <c r="G103" s="110">
        <f t="shared" si="48"/>
        <v>0.1722300641558504</v>
      </c>
      <c r="H103" s="414" t="b">
        <f>Wh_hp&gt;='2025'!Maxi_hp</f>
        <v>0</v>
      </c>
      <c r="I103" s="390">
        <f>IF(H103,Wh_hp,'2025'!Maxi_hp)</f>
        <v>48.853038467776038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8.415075336197167E-2</v>
      </c>
      <c r="M103" s="843"/>
      <c r="N103" s="843"/>
      <c r="O103" s="48">
        <f>IF(t&lt;Tnet,'2025'!Resal+('2025'!Salim-'2025'!Resal)*(1-EXP(('2025'!Tnet-t)/('2025'!Tau_j))),Resal+(Salim-Resal)*(1-EXP((Tnet-t)/(Tau_j))))*Salcycl</f>
        <v>7.8401203212287773E-2</v>
      </c>
      <c r="P103" s="169">
        <f>(INDEX(Models!$BJ103:$BT103,,T103)*(1-R103)+INDEX(Models!$BJ103:$BT103,,T103+1)*R103-ERP_i)*Q103*Ramure*Pc/MaxiM</f>
        <v>3.029288266367549E-2</v>
      </c>
      <c r="Q103" s="305">
        <f t="shared" si="28"/>
        <v>0.8</v>
      </c>
      <c r="R103" s="177">
        <f t="shared" si="29"/>
        <v>0.42815491590542321</v>
      </c>
      <c r="S103" s="809">
        <f t="shared" si="30"/>
        <v>2</v>
      </c>
      <c r="T103" s="176">
        <f t="shared" si="31"/>
        <v>8</v>
      </c>
      <c r="U103" s="251">
        <f t="shared" si="32"/>
        <v>2.4281549159054232</v>
      </c>
      <c r="V103" s="383">
        <f t="shared" si="33"/>
        <v>40.150365742168304</v>
      </c>
      <c r="W103" s="402">
        <f t="shared" si="34"/>
        <v>7.1311223193344189</v>
      </c>
      <c r="X103" s="157">
        <f t="shared" si="35"/>
        <v>46111</v>
      </c>
      <c r="Y103" s="385">
        <f t="shared" si="36"/>
        <v>6.6274512703908517</v>
      </c>
      <c r="Z103" s="385">
        <f t="shared" si="37"/>
        <v>7.236399761990767</v>
      </c>
      <c r="AA103" s="386">
        <f t="shared" si="38"/>
        <v>8.4487409515329599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0.14349371066019292</v>
      </c>
      <c r="AD103" s="231">
        <f>(INDEX(Models!$BJ103:$BT103,,AH103)*(1-AF103)+INDEX(Models!$BJ103:$BT103,,AH103+1)*AF103-ERP_i)*AE103*Ramure*Pc/MaxiM</f>
        <v>5.2517349414925078E-2</v>
      </c>
      <c r="AE103" s="305">
        <f t="shared" si="40"/>
        <v>0.8</v>
      </c>
      <c r="AF103" s="177">
        <f t="shared" si="41"/>
        <v>0.62887166307032683</v>
      </c>
      <c r="AG103" s="809">
        <f t="shared" si="49"/>
        <v>3</v>
      </c>
      <c r="AH103" s="176">
        <f t="shared" si="42"/>
        <v>9</v>
      </c>
      <c r="AI103" s="225">
        <f t="shared" si="43"/>
        <v>3.6288716630703268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IF(t&gt;Tmaj,'2025'!Wh/'2025'!Env_an*'2026'!Env_an,0.001*'[5]mon-tableau'!$B$170)</f>
        <v>25.852726227453463</v>
      </c>
      <c r="C104" s="839"/>
      <c r="D104" s="393">
        <f t="shared" si="25"/>
        <v>28.228818046009067</v>
      </c>
      <c r="E104" s="385">
        <f t="shared" si="47"/>
        <v>30.635310887594695</v>
      </c>
      <c r="F104" s="385">
        <f t="shared" si="26"/>
        <v>31.083339895131072</v>
      </c>
      <c r="G104" s="110">
        <f t="shared" si="48"/>
        <v>0.62822904037448934</v>
      </c>
      <c r="H104" s="414" t="b">
        <f>Wh_hp&gt;='2025'!Maxi_hp</f>
        <v>0</v>
      </c>
      <c r="I104" s="390">
        <f>IF(H104,Wh_hp,'2025'!Maxi_hp)</f>
        <v>44.47420567428135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8.4172557798307485E-2</v>
      </c>
      <c r="M104" s="843"/>
      <c r="N104" s="843"/>
      <c r="O104" s="48">
        <f>IF(t&lt;Tnet,'2025'!Resal+('2025'!Salim-'2025'!Resal)*(1-EXP(('2025'!Tnet-t)/('2025'!Tau_j))),Resal+(Salim-Resal)*(1-EXP((Tnet-t)/(Tau_j))))*Salcycl</f>
        <v>7.8552910738049722E-2</v>
      </c>
      <c r="P104" s="169">
        <f>(INDEX(Models!$BJ104:$BT104,,T104)*(1-R104)+INDEX(Models!$BJ104:$BT104,,T104+1)*R104-ERP_i)*Q104*Ramure*Pc/MaxiM</f>
        <v>2.9832244829302398E-2</v>
      </c>
      <c r="Q104" s="305">
        <f t="shared" si="28"/>
        <v>0.8</v>
      </c>
      <c r="R104" s="177">
        <f t="shared" si="29"/>
        <v>0.42933466528582054</v>
      </c>
      <c r="S104" s="809">
        <f t="shared" si="30"/>
        <v>2</v>
      </c>
      <c r="T104" s="176">
        <f t="shared" si="31"/>
        <v>8</v>
      </c>
      <c r="U104" s="251">
        <f t="shared" si="32"/>
        <v>2.4293346652858205</v>
      </c>
      <c r="V104" s="383">
        <f t="shared" si="33"/>
        <v>40.507977560764949</v>
      </c>
      <c r="W104" s="402">
        <f t="shared" si="34"/>
        <v>25.852726227453463</v>
      </c>
      <c r="X104" s="157">
        <f t="shared" si="35"/>
        <v>46112</v>
      </c>
      <c r="Y104" s="385">
        <f t="shared" si="36"/>
        <v>23.763285360034324</v>
      </c>
      <c r="Z104" s="385">
        <f t="shared" si="37"/>
        <v>25.94733927485975</v>
      </c>
      <c r="AA104" s="386">
        <f t="shared" si="38"/>
        <v>30.296843807862125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0.14356295859021667</v>
      </c>
      <c r="AD104" s="231">
        <f>(INDEX(Models!$BJ104:$BT104,,AH104)*(1-AF104)+INDEX(Models!$BJ104:$BT104,,AH104+1)*AF104-ERP_i)*AE104*Ramure*Pc/MaxiM</f>
        <v>5.2369251628847993E-2</v>
      </c>
      <c r="AE104" s="305">
        <f t="shared" si="40"/>
        <v>0.8</v>
      </c>
      <c r="AF104" s="177">
        <f t="shared" si="41"/>
        <v>0.63005141245072416</v>
      </c>
      <c r="AG104" s="809">
        <f t="shared" si="49"/>
        <v>3</v>
      </c>
      <c r="AH104" s="176">
        <f t="shared" si="42"/>
        <v>9</v>
      </c>
      <c r="AI104" s="225">
        <f t="shared" si="43"/>
        <v>3.6300514124507242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IF(t&gt;Tmaj,'2025'!Wh/'2025'!Env_an*'2026'!Env_an,0.001*'[6]mon-tableau'!$B$136)</f>
        <v>27.764893321609399</v>
      </c>
      <c r="C105" s="839"/>
      <c r="D105" s="393">
        <f t="shared" si="25"/>
        <v>30.317451827414356</v>
      </c>
      <c r="E105" s="385">
        <f t="shared" si="47"/>
        <v>32.907437592195066</v>
      </c>
      <c r="F105" s="385">
        <f t="shared" si="26"/>
        <v>33.439442096502418</v>
      </c>
      <c r="G105" s="110">
        <f t="shared" si="48"/>
        <v>0.67025712126656356</v>
      </c>
      <c r="H105" s="414" t="b">
        <f>Wh_hp&gt;='2025'!Maxi_hp</f>
        <v>0</v>
      </c>
      <c r="I105" s="390">
        <f>IF(H105,Wh_hp,'2025'!Maxi_hp)</f>
        <v>45.531723733193161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8.4194361727222194E-2</v>
      </c>
      <c r="M105" s="843"/>
      <c r="N105" s="843"/>
      <c r="O105" s="48">
        <f>IF(t&lt;Tnet,'2025'!Resal+('2025'!Salim-'2025'!Resal)*(1-EXP(('2025'!Tnet-t)/('2025'!Tau_j))),Resal+(Salim-Resal)*(1-EXP((Tnet-t)/(Tau_j))))*Salcycl</f>
        <v>7.8705178959148137E-2</v>
      </c>
      <c r="P105" s="169">
        <f>(INDEX(Models!$BJ105:$BT105,,T105)*(1-R105)+INDEX(Models!$BJ105:$BT105,,T105+1)*R105-ERP_i)*Q105*Ramure*Pc/MaxiM</f>
        <v>2.9343001514931279E-2</v>
      </c>
      <c r="Q105" s="305">
        <f t="shared" si="28"/>
        <v>0.8</v>
      </c>
      <c r="R105" s="177">
        <f t="shared" si="29"/>
        <v>0.43055873616896267</v>
      </c>
      <c r="S105" s="809">
        <f t="shared" si="30"/>
        <v>2</v>
      </c>
      <c r="T105" s="176">
        <f t="shared" si="31"/>
        <v>8</v>
      </c>
      <c r="U105" s="251">
        <f t="shared" si="32"/>
        <v>2.4305587361689627</v>
      </c>
      <c r="V105" s="383">
        <f t="shared" si="33"/>
        <v>40.858772870418193</v>
      </c>
      <c r="W105" s="402">
        <f t="shared" si="34"/>
        <v>27.764893321609399</v>
      </c>
      <c r="X105" s="157">
        <f t="shared" si="35"/>
        <v>46113</v>
      </c>
      <c r="Y105" s="385">
        <f t="shared" si="36"/>
        <v>25.483623005600077</v>
      </c>
      <c r="Z105" s="385">
        <f t="shared" si="37"/>
        <v>27.826453496904151</v>
      </c>
      <c r="AA105" s="386">
        <f t="shared" si="38"/>
        <v>32.493625588534663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0.14363346678301478</v>
      </c>
      <c r="AD105" s="231">
        <f>(INDEX(Models!$BJ105:$BT105,,AH105)*(1-AF105)+INDEX(Models!$BJ105:$BT105,,AH105+1)*AF105-ERP_i)*AE105*Ramure*Pc/MaxiM</f>
        <v>5.216703054474784E-2</v>
      </c>
      <c r="AE105" s="305">
        <f t="shared" si="40"/>
        <v>0.8</v>
      </c>
      <c r="AF105" s="177">
        <f t="shared" si="41"/>
        <v>0.63127548333386629</v>
      </c>
      <c r="AG105" s="809">
        <f t="shared" si="49"/>
        <v>3</v>
      </c>
      <c r="AH105" s="176">
        <f t="shared" si="42"/>
        <v>9</v>
      </c>
      <c r="AI105" s="225">
        <f t="shared" si="43"/>
        <v>3.6312754833338663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IF(t&gt;Tmaj,'2025'!Wh/'2025'!Env_an*'2026'!Env_an,0.001*'[6]mon-tableau'!$B$137)</f>
        <v>18.597762592234968</v>
      </c>
      <c r="C106" s="839"/>
      <c r="D106" s="393">
        <f t="shared" si="25"/>
        <v>20.308026724729569</v>
      </c>
      <c r="E106" s="385">
        <f t="shared" si="47"/>
        <v>22.046576536234674</v>
      </c>
      <c r="F106" s="385">
        <f t="shared" si="26"/>
        <v>22.184876043825216</v>
      </c>
      <c r="G106" s="110">
        <f t="shared" si="48"/>
        <v>0.44112137206861923</v>
      </c>
      <c r="H106" s="414" t="b">
        <f>Wh_hp&gt;='2025'!Maxi_hp</f>
        <v>0</v>
      </c>
      <c r="I106" s="390">
        <f>IF(H106,Wh_hp,'2025'!Maxi_hp)</f>
        <v>41.845132643511377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8.4216165148727679E-2</v>
      </c>
      <c r="M106" s="843"/>
      <c r="N106" s="843"/>
      <c r="O106" s="48">
        <f>IF(t&lt;Tnet,'2025'!Resal+('2025'!Salim-'2025'!Resal)*(1-EXP(('2025'!Tnet-t)/('2025'!Tau_j))),Resal+(Salim-Resal)*(1-EXP((Tnet-t)/(Tau_j))))*Salcycl</f>
        <v>7.8858039870621677E-2</v>
      </c>
      <c r="P106" s="169">
        <f>(INDEX(Models!$BJ106:$BT106,,T106)*(1-R106)+INDEX(Models!$BJ106:$BT106,,T106+1)*R106-ERP_i)*Q106*Ramure*Pc/MaxiM</f>
        <v>2.8826009408795573E-2</v>
      </c>
      <c r="Q106" s="305">
        <f t="shared" si="28"/>
        <v>0.8</v>
      </c>
      <c r="R106" s="177">
        <f t="shared" si="29"/>
        <v>0.4318285810282898</v>
      </c>
      <c r="S106" s="809">
        <f t="shared" si="30"/>
        <v>2</v>
      </c>
      <c r="T106" s="176">
        <f t="shared" si="31"/>
        <v>8</v>
      </c>
      <c r="U106" s="251">
        <f t="shared" si="32"/>
        <v>2.4318285810282898</v>
      </c>
      <c r="V106" s="383">
        <f t="shared" si="33"/>
        <v>41.201733512801979</v>
      </c>
      <c r="W106" s="402">
        <f t="shared" si="34"/>
        <v>18.597762592234968</v>
      </c>
      <c r="X106" s="157">
        <f t="shared" si="35"/>
        <v>46114</v>
      </c>
      <c r="Y106" s="385">
        <f t="shared" si="36"/>
        <v>17.201642991984034</v>
      </c>
      <c r="Z106" s="385">
        <f t="shared" si="37"/>
        <v>18.783518923739969</v>
      </c>
      <c r="AA106" s="386">
        <f t="shared" si="38"/>
        <v>21.935810943099867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0.14370528755635012</v>
      </c>
      <c r="AD106" s="231">
        <f>(INDEX(Models!$BJ106:$BT106,,AH106)*(1-AF106)+INDEX(Models!$BJ106:$BT106,,AH106+1)*AF106-ERP_i)*AE106*Ramure*Pc/MaxiM</f>
        <v>5.1913076640647614E-2</v>
      </c>
      <c r="AE106" s="305">
        <f t="shared" si="40"/>
        <v>0.8</v>
      </c>
      <c r="AF106" s="177">
        <f t="shared" si="41"/>
        <v>0.63254532819319342</v>
      </c>
      <c r="AG106" s="809">
        <f t="shared" si="49"/>
        <v>3</v>
      </c>
      <c r="AH106" s="176">
        <f t="shared" si="42"/>
        <v>9</v>
      </c>
      <c r="AI106" s="225">
        <f t="shared" si="43"/>
        <v>3.6325453281931934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IF(t&gt;Tmaj,'2025'!Wh/'2025'!Env_an*'2026'!Env_an,0.001*'[6]mon-tableau'!$B$138)</f>
        <v>18.602110909418638</v>
      </c>
      <c r="C107" s="839"/>
      <c r="D107" s="393">
        <f t="shared" si="25"/>
        <v>20.313258532971187</v>
      </c>
      <c r="E107" s="385">
        <f t="shared" si="47"/>
        <v>22.0559313012972</v>
      </c>
      <c r="F107" s="385">
        <f t="shared" si="26"/>
        <v>22.188451050664398</v>
      </c>
      <c r="G107" s="110">
        <f t="shared" si="48"/>
        <v>0.43778101528021784</v>
      </c>
      <c r="H107" s="414" t="b">
        <f>Wh_hp&gt;='2025'!Maxi_hp</f>
        <v>0</v>
      </c>
      <c r="I107" s="390">
        <f>IF(H107,Wh_hp,'2025'!Maxi_hp)</f>
        <v>50.711672503234396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8.4237968062835594E-2</v>
      </c>
      <c r="M107" s="843"/>
      <c r="N107" s="843"/>
      <c r="O107" s="48">
        <f>IF(t&lt;Tnet,'2025'!Resal+('2025'!Salim-'2025'!Resal)*(1-EXP(('2025'!Tnet-t)/('2025'!Tau_j))),Resal+(Salim-Resal)*(1-EXP((Tnet-t)/(Tau_j))))*Salcycl</f>
        <v>7.9011525041498443E-2</v>
      </c>
      <c r="P107" s="169">
        <f>(INDEX(Models!$BJ107:$BT107,,T107)*(1-R107)+INDEX(Models!$BJ107:$BT107,,T107+1)*R107-ERP_i)*Q107*Ramure*Pc/MaxiM</f>
        <v>2.828039536895053E-2</v>
      </c>
      <c r="Q107" s="305">
        <f t="shared" si="28"/>
        <v>0.8</v>
      </c>
      <c r="R107" s="177">
        <f t="shared" si="29"/>
        <v>0.43314568279406629</v>
      </c>
      <c r="S107" s="809">
        <f t="shared" si="30"/>
        <v>2</v>
      </c>
      <c r="T107" s="176">
        <f t="shared" si="31"/>
        <v>8</v>
      </c>
      <c r="U107" s="251">
        <f t="shared" si="32"/>
        <v>2.4331456827940663</v>
      </c>
      <c r="V107" s="383">
        <f t="shared" si="33"/>
        <v>41.538217439903448</v>
      </c>
      <c r="W107" s="402">
        <f t="shared" si="34"/>
        <v>18.602110909418638</v>
      </c>
      <c r="X107" s="157">
        <f t="shared" si="35"/>
        <v>46115</v>
      </c>
      <c r="Y107" s="385">
        <f t="shared" si="36"/>
        <v>17.208243429121808</v>
      </c>
      <c r="Z107" s="385">
        <f t="shared" si="37"/>
        <v>18.791173720884906</v>
      </c>
      <c r="AA107" s="386">
        <f t="shared" si="38"/>
        <v>21.946626089475981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0.14377847217728842</v>
      </c>
      <c r="AD107" s="231">
        <f>(INDEX(Models!$BJ107:$BT107,,AH107)*(1-AF107)+INDEX(Models!$BJ107:$BT107,,AH107+1)*AF107-ERP_i)*AE107*Ramure*Pc/MaxiM</f>
        <v>5.1606689154985577E-2</v>
      </c>
      <c r="AE107" s="305">
        <f t="shared" si="40"/>
        <v>0.8</v>
      </c>
      <c r="AF107" s="177">
        <f t="shared" si="41"/>
        <v>0.63386242995896991</v>
      </c>
      <c r="AG107" s="809">
        <f t="shared" si="49"/>
        <v>3</v>
      </c>
      <c r="AH107" s="176">
        <f t="shared" si="42"/>
        <v>9</v>
      </c>
      <c r="AI107" s="225">
        <f t="shared" si="43"/>
        <v>3.6338624299589699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IF(t&gt;Tmaj,'2025'!Wh/'2025'!Env_an*'2026'!Env_an,0.001*'[6]mon-tableau'!$B$139)</f>
        <v>40.90940772716111</v>
      </c>
      <c r="C108" s="839"/>
      <c r="D108" s="393">
        <f t="shared" si="25"/>
        <v>44.673594549993666</v>
      </c>
      <c r="E108" s="385">
        <f t="shared" si="47"/>
        <v>48.514258079497132</v>
      </c>
      <c r="F108" s="385">
        <f t="shared" si="26"/>
        <v>49.84930117080053</v>
      </c>
      <c r="G108" s="110">
        <f t="shared" si="48"/>
        <v>0.97612310245955614</v>
      </c>
      <c r="H108" s="414" t="b">
        <f>Wh_hp&gt;='2025'!Maxi_hp</f>
        <v>0</v>
      </c>
      <c r="I108" s="390">
        <f>IF(H108,Wh_hp,'2025'!Maxi_hp)</f>
        <v>52.742592428937442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8.4259770469557932E-2</v>
      </c>
      <c r="M108" s="843"/>
      <c r="N108" s="843"/>
      <c r="O108" s="48">
        <f>IF(t&lt;Tnet,'2025'!Resal+('2025'!Salim-'2025'!Resal)*(1-EXP(('2025'!Tnet-t)/('2025'!Tau_j))),Resal+(Salim-Resal)*(1-EXP((Tnet-t)/(Tau_j))))*Salcycl</f>
        <v>7.9165665549497208E-2</v>
      </c>
      <c r="P108" s="169">
        <f>(INDEX(Models!$BJ108:$BT108,,T108)*(1-R108)+INDEX(Models!$BJ108:$BT108,,T108+1)*R108-ERP_i)*Q108*Ramure*Pc/MaxiM</f>
        <v>2.7690007291369757E-2</v>
      </c>
      <c r="Q108" s="305">
        <f t="shared" si="28"/>
        <v>0.8</v>
      </c>
      <c r="R108" s="177">
        <f t="shared" si="29"/>
        <v>0.43451155403588926</v>
      </c>
      <c r="S108" s="809">
        <f t="shared" si="30"/>
        <v>2</v>
      </c>
      <c r="T108" s="176">
        <f t="shared" si="31"/>
        <v>8</v>
      </c>
      <c r="U108" s="251">
        <f t="shared" si="32"/>
        <v>2.4345115540358893</v>
      </c>
      <c r="V108" s="383">
        <f t="shared" si="33"/>
        <v>41.87097074136323</v>
      </c>
      <c r="W108" s="402">
        <f t="shared" si="34"/>
        <v>40.90940772716111</v>
      </c>
      <c r="X108" s="157">
        <f t="shared" si="35"/>
        <v>46116</v>
      </c>
      <c r="Y108" s="385">
        <f t="shared" si="36"/>
        <v>37.146390875091825</v>
      </c>
      <c r="Z108" s="385">
        <f t="shared" si="37"/>
        <v>40.564332195102018</v>
      </c>
      <c r="AA108" s="386">
        <f t="shared" si="38"/>
        <v>47.380105924991476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0.14385307075251508</v>
      </c>
      <c r="AD108" s="231">
        <f>(INDEX(Models!$BJ108:$BT108,,AH108)*(1-AF108)+INDEX(Models!$BJ108:$BT108,,AH108+1)*AF108-ERP_i)*AE108*Ramure*Pc/MaxiM</f>
        <v>5.1213353940146596E-2</v>
      </c>
      <c r="AE108" s="305">
        <f t="shared" si="40"/>
        <v>0.8</v>
      </c>
      <c r="AF108" s="177">
        <f t="shared" si="41"/>
        <v>0.63522830120079288</v>
      </c>
      <c r="AG108" s="809">
        <f t="shared" si="49"/>
        <v>3</v>
      </c>
      <c r="AH108" s="176">
        <f t="shared" si="42"/>
        <v>9</v>
      </c>
      <c r="AI108" s="225">
        <f t="shared" si="43"/>
        <v>3.6352283012007929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IF(t&gt;Tmaj,'2025'!Wh/'2025'!Env_an*'2026'!Env_an,0.001*'[6]mon-tableau'!$B$140)</f>
        <v>42.111012463155348</v>
      </c>
      <c r="C109" s="839"/>
      <c r="D109" s="393">
        <f t="shared" si="25"/>
        <v>45.986857086729053</v>
      </c>
      <c r="E109" s="385">
        <f t="shared" si="47"/>
        <v>49.948822237306238</v>
      </c>
      <c r="F109" s="385">
        <f t="shared" si="26"/>
        <v>51.335046037466896</v>
      </c>
      <c r="G109" s="110">
        <f t="shared" si="48"/>
        <v>0.99783581434415647</v>
      </c>
      <c r="H109" s="414" t="b">
        <f>Wh_hp&gt;='2025'!Maxi_hp</f>
        <v>0</v>
      </c>
      <c r="I109" s="390">
        <f>IF(H109,Wh_hp,'2025'!Maxi_hp)</f>
        <v>53.625563554782609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8.4281572368906349E-2</v>
      </c>
      <c r="M109" s="843"/>
      <c r="N109" s="843"/>
      <c r="O109" s="48">
        <f>IF(t&lt;Tnet,'2025'!Resal+('2025'!Salim-'2025'!Resal)*(1-EXP(('2025'!Tnet-t)/('2025'!Tau_j))),Resal+(Salim-Resal)*(1-EXP((Tnet-t)/(Tau_j))))*Salcycl</f>
        <v>7.932049191778609E-2</v>
      </c>
      <c r="P109" s="169">
        <f>(INDEX(Models!$BJ109:$BT109,,T109)*(1-R109)+INDEX(Models!$BJ109:$BT109,,T109+1)*R109-ERP_i)*Q109*Ramure*Pc/MaxiM</f>
        <v>2.7083998217507028E-2</v>
      </c>
      <c r="Q109" s="305">
        <f t="shared" si="28"/>
        <v>0.8</v>
      </c>
      <c r="R109" s="177">
        <f t="shared" si="29"/>
        <v>0.43592773598951196</v>
      </c>
      <c r="S109" s="809">
        <f t="shared" si="30"/>
        <v>2</v>
      </c>
      <c r="T109" s="176">
        <f t="shared" si="31"/>
        <v>8</v>
      </c>
      <c r="U109" s="251">
        <f t="shared" si="32"/>
        <v>2.435927735989512</v>
      </c>
      <c r="V109" s="383">
        <f t="shared" si="33"/>
        <v>42.198852891856944</v>
      </c>
      <c r="W109" s="402">
        <f t="shared" si="34"/>
        <v>42.111012463155348</v>
      </c>
      <c r="X109" s="157">
        <f t="shared" si="35"/>
        <v>46117</v>
      </c>
      <c r="Y109" s="385">
        <f t="shared" si="36"/>
        <v>38.205456377328105</v>
      </c>
      <c r="Z109" s="385">
        <f t="shared" si="37"/>
        <v>41.721838530827903</v>
      </c>
      <c r="AA109" s="386">
        <f t="shared" si="38"/>
        <v>48.736430704981672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0.14392913212326733</v>
      </c>
      <c r="AD109" s="231">
        <f>(INDEX(Models!$BJ109:$BT109,,AH109)*(1-AF109)+INDEX(Models!$BJ109:$BT109,,AH109+1)*AF109-ERP_i)*AE109*Ramure*Pc/MaxiM</f>
        <v>5.0771666901736352E-2</v>
      </c>
      <c r="AE109" s="305">
        <f t="shared" si="40"/>
        <v>0.8</v>
      </c>
      <c r="AF109" s="177">
        <f t="shared" si="41"/>
        <v>0.63664448315441557</v>
      </c>
      <c r="AG109" s="809">
        <f t="shared" si="49"/>
        <v>3</v>
      </c>
      <c r="AH109" s="176">
        <f t="shared" si="42"/>
        <v>9</v>
      </c>
      <c r="AI109" s="225">
        <f t="shared" si="43"/>
        <v>3.6366444831544156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IF(t&gt;Tmaj,'2025'!Wh/'2025'!Env_an*'2026'!Env_an,0.001*'[6]mon-tableau'!$B$141)</f>
        <v>10.258630061463146</v>
      </c>
      <c r="C110" s="839"/>
      <c r="D110" s="393">
        <f t="shared" si="25"/>
        <v>11.203088192643843</v>
      </c>
      <c r="E110" s="385">
        <f t="shared" si="47"/>
        <v>12.170338423644047</v>
      </c>
      <c r="F110" s="385">
        <f t="shared" si="26"/>
        <v>12.170338423644047</v>
      </c>
      <c r="G110" s="110">
        <f t="shared" si="48"/>
        <v>0.23487069900728536</v>
      </c>
      <c r="H110" s="414" t="b">
        <f>Wh_hp&gt;='2025'!Maxi_hp</f>
        <v>0</v>
      </c>
      <c r="I110" s="390">
        <f>IF(H110,Wh_hp,'2025'!Maxi_hp)</f>
        <v>54.126950024967606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8.4303373760892725E-2</v>
      </c>
      <c r="M110" s="843"/>
      <c r="N110" s="843"/>
      <c r="O110" s="48">
        <f>IF(t&lt;Tnet,'2025'!Resal+('2025'!Salim-'2025'!Resal)*(1-EXP(('2025'!Tnet-t)/('2025'!Tau_j))),Resal+(Salim-Resal)*(1-EXP((Tnet-t)/(Tau_j))))*Salcycl</f>
        <v>7.9476034053504063E-2</v>
      </c>
      <c r="P110" s="169">
        <f>(INDEX(Models!$BJ110:$BT110,,T110)*(1-R110)+INDEX(Models!$BJ110:$BT110,,T110+1)*R110-ERP_i)*Q110*Ramure*Pc/MaxiM</f>
        <v>2.6462038883100659E-2</v>
      </c>
      <c r="Q110" s="305">
        <f t="shared" si="28"/>
        <v>0.8</v>
      </c>
      <c r="R110" s="177">
        <f t="shared" si="29"/>
        <v>0.43739579741716028</v>
      </c>
      <c r="S110" s="809">
        <f t="shared" si="30"/>
        <v>2</v>
      </c>
      <c r="T110" s="176">
        <f t="shared" si="31"/>
        <v>8</v>
      </c>
      <c r="U110" s="251">
        <f t="shared" si="32"/>
        <v>2.4373957974171603</v>
      </c>
      <c r="V110" s="383">
        <f t="shared" si="33"/>
        <v>42.521974158980022</v>
      </c>
      <c r="W110" s="402">
        <f t="shared" si="34"/>
        <v>10.258630061463146</v>
      </c>
      <c r="X110" s="157">
        <f t="shared" si="35"/>
        <v>46118</v>
      </c>
      <c r="Y110" s="385">
        <f t="shared" si="36"/>
        <v>9.5394784775054102</v>
      </c>
      <c r="Z110" s="385">
        <f t="shared" si="37"/>
        <v>10.41772810355911</v>
      </c>
      <c r="AA110" s="386">
        <f t="shared" si="38"/>
        <v>12.170338423644047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0.14400670376429597</v>
      </c>
      <c r="AD110" s="231">
        <f>(INDEX(Models!$BJ110:$BT110,,AH110)*(1-AF110)+INDEX(Models!$BJ110:$BT110,,AH110+1)*AF110-ERP_i)*AE110*Ramure*Pc/MaxiM</f>
        <v>5.0282028283809586E-2</v>
      </c>
      <c r="AE110" s="305">
        <f t="shared" si="40"/>
        <v>0.8</v>
      </c>
      <c r="AF110" s="177">
        <f t="shared" si="41"/>
        <v>0.6381125445820639</v>
      </c>
      <c r="AG110" s="809">
        <f t="shared" si="49"/>
        <v>3</v>
      </c>
      <c r="AH110" s="176">
        <f t="shared" si="42"/>
        <v>9</v>
      </c>
      <c r="AI110" s="225">
        <f t="shared" si="43"/>
        <v>3.6381125445820639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IF(t&gt;Tmaj,'2025'!Wh/'2025'!Env_an*'2026'!Env_an,0.001*'[6]mon-tableau'!$B$142)</f>
        <v>30.62750886804622</v>
      </c>
      <c r="C111" s="839"/>
      <c r="D111" s="393">
        <f t="shared" si="25"/>
        <v>33.448018903642854</v>
      </c>
      <c r="E111" s="385">
        <f t="shared" si="47"/>
        <v>36.342018166920688</v>
      </c>
      <c r="F111" s="385">
        <f t="shared" si="26"/>
        <v>36.906947738790883</v>
      </c>
      <c r="G111" s="110">
        <f t="shared" si="48"/>
        <v>0.70728477018806313</v>
      </c>
      <c r="H111" s="414" t="b">
        <f>Wh_hp&gt;='2025'!Maxi_hp</f>
        <v>0</v>
      </c>
      <c r="I111" s="390">
        <f>IF(H111,Wh_hp,'2025'!Maxi_hp)</f>
        <v>53.441018311123912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8.4325174645528939E-2</v>
      </c>
      <c r="M111" s="843"/>
      <c r="N111" s="843"/>
      <c r="O111" s="48">
        <f>IF(t&lt;Tnet,'2025'!Resal+('2025'!Salim-'2025'!Resal)*(1-EXP(('2025'!Tnet-t)/('2025'!Tau_j))),Resal+(Salim-Resal)*(1-EXP((Tnet-t)/(Tau_j))))*Salcycl</f>
        <v>7.9632321187710423E-2</v>
      </c>
      <c r="P111" s="169">
        <f>(INDEX(Models!$BJ111:$BT111,,T111)*(1-R111)+INDEX(Models!$BJ111:$BT111,,T111+1)*R111-ERP_i)*Q111*Ramure*Pc/MaxiM</f>
        <v>2.5823757874244312E-2</v>
      </c>
      <c r="Q111" s="305">
        <f t="shared" si="28"/>
        <v>0.8</v>
      </c>
      <c r="R111" s="177">
        <f t="shared" si="29"/>
        <v>0.43891733329029892</v>
      </c>
      <c r="S111" s="809">
        <f t="shared" si="30"/>
        <v>2</v>
      </c>
      <c r="T111" s="176">
        <f t="shared" si="31"/>
        <v>8</v>
      </c>
      <c r="U111" s="251">
        <f t="shared" si="32"/>
        <v>2.4389173332902989</v>
      </c>
      <c r="V111" s="383">
        <f t="shared" si="33"/>
        <v>42.840446673235853</v>
      </c>
      <c r="W111" s="402">
        <f t="shared" si="34"/>
        <v>30.62750886804622</v>
      </c>
      <c r="X111" s="157">
        <f t="shared" si="35"/>
        <v>46119</v>
      </c>
      <c r="Y111" s="385">
        <f t="shared" si="36"/>
        <v>28.072525754183484</v>
      </c>
      <c r="Z111" s="385">
        <f t="shared" si="37"/>
        <v>30.657745497498198</v>
      </c>
      <c r="AA111" s="386">
        <f t="shared" si="38"/>
        <v>35.818714810967379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0.14408583168620384</v>
      </c>
      <c r="AD111" s="231">
        <f>(INDEX(Models!$BJ111:$BT111,,AH111)*(1-AF111)+INDEX(Models!$BJ111:$BT111,,AH111+1)*AF111-ERP_i)*AE111*Ramure*Pc/MaxiM</f>
        <v>4.9744720471725019E-2</v>
      </c>
      <c r="AE111" s="305">
        <f t="shared" si="40"/>
        <v>0.8</v>
      </c>
      <c r="AF111" s="177">
        <f t="shared" si="41"/>
        <v>0.63963408045520254</v>
      </c>
      <c r="AG111" s="809">
        <f t="shared" si="49"/>
        <v>3</v>
      </c>
      <c r="AH111" s="176">
        <f t="shared" si="42"/>
        <v>9</v>
      </c>
      <c r="AI111" s="225">
        <f t="shared" si="43"/>
        <v>3.6396340804552025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IF(t&gt;Tmaj,'2025'!Wh/'2025'!Env_an*'2026'!Env_an,0.001*'[6]mon-tableau'!$B$143)</f>
        <v>24.04694327722347</v>
      </c>
      <c r="C112" s="839"/>
      <c r="D112" s="393">
        <f t="shared" si="25"/>
        <v>26.262069387935394</v>
      </c>
      <c r="E112" s="385">
        <f t="shared" si="47"/>
        <v>28.539194037745105</v>
      </c>
      <c r="F112" s="385">
        <f t="shared" si="26"/>
        <v>28.805611802340465</v>
      </c>
      <c r="G112" s="110">
        <f t="shared" si="48"/>
        <v>0.54827671022457325</v>
      </c>
      <c r="H112" s="414" t="b">
        <f>Wh_hp&gt;='2025'!Maxi_hp</f>
        <v>0</v>
      </c>
      <c r="I112" s="390">
        <f>IF(H112,Wh_hp,'2025'!Maxi_hp)</f>
        <v>51.207037958344102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8.4346975022826648E-2</v>
      </c>
      <c r="M112" s="843"/>
      <c r="N112" s="843"/>
      <c r="O112" s="48">
        <f>IF(t&lt;Tnet,'2025'!Resal+('2025'!Salim-'2025'!Resal)*(1-EXP(('2025'!Tnet-t)/('2025'!Tau_j))),Resal+(Salim-Resal)*(1-EXP((Tnet-t)/(Tau_j))))*Salcycl</f>
        <v>7.9789381816390892E-2</v>
      </c>
      <c r="P112" s="169">
        <f>(INDEX(Models!$BJ112:$BT112,,T112)*(1-R112)+INDEX(Models!$BJ112:$BT112,,T112+1)*R112-ERP_i)*Q112*Ramure*Pc/MaxiM</f>
        <v>2.5168741315374492E-2</v>
      </c>
      <c r="Q112" s="305">
        <f t="shared" si="28"/>
        <v>0.8</v>
      </c>
      <c r="R112" s="177">
        <f t="shared" si="29"/>
        <v>0.44049396328359114</v>
      </c>
      <c r="S112" s="809">
        <f t="shared" si="30"/>
        <v>2</v>
      </c>
      <c r="T112" s="176">
        <f t="shared" si="31"/>
        <v>8</v>
      </c>
      <c r="U112" s="251">
        <f t="shared" si="32"/>
        <v>2.4404939632835911</v>
      </c>
      <c r="V112" s="383">
        <f t="shared" si="33"/>
        <v>43.154384505172068</v>
      </c>
      <c r="W112" s="402">
        <f t="shared" si="34"/>
        <v>24.04694327722347</v>
      </c>
      <c r="X112" s="157">
        <f t="shared" si="35"/>
        <v>46120</v>
      </c>
      <c r="Y112" s="385">
        <f t="shared" si="36"/>
        <v>22.165629633277977</v>
      </c>
      <c r="Z112" s="385">
        <f t="shared" si="37"/>
        <v>24.207455257225355</v>
      </c>
      <c r="AA112" s="386">
        <f t="shared" si="38"/>
        <v>28.285241187648754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0.14416656034045186</v>
      </c>
      <c r="AD112" s="231">
        <f>(INDEX(Models!$BJ112:$BT112,,AH112)*(1-AF112)+INDEX(Models!$BJ112:$BT112,,AH112+1)*AF112-ERP_i)*AE112*Ramure*Pc/MaxiM</f>
        <v>4.9159910222916811E-2</v>
      </c>
      <c r="AE112" s="305">
        <f t="shared" si="40"/>
        <v>0.8</v>
      </c>
      <c r="AF112" s="177">
        <f t="shared" si="41"/>
        <v>0.64121071044849476</v>
      </c>
      <c r="AG112" s="809">
        <f t="shared" si="49"/>
        <v>3</v>
      </c>
      <c r="AH112" s="176">
        <f t="shared" si="42"/>
        <v>9</v>
      </c>
      <c r="AI112" s="225">
        <f t="shared" si="43"/>
        <v>3.6412107104484948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IF(t&gt;Tmaj,'2025'!Wh/'2025'!Env_an*'2026'!Env_an,0.001*'[6]mon-tableau'!$B$144)</f>
        <v>32.308700639439785</v>
      </c>
      <c r="C113" s="839"/>
      <c r="D113" s="393">
        <f t="shared" si="25"/>
        <v>35.285713017986119</v>
      </c>
      <c r="E113" s="385">
        <f t="shared" si="47"/>
        <v>38.351836646485673</v>
      </c>
      <c r="F113" s="385">
        <f t="shared" si="26"/>
        <v>38.956238760493143</v>
      </c>
      <c r="G113" s="110">
        <f t="shared" si="48"/>
        <v>0.73656390319704734</v>
      </c>
      <c r="H113" s="414" t="b">
        <f>Wh_hp&gt;='2025'!Maxi_hp</f>
        <v>0</v>
      </c>
      <c r="I113" s="390">
        <f>IF(H113,Wh_hp,'2025'!Maxi_hp)</f>
        <v>43.332487476984227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8.4368774892797732E-2</v>
      </c>
      <c r="M113" s="843"/>
      <c r="N113" s="843"/>
      <c r="O113" s="48">
        <f>IF(t&lt;Tnet,'2025'!Resal+('2025'!Salim-'2025'!Resal)*(1-EXP(('2025'!Tnet-t)/('2025'!Tau_j))),Resal+(Salim-Resal)*(1-EXP((Tnet-t)/(Tau_j))))*Salcycl</f>
        <v>7.994724364212473E-2</v>
      </c>
      <c r="P113" s="169">
        <f>(INDEX(Models!$BJ113:$BT113,,T113)*(1-R113)+INDEX(Models!$BJ113:$BT113,,T113+1)*R113-ERP_i)*Q113*Ramure*Pc/MaxiM</f>
        <v>2.4496532552104967E-2</v>
      </c>
      <c r="Q113" s="305">
        <f t="shared" si="28"/>
        <v>0.8</v>
      </c>
      <c r="R113" s="177">
        <f t="shared" si="29"/>
        <v>0.44212733006867033</v>
      </c>
      <c r="S113" s="809">
        <f t="shared" si="30"/>
        <v>2</v>
      </c>
      <c r="T113" s="176">
        <f t="shared" si="31"/>
        <v>8</v>
      </c>
      <c r="U113" s="251">
        <f t="shared" si="32"/>
        <v>2.4421273300686703</v>
      </c>
      <c r="V113" s="383">
        <f t="shared" si="33"/>
        <v>43.463903746742091</v>
      </c>
      <c r="W113" s="402">
        <f t="shared" si="34"/>
        <v>32.308700639439785</v>
      </c>
      <c r="X113" s="157">
        <f t="shared" si="35"/>
        <v>46121</v>
      </c>
      <c r="Y113" s="385">
        <f t="shared" si="36"/>
        <v>29.586090510346274</v>
      </c>
      <c r="Z113" s="385">
        <f t="shared" si="37"/>
        <v>32.312234116832713</v>
      </c>
      <c r="AA113" s="386">
        <f t="shared" si="38"/>
        <v>37.758917686451227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0.14424893252628651</v>
      </c>
      <c r="AD113" s="231">
        <f>(INDEX(Models!$BJ113:$BT113,,AH113)*(1-AF113)+INDEX(Models!$BJ113:$BT113,,AH113+1)*AF113-ERP_i)*AE113*Ramure*Pc/MaxiM</f>
        <v>4.8527650691219323E-2</v>
      </c>
      <c r="AE113" s="305">
        <f t="shared" si="40"/>
        <v>0.8</v>
      </c>
      <c r="AF113" s="177">
        <f t="shared" si="41"/>
        <v>0.64284407723357395</v>
      </c>
      <c r="AG113" s="809">
        <f t="shared" si="49"/>
        <v>3</v>
      </c>
      <c r="AH113" s="176">
        <f t="shared" si="42"/>
        <v>9</v>
      </c>
      <c r="AI113" s="225">
        <f t="shared" si="43"/>
        <v>3.642844077233574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IF(t&gt;Tmaj,'2025'!Wh/'2025'!Env_an*'2026'!Env_an,0.001*'[6]mon-tableau'!$B$145)</f>
        <v>42.553799530654246</v>
      </c>
      <c r="C114" s="839"/>
      <c r="D114" s="393">
        <f t="shared" si="25"/>
        <v>46.475929948024266</v>
      </c>
      <c r="E114" s="385">
        <f t="shared" si="47"/>
        <v>50.523132653375548</v>
      </c>
      <c r="F114" s="385">
        <f t="shared" si="26"/>
        <v>51.705395684845946</v>
      </c>
      <c r="G114" s="110">
        <f t="shared" si="48"/>
        <v>0.97129678422746824</v>
      </c>
      <c r="H114" s="414" t="b">
        <f>Wh_hp&gt;='2025'!Maxi_hp</f>
        <v>0</v>
      </c>
      <c r="I114" s="390">
        <f>IF(H114,Wh_hp,'2025'!Maxi_hp)</f>
        <v>53.455243179157556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8.4390574255454071E-2</v>
      </c>
      <c r="M114" s="843"/>
      <c r="N114" s="843"/>
      <c r="O114" s="48">
        <f>IF(t&lt;Tnet,'2025'!Resal+('2025'!Salim-'2025'!Resal)*(1-EXP(('2025'!Tnet-t)/('2025'!Tau_j))),Resal+(Salim-Resal)*(1-EXP((Tnet-t)/(Tau_j))))*Salcycl</f>
        <v>8.0105933515998679E-2</v>
      </c>
      <c r="P114" s="169">
        <f>(INDEX(Models!$BJ114:$BT114,,T114)*(1-R114)+INDEX(Models!$BJ114:$BT114,,T114+1)*R114-ERP_i)*Q114*Ramure*Pc/MaxiM</f>
        <v>2.3809718459518223E-2</v>
      </c>
      <c r="Q114" s="305">
        <f t="shared" si="28"/>
        <v>0.8</v>
      </c>
      <c r="R114" s="177">
        <f t="shared" si="29"/>
        <v>0.44381909739628167</v>
      </c>
      <c r="S114" s="809">
        <f t="shared" si="30"/>
        <v>2</v>
      </c>
      <c r="T114" s="176">
        <f t="shared" si="31"/>
        <v>8</v>
      </c>
      <c r="U114" s="251">
        <f t="shared" si="32"/>
        <v>2.4438190973962817</v>
      </c>
      <c r="V114" s="383">
        <f t="shared" si="33"/>
        <v>43.768984175584926</v>
      </c>
      <c r="W114" s="402">
        <f t="shared" si="34"/>
        <v>42.553799530654246</v>
      </c>
      <c r="X114" s="157">
        <f t="shared" si="35"/>
        <v>46122</v>
      </c>
      <c r="Y114" s="385">
        <f t="shared" si="36"/>
        <v>38.648363271091178</v>
      </c>
      <c r="Z114" s="385">
        <f t="shared" si="37"/>
        <v>42.210534518758905</v>
      </c>
      <c r="AA114" s="386">
        <f t="shared" si="38"/>
        <v>49.330561995336488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0.1443329892988181</v>
      </c>
      <c r="AD114" s="231">
        <f>(INDEX(Models!$BJ114:$BT114,,AH114)*(1-AF114)+INDEX(Models!$BJ114:$BT114,,AH114+1)*AF114-ERP_i)*AE114*Ramure*Pc/MaxiM</f>
        <v>4.7827023285227956E-2</v>
      </c>
      <c r="AE114" s="305">
        <f t="shared" si="40"/>
        <v>0.8</v>
      </c>
      <c r="AF114" s="177">
        <f t="shared" si="41"/>
        <v>0.64453584456118529</v>
      </c>
      <c r="AG114" s="809">
        <f t="shared" si="49"/>
        <v>3</v>
      </c>
      <c r="AH114" s="176">
        <f t="shared" si="42"/>
        <v>9</v>
      </c>
      <c r="AI114" s="225">
        <f t="shared" si="43"/>
        <v>3.6445358445611853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IF(t&gt;Tmaj,'2025'!Wh/'2025'!Env_an*'2026'!Env_an,0.001*'[6]mon-tableau'!$B$146)</f>
        <v>35.942074024162459</v>
      </c>
      <c r="C115" s="839"/>
      <c r="D115" s="393">
        <f t="shared" si="25"/>
        <v>39.255744582612493</v>
      </c>
      <c r="E115" s="385">
        <f t="shared" si="47"/>
        <v>42.681603894522475</v>
      </c>
      <c r="F115" s="385">
        <f t="shared" si="26"/>
        <v>43.421144166637276</v>
      </c>
      <c r="G115" s="110">
        <f t="shared" si="48"/>
        <v>0.81053132613732459</v>
      </c>
      <c r="H115" s="414" t="b">
        <f>Wh_hp&gt;='2025'!Maxi_hp</f>
        <v>0</v>
      </c>
      <c r="I115" s="390">
        <f>IF(H115,Wh_hp,'2025'!Maxi_hp)</f>
        <v>54.340445908416534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8.4412373110807321E-2</v>
      </c>
      <c r="M115" s="843"/>
      <c r="N115" s="843"/>
      <c r="O115" s="48">
        <f>IF(t&lt;Tnet,'2025'!Resal+('2025'!Salim-'2025'!Resal)*(1-EXP(('2025'!Tnet-t)/('2025'!Tau_j))),Resal+(Salim-Resal)*(1-EXP((Tnet-t)/(Tau_j))))*Salcycl</f>
        <v>8.0265477379345695E-2</v>
      </c>
      <c r="P115" s="169">
        <f>(INDEX(Models!$BJ115:$BT115,,T115)*(1-R115)+INDEX(Models!$BJ115:$BT115,,T115+1)*R115-ERP_i)*Q115*Ramure*Pc/MaxiM</f>
        <v>2.3123713498168642E-2</v>
      </c>
      <c r="Q115" s="305">
        <f t="shared" si="28"/>
        <v>0.8</v>
      </c>
      <c r="R115" s="177">
        <f t="shared" si="29"/>
        <v>0.44557094795535779</v>
      </c>
      <c r="S115" s="809">
        <f t="shared" si="30"/>
        <v>2</v>
      </c>
      <c r="T115" s="176">
        <f t="shared" si="31"/>
        <v>8</v>
      </c>
      <c r="U115" s="251">
        <f t="shared" si="32"/>
        <v>2.4455709479553578</v>
      </c>
      <c r="V115" s="383">
        <f t="shared" si="33"/>
        <v>44.069023688453917</v>
      </c>
      <c r="W115" s="402">
        <f t="shared" si="34"/>
        <v>35.942074024162459</v>
      </c>
      <c r="X115" s="157">
        <f t="shared" si="35"/>
        <v>46123</v>
      </c>
      <c r="Y115" s="385">
        <f t="shared" si="36"/>
        <v>32.834503374231801</v>
      </c>
      <c r="Z115" s="385">
        <f t="shared" si="37"/>
        <v>35.861672230969909</v>
      </c>
      <c r="AA115" s="386">
        <f t="shared" si="38"/>
        <v>41.914982433443797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0.14441876987747407</v>
      </c>
      <c r="AD115" s="231">
        <f>(INDEX(Models!$BJ115:$BT115,,AH115)*(1-AF115)+INDEX(Models!$BJ115:$BT115,,AH115+1)*AF115-ERP_i)*AE115*Ramure*Pc/MaxiM</f>
        <v>4.7094193127138639E-2</v>
      </c>
      <c r="AE115" s="305">
        <f t="shared" si="40"/>
        <v>0.8</v>
      </c>
      <c r="AF115" s="177">
        <f t="shared" si="41"/>
        <v>0.64628769512026141</v>
      </c>
      <c r="AG115" s="809">
        <f t="shared" si="49"/>
        <v>3</v>
      </c>
      <c r="AH115" s="176">
        <f t="shared" si="42"/>
        <v>9</v>
      </c>
      <c r="AI115" s="225">
        <f t="shared" si="43"/>
        <v>3.6462876951202614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IF(t&gt;Tmaj,'2025'!Wh/'2025'!Env_an*'2026'!Env_an,0.001*'[6]mon-tableau'!$B$147)</f>
        <v>30.001302323441006</v>
      </c>
      <c r="C116" s="839"/>
      <c r="D116" s="393">
        <f t="shared" si="25"/>
        <v>32.768045058262281</v>
      </c>
      <c r="E116" s="385">
        <f t="shared" si="47"/>
        <v>35.633936477292274</v>
      </c>
      <c r="F116" s="385">
        <f t="shared" si="26"/>
        <v>36.068939462857763</v>
      </c>
      <c r="G116" s="110">
        <f t="shared" si="48"/>
        <v>0.66914780388562678</v>
      </c>
      <c r="H116" s="414" t="b">
        <f>Wh_hp&gt;='2025'!Maxi_hp</f>
        <v>0</v>
      </c>
      <c r="I116" s="390">
        <f>IF(H116,Wh_hp,'2025'!Maxi_hp)</f>
        <v>55.077370568801221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8.4434171458869361E-2</v>
      </c>
      <c r="M116" s="843"/>
      <c r="N116" s="843"/>
      <c r="O116" s="48">
        <f>IF(t&lt;Tnet,'2025'!Resal+('2025'!Salim-'2025'!Resal)*(1-EXP(('2025'!Tnet-t)/('2025'!Tau_j))),Resal+(Salim-Resal)*(1-EXP((Tnet-t)/(Tau_j))))*Salcycl</f>
        <v>8.0425900204887046E-2</v>
      </c>
      <c r="P116" s="169">
        <f>(INDEX(Models!$BJ116:$BT116,,T116)*(1-R116)+INDEX(Models!$BJ116:$BT116,,T116+1)*R116-ERP_i)*Q116*Ramure*Pc/MaxiM</f>
        <v>2.2437734134627175E-2</v>
      </c>
      <c r="Q116" s="305">
        <f t="shared" si="28"/>
        <v>0.8</v>
      </c>
      <c r="R116" s="177">
        <f t="shared" si="29"/>
        <v>0.44738458099771217</v>
      </c>
      <c r="S116" s="809">
        <f t="shared" si="30"/>
        <v>2</v>
      </c>
      <c r="T116" s="176">
        <f t="shared" si="31"/>
        <v>8</v>
      </c>
      <c r="U116" s="251">
        <f t="shared" si="32"/>
        <v>2.4473845809977122</v>
      </c>
      <c r="V116" s="383">
        <f t="shared" si="33"/>
        <v>44.36413837446085</v>
      </c>
      <c r="W116" s="402">
        <f t="shared" si="34"/>
        <v>30.001302323441006</v>
      </c>
      <c r="X116" s="157">
        <f t="shared" si="35"/>
        <v>46124</v>
      </c>
      <c r="Y116" s="385">
        <f t="shared" si="36"/>
        <v>27.547876662625526</v>
      </c>
      <c r="Z116" s="385">
        <f t="shared" si="37"/>
        <v>30.088362632013599</v>
      </c>
      <c r="AA116" s="386">
        <f t="shared" si="38"/>
        <v>35.170759338588631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0.14450631155406221</v>
      </c>
      <c r="AD116" s="231">
        <f>(INDEX(Models!$BJ116:$BT116,,AH116)*(1-AF116)+INDEX(Models!$BJ116:$BT116,,AH116+1)*AF116-ERP_i)*AE116*Ramure*Pc/MaxiM</f>
        <v>4.6328709232095977E-2</v>
      </c>
      <c r="AE116" s="305">
        <f t="shared" si="40"/>
        <v>0.8</v>
      </c>
      <c r="AF116" s="177">
        <f t="shared" si="41"/>
        <v>0.64810132816261579</v>
      </c>
      <c r="AG116" s="809">
        <f t="shared" si="49"/>
        <v>3</v>
      </c>
      <c r="AH116" s="176">
        <f t="shared" si="42"/>
        <v>9</v>
      </c>
      <c r="AI116" s="225">
        <f t="shared" si="43"/>
        <v>3.6481013281626158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IF(t&gt;Tmaj,'2025'!Wh/'2025'!Env_an*'2026'!Env_an,0.001*'[6]mon-tableau'!$B$148)</f>
        <v>6.4850649881970979</v>
      </c>
      <c r="C117" s="839"/>
      <c r="D117" s="393">
        <f t="shared" si="25"/>
        <v>7.083291213461715</v>
      </c>
      <c r="E117" s="385">
        <f t="shared" si="47"/>
        <v>7.7041470526439895</v>
      </c>
      <c r="F117" s="385">
        <f t="shared" si="26"/>
        <v>7.7041470526439895</v>
      </c>
      <c r="G117" s="110">
        <f t="shared" si="48"/>
        <v>0.14206890941087086</v>
      </c>
      <c r="H117" s="414" t="b">
        <f>Wh_hp&gt;='2025'!Maxi_hp</f>
        <v>0</v>
      </c>
      <c r="I117" s="390">
        <f>IF(H117,Wh_hp,'2025'!Maxi_hp)</f>
        <v>54.846872874129055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8.4455969299651962E-2</v>
      </c>
      <c r="M117" s="843"/>
      <c r="N117" s="843"/>
      <c r="O117" s="48">
        <f>IF(t&lt;Tnet,'2025'!Resal+('2025'!Salim-'2025'!Resal)*(1-EXP(('2025'!Tnet-t)/('2025'!Tau_j))),Resal+(Salim-Resal)*(1-EXP((Tnet-t)/(Tau_j))))*Salcycl</f>
        <v>8.0587225936867748E-2</v>
      </c>
      <c r="P117" s="169">
        <f>(INDEX(Models!$BJ117:$BT117,,T117)*(1-R117)+INDEX(Models!$BJ117:$BT117,,T117+1)*R117-ERP_i)*Q117*Ramure*Pc/MaxiM</f>
        <v>2.1750985908417723E-2</v>
      </c>
      <c r="Q117" s="305">
        <f t="shared" si="28"/>
        <v>0.8</v>
      </c>
      <c r="R117" s="177">
        <f t="shared" si="29"/>
        <v>0.44926170971721779</v>
      </c>
      <c r="S117" s="809">
        <f t="shared" si="30"/>
        <v>2</v>
      </c>
      <c r="T117" s="176">
        <f t="shared" si="31"/>
        <v>8</v>
      </c>
      <c r="U117" s="251">
        <f t="shared" si="32"/>
        <v>2.4492617097172178</v>
      </c>
      <c r="V117" s="383">
        <f t="shared" si="33"/>
        <v>44.654445911712038</v>
      </c>
      <c r="W117" s="402">
        <f t="shared" si="34"/>
        <v>6.4850649881970979</v>
      </c>
      <c r="X117" s="157">
        <f t="shared" si="35"/>
        <v>46125</v>
      </c>
      <c r="Y117" s="385">
        <f t="shared" si="36"/>
        <v>6.0335824778866103</v>
      </c>
      <c r="Z117" s="385">
        <f t="shared" si="37"/>
        <v>6.5901609049552796</v>
      </c>
      <c r="AA117" s="386">
        <f t="shared" si="38"/>
        <v>7.7041470526439895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0.14459564959970492</v>
      </c>
      <c r="AD117" s="231">
        <f>(INDEX(Models!$BJ117:$BT117,,AH117)*(1-AF117)+INDEX(Models!$BJ117:$BT117,,AH117+1)*AF117-ERP_i)*AE117*Ramure*Pc/MaxiM</f>
        <v>4.5530041260976165E-2</v>
      </c>
      <c r="AE117" s="305">
        <f t="shared" si="40"/>
        <v>0.8</v>
      </c>
      <c r="AF117" s="177">
        <f t="shared" si="41"/>
        <v>0.64997845688212141</v>
      </c>
      <c r="AG117" s="809">
        <f t="shared" si="49"/>
        <v>3</v>
      </c>
      <c r="AH117" s="176">
        <f t="shared" si="42"/>
        <v>9</v>
      </c>
      <c r="AI117" s="225">
        <f t="shared" si="43"/>
        <v>3.6499784568821214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IF(t&gt;Tmaj,'2025'!Wh/'2025'!Env_an*'2026'!Env_an,0.001*'[6]mon-tableau'!$B$149)</f>
        <v>33.256192232574328</v>
      </c>
      <c r="C118" s="839"/>
      <c r="D118" s="393">
        <f t="shared" si="25"/>
        <v>36.324832997528283</v>
      </c>
      <c r="E118" s="385">
        <f t="shared" si="47"/>
        <v>39.515705572801608</v>
      </c>
      <c r="F118" s="385">
        <f t="shared" si="26"/>
        <v>40.045903381500402</v>
      </c>
      <c r="G118" s="110">
        <f t="shared" si="48"/>
        <v>0.73414537539931746</v>
      </c>
      <c r="H118" s="414" t="b">
        <f>Wh_hp&gt;='2025'!Maxi_hp</f>
        <v>0</v>
      </c>
      <c r="I118" s="390">
        <f>IF(H118,Wh_hp,'2025'!Maxi_hp)</f>
        <v>54.86097401033841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8.4477766633167001E-2</v>
      </c>
      <c r="M118" s="843"/>
      <c r="N118" s="843"/>
      <c r="O118" s="48">
        <f>IF(t&lt;Tnet,'2025'!Resal+('2025'!Salim-'2025'!Resal)*(1-EXP(('2025'!Tnet-t)/('2025'!Tau_j))),Resal+(Salim-Resal)*(1-EXP((Tnet-t)/(Tau_j))))*Salcycl</f>
        <v>8.0749477429793923E-2</v>
      </c>
      <c r="P118" s="169">
        <f>(INDEX(Models!$BJ118:$BT118,,T118)*(1-R118)+INDEX(Models!$BJ118:$BT118,,T118+1)*R118-ERP_i)*Q118*Ramure*Pc/MaxiM</f>
        <v>2.1062661884154808E-2</v>
      </c>
      <c r="Q118" s="305">
        <f t="shared" si="28"/>
        <v>0.8</v>
      </c>
      <c r="R118" s="177">
        <f t="shared" si="29"/>
        <v>0.45120405837269395</v>
      </c>
      <c r="S118" s="809">
        <f t="shared" si="30"/>
        <v>2</v>
      </c>
      <c r="T118" s="176">
        <f t="shared" si="31"/>
        <v>8</v>
      </c>
      <c r="U118" s="251">
        <f t="shared" si="32"/>
        <v>2.451204058372694</v>
      </c>
      <c r="V118" s="383">
        <f t="shared" si="33"/>
        <v>44.940065624381852</v>
      </c>
      <c r="W118" s="402">
        <f t="shared" si="34"/>
        <v>33.256192232574328</v>
      </c>
      <c r="X118" s="157">
        <f t="shared" si="35"/>
        <v>46126</v>
      </c>
      <c r="Y118" s="385">
        <f t="shared" si="36"/>
        <v>30.477219997357462</v>
      </c>
      <c r="Z118" s="385">
        <f t="shared" si="37"/>
        <v>33.289437314129977</v>
      </c>
      <c r="AA118" s="386">
        <f t="shared" si="38"/>
        <v>38.920757895935061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0.14468681716995105</v>
      </c>
      <c r="AD118" s="231">
        <f>(INDEX(Models!$BJ118:$BT118,,AH118)*(1-AF118)+INDEX(Models!$BJ118:$BT118,,AH118+1)*AF118-ERP_i)*AE118*Ramure*Pc/MaxiM</f>
        <v>4.4697579929850441E-2</v>
      </c>
      <c r="AE118" s="305">
        <f t="shared" si="40"/>
        <v>0.8</v>
      </c>
      <c r="AF118" s="177">
        <f t="shared" si="41"/>
        <v>0.65192080553759757</v>
      </c>
      <c r="AG118" s="809">
        <f t="shared" si="49"/>
        <v>3</v>
      </c>
      <c r="AH118" s="176">
        <f t="shared" si="42"/>
        <v>9</v>
      </c>
      <c r="AI118" s="225">
        <f t="shared" si="43"/>
        <v>3.6519208055375976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IF(t&gt;Tmaj,'2025'!Wh/'2025'!Env_an*'2026'!Env_an,0.001*'[6]mon-tableau'!$B$150)</f>
        <v>38.950897641253512</v>
      </c>
      <c r="C119" s="839"/>
      <c r="D119" s="393">
        <f t="shared" si="25"/>
        <v>42.546017551273181</v>
      </c>
      <c r="E119" s="385">
        <f t="shared" si="47"/>
        <v>46.291594343775827</v>
      </c>
      <c r="F119" s="385">
        <f t="shared" si="26"/>
        <v>47.060403227777826</v>
      </c>
      <c r="G119" s="110">
        <f t="shared" si="48"/>
        <v>0.85780957899853316</v>
      </c>
      <c r="H119" s="414" t="b">
        <f>Wh_hp&gt;='2025'!Maxi_hp</f>
        <v>0</v>
      </c>
      <c r="I119" s="390">
        <f>IF(H119,Wh_hp,'2025'!Maxi_hp)</f>
        <v>55.982036059106356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8.4499563459426247E-2</v>
      </c>
      <c r="M119" s="843"/>
      <c r="N119" s="843"/>
      <c r="O119" s="48">
        <f>IF(t&lt;Tnet,'2025'!Resal+('2025'!Salim-'2025'!Resal)*(1-EXP(('2025'!Tnet-t)/('2025'!Tau_j))),Resal+(Salim-Resal)*(1-EXP((Tnet-t)/(Tau_j))))*Salcycl</f>
        <v>8.0912676385410789E-2</v>
      </c>
      <c r="P119" s="169">
        <f>(INDEX(Models!$BJ119:$BT119,,T119)*(1-R119)+INDEX(Models!$BJ119:$BT119,,T119+1)*R119-ERP_i)*Q119*Ramure*Pc/MaxiM</f>
        <v>2.0371941183599317E-2</v>
      </c>
      <c r="Q119" s="305">
        <f t="shared" si="28"/>
        <v>0.8</v>
      </c>
      <c r="R119" s="177">
        <f t="shared" si="29"/>
        <v>0.45321335914413208</v>
      </c>
      <c r="S119" s="809">
        <f t="shared" si="30"/>
        <v>2</v>
      </c>
      <c r="T119" s="176">
        <f t="shared" si="31"/>
        <v>8</v>
      </c>
      <c r="U119" s="251">
        <f t="shared" si="32"/>
        <v>2.4532133591441321</v>
      </c>
      <c r="V119" s="383">
        <f t="shared" si="33"/>
        <v>45.221118517667634</v>
      </c>
      <c r="W119" s="402">
        <f t="shared" si="34"/>
        <v>38.950897641253512</v>
      </c>
      <c r="X119" s="157">
        <f t="shared" si="35"/>
        <v>46127</v>
      </c>
      <c r="Y119" s="385">
        <f t="shared" si="36"/>
        <v>35.551060059568087</v>
      </c>
      <c r="Z119" s="385">
        <f t="shared" si="37"/>
        <v>38.832379145449494</v>
      </c>
      <c r="AA119" s="386">
        <f t="shared" si="38"/>
        <v>45.406295592820918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0.14477984520743006</v>
      </c>
      <c r="AD119" s="231">
        <f>(INDEX(Models!$BJ119:$BT119,,AH119)*(1-AF119)+INDEX(Models!$BJ119:$BT119,,AH119+1)*AF119-ERP_i)*AE119*Ramure*Pc/MaxiM</f>
        <v>4.3830637433941409E-2</v>
      </c>
      <c r="AE119" s="305">
        <f t="shared" si="40"/>
        <v>0.8</v>
      </c>
      <c r="AF119" s="177">
        <f t="shared" si="41"/>
        <v>0.6539301063090357</v>
      </c>
      <c r="AG119" s="809">
        <f t="shared" si="49"/>
        <v>3</v>
      </c>
      <c r="AH119" s="176">
        <f t="shared" si="42"/>
        <v>9</v>
      </c>
      <c r="AI119" s="225">
        <f t="shared" si="43"/>
        <v>3.6539301063090357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IF(t&gt;Tmaj,'2025'!Wh/'2025'!Env_an*'2026'!Env_an,0.001*'[6]mon-tableau'!$B$151)</f>
        <v>40.654085380558897</v>
      </c>
      <c r="C120" s="839"/>
      <c r="D120" s="393">
        <f t="shared" si="25"/>
        <v>44.407464679591044</v>
      </c>
      <c r="E120" s="385">
        <f t="shared" si="47"/>
        <v>48.325547522891902</v>
      </c>
      <c r="F120" s="385">
        <f t="shared" si="26"/>
        <v>49.145554629297564</v>
      </c>
      <c r="G120" s="110">
        <f t="shared" si="48"/>
        <v>0.89082152646436574</v>
      </c>
      <c r="H120" s="414" t="b">
        <f>Wh_hp&gt;='2025'!Maxi_hp</f>
        <v>0</v>
      </c>
      <c r="I120" s="390">
        <f>IF(H120,Wh_hp,'2025'!Maxi_hp)</f>
        <v>49.294140738939028</v>
      </c>
      <c r="J120" s="85">
        <f>IF(H120,An,'2025'!An_max)</f>
        <v>2022</v>
      </c>
      <c r="K120" s="197">
        <f t="shared" si="27"/>
        <v>46128</v>
      </c>
      <c r="L120" s="147">
        <f>IF(t&lt;Tvie,1-EXP((T0-t)*PertePVj)+'2025'!Pspv,1-EXP((T0-t)*PertePVj)+Pspv)</f>
        <v>8.4521359778441579E-2</v>
      </c>
      <c r="M120" s="843"/>
      <c r="N120" s="843"/>
      <c r="O120" s="48">
        <f>IF(t&lt;Tnet,'2025'!Resal+('2025'!Salim-'2025'!Resal)*(1-EXP(('2025'!Tnet-t)/('2025'!Tau_j))),Resal+(Salim-Resal)*(1-EXP((Tnet-t)/(Tau_j))))*Salcycl</f>
        <v>8.1076843287597594E-2</v>
      </c>
      <c r="P120" s="169">
        <f>(INDEX(Models!$BJ120:$BT120,,T120)*(1-R120)+INDEX(Models!$BJ120:$BT120,,T120+1)*R120-ERP_i)*Q120*Ramure*Pc/MaxiM</f>
        <v>1.9677987569199928E-2</v>
      </c>
      <c r="Q120" s="305">
        <f t="shared" si="28"/>
        <v>0.8</v>
      </c>
      <c r="R120" s="177">
        <f t="shared" si="29"/>
        <v>0.45529134871250276</v>
      </c>
      <c r="S120" s="809">
        <f t="shared" si="30"/>
        <v>2</v>
      </c>
      <c r="T120" s="176">
        <f t="shared" si="31"/>
        <v>8</v>
      </c>
      <c r="U120" s="251">
        <f t="shared" si="32"/>
        <v>2.4552913487125028</v>
      </c>
      <c r="V120" s="383">
        <f t="shared" si="33"/>
        <v>45.497727342310426</v>
      </c>
      <c r="W120" s="402">
        <f t="shared" si="34"/>
        <v>40.654085380558897</v>
      </c>
      <c r="X120" s="157">
        <f t="shared" si="35"/>
        <v>46128</v>
      </c>
      <c r="Y120" s="385">
        <f t="shared" si="36"/>
        <v>37.07311721781808</v>
      </c>
      <c r="Z120" s="385">
        <f t="shared" si="37"/>
        <v>40.495884435759066</v>
      </c>
      <c r="AA120" s="386">
        <f t="shared" si="38"/>
        <v>47.356670873899354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0.14487476234148908</v>
      </c>
      <c r="AD120" s="231">
        <f>(INDEX(Models!$BJ120:$BT120,,AH120)*(1-AF120)+INDEX(Models!$BJ120:$BT120,,AH120+1)*AF120-ERP_i)*AE120*Ramure*Pc/MaxiM</f>
        <v>4.2928447846956867E-2</v>
      </c>
      <c r="AE120" s="305">
        <f t="shared" si="40"/>
        <v>0.8</v>
      </c>
      <c r="AF120" s="177">
        <f t="shared" si="41"/>
        <v>0.65600809587740638</v>
      </c>
      <c r="AG120" s="809">
        <f t="shared" si="49"/>
        <v>3</v>
      </c>
      <c r="AH120" s="176">
        <f t="shared" si="42"/>
        <v>9</v>
      </c>
      <c r="AI120" s="225">
        <f t="shared" si="43"/>
        <v>3.6560080958774064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IF(t&gt;Tmaj,'2025'!Wh/'2025'!Env_an*'2026'!Env_an,0.001*'[6]mon-tableau'!$B$152)</f>
        <v>44.293546381382484</v>
      </c>
      <c r="C121" s="839"/>
      <c r="D121" s="393">
        <f t="shared" si="25"/>
        <v>48.384090033146201</v>
      </c>
      <c r="E121" s="385">
        <f t="shared" si="47"/>
        <v>52.662496427563653</v>
      </c>
      <c r="F121" s="385">
        <f t="shared" si="26"/>
        <v>53.633559370140581</v>
      </c>
      <c r="G121" s="110">
        <f t="shared" si="48"/>
        <v>0.96688454650051248</v>
      </c>
      <c r="H121" s="414" t="b">
        <f>Wh_hp&gt;='2025'!Maxi_hp</f>
        <v>0</v>
      </c>
      <c r="I121" s="390">
        <f>IF(H121,Wh_hp,'2025'!Maxi_hp)</f>
        <v>53.680903826965675</v>
      </c>
      <c r="J121" s="85">
        <f>IF(H121,An,'2025'!An_max)</f>
        <v>2022</v>
      </c>
      <c r="K121" s="197">
        <f t="shared" si="27"/>
        <v>46129</v>
      </c>
      <c r="L121" s="147">
        <f>IF(t&lt;Tvie,1-EXP((T0-t)*PertePVj)+'2025'!Pspv,1-EXP((T0-t)*PertePVj)+Pspv)</f>
        <v>8.4543155590224656E-2</v>
      </c>
      <c r="M121" s="843"/>
      <c r="N121" s="843"/>
      <c r="O121" s="48">
        <f>IF(t&lt;Tnet,'2025'!Resal+('2025'!Salim-'2025'!Resal)*(1-EXP(('2025'!Tnet-t)/('2025'!Tau_j))),Resal+(Salim-Resal)*(1-EXP((Tnet-t)/(Tau_j))))*Salcycl</f>
        <v>8.1241997334902796E-2</v>
      </c>
      <c r="P121" s="169">
        <f>(INDEX(Models!$BJ121:$BT121,,T121)*(1-R121)+INDEX(Models!$BJ121:$BT121,,T121+1)*R121-ERP_i)*Q121*Ramure*Pc/MaxiM</f>
        <v>1.8980043126169733E-2</v>
      </c>
      <c r="Q121" s="305">
        <f t="shared" si="28"/>
        <v>0.8</v>
      </c>
      <c r="R121" s="177">
        <f t="shared" si="29"/>
        <v>0.45743976455411506</v>
      </c>
      <c r="S121" s="809">
        <f t="shared" si="30"/>
        <v>2</v>
      </c>
      <c r="T121" s="176">
        <f t="shared" si="31"/>
        <v>8</v>
      </c>
      <c r="U121" s="251">
        <f t="shared" si="32"/>
        <v>2.4574397645541151</v>
      </c>
      <c r="V121" s="383">
        <f t="shared" si="33"/>
        <v>45.769783057442382</v>
      </c>
      <c r="W121" s="402">
        <f t="shared" si="34"/>
        <v>44.293546381382484</v>
      </c>
      <c r="X121" s="157">
        <f t="shared" si="35"/>
        <v>46129</v>
      </c>
      <c r="Y121" s="385">
        <f t="shared" si="36"/>
        <v>40.299635076770763</v>
      </c>
      <c r="Z121" s="385">
        <f t="shared" si="37"/>
        <v>44.021337895783873</v>
      </c>
      <c r="AA121" s="386">
        <f t="shared" si="38"/>
        <v>51.485234440463636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0.14497159478434246</v>
      </c>
      <c r="AD121" s="231">
        <f>(INDEX(Models!$BJ121:$BT121,,AH121)*(1-AF121)+INDEX(Models!$BJ121:$BT121,,AH121+1)*AF121-ERP_i)*AE121*Ramure*Pc/MaxiM</f>
        <v>4.1990377787548744E-2</v>
      </c>
      <c r="AE121" s="305">
        <f t="shared" si="40"/>
        <v>0.8</v>
      </c>
      <c r="AF121" s="177">
        <f t="shared" si="41"/>
        <v>0.65815651171901868</v>
      </c>
      <c r="AG121" s="809">
        <f t="shared" si="49"/>
        <v>3</v>
      </c>
      <c r="AH121" s="176">
        <f t="shared" si="42"/>
        <v>9</v>
      </c>
      <c r="AI121" s="225">
        <f t="shared" si="43"/>
        <v>3.6581565117190187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IF(t&gt;Tmaj,'2025'!Wh/'2025'!Env_an*'2026'!Env_an,0.001*'[6]mon-tableau'!$B$153)</f>
        <v>34.659747706150682</v>
      </c>
      <c r="C122" s="839"/>
      <c r="D122" s="393">
        <f t="shared" si="25"/>
        <v>37.861503926497761</v>
      </c>
      <c r="E122" s="385">
        <f t="shared" si="47"/>
        <v>41.216895391647419</v>
      </c>
      <c r="F122" s="385">
        <f t="shared" si="26"/>
        <v>41.710459452684773</v>
      </c>
      <c r="G122" s="110">
        <f t="shared" si="48"/>
        <v>0.7479555640047757</v>
      </c>
      <c r="H122" s="414" t="b">
        <f>Wh_hp&gt;='2025'!Maxi_hp</f>
        <v>0</v>
      </c>
      <c r="I122" s="390">
        <f>IF(H122,Wh_hp,'2025'!Maxi_hp)</f>
        <v>41.982059519389949</v>
      </c>
      <c r="J122" s="85">
        <f>IF(H122,An,'2025'!An_max)</f>
        <v>2022</v>
      </c>
      <c r="K122" s="197">
        <f t="shared" si="27"/>
        <v>46130</v>
      </c>
      <c r="L122" s="147">
        <f>IF(t&lt;Tvie,1-EXP((T0-t)*PertePVj)+'2025'!Pspv,1-EXP((T0-t)*PertePVj)+Pspv)</f>
        <v>8.4564950894787355E-2</v>
      </c>
      <c r="M122" s="843"/>
      <c r="N122" s="843"/>
      <c r="O122" s="48">
        <f>IF(t&lt;Tnet,'2025'!Resal+('2025'!Salim-'2025'!Resal)*(1-EXP(('2025'!Tnet-t)/('2025'!Tau_j))),Resal+(Salim-Resal)*(1-EXP((Tnet-t)/(Tau_j))))*Salcycl</f>
        <v>8.1408156370497142E-2</v>
      </c>
      <c r="P122" s="169">
        <f>(INDEX(Models!$BJ122:$BT122,,T122)*(1-R122)+INDEX(Models!$BJ122:$BT122,,T122+1)*R122-ERP_i)*Q122*Ramure*Pc/MaxiM</f>
        <v>1.8290184992697175E-2</v>
      </c>
      <c r="Q122" s="305">
        <f t="shared" si="28"/>
        <v>0.8</v>
      </c>
      <c r="R122" s="177">
        <f t="shared" si="29"/>
        <v>0.45966034094138264</v>
      </c>
      <c r="S122" s="809">
        <f t="shared" si="30"/>
        <v>2</v>
      </c>
      <c r="T122" s="176">
        <f t="shared" si="31"/>
        <v>8</v>
      </c>
      <c r="U122" s="251">
        <f t="shared" si="32"/>
        <v>2.4596603409413826</v>
      </c>
      <c r="V122" s="383">
        <f t="shared" si="33"/>
        <v>46.036514031987807</v>
      </c>
      <c r="W122" s="402">
        <f t="shared" si="34"/>
        <v>34.659747706150682</v>
      </c>
      <c r="X122" s="157">
        <f t="shared" si="35"/>
        <v>46130</v>
      </c>
      <c r="Y122" s="385">
        <f t="shared" si="36"/>
        <v>31.77786981804271</v>
      </c>
      <c r="Z122" s="385">
        <f t="shared" si="37"/>
        <v>34.713407411158038</v>
      </c>
      <c r="AA122" s="386">
        <f t="shared" si="38"/>
        <v>40.603818185377733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0.14507036622336555</v>
      </c>
      <c r="AD122" s="231">
        <f>(INDEX(Models!$BJ122:$BT122,,AH122)*(1-AF122)+INDEX(Models!$BJ122:$BT122,,AH122+1)*AF122-ERP_i)*AE122*Ramure*Pc/MaxiM</f>
        <v>4.1009212577304409E-2</v>
      </c>
      <c r="AE122" s="305">
        <f t="shared" si="40"/>
        <v>0.8</v>
      </c>
      <c r="AF122" s="177">
        <f t="shared" si="41"/>
        <v>0.66037708810628626</v>
      </c>
      <c r="AG122" s="809">
        <f t="shared" si="49"/>
        <v>3</v>
      </c>
      <c r="AH122" s="176">
        <f t="shared" si="42"/>
        <v>9</v>
      </c>
      <c r="AI122" s="225">
        <f t="shared" si="43"/>
        <v>3.6603770881062863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IF(t&gt;Tmaj,'2025'!Wh/'2025'!Env_an*'2026'!Env_an,0.001*'[6]mon-tableau'!$B$154)</f>
        <v>7.9677483753437244</v>
      </c>
      <c r="C123" s="839"/>
      <c r="D123" s="393">
        <f t="shared" si="25"/>
        <v>8.7039906160940586</v>
      </c>
      <c r="E123" s="385">
        <f t="shared" si="47"/>
        <v>9.4770871960867442</v>
      </c>
      <c r="F123" s="385">
        <f t="shared" si="26"/>
        <v>9.4770871960867442</v>
      </c>
      <c r="G123" s="110">
        <f t="shared" si="48"/>
        <v>0.16906702350618333</v>
      </c>
      <c r="H123" s="414" t="b">
        <f>Wh_hp&gt;='2025'!Maxi_hp</f>
        <v>0</v>
      </c>
      <c r="I123" s="390">
        <f>IF(H123,Wh_hp,'2025'!Maxi_hp)</f>
        <v>56.249835170849416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8.4586745692141446E-2</v>
      </c>
      <c r="M123" s="843"/>
      <c r="N123" s="843"/>
      <c r="O123" s="48">
        <f>IF(t&lt;Tnet,'2025'!Resal+('2025'!Salim-'2025'!Resal)*(1-EXP(('2025'!Tnet-t)/('2025'!Tau_j))),Resal+(Salim-Resal)*(1-EXP((Tnet-t)/(Tau_j))))*Salcycl</f>
        <v>8.1575336809384877E-2</v>
      </c>
      <c r="P123" s="169">
        <f>(INDEX(Models!$BJ123:$BT123,,T123)*(1-R123)+INDEX(Models!$BJ123:$BT123,,T123+1)*R123-ERP_i)*Q123*Ramure*Pc/MaxiM</f>
        <v>1.7622024710993049E-2</v>
      </c>
      <c r="Q123" s="305">
        <f t="shared" si="28"/>
        <v>0.8</v>
      </c>
      <c r="R123" s="177">
        <f t="shared" si="29"/>
        <v>0.46195480464294647</v>
      </c>
      <c r="S123" s="809">
        <f t="shared" si="30"/>
        <v>2</v>
      </c>
      <c r="T123" s="176">
        <f t="shared" si="31"/>
        <v>8</v>
      </c>
      <c r="U123" s="251">
        <f t="shared" si="32"/>
        <v>2.4619548046429465</v>
      </c>
      <c r="V123" s="383">
        <f t="shared" si="33"/>
        <v>46.297263382626312</v>
      </c>
      <c r="W123" s="402">
        <f t="shared" si="34"/>
        <v>7.9677483753437244</v>
      </c>
      <c r="X123" s="157">
        <f t="shared" si="35"/>
        <v>46131</v>
      </c>
      <c r="Y123" s="385">
        <f t="shared" si="36"/>
        <v>7.4160264531247035</v>
      </c>
      <c r="Z123" s="385">
        <f t="shared" si="37"/>
        <v>8.1012880447442726</v>
      </c>
      <c r="AA123" s="386">
        <f t="shared" si="38"/>
        <v>9.4770871960867442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0.14517109770927969</v>
      </c>
      <c r="AD123" s="231">
        <f>(INDEX(Models!$BJ123:$BT123,,AH123)*(1-AF123)+INDEX(Models!$BJ123:$BT123,,AH123+1)*AF123-ERP_i)*AE123*Ramure*Pc/MaxiM</f>
        <v>4.0015587564578466E-2</v>
      </c>
      <c r="AE123" s="305">
        <f t="shared" si="40"/>
        <v>0.8</v>
      </c>
      <c r="AF123" s="177">
        <f t="shared" si="41"/>
        <v>0.66267155180785009</v>
      </c>
      <c r="AG123" s="809">
        <f t="shared" si="49"/>
        <v>3</v>
      </c>
      <c r="AH123" s="176">
        <f t="shared" si="42"/>
        <v>9</v>
      </c>
      <c r="AI123" s="225">
        <f t="shared" si="43"/>
        <v>3.6626715518078501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IF(t&gt;Tmaj,'2025'!Wh/'2025'!Env_an*'2026'!Env_an,0.001*'[6]mon-tableau'!$B$155)</f>
        <v>9.2776679521142302</v>
      </c>
      <c r="C124" s="839"/>
      <c r="D124" s="393">
        <f t="shared" si="25"/>
        <v>10.135191726537219</v>
      </c>
      <c r="E124" s="385">
        <f t="shared" si="47"/>
        <v>11.037430519394855</v>
      </c>
      <c r="F124" s="385">
        <f t="shared" si="26"/>
        <v>11.037430519394855</v>
      </c>
      <c r="G124" s="110">
        <f t="shared" si="48"/>
        <v>0.19591366643885891</v>
      </c>
      <c r="H124" s="414" t="b">
        <f>Wh_hp&gt;='2025'!Maxi_hp</f>
        <v>0</v>
      </c>
      <c r="I124" s="390">
        <f>IF(H124,Wh_hp,'2025'!Maxi_hp)</f>
        <v>47.97247568092412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8.4608539982298808E-2</v>
      </c>
      <c r="M124" s="843"/>
      <c r="N124" s="843"/>
      <c r="O124" s="48">
        <f>IF(t&lt;Tnet,'2025'!Resal+('2025'!Salim-'2025'!Resal)*(1-EXP(('2025'!Tnet-t)/('2025'!Tau_j))),Resal+(Salim-Resal)*(1-EXP((Tnet-t)/(Tau_j))))*Salcycl</f>
        <v>8.1743553562781859E-2</v>
      </c>
      <c r="P124" s="169">
        <f>(INDEX(Models!$BJ124:$BT124,,T124)*(1-R124)+INDEX(Models!$BJ124:$BT124,,T124+1)*R124-ERP_i)*Q124*Ramure*Pc/MaxiM</f>
        <v>1.6974674924649005E-2</v>
      </c>
      <c r="Q124" s="305">
        <f t="shared" si="28"/>
        <v>0.8</v>
      </c>
      <c r="R124" s="177">
        <f t="shared" si="29"/>
        <v>0.4643248703173497</v>
      </c>
      <c r="S124" s="809">
        <f t="shared" si="30"/>
        <v>2</v>
      </c>
      <c r="T124" s="176">
        <f t="shared" si="31"/>
        <v>8</v>
      </c>
      <c r="U124" s="251">
        <f t="shared" si="32"/>
        <v>2.4643248703173497</v>
      </c>
      <c r="V124" s="383">
        <f t="shared" si="33"/>
        <v>46.552048768963751</v>
      </c>
      <c r="W124" s="402">
        <f t="shared" si="34"/>
        <v>9.2776679521142302</v>
      </c>
      <c r="X124" s="157">
        <f t="shared" si="35"/>
        <v>46132</v>
      </c>
      <c r="Y124" s="385">
        <f t="shared" si="36"/>
        <v>8.6357856069350394</v>
      </c>
      <c r="Z124" s="385">
        <f t="shared" si="37"/>
        <v>9.4339809623830728</v>
      </c>
      <c r="AA124" s="386">
        <f t="shared" si="38"/>
        <v>11.037430519394855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0.14527380754009891</v>
      </c>
      <c r="AD124" s="231">
        <f>(INDEX(Models!$BJ124:$BT124,,AH124)*(1-AF124)+INDEX(Models!$BJ124:$BT124,,AH124+1)*AF124-ERP_i)*AE124*Ramure*Pc/MaxiM</f>
        <v>3.9008305116287591E-2</v>
      </c>
      <c r="AE124" s="305">
        <f t="shared" si="40"/>
        <v>0.8</v>
      </c>
      <c r="AF124" s="177">
        <f t="shared" si="41"/>
        <v>0.66504161748225332</v>
      </c>
      <c r="AG124" s="809">
        <f t="shared" si="49"/>
        <v>3</v>
      </c>
      <c r="AH124" s="176">
        <f t="shared" si="42"/>
        <v>9</v>
      </c>
      <c r="AI124" s="225">
        <f t="shared" si="43"/>
        <v>3.6650416174822533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IF(t&gt;Tmaj,'2025'!Wh/'2025'!Env_an*'2026'!Env_an,0.001*'[6]mon-tableau'!$B$156)</f>
        <v>8.7470230965328675</v>
      </c>
      <c r="C125" s="839"/>
      <c r="D125" s="393">
        <f t="shared" si="25"/>
        <v>9.5557275046187318</v>
      </c>
      <c r="E125" s="385">
        <f t="shared" si="47"/>
        <v>10.408300771827234</v>
      </c>
      <c r="F125" s="385">
        <f t="shared" si="26"/>
        <v>10.408300771827234</v>
      </c>
      <c r="G125" s="110">
        <f t="shared" si="48"/>
        <v>0.18384337220906702</v>
      </c>
      <c r="H125" s="414" t="b">
        <f>Wh_hp&gt;='2025'!Maxi_hp</f>
        <v>0</v>
      </c>
      <c r="I125" s="390">
        <f>IF(H125,Wh_hp,'2025'!Maxi_hp)</f>
        <v>54.505282357520926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8.4630333765271099E-2</v>
      </c>
      <c r="M125" s="843"/>
      <c r="N125" s="843"/>
      <c r="O125" s="48">
        <f>IF(t&lt;Tnet,'2025'!Resal+('2025'!Salim-'2025'!Resal)*(1-EXP(('2025'!Tnet-t)/('2025'!Tau_j))),Resal+(Salim-Resal)*(1-EXP((Tnet-t)/(Tau_j))))*Salcycl</f>
        <v>8.1912819959643557E-2</v>
      </c>
      <c r="P125" s="169">
        <f>(INDEX(Models!$BJ125:$BT125,,T125)*(1-R125)+INDEX(Models!$BJ125:$BT125,,T125+1)*R125-ERP_i)*Q125*Ramure*Pc/MaxiM</f>
        <v>1.6347317035339697E-2</v>
      </c>
      <c r="Q125" s="305">
        <f t="shared" si="28"/>
        <v>0.8</v>
      </c>
      <c r="R125" s="177">
        <f t="shared" si="29"/>
        <v>0.46677223559591763</v>
      </c>
      <c r="S125" s="809">
        <f t="shared" si="30"/>
        <v>2</v>
      </c>
      <c r="T125" s="176">
        <f t="shared" si="31"/>
        <v>8</v>
      </c>
      <c r="U125" s="251">
        <f t="shared" si="32"/>
        <v>2.4667722355959176</v>
      </c>
      <c r="V125" s="383">
        <f t="shared" si="33"/>
        <v>46.800886175400898</v>
      </c>
      <c r="W125" s="402">
        <f t="shared" si="34"/>
        <v>8.7470230965328675</v>
      </c>
      <c r="X125" s="157">
        <f t="shared" si="35"/>
        <v>46133</v>
      </c>
      <c r="Y125" s="385">
        <f t="shared" si="36"/>
        <v>8.142357353814436</v>
      </c>
      <c r="Z125" s="385">
        <f t="shared" si="37"/>
        <v>8.8951575021129052</v>
      </c>
      <c r="AA125" s="386">
        <f t="shared" si="38"/>
        <v>10.408300771827234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0.14537851114084274</v>
      </c>
      <c r="AD125" s="231">
        <f>(INDEX(Models!$BJ125:$BT125,,AH125)*(1-AF125)+INDEX(Models!$BJ125:$BT125,,AH125+1)*AF125-ERP_i)*AE125*Ramure*Pc/MaxiM</f>
        <v>3.7986224680474003E-2</v>
      </c>
      <c r="AE125" s="305">
        <f t="shared" si="40"/>
        <v>0.8</v>
      </c>
      <c r="AF125" s="177">
        <f t="shared" si="41"/>
        <v>0.6674889827608208</v>
      </c>
      <c r="AG125" s="809">
        <f t="shared" si="49"/>
        <v>3</v>
      </c>
      <c r="AH125" s="176">
        <f t="shared" si="42"/>
        <v>9</v>
      </c>
      <c r="AI125" s="225">
        <f t="shared" si="43"/>
        <v>3.6674889827608208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IF(t&gt;Tmaj,'2025'!Wh/'2025'!Env_an*'2026'!Env_an,0.001*'[6]mon-tableau'!$B$157)</f>
        <v>25.104752114983896</v>
      </c>
      <c r="C126" s="839"/>
      <c r="D126" s="393">
        <f t="shared" si="25"/>
        <v>27.426460318120288</v>
      </c>
      <c r="E126" s="385">
        <f t="shared" si="47"/>
        <v>29.879024715980435</v>
      </c>
      <c r="F126" s="385">
        <f t="shared" si="26"/>
        <v>30.036820819540225</v>
      </c>
      <c r="G126" s="110">
        <f t="shared" si="48"/>
        <v>0.52802121412503245</v>
      </c>
      <c r="H126" s="414" t="b">
        <f>Wh_hp&gt;='2025'!Maxi_hp</f>
        <v>0</v>
      </c>
      <c r="I126" s="390">
        <f>IF(H126,Wh_hp,'2025'!Maxi_hp)</f>
        <v>57.608125541806146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8.4652127041070308E-2</v>
      </c>
      <c r="M126" s="843"/>
      <c r="N126" s="843"/>
      <c r="O126" s="48">
        <f>IF(t&lt;Tnet,'2025'!Resal+('2025'!Salim-'2025'!Resal)*(1-EXP(('2025'!Tnet-t)/('2025'!Tau_j))),Resal+(Salim-Resal)*(1-EXP((Tnet-t)/(Tau_j))))*Salcycl</f>
        <v>8.2083147665406364E-2</v>
      </c>
      <c r="P126" s="169">
        <f>(INDEX(Models!$BJ126:$BT126,,T126)*(1-R126)+INDEX(Models!$BJ126:$BT126,,T126+1)*R126-ERP_i)*Q126*Ramure*Pc/MaxiM</f>
        <v>1.5739146997798343E-2</v>
      </c>
      <c r="Q126" s="305">
        <f t="shared" si="28"/>
        <v>0.8</v>
      </c>
      <c r="R126" s="177">
        <f t="shared" si="29"/>
        <v>0.46929857585217638</v>
      </c>
      <c r="S126" s="809">
        <f t="shared" si="30"/>
        <v>2</v>
      </c>
      <c r="T126" s="176">
        <f t="shared" si="31"/>
        <v>8</v>
      </c>
      <c r="U126" s="251">
        <f t="shared" si="32"/>
        <v>2.4692985758521764</v>
      </c>
      <c r="V126" s="383">
        <f t="shared" si="33"/>
        <v>47.043792386147963</v>
      </c>
      <c r="W126" s="402">
        <f t="shared" si="34"/>
        <v>25.104752114983896</v>
      </c>
      <c r="X126" s="157">
        <f t="shared" si="35"/>
        <v>46134</v>
      </c>
      <c r="Y126" s="385">
        <f t="shared" si="36"/>
        <v>23.204405664597179</v>
      </c>
      <c r="Z126" s="385">
        <f t="shared" si="37"/>
        <v>25.350368258995587</v>
      </c>
      <c r="AA126" s="386">
        <f t="shared" si="38"/>
        <v>29.666389488145651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0.14548522093916069</v>
      </c>
      <c r="AD126" s="231">
        <f>(INDEX(Models!$BJ126:$BT126,,AH126)*(1-AF126)+INDEX(Models!$BJ126:$BT126,,AH126+1)*AF126-ERP_i)*AE126*Ramure*Pc/MaxiM</f>
        <v>3.6948144129555757E-2</v>
      </c>
      <c r="AE126" s="305">
        <f t="shared" si="40"/>
        <v>0.8</v>
      </c>
      <c r="AF126" s="177">
        <f t="shared" si="41"/>
        <v>0.67001532301708</v>
      </c>
      <c r="AG126" s="809">
        <f t="shared" si="49"/>
        <v>3</v>
      </c>
      <c r="AH126" s="176">
        <f t="shared" si="42"/>
        <v>9</v>
      </c>
      <c r="AI126" s="225">
        <f t="shared" si="43"/>
        <v>3.67001532301708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IF(t&gt;Tmaj,'2025'!Wh/'2025'!Env_an*'2026'!Env_an,0.001*'[6]mon-tableau'!$B$158)</f>
        <v>8.6087331093421486</v>
      </c>
      <c r="C127" s="839"/>
      <c r="D127" s="393">
        <f t="shared" si="25"/>
        <v>9.4050997733533777</v>
      </c>
      <c r="E127" s="385">
        <f t="shared" si="47"/>
        <v>10.248048343350995</v>
      </c>
      <c r="F127" s="385">
        <f t="shared" si="26"/>
        <v>10.248048343350995</v>
      </c>
      <c r="G127" s="110">
        <f t="shared" si="48"/>
        <v>0.17931843120357294</v>
      </c>
      <c r="H127" s="414" t="b">
        <f>Wh_hp&gt;='2025'!Maxi_hp</f>
        <v>0</v>
      </c>
      <c r="I127" s="390">
        <f>IF(H127,Wh_hp,'2025'!Maxi_hp)</f>
        <v>57.772460785382194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8.4673919809708204E-2</v>
      </c>
      <c r="M127" s="843"/>
      <c r="N127" s="843"/>
      <c r="O127" s="48">
        <f>IF(t&lt;Tnet,'2025'!Resal+('2025'!Salim-'2025'!Resal)*(1-EXP(('2025'!Tnet-t)/('2025'!Tau_j))),Resal+(Salim-Resal)*(1-EXP((Tnet-t)/(Tau_j))))*Salcycl</f>
        <v>8.2254546598087425E-2</v>
      </c>
      <c r="P127" s="169">
        <f>(INDEX(Models!$BJ127:$BT127,,T127)*(1-R127)+INDEX(Models!$BJ127:$BT127,,T127+1)*R127-ERP_i)*Q127*Ramure*Pc/MaxiM</f>
        <v>1.5149330155322561E-2</v>
      </c>
      <c r="Q127" s="305">
        <f t="shared" si="28"/>
        <v>0.8</v>
      </c>
      <c r="R127" s="177">
        <f t="shared" si="29"/>
        <v>0.47190553865701634</v>
      </c>
      <c r="S127" s="809">
        <f t="shared" si="30"/>
        <v>2</v>
      </c>
      <c r="T127" s="176">
        <f t="shared" si="31"/>
        <v>8</v>
      </c>
      <c r="U127" s="251">
        <f t="shared" si="32"/>
        <v>2.4719055386570163</v>
      </c>
      <c r="V127" s="383">
        <f t="shared" si="33"/>
        <v>47.280787102272711</v>
      </c>
      <c r="W127" s="402">
        <f t="shared" si="34"/>
        <v>8.6087331093421486</v>
      </c>
      <c r="X127" s="157">
        <f t="shared" si="35"/>
        <v>46135</v>
      </c>
      <c r="Y127" s="385">
        <f t="shared" si="36"/>
        <v>8.0145901639562567</v>
      </c>
      <c r="Z127" s="385">
        <f t="shared" si="37"/>
        <v>8.7559945438133511</v>
      </c>
      <c r="AA127" s="386">
        <f t="shared" si="38"/>
        <v>10.248048343350995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0.14559394623715824</v>
      </c>
      <c r="AD127" s="231">
        <f>(INDEX(Models!$BJ127:$BT127,,AH127)*(1-AF127)+INDEX(Models!$BJ127:$BT127,,AH127+1)*AF127-ERP_i)*AE127*Ramure*Pc/MaxiM</f>
        <v>3.5892694187284017E-2</v>
      </c>
      <c r="AE127" s="305">
        <f t="shared" si="40"/>
        <v>0.8</v>
      </c>
      <c r="AF127" s="177">
        <f t="shared" si="41"/>
        <v>0.67262228582191996</v>
      </c>
      <c r="AG127" s="809">
        <f t="shared" si="49"/>
        <v>3</v>
      </c>
      <c r="AH127" s="176">
        <f t="shared" si="42"/>
        <v>9</v>
      </c>
      <c r="AI127" s="225">
        <f t="shared" si="43"/>
        <v>3.67262228582192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IF(t&gt;Tmaj,'2025'!Wh/'2025'!Env_an*'2026'!Env_an,0.001*'[6]mon-tableau'!$B$159)</f>
        <v>27.455688012490313</v>
      </c>
      <c r="C128" s="839"/>
      <c r="D128" s="393">
        <f t="shared" si="25"/>
        <v>29.996241003763263</v>
      </c>
      <c r="E128" s="385">
        <f t="shared" si="47"/>
        <v>32.690850554526534</v>
      </c>
      <c r="F128" s="385">
        <f t="shared" si="26"/>
        <v>32.881321354438654</v>
      </c>
      <c r="G128" s="110">
        <f t="shared" si="48"/>
        <v>0.57276402579786756</v>
      </c>
      <c r="H128" s="414" t="b">
        <f>Wh_hp&gt;='2025'!Maxi_hp</f>
        <v>0</v>
      </c>
      <c r="I128" s="390">
        <f>IF(H128,Wh_hp,'2025'!Maxi_hp)</f>
        <v>52.820731246679635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8.4695712071196444E-2</v>
      </c>
      <c r="M128" s="843"/>
      <c r="N128" s="843"/>
      <c r="O128" s="48">
        <f>IF(t&lt;Tnet,'2025'!Resal+('2025'!Salim-'2025'!Resal)*(1-EXP(('2025'!Tnet-t)/('2025'!Tau_j))),Resal+(Salim-Resal)*(1-EXP((Tnet-t)/(Tau_j))))*Salcycl</f>
        <v>8.242702484197556E-2</v>
      </c>
      <c r="P128" s="169">
        <f>(INDEX(Models!$BJ128:$BT128,,T128)*(1-R128)+INDEX(Models!$BJ128:$BT128,,T128+1)*R128-ERP_i)*Q128*Ramure*Pc/MaxiM</f>
        <v>1.4592236955279761E-2</v>
      </c>
      <c r="Q128" s="305">
        <f t="shared" si="28"/>
        <v>0.8</v>
      </c>
      <c r="R128" s="177">
        <f t="shared" si="29"/>
        <v>0.47459473792091433</v>
      </c>
      <c r="S128" s="809">
        <f t="shared" si="30"/>
        <v>2</v>
      </c>
      <c r="T128" s="176">
        <f t="shared" si="31"/>
        <v>8</v>
      </c>
      <c r="U128" s="251">
        <f t="shared" si="32"/>
        <v>2.4745947379209143</v>
      </c>
      <c r="V128" s="383">
        <f t="shared" si="33"/>
        <v>47.511158346722659</v>
      </c>
      <c r="W128" s="402">
        <f t="shared" si="34"/>
        <v>27.455688012490313</v>
      </c>
      <c r="X128" s="157">
        <f t="shared" si="35"/>
        <v>46136</v>
      </c>
      <c r="Y128" s="385">
        <f t="shared" si="36"/>
        <v>25.35563477449799</v>
      </c>
      <c r="Z128" s="385">
        <f t="shared" si="37"/>
        <v>27.701863859803378</v>
      </c>
      <c r="AA128" s="386">
        <f t="shared" si="38"/>
        <v>32.426566826959139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0.14570469307986328</v>
      </c>
      <c r="AD128" s="231">
        <f>(INDEX(Models!$BJ128:$BT128,,AH128)*(1-AF128)+INDEX(Models!$BJ128:$BT128,,AH128+1)*AF128-ERP_i)*AE128*Ramure*Pc/MaxiM</f>
        <v>3.4839386533417019E-2</v>
      </c>
      <c r="AE128" s="305">
        <f t="shared" si="40"/>
        <v>0.8</v>
      </c>
      <c r="AF128" s="177">
        <f t="shared" si="41"/>
        <v>0.67531148508581795</v>
      </c>
      <c r="AG128" s="809">
        <f t="shared" si="49"/>
        <v>3</v>
      </c>
      <c r="AH128" s="176">
        <f t="shared" si="42"/>
        <v>9</v>
      </c>
      <c r="AI128" s="225">
        <f t="shared" si="43"/>
        <v>3.675311485085818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IF(t&gt;Tmaj,'2025'!Wh/'2025'!Env_an*'2026'!Env_an,0.001*'[6]mon-tableau'!$B$160)</f>
        <v>43.949333710120257</v>
      </c>
      <c r="C129" s="839"/>
      <c r="D129" s="393">
        <f t="shared" si="25"/>
        <v>48.017233907359142</v>
      </c>
      <c r="E129" s="385">
        <f t="shared" si="47"/>
        <v>52.340598117398507</v>
      </c>
      <c r="F129" s="385">
        <f t="shared" si="26"/>
        <v>53.00159741566884</v>
      </c>
      <c r="G129" s="110">
        <f t="shared" si="48"/>
        <v>0.91920794106994086</v>
      </c>
      <c r="H129" s="414" t="b">
        <f>Wh_hp&gt;='2025'!Maxi_hp</f>
        <v>0</v>
      </c>
      <c r="I129" s="390">
        <f>IF(H129,Wh_hp,'2025'!Maxi_hp)</f>
        <v>55.359840587650929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8.4717503825547019E-2</v>
      </c>
      <c r="M129" s="843"/>
      <c r="N129" s="843"/>
      <c r="O129" s="48">
        <f>IF(t&lt;Tnet,'2025'!Resal+('2025'!Salim-'2025'!Resal)*(1-EXP(('2025'!Tnet-t)/('2025'!Tau_j))),Resal+(Salim-Resal)*(1-EXP((Tnet-t)/(Tau_j))))*Salcycl</f>
        <v>8.2600588559232371E-2</v>
      </c>
      <c r="P129" s="169">
        <f>(INDEX(Models!$BJ129:$BT129,,T129)*(1-R129)+INDEX(Models!$BJ129:$BT129,,T129+1)*R129-ERP_i)*Q129*Ramure*Pc/MaxiM</f>
        <v>1.4064776562001014E-2</v>
      </c>
      <c r="Q129" s="305">
        <f t="shared" si="28"/>
        <v>0.8</v>
      </c>
      <c r="R129" s="177">
        <f t="shared" si="29"/>
        <v>0.4773677477268734</v>
      </c>
      <c r="S129" s="809">
        <f t="shared" si="30"/>
        <v>2</v>
      </c>
      <c r="T129" s="176">
        <f t="shared" si="31"/>
        <v>8</v>
      </c>
      <c r="U129" s="251">
        <f t="shared" si="32"/>
        <v>2.4773677477268734</v>
      </c>
      <c r="V129" s="383">
        <f t="shared" si="33"/>
        <v>47.735028705654962</v>
      </c>
      <c r="W129" s="402">
        <f t="shared" si="34"/>
        <v>43.949333710120257</v>
      </c>
      <c r="X129" s="157">
        <f t="shared" si="35"/>
        <v>46137</v>
      </c>
      <c r="Y129" s="385">
        <f t="shared" si="36"/>
        <v>40.19541736329019</v>
      </c>
      <c r="Z129" s="385">
        <f t="shared" si="37"/>
        <v>43.91585934538503</v>
      </c>
      <c r="AA129" s="386">
        <f t="shared" si="38"/>
        <v>51.412733813609535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0.14581746412092164</v>
      </c>
      <c r="AD129" s="231">
        <f>(INDEX(Models!$BJ129:$BT129,,AH129)*(1-AF129)+INDEX(Models!$BJ129:$BT129,,AH129+1)*AF129-ERP_i)*AE129*Ramure*Pc/MaxiM</f>
        <v>3.3807920233707427E-2</v>
      </c>
      <c r="AE129" s="305">
        <f t="shared" si="40"/>
        <v>0.8</v>
      </c>
      <c r="AF129" s="177">
        <f t="shared" si="41"/>
        <v>0.67808449489177702</v>
      </c>
      <c r="AG129" s="809">
        <f t="shared" si="49"/>
        <v>3</v>
      </c>
      <c r="AH129" s="176">
        <f t="shared" si="42"/>
        <v>9</v>
      </c>
      <c r="AI129" s="225">
        <f t="shared" si="43"/>
        <v>3.678084494891777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IF(t&gt;Tmaj,'2025'!Wh/'2025'!Env_an*'2026'!Env_an,0.001*'[6]mon-tableau'!$B$161)</f>
        <v>45.993667433501088</v>
      </c>
      <c r="C130" s="839"/>
      <c r="D130" s="393">
        <f t="shared" si="25"/>
        <v>50.251985238629899</v>
      </c>
      <c r="E130" s="385">
        <f t="shared" si="47"/>
        <v>54.786991732227996</v>
      </c>
      <c r="F130" s="385">
        <f t="shared" si="26"/>
        <v>55.495943398434903</v>
      </c>
      <c r="G130" s="110">
        <f t="shared" si="48"/>
        <v>0.95838349452696103</v>
      </c>
      <c r="H130" s="414" t="b">
        <f>Wh_hp&gt;='2025'!Maxi_hp</f>
        <v>0</v>
      </c>
      <c r="I130" s="390">
        <f>IF(H130,Wh_hp,'2025'!Maxi_hp)</f>
        <v>55.539931860605101</v>
      </c>
      <c r="J130" s="85">
        <f>IF(H130,An,'2025'!An_max)</f>
        <v>2022</v>
      </c>
      <c r="K130" s="197">
        <f t="shared" si="27"/>
        <v>46138</v>
      </c>
      <c r="L130" s="147">
        <f>IF(t&lt;Tvie,1-EXP((T0-t)*PertePVj)+'2025'!Pspv,1-EXP((T0-t)*PertePVj)+Pspv)</f>
        <v>8.4739295072771476E-2</v>
      </c>
      <c r="M130" s="843"/>
      <c r="N130" s="843"/>
      <c r="O130" s="48">
        <f>IF(t&lt;Tnet,'2025'!Resal+('2025'!Salim-'2025'!Resal)*(1-EXP(('2025'!Tnet-t)/('2025'!Tau_j))),Resal+(Salim-Resal)*(1-EXP((Tnet-t)/(Tau_j))))*Salcycl</f>
        <v>8.2775241899810587E-2</v>
      </c>
      <c r="P130" s="169">
        <f>(INDEX(Models!$BJ130:$BT130,,T130)*(1-R130)+INDEX(Models!$BJ130:$BT130,,T130+1)*R130-ERP_i)*Q130*Ramure*Pc/MaxiM</f>
        <v>1.3566488071403246E-2</v>
      </c>
      <c r="Q130" s="305">
        <f t="shared" si="28"/>
        <v>0.8</v>
      </c>
      <c r="R130" s="177">
        <f t="shared" si="29"/>
        <v>0.48022609586030418</v>
      </c>
      <c r="S130" s="809">
        <f t="shared" si="30"/>
        <v>2</v>
      </c>
      <c r="T130" s="176">
        <f t="shared" si="31"/>
        <v>8</v>
      </c>
      <c r="U130" s="251">
        <f t="shared" si="32"/>
        <v>2.4802260958603042</v>
      </c>
      <c r="V130" s="383">
        <f t="shared" si="33"/>
        <v>47.952396536993554</v>
      </c>
      <c r="W130" s="402">
        <f t="shared" si="34"/>
        <v>45.993667433501088</v>
      </c>
      <c r="X130" s="157">
        <f t="shared" si="35"/>
        <v>46138</v>
      </c>
      <c r="Y130" s="385">
        <f t="shared" si="36"/>
        <v>42.041140267503145</v>
      </c>
      <c r="Z130" s="385">
        <f t="shared" si="37"/>
        <v>45.933513851494141</v>
      </c>
      <c r="AA130" s="386">
        <f t="shared" si="38"/>
        <v>53.782049852488306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0.1459322584862586</v>
      </c>
      <c r="AD130" s="231">
        <f>(INDEX(Models!$BJ130:$BT130,,AH130)*(1-AF130)+INDEX(Models!$BJ130:$BT130,,AH130+1)*AF130-ERP_i)*AE130*Ramure*Pc/MaxiM</f>
        <v>3.2797040270941991E-2</v>
      </c>
      <c r="AE130" s="305">
        <f t="shared" si="40"/>
        <v>0.8</v>
      </c>
      <c r="AF130" s="177">
        <f t="shared" si="41"/>
        <v>0.6809428430252078</v>
      </c>
      <c r="AG130" s="809">
        <f t="shared" si="49"/>
        <v>3</v>
      </c>
      <c r="AH130" s="176">
        <f t="shared" si="42"/>
        <v>9</v>
      </c>
      <c r="AI130" s="225">
        <f t="shared" si="43"/>
        <v>3.6809428430252078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IF(t&gt;Tmaj,'2025'!Wh/'2025'!Env_an*'2026'!Env_an,0.001*'[6]mon-tableau'!$B$162)</f>
        <v>33.485403759612012</v>
      </c>
      <c r="C131" s="839"/>
      <c r="D131" s="393">
        <f t="shared" si="25"/>
        <v>36.586516635771034</v>
      </c>
      <c r="E131" s="385">
        <f t="shared" si="47"/>
        <v>39.895922806241295</v>
      </c>
      <c r="F131" s="385">
        <f t="shared" si="26"/>
        <v>40.193153813337609</v>
      </c>
      <c r="G131" s="110">
        <f t="shared" si="48"/>
        <v>0.69125411331690623</v>
      </c>
      <c r="H131" s="414" t="b">
        <f>Wh_hp&gt;='2025'!Maxi_hp</f>
        <v>0</v>
      </c>
      <c r="I131" s="390">
        <f>IF(H131,Wh_hp,'2025'!Maxi_hp)</f>
        <v>40.422363464574303</v>
      </c>
      <c r="J131" s="85">
        <f>IF(H131,An,'2025'!An_max)</f>
        <v>2022</v>
      </c>
      <c r="K131" s="197">
        <f t="shared" si="27"/>
        <v>46139</v>
      </c>
      <c r="L131" s="147">
        <f>IF(t&lt;Tvie,1-EXP((T0-t)*PertePVj)+'2025'!Pspv,1-EXP((T0-t)*PertePVj)+Pspv)</f>
        <v>8.4761085812881914E-2</v>
      </c>
      <c r="M131" s="843"/>
      <c r="N131" s="843"/>
      <c r="O131" s="48">
        <f>IF(t&lt;Tnet,'2025'!Resal+('2025'!Salim-'2025'!Resal)*(1-EXP(('2025'!Tnet-t)/('2025'!Tau_j))),Resal+(Salim-Resal)*(1-EXP((Tnet-t)/(Tau_j))))*Salcycl</f>
        <v>8.2950986910184751E-2</v>
      </c>
      <c r="P131" s="169">
        <f>(INDEX(Models!$BJ131:$BT131,,T131)*(1-R131)+INDEX(Models!$BJ131:$BT131,,T131+1)*R131-ERP_i)*Q131*Ramure*Pc/MaxiM</f>
        <v>1.3096960601572243E-2</v>
      </c>
      <c r="Q131" s="305">
        <f t="shared" si="28"/>
        <v>0.8</v>
      </c>
      <c r="R131" s="177">
        <f t="shared" si="29"/>
        <v>0.48317125704486585</v>
      </c>
      <c r="S131" s="809">
        <f t="shared" si="30"/>
        <v>2</v>
      </c>
      <c r="T131" s="176">
        <f t="shared" si="31"/>
        <v>8</v>
      </c>
      <c r="U131" s="251">
        <f t="shared" si="32"/>
        <v>2.4831712570448659</v>
      </c>
      <c r="V131" s="383">
        <f t="shared" si="33"/>
        <v>48.163259211412985</v>
      </c>
      <c r="W131" s="402">
        <f t="shared" si="34"/>
        <v>33.485403759612012</v>
      </c>
      <c r="X131" s="157">
        <f t="shared" si="35"/>
        <v>46139</v>
      </c>
      <c r="Y131" s="385">
        <f t="shared" si="36"/>
        <v>30.849579528289276</v>
      </c>
      <c r="Z131" s="385">
        <f t="shared" si="37"/>
        <v>33.706586389728358</v>
      </c>
      <c r="AA131" s="386">
        <f t="shared" si="38"/>
        <v>39.471338773911405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0.14604907163658862</v>
      </c>
      <c r="AD131" s="231">
        <f>(INDEX(Models!$BJ131:$BT131,,AH131)*(1-AF131)+INDEX(Models!$BJ131:$BT131,,AH131+1)*AF131-ERP_i)*AE131*Ramure*Pc/MaxiM</f>
        <v>3.1805507861850123E-2</v>
      </c>
      <c r="AE131" s="305">
        <f t="shared" si="40"/>
        <v>0.8</v>
      </c>
      <c r="AF131" s="177">
        <f t="shared" si="41"/>
        <v>0.68388800420976947</v>
      </c>
      <c r="AG131" s="809">
        <f t="shared" si="49"/>
        <v>3</v>
      </c>
      <c r="AH131" s="176">
        <f t="shared" si="42"/>
        <v>9</v>
      </c>
      <c r="AI131" s="225">
        <f t="shared" si="43"/>
        <v>3.6838880042097695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IF(t&gt;Tmaj,'2025'!Wh/'2025'!Env_an*'2026'!Env_an,0.001*'[6]mon-tableau'!$B$163)</f>
        <v>18.743573085346512</v>
      </c>
      <c r="C132" s="839"/>
      <c r="D132" s="393">
        <f t="shared" si="25"/>
        <v>20.479919567464666</v>
      </c>
      <c r="E132" s="385">
        <f t="shared" si="47"/>
        <v>22.336722709086764</v>
      </c>
      <c r="F132" s="385">
        <f t="shared" si="26"/>
        <v>22.372124332451492</v>
      </c>
      <c r="G132" s="110">
        <f t="shared" si="48"/>
        <v>0.38322520449707131</v>
      </c>
      <c r="H132" s="414" t="b">
        <f>Wh_hp&gt;='2025'!Maxi_hp</f>
        <v>0</v>
      </c>
      <c r="I132" s="390">
        <f>IF(H132,Wh_hp,'2025'!Maxi_hp)</f>
        <v>43.833448045184817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8.4782876045889993E-2</v>
      </c>
      <c r="M132" s="843"/>
      <c r="N132" s="843"/>
      <c r="O132" s="48">
        <f>IF(t&lt;Tnet,'2025'!Resal+('2025'!Salim-'2025'!Resal)*(1-EXP(('2025'!Tnet-t)/('2025'!Tau_j))),Resal+(Salim-Resal)*(1-EXP((Tnet-t)/(Tau_j))))*Salcycl</f>
        <v>8.312782344147264E-2</v>
      </c>
      <c r="P132" s="169">
        <f>(INDEX(Models!$BJ132:$BT132,,T132)*(1-R132)+INDEX(Models!$BJ132:$BT132,,T132+1)*R132-ERP_i)*Q132*Ramure*Pc/MaxiM</f>
        <v>1.2655832391163193E-2</v>
      </c>
      <c r="Q132" s="305">
        <f t="shared" si="28"/>
        <v>0.8</v>
      </c>
      <c r="R132" s="177">
        <f t="shared" si="29"/>
        <v>0.48620464589631851</v>
      </c>
      <c r="S132" s="809">
        <f t="shared" si="30"/>
        <v>2</v>
      </c>
      <c r="T132" s="176">
        <f t="shared" si="31"/>
        <v>8</v>
      </c>
      <c r="U132" s="251">
        <f t="shared" si="32"/>
        <v>2.4862046458963185</v>
      </c>
      <c r="V132" s="383">
        <f t="shared" si="33"/>
        <v>48.367613090466385</v>
      </c>
      <c r="W132" s="402">
        <f t="shared" si="34"/>
        <v>18.743573085346512</v>
      </c>
      <c r="X132" s="157">
        <f t="shared" si="35"/>
        <v>46140</v>
      </c>
      <c r="Y132" s="385">
        <f t="shared" si="36"/>
        <v>17.415116589873318</v>
      </c>
      <c r="Z132" s="385">
        <f t="shared" si="37"/>
        <v>19.028398982126706</v>
      </c>
      <c r="AA132" s="386">
        <f t="shared" si="38"/>
        <v>22.285879010426648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0.14616789522979554</v>
      </c>
      <c r="AD132" s="231">
        <f>(INDEX(Models!$BJ132:$BT132,,AH132)*(1-AF132)+INDEX(Models!$BJ132:$BT132,,AH132+1)*AF132-ERP_i)*AE132*Ramure*Pc/MaxiM</f>
        <v>3.0832098540310993E-2</v>
      </c>
      <c r="AE132" s="305">
        <f t="shared" si="40"/>
        <v>0.8</v>
      </c>
      <c r="AF132" s="177">
        <f t="shared" si="41"/>
        <v>0.68692139306122213</v>
      </c>
      <c r="AG132" s="809">
        <f t="shared" si="49"/>
        <v>3</v>
      </c>
      <c r="AH132" s="176">
        <f t="shared" si="42"/>
        <v>9</v>
      </c>
      <c r="AI132" s="225">
        <f t="shared" si="43"/>
        <v>3.6869213930612221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IF(t&gt;Tmaj,'2025'!Wh/'2025'!Env_an*'2026'!Env_an,0.001*'[6]mon-tableau'!$B$164)</f>
        <v>34.894204710818201</v>
      </c>
      <c r="C133" s="839"/>
      <c r="D133" s="393">
        <f t="shared" si="25"/>
        <v>38.127603371410729</v>
      </c>
      <c r="E133" s="385">
        <f t="shared" si="47"/>
        <v>41.592497533626215</v>
      </c>
      <c r="F133" s="385">
        <f t="shared" si="26"/>
        <v>41.899174894250848</v>
      </c>
      <c r="G133" s="110">
        <f t="shared" si="48"/>
        <v>0.71493496189722994</v>
      </c>
      <c r="H133" s="414" t="b">
        <f>Wh_hp&gt;='2025'!Maxi_hp</f>
        <v>0</v>
      </c>
      <c r="I133" s="390">
        <f>IF(H133,Wh_hp,'2025'!Maxi_hp)</f>
        <v>53.521315436728898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8.480466577180748E-2</v>
      </c>
      <c r="M133" s="843"/>
      <c r="N133" s="843"/>
      <c r="O133" s="48">
        <f>IF(t&lt;Tnet,'2025'!Resal+('2025'!Salim-'2025'!Resal)*(1-EXP(('2025'!Tnet-t)/('2025'!Tau_j))),Resal+(Salim-Resal)*(1-EXP((Tnet-t)/(Tau_j))))*Salcycl</f>
        <v>8.3305749057608958E-2</v>
      </c>
      <c r="P133" s="169">
        <f>(INDEX(Models!$BJ133:$BT133,,T133)*(1-R133)+INDEX(Models!$BJ133:$BT133,,T133+1)*R133-ERP_i)*Q133*Ramure*Pc/MaxiM</f>
        <v>1.2242789924777907E-2</v>
      </c>
      <c r="Q133" s="305">
        <f t="shared" si="28"/>
        <v>0.8</v>
      </c>
      <c r="R133" s="177">
        <f t="shared" si="29"/>
        <v>0.48932760960967725</v>
      </c>
      <c r="S133" s="809">
        <f t="shared" si="30"/>
        <v>2</v>
      </c>
      <c r="T133" s="176">
        <f t="shared" si="31"/>
        <v>8</v>
      </c>
      <c r="U133" s="251">
        <f t="shared" si="32"/>
        <v>2.4893276096096772</v>
      </c>
      <c r="V133" s="383">
        <f t="shared" si="33"/>
        <v>48.565453513628213</v>
      </c>
      <c r="W133" s="402">
        <f t="shared" si="34"/>
        <v>34.894204710818201</v>
      </c>
      <c r="X133" s="157">
        <f t="shared" si="35"/>
        <v>46141</v>
      </c>
      <c r="Y133" s="385">
        <f t="shared" si="36"/>
        <v>32.151639522907928</v>
      </c>
      <c r="Z133" s="385">
        <f t="shared" si="37"/>
        <v>35.130904103682106</v>
      </c>
      <c r="AA133" s="386">
        <f t="shared" si="38"/>
        <v>41.150802153610051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0.1462887169843379</v>
      </c>
      <c r="AD133" s="231">
        <f>(INDEX(Models!$BJ133:$BT133,,AH133)*(1-AF133)+INDEX(Models!$BJ133:$BT133,,AH133+1)*AF133-ERP_i)*AE133*Ramure*Pc/MaxiM</f>
        <v>2.9875600306570351E-2</v>
      </c>
      <c r="AE133" s="305">
        <f t="shared" si="40"/>
        <v>0.8</v>
      </c>
      <c r="AF133" s="177">
        <f t="shared" si="41"/>
        <v>0.69004435677458087</v>
      </c>
      <c r="AG133" s="809">
        <f t="shared" si="49"/>
        <v>3</v>
      </c>
      <c r="AH133" s="176">
        <f t="shared" si="42"/>
        <v>9</v>
      </c>
      <c r="AI133" s="225">
        <f t="shared" si="43"/>
        <v>3.6900443567745809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IF(t&gt;Tmaj,'2025'!Wh/'2025'!Env_an*'2026'!Env_an,0.001*'[6]mon-tableau'!$B$165)</f>
        <v>39.452822191285051</v>
      </c>
      <c r="C134" s="839"/>
      <c r="D134" s="393">
        <f t="shared" si="25"/>
        <v>43.109661994088576</v>
      </c>
      <c r="E134" s="385">
        <f t="shared" si="47"/>
        <v>47.036492207628285</v>
      </c>
      <c r="F134" s="385">
        <f t="shared" si="26"/>
        <v>47.445717694475526</v>
      </c>
      <c r="G134" s="110">
        <f t="shared" si="48"/>
        <v>0.80653784176136745</v>
      </c>
      <c r="H134" s="414" t="b">
        <f>Wh_hp&gt;='2025'!Maxi_hp</f>
        <v>0</v>
      </c>
      <c r="I134" s="390">
        <f>IF(H134,Wh_hp,'2025'!Maxi_hp)</f>
        <v>59.130369018521904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8.4826454990646144E-2</v>
      </c>
      <c r="M134" s="843"/>
      <c r="N134" s="843"/>
      <c r="O134" s="48">
        <f>IF(t&lt;Tnet,'2025'!Resal+('2025'!Salim-'2025'!Resal)*(1-EXP(('2025'!Tnet-t)/('2025'!Tau_j))),Resal+(Salim-Resal)*(1-EXP((Tnet-t)/(Tau_j))))*Salcycl</f>
        <v>8.3484758944308901E-2</v>
      </c>
      <c r="P134" s="169">
        <f>(INDEX(Models!$BJ134:$BT134,,T134)*(1-R134)+INDEX(Models!$BJ134:$BT134,,T134+1)*R134-ERP_i)*Q134*Ramure*Pc/MaxiM</f>
        <v>1.1857567080906264E-2</v>
      </c>
      <c r="Q134" s="305">
        <f t="shared" si="28"/>
        <v>0.8</v>
      </c>
      <c r="R134" s="177">
        <f t="shared" si="29"/>
        <v>0.4925414203984122</v>
      </c>
      <c r="S134" s="809">
        <f t="shared" si="30"/>
        <v>2</v>
      </c>
      <c r="T134" s="176">
        <f t="shared" si="31"/>
        <v>8</v>
      </c>
      <c r="U134" s="251">
        <f t="shared" si="32"/>
        <v>2.4925414203984122</v>
      </c>
      <c r="V134" s="383">
        <f t="shared" si="33"/>
        <v>48.756774785948544</v>
      </c>
      <c r="W134" s="402">
        <f t="shared" si="34"/>
        <v>39.452822191285051</v>
      </c>
      <c r="X134" s="157">
        <f t="shared" si="35"/>
        <v>46142</v>
      </c>
      <c r="Y134" s="385">
        <f t="shared" si="36"/>
        <v>36.283640323690385</v>
      </c>
      <c r="Z134" s="385">
        <f t="shared" si="37"/>
        <v>39.646732055961621</v>
      </c>
      <c r="AA134" s="386">
        <f t="shared" si="38"/>
        <v>46.447126466928587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0.14641152054495776</v>
      </c>
      <c r="AD134" s="231">
        <f>(INDEX(Models!$BJ134:$BT134,,AH134)*(1-AF134)+INDEX(Models!$BJ134:$BT134,,AH134+1)*AF134-ERP_i)*AE134*Ramure*Pc/MaxiM</f>
        <v>2.8934811852181757E-2</v>
      </c>
      <c r="AE134" s="305">
        <f t="shared" si="40"/>
        <v>0.8</v>
      </c>
      <c r="AF134" s="177">
        <f t="shared" si="41"/>
        <v>0.69325816756331582</v>
      </c>
      <c r="AG134" s="809">
        <f t="shared" si="49"/>
        <v>3</v>
      </c>
      <c r="AH134" s="176">
        <f t="shared" si="42"/>
        <v>9</v>
      </c>
      <c r="AI134" s="225">
        <f t="shared" si="43"/>
        <v>3.6932581675633158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IF(t&gt;Tmaj,'2025'!Wh/'2025'!Env_an*'2026'!Env_an,0.001*[7]mois!$B$140)</f>
        <v>40.23430364919566</v>
      </c>
      <c r="C135" s="839"/>
      <c r="D135" s="393">
        <f t="shared" si="25"/>
        <v>43.964624853009155</v>
      </c>
      <c r="E135" s="385">
        <f t="shared" si="47"/>
        <v>47.978760448554503</v>
      </c>
      <c r="F135" s="385">
        <f t="shared" si="26"/>
        <v>48.393831725516606</v>
      </c>
      <c r="G135" s="110">
        <f t="shared" si="48"/>
        <v>0.81965809935698208</v>
      </c>
      <c r="H135" s="414" t="b">
        <f>Wh_hp&gt;='2025'!Maxi_hp</f>
        <v>0</v>
      </c>
      <c r="I135" s="390">
        <f>IF(H135,Wh_hp,'2025'!Maxi_hp)</f>
        <v>53.619994148118579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8.4848243702417864E-2</v>
      </c>
      <c r="M135" s="843"/>
      <c r="N135" s="843"/>
      <c r="O135" s="48">
        <f>IF(t&lt;Tnet,'2025'!Resal+('2025'!Salim-'2025'!Resal)*(1-EXP(('2025'!Tnet-t)/('2025'!Tau_j))),Resal+(Salim-Resal)*(1-EXP((Tnet-t)/(Tau_j))))*Salcycl</f>
        <v>8.3664845819631503E-2</v>
      </c>
      <c r="P135" s="169">
        <f>(INDEX(Models!$BJ135:$BT135,,T135)*(1-R135)+INDEX(Models!$BJ135:$BT135,,T135+1)*R135-ERP_i)*Q135*Ramure*Pc/MaxiM</f>
        <v>1.1499850541107821E-2</v>
      </c>
      <c r="Q135" s="305">
        <f t="shared" si="28"/>
        <v>0.8</v>
      </c>
      <c r="R135" s="177">
        <f t="shared" si="29"/>
        <v>0.49584726770808407</v>
      </c>
      <c r="S135" s="809">
        <f t="shared" si="30"/>
        <v>2</v>
      </c>
      <c r="T135" s="176">
        <f t="shared" si="31"/>
        <v>8</v>
      </c>
      <c r="U135" s="251">
        <f t="shared" si="32"/>
        <v>2.4958472677080841</v>
      </c>
      <c r="V135" s="383">
        <f t="shared" si="33"/>
        <v>48.941973811222155</v>
      </c>
      <c r="W135" s="402">
        <f t="shared" si="34"/>
        <v>40.23430364919566</v>
      </c>
      <c r="X135" s="157">
        <f t="shared" si="35"/>
        <v>46143</v>
      </c>
      <c r="Y135" s="385">
        <f t="shared" si="36"/>
        <v>37.008366004205321</v>
      </c>
      <c r="Z135" s="385">
        <f t="shared" si="37"/>
        <v>40.439594580389155</v>
      </c>
      <c r="AA135" s="386">
        <f t="shared" si="38"/>
        <v>47.382910235465424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0.14653628535208235</v>
      </c>
      <c r="AD135" s="231">
        <f>(INDEX(Models!$BJ135:$BT135,,AH135)*(1-AF135)+INDEX(Models!$BJ135:$BT135,,AH135+1)*AF135-ERP_i)*AE135*Ramure*Pc/MaxiM</f>
        <v>2.8008312522777041E-2</v>
      </c>
      <c r="AE135" s="305">
        <f t="shared" si="40"/>
        <v>0.8</v>
      </c>
      <c r="AF135" s="177">
        <f t="shared" si="41"/>
        <v>0.69656401487298769</v>
      </c>
      <c r="AG135" s="809">
        <f t="shared" si="49"/>
        <v>3</v>
      </c>
      <c r="AH135" s="176">
        <f t="shared" si="42"/>
        <v>9</v>
      </c>
      <c r="AI135" s="225">
        <f t="shared" si="43"/>
        <v>3.6965640148729877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IF(t&gt;Tmaj,'2025'!Wh/'2025'!Env_an*'2026'!Env_an,0.001*[7]mois!$B$141)</f>
        <v>26.249302662079209</v>
      </c>
      <c r="C136" s="839"/>
      <c r="D136" s="393">
        <f t="shared" si="25"/>
        <v>28.683688194347805</v>
      </c>
      <c r="E136" s="385">
        <f t="shared" si="47"/>
        <v>31.308806368315867</v>
      </c>
      <c r="F136" s="385">
        <f t="shared" si="26"/>
        <v>31.426496540028467</v>
      </c>
      <c r="G136" s="110">
        <f t="shared" si="48"/>
        <v>0.53039457590405459</v>
      </c>
      <c r="H136" s="414" t="b">
        <f>Wh_hp&gt;='2025'!Maxi_hp</f>
        <v>0</v>
      </c>
      <c r="I136" s="390">
        <f>IF(H136,Wh_hp,'2025'!Maxi_hp)</f>
        <v>49.269090767711724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8.4870031907134519E-2</v>
      </c>
      <c r="M136" s="843"/>
      <c r="N136" s="843"/>
      <c r="O136" s="48">
        <f>IF(t&lt;Tnet,'2025'!Resal+('2025'!Salim-'2025'!Resal)*(1-EXP(('2025'!Tnet-t)/('2025'!Tau_j))),Resal+(Salim-Resal)*(1-EXP((Tnet-t)/(Tau_j))))*Salcycl</f>
        <v>8.3845999847015948E-2</v>
      </c>
      <c r="P136" s="169">
        <f>(INDEX(Models!$BJ136:$BT136,,T136)*(1-R136)+INDEX(Models!$BJ136:$BT136,,T136+1)*R136-ERP_i)*Q136*Ramure*Pc/MaxiM</f>
        <v>1.1184391296114557E-2</v>
      </c>
      <c r="Q136" s="305">
        <f t="shared" si="28"/>
        <v>0.8</v>
      </c>
      <c r="R136" s="177">
        <f t="shared" si="29"/>
        <v>0.49924625023060631</v>
      </c>
      <c r="S136" s="809">
        <f t="shared" si="30"/>
        <v>2</v>
      </c>
      <c r="T136" s="176">
        <f t="shared" si="31"/>
        <v>8</v>
      </c>
      <c r="U136" s="251">
        <f t="shared" si="32"/>
        <v>2.4992462502306063</v>
      </c>
      <c r="V136" s="383">
        <f t="shared" si="33"/>
        <v>49.120577832453804</v>
      </c>
      <c r="W136" s="402">
        <f t="shared" si="34"/>
        <v>26.249302662079209</v>
      </c>
      <c r="X136" s="157">
        <f t="shared" si="35"/>
        <v>46144</v>
      </c>
      <c r="Y136" s="385">
        <f t="shared" si="36"/>
        <v>24.318528803315026</v>
      </c>
      <c r="Z136" s="385">
        <f t="shared" si="37"/>
        <v>26.573852514080528</v>
      </c>
      <c r="AA136" s="386">
        <f t="shared" si="38"/>
        <v>31.141099113464708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0.14666298651640738</v>
      </c>
      <c r="AD136" s="231">
        <f>(INDEX(Models!$BJ136:$BT136,,AH136)*(1-AF136)+INDEX(Models!$BJ136:$BT136,,AH136+1)*AF136-ERP_i)*AE136*Ramure*Pc/MaxiM</f>
        <v>2.7122031068049401E-2</v>
      </c>
      <c r="AE136" s="305">
        <f t="shared" si="40"/>
        <v>0.8</v>
      </c>
      <c r="AF136" s="177">
        <f t="shared" si="41"/>
        <v>0.69996299739550993</v>
      </c>
      <c r="AG136" s="809">
        <f t="shared" si="49"/>
        <v>3</v>
      </c>
      <c r="AH136" s="176">
        <f t="shared" si="42"/>
        <v>9</v>
      </c>
      <c r="AI136" s="225">
        <f t="shared" si="43"/>
        <v>3.6999629973955099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IF(t&gt;Tmaj,'2025'!Wh/'2025'!Env_an*'2026'!Env_an,0.001*[7]mois!$B$142)</f>
        <v>32.041304753594609</v>
      </c>
      <c r="C137" s="839"/>
      <c r="D137" s="393">
        <f t="shared" si="25"/>
        <v>35.013679737577554</v>
      </c>
      <c r="E137" s="385">
        <f t="shared" si="47"/>
        <v>38.225718373069199</v>
      </c>
      <c r="F137" s="385">
        <f t="shared" si="26"/>
        <v>38.435172293506447</v>
      </c>
      <c r="G137" s="110">
        <f t="shared" si="48"/>
        <v>0.64645584492049402</v>
      </c>
      <c r="H137" s="414" t="b">
        <f>Wh_hp&gt;='2025'!Maxi_hp</f>
        <v>0</v>
      </c>
      <c r="I137" s="390">
        <f>IF(H137,Wh_hp,'2025'!Maxi_hp)</f>
        <v>58.038935188367326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8.4891819604807767E-2</v>
      </c>
      <c r="M137" s="843"/>
      <c r="N137" s="843"/>
      <c r="O137" s="48">
        <f>IF(t&lt;Tnet,'2025'!Resal+('2025'!Salim-'2025'!Resal)*(1-EXP(('2025'!Tnet-t)/('2025'!Tau_j))),Resal+(Salim-Resal)*(1-EXP((Tnet-t)/(Tau_j))))*Salcycl</f>
        <v>8.4028208551721856E-2</v>
      </c>
      <c r="P137" s="169">
        <f>(INDEX(Models!$BJ137:$BT137,,T137)*(1-R137)+INDEX(Models!$BJ137:$BT137,,T137+1)*R137-ERP_i)*Q137*Ramure*Pc/MaxiM</f>
        <v>1.0898539884737754E-2</v>
      </c>
      <c r="Q137" s="305">
        <f t="shared" si="28"/>
        <v>0.8</v>
      </c>
      <c r="R137" s="177">
        <f t="shared" si="29"/>
        <v>0.50273936774928263</v>
      </c>
      <c r="S137" s="809">
        <f t="shared" si="30"/>
        <v>2</v>
      </c>
      <c r="T137" s="176">
        <f t="shared" si="31"/>
        <v>8</v>
      </c>
      <c r="U137" s="251">
        <f t="shared" si="32"/>
        <v>2.5027393677492826</v>
      </c>
      <c r="V137" s="383">
        <f t="shared" si="33"/>
        <v>49.293010805160868</v>
      </c>
      <c r="W137" s="402">
        <f t="shared" si="34"/>
        <v>32.041304753594609</v>
      </c>
      <c r="X137" s="157">
        <f t="shared" si="35"/>
        <v>46145</v>
      </c>
      <c r="Y137" s="385">
        <f t="shared" si="36"/>
        <v>29.614950056821865</v>
      </c>
      <c r="Z137" s="385">
        <f t="shared" si="37"/>
        <v>32.362239450239159</v>
      </c>
      <c r="AA137" s="386">
        <f t="shared" si="38"/>
        <v>37.930052316900252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0.14679159470023401</v>
      </c>
      <c r="AD137" s="231">
        <f>(INDEX(Models!$BJ137:$BT137,,AH137)*(1-AF137)+INDEX(Models!$BJ137:$BT137,,AH137+1)*AF137-ERP_i)*AE137*Ramure*Pc/MaxiM</f>
        <v>2.628296572405165E-2</v>
      </c>
      <c r="AE137" s="305">
        <f t="shared" si="40"/>
        <v>0.8</v>
      </c>
      <c r="AF137" s="177">
        <f t="shared" si="41"/>
        <v>0.70345611491418625</v>
      </c>
      <c r="AG137" s="809">
        <f t="shared" si="49"/>
        <v>3</v>
      </c>
      <c r="AH137" s="176">
        <f t="shared" si="42"/>
        <v>9</v>
      </c>
      <c r="AI137" s="225">
        <f t="shared" si="43"/>
        <v>3.7034561149141862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IF(t&gt;Tmaj,'2025'!Wh/'2025'!Env_an*'2026'!Env_an,0.001*[7]mois!$B$143)</f>
        <v>18.860152238910523</v>
      </c>
      <c r="C138" s="839"/>
      <c r="D138" s="393">
        <f t="shared" si="25"/>
        <v>20.610242244848553</v>
      </c>
      <c r="E138" s="385">
        <f t="shared" si="47"/>
        <v>22.505459799178016</v>
      </c>
      <c r="F138" s="385">
        <f t="shared" si="26"/>
        <v>22.533321731645845</v>
      </c>
      <c r="G138" s="110">
        <f t="shared" si="48"/>
        <v>0.37773731093304941</v>
      </c>
      <c r="H138" s="414" t="b">
        <f>Wh_hp&gt;='2025'!Maxi_hp</f>
        <v>0</v>
      </c>
      <c r="I138" s="390">
        <f>IF(H138,Wh_hp,'2025'!Maxi_hp)</f>
        <v>56.165663952413723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8.4913606795449487E-2</v>
      </c>
      <c r="M138" s="843"/>
      <c r="N138" s="843"/>
      <c r="O138" s="48">
        <f>IF(t&lt;Tnet,'2025'!Resal+('2025'!Salim-'2025'!Resal)*(1-EXP(('2025'!Tnet-t)/('2025'!Tau_j))),Resal+(Salim-Resal)*(1-EXP((Tnet-t)/(Tau_j))))*Salcycl</f>
        <v>8.421145674165173E-2</v>
      </c>
      <c r="P138" s="169">
        <f>(INDEX(Models!$BJ138:$BT138,,T138)*(1-R138)+INDEX(Models!$BJ138:$BT138,,T138+1)*R138-ERP_i)*Q138*Ramure*Pc/MaxiM</f>
        <v>1.0642440325062751E-2</v>
      </c>
      <c r="Q138" s="305">
        <f t="shared" si="28"/>
        <v>0.8</v>
      </c>
      <c r="R138" s="177">
        <f t="shared" si="29"/>
        <v>0.50632751284883115</v>
      </c>
      <c r="S138" s="809">
        <f t="shared" si="30"/>
        <v>2</v>
      </c>
      <c r="T138" s="176">
        <f t="shared" si="31"/>
        <v>8</v>
      </c>
      <c r="U138" s="251">
        <f t="shared" si="32"/>
        <v>2.5063275128488312</v>
      </c>
      <c r="V138" s="383">
        <f t="shared" si="33"/>
        <v>49.459066331579791</v>
      </c>
      <c r="W138" s="402">
        <f t="shared" si="34"/>
        <v>18.860152238910523</v>
      </c>
      <c r="X138" s="157">
        <f t="shared" si="35"/>
        <v>46146</v>
      </c>
      <c r="Y138" s="385">
        <f t="shared" si="36"/>
        <v>17.538316356234116</v>
      </c>
      <c r="Z138" s="385">
        <f t="shared" si="37"/>
        <v>19.165749252173342</v>
      </c>
      <c r="AA138" s="386">
        <f t="shared" si="38"/>
        <v>22.466586830038622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0.14692207600719939</v>
      </c>
      <c r="AD138" s="231">
        <f>(INDEX(Models!$BJ138:$BT138,,AH138)*(1-AF138)+INDEX(Models!$BJ138:$BT138,,AH138+1)*AF138-ERP_i)*AE138*Ramure*Pc/MaxiM</f>
        <v>2.5490773433389534E-2</v>
      </c>
      <c r="AE138" s="305">
        <f t="shared" si="40"/>
        <v>0.8</v>
      </c>
      <c r="AF138" s="177">
        <f t="shared" si="41"/>
        <v>0.70704426001373477</v>
      </c>
      <c r="AG138" s="809">
        <f t="shared" si="49"/>
        <v>3</v>
      </c>
      <c r="AH138" s="176">
        <f t="shared" si="42"/>
        <v>9</v>
      </c>
      <c r="AI138" s="225">
        <f t="shared" si="43"/>
        <v>3.7070442600137348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IF(t&gt;Tmaj,'2025'!Wh/'2025'!Env_an*'2026'!Env_an,0.001*[7]mois!$B$144)</f>
        <v>37.516187155941743</v>
      </c>
      <c r="C139" s="839"/>
      <c r="D139" s="393">
        <f t="shared" si="25"/>
        <v>40.998402613972921</v>
      </c>
      <c r="E139" s="385">
        <f t="shared" si="47"/>
        <v>44.777426009904268</v>
      </c>
      <c r="F139" s="385">
        <f t="shared" si="26"/>
        <v>45.083399758834602</v>
      </c>
      <c r="G139" s="110">
        <f t="shared" si="48"/>
        <v>0.7533292257283567</v>
      </c>
      <c r="H139" s="414" t="b">
        <f>Wh_hp&gt;='2025'!Maxi_hp</f>
        <v>0</v>
      </c>
      <c r="I139" s="390">
        <f>IF(H139,Wh_hp,'2025'!Maxi_hp)</f>
        <v>56.298681599981336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8.4935393479071447E-2</v>
      </c>
      <c r="M139" s="843"/>
      <c r="N139" s="843"/>
      <c r="O139" s="48">
        <f>IF(t&lt;Tnet,'2025'!Resal+('2025'!Salim-'2025'!Resal)*(1-EXP(('2025'!Tnet-t)/('2025'!Tau_j))),Resal+(Salim-Resal)*(1-EXP((Tnet-t)/(Tau_j))))*Salcycl</f>
        <v>8.4395726433570961E-2</v>
      </c>
      <c r="P139" s="169">
        <f>(INDEX(Models!$BJ139:$BT139,,T139)*(1-R139)+INDEX(Models!$BJ139:$BT139,,T139+1)*R139-ERP_i)*Q139*Ramure*Pc/MaxiM</f>
        <v>1.0416286761846069E-2</v>
      </c>
      <c r="Q139" s="305">
        <f t="shared" si="28"/>
        <v>0.8</v>
      </c>
      <c r="R139" s="177">
        <f t="shared" si="29"/>
        <v>0.51001146252872287</v>
      </c>
      <c r="S139" s="809">
        <f t="shared" si="30"/>
        <v>2</v>
      </c>
      <c r="T139" s="176">
        <f t="shared" si="31"/>
        <v>8</v>
      </c>
      <c r="U139" s="251">
        <f t="shared" si="32"/>
        <v>2.5100114625287229</v>
      </c>
      <c r="V139" s="383">
        <f t="shared" si="33"/>
        <v>49.618536470015428</v>
      </c>
      <c r="W139" s="402">
        <f t="shared" si="34"/>
        <v>37.516187155941743</v>
      </c>
      <c r="X139" s="157">
        <f t="shared" si="35"/>
        <v>46147</v>
      </c>
      <c r="Y139" s="385">
        <f t="shared" si="36"/>
        <v>34.620279970211016</v>
      </c>
      <c r="Z139" s="385">
        <f t="shared" si="37"/>
        <v>37.833700181932684</v>
      </c>
      <c r="AA139" s="386">
        <f t="shared" si="38"/>
        <v>44.35652147317532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0.14705439188208932</v>
      </c>
      <c r="AD139" s="231">
        <f>(INDEX(Models!$BJ139:$BT139,,AH139)*(1-AF139)+INDEX(Models!$BJ139:$BT139,,AH139+1)*AF139-ERP_i)*AE139*Ramure*Pc/MaxiM</f>
        <v>2.4745170756822154E-2</v>
      </c>
      <c r="AE139" s="305">
        <f t="shared" si="40"/>
        <v>0.8</v>
      </c>
      <c r="AF139" s="177">
        <f t="shared" si="41"/>
        <v>0.71072820969362649</v>
      </c>
      <c r="AG139" s="809">
        <f t="shared" si="49"/>
        <v>3</v>
      </c>
      <c r="AH139" s="176">
        <f t="shared" si="42"/>
        <v>9</v>
      </c>
      <c r="AI139" s="225">
        <f t="shared" si="43"/>
        <v>3.7107282096936265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IF(t&gt;Tmaj,'2025'!Wh/'2025'!Env_an*'2026'!Env_an,0.001*[7]mois!$B$145)</f>
        <v>31.60884100325314</v>
      </c>
      <c r="C140" s="839"/>
      <c r="D140" s="393">
        <f t="shared" si="25"/>
        <v>34.543564847991796</v>
      </c>
      <c r="E140" s="385">
        <f t="shared" si="47"/>
        <v>37.735249898354724</v>
      </c>
      <c r="F140" s="385">
        <f t="shared" si="26"/>
        <v>37.920772127727076</v>
      </c>
      <c r="G140" s="110">
        <f t="shared" si="48"/>
        <v>0.63168247859845095</v>
      </c>
      <c r="H140" s="414" t="b">
        <f>Wh_hp&gt;='2025'!Maxi_hp</f>
        <v>0</v>
      </c>
      <c r="I140" s="390">
        <f>IF(H140,Wh_hp,'2025'!Maxi_hp)</f>
        <v>61.556815865324921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8.4957179655685416E-2</v>
      </c>
      <c r="M140" s="843"/>
      <c r="N140" s="843"/>
      <c r="O140" s="48">
        <f>IF(t&lt;Tnet,'2025'!Resal+('2025'!Salim-'2025'!Resal)*(1-EXP(('2025'!Tnet-t)/('2025'!Tau_j))),Resal+(Salim-Resal)*(1-EXP((Tnet-t)/(Tau_j))))*Salcycl</f>
        <v>8.4580996785768858E-2</v>
      </c>
      <c r="P140" s="169">
        <f>(INDEX(Models!$BJ140:$BT140,,T140)*(1-R140)+INDEX(Models!$BJ140:$BT140,,T140+1)*R140-ERP_i)*Q140*Ramure*Pc/MaxiM</f>
        <v>1.022032423789637E-2</v>
      </c>
      <c r="Q140" s="305">
        <f t="shared" si="28"/>
        <v>0.8</v>
      </c>
      <c r="R140" s="177">
        <f t="shared" si="29"/>
        <v>0.51379186976233271</v>
      </c>
      <c r="S140" s="809">
        <f t="shared" si="30"/>
        <v>2</v>
      </c>
      <c r="T140" s="176">
        <f t="shared" si="31"/>
        <v>8</v>
      </c>
      <c r="U140" s="251">
        <f t="shared" si="32"/>
        <v>2.5137918697623327</v>
      </c>
      <c r="V140" s="383">
        <f t="shared" si="33"/>
        <v>49.771211725690883</v>
      </c>
      <c r="W140" s="402">
        <f t="shared" si="34"/>
        <v>31.60884100325314</v>
      </c>
      <c r="X140" s="157">
        <f t="shared" si="35"/>
        <v>46148</v>
      </c>
      <c r="Y140" s="385">
        <f t="shared" si="36"/>
        <v>29.251199523906536</v>
      </c>
      <c r="Z140" s="385">
        <f t="shared" si="37"/>
        <v>31.967028070773583</v>
      </c>
      <c r="AA140" s="386">
        <f t="shared" si="38"/>
        <v>37.484283495392518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0.14718849902245307</v>
      </c>
      <c r="AD140" s="231">
        <f>(INDEX(Models!$BJ140:$BT140,,AH140)*(1-AF140)+INDEX(Models!$BJ140:$BT140,,AH140+1)*AF140-ERP_i)*AE140*Ramure*Pc/MaxiM</f>
        <v>2.4045934353567583E-2</v>
      </c>
      <c r="AE140" s="305">
        <f t="shared" si="40"/>
        <v>0.8</v>
      </c>
      <c r="AF140" s="177">
        <f t="shared" si="41"/>
        <v>0.71450861692723633</v>
      </c>
      <c r="AG140" s="809">
        <f t="shared" si="49"/>
        <v>3</v>
      </c>
      <c r="AH140" s="176">
        <f t="shared" si="42"/>
        <v>9</v>
      </c>
      <c r="AI140" s="225">
        <f t="shared" si="43"/>
        <v>3.7145086169272363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IF(t&gt;Tmaj,'2025'!Wh/'2025'!Env_an*'2026'!Env_an,0.001*[7]mois!$B$146)</f>
        <v>46.267560067455371</v>
      </c>
      <c r="C141" s="839"/>
      <c r="D141" s="393">
        <f t="shared" si="25"/>
        <v>50.564477005606939</v>
      </c>
      <c r="E141" s="385">
        <f t="shared" si="47"/>
        <v>55.247669706129365</v>
      </c>
      <c r="F141" s="385">
        <f t="shared" si="26"/>
        <v>55.749680054363047</v>
      </c>
      <c r="G141" s="110">
        <f t="shared" si="48"/>
        <v>0.92590984748468907</v>
      </c>
      <c r="H141" s="414" t="b">
        <f>Wh_hp&gt;='2025'!Maxi_hp</f>
        <v>0</v>
      </c>
      <c r="I141" s="390">
        <f>IF(H141,Wh_hp,'2025'!Maxi_hp)</f>
        <v>58.403819725398094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8.4978965325303274E-2</v>
      </c>
      <c r="M141" s="843"/>
      <c r="N141" s="843"/>
      <c r="O141" s="48">
        <f>IF(t&lt;Tnet,'2025'!Resal+('2025'!Salim-'2025'!Resal)*(1-EXP(('2025'!Tnet-t)/('2025'!Tau_j))),Resal+(Salim-Resal)*(1-EXP((Tnet-t)/(Tau_j))))*Salcycl</f>
        <v>8.4767244038219641E-2</v>
      </c>
      <c r="P141" s="169">
        <f>(INDEX(Models!$BJ141:$BT141,,T141)*(1-R141)+INDEX(Models!$BJ141:$BT141,,T141+1)*R141-ERP_i)*Q141*Ramure*Pc/MaxiM</f>
        <v>1.0054849396564449E-2</v>
      </c>
      <c r="Q141" s="305">
        <f t="shared" si="28"/>
        <v>0.8</v>
      </c>
      <c r="R141" s="177">
        <f t="shared" si="29"/>
        <v>0.51766925504851535</v>
      </c>
      <c r="S141" s="809">
        <f t="shared" si="30"/>
        <v>2</v>
      </c>
      <c r="T141" s="176">
        <f t="shared" si="31"/>
        <v>8</v>
      </c>
      <c r="U141" s="251">
        <f t="shared" si="32"/>
        <v>2.5176692550485154</v>
      </c>
      <c r="V141" s="383">
        <f t="shared" si="33"/>
        <v>49.916881060961558</v>
      </c>
      <c r="W141" s="402">
        <f t="shared" si="34"/>
        <v>46.267560067455371</v>
      </c>
      <c r="X141" s="157">
        <f t="shared" si="35"/>
        <v>46149</v>
      </c>
      <c r="Y141" s="385">
        <f t="shared" si="36"/>
        <v>42.585554043521697</v>
      </c>
      <c r="Z141" s="385">
        <f t="shared" si="37"/>
        <v>46.540519211846842</v>
      </c>
      <c r="AA141" s="386">
        <f t="shared" si="38"/>
        <v>54.58173828916582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0.1473243493037508</v>
      </c>
      <c r="AD141" s="231">
        <f>(INDEX(Models!$BJ141:$BT141,,AH141)*(1-AF141)+INDEX(Models!$BJ141:$BT141,,AH141+1)*AF141-ERP_i)*AE141*Ramure*Pc/MaxiM</f>
        <v>2.339290135021135E-2</v>
      </c>
      <c r="AE141" s="305">
        <f t="shared" si="40"/>
        <v>0.8</v>
      </c>
      <c r="AF141" s="177">
        <f t="shared" si="41"/>
        <v>0.71838600221341897</v>
      </c>
      <c r="AG141" s="809">
        <f t="shared" si="49"/>
        <v>3</v>
      </c>
      <c r="AH141" s="176">
        <f t="shared" si="42"/>
        <v>9</v>
      </c>
      <c r="AI141" s="225">
        <f t="shared" si="43"/>
        <v>3.718386002213419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IF(t&gt;Tmaj,'2025'!Wh/'2025'!Env_an*'2026'!Env_an,0.001*[7]mois!$B$147)</f>
        <v>42.172929670882688</v>
      </c>
      <c r="C142" s="839"/>
      <c r="D142" s="393">
        <f t="shared" si="25"/>
        <v>46.090671323907664</v>
      </c>
      <c r="E142" s="385">
        <f t="shared" si="47"/>
        <v>50.369810436010788</v>
      </c>
      <c r="F142" s="385">
        <f t="shared" si="26"/>
        <v>50.760340572554249</v>
      </c>
      <c r="G142" s="110">
        <f t="shared" si="48"/>
        <v>0.8406357051359441</v>
      </c>
      <c r="H142" s="414" t="b">
        <f>Wh_hp&gt;='2025'!Maxi_hp</f>
        <v>0</v>
      </c>
      <c r="I142" s="390">
        <f>IF(H142,Wh_hp,'2025'!Maxi_hp)</f>
        <v>55.761522255902449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8.5000750487936788E-2</v>
      </c>
      <c r="M142" s="843"/>
      <c r="N142" s="843"/>
      <c r="O142" s="48">
        <f>IF(t&lt;Tnet,'2025'!Resal+('2025'!Salim-'2025'!Resal)*(1-EXP(('2025'!Tnet-t)/('2025'!Tau_j))),Resal+(Salim-Resal)*(1-EXP((Tnet-t)/(Tau_j))))*Salcycl</f>
        <v>8.4954441461305333E-2</v>
      </c>
      <c r="P142" s="169">
        <f>(INDEX(Models!$BJ142:$BT142,,T142)*(1-R142)+INDEX(Models!$BJ142:$BT142,,T142+1)*R142-ERP_i)*Q142*Ramure*Pc/MaxiM</f>
        <v>9.9266553215194599E-3</v>
      </c>
      <c r="Q142" s="305">
        <f t="shared" si="28"/>
        <v>0.8</v>
      </c>
      <c r="R142" s="177">
        <f t="shared" si="29"/>
        <v>0.52164399800627503</v>
      </c>
      <c r="S142" s="809">
        <f t="shared" si="30"/>
        <v>2</v>
      </c>
      <c r="T142" s="176">
        <f t="shared" si="31"/>
        <v>8</v>
      </c>
      <c r="U142" s="251">
        <f t="shared" si="32"/>
        <v>2.521643998006275</v>
      </c>
      <c r="V142" s="383">
        <f t="shared" si="33"/>
        <v>50.055006096125524</v>
      </c>
      <c r="W142" s="402">
        <f t="shared" si="34"/>
        <v>42.172929670882688</v>
      </c>
      <c r="X142" s="157">
        <f t="shared" si="35"/>
        <v>46150</v>
      </c>
      <c r="Y142" s="385">
        <f t="shared" si="36"/>
        <v>38.896865842024148</v>
      </c>
      <c r="Z142" s="385">
        <f t="shared" si="37"/>
        <v>42.510270760076004</v>
      </c>
      <c r="AA142" s="386">
        <f t="shared" si="38"/>
        <v>49.863191155292775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0.14746188971975349</v>
      </c>
      <c r="AD142" s="231">
        <f>(INDEX(Models!$BJ142:$BT142,,AH142)*(1-AF142)+INDEX(Models!$BJ142:$BT142,,AH142+1)*AF142-ERP_i)*AE142*Ramure*Pc/MaxiM</f>
        <v>2.2804112163737126E-2</v>
      </c>
      <c r="AE142" s="305">
        <f t="shared" si="40"/>
        <v>0.8</v>
      </c>
      <c r="AF142" s="177">
        <f t="shared" si="41"/>
        <v>0.72236074517117865</v>
      </c>
      <c r="AG142" s="809">
        <f t="shared" si="49"/>
        <v>3</v>
      </c>
      <c r="AH142" s="176">
        <f t="shared" si="42"/>
        <v>9</v>
      </c>
      <c r="AI142" s="225">
        <f t="shared" si="43"/>
        <v>3.7223607451711787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IF(t&gt;Tmaj,'2025'!Wh/'2025'!Env_an*'2026'!Env_an,0.001*[7]mois!$B$148)</f>
        <v>46.665258484390286</v>
      </c>
      <c r="C143" s="839"/>
      <c r="D143" s="393">
        <f t="shared" ref="D143:D206" si="50">Wh/(1-Ppv)</f>
        <v>51.001538591678859</v>
      </c>
      <c r="E143" s="385">
        <f t="shared" si="47"/>
        <v>55.748072129625278</v>
      </c>
      <c r="F143" s="385">
        <f t="shared" ref="F143:F206" si="51">Wh_sa/(1-Pvg*MEDIAN((-Sdif+Wh/Env_an)/Csdif,0,1))</f>
        <v>56.245028869203502</v>
      </c>
      <c r="G143" s="110">
        <f t="shared" si="48"/>
        <v>0.92891912215852934</v>
      </c>
      <c r="H143" s="414" t="b">
        <f>Wh_hp&gt;='2025'!Maxi_hp</f>
        <v>0</v>
      </c>
      <c r="I143" s="390">
        <f>IF(H143,Wh_hp,'2025'!Maxi_hp)</f>
        <v>56.299279898719327</v>
      </c>
      <c r="J143" s="85">
        <f>IF(H143,An,'2025'!An_max)</f>
        <v>2022</v>
      </c>
      <c r="K143" s="197">
        <f t="shared" ref="K143:K206" si="52">t</f>
        <v>46151</v>
      </c>
      <c r="L143" s="147">
        <f>IF(t&lt;Tvie,1-EXP((T0-t)*PertePVj)+'2025'!Pspv,1-EXP((T0-t)*PertePVj)+Pspv)</f>
        <v>8.5022535143597727E-2</v>
      </c>
      <c r="M143" s="843"/>
      <c r="N143" s="843"/>
      <c r="O143" s="48">
        <f>IF(t&lt;Tnet,'2025'!Resal+('2025'!Salim-'2025'!Resal)*(1-EXP(('2025'!Tnet-t)/('2025'!Tau_j))),Resal+(Salim-Resal)*(1-EXP((Tnet-t)/(Tau_j))))*Salcycl</f>
        <v>8.5142559314155153E-2</v>
      </c>
      <c r="P143" s="169">
        <f>(INDEX(Models!$BJ143:$BT143,,T143)*(1-R143)+INDEX(Models!$BJ143:$BT143,,T143+1)*R143-ERP_i)*Q143*Ramure*Pc/MaxiM</f>
        <v>9.8197532531444764E-3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0.52571632906708921</v>
      </c>
      <c r="S143" s="809">
        <f t="shared" ref="S143:S206" si="55">INDEX(Echel_vg,T143)</f>
        <v>2</v>
      </c>
      <c r="T143" s="176">
        <f t="shared" ref="T143:T206" si="56">MIN(MATCH(Hp_vg,Echel_vg),10)</f>
        <v>8</v>
      </c>
      <c r="U143" s="251">
        <f t="shared" ref="U143:U206" si="57">IF(OR(t&lt;Ttai,Notai),Hdd+PousH*Croivg,Hdtf+PousH*(Croivg-Croi_tai))</f>
        <v>2.5257163290670892</v>
      </c>
      <c r="V143" s="383">
        <f t="shared" ref="V143:V206" si="58">MaxiM*(1-Ppv)*(1-Pvg)*(1-Psa)</f>
        <v>50.186201005893317</v>
      </c>
      <c r="W143" s="402">
        <f t="shared" ref="W143:W206" si="59">Wh*(A143&gt;Tmaj)</f>
        <v>46.665258484390286</v>
      </c>
      <c r="X143" s="157">
        <f t="shared" ref="X143:X206" si="60">t</f>
        <v>46151</v>
      </c>
      <c r="Y143" s="385">
        <f t="shared" ref="Y143:Y206" si="61">Wh_pvt_s*(1-Ppv)</f>
        <v>42.988402746133261</v>
      </c>
      <c r="Z143" s="385">
        <f t="shared" ref="Z143:Z206" si="62">Wh_sa_s*(1-Psa_s)</f>
        <v>46.983018049389791</v>
      </c>
      <c r="AA143" s="386">
        <f t="shared" ref="AA143:AA206" si="63">Wh_hp*(1-Pvg_s*MEDIAN((-Sdif+Wh/Env_an)/Csdif,0,1))</f>
        <v>55.118578840983595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0.14760106233988363</v>
      </c>
      <c r="AD143" s="231">
        <f>(INDEX(Models!$BJ143:$BT143,,AH143)*(1-AF143)+INDEX(Models!$BJ143:$BT143,,AH143+1)*AF143-ERP_i)*AE143*Ramure*Pc/MaxiM</f>
        <v>2.2258398866881433E-2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0.72643307623199282</v>
      </c>
      <c r="AG143" s="809">
        <f t="shared" si="49"/>
        <v>3</v>
      </c>
      <c r="AH143" s="176">
        <f t="shared" ref="AH143:AH206" si="67">MIN(MATCH(Hp_vg_s,Echel_vg),10)</f>
        <v>9</v>
      </c>
      <c r="AI143" s="225">
        <f t="shared" ref="AI143:AI206" si="68">IF(OR(t&lt;Ttai,Notai),Hdd_s+PousH*Croivg,Hdtai_s+PousH*(Croivg-Croi_tai))</f>
        <v>3.7264330762319928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IF(t&gt;Tmaj,'2025'!Wh/'2025'!Env_an*'2026'!Env_an,0.001*[7]mois!$B$149)</f>
        <v>43.310254792065706</v>
      </c>
      <c r="C144" s="839"/>
      <c r="D144" s="393">
        <f t="shared" si="50"/>
        <v>47.335904574706817</v>
      </c>
      <c r="E144" s="385">
        <f t="shared" ref="E144:E169" si="72">Wh_pvt/(1-Psa)</f>
        <v>51.751982197857309</v>
      </c>
      <c r="F144" s="385">
        <f t="shared" si="51"/>
        <v>52.158793069609459</v>
      </c>
      <c r="G144" s="110">
        <f t="shared" ref="G144:G169" si="73">+Wh_hp/MaxiM</f>
        <v>0.85918439404524471</v>
      </c>
      <c r="H144" s="414" t="b">
        <f>Wh_hp&gt;='2025'!Maxi_hp</f>
        <v>0</v>
      </c>
      <c r="I144" s="390">
        <f>IF(H144,Wh_hp,'2025'!Maxi_hp)</f>
        <v>52.257479209340723</v>
      </c>
      <c r="J144" s="85">
        <f>IF(H144,An,'2025'!An_max)</f>
        <v>2022</v>
      </c>
      <c r="K144" s="197">
        <f t="shared" si="52"/>
        <v>46152</v>
      </c>
      <c r="L144" s="147">
        <f>IF(t&lt;Tvie,1-EXP((T0-t)*PertePVj)+'2025'!Pspv,1-EXP((T0-t)*PertePVj)+Pspv)</f>
        <v>8.504431929229786E-2</v>
      </c>
      <c r="M144" s="843"/>
      <c r="N144" s="843"/>
      <c r="O144" s="48">
        <f>IF(t&lt;Tnet,'2025'!Resal+('2025'!Salim-'2025'!Resal)*(1-EXP(('2025'!Tnet-t)/('2025'!Tau_j))),Resal+(Salim-Resal)*(1-EXP((Tnet-t)/(Tau_j))))*Salcycl</f>
        <v>8.5331564813633978E-2</v>
      </c>
      <c r="P144" s="169">
        <f>(INDEX(Models!$BJ144:$BT144,,T144)*(1-R144)+INDEX(Models!$BJ144:$BT144,,T144+1)*R144-ERP_i)*Q144*Ramure*Pc/MaxiM</f>
        <v>9.734332087419563E-3</v>
      </c>
      <c r="Q144" s="305">
        <f t="shared" si="53"/>
        <v>0.8</v>
      </c>
      <c r="R144" s="177">
        <f t="shared" si="54"/>
        <v>0.5298863213231515</v>
      </c>
      <c r="S144" s="809">
        <f t="shared" si="55"/>
        <v>2</v>
      </c>
      <c r="T144" s="176">
        <f t="shared" si="56"/>
        <v>8</v>
      </c>
      <c r="U144" s="251">
        <f t="shared" si="57"/>
        <v>2.5298863213231515</v>
      </c>
      <c r="V144" s="383">
        <f t="shared" si="58"/>
        <v>50.310267428924199</v>
      </c>
      <c r="W144" s="402">
        <f t="shared" si="59"/>
        <v>43.310254792065706</v>
      </c>
      <c r="X144" s="157">
        <f t="shared" si="60"/>
        <v>46152</v>
      </c>
      <c r="Y144" s="385">
        <f t="shared" si="61"/>
        <v>39.963320621903513</v>
      </c>
      <c r="Z144" s="385">
        <f t="shared" si="62"/>
        <v>43.677875840928806</v>
      </c>
      <c r="AA144" s="386">
        <f t="shared" si="63"/>
        <v>51.249581477233221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0.147741804285134</v>
      </c>
      <c r="AD144" s="231">
        <f>(INDEX(Models!$BJ144:$BT144,,AH144)*(1-AF144)+INDEX(Models!$BJ144:$BT144,,AH144+1)*AF144-ERP_i)*AE144*Ramure*Pc/MaxiM</f>
        <v>2.175597603820683E-2</v>
      </c>
      <c r="AE144" s="305">
        <f t="shared" si="65"/>
        <v>0.8</v>
      </c>
      <c r="AF144" s="177">
        <f t="shared" si="66"/>
        <v>0.73060306848805467</v>
      </c>
      <c r="AG144" s="809">
        <f t="shared" ref="AG144:AG207" si="74">INDEX(Echel_vg,AH144)</f>
        <v>3</v>
      </c>
      <c r="AH144" s="176">
        <f t="shared" si="67"/>
        <v>9</v>
      </c>
      <c r="AI144" s="225">
        <f t="shared" si="68"/>
        <v>3.7306030684880547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IF(t&gt;Tmaj,'2025'!Wh/'2025'!Env_an*'2026'!Env_an,0.001*[7]mois!$B$150)</f>
        <v>46.816167140217431</v>
      </c>
      <c r="C145" s="839"/>
      <c r="D145" s="393">
        <f t="shared" si="50"/>
        <v>51.168906617570421</v>
      </c>
      <c r="E145" s="385">
        <f t="shared" si="72"/>
        <v>55.954188381221883</v>
      </c>
      <c r="F145" s="385">
        <f t="shared" si="51"/>
        <v>56.444201622967256</v>
      </c>
      <c r="G145" s="110">
        <f t="shared" si="73"/>
        <v>0.92746828643698642</v>
      </c>
      <c r="H145" s="414" t="b">
        <f>Wh_hp&gt;='2025'!Maxi_hp</f>
        <v>0</v>
      </c>
      <c r="I145" s="390">
        <f>IF(H145,Wh_hp,'2025'!Maxi_hp)</f>
        <v>56.498682503617381</v>
      </c>
      <c r="J145" s="85">
        <f>IF(H145,An,'2025'!An_max)</f>
        <v>2022</v>
      </c>
      <c r="K145" s="197">
        <f t="shared" si="52"/>
        <v>46153</v>
      </c>
      <c r="L145" s="147">
        <f>IF(t&lt;Tvie,1-EXP((T0-t)*PertePVj)+'2025'!Pspv,1-EXP((T0-t)*PertePVj)+Pspv)</f>
        <v>8.5066102934049065E-2</v>
      </c>
      <c r="M145" s="843"/>
      <c r="N145" s="843"/>
      <c r="O145" s="48">
        <f>IF(t&lt;Tnet,'2025'!Resal+('2025'!Salim-'2025'!Resal)*(1-EXP(('2025'!Tnet-t)/('2025'!Tau_j))),Resal+(Salim-Resal)*(1-EXP((Tnet-t)/(Tau_j))))*Salcycl</f>
        <v>8.5521422114977874E-2</v>
      </c>
      <c r="P145" s="169">
        <f>(INDEX(Models!$BJ145:$BT145,,T145)*(1-R145)+INDEX(Models!$BJ145:$BT145,,T145+1)*R145-ERP_i)*Q145*Ramure*Pc/MaxiM</f>
        <v>9.6706125893872303E-3</v>
      </c>
      <c r="Q145" s="305">
        <f t="shared" si="53"/>
        <v>0.8</v>
      </c>
      <c r="R145" s="177">
        <f t="shared" si="54"/>
        <v>0.53415388259318819</v>
      </c>
      <c r="S145" s="809">
        <f t="shared" si="55"/>
        <v>2</v>
      </c>
      <c r="T145" s="176">
        <f t="shared" si="56"/>
        <v>8</v>
      </c>
      <c r="U145" s="251">
        <f t="shared" si="57"/>
        <v>2.5341538825931882</v>
      </c>
      <c r="V145" s="383">
        <f t="shared" si="58"/>
        <v>50.427006404027082</v>
      </c>
      <c r="W145" s="402">
        <f t="shared" si="59"/>
        <v>46.816167140217431</v>
      </c>
      <c r="X145" s="157">
        <f t="shared" si="60"/>
        <v>46153</v>
      </c>
      <c r="Y145" s="385">
        <f t="shared" si="61"/>
        <v>43.164255811239606</v>
      </c>
      <c r="Z145" s="385">
        <f t="shared" si="62"/>
        <v>47.177458338422682</v>
      </c>
      <c r="AA145" s="386">
        <f t="shared" si="63"/>
        <v>55.365068817710416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0.1478840477241247</v>
      </c>
      <c r="AD145" s="231">
        <f>(INDEX(Models!$BJ145:$BT145,,AH145)*(1-AF145)+INDEX(Models!$BJ145:$BT145,,AH145+1)*AF145-ERP_i)*AE145*Ramure*Pc/MaxiM</f>
        <v>2.129712914484953E-2</v>
      </c>
      <c r="AE145" s="305">
        <f t="shared" si="65"/>
        <v>0.8</v>
      </c>
      <c r="AF145" s="177">
        <f t="shared" si="66"/>
        <v>0.73487062975809181</v>
      </c>
      <c r="AG145" s="809">
        <f t="shared" si="74"/>
        <v>3</v>
      </c>
      <c r="AH145" s="176">
        <f t="shared" si="67"/>
        <v>9</v>
      </c>
      <c r="AI145" s="225">
        <f t="shared" si="68"/>
        <v>3.7348706297580918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IF(t&gt;Tmaj,'2025'!Wh/'2025'!Env_an*'2026'!Env_an,0.001*[7]mois!$B$151)</f>
        <v>35.793156673959587</v>
      </c>
      <c r="C146" s="839"/>
      <c r="D146" s="393">
        <f t="shared" si="50"/>
        <v>39.121961693310411</v>
      </c>
      <c r="E146" s="385">
        <f t="shared" si="72"/>
        <v>42.789542948174322</v>
      </c>
      <c r="F146" s="385">
        <f t="shared" si="51"/>
        <v>43.03120278230427</v>
      </c>
      <c r="G146" s="110">
        <f t="shared" si="73"/>
        <v>0.70540913629005031</v>
      </c>
      <c r="H146" s="414" t="b">
        <f>Wh_hp&gt;='2025'!Maxi_hp</f>
        <v>0</v>
      </c>
      <c r="I146" s="390">
        <f>IF(H146,Wh_hp,'2025'!Maxi_hp)</f>
        <v>59.943333681324077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8.5087886068863111E-2</v>
      </c>
      <c r="M146" s="843"/>
      <c r="N146" s="843"/>
      <c r="O146" s="48">
        <f>IF(t&lt;Tnet,'2025'!Resal+('2025'!Salim-'2025'!Resal)*(1-EXP(('2025'!Tnet-t)/('2025'!Tau_j))),Resal+(Salim-Resal)*(1-EXP((Tnet-t)/(Tau_j))))*Salcycl</f>
        <v>8.5712092305028784E-2</v>
      </c>
      <c r="P146" s="169">
        <f>(INDEX(Models!$BJ146:$BT146,,T146)*(1-R146)+INDEX(Models!$BJ146:$BT146,,T146+1)*R146-ERP_i)*Q146*Ramure*Pc/MaxiM</f>
        <v>9.6288475450000272E-3</v>
      </c>
      <c r="Q146" s="305">
        <f t="shared" si="53"/>
        <v>0.8</v>
      </c>
      <c r="R146" s="177">
        <f t="shared" si="54"/>
        <v>0.53851874777058306</v>
      </c>
      <c r="S146" s="809">
        <f t="shared" si="55"/>
        <v>2</v>
      </c>
      <c r="T146" s="176">
        <f t="shared" si="56"/>
        <v>8</v>
      </c>
      <c r="U146" s="251">
        <f t="shared" si="57"/>
        <v>2.5385187477705831</v>
      </c>
      <c r="V146" s="383">
        <f t="shared" si="58"/>
        <v>50.536218387662643</v>
      </c>
      <c r="W146" s="402">
        <f t="shared" si="59"/>
        <v>35.793156673959587</v>
      </c>
      <c r="X146" s="157">
        <f t="shared" si="60"/>
        <v>46154</v>
      </c>
      <c r="Y146" s="385">
        <f t="shared" si="61"/>
        <v>33.1334332574325</v>
      </c>
      <c r="Z146" s="385">
        <f t="shared" si="62"/>
        <v>36.214880919071938</v>
      </c>
      <c r="AA146" s="386">
        <f t="shared" si="63"/>
        <v>42.507111750664798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0.14802771989076507</v>
      </c>
      <c r="AD146" s="231">
        <f>(INDEX(Models!$BJ146:$BT146,,AH146)*(1-AF146)+INDEX(Models!$BJ146:$BT146,,AH146+1)*AF146-ERP_i)*AE146*Ramure*Pc/MaxiM</f>
        <v>2.0882215124937164E-2</v>
      </c>
      <c r="AE146" s="305">
        <f t="shared" si="65"/>
        <v>0.8</v>
      </c>
      <c r="AF146" s="177">
        <f t="shared" si="66"/>
        <v>0.73923549493548668</v>
      </c>
      <c r="AG146" s="809">
        <f t="shared" si="74"/>
        <v>3</v>
      </c>
      <c r="AH146" s="176">
        <f t="shared" si="67"/>
        <v>9</v>
      </c>
      <c r="AI146" s="225">
        <f t="shared" si="68"/>
        <v>3.7392354949354867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IF(t&gt;Tmaj,'2025'!Wh/'2025'!Env_an*'2026'!Env_an,0.001*[7]mois!$B$152)</f>
        <v>38.228931184614353</v>
      </c>
      <c r="C147" s="839"/>
      <c r="D147" s="393">
        <f t="shared" si="50"/>
        <v>41.785260895869108</v>
      </c>
      <c r="E147" s="385">
        <f t="shared" si="72"/>
        <v>45.712091035314636</v>
      </c>
      <c r="F147" s="385">
        <f t="shared" si="51"/>
        <v>45.999374241330401</v>
      </c>
      <c r="G147" s="110">
        <f t="shared" si="73"/>
        <v>0.75239436811917126</v>
      </c>
      <c r="H147" s="414" t="b">
        <f>Wh_hp&gt;='2025'!Maxi_hp</f>
        <v>0</v>
      </c>
      <c r="I147" s="390">
        <f>IF(H147,Wh_hp,'2025'!Maxi_hp)</f>
        <v>63.165410025979916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8.5109668696751767E-2</v>
      </c>
      <c r="M147" s="843"/>
      <c r="N147" s="843"/>
      <c r="O147" s="48">
        <f>IF(t&lt;Tnet,'2025'!Resal+('2025'!Salim-'2025'!Resal)*(1-EXP(('2025'!Tnet-t)/('2025'!Tau_j))),Resal+(Salim-Resal)*(1-EXP((Tnet-t)/(Tau_j))))*Salcycl</f>
        <v>8.5903533408959037E-2</v>
      </c>
      <c r="P147" s="169">
        <f>(INDEX(Models!$BJ147:$BT147,,T147)*(1-R147)+INDEX(Models!$BJ147:$BT147,,T147+1)*R147-ERP_i)*Q147*Ramure*Pc/MaxiM</f>
        <v>9.6093218727817346E-3</v>
      </c>
      <c r="Q147" s="305">
        <f t="shared" si="53"/>
        <v>0.8</v>
      </c>
      <c r="R147" s="177">
        <f t="shared" si="54"/>
        <v>0.54298047152112527</v>
      </c>
      <c r="S147" s="809">
        <f t="shared" si="55"/>
        <v>2</v>
      </c>
      <c r="T147" s="176">
        <f t="shared" si="56"/>
        <v>8</v>
      </c>
      <c r="U147" s="251">
        <f t="shared" si="57"/>
        <v>2.5429804715211253</v>
      </c>
      <c r="V147" s="383">
        <f t="shared" si="58"/>
        <v>50.637703296142298</v>
      </c>
      <c r="W147" s="402">
        <f t="shared" si="59"/>
        <v>38.228931184614353</v>
      </c>
      <c r="X147" s="157">
        <f t="shared" si="60"/>
        <v>46155</v>
      </c>
      <c r="Y147" s="385">
        <f t="shared" si="61"/>
        <v>35.370722206927169</v>
      </c>
      <c r="Z147" s="385">
        <f t="shared" si="62"/>
        <v>38.661160793493224</v>
      </c>
      <c r="AA147" s="386">
        <f t="shared" si="63"/>
        <v>45.386151336972986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0.14817274312486983</v>
      </c>
      <c r="AD147" s="231">
        <f>(INDEX(Models!$BJ147:$BT147,,AH147)*(1-AF147)+INDEX(Models!$BJ147:$BT147,,AH147+1)*AF147-ERP_i)*AE147*Ramure*Pc/MaxiM</f>
        <v>2.0511662862078509E-2</v>
      </c>
      <c r="AE147" s="305">
        <f t="shared" si="65"/>
        <v>0.8</v>
      </c>
      <c r="AF147" s="177">
        <f t="shared" si="66"/>
        <v>0.74369721868602889</v>
      </c>
      <c r="AG147" s="809">
        <f t="shared" si="74"/>
        <v>3</v>
      </c>
      <c r="AH147" s="176">
        <f t="shared" si="67"/>
        <v>9</v>
      </c>
      <c r="AI147" s="225">
        <f t="shared" si="68"/>
        <v>3.7436972186860289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IF(t&gt;Tmaj,'2025'!Wh/'2025'!Env_an*'2026'!Env_an,0.001*[7]mois!$B$153)</f>
        <v>41.725809032523586</v>
      </c>
      <c r="C148" s="839"/>
      <c r="D148" s="393">
        <f t="shared" si="50"/>
        <v>45.608529301634533</v>
      </c>
      <c r="E148" s="385">
        <f t="shared" si="72"/>
        <v>49.905147970264267</v>
      </c>
      <c r="F148" s="385">
        <f t="shared" si="51"/>
        <v>50.265792870280578</v>
      </c>
      <c r="G148" s="110">
        <f t="shared" si="73"/>
        <v>0.82046775426258922</v>
      </c>
      <c r="H148" s="414" t="b">
        <f>Wh_hp&gt;='2025'!Maxi_hp</f>
        <v>0</v>
      </c>
      <c r="I148" s="390">
        <f>IF(H148,Wh_hp,'2025'!Maxi_hp)</f>
        <v>61.55883645461271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8.51314508177268E-2</v>
      </c>
      <c r="M148" s="843"/>
      <c r="N148" s="843"/>
      <c r="O148" s="48">
        <f>IF(t&lt;Tnet,'2025'!Resal+('2025'!Salim-'2025'!Resal)*(1-EXP(('2025'!Tnet-t)/('2025'!Tau_j))),Resal+(Salim-Resal)*(1-EXP((Tnet-t)/(Tau_j))))*Salcycl</f>
        <v>8.6095700411305348E-2</v>
      </c>
      <c r="P148" s="169">
        <f>(INDEX(Models!$BJ148:$BT148,,T148)*(1-R148)+INDEX(Models!$BJ148:$BT148,,T148+1)*R148-ERP_i)*Q148*Ramure*Pc/MaxiM</f>
        <v>9.6123527046194299E-3</v>
      </c>
      <c r="Q148" s="305">
        <f t="shared" si="53"/>
        <v>0.8</v>
      </c>
      <c r="R148" s="177">
        <f t="shared" si="54"/>
        <v>0.54753842139984821</v>
      </c>
      <c r="S148" s="809">
        <f t="shared" si="55"/>
        <v>2</v>
      </c>
      <c r="T148" s="176">
        <f t="shared" si="56"/>
        <v>8</v>
      </c>
      <c r="U148" s="251">
        <f t="shared" si="57"/>
        <v>2.5475384213998482</v>
      </c>
      <c r="V148" s="383">
        <f t="shared" si="58"/>
        <v>50.73126053146499</v>
      </c>
      <c r="W148" s="402">
        <f t="shared" si="59"/>
        <v>41.725809032523586</v>
      </c>
      <c r="X148" s="157">
        <f t="shared" si="60"/>
        <v>46156</v>
      </c>
      <c r="Y148" s="385">
        <f t="shared" si="61"/>
        <v>38.575792558035886</v>
      </c>
      <c r="Z148" s="385">
        <f t="shared" si="62"/>
        <v>42.165393697833046</v>
      </c>
      <c r="AA148" s="386">
        <f t="shared" si="63"/>
        <v>49.508437346267471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0.14831903493694143</v>
      </c>
      <c r="AD148" s="231">
        <f>(INDEX(Models!$BJ148:$BT148,,AH148)*(1-AF148)+INDEX(Models!$BJ148:$BT148,,AH148+1)*AF148-ERP_i)*AE148*Ramure*Pc/MaxiM</f>
        <v>2.0185973569227151E-2</v>
      </c>
      <c r="AE148" s="305">
        <f t="shared" si="65"/>
        <v>0.8</v>
      </c>
      <c r="AF148" s="177">
        <f t="shared" si="66"/>
        <v>0.74825516856475183</v>
      </c>
      <c r="AG148" s="809">
        <f t="shared" si="74"/>
        <v>3</v>
      </c>
      <c r="AH148" s="176">
        <f t="shared" si="67"/>
        <v>9</v>
      </c>
      <c r="AI148" s="225">
        <f t="shared" si="68"/>
        <v>3.7482551685647518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IF(t&gt;Tmaj,'2025'!Wh/'2025'!Env_an*'2026'!Env_an,0.001*[7]mois!$B$154)</f>
        <v>43.88841303855019</v>
      </c>
      <c r="C149" s="839"/>
      <c r="D149" s="393">
        <f t="shared" si="50"/>
        <v>47.97351271755835</v>
      </c>
      <c r="E149" s="385">
        <f t="shared" si="72"/>
        <v>52.504007113374705</v>
      </c>
      <c r="F149" s="385">
        <f t="shared" si="51"/>
        <v>52.914687343268838</v>
      </c>
      <c r="G149" s="110">
        <f t="shared" si="73"/>
        <v>0.86203325372140949</v>
      </c>
      <c r="H149" s="414" t="b">
        <f>Wh_hp&gt;='2025'!Maxi_hp</f>
        <v>0</v>
      </c>
      <c r="I149" s="390">
        <f>IF(H149,Wh_hp,'2025'!Maxi_hp)</f>
        <v>62.517859934391758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8.5153232431800091E-2</v>
      </c>
      <c r="M149" s="843"/>
      <c r="N149" s="843"/>
      <c r="O149" s="48">
        <f>IF(t&lt;Tnet,'2025'!Resal+('2025'!Salim-'2025'!Resal)*(1-EXP(('2025'!Tnet-t)/('2025'!Tau_j))),Resal+(Salim-Resal)*(1-EXP((Tnet-t)/(Tau_j))))*Salcycl</f>
        <v>8.628854529204634E-2</v>
      </c>
      <c r="P149" s="169">
        <f>(INDEX(Models!$BJ149:$BT149,,T149)*(1-R149)+INDEX(Models!$BJ149:$BT149,,T149+1)*R149-ERP_i)*Q149*Ramure*Pc/MaxiM</f>
        <v>9.6383533802940676E-3</v>
      </c>
      <c r="Q149" s="305">
        <f t="shared" si="53"/>
        <v>0.8</v>
      </c>
      <c r="R149" s="177">
        <f t="shared" si="54"/>
        <v>0.55219177145789589</v>
      </c>
      <c r="S149" s="809">
        <f t="shared" si="55"/>
        <v>2</v>
      </c>
      <c r="T149" s="176">
        <f t="shared" si="56"/>
        <v>8</v>
      </c>
      <c r="U149" s="251">
        <f t="shared" si="57"/>
        <v>2.5521917714578959</v>
      </c>
      <c r="V149" s="383">
        <f t="shared" si="58"/>
        <v>50.816348581301021</v>
      </c>
      <c r="W149" s="402">
        <f t="shared" si="59"/>
        <v>43.88841303855019</v>
      </c>
      <c r="X149" s="157">
        <f t="shared" si="60"/>
        <v>46157</v>
      </c>
      <c r="Y149" s="385">
        <f t="shared" si="61"/>
        <v>40.560998735484716</v>
      </c>
      <c r="Z149" s="385">
        <f t="shared" si="62"/>
        <v>44.336385254223437</v>
      </c>
      <c r="AA149" s="386">
        <f t="shared" si="63"/>
        <v>52.066519609466098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0.14846650809817635</v>
      </c>
      <c r="AD149" s="231">
        <f>(INDEX(Models!$BJ149:$BT149,,AH149)*(1-AF149)+INDEX(Models!$BJ149:$BT149,,AH149+1)*AF149-ERP_i)*AE149*Ramure*Pc/MaxiM</f>
        <v>1.990585314092487E-2</v>
      </c>
      <c r="AE149" s="305">
        <f t="shared" si="65"/>
        <v>0.8</v>
      </c>
      <c r="AF149" s="177">
        <f t="shared" si="66"/>
        <v>0.75290851862279951</v>
      </c>
      <c r="AG149" s="809">
        <f t="shared" si="74"/>
        <v>3</v>
      </c>
      <c r="AH149" s="176">
        <f t="shared" si="67"/>
        <v>9</v>
      </c>
      <c r="AI149" s="225">
        <f t="shared" si="68"/>
        <v>3.7529085186227995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IF(t&gt;Tmaj,'2025'!Wh/'2025'!Env_an*'2026'!Env_an,0.001*[7]mois!$B$155)</f>
        <v>42.55077850222267</v>
      </c>
      <c r="C150" s="839"/>
      <c r="D150" s="393">
        <f t="shared" si="50"/>
        <v>46.512479580197699</v>
      </c>
      <c r="E150" s="385">
        <f t="shared" si="72"/>
        <v>50.915778834960918</v>
      </c>
      <c r="F150" s="385">
        <f t="shared" si="51"/>
        <v>51.29654725362257</v>
      </c>
      <c r="G150" s="110">
        <f t="shared" si="73"/>
        <v>0.83417871644330588</v>
      </c>
      <c r="H150" s="414" t="b">
        <f>Wh_hp&gt;='2025'!Maxi_hp</f>
        <v>0</v>
      </c>
      <c r="I150" s="390">
        <f>IF(H150,Wh_hp,'2025'!Maxi_hp)</f>
        <v>52.342496301263523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8.5175013538983407E-2</v>
      </c>
      <c r="M150" s="843"/>
      <c r="N150" s="843"/>
      <c r="O150" s="48">
        <f>IF(t&lt;Tnet,'2025'!Resal+('2025'!Salim-'2025'!Resal)*(1-EXP(('2025'!Tnet-t)/('2025'!Tau_j))),Resal+(Salim-Resal)*(1-EXP((Tnet-t)/(Tau_j))))*Salcycl</f>
        <v>8.6482017078362547E-2</v>
      </c>
      <c r="P150" s="169">
        <f>(INDEX(Models!$BJ150:$BT150,,T150)*(1-R150)+INDEX(Models!$BJ150:$BT150,,T150+1)*R150-ERP_i)*Q150*Ramure*Pc/MaxiM</f>
        <v>9.6924317944292408E-3</v>
      </c>
      <c r="Q150" s="305">
        <f t="shared" si="53"/>
        <v>0.8</v>
      </c>
      <c r="R150" s="177">
        <f t="shared" si="54"/>
        <v>0.55693949641124707</v>
      </c>
      <c r="S150" s="809">
        <f t="shared" si="55"/>
        <v>2</v>
      </c>
      <c r="T150" s="176">
        <f t="shared" si="56"/>
        <v>8</v>
      </c>
      <c r="U150" s="251">
        <f t="shared" si="57"/>
        <v>2.5569394964112471</v>
      </c>
      <c r="V150" s="383">
        <f t="shared" si="58"/>
        <v>50.892553988680881</v>
      </c>
      <c r="W150" s="402">
        <f t="shared" si="59"/>
        <v>42.55077850222267</v>
      </c>
      <c r="X150" s="157">
        <f t="shared" si="60"/>
        <v>46158</v>
      </c>
      <c r="Y150" s="385">
        <f t="shared" si="61"/>
        <v>39.350860012882784</v>
      </c>
      <c r="Z150" s="385">
        <f t="shared" si="62"/>
        <v>43.014631864298821</v>
      </c>
      <c r="AA150" s="386">
        <f t="shared" si="63"/>
        <v>50.523130474629745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0.14861507075657809</v>
      </c>
      <c r="AD150" s="231">
        <f>(INDEX(Models!$BJ150:$BT150,,AH150)*(1-AF150)+INDEX(Models!$BJ150:$BT150,,AH150+1)*AF150-ERP_i)*AE150*Ramure*Pc/MaxiM</f>
        <v>1.9687266621017354E-2</v>
      </c>
      <c r="AE150" s="305">
        <f t="shared" si="65"/>
        <v>0.8</v>
      </c>
      <c r="AF150" s="177">
        <f t="shared" si="66"/>
        <v>0.75765624357615069</v>
      </c>
      <c r="AG150" s="809">
        <f t="shared" si="74"/>
        <v>3</v>
      </c>
      <c r="AH150" s="176">
        <f t="shared" si="67"/>
        <v>9</v>
      </c>
      <c r="AI150" s="225">
        <f t="shared" si="68"/>
        <v>3.7576562435761507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IF(t&gt;Tmaj,'2025'!Wh/'2025'!Env_an*'2026'!Env_an,0.001*[7]mois!$B$156)</f>
        <v>45.355975333334641</v>
      </c>
      <c r="C151" s="839"/>
      <c r="D151" s="393">
        <f t="shared" si="50"/>
        <v>49.580035402981061</v>
      </c>
      <c r="E151" s="385">
        <f t="shared" si="72"/>
        <v>54.285268715071268</v>
      </c>
      <c r="F151" s="385">
        <f t="shared" si="51"/>
        <v>54.735486429405157</v>
      </c>
      <c r="G151" s="110">
        <f t="shared" si="73"/>
        <v>0.88863628921211468</v>
      </c>
      <c r="H151" s="414" t="b">
        <f>Wh_hp&gt;='2025'!Maxi_hp</f>
        <v>0</v>
      </c>
      <c r="I151" s="390">
        <f>IF(H151,Wh_hp,'2025'!Maxi_hp)</f>
        <v>59.99498381286103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8.5196794139288629E-2</v>
      </c>
      <c r="M151" s="843"/>
      <c r="N151" s="843"/>
      <c r="O151" s="48">
        <f>IF(t&lt;Tnet,'2025'!Resal+('2025'!Salim-'2025'!Resal)*(1-EXP(('2025'!Tnet-t)/('2025'!Tau_j))),Resal+(Salim-Resal)*(1-EXP((Tnet-t)/(Tau_j))))*Salcycl</f>
        <v>8.6676061912610333E-2</v>
      </c>
      <c r="P151" s="169">
        <f>(INDEX(Models!$BJ151:$BT151,,T151)*(1-R151)+INDEX(Models!$BJ151:$BT151,,T151+1)*R151-ERP_i)*Q151*Ramure*Pc/MaxiM</f>
        <v>9.7586687483800401E-3</v>
      </c>
      <c r="Q151" s="305">
        <f t="shared" si="53"/>
        <v>0.8</v>
      </c>
      <c r="R151" s="177">
        <f t="shared" si="54"/>
        <v>0.56178036644321594</v>
      </c>
      <c r="S151" s="809">
        <f t="shared" si="55"/>
        <v>2</v>
      </c>
      <c r="T151" s="176">
        <f t="shared" si="56"/>
        <v>8</v>
      </c>
      <c r="U151" s="251">
        <f t="shared" si="57"/>
        <v>2.5617803664432159</v>
      </c>
      <c r="V151" s="383">
        <f t="shared" si="58"/>
        <v>50.961066135862637</v>
      </c>
      <c r="W151" s="402">
        <f t="shared" si="59"/>
        <v>45.355975333334641</v>
      </c>
      <c r="X151" s="157">
        <f t="shared" si="60"/>
        <v>46159</v>
      </c>
      <c r="Y151" s="385">
        <f t="shared" si="61"/>
        <v>41.922617494946103</v>
      </c>
      <c r="Z151" s="385">
        <f t="shared" si="62"/>
        <v>45.826924552043238</v>
      </c>
      <c r="AA151" s="386">
        <f t="shared" si="63"/>
        <v>53.835785004936788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0.14876462657986936</v>
      </c>
      <c r="AD151" s="231">
        <f>(INDEX(Models!$BJ151:$BT151,,AH151)*(1-AF151)+INDEX(Models!$BJ151:$BT151,,AH151+1)*AF151-ERP_i)*AE151*Ramure*Pc/MaxiM</f>
        <v>1.9501427630013796E-2</v>
      </c>
      <c r="AE151" s="305">
        <f t="shared" si="65"/>
        <v>0.8</v>
      </c>
      <c r="AF151" s="177">
        <f t="shared" si="66"/>
        <v>0.76249711360811911</v>
      </c>
      <c r="AG151" s="809">
        <f t="shared" si="74"/>
        <v>3</v>
      </c>
      <c r="AH151" s="176">
        <f t="shared" si="67"/>
        <v>9</v>
      </c>
      <c r="AI151" s="225">
        <f t="shared" si="68"/>
        <v>3.7624971136081191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IF(t&gt;Tmaj,'2025'!Wh/'2025'!Env_an*'2026'!Env_an,0.001*[7]mois!$B$157)</f>
        <v>44.285392522662207</v>
      </c>
      <c r="C152" s="839"/>
      <c r="D152" s="393">
        <f t="shared" si="50"/>
        <v>48.410900435060583</v>
      </c>
      <c r="E152" s="385">
        <f t="shared" si="72"/>
        <v>53.016474621996394</v>
      </c>
      <c r="F152" s="385">
        <f t="shared" si="51"/>
        <v>53.44304067463991</v>
      </c>
      <c r="G152" s="110">
        <f t="shared" si="73"/>
        <v>0.86633885544439659</v>
      </c>
      <c r="H152" s="414" t="b">
        <f>Wh_hp&gt;='2025'!Maxi_hp</f>
        <v>0</v>
      </c>
      <c r="I152" s="390">
        <f>IF(H152,Wh_hp,'2025'!Maxi_hp)</f>
        <v>63.269617508467668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8.5218574232727301E-2</v>
      </c>
      <c r="M152" s="843"/>
      <c r="N152" s="843"/>
      <c r="O152" s="48">
        <f>IF(t&lt;Tnet,'2025'!Resal+('2025'!Salim-'2025'!Resal)*(1-EXP(('2025'!Tnet-t)/('2025'!Tau_j))),Resal+(Salim-Resal)*(1-EXP((Tnet-t)/(Tau_j))))*Salcycl</f>
        <v>8.6870623136925257E-2</v>
      </c>
      <c r="P152" s="169">
        <f>(INDEX(Models!$BJ152:$BT152,,T152)*(1-R152)+INDEX(Models!$BJ152:$BT152,,T152+1)*R152-ERP_i)*Q152*Ramure*Pc/MaxiM</f>
        <v>9.8372478247563313E-3</v>
      </c>
      <c r="Q152" s="305">
        <f t="shared" si="53"/>
        <v>0.8</v>
      </c>
      <c r="R152" s="177">
        <f t="shared" si="54"/>
        <v>0.56671294271196437</v>
      </c>
      <c r="S152" s="809">
        <f t="shared" si="55"/>
        <v>2</v>
      </c>
      <c r="T152" s="176">
        <f t="shared" si="56"/>
        <v>8</v>
      </c>
      <c r="U152" s="251">
        <f t="shared" si="57"/>
        <v>2.5667129427119644</v>
      </c>
      <c r="V152" s="383">
        <f t="shared" si="58"/>
        <v>51.022249778297564</v>
      </c>
      <c r="W152" s="402">
        <f t="shared" si="59"/>
        <v>44.285392522662207</v>
      </c>
      <c r="X152" s="157">
        <f t="shared" si="60"/>
        <v>46160</v>
      </c>
      <c r="Y152" s="385">
        <f t="shared" si="61"/>
        <v>40.955225372219431</v>
      </c>
      <c r="Z152" s="385">
        <f t="shared" si="62"/>
        <v>44.770503880605403</v>
      </c>
      <c r="AA152" s="386">
        <f t="shared" si="63"/>
        <v>52.604038165399921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0.14891507492569259</v>
      </c>
      <c r="AD152" s="231">
        <f>(INDEX(Models!$BJ152:$BT152,,AH152)*(1-AF152)+INDEX(Models!$BJ152:$BT152,,AH152+1)*AF152-ERP_i)*AE152*Ramure*Pc/MaxiM</f>
        <v>1.9348646142461977E-2</v>
      </c>
      <c r="AE152" s="305">
        <f t="shared" si="65"/>
        <v>0.8</v>
      </c>
      <c r="AF152" s="177">
        <f t="shared" si="66"/>
        <v>0.76742968987686799</v>
      </c>
      <c r="AG152" s="809">
        <f t="shared" si="74"/>
        <v>3</v>
      </c>
      <c r="AH152" s="176">
        <f t="shared" si="67"/>
        <v>9</v>
      </c>
      <c r="AI152" s="225">
        <f t="shared" si="68"/>
        <v>3.767429689876868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IF(t&gt;Tmaj,'2025'!Wh/'2025'!Env_an*'2026'!Env_an,0.001*[7]mois!$B$158)</f>
        <v>46.573371405030493</v>
      </c>
      <c r="C153" s="839"/>
      <c r="D153" s="393">
        <f t="shared" si="50"/>
        <v>50.913233437312186</v>
      </c>
      <c r="E153" s="385">
        <f t="shared" si="72"/>
        <v>55.768777850682866</v>
      </c>
      <c r="F153" s="385">
        <f t="shared" si="51"/>
        <v>56.256970693722025</v>
      </c>
      <c r="G153" s="110">
        <f t="shared" si="73"/>
        <v>0.91068596407790181</v>
      </c>
      <c r="H153" s="414" t="b">
        <f>Wh_hp&gt;='2025'!Maxi_hp</f>
        <v>0</v>
      </c>
      <c r="I153" s="390">
        <f>IF(H153,Wh_hp,'2025'!Maxi_hp)</f>
        <v>62.475898424686022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8.5240353819311526E-2</v>
      </c>
      <c r="M153" s="843"/>
      <c r="N153" s="843"/>
      <c r="O153" s="48">
        <f>IF(t&lt;Tnet,'2025'!Resal+('2025'!Salim-'2025'!Resal)*(1-EXP(('2025'!Tnet-t)/('2025'!Tau_j))),Resal+(Salim-Resal)*(1-EXP((Tnet-t)/(Tau_j))))*Salcycl</f>
        <v>8.7065641394743723E-2</v>
      </c>
      <c r="P153" s="169">
        <f>(INDEX(Models!$BJ153:$BT153,,T153)*(1-R153)+INDEX(Models!$BJ153:$BT153,,T153+1)*R153-ERP_i)*Q153*Ramure*Pc/MaxiM</f>
        <v>9.9283702351590421E-3</v>
      </c>
      <c r="Q153" s="305">
        <f t="shared" si="53"/>
        <v>0.8</v>
      </c>
      <c r="R153" s="177">
        <f t="shared" si="54"/>
        <v>0.57173557363271987</v>
      </c>
      <c r="S153" s="809">
        <f t="shared" si="55"/>
        <v>2</v>
      </c>
      <c r="T153" s="176">
        <f t="shared" si="56"/>
        <v>8</v>
      </c>
      <c r="U153" s="251">
        <f t="shared" si="57"/>
        <v>2.5717355736327199</v>
      </c>
      <c r="V153" s="383">
        <f t="shared" si="58"/>
        <v>51.076468958593118</v>
      </c>
      <c r="W153" s="402">
        <f t="shared" si="59"/>
        <v>46.573371405030493</v>
      </c>
      <c r="X153" s="157">
        <f t="shared" si="60"/>
        <v>46161</v>
      </c>
      <c r="Y153" s="385">
        <f t="shared" si="61"/>
        <v>43.054411987121149</v>
      </c>
      <c r="Z153" s="385">
        <f t="shared" si="62"/>
        <v>47.0663656479407</v>
      </c>
      <c r="AA153" s="386">
        <f t="shared" si="63"/>
        <v>55.311437610878443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0.14906631103936693</v>
      </c>
      <c r="AD153" s="231">
        <f>(INDEX(Models!$BJ153:$BT153,,AH153)*(1-AF153)+INDEX(Models!$BJ153:$BT153,,AH153+1)*AF153-ERP_i)*AE153*Ramure*Pc/MaxiM</f>
        <v>1.9229291559502357E-2</v>
      </c>
      <c r="AE153" s="305">
        <f t="shared" si="65"/>
        <v>0.8</v>
      </c>
      <c r="AF153" s="177">
        <f t="shared" si="66"/>
        <v>0.77245232079762349</v>
      </c>
      <c r="AG153" s="809">
        <f t="shared" si="74"/>
        <v>3</v>
      </c>
      <c r="AH153" s="176">
        <f t="shared" si="67"/>
        <v>9</v>
      </c>
      <c r="AI153" s="225">
        <f t="shared" si="68"/>
        <v>3.7724523207976235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IF(t&gt;Tmaj,'2025'!Wh/'2025'!Env_an*'2026'!Env_an,0.001*[7]mois!$B$159)</f>
        <v>41.414473708949913</v>
      </c>
      <c r="C154" s="839"/>
      <c r="D154" s="393">
        <f t="shared" si="50"/>
        <v>45.274690376821979</v>
      </c>
      <c r="E154" s="385">
        <f t="shared" si="72"/>
        <v>49.603110081373181</v>
      </c>
      <c r="F154" s="385">
        <f t="shared" si="51"/>
        <v>49.968395258218045</v>
      </c>
      <c r="G154" s="110">
        <f t="shared" si="73"/>
        <v>0.8078563105590747</v>
      </c>
      <c r="H154" s="414" t="b">
        <f>Wh_hp&gt;='2025'!Maxi_hp</f>
        <v>0</v>
      </c>
      <c r="I154" s="390">
        <f>IF(H154,Wh_hp,'2025'!Maxi_hp)</f>
        <v>61.584962409087645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8.526213289905285E-2</v>
      </c>
      <c r="M154" s="843"/>
      <c r="N154" s="843"/>
      <c r="O154" s="48">
        <f>IF(t&lt;Tnet,'2025'!Resal+('2025'!Salim-'2025'!Resal)*(1-EXP(('2025'!Tnet-t)/('2025'!Tau_j))),Resal+(Salim-Resal)*(1-EXP((Tnet-t)/(Tau_j))))*Salcycl</f>
        <v>8.7261054749399602E-2</v>
      </c>
      <c r="P154" s="169">
        <f>(INDEX(Models!$BJ154:$BT154,,T154)*(1-R154)+INDEX(Models!$BJ154:$BT154,,T154+1)*R154-ERP_i)*Q154*Ramure*Pc/MaxiM</f>
        <v>1.0032253584413075E-2</v>
      </c>
      <c r="Q154" s="305">
        <f t="shared" si="53"/>
        <v>0.8</v>
      </c>
      <c r="R154" s="177">
        <f t="shared" si="54"/>
        <v>0.5768463920019129</v>
      </c>
      <c r="S154" s="809">
        <f t="shared" si="55"/>
        <v>2</v>
      </c>
      <c r="T154" s="176">
        <f t="shared" si="56"/>
        <v>8</v>
      </c>
      <c r="U154" s="251">
        <f t="shared" si="57"/>
        <v>2.5768463920019129</v>
      </c>
      <c r="V154" s="383">
        <f t="shared" si="58"/>
        <v>51.12408699559488</v>
      </c>
      <c r="W154" s="402">
        <f t="shared" si="59"/>
        <v>41.414473708949913</v>
      </c>
      <c r="X154" s="157">
        <f t="shared" si="60"/>
        <v>46162</v>
      </c>
      <c r="Y154" s="385">
        <f t="shared" si="61"/>
        <v>38.345048415260216</v>
      </c>
      <c r="Z154" s="385">
        <f t="shared" si="62"/>
        <v>41.919165910105036</v>
      </c>
      <c r="AA154" s="386">
        <f t="shared" si="63"/>
        <v>49.271349251851476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0.14921822627924403</v>
      </c>
      <c r="AD154" s="231">
        <f>(INDEX(Models!$BJ154:$BT154,,AH154)*(1-AF154)+INDEX(Models!$BJ154:$BT154,,AH154+1)*AF154-ERP_i)*AE154*Ramure*Pc/MaxiM</f>
        <v>1.9143788850872909E-2</v>
      </c>
      <c r="AE154" s="305">
        <f t="shared" si="65"/>
        <v>0.8</v>
      </c>
      <c r="AF154" s="177">
        <f t="shared" si="66"/>
        <v>0.77756313916681652</v>
      </c>
      <c r="AG154" s="809">
        <f t="shared" si="74"/>
        <v>3</v>
      </c>
      <c r="AH154" s="176">
        <f t="shared" si="67"/>
        <v>9</v>
      </c>
      <c r="AI154" s="225">
        <f t="shared" si="68"/>
        <v>3.7775631391668165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IF(t&gt;Tmaj,'2025'!Wh/'2025'!Env_an*'2026'!Env_an,0.001*[7]mois!$B$160)</f>
        <v>40.351289605789191</v>
      </c>
      <c r="C155" s="839"/>
      <c r="D155" s="393">
        <f t="shared" si="50"/>
        <v>44.113457838838912</v>
      </c>
      <c r="E155" s="385">
        <f t="shared" si="72"/>
        <v>48.341226784427448</v>
      </c>
      <c r="F155" s="385">
        <f t="shared" si="51"/>
        <v>48.686154425304544</v>
      </c>
      <c r="G155" s="110">
        <f t="shared" si="73"/>
        <v>0.78620907843829702</v>
      </c>
      <c r="H155" s="414" t="b">
        <f>Wh_hp&gt;='2025'!Maxi_hp</f>
        <v>0</v>
      </c>
      <c r="I155" s="390">
        <f>IF(H155,Wh_hp,'2025'!Maxi_hp)</f>
        <v>60.33184776738014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8.5283911471963264E-2</v>
      </c>
      <c r="M155" s="843"/>
      <c r="N155" s="843"/>
      <c r="O155" s="48">
        <f>IF(t&lt;Tnet,'2025'!Resal+('2025'!Salim-'2025'!Resal)*(1-EXP(('2025'!Tnet-t)/('2025'!Tau_j))),Resal+(Salim-Resal)*(1-EXP((Tnet-t)/(Tau_j))))*Salcycl</f>
        <v>8.7456798819811193E-2</v>
      </c>
      <c r="P155" s="169">
        <f>(INDEX(Models!$BJ155:$BT155,,T155)*(1-R155)+INDEX(Models!$BJ155:$BT155,,T155+1)*R155-ERP_i)*Q155*Ramure*Pc/MaxiM</f>
        <v>1.014913055324871E-2</v>
      </c>
      <c r="Q155" s="305">
        <f t="shared" si="53"/>
        <v>0.8</v>
      </c>
      <c r="R155" s="177">
        <f t="shared" si="54"/>
        <v>0.58204331302704437</v>
      </c>
      <c r="S155" s="809">
        <f t="shared" si="55"/>
        <v>2</v>
      </c>
      <c r="T155" s="176">
        <f t="shared" si="56"/>
        <v>8</v>
      </c>
      <c r="U155" s="251">
        <f t="shared" si="57"/>
        <v>2.5820433130270444</v>
      </c>
      <c r="V155" s="383">
        <f t="shared" si="58"/>
        <v>51.165466521660889</v>
      </c>
      <c r="W155" s="402">
        <f t="shared" si="59"/>
        <v>40.351289605789191</v>
      </c>
      <c r="X155" s="157">
        <f t="shared" si="60"/>
        <v>46163</v>
      </c>
      <c r="Y155" s="385">
        <f t="shared" si="61"/>
        <v>37.377048765734841</v>
      </c>
      <c r="Z155" s="385">
        <f t="shared" si="62"/>
        <v>40.861912493396801</v>
      </c>
      <c r="AA155" s="386">
        <f t="shared" si="63"/>
        <v>48.037274163308368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0.14937070836946484</v>
      </c>
      <c r="AD155" s="231">
        <f>(INDEX(Models!$BJ155:$BT155,,AH155)*(1-AF155)+INDEX(Models!$BJ155:$BT155,,AH155+1)*AF155-ERP_i)*AE155*Ramure*Pc/MaxiM</f>
        <v>1.909261454280493E-2</v>
      </c>
      <c r="AE155" s="305">
        <f t="shared" si="65"/>
        <v>0.8</v>
      </c>
      <c r="AF155" s="177">
        <f t="shared" si="66"/>
        <v>0.78276006019194799</v>
      </c>
      <c r="AG155" s="809">
        <f t="shared" si="74"/>
        <v>3</v>
      </c>
      <c r="AH155" s="176">
        <f t="shared" si="67"/>
        <v>9</v>
      </c>
      <c r="AI155" s="225">
        <f t="shared" si="68"/>
        <v>3.782760060191948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IF(t&gt;Tmaj,'2025'!Wh/'2025'!Env_an*'2026'!Env_an,0.001*[7]mois!$B$161)</f>
        <v>29.82037227843956</v>
      </c>
      <c r="C156" s="839"/>
      <c r="D156" s="393">
        <f t="shared" si="50"/>
        <v>32.601462518531967</v>
      </c>
      <c r="E156" s="385">
        <f t="shared" si="72"/>
        <v>35.733614095903114</v>
      </c>
      <c r="F156" s="385">
        <f t="shared" si="51"/>
        <v>35.882439911102587</v>
      </c>
      <c r="G156" s="110">
        <f t="shared" si="73"/>
        <v>0.57883205862338316</v>
      </c>
      <c r="H156" s="414" t="b">
        <f>Wh_hp&gt;='2025'!Maxi_hp</f>
        <v>0</v>
      </c>
      <c r="I156" s="390">
        <f>IF(H156,Wh_hp,'2025'!Maxi_hp)</f>
        <v>60.101475651272665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8.5305689538054424E-2</v>
      </c>
      <c r="M156" s="843"/>
      <c r="N156" s="843"/>
      <c r="O156" s="48">
        <f>IF(t&lt;Tnet,'2025'!Resal+('2025'!Salim-'2025'!Resal)*(1-EXP(('2025'!Tnet-t)/('2025'!Tau_j))),Resal+(Salim-Resal)*(1-EXP((Tnet-t)/(Tau_j))))*Salcycl</f>
        <v>8.7652806933129337E-2</v>
      </c>
      <c r="P156" s="169">
        <f>(INDEX(Models!$BJ156:$BT156,,T156)*(1-R156)+INDEX(Models!$BJ156:$BT156,,T156+1)*R156-ERP_i)*Q156*Ramure*Pc/MaxiM</f>
        <v>1.0280185252135397E-2</v>
      </c>
      <c r="Q156" s="305">
        <f t="shared" si="53"/>
        <v>0.8</v>
      </c>
      <c r="R156" s="177">
        <f t="shared" si="54"/>
        <v>0.5873240333217109</v>
      </c>
      <c r="S156" s="809">
        <f t="shared" si="55"/>
        <v>2</v>
      </c>
      <c r="T156" s="176">
        <f t="shared" si="56"/>
        <v>8</v>
      </c>
      <c r="U156" s="251">
        <f t="shared" si="57"/>
        <v>2.5873240333217109</v>
      </c>
      <c r="V156" s="383">
        <f t="shared" si="58"/>
        <v>51.200920969236172</v>
      </c>
      <c r="W156" s="402">
        <f t="shared" si="59"/>
        <v>29.82037227843956</v>
      </c>
      <c r="X156" s="157">
        <f t="shared" si="60"/>
        <v>46164</v>
      </c>
      <c r="Y156" s="385">
        <f t="shared" si="61"/>
        <v>27.698987598915121</v>
      </c>
      <c r="Z156" s="385">
        <f t="shared" si="62"/>
        <v>30.282234493102266</v>
      </c>
      <c r="AA156" s="386">
        <f t="shared" si="63"/>
        <v>35.606203743169495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0.14952364167967644</v>
      </c>
      <c r="AD156" s="231">
        <f>(INDEX(Models!$BJ156:$BT156,,AH156)*(1-AF156)+INDEX(Models!$BJ156:$BT156,,AH156+1)*AF156-ERP_i)*AE156*Ramure*Pc/MaxiM</f>
        <v>1.9081091381129019E-2</v>
      </c>
      <c r="AE156" s="305">
        <f t="shared" si="65"/>
        <v>0.8</v>
      </c>
      <c r="AF156" s="177">
        <f t="shared" si="66"/>
        <v>0.78804078048661452</v>
      </c>
      <c r="AG156" s="809">
        <f t="shared" si="74"/>
        <v>3</v>
      </c>
      <c r="AH156" s="176">
        <f t="shared" si="67"/>
        <v>9</v>
      </c>
      <c r="AI156" s="225">
        <f t="shared" si="68"/>
        <v>3.7880407804866145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IF(t&gt;Tmaj,'2025'!Wh/'2025'!Env_an*'2026'!Env_an,0.001*[7]mois!$B$162)</f>
        <v>17.461208823390209</v>
      </c>
      <c r="C157" s="839"/>
      <c r="D157" s="393">
        <f t="shared" si="50"/>
        <v>19.090120447782599</v>
      </c>
      <c r="E157" s="385">
        <f t="shared" si="72"/>
        <v>20.928684684031367</v>
      </c>
      <c r="F157" s="385">
        <f t="shared" si="51"/>
        <v>20.941411247401938</v>
      </c>
      <c r="G157" s="110">
        <f t="shared" si="73"/>
        <v>0.33748579645734611</v>
      </c>
      <c r="H157" s="414" t="b">
        <f>Wh_hp&gt;='2025'!Maxi_hp</f>
        <v>0</v>
      </c>
      <c r="I157" s="390">
        <f>IF(H157,Wh_hp,'2025'!Maxi_hp)</f>
        <v>57.387775282609631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8.53274670973381E-2</v>
      </c>
      <c r="M157" s="843"/>
      <c r="N157" s="843"/>
      <c r="O157" s="48">
        <f>IF(t&lt;Tnet,'2025'!Resal+('2025'!Salim-'2025'!Resal)*(1-EXP(('2025'!Tnet-t)/('2025'!Tau_j))),Resal+(Salim-Resal)*(1-EXP((Tnet-t)/(Tau_j))))*Salcycl</f>
        <v>8.7849010294067678E-2</v>
      </c>
      <c r="P157" s="169">
        <f>(INDEX(Models!$BJ157:$BT157,,T157)*(1-R157)+INDEX(Models!$BJ157:$BT157,,T157+1)*R157-ERP_i)*Q157*Ramure*Pc/MaxiM</f>
        <v>1.0418523744236049E-2</v>
      </c>
      <c r="Q157" s="305">
        <f t="shared" si="53"/>
        <v>0.8</v>
      </c>
      <c r="R157" s="177">
        <f t="shared" si="54"/>
        <v>0.59268603091983785</v>
      </c>
      <c r="S157" s="809">
        <f t="shared" si="55"/>
        <v>2</v>
      </c>
      <c r="T157" s="176">
        <f t="shared" si="56"/>
        <v>8</v>
      </c>
      <c r="U157" s="251">
        <f t="shared" si="57"/>
        <v>2.5926860309198378</v>
      </c>
      <c r="V157" s="383">
        <f t="shared" si="58"/>
        <v>51.231181820086562</v>
      </c>
      <c r="W157" s="402">
        <f t="shared" si="59"/>
        <v>17.461208823390209</v>
      </c>
      <c r="X157" s="157">
        <f t="shared" si="60"/>
        <v>46165</v>
      </c>
      <c r="Y157" s="385">
        <f t="shared" si="61"/>
        <v>16.269406267693501</v>
      </c>
      <c r="Z157" s="385">
        <f t="shared" si="62"/>
        <v>17.787137672171539</v>
      </c>
      <c r="AA157" s="386">
        <f t="shared" si="63"/>
        <v>20.91809316918016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0.1496769075310192</v>
      </c>
      <c r="AD157" s="231">
        <f>(INDEX(Models!$BJ157:$BT157,,AH157)*(1-AF157)+INDEX(Models!$BJ157:$BT157,,AH157+1)*AF157-ERP_i)*AE157*Ramure*Pc/MaxiM</f>
        <v>1.9089202996096007E-2</v>
      </c>
      <c r="AE157" s="305">
        <f t="shared" si="65"/>
        <v>0.8</v>
      </c>
      <c r="AF157" s="177">
        <f t="shared" si="66"/>
        <v>0.79340277808474147</v>
      </c>
      <c r="AG157" s="809">
        <f t="shared" si="74"/>
        <v>3</v>
      </c>
      <c r="AH157" s="176">
        <f t="shared" si="67"/>
        <v>9</v>
      </c>
      <c r="AI157" s="225">
        <f t="shared" si="68"/>
        <v>3.7934027780847415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IF(t&gt;Tmaj,'2025'!Wh/'2025'!Env_an*'2026'!Env_an,0.001*[7]mois!$B$163)</f>
        <v>14.989846518988729</v>
      </c>
      <c r="C158" s="839"/>
      <c r="D158" s="393">
        <f t="shared" si="50"/>
        <v>16.38860124819508</v>
      </c>
      <c r="E158" s="385">
        <f t="shared" si="72"/>
        <v>17.970850892211175</v>
      </c>
      <c r="F158" s="385">
        <f t="shared" si="51"/>
        <v>17.970850892211175</v>
      </c>
      <c r="G158" s="110">
        <f t="shared" si="73"/>
        <v>0.28935755694587484</v>
      </c>
      <c r="H158" s="414" t="b">
        <f>Wh_hp&gt;='2025'!Maxi_hp</f>
        <v>0</v>
      </c>
      <c r="I158" s="390">
        <f>IF(H158,Wh_hp,'2025'!Maxi_hp)</f>
        <v>32.282065944533301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8.5349244149826281E-2</v>
      </c>
      <c r="M158" s="843"/>
      <c r="N158" s="843"/>
      <c r="O158" s="48">
        <f>IF(t&lt;Tnet,'2025'!Resal+('2025'!Salim-'2025'!Resal)*(1-EXP(('2025'!Tnet-t)/('2025'!Tau_j))),Resal+(Salim-Resal)*(1-EXP((Tnet-t)/(Tau_j))))*Salcycl</f>
        <v>8.8045338170485002E-2</v>
      </c>
      <c r="P158" s="169">
        <f>(INDEX(Models!$BJ158:$BT158,,T158)*(1-R158)+INDEX(Models!$BJ158:$BT158,,T158+1)*R158-ERP_i)*Q158*Ramure*Pc/MaxiM</f>
        <v>1.0564278542304248E-2</v>
      </c>
      <c r="Q158" s="305">
        <f t="shared" si="53"/>
        <v>0.8</v>
      </c>
      <c r="R158" s="177">
        <f t="shared" si="54"/>
        <v>0.59812656635683314</v>
      </c>
      <c r="S158" s="809">
        <f t="shared" si="55"/>
        <v>2</v>
      </c>
      <c r="T158" s="176">
        <f t="shared" si="56"/>
        <v>8</v>
      </c>
      <c r="U158" s="251">
        <f t="shared" si="57"/>
        <v>2.5981265663568331</v>
      </c>
      <c r="V158" s="383">
        <f t="shared" si="58"/>
        <v>51.256617458344159</v>
      </c>
      <c r="W158" s="402">
        <f t="shared" si="59"/>
        <v>14.989846518988729</v>
      </c>
      <c r="X158" s="157">
        <f t="shared" si="60"/>
        <v>46166</v>
      </c>
      <c r="Y158" s="385">
        <f t="shared" si="61"/>
        <v>13.974282477459024</v>
      </c>
      <c r="Z158" s="385">
        <f t="shared" si="62"/>
        <v>15.27827139274579</v>
      </c>
      <c r="AA158" s="386">
        <f t="shared" si="63"/>
        <v>17.970850892211175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0.14983038452744529</v>
      </c>
      <c r="AD158" s="231">
        <f>(INDEX(Models!$BJ158:$BT158,,AH158)*(1-AF158)+INDEX(Models!$BJ158:$BT158,,AH158+1)*AF158-ERP_i)*AE158*Ramure*Pc/MaxiM</f>
        <v>1.9116990717667936E-2</v>
      </c>
      <c r="AE158" s="305">
        <f t="shared" si="65"/>
        <v>0.8</v>
      </c>
      <c r="AF158" s="177">
        <f t="shared" si="66"/>
        <v>0.79884331352173676</v>
      </c>
      <c r="AG158" s="809">
        <f t="shared" si="74"/>
        <v>3</v>
      </c>
      <c r="AH158" s="176">
        <f t="shared" si="67"/>
        <v>9</v>
      </c>
      <c r="AI158" s="225">
        <f t="shared" si="68"/>
        <v>3.7988433135217368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IF(t&gt;Tmaj,'2025'!Wh/'2025'!Env_an*'2026'!Env_an,0.001*[7]mois!$B$164)</f>
        <v>34.943507470711474</v>
      </c>
      <c r="C159" s="839"/>
      <c r="D159" s="393">
        <f t="shared" si="50"/>
        <v>38.205117333242924</v>
      </c>
      <c r="E159" s="385">
        <f t="shared" si="72"/>
        <v>41.902681984311741</v>
      </c>
      <c r="F159" s="385">
        <f t="shared" si="51"/>
        <v>42.148851150626641</v>
      </c>
      <c r="G159" s="110">
        <f t="shared" si="73"/>
        <v>0.67811453016015666</v>
      </c>
      <c r="H159" s="414" t="b">
        <f>Wh_hp&gt;='2025'!Maxi_hp</f>
        <v>0</v>
      </c>
      <c r="I159" s="390">
        <f>IF(H159,Wh_hp,'2025'!Maxi_hp)</f>
        <v>58.648188470902781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8.5371020695530514E-2</v>
      </c>
      <c r="M159" s="843"/>
      <c r="N159" s="843"/>
      <c r="O159" s="48">
        <f>IF(t&lt;Tnet,'2025'!Resal+('2025'!Salim-'2025'!Resal)*(1-EXP(('2025'!Tnet-t)/('2025'!Tau_j))),Resal+(Salim-Resal)*(1-EXP((Tnet-t)/(Tau_j))))*Salcycl</f>
        <v>8.8241718094635921E-2</v>
      </c>
      <c r="P159" s="169">
        <f>(INDEX(Models!$BJ159:$BT159,,T159)*(1-R159)+INDEX(Models!$BJ159:$BT159,,T159+1)*R159-ERP_i)*Q159*Ramure*Pc/MaxiM</f>
        <v>1.0717651413445018E-2</v>
      </c>
      <c r="Q159" s="305">
        <f t="shared" si="53"/>
        <v>0.8</v>
      </c>
      <c r="R159" s="177">
        <f t="shared" si="54"/>
        <v>0.60364268485809358</v>
      </c>
      <c r="S159" s="809">
        <f t="shared" si="55"/>
        <v>2</v>
      </c>
      <c r="T159" s="176">
        <f t="shared" si="56"/>
        <v>8</v>
      </c>
      <c r="U159" s="251">
        <f t="shared" si="57"/>
        <v>2.6036426848580936</v>
      </c>
      <c r="V159" s="383">
        <f t="shared" si="58"/>
        <v>51.277592411013693</v>
      </c>
      <c r="W159" s="402">
        <f t="shared" si="59"/>
        <v>34.943507470711474</v>
      </c>
      <c r="X159" s="157">
        <f t="shared" si="60"/>
        <v>46167</v>
      </c>
      <c r="Y159" s="385">
        <f t="shared" si="61"/>
        <v>32.426374510922322</v>
      </c>
      <c r="Z159" s="385">
        <f t="shared" si="62"/>
        <v>35.453036416559847</v>
      </c>
      <c r="AA159" s="386">
        <f t="shared" si="63"/>
        <v>41.708666996519234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0.14998394891118058</v>
      </c>
      <c r="AD159" s="231">
        <f>(INDEX(Models!$BJ159:$BT159,,AH159)*(1-AF159)+INDEX(Models!$BJ159:$BT159,,AH159+1)*AF159-ERP_i)*AE159*Ramure*Pc/MaxiM</f>
        <v>1.9164627284842323E-2</v>
      </c>
      <c r="AE159" s="305">
        <f t="shared" si="65"/>
        <v>0.8</v>
      </c>
      <c r="AF159" s="177">
        <f t="shared" si="66"/>
        <v>0.8043594320229972</v>
      </c>
      <c r="AG159" s="809">
        <f t="shared" si="74"/>
        <v>3</v>
      </c>
      <c r="AH159" s="176">
        <f t="shared" si="67"/>
        <v>9</v>
      </c>
      <c r="AI159" s="225">
        <f t="shared" si="68"/>
        <v>3.8043594320229972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IF(t&gt;Tmaj,'2025'!Wh/'2025'!Env_an*'2026'!Env_an,0.001*[7]mois!$B$165)</f>
        <v>18.970486981691501</v>
      </c>
      <c r="C160" s="839"/>
      <c r="D160" s="393">
        <f t="shared" si="50"/>
        <v>20.741676770048151</v>
      </c>
      <c r="E160" s="385">
        <f t="shared" si="72"/>
        <v>22.753996438155092</v>
      </c>
      <c r="F160" s="385">
        <f t="shared" si="51"/>
        <v>22.778718632125674</v>
      </c>
      <c r="G160" s="110">
        <f t="shared" si="73"/>
        <v>0.36620900601538936</v>
      </c>
      <c r="H160" s="414" t="b">
        <f>Wh_hp&gt;='2025'!Maxi_hp</f>
        <v>0</v>
      </c>
      <c r="I160" s="390">
        <f>IF(H160,Wh_hp,'2025'!Maxi_hp)</f>
        <v>61.484504066070642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8.5392796734462789E-2</v>
      </c>
      <c r="M160" s="843"/>
      <c r="N160" s="843"/>
      <c r="O160" s="48">
        <f>IF(t&lt;Tnet,'2025'!Resal+('2025'!Salim-'2025'!Resal)*(1-EXP(('2025'!Tnet-t)/('2025'!Tau_j))),Resal+(Salim-Resal)*(1-EXP((Tnet-t)/(Tau_j))))*Salcycl</f>
        <v>8.843807607935536E-2</v>
      </c>
      <c r="P160" s="169">
        <f>(INDEX(Models!$BJ160:$BT160,,T160)*(1-R160)+INDEX(Models!$BJ160:$BT160,,T160+1)*R160-ERP_i)*Q160*Ramure*Pc/MaxiM</f>
        <v>1.087885149654797E-2</v>
      </c>
      <c r="Q160" s="305">
        <f t="shared" si="53"/>
        <v>0.8</v>
      </c>
      <c r="R160" s="177">
        <f t="shared" si="54"/>
        <v>0.60923121966709237</v>
      </c>
      <c r="S160" s="809">
        <f t="shared" si="55"/>
        <v>2</v>
      </c>
      <c r="T160" s="176">
        <f t="shared" si="56"/>
        <v>8</v>
      </c>
      <c r="U160" s="251">
        <f t="shared" si="57"/>
        <v>2.6092312196670924</v>
      </c>
      <c r="V160" s="383">
        <f t="shared" si="58"/>
        <v>51.294470503785064</v>
      </c>
      <c r="W160" s="402">
        <f t="shared" si="59"/>
        <v>18.970486981691501</v>
      </c>
      <c r="X160" s="157">
        <f t="shared" si="60"/>
        <v>46168</v>
      </c>
      <c r="Y160" s="385">
        <f t="shared" si="61"/>
        <v>17.671707231996233</v>
      </c>
      <c r="Z160" s="385">
        <f t="shared" si="62"/>
        <v>19.321635745816032</v>
      </c>
      <c r="AA160" s="386">
        <f t="shared" si="63"/>
        <v>22.735013224017983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0.15013747494089663</v>
      </c>
      <c r="AD160" s="231">
        <f>(INDEX(Models!$BJ160:$BT160,,AH160)*(1-AF160)+INDEX(Models!$BJ160:$BT160,,AH160+1)*AF160-ERP_i)*AE160*Ramure*Pc/MaxiM</f>
        <v>1.923229972895479E-2</v>
      </c>
      <c r="AE160" s="305">
        <f t="shared" si="65"/>
        <v>0.8</v>
      </c>
      <c r="AF160" s="177">
        <f t="shared" si="66"/>
        <v>0.80994796683199599</v>
      </c>
      <c r="AG160" s="809">
        <f t="shared" si="74"/>
        <v>3</v>
      </c>
      <c r="AH160" s="176">
        <f t="shared" si="67"/>
        <v>9</v>
      </c>
      <c r="AI160" s="225">
        <f t="shared" si="68"/>
        <v>3.809947966831996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IF(t&gt;Tmaj,'2025'!Wh/'2025'!Env_an*'2026'!Env_an,0.001*[7]mois!$B$166)</f>
        <v>41.008276687469447</v>
      </c>
      <c r="C161" s="839"/>
      <c r="D161" s="393">
        <f t="shared" si="50"/>
        <v>44.838104176994214</v>
      </c>
      <c r="E161" s="385">
        <f t="shared" si="72"/>
        <v>49.1988078878613</v>
      </c>
      <c r="F161" s="385">
        <f t="shared" si="51"/>
        <v>49.589566905903084</v>
      </c>
      <c r="G161" s="110">
        <f t="shared" si="73"/>
        <v>0.79671060878840938</v>
      </c>
      <c r="H161" s="414" t="b">
        <f>Wh_hp&gt;='2025'!Maxi_hp</f>
        <v>0</v>
      </c>
      <c r="I161" s="390">
        <f>IF(H161,Wh_hp,'2025'!Maxi_hp)</f>
        <v>61.220926609696406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8.5414572266634764E-2</v>
      </c>
      <c r="M161" s="843"/>
      <c r="N161" s="843"/>
      <c r="O161" s="48">
        <f>IF(t&lt;Tnet,'2025'!Resal+('2025'!Salim-'2025'!Resal)*(1-EXP(('2025'!Tnet-t)/('2025'!Tau_j))),Resal+(Salim-Resal)*(1-EXP((Tnet-t)/(Tau_j))))*Salcycl</f>
        <v>8.8634336848291639E-2</v>
      </c>
      <c r="P161" s="169">
        <f>(INDEX(Models!$BJ161:$BT161,,T161)*(1-R161)+INDEX(Models!$BJ161:$BT161,,T161+1)*R161-ERP_i)*Q161*Ramure*Pc/MaxiM</f>
        <v>1.1048094432449158E-2</v>
      </c>
      <c r="Q161" s="305">
        <f t="shared" si="53"/>
        <v>0.8</v>
      </c>
      <c r="R161" s="177">
        <f t="shared" si="54"/>
        <v>0.61488879653626327</v>
      </c>
      <c r="S161" s="809">
        <f t="shared" si="55"/>
        <v>2</v>
      </c>
      <c r="T161" s="176">
        <f t="shared" si="56"/>
        <v>8</v>
      </c>
      <c r="U161" s="251">
        <f t="shared" si="57"/>
        <v>2.6148887965362633</v>
      </c>
      <c r="V161" s="383">
        <f t="shared" si="58"/>
        <v>51.307614877254871</v>
      </c>
      <c r="W161" s="402">
        <f t="shared" si="59"/>
        <v>41.008276687469447</v>
      </c>
      <c r="X161" s="157">
        <f t="shared" si="60"/>
        <v>46169</v>
      </c>
      <c r="Y161" s="385">
        <f t="shared" si="61"/>
        <v>38.006579533888264</v>
      </c>
      <c r="Z161" s="385">
        <f t="shared" si="62"/>
        <v>41.556073802838412</v>
      </c>
      <c r="AA161" s="386">
        <f t="shared" si="63"/>
        <v>48.906232307222773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0.15029083529092144</v>
      </c>
      <c r="AD161" s="231">
        <f>(INDEX(Models!$BJ161:$BT161,,AH161)*(1-AF161)+INDEX(Models!$BJ161:$BT161,,AH161+1)*AF161-ERP_i)*AE161*Ramure*Pc/MaxiM</f>
        <v>1.9320207152256925E-2</v>
      </c>
      <c r="AE161" s="305">
        <f t="shared" si="65"/>
        <v>0.8</v>
      </c>
      <c r="AF161" s="177">
        <f t="shared" si="66"/>
        <v>0.81560554370116733</v>
      </c>
      <c r="AG161" s="809">
        <f t="shared" si="74"/>
        <v>3</v>
      </c>
      <c r="AH161" s="176">
        <f t="shared" si="67"/>
        <v>9</v>
      </c>
      <c r="AI161" s="225">
        <f t="shared" si="68"/>
        <v>3.8156055437011673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IF(t&gt;Tmaj,'2025'!Wh/'2025'!Env_an*'2026'!Env_an,0.001*[7]mois!$B$167)</f>
        <v>46.986049714412736</v>
      </c>
      <c r="C162" s="839"/>
      <c r="D162" s="393">
        <f t="shared" si="50"/>
        <v>51.37537401064565</v>
      </c>
      <c r="E162" s="385">
        <f t="shared" si="72"/>
        <v>56.383987534619877</v>
      </c>
      <c r="F162" s="385">
        <f t="shared" si="51"/>
        <v>56.946163908628449</v>
      </c>
      <c r="G162" s="110">
        <f t="shared" si="73"/>
        <v>0.91434541476827214</v>
      </c>
      <c r="H162" s="414" t="b">
        <f>Wh_hp&gt;='2025'!Maxi_hp</f>
        <v>0</v>
      </c>
      <c r="I162" s="390">
        <f>IF(H162,Wh_hp,'2025'!Maxi_hp)</f>
        <v>59.964902917287468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8.5436347292058429E-2</v>
      </c>
      <c r="M162" s="843"/>
      <c r="N162" s="843"/>
      <c r="O162" s="48">
        <f>IF(t&lt;Tnet,'2025'!Resal+('2025'!Salim-'2025'!Resal)*(1-EXP(('2025'!Tnet-t)/('2025'!Tau_j))),Resal+(Salim-Resal)*(1-EXP((Tnet-t)/(Tau_j))))*Salcycl</f>
        <v>8.8830424079157713E-2</v>
      </c>
      <c r="P162" s="169">
        <f>(INDEX(Models!$BJ162:$BT162,,T162)*(1-R162)+INDEX(Models!$BJ162:$BT162,,T162+1)*R162-ERP_i)*Q162*Ramure*Pc/MaxiM</f>
        <v>1.122560140098753E-2</v>
      </c>
      <c r="Q162" s="305">
        <f t="shared" si="53"/>
        <v>0.8</v>
      </c>
      <c r="R162" s="177">
        <f t="shared" si="54"/>
        <v>0.62061183939411446</v>
      </c>
      <c r="S162" s="809">
        <f t="shared" si="55"/>
        <v>2</v>
      </c>
      <c r="T162" s="176">
        <f t="shared" si="56"/>
        <v>8</v>
      </c>
      <c r="U162" s="251">
        <f t="shared" si="57"/>
        <v>2.6206118393941145</v>
      </c>
      <c r="V162" s="383">
        <f t="shared" si="58"/>
        <v>51.31738799103065</v>
      </c>
      <c r="W162" s="402">
        <f t="shared" si="59"/>
        <v>46.986049714412736</v>
      </c>
      <c r="X162" s="157">
        <f t="shared" si="60"/>
        <v>46170</v>
      </c>
      <c r="Y162" s="385">
        <f t="shared" si="61"/>
        <v>43.489660452529797</v>
      </c>
      <c r="Z162" s="385">
        <f t="shared" si="62"/>
        <v>47.552360433044527</v>
      </c>
      <c r="AA162" s="386">
        <f t="shared" si="63"/>
        <v>55.973184719999125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0.15044390146958792</v>
      </c>
      <c r="AD162" s="231">
        <f>(INDEX(Models!$BJ162:$BT162,,AH162)*(1-AF162)+INDEX(Models!$BJ162:$BT162,,AH162+1)*AF162-ERP_i)*AE162*Ramure*Pc/MaxiM</f>
        <v>1.9428558452444959E-2</v>
      </c>
      <c r="AE162" s="305">
        <f t="shared" si="65"/>
        <v>0.8</v>
      </c>
      <c r="AF162" s="177">
        <f t="shared" si="66"/>
        <v>0.82132858655901808</v>
      </c>
      <c r="AG162" s="809">
        <f t="shared" si="74"/>
        <v>3</v>
      </c>
      <c r="AH162" s="176">
        <f t="shared" si="67"/>
        <v>9</v>
      </c>
      <c r="AI162" s="225">
        <f t="shared" si="68"/>
        <v>3.8213285865590181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IF(t&gt;Tmaj,'2025'!Wh/'2025'!Env_an*'2026'!Env_an,0.001*[7]mois!$B$168)</f>
        <v>50.310898679504753</v>
      </c>
      <c r="C163" s="839"/>
      <c r="D163" s="393">
        <f t="shared" si="50"/>
        <v>55.012132171702966</v>
      </c>
      <c r="E163" s="385">
        <f t="shared" si="72"/>
        <v>60.388274432025348</v>
      </c>
      <c r="F163" s="385">
        <f t="shared" si="51"/>
        <v>61.065525079283695</v>
      </c>
      <c r="G163" s="110">
        <f t="shared" si="73"/>
        <v>0.97996836413757737</v>
      </c>
      <c r="H163" s="414" t="b">
        <f>Wh_hp&gt;='2025'!Maxi_hp</f>
        <v>0</v>
      </c>
      <c r="I163" s="390">
        <f>IF(H163,Wh_hp,'2025'!Maxi_hp)</f>
        <v>61.083995775588619</v>
      </c>
      <c r="J163" s="85">
        <f>IF(H163,An,'2025'!An_max)</f>
        <v>2022</v>
      </c>
      <c r="K163" s="197">
        <f t="shared" si="52"/>
        <v>46171</v>
      </c>
      <c r="L163" s="147">
        <f>IF(t&lt;Tvie,1-EXP((T0-t)*PertePVj)+'2025'!Pspv,1-EXP((T0-t)*PertePVj)+Pspv)</f>
        <v>8.545812181074533E-2</v>
      </c>
      <c r="M163" s="843"/>
      <c r="N163" s="843"/>
      <c r="O163" s="48">
        <f>IF(t&lt;Tnet,'2025'!Resal+('2025'!Salim-'2025'!Resal)*(1-EXP(('2025'!Tnet-t)/('2025'!Tau_j))),Resal+(Salim-Resal)*(1-EXP((Tnet-t)/(Tau_j))))*Salcycl</f>
        <v>8.9026260658828904E-2</v>
      </c>
      <c r="P163" s="169">
        <f>(INDEX(Models!$BJ163:$BT163,,T163)*(1-R163)+INDEX(Models!$BJ163:$BT163,,T163+1)*R163-ERP_i)*Q163*Ramure*Pc/MaxiM</f>
        <v>1.1411933700199283E-2</v>
      </c>
      <c r="Q163" s="305">
        <f t="shared" si="53"/>
        <v>0.8</v>
      </c>
      <c r="R163" s="177">
        <f t="shared" si="54"/>
        <v>0.62639657719158093</v>
      </c>
      <c r="S163" s="809">
        <f t="shared" si="55"/>
        <v>2</v>
      </c>
      <c r="T163" s="176">
        <f t="shared" si="56"/>
        <v>8</v>
      </c>
      <c r="U163" s="251">
        <f t="shared" si="57"/>
        <v>2.6263965771915809</v>
      </c>
      <c r="V163" s="383">
        <f t="shared" si="58"/>
        <v>51.322624693970702</v>
      </c>
      <c r="W163" s="402">
        <f t="shared" si="59"/>
        <v>50.310898679504753</v>
      </c>
      <c r="X163" s="157">
        <f t="shared" si="60"/>
        <v>46171</v>
      </c>
      <c r="Y163" s="385">
        <f t="shared" si="61"/>
        <v>46.534973016734575</v>
      </c>
      <c r="Z163" s="385">
        <f t="shared" si="62"/>
        <v>50.883370271541196</v>
      </c>
      <c r="AA163" s="386">
        <f t="shared" si="63"/>
        <v>59.904830769599471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0.15059654425459942</v>
      </c>
      <c r="AD163" s="231">
        <f>(INDEX(Models!$BJ163:$BT163,,AH163)*(1-AF163)+INDEX(Models!$BJ163:$BT163,,AH163+1)*AF163-ERP_i)*AE163*Ramure*Pc/MaxiM</f>
        <v>1.955814521837149E-2</v>
      </c>
      <c r="AE163" s="305">
        <f t="shared" si="65"/>
        <v>0.8</v>
      </c>
      <c r="AF163" s="177">
        <f t="shared" si="66"/>
        <v>0.82711332435648455</v>
      </c>
      <c r="AG163" s="809">
        <f t="shared" si="74"/>
        <v>3</v>
      </c>
      <c r="AH163" s="176">
        <f t="shared" si="67"/>
        <v>9</v>
      </c>
      <c r="AI163" s="225">
        <f t="shared" si="68"/>
        <v>3.8271133243564845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IF(t&gt;Tmaj,'2025'!Wh/'2025'!Env_an*'2026'!Env_an,0.001*[7]mois!$B$169)</f>
        <v>45.226432823165176</v>
      </c>
      <c r="C164" s="839"/>
      <c r="D164" s="393">
        <f t="shared" si="50"/>
        <v>49.453732746368793</v>
      </c>
      <c r="E164" s="385">
        <f t="shared" si="72"/>
        <v>54.298325388498064</v>
      </c>
      <c r="F164" s="385">
        <f t="shared" si="51"/>
        <v>54.826652515318898</v>
      </c>
      <c r="G164" s="110">
        <f t="shared" si="73"/>
        <v>0.87947313255812598</v>
      </c>
      <c r="H164" s="414" t="b">
        <f>Wh_hp&gt;='2025'!Maxi_hp</f>
        <v>0</v>
      </c>
      <c r="I164" s="390">
        <f>IF(H164,Wh_hp,'2025'!Maxi_hp)</f>
        <v>56.346398541738836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8.5479895822707347E-2</v>
      </c>
      <c r="M164" s="843"/>
      <c r="N164" s="843"/>
      <c r="O164" s="48">
        <f>IF(t&lt;Tnet,'2025'!Resal+('2025'!Salim-'2025'!Resal)*(1-EXP(('2025'!Tnet-t)/('2025'!Tau_j))),Resal+(Salim-Resal)*(1-EXP((Tnet-t)/(Tau_j))))*Salcycl</f>
        <v>8.9221768948982927E-2</v>
      </c>
      <c r="P164" s="169">
        <f>(INDEX(Models!$BJ164:$BT164,,T164)*(1-R164)+INDEX(Models!$BJ164:$BT164,,T164+1)*R164-ERP_i)*Q164*Ramure*Pc/MaxiM</f>
        <v>1.1605522226226322E-2</v>
      </c>
      <c r="Q164" s="305">
        <f t="shared" si="53"/>
        <v>0.8</v>
      </c>
      <c r="R164" s="177">
        <f t="shared" si="54"/>
        <v>0.63223905191968566</v>
      </c>
      <c r="S164" s="809">
        <f t="shared" si="55"/>
        <v>2</v>
      </c>
      <c r="T164" s="176">
        <f t="shared" si="56"/>
        <v>8</v>
      </c>
      <c r="U164" s="251">
        <f t="shared" si="57"/>
        <v>2.6322390519196857</v>
      </c>
      <c r="V164" s="383">
        <f t="shared" si="58"/>
        <v>51.322211633985908</v>
      </c>
      <c r="W164" s="402">
        <f t="shared" si="59"/>
        <v>45.226432823165176</v>
      </c>
      <c r="X164" s="157">
        <f t="shared" si="60"/>
        <v>46172</v>
      </c>
      <c r="Y164" s="385">
        <f t="shared" si="61"/>
        <v>41.884674978013145</v>
      </c>
      <c r="Z164" s="385">
        <f t="shared" si="62"/>
        <v>45.799621885505545</v>
      </c>
      <c r="AA164" s="386">
        <f t="shared" si="63"/>
        <v>53.929406212132356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0.15074863414308973</v>
      </c>
      <c r="AD164" s="231">
        <f>(INDEX(Models!$BJ164:$BT164,,AH164)*(1-AF164)+INDEX(Models!$BJ164:$BT164,,AH164+1)*AF164-ERP_i)*AE164*Ramure*Pc/MaxiM</f>
        <v>1.9709402348295709E-2</v>
      </c>
      <c r="AE164" s="305">
        <f t="shared" si="65"/>
        <v>0.8</v>
      </c>
      <c r="AF164" s="177">
        <f t="shared" si="66"/>
        <v>0.83295579908458928</v>
      </c>
      <c r="AG164" s="809">
        <f t="shared" si="74"/>
        <v>3</v>
      </c>
      <c r="AH164" s="176">
        <f t="shared" si="67"/>
        <v>9</v>
      </c>
      <c r="AI164" s="225">
        <f t="shared" si="68"/>
        <v>3.8329557990845893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IF(t&gt;Tmaj,'2025'!Wh/'2025'!Env_an*'2026'!Env_an,0.001*[7]mois!$B$170)</f>
        <v>46.39136148723162</v>
      </c>
      <c r="C165" s="839"/>
      <c r="D165" s="393">
        <f t="shared" si="50"/>
        <v>50.728754696730483</v>
      </c>
      <c r="E165" s="385">
        <f t="shared" si="72"/>
        <v>55.710185137990365</v>
      </c>
      <c r="F165" s="385">
        <f t="shared" si="51"/>
        <v>56.283289543695595</v>
      </c>
      <c r="G165" s="110">
        <f t="shared" si="73"/>
        <v>0.90254230969113647</v>
      </c>
      <c r="H165" s="414" t="b">
        <f>Wh_hp&gt;='2025'!Maxi_hp</f>
        <v>0</v>
      </c>
      <c r="I165" s="390">
        <f>IF(H165,Wh_hp,'2025'!Maxi_hp)</f>
        <v>62.468341792037805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8.5501669327956359E-2</v>
      </c>
      <c r="M165" s="843"/>
      <c r="N165" s="843"/>
      <c r="O165" s="48">
        <f>IF(t&lt;Tnet,'2025'!Resal+('2025'!Salim-'2025'!Resal)*(1-EXP(('2025'!Tnet-t)/('2025'!Tau_j))),Resal+(Salim-Resal)*(1-EXP((Tnet-t)/(Tau_j))))*Salcycl</f>
        <v>8.9416871060852041E-2</v>
      </c>
      <c r="P165" s="169">
        <f>(INDEX(Models!$BJ165:$BT165,,T165)*(1-R165)+INDEX(Models!$BJ165:$BT165,,T165+1)*R165-ERP_i)*Q165*Ramure*Pc/MaxiM</f>
        <v>1.1800514419944412E-2</v>
      </c>
      <c r="Q165" s="305">
        <f t="shared" si="53"/>
        <v>0.8</v>
      </c>
      <c r="R165" s="177">
        <f t="shared" si="54"/>
        <v>0.63813512777923798</v>
      </c>
      <c r="S165" s="809">
        <f t="shared" si="55"/>
        <v>2</v>
      </c>
      <c r="T165" s="176">
        <f t="shared" si="56"/>
        <v>8</v>
      </c>
      <c r="U165" s="251">
        <f t="shared" si="57"/>
        <v>2.638135127779238</v>
      </c>
      <c r="V165" s="383">
        <f t="shared" si="58"/>
        <v>51.316738018379105</v>
      </c>
      <c r="W165" s="402">
        <f t="shared" si="59"/>
        <v>46.39136148723162</v>
      </c>
      <c r="X165" s="157">
        <f t="shared" si="60"/>
        <v>46173</v>
      </c>
      <c r="Y165" s="385">
        <f t="shared" si="61"/>
        <v>42.954851071959567</v>
      </c>
      <c r="Z165" s="385">
        <f t="shared" si="62"/>
        <v>46.970945305491199</v>
      </c>
      <c r="AA165" s="386">
        <f t="shared" si="63"/>
        <v>55.318510915760086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0.15090004181386391</v>
      </c>
      <c r="AD165" s="231">
        <f>(INDEX(Models!$BJ165:$BT165,,AH165)*(1-AF165)+INDEX(Models!$BJ165:$BT165,,AH165+1)*AF165-ERP_i)*AE165*Ramure*Pc/MaxiM</f>
        <v>1.9865288065614412E-2</v>
      </c>
      <c r="AE165" s="305">
        <f t="shared" si="65"/>
        <v>0.8</v>
      </c>
      <c r="AF165" s="177">
        <f t="shared" si="66"/>
        <v>0.8388518749441416</v>
      </c>
      <c r="AG165" s="809">
        <f t="shared" si="74"/>
        <v>3</v>
      </c>
      <c r="AH165" s="176">
        <f t="shared" si="67"/>
        <v>9</v>
      </c>
      <c r="AI165" s="225">
        <f t="shared" si="68"/>
        <v>3.8388518749441416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IF(t&gt;Tmaj,'2025'!Wh/'2025'!Env_an*'2026'!Env_an,0.001*'[8]mon-tableau'!$B$136)</f>
        <v>47.547306039843768</v>
      </c>
      <c r="C166" s="839"/>
      <c r="D166" s="393">
        <f t="shared" si="50"/>
        <v>51.994013013092484</v>
      </c>
      <c r="E166" s="385">
        <f t="shared" si="72"/>
        <v>57.111894968705059</v>
      </c>
      <c r="F166" s="385">
        <f t="shared" si="51"/>
        <v>57.732001546073661</v>
      </c>
      <c r="G166" s="110">
        <f t="shared" si="73"/>
        <v>0.92555443824258554</v>
      </c>
      <c r="H166" s="414" t="b">
        <f>Wh_hp&gt;='2025'!Maxi_hp</f>
        <v>0</v>
      </c>
      <c r="I166" s="390">
        <f>IF(H166,Wh_hp,'2025'!Maxi_hp)</f>
        <v>62.676293728135057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8.5523442326504023E-2</v>
      </c>
      <c r="M166" s="843"/>
      <c r="N166" s="843"/>
      <c r="O166" s="48">
        <f>IF(t&lt;Tnet,'2025'!Resal+('2025'!Salim-'2025'!Resal)*(1-EXP(('2025'!Tnet-t)/('2025'!Tau_j))),Resal+(Salim-Resal)*(1-EXP((Tnet-t)/(Tau_j))))*Salcycl</f>
        <v>8.9611489137542411E-2</v>
      </c>
      <c r="P166" s="169">
        <f>(INDEX(Models!$BJ166:$BT166,,T166)*(1-R166)+INDEX(Models!$BJ166:$BT166,,T166+1)*R166-ERP_i)*Q166*Ramure*Pc/MaxiM</f>
        <v>1.1996836450823233E-2</v>
      </c>
      <c r="Q166" s="305">
        <f t="shared" si="53"/>
        <v>0.8</v>
      </c>
      <c r="R166" s="177">
        <f t="shared" si="54"/>
        <v>0.64408050147173679</v>
      </c>
      <c r="S166" s="809">
        <f t="shared" si="55"/>
        <v>2</v>
      </c>
      <c r="T166" s="176">
        <f t="shared" si="56"/>
        <v>8</v>
      </c>
      <c r="U166" s="251">
        <f t="shared" si="57"/>
        <v>2.6440805014717368</v>
      </c>
      <c r="V166" s="383">
        <f t="shared" si="58"/>
        <v>51.306492687284475</v>
      </c>
      <c r="W166" s="402">
        <f t="shared" si="59"/>
        <v>47.547306039843768</v>
      </c>
      <c r="X166" s="157">
        <f t="shared" si="60"/>
        <v>46174</v>
      </c>
      <c r="Y166" s="385">
        <f t="shared" si="61"/>
        <v>44.016306757306815</v>
      </c>
      <c r="Z166" s="385">
        <f t="shared" si="62"/>
        <v>48.132788520339922</v>
      </c>
      <c r="AA166" s="386">
        <f t="shared" si="63"/>
        <v>56.696889954561598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0.15105063859913964</v>
      </c>
      <c r="AD166" s="231">
        <f>(INDEX(Models!$BJ166:$BT166,,AH166)*(1-AF166)+INDEX(Models!$BJ166:$BT166,,AH166+1)*AF166-ERP_i)*AE166*Ramure*Pc/MaxiM</f>
        <v>2.0025693848333501E-2</v>
      </c>
      <c r="AE166" s="305">
        <f t="shared" si="65"/>
        <v>0.8</v>
      </c>
      <c r="AF166" s="177">
        <f t="shared" si="66"/>
        <v>0.84479724863664041</v>
      </c>
      <c r="AG166" s="809">
        <f t="shared" si="74"/>
        <v>3</v>
      </c>
      <c r="AH166" s="176">
        <f t="shared" si="67"/>
        <v>9</v>
      </c>
      <c r="AI166" s="225">
        <f t="shared" si="68"/>
        <v>3.8447972486366404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IF(t&gt;Tmaj,'2025'!Wh/'2025'!Env_an*'2026'!Env_an,0.001*'[8]mon-tableau'!$B$137)</f>
        <v>39.097830452096794</v>
      </c>
      <c r="C167" s="839"/>
      <c r="D167" s="393">
        <f t="shared" si="50"/>
        <v>42.75534568319943</v>
      </c>
      <c r="E167" s="385">
        <f t="shared" si="72"/>
        <v>46.973858694150614</v>
      </c>
      <c r="F167" s="385">
        <f t="shared" si="51"/>
        <v>47.355205333865534</v>
      </c>
      <c r="G167" s="110">
        <f t="shared" si="73"/>
        <v>0.75908076764012755</v>
      </c>
      <c r="H167" s="414" t="b">
        <f>Wh_hp&gt;='2025'!Maxi_hp</f>
        <v>0</v>
      </c>
      <c r="I167" s="390">
        <f>IF(H167,Wh_hp,'2025'!Maxi_hp)</f>
        <v>61.321691281882586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8.5545214818362331E-2</v>
      </c>
      <c r="M167" s="843"/>
      <c r="N167" s="843"/>
      <c r="O167" s="48">
        <f>IF(t&lt;Tnet,'2025'!Resal+('2025'!Salim-'2025'!Resal)*(1-EXP(('2025'!Tnet-t)/('2025'!Tau_j))),Resal+(Salim-Resal)*(1-EXP((Tnet-t)/(Tau_j))))*Salcycl</f>
        <v>8.9805545642272125E-2</v>
      </c>
      <c r="P167" s="169">
        <f>(INDEX(Models!$BJ167:$BT167,,T167)*(1-R167)+INDEX(Models!$BJ167:$BT167,,T167+1)*R167-ERP_i)*Q167*Ramure*Pc/MaxiM</f>
        <v>1.219441038154947E-2</v>
      </c>
      <c r="Q167" s="305">
        <f t="shared" si="53"/>
        <v>0.8</v>
      </c>
      <c r="R167" s="177">
        <f t="shared" si="54"/>
        <v>0.65007071356903179</v>
      </c>
      <c r="S167" s="809">
        <f t="shared" si="55"/>
        <v>2</v>
      </c>
      <c r="T167" s="176">
        <f t="shared" si="56"/>
        <v>8</v>
      </c>
      <c r="U167" s="251">
        <f t="shared" si="57"/>
        <v>2.6500707135690318</v>
      </c>
      <c r="V167" s="383">
        <f t="shared" si="58"/>
        <v>51.291764222713269</v>
      </c>
      <c r="W167" s="402">
        <f t="shared" si="59"/>
        <v>39.097830452096794</v>
      </c>
      <c r="X167" s="157">
        <f t="shared" si="60"/>
        <v>46175</v>
      </c>
      <c r="Y167" s="385">
        <f t="shared" si="61"/>
        <v>36.266499244413538</v>
      </c>
      <c r="Z167" s="385">
        <f t="shared" si="62"/>
        <v>39.659149727353594</v>
      </c>
      <c r="AA167" s="386">
        <f t="shared" si="63"/>
        <v>46.723802547822991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0.15120029696295692</v>
      </c>
      <c r="AD167" s="231">
        <f>(INDEX(Models!$BJ167:$BT167,,AH167)*(1-AF167)+INDEX(Models!$BJ167:$BT167,,AH167+1)*AF167-ERP_i)*AE167*Ramure*Pc/MaxiM</f>
        <v>2.0190514055171395E-2</v>
      </c>
      <c r="AE167" s="305">
        <f t="shared" si="65"/>
        <v>0.8</v>
      </c>
      <c r="AF167" s="177">
        <f t="shared" si="66"/>
        <v>0.85078746073393541</v>
      </c>
      <c r="AG167" s="809">
        <f t="shared" si="74"/>
        <v>3</v>
      </c>
      <c r="AH167" s="176">
        <f t="shared" si="67"/>
        <v>9</v>
      </c>
      <c r="AI167" s="225">
        <f t="shared" si="68"/>
        <v>3.8507874607339354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IF(t&gt;Tmaj,'2025'!Wh/'2025'!Env_an*'2026'!Env_an,0.001*'[8]mon-tableau'!$B$138)</f>
        <v>45.546955007422248</v>
      </c>
      <c r="C168" s="839"/>
      <c r="D168" s="393">
        <f t="shared" si="50"/>
        <v>49.808957408711706</v>
      </c>
      <c r="E168" s="385">
        <f t="shared" si="72"/>
        <v>54.735055696791015</v>
      </c>
      <c r="F168" s="385">
        <f t="shared" si="51"/>
        <v>55.31117728363747</v>
      </c>
      <c r="G168" s="110">
        <f t="shared" si="73"/>
        <v>0.88655033099140268</v>
      </c>
      <c r="H168" s="414" t="b">
        <f>Wh_hp&gt;='2025'!Maxi_hp</f>
        <v>0</v>
      </c>
      <c r="I168" s="390">
        <f>IF(H168,Wh_hp,'2025'!Maxi_hp)</f>
        <v>55.413341824549725</v>
      </c>
      <c r="J168" s="85">
        <f>IF(H168,An,'2025'!An_max)</f>
        <v>2022</v>
      </c>
      <c r="K168" s="197">
        <f t="shared" si="52"/>
        <v>46176</v>
      </c>
      <c r="L168" s="147">
        <f>IF(t&lt;Tvie,1-EXP((T0-t)*PertePVj)+'2025'!Pspv,1-EXP((T0-t)*PertePVj)+Pspv)</f>
        <v>8.5566986803542827E-2</v>
      </c>
      <c r="M168" s="843"/>
      <c r="N168" s="843"/>
      <c r="O168" s="48">
        <f>IF(t&lt;Tnet,'2025'!Resal+('2025'!Salim-'2025'!Resal)*(1-EXP(('2025'!Tnet-t)/('2025'!Tau_j))),Resal+(Salim-Resal)*(1-EXP((Tnet-t)/(Tau_j))))*Salcycl</f>
        <v>8.9998963650787203E-2</v>
      </c>
      <c r="P168" s="169">
        <f>(INDEX(Models!$BJ168:$BT168,,T168)*(1-R168)+INDEX(Models!$BJ168:$BT168,,T168+1)*R168-ERP_i)*Q168*Ramure*Pc/MaxiM</f>
        <v>1.2393154345219039E-2</v>
      </c>
      <c r="Q168" s="305">
        <f t="shared" si="53"/>
        <v>0.8</v>
      </c>
      <c r="R168" s="177">
        <f t="shared" si="54"/>
        <v>0.65610116090775783</v>
      </c>
      <c r="S168" s="809">
        <f t="shared" si="55"/>
        <v>2</v>
      </c>
      <c r="T168" s="176">
        <f t="shared" si="56"/>
        <v>8</v>
      </c>
      <c r="U168" s="251">
        <f t="shared" si="57"/>
        <v>2.6561011609077578</v>
      </c>
      <c r="V168" s="383">
        <f t="shared" si="58"/>
        <v>51.272840911688036</v>
      </c>
      <c r="W168" s="402">
        <f t="shared" si="59"/>
        <v>45.546955007422248</v>
      </c>
      <c r="X168" s="157">
        <f t="shared" si="60"/>
        <v>46176</v>
      </c>
      <c r="Y168" s="385">
        <f t="shared" si="61"/>
        <v>42.18890071076153</v>
      </c>
      <c r="Z168" s="385">
        <f t="shared" si="62"/>
        <v>46.136677156140301</v>
      </c>
      <c r="AA168" s="386">
        <f t="shared" si="63"/>
        <v>54.36471674395986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0.15134889098329982</v>
      </c>
      <c r="AD168" s="231">
        <f>(INDEX(Models!$BJ168:$BT168,,AH168)*(1-AF168)+INDEX(Models!$BJ168:$BT168,,AH168+1)*AF168-ERP_i)*AE168*Ramure*Pc/MaxiM</f>
        <v>2.0359645980441519E-2</v>
      </c>
      <c r="AE168" s="305">
        <f t="shared" si="65"/>
        <v>0.8</v>
      </c>
      <c r="AF168" s="177">
        <f t="shared" si="66"/>
        <v>0.85681790807266145</v>
      </c>
      <c r="AG168" s="809">
        <f t="shared" si="74"/>
        <v>3</v>
      </c>
      <c r="AH168" s="176">
        <f t="shared" si="67"/>
        <v>9</v>
      </c>
      <c r="AI168" s="225">
        <f t="shared" si="68"/>
        <v>3.8568179080726614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IF(t&gt;Tmaj,'2025'!Wh/'2025'!Env_an*'2026'!Env_an,0.001*'[8]mon-tableau'!$B$139)</f>
        <v>21.563830629020792</v>
      </c>
      <c r="C169" s="839"/>
      <c r="D169" s="393">
        <f t="shared" si="50"/>
        <v>23.582202017232341</v>
      </c>
      <c r="E169" s="385">
        <f t="shared" si="72"/>
        <v>25.919967058622497</v>
      </c>
      <c r="F169" s="385">
        <f t="shared" si="51"/>
        <v>25.976398861281233</v>
      </c>
      <c r="G169" s="110">
        <f t="shared" si="73"/>
        <v>0.41636350882173528</v>
      </c>
      <c r="H169" s="414" t="b">
        <f>Wh_hp&gt;='2025'!Maxi_hp</f>
        <v>0</v>
      </c>
      <c r="I169" s="390">
        <f>IF(H169,Wh_hp,'2025'!Maxi_hp)</f>
        <v>56.408226720952712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8.5588758282057503E-2</v>
      </c>
      <c r="M169" s="843"/>
      <c r="N169" s="843"/>
      <c r="O169" s="48">
        <f>IF(t&lt;Tnet,'2025'!Resal+('2025'!Salim-'2025'!Resal)*(1-EXP(('2025'!Tnet-t)/('2025'!Tau_j))),Resal+(Salim-Resal)*(1-EXP((Tnet-t)/(Tau_j))))*Salcycl</f>
        <v>9.0191667146138618E-2</v>
      </c>
      <c r="P169" s="169">
        <f>(INDEX(Models!$BJ169:$BT169,,T169)*(1-R169)+INDEX(Models!$BJ169:$BT169,,T169+1)*R169-ERP_i)*Q169*Ramure*Pc/MaxiM</f>
        <v>1.2592982733162736E-2</v>
      </c>
      <c r="Q169" s="305">
        <f t="shared" si="53"/>
        <v>0.8</v>
      </c>
      <c r="R169" s="177">
        <f t="shared" si="54"/>
        <v>0.66216710994334971</v>
      </c>
      <c r="S169" s="809">
        <f t="shared" si="55"/>
        <v>2</v>
      </c>
      <c r="T169" s="176">
        <f t="shared" si="56"/>
        <v>8</v>
      </c>
      <c r="U169" s="251">
        <f t="shared" si="57"/>
        <v>2.6621671099433497</v>
      </c>
      <c r="V169" s="383">
        <f t="shared" si="58"/>
        <v>51.250010706351084</v>
      </c>
      <c r="W169" s="402">
        <f t="shared" si="59"/>
        <v>21.563830629020792</v>
      </c>
      <c r="X169" s="157">
        <f t="shared" si="60"/>
        <v>46177</v>
      </c>
      <c r="Y169" s="385">
        <f t="shared" si="61"/>
        <v>20.083211870398546</v>
      </c>
      <c r="Z169" s="385">
        <f t="shared" si="62"/>
        <v>21.962997559683735</v>
      </c>
      <c r="AA169" s="386">
        <f t="shared" si="63"/>
        <v>25.884386217474681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0.15149629683486932</v>
      </c>
      <c r="AD169" s="231">
        <f>(INDEX(Models!$BJ169:$BT169,,AH169)*(1-AF169)+INDEX(Models!$BJ169:$BT169,,AH169+1)*AF169-ERP_i)*AE169*Ramure*Pc/MaxiM</f>
        <v>2.0532989911658642E-2</v>
      </c>
      <c r="AE169" s="305">
        <f t="shared" si="65"/>
        <v>0.8</v>
      </c>
      <c r="AF169" s="177">
        <f t="shared" si="66"/>
        <v>0.86288385710825333</v>
      </c>
      <c r="AG169" s="809">
        <f t="shared" si="74"/>
        <v>3</v>
      </c>
      <c r="AH169" s="176">
        <f t="shared" si="67"/>
        <v>9</v>
      </c>
      <c r="AI169" s="225">
        <f t="shared" si="68"/>
        <v>3.8628838571082533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IF(t&gt;Tmaj,'2025'!Wh/'2025'!Env_an*'2026'!Env_an,0.001*'[8]mon-tableau'!$B$140)</f>
        <v>30.480483080842951</v>
      </c>
      <c r="C170" s="839"/>
      <c r="D170" s="393">
        <f t="shared" si="50"/>
        <v>33.334245478540858</v>
      </c>
      <c r="E170" s="385">
        <f t="shared" ref="E170:E232" si="75">Wh_pvt/(1-Psa)</f>
        <v>36.64648613829123</v>
      </c>
      <c r="F170" s="385">
        <f t="shared" si="51"/>
        <v>36.845135123202162</v>
      </c>
      <c r="G170" s="110">
        <f t="shared" ref="G170:G232" si="76">+Wh_hp/MaxiM</f>
        <v>0.59061947577996565</v>
      </c>
      <c r="H170" s="414" t="b">
        <f>Wh_hp&gt;='2025'!Maxi_hp</f>
        <v>0</v>
      </c>
      <c r="I170" s="390">
        <f>IF(H170,Wh_hp,'2025'!Maxi_hp)</f>
        <v>45.470659595237684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8.5610529253918016E-2</v>
      </c>
      <c r="M170" s="843"/>
      <c r="N170" s="843"/>
      <c r="O170" s="48">
        <f>IF(t&lt;Tnet,'2025'!Resal+('2025'!Salim-'2025'!Resal)*(1-EXP(('2025'!Tnet-t)/('2025'!Tau_j))),Resal+(Salim-Resal)*(1-EXP((Tnet-t)/(Tau_j))))*Salcycl</f>
        <v>9.0383581313938643E-2</v>
      </c>
      <c r="P170" s="169">
        <f>(INDEX(Models!$BJ170:$BT170,,T170)*(1-R170)+INDEX(Models!$BJ170:$BT170,,T170+1)*R170-ERP_i)*Q170*Ramure*Pc/MaxiM</f>
        <v>1.2791269696710001E-2</v>
      </c>
      <c r="Q170" s="305">
        <f t="shared" si="53"/>
        <v>0.8</v>
      </c>
      <c r="R170" s="177">
        <f t="shared" si="54"/>
        <v>0.6682637109876759</v>
      </c>
      <c r="S170" s="809">
        <f t="shared" si="55"/>
        <v>2</v>
      </c>
      <c r="T170" s="176">
        <f t="shared" si="56"/>
        <v>8</v>
      </c>
      <c r="U170" s="251">
        <f t="shared" si="57"/>
        <v>2.6682637109876759</v>
      </c>
      <c r="V170" s="383">
        <f t="shared" si="58"/>
        <v>51.223692818775781</v>
      </c>
      <c r="W170" s="402">
        <f t="shared" si="59"/>
        <v>30.480483080842951</v>
      </c>
      <c r="X170" s="157">
        <f t="shared" si="60"/>
        <v>46178</v>
      </c>
      <c r="Y170" s="385">
        <f t="shared" si="61"/>
        <v>28.332354813574796</v>
      </c>
      <c r="Z170" s="385">
        <f t="shared" si="62"/>
        <v>30.984996787482086</v>
      </c>
      <c r="AA170" s="386">
        <f t="shared" si="63"/>
        <v>36.523509121219497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0.15164239326937057</v>
      </c>
      <c r="AD170" s="231">
        <f>(INDEX(Models!$BJ170:$BT170,,AH170)*(1-AF170)+INDEX(Models!$BJ170:$BT170,,AH170+1)*AF170-ERP_i)*AE170*Ramure*Pc/MaxiM</f>
        <v>2.0709921748049694E-2</v>
      </c>
      <c r="AE170" s="305">
        <f t="shared" si="65"/>
        <v>0.8</v>
      </c>
      <c r="AF170" s="177">
        <f t="shared" si="66"/>
        <v>0.86898045815257952</v>
      </c>
      <c r="AG170" s="809">
        <f t="shared" si="74"/>
        <v>3</v>
      </c>
      <c r="AH170" s="176">
        <f t="shared" si="67"/>
        <v>9</v>
      </c>
      <c r="AI170" s="225">
        <f t="shared" si="68"/>
        <v>3.8689804581525795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IF(t&gt;Tmaj,'2025'!Wh/'2025'!Env_an*'2026'!Env_an,0.001*'[8]mon-tableau'!$B$141)</f>
        <v>38.74800297100947</v>
      </c>
      <c r="C171" s="839"/>
      <c r="D171" s="393">
        <f t="shared" si="50"/>
        <v>42.376828226880008</v>
      </c>
      <c r="E171" s="385">
        <f t="shared" si="75"/>
        <v>46.597367697184467</v>
      </c>
      <c r="F171" s="385">
        <f t="shared" si="51"/>
        <v>46.995706648914414</v>
      </c>
      <c r="G171" s="110">
        <f t="shared" si="76"/>
        <v>0.7534389170033603</v>
      </c>
      <c r="H171" s="414" t="b">
        <f>Wh_hp&gt;='2025'!Maxi_hp</f>
        <v>0</v>
      </c>
      <c r="I171" s="390">
        <f>IF(H171,Wh_hp,'2025'!Maxi_hp)</f>
        <v>63.6888163743956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8.5632299719136246E-2</v>
      </c>
      <c r="M171" s="843"/>
      <c r="N171" s="843"/>
      <c r="O171" s="48">
        <f>IF(t&lt;Tnet,'2025'!Resal+('2025'!Salim-'2025'!Resal)*(1-EXP(('2025'!Tnet-t)/('2025'!Tau_j))),Resal+(Salim-Resal)*(1-EXP((Tnet-t)/(Tau_j))))*Salcycl</f>
        <v>9.0574632836169303E-2</v>
      </c>
      <c r="P171" s="169">
        <f>(INDEX(Models!$BJ171:$BT171,,T171)*(1-R171)+INDEX(Models!$BJ171:$BT171,,T171+1)*R171-ERP_i)*Q171*Ramure*Pc/MaxiM</f>
        <v>1.2986397549766332E-2</v>
      </c>
      <c r="Q171" s="305">
        <f t="shared" si="53"/>
        <v>0.8</v>
      </c>
      <c r="R171" s="177">
        <f t="shared" si="54"/>
        <v>0.67438601324424408</v>
      </c>
      <c r="S171" s="809">
        <f t="shared" si="55"/>
        <v>2</v>
      </c>
      <c r="T171" s="176">
        <f t="shared" si="56"/>
        <v>8</v>
      </c>
      <c r="U171" s="251">
        <f t="shared" si="57"/>
        <v>2.6743860132442441</v>
      </c>
      <c r="V171" s="383">
        <f t="shared" si="58"/>
        <v>51.194253396072774</v>
      </c>
      <c r="W171" s="402">
        <f t="shared" si="59"/>
        <v>38.74800297100947</v>
      </c>
      <c r="X171" s="157">
        <f t="shared" si="60"/>
        <v>46179</v>
      </c>
      <c r="Y171" s="385">
        <f t="shared" si="61"/>
        <v>35.952013067586151</v>
      </c>
      <c r="Z171" s="385">
        <f t="shared" si="62"/>
        <v>39.318988473174272</v>
      </c>
      <c r="AA171" s="386">
        <f t="shared" si="63"/>
        <v>46.355091647225166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0.15178706209012699</v>
      </c>
      <c r="AD171" s="231">
        <f>(INDEX(Models!$BJ171:$BT171,,AH171)*(1-AF171)+INDEX(Models!$BJ171:$BT171,,AH171+1)*AF171-ERP_i)*AE171*Ramure*Pc/MaxiM</f>
        <v>2.0884929912454973E-2</v>
      </c>
      <c r="AE171" s="305">
        <f t="shared" si="65"/>
        <v>0.8</v>
      </c>
      <c r="AF171" s="177">
        <f t="shared" si="66"/>
        <v>0.8751027604091477</v>
      </c>
      <c r="AG171" s="809">
        <f t="shared" si="74"/>
        <v>3</v>
      </c>
      <c r="AH171" s="176">
        <f t="shared" si="67"/>
        <v>9</v>
      </c>
      <c r="AI171" s="225">
        <f t="shared" si="68"/>
        <v>3.8751027604091477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IF(t&gt;Tmaj,'2025'!Wh/'2025'!Env_an*'2026'!Env_an,0.001*'[8]mon-tableau'!$B$142)</f>
        <v>26.142426814600434</v>
      </c>
      <c r="C172" s="839"/>
      <c r="D172" s="393">
        <f t="shared" si="50"/>
        <v>28.591396262228791</v>
      </c>
      <c r="E172" s="385">
        <f t="shared" si="75"/>
        <v>31.445543128622411</v>
      </c>
      <c r="F172" s="385">
        <f t="shared" si="51"/>
        <v>31.570935172828126</v>
      </c>
      <c r="G172" s="110">
        <f t="shared" si="76"/>
        <v>0.50625067667025037</v>
      </c>
      <c r="H172" s="414" t="b">
        <f>Wh_hp&gt;='2025'!Maxi_hp</f>
        <v>0</v>
      </c>
      <c r="I172" s="390">
        <f>IF(H172,Wh_hp,'2025'!Maxi_hp)</f>
        <v>51.75274626686349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8.5654069677723849E-2</v>
      </c>
      <c r="M172" s="843"/>
      <c r="N172" s="843"/>
      <c r="O172" s="48">
        <f>IF(t&lt;Tnet,'2025'!Resal+('2025'!Salim-'2025'!Resal)*(1-EXP(('2025'!Tnet-t)/('2025'!Tau_j))),Resal+(Salim-Resal)*(1-EXP((Tnet-t)/(Tau_j))))*Salcycl</f>
        <v>9.0764750181583337E-2</v>
      </c>
      <c r="P172" s="169">
        <f>(INDEX(Models!$BJ172:$BT172,,T172)*(1-R172)+INDEX(Models!$BJ172:$BT172,,T172+1)*R172-ERP_i)*Q172*Ramure*Pc/MaxiM</f>
        <v>1.3178088040207736E-2</v>
      </c>
      <c r="Q172" s="305">
        <f t="shared" si="53"/>
        <v>0.8</v>
      </c>
      <c r="R172" s="177">
        <f t="shared" si="54"/>
        <v>0.68052898054563515</v>
      </c>
      <c r="S172" s="809">
        <f t="shared" si="55"/>
        <v>2</v>
      </c>
      <c r="T172" s="176">
        <f t="shared" si="56"/>
        <v>8</v>
      </c>
      <c r="U172" s="251">
        <f t="shared" si="57"/>
        <v>2.6805289805456352</v>
      </c>
      <c r="V172" s="383">
        <f t="shared" si="58"/>
        <v>51.161988365218804</v>
      </c>
      <c r="W172" s="402">
        <f t="shared" si="59"/>
        <v>26.142426814600434</v>
      </c>
      <c r="X172" s="157">
        <f t="shared" si="60"/>
        <v>46180</v>
      </c>
      <c r="Y172" s="385">
        <f t="shared" si="61"/>
        <v>24.325652189328409</v>
      </c>
      <c r="Z172" s="385">
        <f t="shared" si="62"/>
        <v>26.604429880006613</v>
      </c>
      <c r="AA172" s="386">
        <f t="shared" si="63"/>
        <v>31.370565869626414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0.15193018861781082</v>
      </c>
      <c r="AD172" s="231">
        <f>(INDEX(Models!$BJ172:$BT172,,AH172)*(1-AF172)+INDEX(Models!$BJ172:$BT172,,AH172+1)*AF172-ERP_i)*AE172*Ramure*Pc/MaxiM</f>
        <v>2.1057829744089204E-2</v>
      </c>
      <c r="AE172" s="305">
        <f t="shared" si="65"/>
        <v>0.8</v>
      </c>
      <c r="AF172" s="177">
        <f t="shared" si="66"/>
        <v>0.88124572771053877</v>
      </c>
      <c r="AG172" s="809">
        <f t="shared" si="74"/>
        <v>3</v>
      </c>
      <c r="AH172" s="176">
        <f t="shared" si="67"/>
        <v>9</v>
      </c>
      <c r="AI172" s="225">
        <f t="shared" si="68"/>
        <v>3.8812457277105388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IF(t&gt;Tmaj,'2025'!Wh/'2025'!Env_an*'2026'!Env_an,0.001*'[8]mon-tableau'!$B$143)</f>
        <v>17.80449406519282</v>
      </c>
      <c r="C173" s="839"/>
      <c r="D173" s="393">
        <f t="shared" si="50"/>
        <v>19.472846532071799</v>
      </c>
      <c r="E173" s="385">
        <f t="shared" si="75"/>
        <v>21.421186184692171</v>
      </c>
      <c r="F173" s="385">
        <f t="shared" si="51"/>
        <v>21.440935377468328</v>
      </c>
      <c r="G173" s="110">
        <f t="shared" si="76"/>
        <v>0.34390140464576135</v>
      </c>
      <c r="H173" s="414" t="b">
        <f>Wh_hp&gt;='2025'!Maxi_hp</f>
        <v>0</v>
      </c>
      <c r="I173" s="390">
        <f>IF(H173,Wh_hp,'2025'!Maxi_hp)</f>
        <v>63.160398004063062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8.5675839129692816E-2</v>
      </c>
      <c r="M173" s="843"/>
      <c r="N173" s="843"/>
      <c r="O173" s="48">
        <f>IF(t&lt;Tnet,'2025'!Resal+('2025'!Salim-'2025'!Resal)*(1-EXP(('2025'!Tnet-t)/('2025'!Tau_j))),Resal+(Salim-Resal)*(1-EXP((Tnet-t)/(Tau_j))))*Salcycl</f>
        <v>9.095386389072517E-2</v>
      </c>
      <c r="P173" s="169">
        <f>(INDEX(Models!$BJ173:$BT173,,T173)*(1-R173)+INDEX(Models!$BJ173:$BT173,,T173+1)*R173-ERP_i)*Q173*Ramure*Pc/MaxiM</f>
        <v>1.3366058303953961E-2</v>
      </c>
      <c r="Q173" s="305">
        <f t="shared" si="53"/>
        <v>0.8</v>
      </c>
      <c r="R173" s="177">
        <f t="shared" si="54"/>
        <v>0.68668750768955489</v>
      </c>
      <c r="S173" s="809">
        <f t="shared" si="55"/>
        <v>2</v>
      </c>
      <c r="T173" s="176">
        <f t="shared" si="56"/>
        <v>8</v>
      </c>
      <c r="U173" s="251">
        <f t="shared" si="57"/>
        <v>2.6866875076895549</v>
      </c>
      <c r="V173" s="383">
        <f t="shared" si="58"/>
        <v>51.127193189895955</v>
      </c>
      <c r="W173" s="402">
        <f t="shared" si="59"/>
        <v>17.80449406519282</v>
      </c>
      <c r="X173" s="157">
        <f t="shared" si="60"/>
        <v>46181</v>
      </c>
      <c r="Y173" s="385">
        <f t="shared" si="61"/>
        <v>16.598439913659831</v>
      </c>
      <c r="Z173" s="385">
        <f t="shared" si="62"/>
        <v>18.153780271824456</v>
      </c>
      <c r="AA173" s="386">
        <f t="shared" si="63"/>
        <v>21.409569018212562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0.15207166214408571</v>
      </c>
      <c r="AD173" s="231">
        <f>(INDEX(Models!$BJ173:$BT173,,AH173)*(1-AF173)+INDEX(Models!$BJ173:$BT173,,AH173+1)*AF173-ERP_i)*AE173*Ramure*Pc/MaxiM</f>
        <v>2.1228441655675123E-2</v>
      </c>
      <c r="AE173" s="305">
        <f t="shared" si="65"/>
        <v>0.8</v>
      </c>
      <c r="AF173" s="177">
        <f t="shared" si="66"/>
        <v>0.88740425485445851</v>
      </c>
      <c r="AG173" s="809">
        <f t="shared" si="74"/>
        <v>3</v>
      </c>
      <c r="AH173" s="176">
        <f t="shared" si="67"/>
        <v>9</v>
      </c>
      <c r="AI173" s="225">
        <f t="shared" si="68"/>
        <v>3.8874042548544585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IF(t&gt;Tmaj,'2025'!Wh/'2025'!Env_an*'2026'!Env_an,0.001*'[8]mon-tableau'!$B$144)</f>
        <v>38.110091451233934</v>
      </c>
      <c r="C174" s="839"/>
      <c r="D174" s="393">
        <f t="shared" si="50"/>
        <v>41.682152193650147</v>
      </c>
      <c r="E174" s="385">
        <f t="shared" si="75"/>
        <v>45.862112587180334</v>
      </c>
      <c r="F174" s="385">
        <f t="shared" si="51"/>
        <v>46.261445949237789</v>
      </c>
      <c r="G174" s="110">
        <f t="shared" si="76"/>
        <v>0.74223754482425419</v>
      </c>
      <c r="H174" s="414" t="b">
        <f>Wh_hp&gt;='2025'!Maxi_hp</f>
        <v>0</v>
      </c>
      <c r="I174" s="390">
        <f>IF(H174,Wh_hp,'2025'!Maxi_hp)</f>
        <v>59.632877338436153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8.5697608075054804E-2</v>
      </c>
      <c r="M174" s="843"/>
      <c r="N174" s="843"/>
      <c r="O174" s="48">
        <f>IF(t&lt;Tnet,'2025'!Resal+('2025'!Salim-'2025'!Resal)*(1-EXP(('2025'!Tnet-t)/('2025'!Tau_j))),Resal+(Salim-Resal)*(1-EXP((Tnet-t)/(Tau_j))))*Salcycl</f>
        <v>9.1141906853601753E-2</v>
      </c>
      <c r="P174" s="169">
        <f>(INDEX(Models!$BJ174:$BT174,,T174)*(1-R174)+INDEX(Models!$BJ174:$BT174,,T174+1)*R174-ERP_i)*Q174*Ramure*Pc/MaxiM</f>
        <v>1.3550021861916934E-2</v>
      </c>
      <c r="Q174" s="305">
        <f t="shared" si="53"/>
        <v>0.8</v>
      </c>
      <c r="R174" s="177">
        <f t="shared" si="54"/>
        <v>0.69285643726272195</v>
      </c>
      <c r="S174" s="809">
        <f t="shared" si="55"/>
        <v>2</v>
      </c>
      <c r="T174" s="176">
        <f t="shared" si="56"/>
        <v>8</v>
      </c>
      <c r="U174" s="251">
        <f t="shared" si="57"/>
        <v>2.6928564372627219</v>
      </c>
      <c r="V174" s="383">
        <f t="shared" si="58"/>
        <v>51.090162809999086</v>
      </c>
      <c r="W174" s="402">
        <f t="shared" si="59"/>
        <v>38.110091451233934</v>
      </c>
      <c r="X174" s="157">
        <f t="shared" si="60"/>
        <v>46182</v>
      </c>
      <c r="Y174" s="385">
        <f t="shared" si="61"/>
        <v>35.370088865256164</v>
      </c>
      <c r="Z174" s="385">
        <f t="shared" si="62"/>
        <v>38.685329030791472</v>
      </c>
      <c r="AA174" s="386">
        <f t="shared" si="63"/>
        <v>45.630865940558394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0.15221137636999058</v>
      </c>
      <c r="AD174" s="231">
        <f>(INDEX(Models!$BJ174:$BT174,,AH174)*(1-AF174)+INDEX(Models!$BJ174:$BT174,,AH174+1)*AF174-ERP_i)*AE174*Ramure*Pc/MaxiM</f>
        <v>2.1396591707918074E-2</v>
      </c>
      <c r="AE174" s="305">
        <f t="shared" si="65"/>
        <v>0.8</v>
      </c>
      <c r="AF174" s="177">
        <f t="shared" si="66"/>
        <v>0.89357318442762557</v>
      </c>
      <c r="AG174" s="809">
        <f t="shared" si="74"/>
        <v>3</v>
      </c>
      <c r="AH174" s="176">
        <f t="shared" si="67"/>
        <v>9</v>
      </c>
      <c r="AI174" s="225">
        <f t="shared" si="68"/>
        <v>3.8935731844276256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IF(t&gt;Tmaj,'2025'!Wh/'2025'!Env_an*'2026'!Env_an,0.001*'[8]mon-tableau'!$B$145)</f>
        <v>48.391244467106091</v>
      </c>
      <c r="C175" s="839"/>
      <c r="D175" s="393">
        <f t="shared" si="50"/>
        <v>52.928218343498173</v>
      </c>
      <c r="E175" s="385">
        <f t="shared" si="75"/>
        <v>58.247933017619275</v>
      </c>
      <c r="F175" s="385">
        <f t="shared" si="51"/>
        <v>58.997659898669113</v>
      </c>
      <c r="G175" s="110">
        <f t="shared" si="76"/>
        <v>0.94691530200263341</v>
      </c>
      <c r="H175" s="414" t="b">
        <f>Wh_hp&gt;='2025'!Maxi_hp</f>
        <v>0</v>
      </c>
      <c r="I175" s="390">
        <f>IF(H175,Wh_hp,'2025'!Maxi_hp)</f>
        <v>59.456159779115154</v>
      </c>
      <c r="J175" s="85">
        <f>IF(H175,An,'2025'!An_max)</f>
        <v>2021</v>
      </c>
      <c r="K175" s="197">
        <f t="shared" si="52"/>
        <v>46183</v>
      </c>
      <c r="L175" s="147">
        <f>IF(t&lt;Tvie,1-EXP((T0-t)*PertePVj)+'2025'!Pspv,1-EXP((T0-t)*PertePVj)+Pspv)</f>
        <v>8.5719376513821693E-2</v>
      </c>
      <c r="M175" s="843"/>
      <c r="N175" s="843"/>
      <c r="O175" s="48">
        <f>IF(t&lt;Tnet,'2025'!Resal+('2025'!Salim-'2025'!Resal)*(1-EXP(('2025'!Tnet-t)/('2025'!Tau_j))),Resal+(Salim-Resal)*(1-EXP((Tnet-t)/(Tau_j))))*Salcycl</f>
        <v>9.1328814578054709E-2</v>
      </c>
      <c r="P175" s="169">
        <f>(INDEX(Models!$BJ175:$BT175,,T175)*(1-R175)+INDEX(Models!$BJ175:$BT175,,T175+1)*R175-ERP_i)*Q175*Ramure*Pc/MaxiM</f>
        <v>1.3729689648445405E-2</v>
      </c>
      <c r="Q175" s="305">
        <f t="shared" si="53"/>
        <v>0.8</v>
      </c>
      <c r="R175" s="177">
        <f t="shared" si="54"/>
        <v>0.69903057683593595</v>
      </c>
      <c r="S175" s="809">
        <f t="shared" si="55"/>
        <v>2</v>
      </c>
      <c r="T175" s="176">
        <f t="shared" si="56"/>
        <v>8</v>
      </c>
      <c r="U175" s="251">
        <f t="shared" si="57"/>
        <v>2.6990305768359359</v>
      </c>
      <c r="V175" s="383">
        <f t="shared" si="58"/>
        <v>51.051191574487412</v>
      </c>
      <c r="W175" s="402">
        <f t="shared" si="59"/>
        <v>48.391244467106091</v>
      </c>
      <c r="X175" s="157">
        <f t="shared" si="60"/>
        <v>46183</v>
      </c>
      <c r="Y175" s="385">
        <f t="shared" si="61"/>
        <v>44.81014199131824</v>
      </c>
      <c r="Z175" s="385">
        <f t="shared" si="62"/>
        <v>49.011365701326881</v>
      </c>
      <c r="AA175" s="386">
        <f t="shared" si="63"/>
        <v>57.820233787157065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0.15234922982595739</v>
      </c>
      <c r="AD175" s="231">
        <f>(INDEX(Models!$BJ175:$BT175,,AH175)*(1-AF175)+INDEX(Models!$BJ175:$BT175,,AH175+1)*AF175-ERP_i)*AE175*Ramure*Pc/MaxiM</f>
        <v>2.1562112155295379E-2</v>
      </c>
      <c r="AE175" s="305">
        <f t="shared" si="65"/>
        <v>0.8</v>
      </c>
      <c r="AF175" s="177">
        <f t="shared" si="66"/>
        <v>0.89974732400083957</v>
      </c>
      <c r="AG175" s="809">
        <f t="shared" si="74"/>
        <v>3</v>
      </c>
      <c r="AH175" s="176">
        <f t="shared" si="67"/>
        <v>9</v>
      </c>
      <c r="AI175" s="225">
        <f t="shared" si="68"/>
        <v>3.8997473240008396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IF(t&gt;Tmaj,'2025'!Wh/'2025'!Env_an*'2026'!Env_an,0.001*'[8]mon-tableau'!$B$146)</f>
        <v>47.474708197464885</v>
      </c>
      <c r="C176" s="839"/>
      <c r="D176" s="393">
        <f t="shared" si="50"/>
        <v>51.926987536475764</v>
      </c>
      <c r="E176" s="385">
        <f t="shared" si="75"/>
        <v>57.157752095068936</v>
      </c>
      <c r="F176" s="385">
        <f t="shared" si="51"/>
        <v>57.882901832622686</v>
      </c>
      <c r="G176" s="110">
        <f t="shared" si="76"/>
        <v>0.92938597179364013</v>
      </c>
      <c r="H176" s="414" t="b">
        <f>Wh_hp&gt;='2025'!Maxi_hp</f>
        <v>0</v>
      </c>
      <c r="I176" s="390">
        <f>IF(H176,Wh_hp,'2025'!Maxi_hp)</f>
        <v>57.956580464308153</v>
      </c>
      <c r="J176" s="85">
        <f>IF(H176,An,'2025'!An_max)</f>
        <v>2022</v>
      </c>
      <c r="K176" s="197">
        <f t="shared" si="52"/>
        <v>46184</v>
      </c>
      <c r="L176" s="147">
        <f>IF(t&lt;Tvie,1-EXP((T0-t)*PertePVj)+'2025'!Pspv,1-EXP((T0-t)*PertePVj)+Pspv)</f>
        <v>8.5741144446005141E-2</v>
      </c>
      <c r="M176" s="843"/>
      <c r="N176" s="843"/>
      <c r="O176" s="48">
        <f>IF(t&lt;Tnet,'2025'!Resal+('2025'!Salim-'2025'!Resal)*(1-EXP(('2025'!Tnet-t)/('2025'!Tau_j))),Resal+(Salim-Resal)*(1-EXP((Tnet-t)/(Tau_j))))*Salcycl</f>
        <v>9.1514525446924219E-2</v>
      </c>
      <c r="P176" s="169">
        <f>(INDEX(Models!$BJ176:$BT176,,T176)*(1-R176)+INDEX(Models!$BJ176:$BT176,,T176+1)*R176-ERP_i)*Q176*Ramure*Pc/MaxiM</f>
        <v>1.3904771060070695E-2</v>
      </c>
      <c r="Q176" s="305">
        <f t="shared" si="53"/>
        <v>0.8</v>
      </c>
      <c r="R176" s="177">
        <f t="shared" si="54"/>
        <v>0.70520471640914995</v>
      </c>
      <c r="S176" s="809">
        <f t="shared" si="55"/>
        <v>2</v>
      </c>
      <c r="T176" s="176">
        <f t="shared" si="56"/>
        <v>8</v>
      </c>
      <c r="U176" s="251">
        <f t="shared" si="57"/>
        <v>2.7052047164091499</v>
      </c>
      <c r="V176" s="383">
        <f t="shared" si="58"/>
        <v>51.010573186671486</v>
      </c>
      <c r="W176" s="402">
        <f t="shared" si="59"/>
        <v>47.474708197464885</v>
      </c>
      <c r="X176" s="157">
        <f t="shared" si="60"/>
        <v>46184</v>
      </c>
      <c r="Y176" s="385">
        <f t="shared" si="61"/>
        <v>43.972565783917013</v>
      </c>
      <c r="Z176" s="385">
        <f t="shared" si="62"/>
        <v>48.096406741690075</v>
      </c>
      <c r="AA176" s="386">
        <f t="shared" si="63"/>
        <v>56.749926440863824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0.15248512627044788</v>
      </c>
      <c r="AD176" s="231">
        <f>(INDEX(Models!$BJ176:$BT176,,AH176)*(1-AF176)+INDEX(Models!$BJ176:$BT176,,AH176+1)*AF176-ERP_i)*AE176*Ramure*Pc/MaxiM</f>
        <v>2.172484195091233E-2</v>
      </c>
      <c r="AE176" s="305">
        <f t="shared" si="65"/>
        <v>0.8</v>
      </c>
      <c r="AF176" s="177">
        <f t="shared" si="66"/>
        <v>0.90592146357405312</v>
      </c>
      <c r="AG176" s="809">
        <f t="shared" si="74"/>
        <v>3</v>
      </c>
      <c r="AH176" s="176">
        <f t="shared" si="67"/>
        <v>9</v>
      </c>
      <c r="AI176" s="225">
        <f t="shared" si="68"/>
        <v>3.9059214635740531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IF(t&gt;Tmaj,'2025'!Wh/'2025'!Env_an*'2026'!Env_an,0.001*'[8]mon-tableau'!$B$147)</f>
        <v>35.752037114940322</v>
      </c>
      <c r="C177" s="839"/>
      <c r="D177" s="393">
        <f t="shared" si="50"/>
        <v>39.105870434693841</v>
      </c>
      <c r="E177" s="385">
        <f t="shared" si="75"/>
        <v>43.053866080782456</v>
      </c>
      <c r="F177" s="385">
        <f t="shared" si="51"/>
        <v>43.404239945699118</v>
      </c>
      <c r="G177" s="110">
        <f t="shared" si="76"/>
        <v>0.69721670562186411</v>
      </c>
      <c r="H177" s="414" t="b">
        <f>Wh_hp&gt;='2025'!Maxi_hp</f>
        <v>0</v>
      </c>
      <c r="I177" s="390">
        <f>IF(H177,Wh_hp,'2025'!Maxi_hp)</f>
        <v>57.157834054855876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8.5762911871617026E-2</v>
      </c>
      <c r="M177" s="843"/>
      <c r="N177" s="843"/>
      <c r="O177" s="48">
        <f>IF(t&lt;Tnet,'2025'!Resal+('2025'!Salim-'2025'!Resal)*(1-EXP(('2025'!Tnet-t)/('2025'!Tau_j))),Resal+(Salim-Resal)*(1-EXP((Tnet-t)/(Tau_j))))*Salcycl</f>
        <v>9.1698980962149665E-2</v>
      </c>
      <c r="P177" s="169">
        <f>(INDEX(Models!$BJ177:$BT177,,T177)*(1-R177)+INDEX(Models!$BJ177:$BT177,,T177+1)*R177-ERP_i)*Q177*Ramure*Pc/MaxiM</f>
        <v>1.4075163379800394E-2</v>
      </c>
      <c r="Q177" s="305">
        <f t="shared" si="53"/>
        <v>0.8</v>
      </c>
      <c r="R177" s="177">
        <f t="shared" si="54"/>
        <v>0.71137364598231656</v>
      </c>
      <c r="S177" s="809">
        <f t="shared" si="55"/>
        <v>2</v>
      </c>
      <c r="T177" s="176">
        <f t="shared" si="56"/>
        <v>8</v>
      </c>
      <c r="U177" s="251">
        <f t="shared" si="57"/>
        <v>2.7113736459823166</v>
      </c>
      <c r="V177" s="383">
        <f t="shared" si="58"/>
        <v>50.967908834274787</v>
      </c>
      <c r="W177" s="402">
        <f t="shared" si="59"/>
        <v>35.752037114940322</v>
      </c>
      <c r="X177" s="157">
        <f t="shared" si="60"/>
        <v>46185</v>
      </c>
      <c r="Y177" s="385">
        <f t="shared" si="61"/>
        <v>33.203528516307543</v>
      </c>
      <c r="Z177" s="385">
        <f t="shared" si="62"/>
        <v>36.318290897913002</v>
      </c>
      <c r="AA177" s="386">
        <f t="shared" si="63"/>
        <v>42.859457350569478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0.15261897506431127</v>
      </c>
      <c r="AD177" s="231">
        <f>(INDEX(Models!$BJ177:$BT177,,AH177)*(1-AF177)+INDEX(Models!$BJ177:$BT177,,AH177+1)*AF177-ERP_i)*AE177*Ramure*Pc/MaxiM</f>
        <v>2.1884920083137988E-2</v>
      </c>
      <c r="AE177" s="305">
        <f t="shared" si="65"/>
        <v>0.8</v>
      </c>
      <c r="AF177" s="177">
        <f t="shared" si="66"/>
        <v>0.91209039314722062</v>
      </c>
      <c r="AG177" s="809">
        <f t="shared" si="74"/>
        <v>3</v>
      </c>
      <c r="AH177" s="176">
        <f t="shared" si="67"/>
        <v>9</v>
      </c>
      <c r="AI177" s="225">
        <f t="shared" si="68"/>
        <v>3.9120903931472206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IF(t&gt;Tmaj,'2025'!Wh/'2025'!Env_an*'2026'!Env_an,0.001*'[8]mon-tableau'!$B$148)</f>
        <v>46.457171999344411</v>
      </c>
      <c r="C178" s="839"/>
      <c r="D178" s="393">
        <f t="shared" si="50"/>
        <v>50.816444355680353</v>
      </c>
      <c r="E178" s="385">
        <f t="shared" si="75"/>
        <v>55.957982778595778</v>
      </c>
      <c r="F178" s="385">
        <f t="shared" si="51"/>
        <v>56.663684501423937</v>
      </c>
      <c r="G178" s="110">
        <f t="shared" si="76"/>
        <v>0.91065873824226273</v>
      </c>
      <c r="H178" s="414" t="b">
        <f>Wh_hp&gt;='2025'!Maxi_hp</f>
        <v>0</v>
      </c>
      <c r="I178" s="390">
        <f>IF(H178,Wh_hp,'2025'!Maxi_hp)</f>
        <v>63.561322397498678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8.5784678790669006E-2</v>
      </c>
      <c r="M178" s="843"/>
      <c r="N178" s="843"/>
      <c r="O178" s="48">
        <f>IF(t&lt;Tnet,'2025'!Resal+('2025'!Salim-'2025'!Resal)*(1-EXP(('2025'!Tnet-t)/('2025'!Tau_j))),Resal+(Salim-Resal)*(1-EXP((Tnet-t)/(Tau_j))))*Salcycl</f>
        <v>9.1882125974027964E-2</v>
      </c>
      <c r="P178" s="169">
        <f>(INDEX(Models!$BJ178:$BT178,,T178)*(1-R178)+INDEX(Models!$BJ178:$BT178,,T178+1)*R178-ERP_i)*Q178*Ramure*Pc/MaxiM</f>
        <v>1.4237886503688037E-2</v>
      </c>
      <c r="Q178" s="305">
        <f t="shared" si="53"/>
        <v>0.8</v>
      </c>
      <c r="R178" s="177">
        <f t="shared" si="54"/>
        <v>0.71753217312623674</v>
      </c>
      <c r="S178" s="809">
        <f t="shared" si="55"/>
        <v>2</v>
      </c>
      <c r="T178" s="176">
        <f t="shared" si="56"/>
        <v>8</v>
      </c>
      <c r="U178" s="251">
        <f t="shared" si="57"/>
        <v>2.7175321731262367</v>
      </c>
      <c r="V178" s="383">
        <f t="shared" si="58"/>
        <v>50.922766898262978</v>
      </c>
      <c r="W178" s="402">
        <f t="shared" si="59"/>
        <v>46.457171999344411</v>
      </c>
      <c r="X178" s="157">
        <f t="shared" si="60"/>
        <v>46186</v>
      </c>
      <c r="Y178" s="385">
        <f t="shared" si="61"/>
        <v>43.043664519061302</v>
      </c>
      <c r="Z178" s="385">
        <f t="shared" si="62"/>
        <v>47.082633073927063</v>
      </c>
      <c r="AA178" s="386">
        <f t="shared" si="63"/>
        <v>55.571167308817884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0.15275069151811535</v>
      </c>
      <c r="AD178" s="231">
        <f>(INDEX(Models!$BJ178:$BT178,,AH178)*(1-AF178)+INDEX(Models!$BJ178:$BT178,,AH178+1)*AF178-ERP_i)*AE178*Ramure*Pc/MaxiM</f>
        <v>2.2042082778704723E-2</v>
      </c>
      <c r="AE178" s="305">
        <f t="shared" si="65"/>
        <v>0.8</v>
      </c>
      <c r="AF178" s="177">
        <f t="shared" si="66"/>
        <v>0.91824892029114036</v>
      </c>
      <c r="AG178" s="809">
        <f t="shared" si="74"/>
        <v>3</v>
      </c>
      <c r="AH178" s="176">
        <f t="shared" si="67"/>
        <v>9</v>
      </c>
      <c r="AI178" s="225">
        <f t="shared" si="68"/>
        <v>3.9182489202911404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IF(t&gt;Tmaj,'2025'!Wh/'2025'!Env_an*'2026'!Env_an,0.001*'[8]mon-tableau'!$B$149)</f>
        <v>39.466504676481506</v>
      </c>
      <c r="C179" s="839"/>
      <c r="D179" s="393">
        <f t="shared" si="50"/>
        <v>43.170841086549402</v>
      </c>
      <c r="E179" s="385">
        <f t="shared" si="75"/>
        <v>47.548325823195356</v>
      </c>
      <c r="F179" s="385">
        <f t="shared" si="51"/>
        <v>48.018117093480718</v>
      </c>
      <c r="G179" s="110">
        <f t="shared" si="76"/>
        <v>0.77214104829316266</v>
      </c>
      <c r="H179" s="414" t="b">
        <f>Wh_hp&gt;='2025'!Maxi_hp</f>
        <v>0</v>
      </c>
      <c r="I179" s="390">
        <f>IF(H179,Wh_hp,'2025'!Maxi_hp)</f>
        <v>54.436884810261837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8.5806445203173182E-2</v>
      </c>
      <c r="M179" s="843"/>
      <c r="N179" s="843"/>
      <c r="O179" s="48">
        <f>IF(t&lt;Tnet,'2025'!Resal+('2025'!Salim-'2025'!Resal)*(1-EXP(('2025'!Tnet-t)/('2025'!Tau_j))),Resal+(Salim-Resal)*(1-EXP((Tnet-t)/(Tau_j))))*Salcycl</f>
        <v>9.2063908893938368E-2</v>
      </c>
      <c r="P179" s="169">
        <f>(INDEX(Models!$BJ179:$BT179,,T179)*(1-R179)+INDEX(Models!$BJ179:$BT179,,T179+1)*R179-ERP_i)*Q179*Ramure*Pc/MaxiM</f>
        <v>1.4395130378189853E-2</v>
      </c>
      <c r="Q179" s="305">
        <f t="shared" si="53"/>
        <v>0.8</v>
      </c>
      <c r="R179" s="177">
        <f t="shared" si="54"/>
        <v>0.72367514042762782</v>
      </c>
      <c r="S179" s="809">
        <f t="shared" si="55"/>
        <v>2</v>
      </c>
      <c r="T179" s="176">
        <f t="shared" si="56"/>
        <v>8</v>
      </c>
      <c r="U179" s="251">
        <f t="shared" si="57"/>
        <v>2.7236751404276278</v>
      </c>
      <c r="V179" s="383">
        <f t="shared" si="58"/>
        <v>50.875039693881476</v>
      </c>
      <c r="W179" s="402">
        <f t="shared" si="59"/>
        <v>39.466504676481506</v>
      </c>
      <c r="X179" s="157">
        <f t="shared" si="60"/>
        <v>46187</v>
      </c>
      <c r="Y179" s="385">
        <f t="shared" si="61"/>
        <v>36.625747114503312</v>
      </c>
      <c r="Z179" s="385">
        <f t="shared" si="62"/>
        <v>40.063449279778759</v>
      </c>
      <c r="AA179" s="386">
        <f t="shared" si="63"/>
        <v>47.293722974983346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0.15288019720987372</v>
      </c>
      <c r="AD179" s="231">
        <f>(INDEX(Models!$BJ179:$BT179,,AH179)*(1-AF179)+INDEX(Models!$BJ179:$BT179,,AH179+1)*AF179-ERP_i)*AE179*Ramure*Pc/MaxiM</f>
        <v>2.2196555024595322E-2</v>
      </c>
      <c r="AE179" s="305">
        <f t="shared" si="65"/>
        <v>0.8</v>
      </c>
      <c r="AF179" s="177">
        <f t="shared" si="66"/>
        <v>0.92439188759253144</v>
      </c>
      <c r="AG179" s="809">
        <f t="shared" si="74"/>
        <v>3</v>
      </c>
      <c r="AH179" s="176">
        <f t="shared" si="67"/>
        <v>9</v>
      </c>
      <c r="AI179" s="225">
        <f t="shared" si="68"/>
        <v>3.9243918875925314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IF(t&gt;Tmaj,'2025'!Wh/'2025'!Env_an*'2026'!Env_an,0.001*'[8]mon-tableau'!$B$150)</f>
        <v>45.608129637755958</v>
      </c>
      <c r="C180" s="839"/>
      <c r="D180" s="393">
        <f t="shared" si="50"/>
        <v>49.890108393184086</v>
      </c>
      <c r="E180" s="385">
        <f t="shared" si="75"/>
        <v>54.959839302362681</v>
      </c>
      <c r="F180" s="385">
        <f t="shared" si="51"/>
        <v>55.650672691566982</v>
      </c>
      <c r="G180" s="110">
        <f t="shared" si="76"/>
        <v>0.89542267402118558</v>
      </c>
      <c r="H180" s="414" t="b">
        <f>Wh_hp&gt;='2025'!Maxi_hp</f>
        <v>0</v>
      </c>
      <c r="I180" s="390">
        <f>IF(H180,Wh_hp,'2025'!Maxi_hp)</f>
        <v>56.029931246616755</v>
      </c>
      <c r="J180" s="85">
        <f>IF(H180,An,'2025'!An_max)</f>
        <v>2020</v>
      </c>
      <c r="K180" s="197">
        <f t="shared" si="52"/>
        <v>46188</v>
      </c>
      <c r="L180" s="147">
        <f>IF(t&lt;Tvie,1-EXP((T0-t)*PertePVj)+'2025'!Pspv,1-EXP((T0-t)*PertePVj)+Pspv)</f>
        <v>8.5828211109140989E-2</v>
      </c>
      <c r="M180" s="843"/>
      <c r="N180" s="843"/>
      <c r="O180" s="48">
        <f>IF(t&lt;Tnet,'2025'!Resal+('2025'!Salim-'2025'!Resal)*(1-EXP(('2025'!Tnet-t)/('2025'!Tau_j))),Resal+(Salim-Resal)*(1-EXP((Tnet-t)/(Tau_j))))*Salcycl</f>
        <v>9.2244281888951118E-2</v>
      </c>
      <c r="P180" s="169">
        <f>(INDEX(Models!$BJ180:$BT180,,T180)*(1-R180)+INDEX(Models!$BJ180:$BT180,,T180+1)*R180-ERP_i)*Q180*Ramure*Pc/MaxiM</f>
        <v>1.4546692376549987E-2</v>
      </c>
      <c r="Q180" s="305">
        <f t="shared" si="53"/>
        <v>0.8</v>
      </c>
      <c r="R180" s="177">
        <f t="shared" si="54"/>
        <v>0.72979744268419555</v>
      </c>
      <c r="S180" s="809">
        <f t="shared" si="55"/>
        <v>2</v>
      </c>
      <c r="T180" s="176">
        <f t="shared" si="56"/>
        <v>8</v>
      </c>
      <c r="U180" s="251">
        <f t="shared" si="57"/>
        <v>2.7297974426841956</v>
      </c>
      <c r="V180" s="383">
        <f t="shared" si="58"/>
        <v>50.824742928139685</v>
      </c>
      <c r="W180" s="402">
        <f t="shared" si="59"/>
        <v>45.608129637755958</v>
      </c>
      <c r="X180" s="157">
        <f t="shared" si="60"/>
        <v>46188</v>
      </c>
      <c r="Y180" s="385">
        <f t="shared" si="61"/>
        <v>42.268341514043613</v>
      </c>
      <c r="Z180" s="385">
        <f t="shared" si="62"/>
        <v>46.236759904094939</v>
      </c>
      <c r="AA180" s="386">
        <f t="shared" si="63"/>
        <v>54.589332906407826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0.15300742027079153</v>
      </c>
      <c r="AD180" s="231">
        <f>(INDEX(Models!$BJ180:$BT180,,AH180)*(1-AF180)+INDEX(Models!$BJ180:$BT180,,AH180+1)*AF180-ERP_i)*AE180*Ramure*Pc/MaxiM</f>
        <v>2.2348345640164583E-2</v>
      </c>
      <c r="AE180" s="305">
        <f t="shared" si="65"/>
        <v>0.8</v>
      </c>
      <c r="AF180" s="177">
        <f t="shared" si="66"/>
        <v>0.93051418984909962</v>
      </c>
      <c r="AG180" s="809">
        <f t="shared" si="74"/>
        <v>3</v>
      </c>
      <c r="AH180" s="176">
        <f t="shared" si="67"/>
        <v>9</v>
      </c>
      <c r="AI180" s="225">
        <f t="shared" si="68"/>
        <v>3.9305141898490996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IF(t&gt;Tmaj,'2025'!Wh/'2025'!Env_an*'2026'!Env_an,0.001*'[8]mon-tableau'!$B$151)</f>
        <v>43.79482362958656</v>
      </c>
      <c r="C181" s="839"/>
      <c r="D181" s="393">
        <f t="shared" si="50"/>
        <v>47.907698412915721</v>
      </c>
      <c r="E181" s="385">
        <f t="shared" si="75"/>
        <v>52.786385095678305</v>
      </c>
      <c r="F181" s="385">
        <f t="shared" si="51"/>
        <v>53.417137598034465</v>
      </c>
      <c r="G181" s="110">
        <f t="shared" si="76"/>
        <v>0.86006241889707802</v>
      </c>
      <c r="H181" s="414" t="b">
        <f>Wh_hp&gt;='2025'!Maxi_hp</f>
        <v>0</v>
      </c>
      <c r="I181" s="390">
        <f>IF(H181,Wh_hp,'2025'!Maxi_hp)</f>
        <v>64.737412852018437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8.5849976508584419E-2</v>
      </c>
      <c r="M181" s="843"/>
      <c r="N181" s="843"/>
      <c r="O181" s="48">
        <f>IF(t&lt;Tnet,'2025'!Resal+('2025'!Salim-'2025'!Resal)*(1-EXP(('2025'!Tnet-t)/('2025'!Tau_j))),Resal+(Salim-Resal)*(1-EXP((Tnet-t)/(Tau_j))))*Salcycl</f>
        <v>9.2423201056857543E-2</v>
      </c>
      <c r="P181" s="169">
        <f>(INDEX(Models!$BJ181:$BT181,,T181)*(1-R181)+INDEX(Models!$BJ181:$BT181,,T181+1)*R181-ERP_i)*Q181*Ramure*Pc/MaxiM</f>
        <v>1.4692376181279963E-2</v>
      </c>
      <c r="Q181" s="305">
        <f t="shared" si="53"/>
        <v>0.8</v>
      </c>
      <c r="R181" s="177">
        <f t="shared" si="54"/>
        <v>0.73589404372852218</v>
      </c>
      <c r="S181" s="809">
        <f t="shared" si="55"/>
        <v>2</v>
      </c>
      <c r="T181" s="176">
        <f t="shared" si="56"/>
        <v>8</v>
      </c>
      <c r="U181" s="251">
        <f t="shared" si="57"/>
        <v>2.7358940437285222</v>
      </c>
      <c r="V181" s="383">
        <f t="shared" si="58"/>
        <v>50.771891596269839</v>
      </c>
      <c r="W181" s="402">
        <f t="shared" si="59"/>
        <v>43.79482362958656</v>
      </c>
      <c r="X181" s="157">
        <f t="shared" si="60"/>
        <v>46189</v>
      </c>
      <c r="Y181" s="385">
        <f t="shared" si="61"/>
        <v>40.60592095444489</v>
      </c>
      <c r="Z181" s="385">
        <f t="shared" si="62"/>
        <v>44.41931839520015</v>
      </c>
      <c r="AA181" s="386">
        <f t="shared" si="63"/>
        <v>52.451307525778091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0.153132295636872</v>
      </c>
      <c r="AD181" s="231">
        <f>(INDEX(Models!$BJ181:$BT181,,AH181)*(1-AF181)+INDEX(Models!$BJ181:$BT181,,AH181+1)*AF181-ERP_i)*AE181*Ramure*Pc/MaxiM</f>
        <v>2.2497475151942684E-2</v>
      </c>
      <c r="AE181" s="305">
        <f t="shared" si="65"/>
        <v>0.8</v>
      </c>
      <c r="AF181" s="177">
        <f t="shared" si="66"/>
        <v>0.9366107908934258</v>
      </c>
      <c r="AG181" s="809">
        <f t="shared" si="74"/>
        <v>3</v>
      </c>
      <c r="AH181" s="176">
        <f t="shared" si="67"/>
        <v>9</v>
      </c>
      <c r="AI181" s="225">
        <f t="shared" si="68"/>
        <v>3.9366107908934258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IF(t&gt;Tmaj,'2025'!Wh/'2025'!Env_an*'2026'!Env_an,0.001*'[8]mon-tableau'!$B$152)</f>
        <v>44.168873282207294</v>
      </c>
      <c r="C182" s="839"/>
      <c r="D182" s="393">
        <f t="shared" si="50"/>
        <v>48.31802634558715</v>
      </c>
      <c r="E182" s="385">
        <f t="shared" si="75"/>
        <v>53.248908651426149</v>
      </c>
      <c r="F182" s="385">
        <f t="shared" si="51"/>
        <v>53.900920949728466</v>
      </c>
      <c r="G182" s="110">
        <f t="shared" si="76"/>
        <v>0.86848599821661721</v>
      </c>
      <c r="H182" s="414" t="b">
        <f>Wh_hp&gt;='2025'!Maxi_hp</f>
        <v>0</v>
      </c>
      <c r="I182" s="390">
        <f>IF(H182,Wh_hp,'2025'!Maxi_hp)</f>
        <v>61.823807905736835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8.5871741401515128E-2</v>
      </c>
      <c r="M182" s="843"/>
      <c r="N182" s="843"/>
      <c r="O182" s="48">
        <f>IF(t&lt;Tnet,'2025'!Resal+('2025'!Salim-'2025'!Resal)*(1-EXP(('2025'!Tnet-t)/('2025'!Tau_j))),Resal+(Salim-Resal)*(1-EXP((Tnet-t)/(Tau_j))))*Salcycl</f>
        <v>9.2600626580295928E-2</v>
      </c>
      <c r="P182" s="169">
        <f>(INDEX(Models!$BJ182:$BT182,,T182)*(1-R182)+INDEX(Models!$BJ182:$BT182,,T182+1)*R182-ERP_i)*Q182*Ramure*Pc/MaxiM</f>
        <v>1.4831992472755691E-2</v>
      </c>
      <c r="Q182" s="305">
        <f t="shared" si="53"/>
        <v>0.8</v>
      </c>
      <c r="R182" s="177">
        <f t="shared" si="54"/>
        <v>0.74195999276411406</v>
      </c>
      <c r="S182" s="809">
        <f t="shared" si="55"/>
        <v>2</v>
      </c>
      <c r="T182" s="176">
        <f t="shared" si="56"/>
        <v>8</v>
      </c>
      <c r="U182" s="251">
        <f t="shared" si="57"/>
        <v>2.7419599927641141</v>
      </c>
      <c r="V182" s="383">
        <f t="shared" si="58"/>
        <v>50.716499925746888</v>
      </c>
      <c r="W182" s="402">
        <f t="shared" si="59"/>
        <v>44.168873282207294</v>
      </c>
      <c r="X182" s="157">
        <f t="shared" si="60"/>
        <v>46190</v>
      </c>
      <c r="Y182" s="385">
        <f t="shared" si="61"/>
        <v>40.950638497923677</v>
      </c>
      <c r="Z182" s="385">
        <f t="shared" si="62"/>
        <v>44.797475751059281</v>
      </c>
      <c r="AA182" s="386">
        <f t="shared" si="63"/>
        <v>52.90549496278085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0.15325476526446977</v>
      </c>
      <c r="AD182" s="231">
        <f>(INDEX(Models!$BJ182:$BT182,,AH182)*(1-AF182)+INDEX(Models!$BJ182:$BT182,,AH182+1)*AF182-ERP_i)*AE182*Ramure*Pc/MaxiM</f>
        <v>2.2643975863698883E-2</v>
      </c>
      <c r="AE182" s="305">
        <f t="shared" si="65"/>
        <v>0.8</v>
      </c>
      <c r="AF182" s="177">
        <f t="shared" si="66"/>
        <v>0.94267673992901724</v>
      </c>
      <c r="AG182" s="809">
        <f t="shared" si="74"/>
        <v>3</v>
      </c>
      <c r="AH182" s="176">
        <f t="shared" si="67"/>
        <v>9</v>
      </c>
      <c r="AI182" s="225">
        <f t="shared" si="68"/>
        <v>3.9426767399290172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IF(t&gt;Tmaj,'2025'!Wh/'2025'!Env_an*'2026'!Env_an,0.001*'[8]mon-tableau'!$B$153)</f>
        <v>45.639283188419164</v>
      </c>
      <c r="C183" s="839"/>
      <c r="D183" s="393">
        <f t="shared" si="50"/>
        <v>49.92775292309841</v>
      </c>
      <c r="E183" s="385">
        <f t="shared" si="75"/>
        <v>55.033576821036718</v>
      </c>
      <c r="F183" s="385">
        <f t="shared" si="51"/>
        <v>55.749800102098142</v>
      </c>
      <c r="G183" s="110">
        <f t="shared" si="76"/>
        <v>0.89898587741913016</v>
      </c>
      <c r="H183" s="414" t="b">
        <f>Wh_hp&gt;='2025'!Maxi_hp</f>
        <v>0</v>
      </c>
      <c r="I183" s="390">
        <f>IF(H183,Wh_hp,'2025'!Maxi_hp)</f>
        <v>61.050936871155521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8.5893505787945107E-2</v>
      </c>
      <c r="M183" s="843"/>
      <c r="N183" s="843"/>
      <c r="O183" s="48">
        <f>IF(t&lt;Tnet,'2025'!Resal+('2025'!Salim-'2025'!Resal)*(1-EXP(('2025'!Tnet-t)/('2025'!Tau_j))),Resal+(Salim-Resal)*(1-EXP((Tnet-t)/(Tau_j))))*Salcycl</f>
        <v>9.2776522858797603E-2</v>
      </c>
      <c r="P183" s="169">
        <f>(INDEX(Models!$BJ183:$BT183,,T183)*(1-R183)+INDEX(Models!$BJ183:$BT183,,T183+1)*R183-ERP_i)*Q183*Ramure*Pc/MaxiM</f>
        <v>1.4965359558782976E-2</v>
      </c>
      <c r="Q183" s="305">
        <f t="shared" si="53"/>
        <v>0.8</v>
      </c>
      <c r="R183" s="177">
        <f t="shared" si="54"/>
        <v>0.7479904401028401</v>
      </c>
      <c r="S183" s="809">
        <f t="shared" si="55"/>
        <v>2</v>
      </c>
      <c r="T183" s="176">
        <f t="shared" si="56"/>
        <v>8</v>
      </c>
      <c r="U183" s="251">
        <f t="shared" si="57"/>
        <v>2.7479904401028401</v>
      </c>
      <c r="V183" s="383">
        <f t="shared" si="58"/>
        <v>50.658581337447607</v>
      </c>
      <c r="W183" s="402">
        <f t="shared" si="59"/>
        <v>45.639283188419164</v>
      </c>
      <c r="X183" s="157">
        <f t="shared" si="60"/>
        <v>46191</v>
      </c>
      <c r="Y183" s="385">
        <f t="shared" si="61"/>
        <v>42.301061905196754</v>
      </c>
      <c r="Z183" s="385">
        <f t="shared" si="62"/>
        <v>46.275857542899949</v>
      </c>
      <c r="AA183" s="386">
        <f t="shared" si="63"/>
        <v>54.659200266233661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0.15337477830813803</v>
      </c>
      <c r="AD183" s="231">
        <f>(INDEX(Models!$BJ183:$BT183,,AH183)*(1-AF183)+INDEX(Models!$BJ183:$BT183,,AH183+1)*AF183-ERP_i)*AE183*Ramure*Pc/MaxiM</f>
        <v>2.2787891862819692E-2</v>
      </c>
      <c r="AE183" s="305">
        <f t="shared" si="65"/>
        <v>0.8</v>
      </c>
      <c r="AF183" s="177">
        <f t="shared" si="66"/>
        <v>0.94870718726774372</v>
      </c>
      <c r="AG183" s="809">
        <f t="shared" si="74"/>
        <v>3</v>
      </c>
      <c r="AH183" s="176">
        <f t="shared" si="67"/>
        <v>9</v>
      </c>
      <c r="AI183" s="225">
        <f t="shared" si="68"/>
        <v>3.9487071872677437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IF(t&gt;Tmaj,'2025'!Wh/'2025'!Env_an*'2026'!Env_an,0.001*'[8]mon-tableau'!$B$154)</f>
        <v>46.714939071026826</v>
      </c>
      <c r="C184" s="839"/>
      <c r="D184" s="393">
        <f t="shared" si="50"/>
        <v>51.105698980502503</v>
      </c>
      <c r="E184" s="385">
        <f t="shared" si="75"/>
        <v>56.342811705462807</v>
      </c>
      <c r="F184" s="385">
        <f t="shared" si="51"/>
        <v>57.110075799529206</v>
      </c>
      <c r="G184" s="110">
        <f t="shared" si="76"/>
        <v>0.92170281491808104</v>
      </c>
      <c r="H184" s="414" t="b">
        <f>Wh_hp&gt;='2025'!Maxi_hp</f>
        <v>0</v>
      </c>
      <c r="I184" s="390">
        <f>IF(H184,Wh_hp,'2025'!Maxi_hp)</f>
        <v>57.196487657929183</v>
      </c>
      <c r="J184" s="85">
        <f>IF(H184,An,'2025'!An_max)</f>
        <v>2022</v>
      </c>
      <c r="K184" s="197">
        <f t="shared" si="52"/>
        <v>46192</v>
      </c>
      <c r="L184" s="147">
        <f>IF(t&lt;Tvie,1-EXP((T0-t)*PertePVj)+'2025'!Pspv,1-EXP((T0-t)*PertePVj)+Pspv)</f>
        <v>8.5915269667886013E-2</v>
      </c>
      <c r="M184" s="843"/>
      <c r="N184" s="843"/>
      <c r="O184" s="48">
        <f>IF(t&lt;Tnet,'2025'!Resal+('2025'!Salim-'2025'!Resal)*(1-EXP(('2025'!Tnet-t)/('2025'!Tau_j))),Resal+(Salim-Resal)*(1-EXP((Tnet-t)/(Tau_j))))*Salcycl</f>
        <v>9.2950858617737983E-2</v>
      </c>
      <c r="P184" s="169">
        <f>(INDEX(Models!$BJ184:$BT184,,T184)*(1-R184)+INDEX(Models!$BJ184:$BT184,,T184+1)*R184-ERP_i)*Q184*Ramure*Pc/MaxiM</f>
        <v>1.5089232926564746E-2</v>
      </c>
      <c r="Q184" s="305">
        <f t="shared" si="53"/>
        <v>0.8</v>
      </c>
      <c r="R184" s="177">
        <f t="shared" si="54"/>
        <v>0.7539806522001351</v>
      </c>
      <c r="S184" s="809">
        <f t="shared" si="55"/>
        <v>2</v>
      </c>
      <c r="T184" s="176">
        <f t="shared" si="56"/>
        <v>8</v>
      </c>
      <c r="U184" s="251">
        <f t="shared" si="57"/>
        <v>2.7539806522001351</v>
      </c>
      <c r="V184" s="383">
        <f t="shared" si="58"/>
        <v>50.598306173256141</v>
      </c>
      <c r="W184" s="402">
        <f t="shared" si="59"/>
        <v>46.714939071026826</v>
      </c>
      <c r="X184" s="157">
        <f t="shared" si="60"/>
        <v>46192</v>
      </c>
      <c r="Y184" s="385">
        <f t="shared" si="61"/>
        <v>43.288472970359997</v>
      </c>
      <c r="Z184" s="385">
        <f t="shared" si="62"/>
        <v>47.357177659703403</v>
      </c>
      <c r="AA184" s="386">
        <f t="shared" si="63"/>
        <v>55.944177673419297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0.15349229125939629</v>
      </c>
      <c r="AD184" s="231">
        <f>(INDEX(Models!$BJ184:$BT184,,AH184)*(1-AF184)+INDEX(Models!$BJ184:$BT184,,AH184+1)*AF184-ERP_i)*AE184*Ramure*Pc/MaxiM</f>
        <v>2.2928882674907728E-2</v>
      </c>
      <c r="AE184" s="305">
        <f t="shared" si="65"/>
        <v>0.8</v>
      </c>
      <c r="AF184" s="177">
        <f t="shared" si="66"/>
        <v>0.95469739936503872</v>
      </c>
      <c r="AG184" s="809">
        <f t="shared" si="74"/>
        <v>3</v>
      </c>
      <c r="AH184" s="176">
        <f t="shared" si="67"/>
        <v>9</v>
      </c>
      <c r="AI184" s="225">
        <f t="shared" si="68"/>
        <v>3.9546973993650387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IF(t&gt;Tmaj,'2025'!Wh/'2025'!Env_an*'2026'!Env_an,0.001*'[8]mon-tableau'!$B$155)</f>
        <v>28.339057896949402</v>
      </c>
      <c r="C185" s="839"/>
      <c r="D185" s="393">
        <f t="shared" si="50"/>
        <v>31.003397929183773</v>
      </c>
      <c r="E185" s="385">
        <f t="shared" si="75"/>
        <v>34.187016189047945</v>
      </c>
      <c r="F185" s="385">
        <f t="shared" si="51"/>
        <v>34.381784258110905</v>
      </c>
      <c r="G185" s="110">
        <f t="shared" si="76"/>
        <v>0.55539373841400241</v>
      </c>
      <c r="H185" s="414" t="b">
        <f>Wh_hp&gt;='2025'!Maxi_hp</f>
        <v>0</v>
      </c>
      <c r="I185" s="390">
        <f>IF(H185,Wh_hp,'2025'!Maxi_hp)</f>
        <v>54.149543241445002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8.5937033041349503E-2</v>
      </c>
      <c r="M185" s="843"/>
      <c r="N185" s="843"/>
      <c r="O185" s="48">
        <f>IF(t&lt;Tnet,'2025'!Resal+('2025'!Salim-'2025'!Resal)*(1-EXP(('2025'!Tnet-t)/('2025'!Tau_j))),Resal+(Salim-Resal)*(1-EXP((Tnet-t)/(Tau_j))))*Salcycl</f>
        <v>9.3123606993349345E-2</v>
      </c>
      <c r="P185" s="169">
        <f>(INDEX(Models!$BJ185:$BT185,,T185)*(1-R185)+INDEX(Models!$BJ185:$BT185,,T185+1)*R185-ERP_i)*Q185*Ramure*Pc/MaxiM</f>
        <v>1.5206238321735187E-2</v>
      </c>
      <c r="Q185" s="305">
        <f t="shared" si="53"/>
        <v>0.8</v>
      </c>
      <c r="R185" s="177">
        <f t="shared" si="54"/>
        <v>0.75992602589263392</v>
      </c>
      <c r="S185" s="809">
        <f t="shared" si="55"/>
        <v>2</v>
      </c>
      <c r="T185" s="176">
        <f t="shared" si="56"/>
        <v>8</v>
      </c>
      <c r="U185" s="251">
        <f t="shared" si="57"/>
        <v>2.7599260258926339</v>
      </c>
      <c r="V185" s="383">
        <f t="shared" si="58"/>
        <v>50.535542400786547</v>
      </c>
      <c r="W185" s="402">
        <f t="shared" si="59"/>
        <v>28.339057896949402</v>
      </c>
      <c r="X185" s="157">
        <f t="shared" si="60"/>
        <v>46193</v>
      </c>
      <c r="Y185" s="385">
        <f t="shared" si="61"/>
        <v>26.371100421859133</v>
      </c>
      <c r="Z185" s="385">
        <f t="shared" si="62"/>
        <v>28.850419911008256</v>
      </c>
      <c r="AA185" s="386">
        <f t="shared" si="63"/>
        <v>34.086327566141726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0.15360726804533639</v>
      </c>
      <c r="AD185" s="231">
        <f>(INDEX(Models!$BJ185:$BT185,,AH185)*(1-AF185)+INDEX(Models!$BJ185:$BT185,,AH185+1)*AF185-ERP_i)*AE185*Ramure*Pc/MaxiM</f>
        <v>2.3067358491819973E-2</v>
      </c>
      <c r="AE185" s="305">
        <f t="shared" si="65"/>
        <v>0.8</v>
      </c>
      <c r="AF185" s="177">
        <f t="shared" si="66"/>
        <v>0.96064277305753754</v>
      </c>
      <c r="AG185" s="809">
        <f t="shared" si="74"/>
        <v>3</v>
      </c>
      <c r="AH185" s="176">
        <f t="shared" si="67"/>
        <v>9</v>
      </c>
      <c r="AI185" s="225">
        <f t="shared" si="68"/>
        <v>3.9606427730575375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IF(t&gt;Tmaj,'2025'!Wh/'2025'!Env_an*'2026'!Env_an,0.001*'[8]mon-tableau'!$B$156)</f>
        <v>20.52837036154116</v>
      </c>
      <c r="C186" s="839"/>
      <c r="D186" s="393">
        <f t="shared" si="50"/>
        <v>22.458911337527347</v>
      </c>
      <c r="E186" s="385">
        <f t="shared" si="75"/>
        <v>24.769803889819915</v>
      </c>
      <c r="F186" s="385">
        <f t="shared" si="51"/>
        <v>24.827790162774935</v>
      </c>
      <c r="G186" s="110">
        <f t="shared" si="76"/>
        <v>0.40144944704943225</v>
      </c>
      <c r="H186" s="414" t="b">
        <f>Wh_hp&gt;='2025'!Maxi_hp</f>
        <v>0</v>
      </c>
      <c r="I186" s="390">
        <f>IF(H186,Wh_hp,'2025'!Maxi_hp)</f>
        <v>52.018835844669908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8.5958795908347568E-2</v>
      </c>
      <c r="M186" s="843"/>
      <c r="N186" s="843"/>
      <c r="O186" s="48">
        <f>IF(t&lt;Tnet,'2025'!Resal+('2025'!Salim-'2025'!Resal)*(1-EXP(('2025'!Tnet-t)/('2025'!Tau_j))),Resal+(Salim-Resal)*(1-EXP((Tnet-t)/(Tau_j))))*Salcycl</f>
        <v>9.3294745593133874E-2</v>
      </c>
      <c r="P186" s="169">
        <f>(INDEX(Models!$BJ186:$BT186,,T186)*(1-R186)+INDEX(Models!$BJ186:$BT186,,T186+1)*R186-ERP_i)*Q186*Ramure*Pc/MaxiM</f>
        <v>1.531621688172422E-2</v>
      </c>
      <c r="Q186" s="305">
        <f t="shared" si="53"/>
        <v>0.8</v>
      </c>
      <c r="R186" s="177">
        <f t="shared" si="54"/>
        <v>0.76582210175218579</v>
      </c>
      <c r="S186" s="809">
        <f t="shared" si="55"/>
        <v>2</v>
      </c>
      <c r="T186" s="176">
        <f t="shared" si="56"/>
        <v>8</v>
      </c>
      <c r="U186" s="251">
        <f t="shared" si="57"/>
        <v>2.7658221017521858</v>
      </c>
      <c r="V186" s="383">
        <f t="shared" si="58"/>
        <v>50.470300893172144</v>
      </c>
      <c r="W186" s="402">
        <f t="shared" si="59"/>
        <v>20.52837036154116</v>
      </c>
      <c r="X186" s="157">
        <f t="shared" si="60"/>
        <v>46194</v>
      </c>
      <c r="Y186" s="385">
        <f t="shared" si="61"/>
        <v>19.137214231164176</v>
      </c>
      <c r="Z186" s="385">
        <f t="shared" si="62"/>
        <v>20.936927291130363</v>
      </c>
      <c r="AA186" s="386">
        <f t="shared" si="63"/>
        <v>24.739943489723665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0.15371968008629358</v>
      </c>
      <c r="AD186" s="231">
        <f>(INDEX(Models!$BJ186:$BT186,,AH186)*(1-AF186)+INDEX(Models!$BJ186:$BT186,,AH186+1)*AF186-ERP_i)*AE186*Ramure*Pc/MaxiM</f>
        <v>2.3203400188090743E-2</v>
      </c>
      <c r="AE186" s="305">
        <f t="shared" si="65"/>
        <v>0.8</v>
      </c>
      <c r="AF186" s="177">
        <f t="shared" si="66"/>
        <v>0.96653884891708941</v>
      </c>
      <c r="AG186" s="809">
        <f t="shared" si="74"/>
        <v>3</v>
      </c>
      <c r="AH186" s="176">
        <f t="shared" si="67"/>
        <v>9</v>
      </c>
      <c r="AI186" s="225">
        <f t="shared" si="68"/>
        <v>3.9665388489170894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IF(t&gt;Tmaj,'2025'!Wh/'2025'!Env_an*'2026'!Env_an,0.001*'[8]mon-tableau'!$B$157)</f>
        <v>35.9718901696152</v>
      </c>
      <c r="C187" s="839"/>
      <c r="D187" s="393">
        <f t="shared" si="50"/>
        <v>39.355716659031017</v>
      </c>
      <c r="E187" s="385">
        <f t="shared" si="75"/>
        <v>43.41330934005871</v>
      </c>
      <c r="F187" s="385">
        <f t="shared" si="51"/>
        <v>43.812548930579943</v>
      </c>
      <c r="G187" s="110">
        <f t="shared" si="76"/>
        <v>0.7091489447799505</v>
      </c>
      <c r="H187" s="414" t="b">
        <f>Wh_hp&gt;='2025'!Maxi_hp</f>
        <v>0</v>
      </c>
      <c r="I187" s="390">
        <f>IF(H187,Wh_hp,'2025'!Maxi_hp)</f>
        <v>63.102397192098245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8.5980558268891977E-2</v>
      </c>
      <c r="M187" s="843"/>
      <c r="N187" s="843"/>
      <c r="O187" s="48">
        <f>IF(t&lt;Tnet,'2025'!Resal+('2025'!Salim-'2025'!Resal)*(1-EXP(('2025'!Tnet-t)/('2025'!Tau_j))),Resal+(Salim-Resal)*(1-EXP((Tnet-t)/(Tau_j))))*Salcycl</f>
        <v>9.3464256531202397E-2</v>
      </c>
      <c r="P187" s="169">
        <f>(INDEX(Models!$BJ187:$BT187,,T187)*(1-R187)+INDEX(Models!$BJ187:$BT187,,T187+1)*R187-ERP_i)*Q187*Ramure*Pc/MaxiM</f>
        <v>1.5419019337241584E-2</v>
      </c>
      <c r="Q187" s="305">
        <f t="shared" si="53"/>
        <v>0.8</v>
      </c>
      <c r="R187" s="177">
        <f t="shared" si="54"/>
        <v>0.77166457648029096</v>
      </c>
      <c r="S187" s="809">
        <f t="shared" si="55"/>
        <v>2</v>
      </c>
      <c r="T187" s="176">
        <f t="shared" si="56"/>
        <v>8</v>
      </c>
      <c r="U187" s="251">
        <f t="shared" si="57"/>
        <v>2.771664576480291</v>
      </c>
      <c r="V187" s="383">
        <f t="shared" si="58"/>
        <v>50.402591586084604</v>
      </c>
      <c r="W187" s="402">
        <f t="shared" si="59"/>
        <v>35.9718901696152</v>
      </c>
      <c r="X187" s="157">
        <f t="shared" si="60"/>
        <v>46195</v>
      </c>
      <c r="Y187" s="385">
        <f t="shared" si="61"/>
        <v>33.417994309448261</v>
      </c>
      <c r="Z187" s="385">
        <f t="shared" si="62"/>
        <v>36.561579309687566</v>
      </c>
      <c r="AA187" s="386">
        <f t="shared" si="63"/>
        <v>43.208289088810616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0.15382950631211884</v>
      </c>
      <c r="AD187" s="231">
        <f>(INDEX(Models!$BJ187:$BT187,,AH187)*(1-AF187)+INDEX(Models!$BJ187:$BT187,,AH187+1)*AF187-ERP_i)*AE187*Ramure*Pc/MaxiM</f>
        <v>2.3337099842216474E-2</v>
      </c>
      <c r="AE187" s="305">
        <f t="shared" si="65"/>
        <v>0.8</v>
      </c>
      <c r="AF187" s="177">
        <f t="shared" si="66"/>
        <v>0.97238132364519458</v>
      </c>
      <c r="AG187" s="809">
        <f t="shared" si="74"/>
        <v>3</v>
      </c>
      <c r="AH187" s="176">
        <f t="shared" si="67"/>
        <v>9</v>
      </c>
      <c r="AI187" s="225">
        <f t="shared" si="68"/>
        <v>3.9723813236451946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IF(t&gt;Tmaj,'2025'!Wh/'2025'!Env_an*'2026'!Env_an,0.001*'[8]mon-tableau'!$B$158)</f>
        <v>35.490522263033384</v>
      </c>
      <c r="C188" s="839"/>
      <c r="D188" s="393">
        <f t="shared" si="50"/>
        <v>38.829991633905742</v>
      </c>
      <c r="E188" s="385">
        <f t="shared" si="75"/>
        <v>42.841315062631331</v>
      </c>
      <c r="F188" s="385">
        <f t="shared" si="51"/>
        <v>43.229466820249584</v>
      </c>
      <c r="G188" s="110">
        <f t="shared" si="76"/>
        <v>0.70047228293998676</v>
      </c>
      <c r="H188" s="414" t="b">
        <f>Wh_hp&gt;='2025'!Maxi_hp</f>
        <v>0</v>
      </c>
      <c r="I188" s="390">
        <f>IF(H188,Wh_hp,'2025'!Maxi_hp)</f>
        <v>54.439058781268628</v>
      </c>
      <c r="J188" s="85">
        <f>IF(H188,An,'2025'!An_max)</f>
        <v>2020</v>
      </c>
      <c r="K188" s="197">
        <f t="shared" si="52"/>
        <v>46196</v>
      </c>
      <c r="L188" s="147">
        <f>IF(t&lt;Tvie,1-EXP((T0-t)*PertePVj)+'2025'!Pspv,1-EXP((T0-t)*PertePVj)+Pspv)</f>
        <v>8.6002320122994497E-2</v>
      </c>
      <c r="M188" s="843"/>
      <c r="N188" s="843"/>
      <c r="O188" s="48">
        <f>IF(t&lt;Tnet,'2025'!Resal+('2025'!Salim-'2025'!Resal)*(1-EXP(('2025'!Tnet-t)/('2025'!Tau_j))),Resal+(Salim-Resal)*(1-EXP((Tnet-t)/(Tau_j))))*Salcycl</f>
        <v>9.363212643825912E-2</v>
      </c>
      <c r="P188" s="169">
        <f>(INDEX(Models!$BJ188:$BT188,,T188)*(1-R188)+INDEX(Models!$BJ188:$BT188,,T188+1)*R188-ERP_i)*Q188*Ramure*Pc/MaxiM</f>
        <v>1.5514347625450902E-2</v>
      </c>
      <c r="Q188" s="305">
        <f t="shared" si="53"/>
        <v>0.8</v>
      </c>
      <c r="R188" s="177">
        <f t="shared" si="54"/>
        <v>0.77744931427775743</v>
      </c>
      <c r="S188" s="809">
        <f t="shared" si="55"/>
        <v>2</v>
      </c>
      <c r="T188" s="176">
        <f t="shared" si="56"/>
        <v>8</v>
      </c>
      <c r="U188" s="251">
        <f t="shared" si="57"/>
        <v>2.7774493142777574</v>
      </c>
      <c r="V188" s="383">
        <f t="shared" si="58"/>
        <v>50.332431571791311</v>
      </c>
      <c r="W188" s="402">
        <f t="shared" si="59"/>
        <v>35.490522263033384</v>
      </c>
      <c r="X188" s="157">
        <f t="shared" si="60"/>
        <v>46196</v>
      </c>
      <c r="Y188" s="385">
        <f t="shared" si="61"/>
        <v>32.975296724186691</v>
      </c>
      <c r="Z188" s="385">
        <f t="shared" si="62"/>
        <v>36.078096750337593</v>
      </c>
      <c r="AA188" s="386">
        <f t="shared" si="63"/>
        <v>42.642315490309379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0.1539367331369125</v>
      </c>
      <c r="AD188" s="231">
        <f>(INDEX(Models!$BJ188:$BT188,,AH188)*(1-AF188)+INDEX(Models!$BJ188:$BT188,,AH188+1)*AF188-ERP_i)*AE188*Ramure*Pc/MaxiM</f>
        <v>2.3468320476851098E-2</v>
      </c>
      <c r="AE188" s="305">
        <f t="shared" si="65"/>
        <v>0.8</v>
      </c>
      <c r="AF188" s="177">
        <f t="shared" si="66"/>
        <v>0.97816606144266105</v>
      </c>
      <c r="AG188" s="809">
        <f t="shared" si="74"/>
        <v>3</v>
      </c>
      <c r="AH188" s="176">
        <f t="shared" si="67"/>
        <v>9</v>
      </c>
      <c r="AI188" s="225">
        <f t="shared" si="68"/>
        <v>3.9781660614426611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IF(t&gt;Tmaj,'2025'!Wh/'2025'!Env_an*'2026'!Env_an,0.001*'[8]mon-tableau'!$B$159)</f>
        <v>34.676601049262963</v>
      </c>
      <c r="C189" s="839"/>
      <c r="D189" s="393">
        <f t="shared" si="50"/>
        <v>37.940388084907788</v>
      </c>
      <c r="E189" s="385">
        <f t="shared" si="75"/>
        <v>41.86748935638883</v>
      </c>
      <c r="F189" s="385">
        <f t="shared" si="51"/>
        <v>42.23456246338592</v>
      </c>
      <c r="G189" s="110">
        <f t="shared" si="76"/>
        <v>0.68513678948035595</v>
      </c>
      <c r="H189" s="414" t="b">
        <f>Wh_hp&gt;='2025'!Maxi_hp</f>
        <v>0</v>
      </c>
      <c r="I189" s="390">
        <f>IF(H189,Wh_hp,'2025'!Maxi_hp)</f>
        <v>61.680272578542535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8.6024081470666786E-2</v>
      </c>
      <c r="M189" s="843"/>
      <c r="N189" s="843"/>
      <c r="O189" s="48">
        <f>IF(t&lt;Tnet,'2025'!Resal+('2025'!Salim-'2025'!Resal)*(1-EXP(('2025'!Tnet-t)/('2025'!Tau_j))),Resal+(Salim-Resal)*(1-EXP((Tnet-t)/(Tau_j))))*Salcycl</f>
        <v>9.3798346446149733E-2</v>
      </c>
      <c r="P189" s="169">
        <f>(INDEX(Models!$BJ189:$BT189,,T189)*(1-R189)+INDEX(Models!$BJ189:$BT189,,T189+1)*R189-ERP_i)*Q189*Ramure*Pc/MaxiM</f>
        <v>1.5601901675653665E-2</v>
      </c>
      <c r="Q189" s="305">
        <f t="shared" si="53"/>
        <v>0.8</v>
      </c>
      <c r="R189" s="177">
        <f t="shared" si="54"/>
        <v>0.78317235713560818</v>
      </c>
      <c r="S189" s="809">
        <f t="shared" si="55"/>
        <v>2</v>
      </c>
      <c r="T189" s="176">
        <f t="shared" si="56"/>
        <v>8</v>
      </c>
      <c r="U189" s="251">
        <f t="shared" si="57"/>
        <v>2.7831723571356082</v>
      </c>
      <c r="V189" s="383">
        <f t="shared" si="58"/>
        <v>50.259837554155389</v>
      </c>
      <c r="W189" s="402">
        <f t="shared" si="59"/>
        <v>34.676601049262963</v>
      </c>
      <c r="X189" s="157">
        <f t="shared" si="60"/>
        <v>46197</v>
      </c>
      <c r="Y189" s="385">
        <f t="shared" si="61"/>
        <v>32.225911393813838</v>
      </c>
      <c r="Z189" s="385">
        <f t="shared" si="62"/>
        <v>35.259037727895645</v>
      </c>
      <c r="AA189" s="386">
        <f t="shared" si="63"/>
        <v>41.679386942811206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0.1540413543924003</v>
      </c>
      <c r="AD189" s="231">
        <f>(INDEX(Models!$BJ189:$BT189,,AH189)*(1-AF189)+INDEX(Models!$BJ189:$BT189,,AH189+1)*AF189-ERP_i)*AE189*Ramure*Pc/MaxiM</f>
        <v>2.3596917670149854E-2</v>
      </c>
      <c r="AE189" s="305">
        <f t="shared" si="65"/>
        <v>0.8</v>
      </c>
      <c r="AF189" s="177">
        <f t="shared" si="66"/>
        <v>0.9838891043005118</v>
      </c>
      <c r="AG189" s="809">
        <f t="shared" si="74"/>
        <v>3</v>
      </c>
      <c r="AH189" s="176">
        <f t="shared" si="67"/>
        <v>9</v>
      </c>
      <c r="AI189" s="225">
        <f t="shared" si="68"/>
        <v>3.9838891043005118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IF(t&gt;Tmaj,'2025'!Wh/'2025'!Env_an*'2026'!Env_an,0.001*'[8]mon-tableau'!$B$160)</f>
        <v>28.139997440700043</v>
      </c>
      <c r="C190" s="839"/>
      <c r="D190" s="393">
        <f t="shared" si="50"/>
        <v>30.789287628913943</v>
      </c>
      <c r="E190" s="385">
        <f t="shared" si="75"/>
        <v>33.982370083632155</v>
      </c>
      <c r="F190" s="385">
        <f t="shared" si="51"/>
        <v>34.182022731851717</v>
      </c>
      <c r="G190" s="110">
        <f t="shared" si="76"/>
        <v>0.55517694985386723</v>
      </c>
      <c r="H190" s="414" t="b">
        <f>Wh_hp&gt;='2025'!Maxi_hp</f>
        <v>0</v>
      </c>
      <c r="I190" s="390">
        <f>IF(H190,Wh_hp,'2025'!Maxi_hp)</f>
        <v>58.487024218685626</v>
      </c>
      <c r="J190" s="85">
        <f>IF(H190,An,'2025'!An_max)</f>
        <v>2021</v>
      </c>
      <c r="K190" s="197">
        <f t="shared" si="52"/>
        <v>46198</v>
      </c>
      <c r="L190" s="147">
        <f>IF(t&lt;Tvie,1-EXP((T0-t)*PertePVj)+'2025'!Pspv,1-EXP((T0-t)*PertePVj)+Pspv)</f>
        <v>8.6045842311920723E-2</v>
      </c>
      <c r="M190" s="843"/>
      <c r="N190" s="843"/>
      <c r="O190" s="48">
        <f>IF(t&lt;Tnet,'2025'!Resal+('2025'!Salim-'2025'!Resal)*(1-EXP(('2025'!Tnet-t)/('2025'!Tau_j))),Resal+(Salim-Resal)*(1-EXP((Tnet-t)/(Tau_j))))*Salcycl</f>
        <v>9.3962912147089558E-2</v>
      </c>
      <c r="P190" s="169">
        <f>(INDEX(Models!$BJ190:$BT190,,T190)*(1-R190)+INDEX(Models!$BJ190:$BT190,,T190+1)*R190-ERP_i)*Q190*Ramure*Pc/MaxiM</f>
        <v>1.5681544693037553E-2</v>
      </c>
      <c r="Q190" s="305">
        <f t="shared" si="53"/>
        <v>0.8</v>
      </c>
      <c r="R190" s="177">
        <f t="shared" si="54"/>
        <v>0.78882993400477952</v>
      </c>
      <c r="S190" s="809">
        <f t="shared" si="55"/>
        <v>2</v>
      </c>
      <c r="T190" s="176">
        <f t="shared" si="56"/>
        <v>8</v>
      </c>
      <c r="U190" s="251">
        <f t="shared" si="57"/>
        <v>2.7888299340047795</v>
      </c>
      <c r="V190" s="383">
        <f t="shared" si="58"/>
        <v>50.184817411170357</v>
      </c>
      <c r="W190" s="402">
        <f t="shared" si="59"/>
        <v>28.139997440700043</v>
      </c>
      <c r="X190" s="157">
        <f t="shared" si="60"/>
        <v>46198</v>
      </c>
      <c r="Y190" s="385">
        <f t="shared" si="61"/>
        <v>26.191744709973165</v>
      </c>
      <c r="Z190" s="385">
        <f t="shared" si="62"/>
        <v>28.657613174196058</v>
      </c>
      <c r="AA190" s="386">
        <f t="shared" si="63"/>
        <v>33.879988876537055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0.15414337122045674</v>
      </c>
      <c r="AD190" s="231">
        <f>(INDEX(Models!$BJ190:$BT190,,AH190)*(1-AF190)+INDEX(Models!$BJ190:$BT190,,AH190+1)*AF190-ERP_i)*AE190*Ramure*Pc/MaxiM</f>
        <v>2.3722988115432622E-2</v>
      </c>
      <c r="AE190" s="305">
        <f t="shared" si="65"/>
        <v>0.8</v>
      </c>
      <c r="AF190" s="177">
        <f t="shared" si="66"/>
        <v>0.98954668116968314</v>
      </c>
      <c r="AG190" s="809">
        <f t="shared" si="74"/>
        <v>3</v>
      </c>
      <c r="AH190" s="176">
        <f t="shared" si="67"/>
        <v>9</v>
      </c>
      <c r="AI190" s="225">
        <f t="shared" si="68"/>
        <v>3.9895466811696831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IF(t&gt;Tmaj,'2025'!Wh/'2025'!Env_an*'2026'!Env_an,0.001*'[8]mon-tableau'!$B$161)</f>
        <v>10.36330146342123</v>
      </c>
      <c r="C191" s="839"/>
      <c r="D191" s="393">
        <f t="shared" si="50"/>
        <v>11.339242917127761</v>
      </c>
      <c r="E191" s="385">
        <f t="shared" si="75"/>
        <v>12.517459059588129</v>
      </c>
      <c r="F191" s="385">
        <f t="shared" si="51"/>
        <v>12.517459059588129</v>
      </c>
      <c r="G191" s="110">
        <f t="shared" si="76"/>
        <v>0.20356377078324253</v>
      </c>
      <c r="H191" s="414" t="b">
        <f>Wh_hp&gt;='2025'!Maxi_hp</f>
        <v>0</v>
      </c>
      <c r="I191" s="390">
        <f>IF(H191,Wh_hp,'2025'!Maxi_hp)</f>
        <v>59.355416952943592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8.6067602646768077E-2</v>
      </c>
      <c r="M191" s="843"/>
      <c r="N191" s="843"/>
      <c r="O191" s="48">
        <f>IF(t&lt;Tnet,'2025'!Resal+('2025'!Salim-'2025'!Resal)*(1-EXP(('2025'!Tnet-t)/('2025'!Tau_j))),Resal+(Salim-Resal)*(1-EXP((Tnet-t)/(Tau_j))))*Salcycl</f>
        <v>9.4125823527888952E-2</v>
      </c>
      <c r="P191" s="169">
        <f>(INDEX(Models!$BJ191:$BT191,,T191)*(1-R191)+INDEX(Models!$BJ191:$BT191,,T191+1)*R191-ERP_i)*Q191*Ramure*Pc/MaxiM</f>
        <v>1.575315078035687E-2</v>
      </c>
      <c r="Q191" s="305">
        <f t="shared" si="53"/>
        <v>0.8</v>
      </c>
      <c r="R191" s="177">
        <f t="shared" si="54"/>
        <v>0.79441846881377787</v>
      </c>
      <c r="S191" s="809">
        <f t="shared" si="55"/>
        <v>2</v>
      </c>
      <c r="T191" s="176">
        <f t="shared" si="56"/>
        <v>8</v>
      </c>
      <c r="U191" s="251">
        <f t="shared" si="57"/>
        <v>2.7944184688137779</v>
      </c>
      <c r="V191" s="383">
        <f t="shared" si="58"/>
        <v>50.107378015446621</v>
      </c>
      <c r="W191" s="402">
        <f t="shared" si="59"/>
        <v>10.36330146342123</v>
      </c>
      <c r="X191" s="157">
        <f t="shared" si="60"/>
        <v>46199</v>
      </c>
      <c r="Y191" s="385">
        <f t="shared" si="61"/>
        <v>9.6755566498989509</v>
      </c>
      <c r="Z191" s="385">
        <f t="shared" si="62"/>
        <v>10.586731226422843</v>
      </c>
      <c r="AA191" s="386">
        <f t="shared" si="63"/>
        <v>12.517459059588129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0.15424279192560125</v>
      </c>
      <c r="AD191" s="231">
        <f>(INDEX(Models!$BJ191:$BT191,,AH191)*(1-AF191)+INDEX(Models!$BJ191:$BT191,,AH191+1)*AF191-ERP_i)*AE191*Ramure*Pc/MaxiM</f>
        <v>2.384663822763515E-2</v>
      </c>
      <c r="AE191" s="305">
        <f t="shared" si="65"/>
        <v>0.8</v>
      </c>
      <c r="AF191" s="177">
        <f t="shared" si="66"/>
        <v>0.99513521597868149</v>
      </c>
      <c r="AG191" s="809">
        <f t="shared" si="74"/>
        <v>3</v>
      </c>
      <c r="AH191" s="176">
        <f t="shared" si="67"/>
        <v>9</v>
      </c>
      <c r="AI191" s="225">
        <f t="shared" si="68"/>
        <v>3.9951352159786815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IF(t&gt;Tmaj,'2025'!Wh/'2025'!Env_an*'2026'!Env_an,0.001*'[8]mon-tableau'!$B$162)</f>
        <v>11.012580850020747</v>
      </c>
      <c r="C192" s="839"/>
      <c r="D192" s="393">
        <f t="shared" si="50"/>
        <v>12.049953680205585</v>
      </c>
      <c r="E192" s="385">
        <f t="shared" si="75"/>
        <v>13.304385395238546</v>
      </c>
      <c r="F192" s="385">
        <f t="shared" si="51"/>
        <v>13.304385395238546</v>
      </c>
      <c r="G192" s="110">
        <f t="shared" si="76"/>
        <v>0.21664871804749153</v>
      </c>
      <c r="H192" s="414" t="b">
        <f>Wh_hp&gt;='2025'!Maxi_hp</f>
        <v>0</v>
      </c>
      <c r="I192" s="390">
        <f>IF(H192,Wh_hp,'2025'!Maxi_hp)</f>
        <v>59.191456400170118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8.6089362475220726E-2</v>
      </c>
      <c r="M192" s="843"/>
      <c r="N192" s="843"/>
      <c r="O192" s="48">
        <f>IF(t&lt;Tnet,'2025'!Resal+('2025'!Salim-'2025'!Resal)*(1-EXP(('2025'!Tnet-t)/('2025'!Tau_j))),Resal+(Salim-Resal)*(1-EXP((Tnet-t)/(Tau_j))))*Salcycl</f>
        <v>9.4287084879689759E-2</v>
      </c>
      <c r="P192" s="169">
        <f>(INDEX(Models!$BJ192:$BT192,,T192)*(1-R192)+INDEX(Models!$BJ192:$BT192,,T192+1)*R192-ERP_i)*Q192*Ramure*Pc/MaxiM</f>
        <v>1.5813614550574416E-2</v>
      </c>
      <c r="Q192" s="305">
        <f t="shared" si="53"/>
        <v>0.8</v>
      </c>
      <c r="R192" s="177">
        <f t="shared" si="54"/>
        <v>0.79993458731503875</v>
      </c>
      <c r="S192" s="809">
        <f t="shared" si="55"/>
        <v>2</v>
      </c>
      <c r="T192" s="176">
        <f t="shared" si="56"/>
        <v>8</v>
      </c>
      <c r="U192" s="251">
        <f t="shared" si="57"/>
        <v>2.7999345873150387</v>
      </c>
      <c r="V192" s="383">
        <f t="shared" si="58"/>
        <v>50.027677241439257</v>
      </c>
      <c r="W192" s="402">
        <f t="shared" si="59"/>
        <v>11.012580850020747</v>
      </c>
      <c r="X192" s="157">
        <f t="shared" si="60"/>
        <v>46200</v>
      </c>
      <c r="Y192" s="385">
        <f t="shared" si="61"/>
        <v>10.28240077083279</v>
      </c>
      <c r="Z192" s="385">
        <f t="shared" si="62"/>
        <v>11.250991452163722</v>
      </c>
      <c r="AA192" s="386">
        <f t="shared" si="63"/>
        <v>13.304385395238546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0.15433963178860591</v>
      </c>
      <c r="AD192" s="231">
        <f>(INDEX(Models!$BJ192:$BT192,,AH192)*(1-AF192)+INDEX(Models!$BJ192:$BT192,,AH192+1)*AF192-ERP_i)*AE192*Ramure*Pc/MaxiM</f>
        <v>2.3968018810597767E-2</v>
      </c>
      <c r="AE192" s="305">
        <f t="shared" si="65"/>
        <v>0.8</v>
      </c>
      <c r="AF192" s="177">
        <f t="shared" si="66"/>
        <v>6.5133447994192295E-4</v>
      </c>
      <c r="AG192" s="809">
        <f t="shared" si="74"/>
        <v>4</v>
      </c>
      <c r="AH192" s="176">
        <f t="shared" si="67"/>
        <v>10</v>
      </c>
      <c r="AI192" s="225">
        <f t="shared" si="68"/>
        <v>4.0006513344799419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IF(t&gt;Tmaj,'2025'!Wh/'2025'!Env_an*'2026'!Env_an,0.001*'[8]mon-tableau'!$B$163)</f>
        <v>50.420255936886996</v>
      </c>
      <c r="C193" s="839"/>
      <c r="D193" s="393">
        <f t="shared" si="50"/>
        <v>55.171101366334035</v>
      </c>
      <c r="E193" s="385">
        <f t="shared" si="75"/>
        <v>60.925294680835826</v>
      </c>
      <c r="F193" s="385">
        <f t="shared" si="51"/>
        <v>61.907521444604455</v>
      </c>
      <c r="G193" s="110">
        <f t="shared" si="76"/>
        <v>1.0095043316533834</v>
      </c>
      <c r="H193" s="414" t="b">
        <f>Wh_hp&gt;='2025'!Maxi_hp</f>
        <v>1</v>
      </c>
      <c r="I193" s="390">
        <f>IF(H193,Wh_hp,'2025'!Maxi_hp)</f>
        <v>61.907521444604455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8.611112179729033E-2</v>
      </c>
      <c r="M193" s="843"/>
      <c r="N193" s="843"/>
      <c r="O193" s="48">
        <f>IF(t&lt;Tnet,'2025'!Resal+('2025'!Salim-'2025'!Resal)*(1-EXP(('2025'!Tnet-t)/('2025'!Tau_j))),Resal+(Salim-Resal)*(1-EXP((Tnet-t)/(Tau_j))))*Salcycl</f>
        <v>9.4446704683921509E-2</v>
      </c>
      <c r="P193" s="169">
        <f>(INDEX(Models!$BJ193:$BT193,,T193)*(1-R193)+INDEX(Models!$BJ193:$BT193,,T193+1)*R193-ERP_i)*Q193*Ramure*Pc/MaxiM</f>
        <v>1.5866032767077171E-2</v>
      </c>
      <c r="Q193" s="305">
        <f t="shared" si="53"/>
        <v>0.8</v>
      </c>
      <c r="R193" s="177">
        <f t="shared" si="54"/>
        <v>0.80537512275203404</v>
      </c>
      <c r="S193" s="809">
        <f t="shared" si="55"/>
        <v>2</v>
      </c>
      <c r="T193" s="176">
        <f t="shared" si="56"/>
        <v>8</v>
      </c>
      <c r="U193" s="251">
        <f t="shared" si="57"/>
        <v>2.805375122752034</v>
      </c>
      <c r="V193" s="383">
        <f t="shared" si="58"/>
        <v>49.945556800442688</v>
      </c>
      <c r="W193" s="402">
        <f t="shared" si="59"/>
        <v>50.420255936886996</v>
      </c>
      <c r="X193" s="157">
        <f t="shared" si="60"/>
        <v>46201</v>
      </c>
      <c r="Y193" s="385">
        <f t="shared" si="61"/>
        <v>46.686836646460975</v>
      </c>
      <c r="Z193" s="385">
        <f t="shared" si="62"/>
        <v>51.08590087919351</v>
      </c>
      <c r="AA193" s="386">
        <f t="shared" si="63"/>
        <v>60.416213061401528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0.15443391284265931</v>
      </c>
      <c r="AD193" s="231">
        <f>(INDEX(Models!$BJ193:$BT193,,AH193)*(1-AF193)+INDEX(Models!$BJ193:$BT193,,AH193+1)*AF193-ERP_i)*AE193*Ramure*Pc/MaxiM</f>
        <v>2.4089292357429688E-2</v>
      </c>
      <c r="AE193" s="305">
        <f t="shared" si="65"/>
        <v>0.8</v>
      </c>
      <c r="AF193" s="177">
        <f t="shared" si="66"/>
        <v>6.0918699169381085E-3</v>
      </c>
      <c r="AG193" s="809">
        <f t="shared" si="74"/>
        <v>4</v>
      </c>
      <c r="AH193" s="176">
        <f t="shared" si="67"/>
        <v>10</v>
      </c>
      <c r="AI193" s="225">
        <f t="shared" si="68"/>
        <v>4.0060918699169381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IF(t&gt;Tmaj,'2025'!Wh/'2025'!Env_an*'2026'!Env_an,0.001*'[8]mon-tableau'!$B$164)</f>
        <v>47.471647059681381</v>
      </c>
      <c r="C194" s="839"/>
      <c r="D194" s="393">
        <f t="shared" si="50"/>
        <v>51.945896785873671</v>
      </c>
      <c r="E194" s="385">
        <f t="shared" si="75"/>
        <v>57.37372010466482</v>
      </c>
      <c r="F194" s="385">
        <f t="shared" si="51"/>
        <v>58.236855892577772</v>
      </c>
      <c r="G194" s="110">
        <f t="shared" si="76"/>
        <v>0.95102673705187724</v>
      </c>
      <c r="H194" s="414" t="b">
        <f>Wh_hp&gt;='2025'!Maxi_hp</f>
        <v>0</v>
      </c>
      <c r="I194" s="390">
        <f>IF(H194,Wh_hp,'2025'!Maxi_hp)</f>
        <v>58.29404049517651</v>
      </c>
      <c r="J194" s="85">
        <f>IF(H194,An,'2025'!An_max)</f>
        <v>2022</v>
      </c>
      <c r="K194" s="197">
        <f t="shared" si="52"/>
        <v>46202</v>
      </c>
      <c r="L194" s="147">
        <f>IF(t&lt;Tvie,1-EXP((T0-t)*PertePVj)+'2025'!Pspv,1-EXP((T0-t)*PertePVj)+Pspv)</f>
        <v>8.6132880612988766E-2</v>
      </c>
      <c r="M194" s="843"/>
      <c r="N194" s="843"/>
      <c r="O194" s="48">
        <f>IF(t&lt;Tnet,'2025'!Resal+('2025'!Salim-'2025'!Resal)*(1-EXP(('2025'!Tnet-t)/('2025'!Tau_j))),Resal+(Salim-Resal)*(1-EXP((Tnet-t)/(Tau_j))))*Salcycl</f>
        <v>9.4604695475373812E-2</v>
      </c>
      <c r="P194" s="169">
        <f>(INDEX(Models!$BJ194:$BT194,,T194)*(1-R194)+INDEX(Models!$BJ194:$BT194,,T194+1)*R194-ERP_i)*Q194*Ramure*Pc/MaxiM</f>
        <v>1.5910316096007026E-2</v>
      </c>
      <c r="Q194" s="305">
        <f t="shared" si="53"/>
        <v>0.8</v>
      </c>
      <c r="R194" s="177">
        <f t="shared" si="54"/>
        <v>0.81073712035016099</v>
      </c>
      <c r="S194" s="809">
        <f t="shared" si="55"/>
        <v>2</v>
      </c>
      <c r="T194" s="176">
        <f t="shared" si="56"/>
        <v>8</v>
      </c>
      <c r="U194" s="251">
        <f t="shared" si="57"/>
        <v>2.810737120350161</v>
      </c>
      <c r="V194" s="383">
        <f t="shared" si="58"/>
        <v>49.861020418258796</v>
      </c>
      <c r="W194" s="402">
        <f t="shared" si="59"/>
        <v>47.471647059681381</v>
      </c>
      <c r="X194" s="157">
        <f t="shared" si="60"/>
        <v>46202</v>
      </c>
      <c r="Y194" s="385">
        <f t="shared" si="61"/>
        <v>43.982003283919916</v>
      </c>
      <c r="Z194" s="385">
        <f t="shared" si="62"/>
        <v>48.127350629948737</v>
      </c>
      <c r="AA194" s="386">
        <f t="shared" si="63"/>
        <v>56.923490824878471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0.1545256636138235</v>
      </c>
      <c r="AD194" s="231">
        <f>(INDEX(Models!$BJ194:$BT194,,AH194)*(1-AF194)+INDEX(Models!$BJ194:$BT194,,AH194+1)*AF194-ERP_i)*AE194*Ramure*Pc/MaxiM</f>
        <v>2.4209462368691616E-2</v>
      </c>
      <c r="AE194" s="305">
        <f t="shared" si="65"/>
        <v>0.8</v>
      </c>
      <c r="AF194" s="177">
        <f t="shared" si="66"/>
        <v>1.1453867515064609E-2</v>
      </c>
      <c r="AG194" s="809">
        <f t="shared" si="74"/>
        <v>4</v>
      </c>
      <c r="AH194" s="176">
        <f t="shared" si="67"/>
        <v>10</v>
      </c>
      <c r="AI194" s="225">
        <f t="shared" si="68"/>
        <v>4.0114538675150646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IF(t&gt;Tmaj,'2025'!Wh/'2025'!Env_an*'2026'!Env_an,0.001*'[8]mon-tableau'!$B$165)</f>
        <v>11.987205139071193</v>
      </c>
      <c r="C195" s="839"/>
      <c r="D195" s="393">
        <f t="shared" si="50"/>
        <v>13.11732340024686</v>
      </c>
      <c r="E195" s="385">
        <f t="shared" si="75"/>
        <v>14.490454419168548</v>
      </c>
      <c r="F195" s="385">
        <f t="shared" si="51"/>
        <v>14.490454419168548</v>
      </c>
      <c r="G195" s="110">
        <f t="shared" si="76"/>
        <v>0.2369919183543801</v>
      </c>
      <c r="H195" s="414" t="b">
        <f>Wh_hp&gt;='2025'!Maxi_hp</f>
        <v>0</v>
      </c>
      <c r="I195" s="390">
        <f>IF(H195,Wh_hp,'2025'!Maxi_hp)</f>
        <v>53.913631634693168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8.6154638922327692E-2</v>
      </c>
      <c r="M195" s="843"/>
      <c r="N195" s="843"/>
      <c r="O195" s="48">
        <f>IF(t&lt;Tnet,'2025'!Resal+('2025'!Salim-'2025'!Resal)*(1-EXP(('2025'!Tnet-t)/('2025'!Tau_j))),Resal+(Salim-Resal)*(1-EXP((Tnet-t)/(Tau_j))))*Salcycl</f>
        <v>9.476107368346269E-2</v>
      </c>
      <c r="P195" s="169">
        <f>(INDEX(Models!$BJ195:$BT195,,T195)*(1-R195)+INDEX(Models!$BJ195:$BT195,,T195+1)*R195-ERP_i)*Q195*Ramure*Pc/MaxiM</f>
        <v>1.5946385499087324E-2</v>
      </c>
      <c r="Q195" s="305">
        <f t="shared" si="53"/>
        <v>0.8</v>
      </c>
      <c r="R195" s="177">
        <f t="shared" si="54"/>
        <v>0.81601784064482752</v>
      </c>
      <c r="S195" s="809">
        <f t="shared" si="55"/>
        <v>2</v>
      </c>
      <c r="T195" s="176">
        <f t="shared" si="56"/>
        <v>8</v>
      </c>
      <c r="U195" s="251">
        <f t="shared" si="57"/>
        <v>2.8160178406448275</v>
      </c>
      <c r="V195" s="383">
        <f t="shared" si="58"/>
        <v>49.774070891430064</v>
      </c>
      <c r="W195" s="402">
        <f t="shared" si="59"/>
        <v>11.987205139071193</v>
      </c>
      <c r="X195" s="157">
        <f t="shared" si="60"/>
        <v>46203</v>
      </c>
      <c r="Y195" s="385">
        <f t="shared" si="61"/>
        <v>11.194618453667793</v>
      </c>
      <c r="Z195" s="385">
        <f t="shared" si="62"/>
        <v>12.250013985370886</v>
      </c>
      <c r="AA195" s="386">
        <f t="shared" si="63"/>
        <v>14.490454419168548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0.15461491882779868</v>
      </c>
      <c r="AD195" s="231">
        <f>(INDEX(Models!$BJ195:$BT195,,AH195)*(1-AF195)+INDEX(Models!$BJ195:$BT195,,AH195+1)*AF195-ERP_i)*AE195*Ramure*Pc/MaxiM</f>
        <v>2.4328832686670465E-2</v>
      </c>
      <c r="AE195" s="305">
        <f t="shared" si="65"/>
        <v>0.8</v>
      </c>
      <c r="AF195" s="177">
        <f t="shared" si="66"/>
        <v>1.6734587809731138E-2</v>
      </c>
      <c r="AG195" s="809">
        <f t="shared" si="74"/>
        <v>4</v>
      </c>
      <c r="AH195" s="176">
        <f t="shared" si="67"/>
        <v>10</v>
      </c>
      <c r="AI195" s="225">
        <f t="shared" si="68"/>
        <v>4.0167345878097311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IF(t&gt;Tmaj,'2025'!Wh/'2025'!Env_an*'2026'!Env_an,0.001*[9]mois!$B$140)</f>
        <v>45.28949650538086</v>
      </c>
      <c r="C196" s="839"/>
      <c r="D196" s="393">
        <f t="shared" si="50"/>
        <v>49.56043632828726</v>
      </c>
      <c r="E196" s="385">
        <f t="shared" si="75"/>
        <v>54.757822072024645</v>
      </c>
      <c r="F196" s="385">
        <f t="shared" si="51"/>
        <v>55.532807115477212</v>
      </c>
      <c r="G196" s="110">
        <f t="shared" si="76"/>
        <v>0.90967171430027116</v>
      </c>
      <c r="H196" s="414" t="b">
        <f>Wh_hp&gt;='2025'!Maxi_hp</f>
        <v>0</v>
      </c>
      <c r="I196" s="390">
        <f>IF(H196,Wh_hp,'2025'!Maxi_hp)</f>
        <v>59.241632276839347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8.6176396725319099E-2</v>
      </c>
      <c r="M196" s="843"/>
      <c r="N196" s="843"/>
      <c r="O196" s="48">
        <f>IF(t&lt;Tnet,'2025'!Resal+('2025'!Salim-'2025'!Resal)*(1-EXP(('2025'!Tnet-t)/('2025'!Tau_j))),Resal+(Salim-Resal)*(1-EXP((Tnet-t)/(Tau_j))))*Salcycl</f>
        <v>9.4915859452939982E-2</v>
      </c>
      <c r="P196" s="169">
        <f>(INDEX(Models!$BJ196:$BT196,,T196)*(1-R196)+INDEX(Models!$BJ196:$BT196,,T196+1)*R196-ERP_i)*Q196*Ramure*Pc/MaxiM</f>
        <v>1.5974171905654286E-2</v>
      </c>
      <c r="Q196" s="305">
        <f t="shared" si="53"/>
        <v>0.8</v>
      </c>
      <c r="R196" s="177">
        <f t="shared" si="54"/>
        <v>0.82121476166995899</v>
      </c>
      <c r="S196" s="809">
        <f t="shared" si="55"/>
        <v>2</v>
      </c>
      <c r="T196" s="176">
        <f t="shared" si="56"/>
        <v>8</v>
      </c>
      <c r="U196" s="251">
        <f t="shared" si="57"/>
        <v>2.821214761669959</v>
      </c>
      <c r="V196" s="383">
        <f t="shared" si="58"/>
        <v>49.684710112809427</v>
      </c>
      <c r="W196" s="402">
        <f t="shared" si="59"/>
        <v>45.28949650538086</v>
      </c>
      <c r="X196" s="157">
        <f t="shared" si="60"/>
        <v>46204</v>
      </c>
      <c r="Y196" s="385">
        <f t="shared" si="61"/>
        <v>41.980322462543924</v>
      </c>
      <c r="Z196" s="385">
        <f t="shared" si="62"/>
        <v>45.939196921711925</v>
      </c>
      <c r="AA196" s="386">
        <f t="shared" si="63"/>
        <v>54.346729384093216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0.15470171908527211</v>
      </c>
      <c r="AD196" s="231">
        <f>(INDEX(Models!$BJ196:$BT196,,AH196)*(1-AF196)+INDEX(Models!$BJ196:$BT196,,AH196+1)*AF196-ERP_i)*AE196*Ramure*Pc/MaxiM</f>
        <v>2.4447709971522635E-2</v>
      </c>
      <c r="AE196" s="305">
        <f t="shared" si="65"/>
        <v>0.8</v>
      </c>
      <c r="AF196" s="177">
        <f t="shared" si="66"/>
        <v>2.1931508834862612E-2</v>
      </c>
      <c r="AG196" s="809">
        <f t="shared" si="74"/>
        <v>4</v>
      </c>
      <c r="AH196" s="176">
        <f t="shared" si="67"/>
        <v>10</v>
      </c>
      <c r="AI196" s="225">
        <f t="shared" si="68"/>
        <v>4.0219315088348626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IF(t&gt;Tmaj,'2025'!Wh/'2025'!Env_an*'2026'!Env_an,0.001*[9]mois!$B$141)</f>
        <v>47.616040836830685</v>
      </c>
      <c r="C197" s="839"/>
      <c r="D197" s="393">
        <f t="shared" si="50"/>
        <v>52.107621631983136</v>
      </c>
      <c r="E197" s="385">
        <f t="shared" si="75"/>
        <v>57.581877550725977</v>
      </c>
      <c r="F197" s="385">
        <f t="shared" si="51"/>
        <v>58.463675618815508</v>
      </c>
      <c r="G197" s="110">
        <f t="shared" si="76"/>
        <v>0.95924964056986961</v>
      </c>
      <c r="H197" s="414" t="b">
        <f>Wh_hp&gt;='2025'!Maxi_hp</f>
        <v>0</v>
      </c>
      <c r="I197" s="390">
        <f>IF(H197,Wh_hp,'2025'!Maxi_hp)</f>
        <v>58.511459605426658</v>
      </c>
      <c r="J197" s="85">
        <f>IF(H197,An,'2025'!An_max)</f>
        <v>2022</v>
      </c>
      <c r="K197" s="197">
        <f t="shared" si="52"/>
        <v>46205</v>
      </c>
      <c r="L197" s="147">
        <f>IF(t&lt;Tvie,1-EXP((T0-t)*PertePVj)+'2025'!Pspv,1-EXP((T0-t)*PertePVj)+Pspv)</f>
        <v>8.6198154021974532E-2</v>
      </c>
      <c r="M197" s="843"/>
      <c r="N197" s="843"/>
      <c r="O197" s="48">
        <f>IF(t&lt;Tnet,'2025'!Resal+('2025'!Salim-'2025'!Resal)*(1-EXP(('2025'!Tnet-t)/('2025'!Tau_j))),Resal+(Salim-Resal)*(1-EXP((Tnet-t)/(Tau_j))))*Salcycl</f>
        <v>9.5069076445455758E-2</v>
      </c>
      <c r="P197" s="169">
        <f>(INDEX(Models!$BJ197:$BT197,,T197)*(1-R197)+INDEX(Models!$BJ197:$BT197,,T197+1)*R197-ERP_i)*Q197*Ramure*Pc/MaxiM</f>
        <v>1.5993615807221945E-2</v>
      </c>
      <c r="Q197" s="305">
        <f t="shared" si="53"/>
        <v>0.8</v>
      </c>
      <c r="R197" s="177">
        <f t="shared" si="54"/>
        <v>0.82632558003915157</v>
      </c>
      <c r="S197" s="809">
        <f t="shared" si="55"/>
        <v>2</v>
      </c>
      <c r="T197" s="176">
        <f t="shared" si="56"/>
        <v>8</v>
      </c>
      <c r="U197" s="251">
        <f t="shared" si="57"/>
        <v>2.8263255800391516</v>
      </c>
      <c r="V197" s="383">
        <f t="shared" si="58"/>
        <v>49.592939107308666</v>
      </c>
      <c r="W197" s="402">
        <f t="shared" si="59"/>
        <v>47.616040836830685</v>
      </c>
      <c r="X197" s="157">
        <f t="shared" si="60"/>
        <v>46205</v>
      </c>
      <c r="Y197" s="385">
        <f t="shared" si="61"/>
        <v>44.10876540377329</v>
      </c>
      <c r="Z197" s="385">
        <f t="shared" si="62"/>
        <v>48.269507878444351</v>
      </c>
      <c r="AA197" s="386">
        <f t="shared" si="63"/>
        <v>57.109222267368004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0.15478611050836588</v>
      </c>
      <c r="AD197" s="231">
        <f>(INDEX(Models!$BJ197:$BT197,,AH197)*(1-AF197)+INDEX(Models!$BJ197:$BT197,,AH197+1)*AF197-ERP_i)*AE197*Ramure*Pc/MaxiM</f>
        <v>2.4566402803295945E-2</v>
      </c>
      <c r="AE197" s="305">
        <f t="shared" si="65"/>
        <v>0.8</v>
      </c>
      <c r="AF197" s="177">
        <f t="shared" si="66"/>
        <v>2.7042327204055638E-2</v>
      </c>
      <c r="AG197" s="809">
        <f t="shared" si="74"/>
        <v>4</v>
      </c>
      <c r="AH197" s="176">
        <f t="shared" si="67"/>
        <v>10</v>
      </c>
      <c r="AI197" s="225">
        <f t="shared" si="68"/>
        <v>4.0270423272040556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IF(t&gt;Tmaj,'2025'!Wh/'2025'!Env_an*'2026'!Env_an,0.001*[9]mois!$B$142)</f>
        <v>36.859838389650122</v>
      </c>
      <c r="C198" s="839"/>
      <c r="D198" s="393">
        <f t="shared" si="50"/>
        <v>40.337756125127129</v>
      </c>
      <c r="E198" s="385">
        <f t="shared" si="75"/>
        <v>44.582981094569782</v>
      </c>
      <c r="F198" s="385">
        <f t="shared" si="51"/>
        <v>45.040814444084766</v>
      </c>
      <c r="G198" s="110">
        <f t="shared" si="76"/>
        <v>0.74026853997625397</v>
      </c>
      <c r="H198" s="414" t="b">
        <f>Wh_hp&gt;='2025'!Maxi_hp</f>
        <v>0</v>
      </c>
      <c r="I198" s="390">
        <f>IF(H198,Wh_hp,'2025'!Maxi_hp)</f>
        <v>51.855426044960964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8.6219910812305872E-2</v>
      </c>
      <c r="M198" s="843"/>
      <c r="N198" s="843"/>
      <c r="O198" s="48">
        <f>IF(t&lt;Tnet,'2025'!Resal+('2025'!Salim-'2025'!Resal)*(1-EXP(('2025'!Tnet-t)/('2025'!Tau_j))),Resal+(Salim-Resal)*(1-EXP((Tnet-t)/(Tau_j))))*Salcycl</f>
        <v>9.522075162353201E-2</v>
      </c>
      <c r="P198" s="169">
        <f>(INDEX(Models!$BJ198:$BT198,,T198)*(1-R198)+INDEX(Models!$BJ198:$BT198,,T198+1)*R198-ERP_i)*Q198*Ramure*Pc/MaxiM</f>
        <v>1.6001893533875922E-2</v>
      </c>
      <c r="Q198" s="305">
        <f t="shared" si="53"/>
        <v>0.8</v>
      </c>
      <c r="R198" s="177">
        <f t="shared" si="54"/>
        <v>0.83134821095990752</v>
      </c>
      <c r="S198" s="809">
        <f t="shared" si="55"/>
        <v>2</v>
      </c>
      <c r="T198" s="176">
        <f t="shared" si="56"/>
        <v>8</v>
      </c>
      <c r="U198" s="251">
        <f t="shared" si="57"/>
        <v>2.8313482109599075</v>
      </c>
      <c r="V198" s="383">
        <f t="shared" si="58"/>
        <v>49.498897581771296</v>
      </c>
      <c r="W198" s="402">
        <f t="shared" si="59"/>
        <v>36.859838389650122</v>
      </c>
      <c r="X198" s="157">
        <f t="shared" si="60"/>
        <v>46206</v>
      </c>
      <c r="Y198" s="385">
        <f t="shared" si="61"/>
        <v>34.237993535032672</v>
      </c>
      <c r="Z198" s="385">
        <f t="shared" si="62"/>
        <v>37.468526552672621</v>
      </c>
      <c r="AA198" s="386">
        <f t="shared" si="63"/>
        <v>44.334533484528578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0.15486814436091875</v>
      </c>
      <c r="AD198" s="231">
        <f>(INDEX(Models!$BJ198:$BT198,,AH198)*(1-AF198)+INDEX(Models!$BJ198:$BT198,,AH198+1)*AF198-ERP_i)*AE198*Ramure*Pc/MaxiM</f>
        <v>2.4685472851190701E-2</v>
      </c>
      <c r="AE198" s="305">
        <f t="shared" si="65"/>
        <v>0.8</v>
      </c>
      <c r="AF198" s="177">
        <f t="shared" si="66"/>
        <v>3.2064958124811582E-2</v>
      </c>
      <c r="AG198" s="809">
        <f t="shared" si="74"/>
        <v>4</v>
      </c>
      <c r="AH198" s="176">
        <f t="shared" si="67"/>
        <v>10</v>
      </c>
      <c r="AI198" s="225">
        <f t="shared" si="68"/>
        <v>4.0320649581248116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IF(t&gt;Tmaj,'2025'!Wh/'2025'!Env_an*'2026'!Env_an,0.001*[9]mois!$B$143)</f>
        <v>37.775932171269687</v>
      </c>
      <c r="C199" s="839"/>
      <c r="D199" s="393">
        <f t="shared" si="50"/>
        <v>41.341272425093038</v>
      </c>
      <c r="E199" s="385">
        <f t="shared" si="75"/>
        <v>45.699694064053745</v>
      </c>
      <c r="F199" s="385">
        <f t="shared" si="51"/>
        <v>46.190339939428739</v>
      </c>
      <c r="G199" s="110">
        <f t="shared" si="76"/>
        <v>0.76049952164868173</v>
      </c>
      <c r="H199" s="414" t="b">
        <f>Wh_hp&gt;='2025'!Maxi_hp</f>
        <v>0</v>
      </c>
      <c r="I199" s="390">
        <f>IF(H199,Wh_hp,'2025'!Maxi_hp)</f>
        <v>57.973124882145292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8.6241667096324998E-2</v>
      </c>
      <c r="M199" s="843"/>
      <c r="N199" s="843"/>
      <c r="O199" s="48">
        <f>IF(t&lt;Tnet,'2025'!Resal+('2025'!Salim-'2025'!Resal)*(1-EXP(('2025'!Tnet-t)/('2025'!Tau_j))),Resal+(Salim-Resal)*(1-EXP((Tnet-t)/(Tau_j))))*Salcycl</f>
        <v>9.5370915018639785E-2</v>
      </c>
      <c r="P199" s="169">
        <f>(INDEX(Models!$BJ199:$BT199,,T199)*(1-R199)+INDEX(Models!$BJ199:$BT199,,T199+1)*R199-ERP_i)*Q199*Ramure*Pc/MaxiM</f>
        <v>1.6002285742126067E-2</v>
      </c>
      <c r="Q199" s="305">
        <f t="shared" si="53"/>
        <v>0.8</v>
      </c>
      <c r="R199" s="177">
        <f t="shared" si="54"/>
        <v>0.83628078722865595</v>
      </c>
      <c r="S199" s="809">
        <f t="shared" si="55"/>
        <v>2</v>
      </c>
      <c r="T199" s="176">
        <f t="shared" si="56"/>
        <v>8</v>
      </c>
      <c r="U199" s="251">
        <f t="shared" si="57"/>
        <v>2.836280787228656</v>
      </c>
      <c r="V199" s="383">
        <f t="shared" si="58"/>
        <v>49.40241732968807</v>
      </c>
      <c r="W199" s="402">
        <f t="shared" si="59"/>
        <v>37.775932171269687</v>
      </c>
      <c r="X199" s="157">
        <f t="shared" si="60"/>
        <v>46207</v>
      </c>
      <c r="Y199" s="385">
        <f t="shared" si="61"/>
        <v>35.079673197305738</v>
      </c>
      <c r="Z199" s="385">
        <f t="shared" si="62"/>
        <v>38.39053711918784</v>
      </c>
      <c r="AA199" s="386">
        <f t="shared" si="63"/>
        <v>45.429785995679019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0.15494787664552734</v>
      </c>
      <c r="AD199" s="231">
        <f>(INDEX(Models!$BJ199:$BT199,,AH199)*(1-AF199)+INDEX(Models!$BJ199:$BT199,,AH199+1)*AF199-ERP_i)*AE199*Ramure*Pc/MaxiM</f>
        <v>2.4805266162447652E-2</v>
      </c>
      <c r="AE199" s="305">
        <f t="shared" si="65"/>
        <v>0.8</v>
      </c>
      <c r="AF199" s="177">
        <f t="shared" si="66"/>
        <v>3.6997534393560016E-2</v>
      </c>
      <c r="AG199" s="809">
        <f t="shared" si="74"/>
        <v>4</v>
      </c>
      <c r="AH199" s="176">
        <f t="shared" si="67"/>
        <v>10</v>
      </c>
      <c r="AI199" s="225">
        <f t="shared" si="68"/>
        <v>4.03699753439356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IF(t&gt;Tmaj,'2025'!Wh/'2025'!Env_an*'2026'!Env_an,0.001*[9]mois!$B$144)</f>
        <v>46.654825661585456</v>
      </c>
      <c r="C200" s="839"/>
      <c r="D200" s="393">
        <f t="shared" si="50"/>
        <v>51.059382790970616</v>
      </c>
      <c r="E200" s="385">
        <f t="shared" si="75"/>
        <v>56.451618809991722</v>
      </c>
      <c r="F200" s="385">
        <f t="shared" si="51"/>
        <v>57.297748634327561</v>
      </c>
      <c r="G200" s="110">
        <f t="shared" si="76"/>
        <v>0.94509924152974589</v>
      </c>
      <c r="H200" s="414" t="b">
        <f>Wh_hp&gt;='2025'!Maxi_hp</f>
        <v>0</v>
      </c>
      <c r="I200" s="390">
        <f>IF(H200,Wh_hp,'2025'!Maxi_hp)</f>
        <v>60.257495392536157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8.6263422874043566E-2</v>
      </c>
      <c r="M200" s="843"/>
      <c r="N200" s="843"/>
      <c r="O200" s="48">
        <f>IF(t&lt;Tnet,'2025'!Resal+('2025'!Salim-'2025'!Resal)*(1-EXP(('2025'!Tnet-t)/('2025'!Tau_j))),Resal+(Salim-Resal)*(1-EXP((Tnet-t)/(Tau_j))))*Salcycl</f>
        <v>9.5519599485191356E-2</v>
      </c>
      <c r="P200" s="169">
        <f>(INDEX(Models!$BJ200:$BT200,,T200)*(1-R200)+INDEX(Models!$BJ200:$BT200,,T200+1)*R200-ERP_i)*Q200*Ramure*Pc/MaxiM</f>
        <v>1.5994768451486271E-2</v>
      </c>
      <c r="Q200" s="305">
        <f t="shared" si="53"/>
        <v>0.8</v>
      </c>
      <c r="R200" s="177">
        <f t="shared" si="54"/>
        <v>0.84112165726062482</v>
      </c>
      <c r="S200" s="809">
        <f t="shared" si="55"/>
        <v>2</v>
      </c>
      <c r="T200" s="176">
        <f t="shared" si="56"/>
        <v>8</v>
      </c>
      <c r="U200" s="251">
        <f t="shared" si="57"/>
        <v>2.8411216572606248</v>
      </c>
      <c r="V200" s="383">
        <f t="shared" si="58"/>
        <v>49.303496681471692</v>
      </c>
      <c r="W200" s="402">
        <f t="shared" si="59"/>
        <v>46.654825661585456</v>
      </c>
      <c r="X200" s="157">
        <f t="shared" si="60"/>
        <v>46208</v>
      </c>
      <c r="Y200" s="385">
        <f t="shared" si="61"/>
        <v>43.220618668249287</v>
      </c>
      <c r="Z200" s="385">
        <f t="shared" si="62"/>
        <v>47.300961513650151</v>
      </c>
      <c r="AA200" s="386">
        <f t="shared" si="63"/>
        <v>55.979149792702387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0.15502536768044214</v>
      </c>
      <c r="AD200" s="231">
        <f>(INDEX(Models!$BJ200:$BT200,,AH200)*(1-AF200)+INDEX(Models!$BJ200:$BT200,,AH200+1)*AF200-ERP_i)*AE200*Ramure*Pc/MaxiM</f>
        <v>2.4926060452658737E-2</v>
      </c>
      <c r="AE200" s="305">
        <f t="shared" si="65"/>
        <v>0.8</v>
      </c>
      <c r="AF200" s="177">
        <f t="shared" si="66"/>
        <v>4.1838404425527997E-2</v>
      </c>
      <c r="AG200" s="809">
        <f t="shared" si="74"/>
        <v>4</v>
      </c>
      <c r="AH200" s="176">
        <f t="shared" si="67"/>
        <v>10</v>
      </c>
      <c r="AI200" s="225">
        <f t="shared" si="68"/>
        <v>4.041838404425528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IF(t&gt;Tmaj,'2025'!Wh/'2025'!Env_an*'2026'!Env_an,0.001*[9]mois!$B$145)</f>
        <v>42.009263472222543</v>
      </c>
      <c r="C201" s="839"/>
      <c r="D201" s="393">
        <f t="shared" si="50"/>
        <v>45.976340174670909</v>
      </c>
      <c r="E201" s="385">
        <f t="shared" si="75"/>
        <v>50.840046822081099</v>
      </c>
      <c r="F201" s="385">
        <f t="shared" si="51"/>
        <v>51.491003931866949</v>
      </c>
      <c r="G201" s="110">
        <f t="shared" si="76"/>
        <v>0.85092400409564128</v>
      </c>
      <c r="H201" s="414" t="b">
        <f>Wh_hp&gt;='2025'!Maxi_hp</f>
        <v>0</v>
      </c>
      <c r="I201" s="390">
        <f>IF(H201,Wh_hp,'2025'!Maxi_hp)</f>
        <v>59.845160048198764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8.6285178145473457E-2</v>
      </c>
      <c r="M201" s="843"/>
      <c r="N201" s="843"/>
      <c r="O201" s="48">
        <f>IF(t&lt;Tnet,'2025'!Resal+('2025'!Salim-'2025'!Resal)*(1-EXP(('2025'!Tnet-t)/('2025'!Tau_j))),Resal+(Salim-Resal)*(1-EXP((Tnet-t)/(Tau_j))))*Salcycl</f>
        <v>9.566684044236079E-2</v>
      </c>
      <c r="P201" s="169">
        <f>(INDEX(Models!$BJ201:$BT201,,T201)*(1-R201)+INDEX(Models!$BJ201:$BT201,,T201+1)*R201-ERP_i)*Q201*Ramure*Pc/MaxiM</f>
        <v>1.5979324669501825E-2</v>
      </c>
      <c r="Q201" s="305">
        <f t="shared" si="53"/>
        <v>0.8</v>
      </c>
      <c r="R201" s="177">
        <f t="shared" si="54"/>
        <v>0.84586938221397601</v>
      </c>
      <c r="S201" s="809">
        <f t="shared" si="55"/>
        <v>2</v>
      </c>
      <c r="T201" s="176">
        <f t="shared" si="56"/>
        <v>8</v>
      </c>
      <c r="U201" s="251">
        <f t="shared" si="57"/>
        <v>2.845869382213976</v>
      </c>
      <c r="V201" s="383">
        <f t="shared" si="58"/>
        <v>49.202133316931707</v>
      </c>
      <c r="W201" s="402">
        <f t="shared" si="59"/>
        <v>42.009263472222543</v>
      </c>
      <c r="X201" s="157">
        <f t="shared" si="60"/>
        <v>46209</v>
      </c>
      <c r="Y201" s="385">
        <f t="shared" si="61"/>
        <v>38.963158406794228</v>
      </c>
      <c r="Z201" s="385">
        <f t="shared" si="62"/>
        <v>42.642581114873927</v>
      </c>
      <c r="AA201" s="386">
        <f t="shared" si="63"/>
        <v>50.470606602728026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0.15510068165954988</v>
      </c>
      <c r="AD201" s="231">
        <f>(INDEX(Models!$BJ201:$BT201,,AH201)*(1-AF201)+INDEX(Models!$BJ201:$BT201,,AH201+1)*AF201-ERP_i)*AE201*Ramure*Pc/MaxiM</f>
        <v>2.5048132924713567E-2</v>
      </c>
      <c r="AE201" s="305">
        <f t="shared" si="65"/>
        <v>0.8</v>
      </c>
      <c r="AF201" s="177">
        <f t="shared" si="66"/>
        <v>4.6586129378879626E-2</v>
      </c>
      <c r="AG201" s="809">
        <f t="shared" si="74"/>
        <v>4</v>
      </c>
      <c r="AH201" s="176">
        <f t="shared" si="67"/>
        <v>10</v>
      </c>
      <c r="AI201" s="225">
        <f t="shared" si="68"/>
        <v>4.0465861293788796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IF(t&gt;Tmaj,'2025'!Wh/'2025'!Env_an*'2026'!Env_an,0.001*[9]mois!$B$146)</f>
        <v>46.187643393708036</v>
      </c>
      <c r="C202" s="839"/>
      <c r="D202" s="393">
        <f t="shared" si="50"/>
        <v>50.550502195274021</v>
      </c>
      <c r="E202" s="385">
        <f t="shared" si="75"/>
        <v>55.907112200603727</v>
      </c>
      <c r="F202" s="385">
        <f t="shared" si="51"/>
        <v>56.735717025632582</v>
      </c>
      <c r="G202" s="110">
        <f t="shared" si="76"/>
        <v>0.93942727269966886</v>
      </c>
      <c r="H202" s="414" t="b">
        <f>Wh_hp&gt;='2025'!Maxi_hp</f>
        <v>0</v>
      </c>
      <c r="I202" s="390">
        <f>IF(H202,Wh_hp,'2025'!Maxi_hp)</f>
        <v>56.803975288408445</v>
      </c>
      <c r="J202" s="85">
        <f>IF(H202,An,'2025'!An_max)</f>
        <v>2022</v>
      </c>
      <c r="K202" s="197">
        <f t="shared" si="52"/>
        <v>46210</v>
      </c>
      <c r="L202" s="147">
        <f>IF(t&lt;Tvie,1-EXP((T0-t)*PertePVj)+'2025'!Pspv,1-EXP((T0-t)*PertePVj)+Pspv)</f>
        <v>8.6306932910626327E-2</v>
      </c>
      <c r="M202" s="843"/>
      <c r="N202" s="843"/>
      <c r="O202" s="48">
        <f>IF(t&lt;Tnet,'2025'!Resal+('2025'!Salim-'2025'!Resal)*(1-EXP(('2025'!Tnet-t)/('2025'!Tau_j))),Resal+(Salim-Resal)*(1-EXP((Tnet-t)/(Tau_j))))*Salcycl</f>
        <v>9.5812675605732048E-2</v>
      </c>
      <c r="P202" s="169">
        <f>(INDEX(Models!$BJ202:$BT202,,T202)*(1-R202)+INDEX(Models!$BJ202:$BT202,,T202+1)*R202-ERP_i)*Q202*Ramure*Pc/MaxiM</f>
        <v>1.5955943701964573E-2</v>
      </c>
      <c r="Q202" s="305">
        <f t="shared" si="53"/>
        <v>0.8</v>
      </c>
      <c r="R202" s="177">
        <f t="shared" si="54"/>
        <v>0.85052273227202368</v>
      </c>
      <c r="S202" s="809">
        <f t="shared" si="55"/>
        <v>2</v>
      </c>
      <c r="T202" s="176">
        <f t="shared" si="56"/>
        <v>8</v>
      </c>
      <c r="U202" s="251">
        <f t="shared" si="57"/>
        <v>2.8505227322720237</v>
      </c>
      <c r="V202" s="383">
        <f t="shared" si="58"/>
        <v>49.098324317738054</v>
      </c>
      <c r="W202" s="402">
        <f t="shared" si="59"/>
        <v>46.187643393708036</v>
      </c>
      <c r="X202" s="157">
        <f t="shared" si="60"/>
        <v>46210</v>
      </c>
      <c r="Y202" s="385">
        <f t="shared" si="61"/>
        <v>42.785932433342104</v>
      </c>
      <c r="Z202" s="385">
        <f t="shared" si="62"/>
        <v>46.827467532001052</v>
      </c>
      <c r="AA202" s="386">
        <f t="shared" si="63"/>
        <v>55.428527559719072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0.15517388619878408</v>
      </c>
      <c r="AD202" s="231">
        <f>(INDEX(Models!$BJ202:$BT202,,AH202)*(1-AF202)+INDEX(Models!$BJ202:$BT202,,AH202+1)*AF202-ERP_i)*AE202*Ramure*Pc/MaxiM</f>
        <v>2.5171759680726956E-2</v>
      </c>
      <c r="AE202" s="305">
        <f t="shared" si="65"/>
        <v>0.8</v>
      </c>
      <c r="AF202" s="177">
        <f t="shared" si="66"/>
        <v>5.1239479436927304E-2</v>
      </c>
      <c r="AG202" s="809">
        <f t="shared" si="74"/>
        <v>4</v>
      </c>
      <c r="AH202" s="176">
        <f t="shared" si="67"/>
        <v>10</v>
      </c>
      <c r="AI202" s="225">
        <f t="shared" si="68"/>
        <v>4.0512394794369273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IF(t&gt;Tmaj,'2025'!Wh/'2025'!Env_an*'2026'!Env_an,0.001*[9]mois!$B$147)</f>
        <v>48.933329320625319</v>
      </c>
      <c r="C203" s="839"/>
      <c r="D203" s="393">
        <f t="shared" si="50"/>
        <v>53.556819212188564</v>
      </c>
      <c r="E203" s="385">
        <f t="shared" si="75"/>
        <v>59.241460621972671</v>
      </c>
      <c r="F203" s="385">
        <f t="shared" si="51"/>
        <v>60.198456307559148</v>
      </c>
      <c r="G203" s="110">
        <f t="shared" si="76"/>
        <v>0.99877341164081879</v>
      </c>
      <c r="H203" s="414" t="b">
        <f>Wh_hp&gt;='2025'!Maxi_hp</f>
        <v>0</v>
      </c>
      <c r="I203" s="390">
        <f>IF(H203,Wh_hp,'2025'!Maxi_hp)</f>
        <v>61.470681296854167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8.6328687169514057E-2</v>
      </c>
      <c r="M203" s="843"/>
      <c r="N203" s="843"/>
      <c r="O203" s="48">
        <f>IF(t&lt;Tnet,'2025'!Resal+('2025'!Salim-'2025'!Resal)*(1-EXP(('2025'!Tnet-t)/('2025'!Tau_j))),Resal+(Salim-Resal)*(1-EXP((Tnet-t)/(Tau_j))))*Salcycl</f>
        <v>9.595714471083909E-2</v>
      </c>
      <c r="P203" s="169">
        <f>(INDEX(Models!$BJ203:$BT203,,T203)*(1-R203)+INDEX(Models!$BJ203:$BT203,,T203+1)*R203-ERP_i)*Q203*Ramure*Pc/MaxiM</f>
        <v>1.592462042332243E-2</v>
      </c>
      <c r="Q203" s="305">
        <f t="shared" si="53"/>
        <v>0.8</v>
      </c>
      <c r="R203" s="177">
        <f t="shared" si="54"/>
        <v>0.85508068215074662</v>
      </c>
      <c r="S203" s="809">
        <f t="shared" si="55"/>
        <v>2</v>
      </c>
      <c r="T203" s="176">
        <f t="shared" si="56"/>
        <v>8</v>
      </c>
      <c r="U203" s="251">
        <f t="shared" si="57"/>
        <v>2.8550806821507466</v>
      </c>
      <c r="V203" s="383">
        <f t="shared" si="58"/>
        <v>48.992066228144104</v>
      </c>
      <c r="W203" s="402">
        <f t="shared" si="59"/>
        <v>48.933329320625319</v>
      </c>
      <c r="X203" s="157">
        <f t="shared" si="60"/>
        <v>46211</v>
      </c>
      <c r="Y203" s="385">
        <f t="shared" si="61"/>
        <v>45.289507688158821</v>
      </c>
      <c r="Z203" s="385">
        <f t="shared" si="62"/>
        <v>49.568709285459875</v>
      </c>
      <c r="AA203" s="386">
        <f t="shared" si="63"/>
        <v>58.678211231941376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0.15524505187238488</v>
      </c>
      <c r="AD203" s="231">
        <f>(INDEX(Models!$BJ203:$BT203,,AH203)*(1-AF203)+INDEX(Models!$BJ203:$BT203,,AH203+1)*AF203-ERP_i)*AE203*Ramure*Pc/MaxiM</f>
        <v>2.5297215174801879E-2</v>
      </c>
      <c r="AE203" s="305">
        <f t="shared" si="65"/>
        <v>0.8</v>
      </c>
      <c r="AF203" s="177">
        <f t="shared" si="66"/>
        <v>5.5797429315649794E-2</v>
      </c>
      <c r="AG203" s="809">
        <f t="shared" si="74"/>
        <v>4</v>
      </c>
      <c r="AH203" s="176">
        <f t="shared" si="67"/>
        <v>10</v>
      </c>
      <c r="AI203" s="225">
        <f t="shared" si="68"/>
        <v>4.0557974293156498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IF(t&gt;Tmaj,'2025'!Wh/'2025'!Env_an*'2026'!Env_an,0.001*[9]mois!$B$148)</f>
        <v>48.057583353275277</v>
      </c>
      <c r="C204" s="839"/>
      <c r="D204" s="393">
        <f t="shared" si="50"/>
        <v>52.599580304925553</v>
      </c>
      <c r="E204" s="385">
        <f t="shared" si="75"/>
        <v>58.191832211296131</v>
      </c>
      <c r="F204" s="385">
        <f t="shared" si="51"/>
        <v>59.108126529507622</v>
      </c>
      <c r="G204" s="110">
        <f t="shared" si="76"/>
        <v>0.98272449140153584</v>
      </c>
      <c r="H204" s="414" t="b">
        <f>Wh_hp&gt;='2025'!Maxi_hp</f>
        <v>0</v>
      </c>
      <c r="I204" s="390">
        <f>IF(H204,Wh_hp,'2025'!Maxi_hp)</f>
        <v>60.783742606554995</v>
      </c>
      <c r="J204" s="85">
        <f>IF(H204,An,'2025'!An_max)</f>
        <v>2021</v>
      </c>
      <c r="K204" s="197">
        <f t="shared" si="52"/>
        <v>46212</v>
      </c>
      <c r="L204" s="147">
        <f>IF(t&lt;Tvie,1-EXP((T0-t)*PertePVj)+'2025'!Pspv,1-EXP((T0-t)*PertePVj)+Pspv)</f>
        <v>8.6350440922148414E-2</v>
      </c>
      <c r="M204" s="843"/>
      <c r="N204" s="843"/>
      <c r="O204" s="48">
        <f>IF(t&lt;Tnet,'2025'!Resal+('2025'!Salim-'2025'!Resal)*(1-EXP(('2025'!Tnet-t)/('2025'!Tau_j))),Resal+(Salim-Resal)*(1-EXP((Tnet-t)/(Tau_j))))*Salcycl</f>
        <v>9.6100289230711178E-2</v>
      </c>
      <c r="P204" s="169">
        <f>(INDEX(Models!$BJ204:$BT204,,T204)*(1-R204)+INDEX(Models!$BJ204:$BT204,,T204+1)*R204-ERP_i)*Q204*Ramure*Pc/MaxiM</f>
        <v>1.5885354518701818E-2</v>
      </c>
      <c r="Q204" s="305">
        <f t="shared" si="53"/>
        <v>0.8</v>
      </c>
      <c r="R204" s="177">
        <f t="shared" si="54"/>
        <v>0.85954240590128883</v>
      </c>
      <c r="S204" s="809">
        <f t="shared" si="55"/>
        <v>2</v>
      </c>
      <c r="T204" s="176">
        <f t="shared" si="56"/>
        <v>8</v>
      </c>
      <c r="U204" s="251">
        <f t="shared" si="57"/>
        <v>2.8595424059012888</v>
      </c>
      <c r="V204" s="383">
        <f t="shared" si="58"/>
        <v>48.883355107442249</v>
      </c>
      <c r="W204" s="402">
        <f t="shared" si="59"/>
        <v>48.057583353275277</v>
      </c>
      <c r="X204" s="157">
        <f t="shared" si="60"/>
        <v>46212</v>
      </c>
      <c r="Y204" s="385">
        <f t="shared" si="61"/>
        <v>44.484704520494091</v>
      </c>
      <c r="Z204" s="385">
        <f t="shared" si="62"/>
        <v>48.689023136390055</v>
      </c>
      <c r="AA204" s="386">
        <f t="shared" si="63"/>
        <v>57.641582371703436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0.15531425174247535</v>
      </c>
      <c r="AD204" s="231">
        <f>(INDEX(Models!$BJ204:$BT204,,AH204)*(1-AF204)+INDEX(Models!$BJ204:$BT204,,AH204+1)*AF204-ERP_i)*AE204*Ramure*Pc/MaxiM</f>
        <v>2.5424771714751007E-2</v>
      </c>
      <c r="AE204" s="305">
        <f t="shared" si="65"/>
        <v>0.8</v>
      </c>
      <c r="AF204" s="177">
        <f t="shared" si="66"/>
        <v>6.0259153066192894E-2</v>
      </c>
      <c r="AG204" s="809">
        <f t="shared" si="74"/>
        <v>4</v>
      </c>
      <c r="AH204" s="176">
        <f t="shared" si="67"/>
        <v>10</v>
      </c>
      <c r="AI204" s="225">
        <f t="shared" si="68"/>
        <v>4.0602591530661929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IF(t&gt;Tmaj,'2025'!Wh/'2025'!Env_an*'2026'!Env_an,0.001*[9]mois!$B$149)</f>
        <v>47.505012977786265</v>
      </c>
      <c r="C205" s="839"/>
      <c r="D205" s="393">
        <f t="shared" si="50"/>
        <v>51.996023626441307</v>
      </c>
      <c r="E205" s="385">
        <f t="shared" si="75"/>
        <v>57.533136499628135</v>
      </c>
      <c r="F205" s="385">
        <f t="shared" si="51"/>
        <v>58.424148431644056</v>
      </c>
      <c r="G205" s="110">
        <f t="shared" si="76"/>
        <v>0.97344922857732874</v>
      </c>
      <c r="H205" s="414" t="b">
        <f>Wh_hp&gt;='2025'!Maxi_hp</f>
        <v>0</v>
      </c>
      <c r="I205" s="390">
        <f>IF(H205,Wh_hp,'2025'!Maxi_hp)</f>
        <v>60.976537805718309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8.6372194168541166E-2</v>
      </c>
      <c r="M205" s="843"/>
      <c r="N205" s="843"/>
      <c r="O205" s="48">
        <f>IF(t&lt;Tnet,'2025'!Resal+('2025'!Salim-'2025'!Resal)*(1-EXP(('2025'!Tnet-t)/('2025'!Tau_j))),Resal+(Salim-Resal)*(1-EXP((Tnet-t)/(Tau_j))))*Salcycl</f>
        <v>9.6242152089563535E-2</v>
      </c>
      <c r="P205" s="169">
        <f>(INDEX(Models!$BJ205:$BT205,,T205)*(1-R205)+INDEX(Models!$BJ205:$BT205,,T205+1)*R205-ERP_i)*Q205*Ramure*Pc/MaxiM</f>
        <v>1.5838340232700338E-2</v>
      </c>
      <c r="Q205" s="305">
        <f t="shared" si="53"/>
        <v>0.8</v>
      </c>
      <c r="R205" s="177">
        <f t="shared" si="54"/>
        <v>0.86390727107868326</v>
      </c>
      <c r="S205" s="809">
        <f t="shared" si="55"/>
        <v>2</v>
      </c>
      <c r="T205" s="176">
        <f t="shared" si="56"/>
        <v>8</v>
      </c>
      <c r="U205" s="251">
        <f t="shared" si="57"/>
        <v>2.8639072710786833</v>
      </c>
      <c r="V205" s="383">
        <f t="shared" si="58"/>
        <v>48.771590427663213</v>
      </c>
      <c r="W205" s="402">
        <f t="shared" si="59"/>
        <v>47.505012977786265</v>
      </c>
      <c r="X205" s="157">
        <f t="shared" si="60"/>
        <v>46213</v>
      </c>
      <c r="Y205" s="385">
        <f t="shared" si="61"/>
        <v>43.974602576950758</v>
      </c>
      <c r="Z205" s="385">
        <f t="shared" si="62"/>
        <v>48.131856644764767</v>
      </c>
      <c r="AA205" s="386">
        <f t="shared" si="63"/>
        <v>56.986509429302572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0.1553815608854387</v>
      </c>
      <c r="AD205" s="231">
        <f>(INDEX(Models!$BJ205:$BT205,,AH205)*(1-AF205)+INDEX(Models!$BJ205:$BT205,,AH205+1)*AF205-ERP_i)*AE205*Ramure*Pc/MaxiM</f>
        <v>2.5555006428889752E-2</v>
      </c>
      <c r="AE205" s="305">
        <f t="shared" si="65"/>
        <v>0.8</v>
      </c>
      <c r="AF205" s="177">
        <f t="shared" si="66"/>
        <v>6.4624018243587322E-2</v>
      </c>
      <c r="AG205" s="809">
        <f t="shared" si="74"/>
        <v>4</v>
      </c>
      <c r="AH205" s="176">
        <f t="shared" si="67"/>
        <v>10</v>
      </c>
      <c r="AI205" s="225">
        <f t="shared" si="68"/>
        <v>4.0646240182435873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IF(t&gt;Tmaj,'2025'!Wh/'2025'!Env_an*'2026'!Env_an,0.001*[9]mois!$B$150)</f>
        <v>46.210972486012167</v>
      </c>
      <c r="C206" s="839"/>
      <c r="D206" s="393">
        <f t="shared" si="50"/>
        <v>50.580851921516704</v>
      </c>
      <c r="E206" s="385">
        <f t="shared" si="75"/>
        <v>55.975971523171708</v>
      </c>
      <c r="F206" s="385">
        <f t="shared" si="51"/>
        <v>56.808392886270894</v>
      </c>
      <c r="G206" s="110">
        <f t="shared" si="76"/>
        <v>0.9486520404829849</v>
      </c>
      <c r="H206" s="414" t="b">
        <f>Wh_hp&gt;='2025'!Maxi_hp</f>
        <v>0</v>
      </c>
      <c r="I206" s="390">
        <f>IF(H206,Wh_hp,'2025'!Maxi_hp)</f>
        <v>60.655127137032757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8.6393946908704083E-2</v>
      </c>
      <c r="M206" s="843"/>
      <c r="N206" s="843"/>
      <c r="O206" s="48">
        <f>IF(t&lt;Tnet,'2025'!Resal+('2025'!Salim-'2025'!Resal)*(1-EXP(('2025'!Tnet-t)/('2025'!Tau_j))),Resal+(Salim-Resal)*(1-EXP((Tnet-t)/(Tau_j))))*Salcycl</f>
        <v>9.6382777374782222E-2</v>
      </c>
      <c r="P206" s="169">
        <f>(INDEX(Models!$BJ206:$BT206,,T206)*(1-R206)+INDEX(Models!$BJ206:$BT206,,T206+1)*R206-ERP_i)*Q206*Ramure*Pc/MaxiM</f>
        <v>1.5786511434029902E-2</v>
      </c>
      <c r="Q206" s="305">
        <f t="shared" si="53"/>
        <v>0.8</v>
      </c>
      <c r="R206" s="177">
        <f t="shared" si="54"/>
        <v>0.86817483234872039</v>
      </c>
      <c r="S206" s="809">
        <f t="shared" si="55"/>
        <v>2</v>
      </c>
      <c r="T206" s="176">
        <f t="shared" si="56"/>
        <v>8</v>
      </c>
      <c r="U206" s="251">
        <f t="shared" si="57"/>
        <v>2.8681748323487204</v>
      </c>
      <c r="V206" s="383">
        <f t="shared" si="58"/>
        <v>48.656216910763611</v>
      </c>
      <c r="W206" s="402">
        <f t="shared" si="59"/>
        <v>46.210972486012167</v>
      </c>
      <c r="X206" s="157">
        <f t="shared" si="60"/>
        <v>46214</v>
      </c>
      <c r="Y206" s="385">
        <f t="shared" si="61"/>
        <v>42.787292637401862</v>
      </c>
      <c r="Z206" s="385">
        <f t="shared" si="62"/>
        <v>46.833416320552949</v>
      </c>
      <c r="AA206" s="386">
        <f t="shared" si="63"/>
        <v>55.453499568923455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0.15544705591856389</v>
      </c>
      <c r="AD206" s="231">
        <f>(INDEX(Models!$BJ206:$BT206,,AH206)*(1-AF206)+INDEX(Models!$BJ206:$BT206,,AH206+1)*AF206-ERP_i)*AE206*Ramure*Pc/MaxiM</f>
        <v>2.5694966268720577E-2</v>
      </c>
      <c r="AE206" s="305">
        <f t="shared" si="65"/>
        <v>0.8</v>
      </c>
      <c r="AF206" s="177">
        <f t="shared" si="66"/>
        <v>6.8891579513624457E-2</v>
      </c>
      <c r="AG206" s="809">
        <f t="shared" si="74"/>
        <v>4</v>
      </c>
      <c r="AH206" s="176">
        <f t="shared" si="67"/>
        <v>10</v>
      </c>
      <c r="AI206" s="225">
        <f t="shared" si="68"/>
        <v>4.0688915795136245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IF(t&gt;Tmaj,'2025'!Wh/'2025'!Env_an*'2026'!Env_an,0.001*[9]mois!$B$151)</f>
        <v>45.909002713755122</v>
      </c>
      <c r="C207" s="839"/>
      <c r="D207" s="393">
        <f t="shared" ref="D207:D270" si="77">Wh/(1-Ppv)</f>
        <v>50.251523226342577</v>
      </c>
      <c r="E207" s="385">
        <f t="shared" si="75"/>
        <v>55.620098009367638</v>
      </c>
      <c r="F207" s="385">
        <f t="shared" ref="F207:F270" si="78">Wh_sa/(1-Pvg*MEDIAN((-Sdif+Wh/Env_an)/Csdif,0,1))</f>
        <v>56.439373945776886</v>
      </c>
      <c r="G207" s="110">
        <f t="shared" si="76"/>
        <v>0.94468099807694605</v>
      </c>
      <c r="H207" s="414" t="b">
        <f>Wh_hp&gt;='2025'!Maxi_hp</f>
        <v>0</v>
      </c>
      <c r="I207" s="390">
        <f>IF(H207,Wh_hp,'2025'!Maxi_hp)</f>
        <v>61.032000698200029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8.6415699142648933E-2</v>
      </c>
      <c r="M207" s="843"/>
      <c r="N207" s="843"/>
      <c r="O207" s="48">
        <f>IF(t&lt;Tnet,'2025'!Resal+('2025'!Salim-'2025'!Resal)*(1-EXP(('2025'!Tnet-t)/('2025'!Tau_j))),Resal+(Salim-Resal)*(1-EXP((Tnet-t)/(Tau_j))))*Salcycl</f>
        <v>9.6522210049340043E-2</v>
      </c>
      <c r="P207" s="169">
        <f>(INDEX(Models!$BJ207:$BT207,,T207)*(1-R207)+INDEX(Models!$BJ207:$BT207,,T207+1)*R207-ERP_i)*Q207*Ramure*Pc/MaxiM</f>
        <v>1.573312407228869E-2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0.87234482460478224</v>
      </c>
      <c r="S207" s="809">
        <f t="shared" ref="S207:S270" si="82">INDEX(Echel_vg,T207)</f>
        <v>2</v>
      </c>
      <c r="T207" s="176">
        <f t="shared" ref="T207:T270" si="83">MIN(MATCH(Hp_vg,Echel_vg),10)</f>
        <v>8</v>
      </c>
      <c r="U207" s="251">
        <f t="shared" ref="U207:U270" si="84">IF(OR(t&lt;Ttai,Notai),Hdd+PousH*Croivg,Hdtf+PousH*(Croivg-Croi_tai))</f>
        <v>2.8723448246047822</v>
      </c>
      <c r="V207" s="383">
        <f t="shared" ref="V207:V270" si="85">MaxiM*(1-Ppv)*(1-Pvg)*(1-Psa)</f>
        <v>48.537341635080217</v>
      </c>
      <c r="W207" s="402">
        <f t="shared" ref="W207:W270" si="86">Wh*(A207&gt;Tmaj)</f>
        <v>45.909002713755122</v>
      </c>
      <c r="X207" s="157">
        <f t="shared" ref="X207:X270" si="87">t</f>
        <v>46215</v>
      </c>
      <c r="Y207" s="385">
        <f t="shared" ref="Y207:Y270" si="88">Wh_pvt_s*(1-Ppv)</f>
        <v>42.50535577712607</v>
      </c>
      <c r="Z207" s="385">
        <f t="shared" ref="Z207:Z270" si="89">Wh_sa_s*(1-Psa_s)</f>
        <v>46.52592621965703</v>
      </c>
      <c r="AA207" s="386">
        <f t="shared" ref="AA207:AA270" si="90">Wh_hp*(1-Pvg_s*MEDIAN((-Sdif+Wh/Env_an)/Csdif,0,1))</f>
        <v>55.093572564560361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0.15551081453037924</v>
      </c>
      <c r="AD207" s="231">
        <f>(INDEX(Models!$BJ207:$BT207,,AH207)*(1-AF207)+INDEX(Models!$BJ207:$BT207,,AH207+1)*AF207-ERP_i)*AE207*Ramure*Pc/MaxiM</f>
        <v>2.5844357397017986E-2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7.3061571769685862E-2</v>
      </c>
      <c r="AG207" s="809">
        <f t="shared" si="74"/>
        <v>4</v>
      </c>
      <c r="AH207" s="176">
        <f t="shared" ref="AH207:AH270" si="94">MIN(MATCH(Hp_vg_s,Echel_vg),10)</f>
        <v>10</v>
      </c>
      <c r="AI207" s="225">
        <f t="shared" ref="AI207:AI270" si="95">IF(OR(t&lt;Ttai,Notai),Hdd_s+PousH*Croivg,Hdtai_s+PousH*(Croivg-Croi_tai))</f>
        <v>4.0730615717696859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IF(t&gt;Tmaj,'2025'!Wh/'2025'!Env_an*'2026'!Env_an,0.001*[9]mois!$B$152)</f>
        <v>45.605996935712604</v>
      </c>
      <c r="C208" s="839"/>
      <c r="D208" s="393">
        <f t="shared" si="77"/>
        <v>49.921044792349754</v>
      </c>
      <c r="E208" s="385">
        <f t="shared" si="75"/>
        <v>55.262771696446684</v>
      </c>
      <c r="F208" s="385">
        <f t="shared" si="78"/>
        <v>56.068967943661356</v>
      </c>
      <c r="G208" s="110">
        <f t="shared" si="76"/>
        <v>0.9407342110134953</v>
      </c>
      <c r="H208" s="414" t="b">
        <f>Wh_hp&gt;='2025'!Maxi_hp</f>
        <v>0</v>
      </c>
      <c r="I208" s="390">
        <f>IF(H208,Wh_hp,'2025'!Maxi_hp)</f>
        <v>56.133262205738227</v>
      </c>
      <c r="J208" s="85">
        <f>IF(H208,An,'2025'!An_max)</f>
        <v>2022</v>
      </c>
      <c r="K208" s="197">
        <f t="shared" si="79"/>
        <v>46216</v>
      </c>
      <c r="L208" s="147">
        <f>IF(t&lt;Tvie,1-EXP((T0-t)*PertePVj)+'2025'!Pspv,1-EXP((T0-t)*PertePVj)+Pspv)</f>
        <v>8.6437450870387594E-2</v>
      </c>
      <c r="M208" s="843"/>
      <c r="N208" s="843"/>
      <c r="O208" s="48">
        <f>IF(t&lt;Tnet,'2025'!Resal+('2025'!Salim-'2025'!Resal)*(1-EXP(('2025'!Tnet-t)/('2025'!Tau_j))),Resal+(Salim-Resal)*(1-EXP((Tnet-t)/(Tau_j))))*Salcycl</f>
        <v>9.6660495666749058E-2</v>
      </c>
      <c r="P208" s="169">
        <f>(INDEX(Models!$BJ208:$BT208,,T208)*(1-R208)+INDEX(Models!$BJ208:$BT208,,T208+1)*R208-ERP_i)*Q208*Ramure*Pc/MaxiM</f>
        <v>1.5678239308733133E-2</v>
      </c>
      <c r="Q208" s="305">
        <f t="shared" si="80"/>
        <v>0.8</v>
      </c>
      <c r="R208" s="177">
        <f t="shared" si="81"/>
        <v>0.87641715566559686</v>
      </c>
      <c r="S208" s="809">
        <f t="shared" si="82"/>
        <v>2</v>
      </c>
      <c r="T208" s="176">
        <f t="shared" si="83"/>
        <v>8</v>
      </c>
      <c r="U208" s="251">
        <f t="shared" si="84"/>
        <v>2.8764171556655969</v>
      </c>
      <c r="V208" s="383">
        <f t="shared" si="85"/>
        <v>48.415230193970316</v>
      </c>
      <c r="W208" s="402">
        <f t="shared" si="86"/>
        <v>45.605996935712604</v>
      </c>
      <c r="X208" s="157">
        <f t="shared" si="87"/>
        <v>46216</v>
      </c>
      <c r="Y208" s="385">
        <f t="shared" si="88"/>
        <v>42.222169459072269</v>
      </c>
      <c r="Z208" s="385">
        <f t="shared" si="89"/>
        <v>46.217053774039904</v>
      </c>
      <c r="AA208" s="386">
        <f t="shared" si="90"/>
        <v>54.7318467112243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0.15557291501801623</v>
      </c>
      <c r="AD208" s="231">
        <f>(INDEX(Models!$BJ208:$BT208,,AH208)*(1-AF208)+INDEX(Models!$BJ208:$BT208,,AH208+1)*AF208-ERP_i)*AE208*Ramure*Pc/MaxiM</f>
        <v>2.6003230279679372E-2</v>
      </c>
      <c r="AE208" s="305">
        <f t="shared" si="92"/>
        <v>0.8</v>
      </c>
      <c r="AF208" s="177">
        <f t="shared" si="93"/>
        <v>7.7133902830500922E-2</v>
      </c>
      <c r="AG208" s="809">
        <f t="shared" ref="AG208:AG271" si="99">INDEX(Echel_vg,AH208)</f>
        <v>4</v>
      </c>
      <c r="AH208" s="176">
        <f t="shared" si="94"/>
        <v>10</v>
      </c>
      <c r="AI208" s="225">
        <f t="shared" si="95"/>
        <v>4.0771339028305009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IF(t&gt;Tmaj,'2025'!Wh/'2025'!Env_an*'2026'!Env_an,0.001*[9]mois!$B$153)</f>
        <v>44.951842522994355</v>
      </c>
      <c r="C209" s="839"/>
      <c r="D209" s="393">
        <f t="shared" si="77"/>
        <v>49.206168597976465</v>
      </c>
      <c r="E209" s="385">
        <f t="shared" si="75"/>
        <v>54.479674723280773</v>
      </c>
      <c r="F209" s="385">
        <f t="shared" si="78"/>
        <v>55.257654812625532</v>
      </c>
      <c r="G209" s="110">
        <f t="shared" si="76"/>
        <v>0.92941320634470237</v>
      </c>
      <c r="H209" s="414" t="b">
        <f>Wh_hp&gt;='2025'!Maxi_hp</f>
        <v>0</v>
      </c>
      <c r="I209" s="390">
        <f>IF(H209,Wh_hp,'2025'!Maxi_hp)</f>
        <v>60.641960912358456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8.6459202091931725E-2</v>
      </c>
      <c r="M209" s="843"/>
      <c r="N209" s="843"/>
      <c r="O209" s="48">
        <f>IF(t&lt;Tnet,'2025'!Resal+('2025'!Salim-'2025'!Resal)*(1-EXP(('2025'!Tnet-t)/('2025'!Tau_j))),Resal+(Salim-Resal)*(1-EXP((Tnet-t)/(Tau_j))))*Salcycl</f>
        <v>9.6797680090604188E-2</v>
      </c>
      <c r="P209" s="169">
        <f>(INDEX(Models!$BJ209:$BT209,,T209)*(1-R209)+INDEX(Models!$BJ209:$BT209,,T209+1)*R209-ERP_i)*Q209*Ramure*Pc/MaxiM</f>
        <v>1.5621916307026263E-2</v>
      </c>
      <c r="Q209" s="305">
        <f t="shared" si="80"/>
        <v>0.8</v>
      </c>
      <c r="R209" s="177">
        <f t="shared" si="81"/>
        <v>0.88039189862335654</v>
      </c>
      <c r="S209" s="809">
        <f t="shared" si="82"/>
        <v>2</v>
      </c>
      <c r="T209" s="176">
        <f t="shared" si="83"/>
        <v>8</v>
      </c>
      <c r="U209" s="251">
        <f t="shared" si="84"/>
        <v>2.8803918986233565</v>
      </c>
      <c r="V209" s="383">
        <f t="shared" si="85"/>
        <v>48.290148127268985</v>
      </c>
      <c r="W209" s="402">
        <f t="shared" si="86"/>
        <v>44.951842522994355</v>
      </c>
      <c r="X209" s="157">
        <f t="shared" si="87"/>
        <v>46217</v>
      </c>
      <c r="Y209" s="385">
        <f t="shared" si="88"/>
        <v>41.618361772138144</v>
      </c>
      <c r="Z209" s="385">
        <f t="shared" si="89"/>
        <v>45.557201022045973</v>
      </c>
      <c r="AA209" s="386">
        <f t="shared" si="90"/>
        <v>53.954293023301915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0.15563343583483488</v>
      </c>
      <c r="AD209" s="231">
        <f>(INDEX(Models!$BJ209:$BT209,,AH209)*(1-AF209)+INDEX(Models!$BJ209:$BT209,,AH209+1)*AF209-ERP_i)*AE209*Ramure*Pc/MaxiM</f>
        <v>2.6171632242848564E-2</v>
      </c>
      <c r="AE209" s="305">
        <f t="shared" si="92"/>
        <v>0.8</v>
      </c>
      <c r="AF209" s="177">
        <f t="shared" si="93"/>
        <v>8.1108645788259714E-2</v>
      </c>
      <c r="AG209" s="809">
        <f t="shared" si="99"/>
        <v>4</v>
      </c>
      <c r="AH209" s="176">
        <f t="shared" si="94"/>
        <v>10</v>
      </c>
      <c r="AI209" s="225">
        <f t="shared" si="95"/>
        <v>4.0811086457882597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IF(t&gt;Tmaj,'2025'!Wh/'2025'!Env_an*'2026'!Env_an,0.001*[9]mois!$B$154)</f>
        <v>43.456455123296756</v>
      </c>
      <c r="C210" s="839"/>
      <c r="D210" s="393">
        <f t="shared" si="77"/>
        <v>47.570387565361422</v>
      </c>
      <c r="E210" s="385">
        <f t="shared" si="75"/>
        <v>52.67652366025434</v>
      </c>
      <c r="F210" s="385">
        <f t="shared" si="78"/>
        <v>53.391526317671222</v>
      </c>
      <c r="G210" s="110">
        <f t="shared" si="76"/>
        <v>0.90030394256627133</v>
      </c>
      <c r="H210" s="414" t="b">
        <f>Wh_hp&gt;='2025'!Maxi_hp</f>
        <v>0</v>
      </c>
      <c r="I210" s="390">
        <f>IF(H210,Wh_hp,'2025'!Maxi_hp)</f>
        <v>61.822480130513313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8.6480952807293204E-2</v>
      </c>
      <c r="M210" s="843"/>
      <c r="N210" s="843"/>
      <c r="O210" s="48">
        <f>IF(t&lt;Tnet,'2025'!Resal+('2025'!Salim-'2025'!Resal)*(1-EXP(('2025'!Tnet-t)/('2025'!Tau_j))),Resal+(Salim-Resal)*(1-EXP((Tnet-t)/(Tau_j))))*Salcycl</f>
        <v>9.6933809220702466E-2</v>
      </c>
      <c r="P210" s="169">
        <f>(INDEX(Models!$BJ210:$BT210,,T210)*(1-R210)+INDEX(Models!$BJ210:$BT210,,T210+1)*R210-ERP_i)*Q210*Ramure*Pc/MaxiM</f>
        <v>1.5564211779263785E-2</v>
      </c>
      <c r="Q210" s="305">
        <f t="shared" si="80"/>
        <v>0.8</v>
      </c>
      <c r="R210" s="177">
        <f t="shared" si="81"/>
        <v>0.88426928390953918</v>
      </c>
      <c r="S210" s="809">
        <f t="shared" si="82"/>
        <v>2</v>
      </c>
      <c r="T210" s="176">
        <f t="shared" si="83"/>
        <v>8</v>
      </c>
      <c r="U210" s="251">
        <f t="shared" si="84"/>
        <v>2.8842692839095392</v>
      </c>
      <c r="V210" s="383">
        <f t="shared" si="85"/>
        <v>48.162360969766681</v>
      </c>
      <c r="W210" s="402">
        <f t="shared" si="86"/>
        <v>43.456455123296756</v>
      </c>
      <c r="X210" s="157">
        <f t="shared" si="87"/>
        <v>46218</v>
      </c>
      <c r="Y210" s="385">
        <f t="shared" si="88"/>
        <v>40.246778989523534</v>
      </c>
      <c r="Z210" s="385">
        <f t="shared" si="89"/>
        <v>44.056858051514141</v>
      </c>
      <c r="AA210" s="386">
        <f t="shared" si="90"/>
        <v>52.181054546201651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0.15569245515140487</v>
      </c>
      <c r="AD210" s="231">
        <f>(INDEX(Models!$BJ210:$BT210,,AH210)*(1-AF210)+INDEX(Models!$BJ210:$BT210,,AH210+1)*AF210-ERP_i)*AE210*Ramure*Pc/MaxiM</f>
        <v>2.6349606967947834E-2</v>
      </c>
      <c r="AE210" s="305">
        <f t="shared" si="92"/>
        <v>0.8</v>
      </c>
      <c r="AF210" s="177">
        <f t="shared" si="93"/>
        <v>8.4986031074443247E-2</v>
      </c>
      <c r="AG210" s="809">
        <f t="shared" si="99"/>
        <v>4</v>
      </c>
      <c r="AH210" s="176">
        <f t="shared" si="94"/>
        <v>10</v>
      </c>
      <c r="AI210" s="225">
        <f t="shared" si="95"/>
        <v>4.0849860310744432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IF(t&gt;Tmaj,'2025'!Wh/'2025'!Env_an*'2026'!Env_an,0.001*[9]mois!$B$155)</f>
        <v>45.048607147762759</v>
      </c>
      <c r="C211" s="839"/>
      <c r="D211" s="393">
        <f t="shared" si="77"/>
        <v>49.314439458681441</v>
      </c>
      <c r="E211" s="385">
        <f t="shared" si="75"/>
        <v>54.615951347415695</v>
      </c>
      <c r="F211" s="385">
        <f t="shared" si="78"/>
        <v>55.398696777378035</v>
      </c>
      <c r="G211" s="110">
        <f t="shared" si="76"/>
        <v>0.93657586869459442</v>
      </c>
      <c r="H211" s="414" t="b">
        <f>Wh_hp&gt;='2025'!Maxi_hp</f>
        <v>0</v>
      </c>
      <c r="I211" s="390">
        <f>IF(H211,Wh_hp,'2025'!Maxi_hp)</f>
        <v>59.884372222442117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8.650270301648369E-2</v>
      </c>
      <c r="M211" s="843"/>
      <c r="N211" s="843"/>
      <c r="O211" s="48">
        <f>IF(t&lt;Tnet,'2025'!Resal+('2025'!Salim-'2025'!Resal)*(1-EXP(('2025'!Tnet-t)/('2025'!Tau_j))),Resal+(Salim-Resal)*(1-EXP((Tnet-t)/(Tau_j))))*Salcycl</f>
        <v>9.706892872763466E-2</v>
      </c>
      <c r="P211" s="169">
        <f>(INDEX(Models!$BJ211:$BT211,,T211)*(1-R211)+INDEX(Models!$BJ211:$BT211,,T211+1)*R211-ERP_i)*Q211*Ramure*Pc/MaxiM</f>
        <v>1.5505179568693508E-2</v>
      </c>
      <c r="Q211" s="305">
        <f t="shared" si="80"/>
        <v>0.8</v>
      </c>
      <c r="R211" s="177">
        <f t="shared" si="81"/>
        <v>0.88804969114314902</v>
      </c>
      <c r="S211" s="809">
        <f t="shared" si="82"/>
        <v>2</v>
      </c>
      <c r="T211" s="176">
        <f t="shared" si="83"/>
        <v>8</v>
      </c>
      <c r="U211" s="251">
        <f t="shared" si="84"/>
        <v>2.888049691143149</v>
      </c>
      <c r="V211" s="383">
        <f t="shared" si="85"/>
        <v>48.03213428952354</v>
      </c>
      <c r="W211" s="402">
        <f t="shared" si="86"/>
        <v>45.048607147762759</v>
      </c>
      <c r="X211" s="157">
        <f t="shared" si="87"/>
        <v>46219</v>
      </c>
      <c r="Y211" s="385">
        <f t="shared" si="88"/>
        <v>41.691403008575641</v>
      </c>
      <c r="Z211" s="385">
        <f t="shared" si="89"/>
        <v>45.639328267577724</v>
      </c>
      <c r="AA211" s="386">
        <f t="shared" si="90"/>
        <v>54.05902397858943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0.15575005043277146</v>
      </c>
      <c r="AD211" s="231">
        <f>(INDEX(Models!$BJ211:$BT211,,AH211)*(1-AF211)+INDEX(Models!$BJ211:$BT211,,AH211+1)*AF211-ERP_i)*AE211*Ramure*Pc/MaxiM</f>
        <v>2.6537193975710624E-2</v>
      </c>
      <c r="AE211" s="305">
        <f t="shared" si="92"/>
        <v>0.8</v>
      </c>
      <c r="AF211" s="177">
        <f t="shared" si="93"/>
        <v>8.8766438308052642E-2</v>
      </c>
      <c r="AG211" s="809">
        <f t="shared" si="99"/>
        <v>4</v>
      </c>
      <c r="AH211" s="176">
        <f t="shared" si="94"/>
        <v>10</v>
      </c>
      <c r="AI211" s="225">
        <f t="shared" si="95"/>
        <v>4.0887664383080526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IF(t&gt;Tmaj,'2025'!Wh/'2025'!Env_an*'2026'!Env_an,0.001*[9]mois!$B$156)</f>
        <v>44.493007344327737</v>
      </c>
      <c r="C212" s="839"/>
      <c r="D212" s="393">
        <f t="shared" si="77"/>
        <v>48.707387380853497</v>
      </c>
      <c r="E212" s="385">
        <f t="shared" si="75"/>
        <v>53.951654582231512</v>
      </c>
      <c r="F212" s="385">
        <f t="shared" si="78"/>
        <v>54.711356528344858</v>
      </c>
      <c r="G212" s="110">
        <f t="shared" si="76"/>
        <v>0.92740923490614124</v>
      </c>
      <c r="H212" s="414" t="b">
        <f>Wh_hp&gt;='2025'!Maxi_hp</f>
        <v>0</v>
      </c>
      <c r="I212" s="390">
        <f>IF(H212,Wh_hp,'2025'!Maxi_hp)</f>
        <v>59.284108427339568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8.652445271951506E-2</v>
      </c>
      <c r="M212" s="843"/>
      <c r="N212" s="843"/>
      <c r="O212" s="48">
        <f>IF(t&lt;Tnet,'2025'!Resal+('2025'!Salim-'2025'!Resal)*(1-EXP(('2025'!Tnet-t)/('2025'!Tau_j))),Resal+(Salim-Resal)*(1-EXP((Tnet-t)/(Tau_j))))*Salcycl</f>
        <v>9.7203083797640796E-2</v>
      </c>
      <c r="P212" s="169">
        <f>(INDEX(Models!$BJ212:$BT212,,T212)*(1-R212)+INDEX(Models!$BJ212:$BT212,,T212+1)*R212-ERP_i)*Q212*Ramure*Pc/MaxiM</f>
        <v>1.5455758453774964E-2</v>
      </c>
      <c r="Q212" s="305">
        <f t="shared" si="80"/>
        <v>0.8</v>
      </c>
      <c r="R212" s="177">
        <f t="shared" si="81"/>
        <v>0.89173364082304074</v>
      </c>
      <c r="S212" s="809">
        <f t="shared" si="82"/>
        <v>2</v>
      </c>
      <c r="T212" s="176">
        <f t="shared" si="83"/>
        <v>8</v>
      </c>
      <c r="U212" s="251">
        <f t="shared" si="84"/>
        <v>2.8917336408230407</v>
      </c>
      <c r="V212" s="383">
        <f t="shared" si="85"/>
        <v>47.899204008953753</v>
      </c>
      <c r="W212" s="402">
        <f t="shared" si="86"/>
        <v>44.493007344327737</v>
      </c>
      <c r="X212" s="157">
        <f t="shared" si="87"/>
        <v>46220</v>
      </c>
      <c r="Y212" s="385">
        <f t="shared" si="88"/>
        <v>41.176443278455757</v>
      </c>
      <c r="Z212" s="385">
        <f t="shared" si="89"/>
        <v>45.076678189189039</v>
      </c>
      <c r="AA212" s="386">
        <f t="shared" si="90"/>
        <v>53.396131816965514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0.15580629803474155</v>
      </c>
      <c r="AD212" s="231">
        <f>(INDEX(Models!$BJ212:$BT212,,AH212)*(1-AF212)+INDEX(Models!$BJ212:$BT212,,AH212+1)*AF212-ERP_i)*AE212*Ramure*Pc/MaxiM</f>
        <v>2.6757592968548415E-2</v>
      </c>
      <c r="AE212" s="305">
        <f t="shared" si="92"/>
        <v>0.8</v>
      </c>
      <c r="AF212" s="177">
        <f t="shared" si="93"/>
        <v>9.245038798794436E-2</v>
      </c>
      <c r="AG212" s="809">
        <f t="shared" si="99"/>
        <v>4</v>
      </c>
      <c r="AH212" s="176">
        <f t="shared" si="94"/>
        <v>10</v>
      </c>
      <c r="AI212" s="225">
        <f t="shared" si="95"/>
        <v>4.0924503879879444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IF(t&gt;Tmaj,'2025'!Wh/'2025'!Env_an*'2026'!Env_an,0.001*[9]mois!$B$157)</f>
        <v>44.577261982747544</v>
      </c>
      <c r="C213" s="839"/>
      <c r="D213" s="393">
        <f t="shared" si="77"/>
        <v>48.80078453477266</v>
      </c>
      <c r="E213" s="385">
        <f t="shared" si="75"/>
        <v>54.063086347652927</v>
      </c>
      <c r="F213" s="385">
        <f t="shared" si="78"/>
        <v>54.82792025840056</v>
      </c>
      <c r="G213" s="110">
        <f t="shared" si="76"/>
        <v>0.93189689429656364</v>
      </c>
      <c r="H213" s="414" t="b">
        <f>Wh_hp&gt;='2025'!Maxi_hp</f>
        <v>0</v>
      </c>
      <c r="I213" s="390">
        <f>IF(H213,Wh_hp,'2025'!Maxi_hp)</f>
        <v>54.898695193030804</v>
      </c>
      <c r="J213" s="85">
        <f>IF(H213,An,'2025'!An_max)</f>
        <v>2022</v>
      </c>
      <c r="K213" s="197">
        <f t="shared" si="79"/>
        <v>46221</v>
      </c>
      <c r="L213" s="147">
        <f>IF(t&lt;Tvie,1-EXP((T0-t)*PertePVj)+'2025'!Pspv,1-EXP((T0-t)*PertePVj)+Pspv)</f>
        <v>8.6546201916399085E-2</v>
      </c>
      <c r="M213" s="843"/>
      <c r="N213" s="843"/>
      <c r="O213" s="48">
        <f>IF(t&lt;Tnet,'2025'!Resal+('2025'!Salim-'2025'!Resal)*(1-EXP(('2025'!Tnet-t)/('2025'!Tau_j))),Resal+(Salim-Resal)*(1-EXP((Tnet-t)/(Tau_j))))*Salcycl</f>
        <v>9.7336318889399184E-2</v>
      </c>
      <c r="P213" s="169">
        <f>(INDEX(Models!$BJ213:$BT213,,T213)*(1-R213)+INDEX(Models!$BJ213:$BT213,,T213+1)*R213-ERP_i)*Q213*Ramure*Pc/MaxiM</f>
        <v>1.5419216492748276E-2</v>
      </c>
      <c r="Q213" s="305">
        <f t="shared" si="80"/>
        <v>0.8</v>
      </c>
      <c r="R213" s="177">
        <f t="shared" si="81"/>
        <v>0.89532178592258926</v>
      </c>
      <c r="S213" s="809">
        <f t="shared" si="82"/>
        <v>2</v>
      </c>
      <c r="T213" s="176">
        <f t="shared" si="83"/>
        <v>8</v>
      </c>
      <c r="U213" s="251">
        <f t="shared" si="84"/>
        <v>2.8953217859225893</v>
      </c>
      <c r="V213" s="383">
        <f t="shared" si="85"/>
        <v>47.763684180185052</v>
      </c>
      <c r="W213" s="402">
        <f t="shared" si="86"/>
        <v>44.577261982747544</v>
      </c>
      <c r="X213" s="157">
        <f t="shared" si="87"/>
        <v>46221</v>
      </c>
      <c r="Y213" s="385">
        <f t="shared" si="88"/>
        <v>41.243722794930775</v>
      </c>
      <c r="Z213" s="385">
        <f t="shared" si="89"/>
        <v>45.151405447608717</v>
      </c>
      <c r="AA213" s="386">
        <f t="shared" si="90"/>
        <v>53.488134111008975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0.15586127282171153</v>
      </c>
      <c r="AD213" s="231">
        <f>(INDEX(Models!$BJ213:$BT213,,AH213)*(1-AF213)+INDEX(Models!$BJ213:$BT213,,AH213+1)*AF213-ERP_i)*AE213*Ramure*Pc/MaxiM</f>
        <v>2.7010377508526418E-2</v>
      </c>
      <c r="AE213" s="305">
        <f t="shared" si="92"/>
        <v>0.8</v>
      </c>
      <c r="AF213" s="177">
        <f t="shared" si="93"/>
        <v>9.6038533087492439E-2</v>
      </c>
      <c r="AG213" s="809">
        <f t="shared" si="99"/>
        <v>4</v>
      </c>
      <c r="AH213" s="176">
        <f t="shared" si="94"/>
        <v>10</v>
      </c>
      <c r="AI213" s="225">
        <f t="shared" si="95"/>
        <v>4.0960385330874924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IF(t&gt;Tmaj,'2025'!Wh/'2025'!Env_an*'2026'!Env_an,0.001*[9]mois!$B$158)</f>
        <v>37.905412097427295</v>
      </c>
      <c r="C214" s="839"/>
      <c r="D214" s="393">
        <f t="shared" si="77"/>
        <v>41.49779080186925</v>
      </c>
      <c r="E214" s="385">
        <f t="shared" si="75"/>
        <v>45.979335860740903</v>
      </c>
      <c r="F214" s="385">
        <f t="shared" si="78"/>
        <v>46.486357050151263</v>
      </c>
      <c r="G214" s="110">
        <f t="shared" si="76"/>
        <v>0.79228805050276507</v>
      </c>
      <c r="H214" s="414" t="b">
        <f>Wh_hp&gt;='2025'!Maxi_hp</f>
        <v>0</v>
      </c>
      <c r="I214" s="390">
        <f>IF(H214,Wh_hp,'2025'!Maxi_hp)</f>
        <v>58.756624023834831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8.6567950607147531E-2</v>
      </c>
      <c r="M214" s="843"/>
      <c r="N214" s="843"/>
      <c r="O214" s="48">
        <f>IF(t&lt;Tnet,'2025'!Resal+('2025'!Salim-'2025'!Resal)*(1-EXP(('2025'!Tnet-t)/('2025'!Tau_j))),Resal+(Salim-Resal)*(1-EXP((Tnet-t)/(Tau_j))))*Salcycl</f>
        <v>9.7468677504282702E-2</v>
      </c>
      <c r="P214" s="169">
        <f>(INDEX(Models!$BJ214:$BT214,,T214)*(1-R214)+INDEX(Models!$BJ214:$BT214,,T214+1)*R214-ERP_i)*Q214*Ramure*Pc/MaxiM</f>
        <v>1.5395872994578407E-2</v>
      </c>
      <c r="Q214" s="305">
        <f t="shared" si="80"/>
        <v>0.8</v>
      </c>
      <c r="R214" s="177">
        <f t="shared" si="81"/>
        <v>0.89881490344126558</v>
      </c>
      <c r="S214" s="809">
        <f t="shared" si="82"/>
        <v>2</v>
      </c>
      <c r="T214" s="176">
        <f t="shared" si="83"/>
        <v>8</v>
      </c>
      <c r="U214" s="251">
        <f t="shared" si="84"/>
        <v>2.8988149034412656</v>
      </c>
      <c r="V214" s="383">
        <f t="shared" si="85"/>
        <v>47.625833374918535</v>
      </c>
      <c r="W214" s="402">
        <f t="shared" si="86"/>
        <v>37.905412097427295</v>
      </c>
      <c r="X214" s="157">
        <f t="shared" si="87"/>
        <v>46222</v>
      </c>
      <c r="Y214" s="385">
        <f t="shared" si="88"/>
        <v>35.148570245185958</v>
      </c>
      <c r="Z214" s="385">
        <f t="shared" si="89"/>
        <v>38.479677025290272</v>
      </c>
      <c r="AA214" s="386">
        <f t="shared" si="90"/>
        <v>45.587445819733155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0.15591504780831977</v>
      </c>
      <c r="AD214" s="231">
        <f>(INDEX(Models!$BJ214:$BT214,,AH214)*(1-AF214)+INDEX(Models!$BJ214:$BT214,,AH214+1)*AF214-ERP_i)*AE214*Ramure*Pc/MaxiM</f>
        <v>2.7295749025818827E-2</v>
      </c>
      <c r="AE214" s="305">
        <f t="shared" si="92"/>
        <v>0.8</v>
      </c>
      <c r="AF214" s="177">
        <f t="shared" si="93"/>
        <v>9.9531650606168753E-2</v>
      </c>
      <c r="AG214" s="809">
        <f t="shared" si="99"/>
        <v>4</v>
      </c>
      <c r="AH214" s="176">
        <f t="shared" si="94"/>
        <v>10</v>
      </c>
      <c r="AI214" s="225">
        <f t="shared" si="95"/>
        <v>4.0995316506061688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IF(t&gt;Tmaj,'2025'!Wh/'2025'!Env_an*'2026'!Env_an,0.001*[9]mois!$B$159)</f>
        <v>36.565064760350097</v>
      </c>
      <c r="C215" s="839"/>
      <c r="D215" s="393">
        <f t="shared" si="77"/>
        <v>40.031368939000444</v>
      </c>
      <c r="E215" s="385">
        <f t="shared" si="75"/>
        <v>44.361012742308517</v>
      </c>
      <c r="F215" s="385">
        <f t="shared" si="78"/>
        <v>44.824092564716914</v>
      </c>
      <c r="G215" s="110">
        <f t="shared" si="76"/>
        <v>0.76608616252491446</v>
      </c>
      <c r="H215" s="414" t="b">
        <f>Wh_hp&gt;='2025'!Maxi_hp</f>
        <v>0</v>
      </c>
      <c r="I215" s="390">
        <f>IF(H215,Wh_hp,'2025'!Maxi_hp)</f>
        <v>56.850317250869089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8.6589698791772057E-2</v>
      </c>
      <c r="M215" s="843"/>
      <c r="N215" s="843"/>
      <c r="O215" s="48">
        <f>IF(t&lt;Tnet,'2025'!Resal+('2025'!Salim-'2025'!Resal)*(1-EXP(('2025'!Tnet-t)/('2025'!Tau_j))),Resal+(Salim-Resal)*(1-EXP((Tnet-t)/(Tau_j))))*Salcycl</f>
        <v>9.7600201971465655E-2</v>
      </c>
      <c r="P215" s="169">
        <f>(INDEX(Models!$BJ215:$BT215,,T215)*(1-R215)+INDEX(Models!$BJ215:$BT215,,T215+1)*R215-ERP_i)*Q215*Ramure*Pc/MaxiM</f>
        <v>1.538603659948309E-2</v>
      </c>
      <c r="Q215" s="305">
        <f t="shared" si="80"/>
        <v>0.8</v>
      </c>
      <c r="R215" s="177">
        <f t="shared" si="81"/>
        <v>0.90221388596378782</v>
      </c>
      <c r="S215" s="809">
        <f t="shared" si="82"/>
        <v>2</v>
      </c>
      <c r="T215" s="176">
        <f t="shared" si="83"/>
        <v>8</v>
      </c>
      <c r="U215" s="251">
        <f t="shared" si="84"/>
        <v>2.9022138859637878</v>
      </c>
      <c r="V215" s="383">
        <f t="shared" si="85"/>
        <v>47.485910916066864</v>
      </c>
      <c r="W215" s="402">
        <f t="shared" si="86"/>
        <v>36.565064760350097</v>
      </c>
      <c r="X215" s="157">
        <f t="shared" si="87"/>
        <v>46223</v>
      </c>
      <c r="Y215" s="385">
        <f t="shared" si="88"/>
        <v>33.916295625031623</v>
      </c>
      <c r="Z215" s="385">
        <f t="shared" si="89"/>
        <v>37.13150112295461</v>
      </c>
      <c r="AA215" s="386">
        <f t="shared" si="90"/>
        <v>43.99298563737873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0.15596769382695064</v>
      </c>
      <c r="AD215" s="231">
        <f>(INDEX(Models!$BJ215:$BT215,,AH215)*(1-AF215)+INDEX(Models!$BJ215:$BT215,,AH215+1)*AF215-ERP_i)*AE215*Ramure*Pc/MaxiM</f>
        <v>2.7613903658345561E-2</v>
      </c>
      <c r="AE215" s="305">
        <f t="shared" si="92"/>
        <v>0.8</v>
      </c>
      <c r="AF215" s="177">
        <f t="shared" si="93"/>
        <v>0.10293063312869144</v>
      </c>
      <c r="AG215" s="809">
        <f t="shared" si="99"/>
        <v>4</v>
      </c>
      <c r="AH215" s="176">
        <f t="shared" si="94"/>
        <v>10</v>
      </c>
      <c r="AI215" s="225">
        <f t="shared" si="95"/>
        <v>4.1029306331286914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IF(t&gt;Tmaj,'2025'!Wh/'2025'!Env_an*'2026'!Env_an,0.001*[9]mois!$B$160)</f>
        <v>43.324606153818607</v>
      </c>
      <c r="C216" s="839"/>
      <c r="D216" s="393">
        <f t="shared" si="77"/>
        <v>47.432832376094716</v>
      </c>
      <c r="E216" s="385">
        <f t="shared" si="75"/>
        <v>52.570606844477176</v>
      </c>
      <c r="F216" s="385">
        <f t="shared" si="78"/>
        <v>53.291285897036637</v>
      </c>
      <c r="G216" s="110">
        <f t="shared" si="76"/>
        <v>0.9133673915760524</v>
      </c>
      <c r="H216" s="414" t="b">
        <f>Wh_hp&gt;='2025'!Maxi_hp</f>
        <v>0</v>
      </c>
      <c r="I216" s="390">
        <f>IF(H216,Wh_hp,'2025'!Maxi_hp)</f>
        <v>53.378703386572745</v>
      </c>
      <c r="J216" s="85">
        <f>IF(H216,An,'2025'!An_max)</f>
        <v>2022</v>
      </c>
      <c r="K216" s="197">
        <f t="shared" si="79"/>
        <v>46224</v>
      </c>
      <c r="L216" s="147">
        <f>IF(t&lt;Tvie,1-EXP((T0-t)*PertePVj)+'2025'!Pspv,1-EXP((T0-t)*PertePVj)+Pspv)</f>
        <v>8.6611446470284653E-2</v>
      </c>
      <c r="M216" s="843"/>
      <c r="N216" s="843"/>
      <c r="O216" s="48">
        <f>IF(t&lt;Tnet,'2025'!Resal+('2025'!Salim-'2025'!Resal)*(1-EXP(('2025'!Tnet-t)/('2025'!Tau_j))),Resal+(Salim-Resal)*(1-EXP((Tnet-t)/(Tau_j))))*Salcycl</f>
        <v>9.7730933249103411E-2</v>
      </c>
      <c r="P216" s="169">
        <f>(INDEX(Models!$BJ216:$BT216,,T216)*(1-R216)+INDEX(Models!$BJ216:$BT216,,T216+1)*R216-ERP_i)*Q216*Ramure*Pc/MaxiM</f>
        <v>1.5390004944884007E-2</v>
      </c>
      <c r="Q216" s="305">
        <f t="shared" si="80"/>
        <v>0.8</v>
      </c>
      <c r="R216" s="177">
        <f t="shared" si="81"/>
        <v>0.90551973327345969</v>
      </c>
      <c r="S216" s="809">
        <f t="shared" si="82"/>
        <v>2</v>
      </c>
      <c r="T216" s="176">
        <f t="shared" si="83"/>
        <v>8</v>
      </c>
      <c r="U216" s="251">
        <f t="shared" si="84"/>
        <v>2.9055197332734597</v>
      </c>
      <c r="V216" s="383">
        <f t="shared" si="85"/>
        <v>47.344176871209434</v>
      </c>
      <c r="W216" s="402">
        <f t="shared" si="86"/>
        <v>43.324606153818607</v>
      </c>
      <c r="X216" s="157">
        <f t="shared" si="87"/>
        <v>46224</v>
      </c>
      <c r="Y216" s="385">
        <f t="shared" si="88"/>
        <v>40.071810120488564</v>
      </c>
      <c r="Z216" s="385">
        <f t="shared" si="89"/>
        <v>43.871592177977632</v>
      </c>
      <c r="AA216" s="386">
        <f t="shared" si="90"/>
        <v>51.981746855046261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0.15601927922284339</v>
      </c>
      <c r="AD216" s="231">
        <f>(INDEX(Models!$BJ216:$BT216,,AH216)*(1-AF216)+INDEX(Models!$BJ216:$BT216,,AH216+1)*AF216-ERP_i)*AE216*Ramure*Pc/MaxiM</f>
        <v>2.7965031396674042E-2</v>
      </c>
      <c r="AE216" s="305">
        <f t="shared" si="92"/>
        <v>0.8</v>
      </c>
      <c r="AF216" s="177">
        <f t="shared" si="93"/>
        <v>0.10623648043836376</v>
      </c>
      <c r="AG216" s="809">
        <f t="shared" si="99"/>
        <v>4</v>
      </c>
      <c r="AH216" s="176">
        <f t="shared" si="94"/>
        <v>10</v>
      </c>
      <c r="AI216" s="225">
        <f t="shared" si="95"/>
        <v>4.1062364804383638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IF(t&gt;Tmaj,'2025'!Wh/'2025'!Env_an*'2026'!Env_an,0.001*[9]mois!$B$161)</f>
        <v>32.851197807924613</v>
      </c>
      <c r="C217" s="839"/>
      <c r="D217" s="393">
        <f t="shared" si="77"/>
        <v>35.967146582589343</v>
      </c>
      <c r="E217" s="385">
        <f t="shared" si="75"/>
        <v>39.868737549325367</v>
      </c>
      <c r="F217" s="385">
        <f t="shared" si="78"/>
        <v>40.219299889256739</v>
      </c>
      <c r="G217" s="110">
        <f t="shared" si="76"/>
        <v>0.6912884485007228</v>
      </c>
      <c r="H217" s="414" t="b">
        <f>Wh_hp&gt;='2025'!Maxi_hp</f>
        <v>0</v>
      </c>
      <c r="I217" s="390">
        <f>IF(H217,Wh_hp,'2025'!Maxi_hp)</f>
        <v>52.403107161067176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8.6633193642696976E-2</v>
      </c>
      <c r="M217" s="843"/>
      <c r="N217" s="843"/>
      <c r="O217" s="48">
        <f>IF(t&lt;Tnet,'2025'!Resal+('2025'!Salim-'2025'!Resal)*(1-EXP(('2025'!Tnet-t)/('2025'!Tau_j))),Resal+(Salim-Resal)*(1-EXP((Tnet-t)/(Tau_j))))*Salcycl</f>
        <v>9.7860910742633769E-2</v>
      </c>
      <c r="P217" s="169">
        <f>(INDEX(Models!$BJ217:$BT217,,T217)*(1-R217)+INDEX(Models!$BJ217:$BT217,,T217+1)*R217-ERP_i)*Q217*Ramure*Pc/MaxiM</f>
        <v>1.5408064343785681E-2</v>
      </c>
      <c r="Q217" s="305">
        <f t="shared" si="80"/>
        <v>0.8</v>
      </c>
      <c r="R217" s="177">
        <f t="shared" si="81"/>
        <v>0.90873354406219464</v>
      </c>
      <c r="S217" s="809">
        <f t="shared" si="82"/>
        <v>2</v>
      </c>
      <c r="T217" s="176">
        <f t="shared" si="83"/>
        <v>8</v>
      </c>
      <c r="U217" s="251">
        <f t="shared" si="84"/>
        <v>2.9087335440621946</v>
      </c>
      <c r="V217" s="383">
        <f t="shared" si="85"/>
        <v>47.200892036239999</v>
      </c>
      <c r="W217" s="402">
        <f t="shared" si="86"/>
        <v>32.851197807924613</v>
      </c>
      <c r="X217" s="157">
        <f t="shared" si="87"/>
        <v>46225</v>
      </c>
      <c r="Y217" s="385">
        <f t="shared" si="88"/>
        <v>30.504573473942251</v>
      </c>
      <c r="Z217" s="385">
        <f t="shared" si="89"/>
        <v>33.397944026016056</v>
      </c>
      <c r="AA217" s="386">
        <f t="shared" si="90"/>
        <v>39.574299840825049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0.15606986957827199</v>
      </c>
      <c r="AD217" s="231">
        <f>(INDEX(Models!$BJ217:$BT217,,AH217)*(1-AF217)+INDEX(Models!$BJ217:$BT217,,AH217+1)*AF217-ERP_i)*AE217*Ramure*Pc/MaxiM</f>
        <v>2.8349315131585024E-2</v>
      </c>
      <c r="AE217" s="305">
        <f t="shared" si="92"/>
        <v>0.8</v>
      </c>
      <c r="AF217" s="177">
        <f t="shared" si="93"/>
        <v>0.10945029122709826</v>
      </c>
      <c r="AG217" s="809">
        <f t="shared" si="99"/>
        <v>4</v>
      </c>
      <c r="AH217" s="176">
        <f t="shared" si="94"/>
        <v>10</v>
      </c>
      <c r="AI217" s="225">
        <f t="shared" si="95"/>
        <v>4.1094502912270983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IF(t&gt;Tmaj,'2025'!Wh/'2025'!Env_an*'2026'!Env_an,0.001*[9]mois!$B$162)</f>
        <v>41.501242335786571</v>
      </c>
      <c r="C218" s="839"/>
      <c r="D218" s="393">
        <f t="shared" si="77"/>
        <v>45.43873303461902</v>
      </c>
      <c r="E218" s="385">
        <f t="shared" si="75"/>
        <v>50.37498664784551</v>
      </c>
      <c r="F218" s="385">
        <f t="shared" si="78"/>
        <v>51.030034967160532</v>
      </c>
      <c r="G218" s="110">
        <f t="shared" si="76"/>
        <v>0.87962193290604429</v>
      </c>
      <c r="H218" s="414" t="b">
        <f>Wh_hp&gt;='2025'!Maxi_hp</f>
        <v>0</v>
      </c>
      <c r="I218" s="390">
        <f>IF(H218,Wh_hp,'2025'!Maxi_hp)</f>
        <v>54.77401411835254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8.6654940309020906E-2</v>
      </c>
      <c r="M218" s="843"/>
      <c r="N218" s="843"/>
      <c r="O218" s="48">
        <f>IF(t&lt;Tnet,'2025'!Resal+('2025'!Salim-'2025'!Resal)*(1-EXP(('2025'!Tnet-t)/('2025'!Tau_j))),Resal+(Salim-Resal)*(1-EXP((Tnet-t)/(Tau_j))))*Salcycl</f>
        <v>9.7990172141070031E-2</v>
      </c>
      <c r="P218" s="169">
        <f>(INDEX(Models!$BJ218:$BT218,,T218)*(1-R218)+INDEX(Models!$BJ218:$BT218,,T218+1)*R218-ERP_i)*Q218*Ramure*Pc/MaxiM</f>
        <v>1.5440489465462819E-2</v>
      </c>
      <c r="Q218" s="305">
        <f t="shared" si="80"/>
        <v>0.8</v>
      </c>
      <c r="R218" s="177">
        <f t="shared" si="81"/>
        <v>0.91185650777555338</v>
      </c>
      <c r="S218" s="809">
        <f t="shared" si="82"/>
        <v>2</v>
      </c>
      <c r="T218" s="176">
        <f t="shared" si="83"/>
        <v>8</v>
      </c>
      <c r="U218" s="251">
        <f t="shared" si="84"/>
        <v>2.9118565077755534</v>
      </c>
      <c r="V218" s="383">
        <f t="shared" si="85"/>
        <v>47.056317917643234</v>
      </c>
      <c r="W218" s="402">
        <f t="shared" si="86"/>
        <v>41.501242335786571</v>
      </c>
      <c r="X218" s="157">
        <f t="shared" si="87"/>
        <v>46226</v>
      </c>
      <c r="Y218" s="385">
        <f t="shared" si="88"/>
        <v>38.390970641690821</v>
      </c>
      <c r="Z218" s="385">
        <f t="shared" si="89"/>
        <v>42.033369792003924</v>
      </c>
      <c r="AA218" s="386">
        <f t="shared" si="90"/>
        <v>49.809624893717967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0.15611952746696528</v>
      </c>
      <c r="AD218" s="231">
        <f>(INDEX(Models!$BJ218:$BT218,,AH218)*(1-AF218)+INDEX(Models!$BJ218:$BT218,,AH218+1)*AF218-ERP_i)*AE218*Ramure*Pc/MaxiM</f>
        <v>2.8766929594200748E-2</v>
      </c>
      <c r="AE218" s="305">
        <f t="shared" si="92"/>
        <v>0.8</v>
      </c>
      <c r="AF218" s="177">
        <f t="shared" si="93"/>
        <v>0.11257325494045656</v>
      </c>
      <c r="AG218" s="809">
        <f t="shared" si="99"/>
        <v>4</v>
      </c>
      <c r="AH218" s="176">
        <f t="shared" si="94"/>
        <v>10</v>
      </c>
      <c r="AI218" s="225">
        <f t="shared" si="95"/>
        <v>4.1125732549404566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IF(t&gt;Tmaj,'2025'!Wh/'2025'!Env_an*'2026'!Env_an,0.001*[9]mois!$B$163)</f>
        <v>43.056338467386112</v>
      </c>
      <c r="C219" s="839"/>
      <c r="D219" s="393">
        <f t="shared" si="77"/>
        <v>47.142493604962965</v>
      </c>
      <c r="E219" s="385">
        <f t="shared" si="75"/>
        <v>52.271287130088211</v>
      </c>
      <c r="F219" s="385">
        <f t="shared" si="78"/>
        <v>52.995715086403138</v>
      </c>
      <c r="G219" s="110">
        <f t="shared" si="76"/>
        <v>0.91614207925818347</v>
      </c>
      <c r="H219" s="414" t="b">
        <f>Wh_hp&gt;='2025'!Maxi_hp</f>
        <v>0</v>
      </c>
      <c r="I219" s="390">
        <f>IF(H219,Wh_hp,'2025'!Maxi_hp)</f>
        <v>54.951989772892752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8.6676686469268099E-2</v>
      </c>
      <c r="M219" s="843"/>
      <c r="N219" s="843"/>
      <c r="O219" s="48">
        <f>IF(t&lt;Tnet,'2025'!Resal+('2025'!Salim-'2025'!Resal)*(1-EXP(('2025'!Tnet-t)/('2025'!Tau_j))),Resal+(Salim-Resal)*(1-EXP((Tnet-t)/(Tau_j))))*Salcycl</f>
        <v>9.8118753271966522E-2</v>
      </c>
      <c r="P219" s="169">
        <f>(INDEX(Models!$BJ219:$BT219,,T219)*(1-R219)+INDEX(Models!$BJ219:$BT219,,T219+1)*R219-ERP_i)*Q219*Ramure*Pc/MaxiM</f>
        <v>1.548748330467549E-2</v>
      </c>
      <c r="Q219" s="305">
        <f t="shared" si="80"/>
        <v>0.8</v>
      </c>
      <c r="R219" s="177">
        <f t="shared" si="81"/>
        <v>0.91488989662700604</v>
      </c>
      <c r="S219" s="809">
        <f t="shared" si="82"/>
        <v>2</v>
      </c>
      <c r="T219" s="176">
        <f t="shared" si="83"/>
        <v>8</v>
      </c>
      <c r="U219" s="251">
        <f t="shared" si="84"/>
        <v>2.914889896627006</v>
      </c>
      <c r="V219" s="383">
        <f t="shared" si="85"/>
        <v>46.910824650023557</v>
      </c>
      <c r="W219" s="402">
        <f t="shared" si="86"/>
        <v>43.056338467386112</v>
      </c>
      <c r="X219" s="157">
        <f t="shared" si="87"/>
        <v>46227</v>
      </c>
      <c r="Y219" s="385">
        <f t="shared" si="88"/>
        <v>39.790048057085841</v>
      </c>
      <c r="Z219" s="385">
        <f t="shared" si="89"/>
        <v>43.566223994945645</v>
      </c>
      <c r="AA219" s="386">
        <f t="shared" si="90"/>
        <v>51.629044780927288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0.15616831223962899</v>
      </c>
      <c r="AD219" s="231">
        <f>(INDEX(Models!$BJ219:$BT219,,AH219)*(1-AF219)+INDEX(Models!$BJ219:$BT219,,AH219+1)*AF219-ERP_i)*AE219*Ramure*Pc/MaxiM</f>
        <v>2.9217927544821744E-2</v>
      </c>
      <c r="AE219" s="305">
        <f t="shared" si="92"/>
        <v>0.8</v>
      </c>
      <c r="AF219" s="177">
        <f t="shared" si="93"/>
        <v>0.11560664379190921</v>
      </c>
      <c r="AG219" s="809">
        <f t="shared" si="99"/>
        <v>4</v>
      </c>
      <c r="AH219" s="176">
        <f t="shared" si="94"/>
        <v>10</v>
      </c>
      <c r="AI219" s="225">
        <f t="shared" si="95"/>
        <v>4.1156066437919092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IF(t&gt;Tmaj,'2025'!Wh/'2025'!Env_an*'2026'!Env_an,0.001*[9]mois!$B$164)</f>
        <v>23.31354527917809</v>
      </c>
      <c r="C220" s="839"/>
      <c r="D220" s="393">
        <f t="shared" si="77"/>
        <v>25.526667312509602</v>
      </c>
      <c r="E220" s="385">
        <f t="shared" si="75"/>
        <v>28.307816530445326</v>
      </c>
      <c r="F220" s="385">
        <f t="shared" si="78"/>
        <v>28.433299825655105</v>
      </c>
      <c r="G220" s="110">
        <f t="shared" si="76"/>
        <v>0.49295604261806031</v>
      </c>
      <c r="H220" s="414" t="b">
        <f>Wh_hp&gt;='2025'!Maxi_hp</f>
        <v>0</v>
      </c>
      <c r="I220" s="390">
        <f>IF(H220,Wh_hp,'2025'!Maxi_hp)</f>
        <v>56.624993980258836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8.6698432123450325E-2</v>
      </c>
      <c r="M220" s="843"/>
      <c r="N220" s="843"/>
      <c r="O220" s="48">
        <f>IF(t&lt;Tnet,'2025'!Resal+('2025'!Salim-'2025'!Resal)*(1-EXP(('2025'!Tnet-t)/('2025'!Tau_j))),Resal+(Salim-Resal)*(1-EXP((Tnet-t)/(Tau_j))))*Salcycl</f>
        <v>9.8246687975548072E-2</v>
      </c>
      <c r="P220" s="169">
        <f>(INDEX(Models!$BJ220:$BT220,,T220)*(1-R220)+INDEX(Models!$BJ220:$BT220,,T220+1)*R220-ERP_i)*Q220*Ramure*Pc/MaxiM</f>
        <v>1.556013781489477E-2</v>
      </c>
      <c r="Q220" s="305">
        <f t="shared" si="80"/>
        <v>0.8</v>
      </c>
      <c r="R220" s="177">
        <f t="shared" si="81"/>
        <v>0.91783505781156771</v>
      </c>
      <c r="S220" s="809">
        <f t="shared" si="82"/>
        <v>2</v>
      </c>
      <c r="T220" s="176">
        <f t="shared" si="83"/>
        <v>8</v>
      </c>
      <c r="U220" s="251">
        <f t="shared" si="84"/>
        <v>2.9178350578115677</v>
      </c>
      <c r="V220" s="383">
        <f t="shared" si="85"/>
        <v>46.763844785658755</v>
      </c>
      <c r="W220" s="402">
        <f t="shared" si="86"/>
        <v>23.31354527917809</v>
      </c>
      <c r="X220" s="157">
        <f t="shared" si="87"/>
        <v>46228</v>
      </c>
      <c r="Y220" s="385">
        <f t="shared" si="88"/>
        <v>21.726722407523908</v>
      </c>
      <c r="Z220" s="385">
        <f t="shared" si="89"/>
        <v>23.789209579524879</v>
      </c>
      <c r="AA220" s="386">
        <f t="shared" si="90"/>
        <v>28.193492018364161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0.15621627984112443</v>
      </c>
      <c r="AD220" s="231">
        <f>(INDEX(Models!$BJ220:$BT220,,AH220)*(1-AF220)+INDEX(Models!$BJ220:$BT220,,AH220+1)*AF220-ERP_i)*AE220*Ramure*Pc/MaxiM</f>
        <v>2.9736567917639692E-2</v>
      </c>
      <c r="AE220" s="305">
        <f t="shared" si="92"/>
        <v>0.8</v>
      </c>
      <c r="AF220" s="177">
        <f t="shared" si="93"/>
        <v>0.11855180497647133</v>
      </c>
      <c r="AG220" s="809">
        <f t="shared" si="99"/>
        <v>4</v>
      </c>
      <c r="AH220" s="176">
        <f t="shared" si="94"/>
        <v>10</v>
      </c>
      <c r="AI220" s="225">
        <f t="shared" si="95"/>
        <v>4.1185518049764713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IF(t&gt;Tmaj,'2025'!Wh/'2025'!Env_an*'2026'!Env_an,0.001*[9]mois!$B$165)</f>
        <v>47.297581666892462</v>
      </c>
      <c r="C221" s="839"/>
      <c r="D221" s="393">
        <f t="shared" si="77"/>
        <v>51.788707567841683</v>
      </c>
      <c r="E221" s="385">
        <f t="shared" si="75"/>
        <v>57.439235367278449</v>
      </c>
      <c r="F221" s="385">
        <f t="shared" si="78"/>
        <v>58.352794111069478</v>
      </c>
      <c r="G221" s="110">
        <f t="shared" si="76"/>
        <v>1.0146396075179382</v>
      </c>
      <c r="H221" s="414" t="b">
        <f>Wh_hp&gt;='2025'!Maxi_hp</f>
        <v>1</v>
      </c>
      <c r="I221" s="390">
        <f>IF(H221,Wh_hp,'2025'!Maxi_hp)</f>
        <v>58.352794111069478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8.6720177271579463E-2</v>
      </c>
      <c r="M221" s="843"/>
      <c r="N221" s="843"/>
      <c r="O221" s="48">
        <f>IF(t&lt;Tnet,'2025'!Resal+('2025'!Salim-'2025'!Resal)*(1-EXP(('2025'!Tnet-t)/('2025'!Tau_j))),Resal+(Salim-Resal)*(1-EXP((Tnet-t)/(Tau_j))))*Salcycl</f>
        <v>9.8374007998297833E-2</v>
      </c>
      <c r="P221" s="169">
        <f>(INDEX(Models!$BJ221:$BT221,,T221)*(1-R221)+INDEX(Models!$BJ221:$BT221,,T221+1)*R221-ERP_i)*Q221*Ramure*Pc/MaxiM</f>
        <v>1.5655784058123186E-2</v>
      </c>
      <c r="Q221" s="305">
        <f t="shared" si="80"/>
        <v>0.8</v>
      </c>
      <c r="R221" s="177">
        <f t="shared" si="81"/>
        <v>0.92069340594499849</v>
      </c>
      <c r="S221" s="809">
        <f t="shared" si="82"/>
        <v>2</v>
      </c>
      <c r="T221" s="176">
        <f t="shared" si="83"/>
        <v>8</v>
      </c>
      <c r="U221" s="251">
        <f t="shared" si="84"/>
        <v>2.9206934059449985</v>
      </c>
      <c r="V221" s="383">
        <f t="shared" si="85"/>
        <v>46.615154106386761</v>
      </c>
      <c r="W221" s="402">
        <f t="shared" si="86"/>
        <v>47.297581666892462</v>
      </c>
      <c r="X221" s="157">
        <f t="shared" si="87"/>
        <v>46229</v>
      </c>
      <c r="Y221" s="385">
        <f t="shared" si="88"/>
        <v>43.601565883233441</v>
      </c>
      <c r="Z221" s="385">
        <f t="shared" si="89"/>
        <v>47.741737853108262</v>
      </c>
      <c r="AA221" s="386">
        <f t="shared" si="90"/>
        <v>56.583704594883592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0.1562634826595436</v>
      </c>
      <c r="AD221" s="231">
        <f>(INDEX(Models!$BJ221:$BT221,,AH221)*(1-AF221)+INDEX(Models!$BJ221:$BT221,,AH221+1)*AF221-ERP_i)*AE221*Ramure*Pc/MaxiM</f>
        <v>3.03171346485753E-2</v>
      </c>
      <c r="AE221" s="305">
        <f t="shared" si="92"/>
        <v>0.8</v>
      </c>
      <c r="AF221" s="177">
        <f t="shared" si="93"/>
        <v>0.12141015310990255</v>
      </c>
      <c r="AG221" s="809">
        <f t="shared" si="99"/>
        <v>4</v>
      </c>
      <c r="AH221" s="176">
        <f t="shared" si="94"/>
        <v>10</v>
      </c>
      <c r="AI221" s="225">
        <f t="shared" si="95"/>
        <v>4.1214101531099026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IF(t&gt;Tmaj,'2025'!Wh/'2025'!Env_an*'2026'!Env_an,0.001*[9]mois!$B$166)</f>
        <v>46.285721836905026</v>
      </c>
      <c r="C222" s="839"/>
      <c r="D222" s="393">
        <f t="shared" si="77"/>
        <v>50.681973636514066</v>
      </c>
      <c r="E222" s="385">
        <f t="shared" si="75"/>
        <v>56.219651028769889</v>
      </c>
      <c r="F222" s="385">
        <f t="shared" si="78"/>
        <v>57.115696518783984</v>
      </c>
      <c r="G222" s="110">
        <f t="shared" si="76"/>
        <v>0.9960672785677599</v>
      </c>
      <c r="H222" s="414" t="b">
        <f>Wh_hp&gt;='2025'!Maxi_hp</f>
        <v>0</v>
      </c>
      <c r="I222" s="390">
        <f>IF(H222,Wh_hp,'2025'!Maxi_hp)</f>
        <v>57.120088666927721</v>
      </c>
      <c r="J222" s="85">
        <f>IF(H222,An,'2025'!An_max)</f>
        <v>2022</v>
      </c>
      <c r="K222" s="197">
        <f t="shared" si="79"/>
        <v>46230</v>
      </c>
      <c r="L222" s="147">
        <f>IF(t&lt;Tvie,1-EXP((T0-t)*PertePVj)+'2025'!Pspv,1-EXP((T0-t)*PertePVj)+Pspv)</f>
        <v>8.6741921913667169E-2</v>
      </c>
      <c r="M222" s="843"/>
      <c r="N222" s="843"/>
      <c r="O222" s="48">
        <f>IF(t&lt;Tnet,'2025'!Resal+('2025'!Salim-'2025'!Resal)*(1-EXP(('2025'!Tnet-t)/('2025'!Tau_j))),Resal+(Salim-Resal)*(1-EXP((Tnet-t)/(Tau_j))))*Salcycl</f>
        <v>9.8500742906105304E-2</v>
      </c>
      <c r="P222" s="169">
        <f>(INDEX(Models!$BJ222:$BT222,,T222)*(1-R222)+INDEX(Models!$BJ222:$BT222,,T222+1)*R222-ERP_i)*Q222*Ramure*Pc/MaxiM</f>
        <v>1.5774902812541489E-2</v>
      </c>
      <c r="Q222" s="305">
        <f t="shared" si="80"/>
        <v>0.8</v>
      </c>
      <c r="R222" s="177">
        <f t="shared" si="81"/>
        <v>0.92346641575095756</v>
      </c>
      <c r="S222" s="809">
        <f t="shared" si="82"/>
        <v>2</v>
      </c>
      <c r="T222" s="176">
        <f t="shared" si="83"/>
        <v>8</v>
      </c>
      <c r="U222" s="251">
        <f t="shared" si="84"/>
        <v>2.9234664157509576</v>
      </c>
      <c r="V222" s="383">
        <f t="shared" si="85"/>
        <v>46.46437871691996</v>
      </c>
      <c r="W222" s="402">
        <f t="shared" si="86"/>
        <v>46.285721836905026</v>
      </c>
      <c r="X222" s="157">
        <f t="shared" si="87"/>
        <v>46230</v>
      </c>
      <c r="Y222" s="385">
        <f t="shared" si="88"/>
        <v>42.652996127094767</v>
      </c>
      <c r="Z222" s="385">
        <f t="shared" si="89"/>
        <v>46.704208975047969</v>
      </c>
      <c r="AA222" s="386">
        <f t="shared" si="90"/>
        <v>55.357071058700953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0.15630996940711406</v>
      </c>
      <c r="AD222" s="231">
        <f>(INDEX(Models!$BJ222:$BT222,,AH222)*(1-AF222)+INDEX(Models!$BJ222:$BT222,,AH222+1)*AF222-ERP_i)*AE222*Ramure*Pc/MaxiM</f>
        <v>3.096064432625454E-2</v>
      </c>
      <c r="AE222" s="305">
        <f t="shared" si="92"/>
        <v>0.8</v>
      </c>
      <c r="AF222" s="177">
        <f t="shared" si="93"/>
        <v>0.12418316291586073</v>
      </c>
      <c r="AG222" s="809">
        <f t="shared" si="99"/>
        <v>4</v>
      </c>
      <c r="AH222" s="176">
        <f t="shared" si="94"/>
        <v>10</v>
      </c>
      <c r="AI222" s="225">
        <f t="shared" si="95"/>
        <v>4.1241831629158607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IF(t&gt;Tmaj,'2025'!Wh/'2025'!Env_an*'2026'!Env_an,0.001*[9]mois!$B$167)</f>
        <v>39.110230343621289</v>
      </c>
      <c r="C223" s="839"/>
      <c r="D223" s="393">
        <f t="shared" si="77"/>
        <v>42.825968360727558</v>
      </c>
      <c r="E223" s="385">
        <f t="shared" si="75"/>
        <v>47.511922989235053</v>
      </c>
      <c r="F223" s="385">
        <f t="shared" si="78"/>
        <v>48.107597945073763</v>
      </c>
      <c r="G223" s="110">
        <f t="shared" si="76"/>
        <v>0.84148661525104373</v>
      </c>
      <c r="H223" s="414" t="b">
        <f>Wh_hp&gt;='2025'!Maxi_hp</f>
        <v>0</v>
      </c>
      <c r="I223" s="390">
        <f>IF(H223,Wh_hp,'2025'!Maxi_hp)</f>
        <v>54.720346355997435</v>
      </c>
      <c r="J223" s="85">
        <f>IF(H223,An,'2025'!An_max)</f>
        <v>2019</v>
      </c>
      <c r="K223" s="197">
        <f t="shared" si="79"/>
        <v>46231</v>
      </c>
      <c r="L223" s="147">
        <f>IF(t&lt;Tvie,1-EXP((T0-t)*PertePVj)+'2025'!Pspv,1-EXP((T0-t)*PertePVj)+Pspv)</f>
        <v>8.6763666049725324E-2</v>
      </c>
      <c r="M223" s="843"/>
      <c r="N223" s="843"/>
      <c r="O223" s="48">
        <f>IF(t&lt;Tnet,'2025'!Resal+('2025'!Salim-'2025'!Resal)*(1-EXP(('2025'!Tnet-t)/('2025'!Tau_j))),Resal+(Salim-Resal)*(1-EXP((Tnet-t)/(Tau_j))))*Salcycl</f>
        <v>9.862692001688099E-2</v>
      </c>
      <c r="P223" s="169">
        <f>(INDEX(Models!$BJ223:$BT223,,T223)*(1-R223)+INDEX(Models!$BJ223:$BT223,,T223+1)*R223-ERP_i)*Q223*Ramure*Pc/MaxiM</f>
        <v>1.5917973176651515E-2</v>
      </c>
      <c r="Q223" s="305">
        <f t="shared" si="80"/>
        <v>0.8</v>
      </c>
      <c r="R223" s="177">
        <f t="shared" si="81"/>
        <v>0.92615561501485555</v>
      </c>
      <c r="S223" s="809">
        <f t="shared" si="82"/>
        <v>2</v>
      </c>
      <c r="T223" s="176">
        <f t="shared" si="83"/>
        <v>8</v>
      </c>
      <c r="U223" s="251">
        <f t="shared" si="84"/>
        <v>2.9261556150148555</v>
      </c>
      <c r="V223" s="383">
        <f t="shared" si="85"/>
        <v>46.311145751875443</v>
      </c>
      <c r="W223" s="402">
        <f t="shared" si="86"/>
        <v>39.110230343621289</v>
      </c>
      <c r="X223" s="157">
        <f t="shared" si="87"/>
        <v>46231</v>
      </c>
      <c r="Y223" s="385">
        <f t="shared" si="88"/>
        <v>36.151299786708819</v>
      </c>
      <c r="Z223" s="385">
        <f t="shared" si="89"/>
        <v>39.585919266192093</v>
      </c>
      <c r="AA223" s="386">
        <f t="shared" si="90"/>
        <v>46.922527961292211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0.15635578503256051</v>
      </c>
      <c r="AD223" s="231">
        <f>(INDEX(Models!$BJ223:$BT223,,AH223)*(1-AF223)+INDEX(Models!$BJ223:$BT223,,AH223+1)*AF223-ERP_i)*AE223*Ramure*Pc/MaxiM</f>
        <v>3.1668130461736499E-2</v>
      </c>
      <c r="AE223" s="305">
        <f t="shared" si="92"/>
        <v>0.8</v>
      </c>
      <c r="AF223" s="177">
        <f t="shared" si="93"/>
        <v>0.12687236217975872</v>
      </c>
      <c r="AG223" s="809">
        <f t="shared" si="99"/>
        <v>4</v>
      </c>
      <c r="AH223" s="176">
        <f t="shared" si="94"/>
        <v>10</v>
      </c>
      <c r="AI223" s="225">
        <f t="shared" si="95"/>
        <v>4.1268723621797587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IF(t&gt;Tmaj,'2025'!Wh/'2025'!Env_an*'2026'!Env_an,0.001*[9]mois!$B$168)</f>
        <v>27.099146591760586</v>
      </c>
      <c r="C224" s="839"/>
      <c r="D224" s="393">
        <f t="shared" si="77"/>
        <v>29.674456451969089</v>
      </c>
      <c r="E224" s="385">
        <f t="shared" si="75"/>
        <v>32.925981565367522</v>
      </c>
      <c r="F224" s="385">
        <f t="shared" si="78"/>
        <v>33.144673039461075</v>
      </c>
      <c r="G224" s="110">
        <f t="shared" si="76"/>
        <v>0.58152508713768281</v>
      </c>
      <c r="H224" s="414" t="b">
        <f>Wh_hp&gt;='2025'!Maxi_hp</f>
        <v>0</v>
      </c>
      <c r="I224" s="390">
        <f>IF(H224,Wh_hp,'2025'!Maxi_hp)</f>
        <v>57.337532868317645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8.6785409679765696E-2</v>
      </c>
      <c r="M224" s="843"/>
      <c r="N224" s="843"/>
      <c r="O224" s="48">
        <f>IF(t&lt;Tnet,'2025'!Resal+('2025'!Salim-'2025'!Resal)*(1-EXP(('2025'!Tnet-t)/('2025'!Tau_j))),Resal+(Salim-Resal)*(1-EXP((Tnet-t)/(Tau_j))))*Salcycl</f>
        <v>9.8752564352355715E-2</v>
      </c>
      <c r="P224" s="169">
        <f>(INDEX(Models!$BJ224:$BT224,,T224)*(1-R224)+INDEX(Models!$BJ224:$BT224,,T224+1)*R224-ERP_i)*Q224*Ramure*Pc/MaxiM</f>
        <v>1.6085475178724881E-2</v>
      </c>
      <c r="Q224" s="305">
        <f t="shared" si="80"/>
        <v>0.8</v>
      </c>
      <c r="R224" s="177">
        <f t="shared" si="81"/>
        <v>0.92876257781969551</v>
      </c>
      <c r="S224" s="809">
        <f t="shared" si="82"/>
        <v>2</v>
      </c>
      <c r="T224" s="176">
        <f t="shared" si="83"/>
        <v>8</v>
      </c>
      <c r="U224" s="251">
        <f t="shared" si="84"/>
        <v>2.9287625778196955</v>
      </c>
      <c r="V224" s="383">
        <f t="shared" si="85"/>
        <v>46.15508334393499</v>
      </c>
      <c r="W224" s="402">
        <f t="shared" si="86"/>
        <v>27.099146591760586</v>
      </c>
      <c r="X224" s="157">
        <f t="shared" si="87"/>
        <v>46232</v>
      </c>
      <c r="Y224" s="385">
        <f t="shared" si="88"/>
        <v>25.194444395393905</v>
      </c>
      <c r="Z224" s="385">
        <f t="shared" si="89"/>
        <v>27.588744926380382</v>
      </c>
      <c r="AA224" s="386">
        <f t="shared" si="90"/>
        <v>32.703623364886887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0.15640097066425462</v>
      </c>
      <c r="AD224" s="231">
        <f>(INDEX(Models!$BJ224:$BT224,,AH224)*(1-AF224)+INDEX(Models!$BJ224:$BT224,,AH224+1)*AF224-ERP_i)*AE224*Ramure*Pc/MaxiM</f>
        <v>3.2440650109263003E-2</v>
      </c>
      <c r="AE224" s="305">
        <f t="shared" si="92"/>
        <v>0.8</v>
      </c>
      <c r="AF224" s="177">
        <f t="shared" si="93"/>
        <v>0.12947932498459913</v>
      </c>
      <c r="AG224" s="809">
        <f t="shared" si="99"/>
        <v>4</v>
      </c>
      <c r="AH224" s="176">
        <f t="shared" si="94"/>
        <v>10</v>
      </c>
      <c r="AI224" s="225">
        <f t="shared" si="95"/>
        <v>4.1294793249845991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IF(t&gt;Tmaj,'2025'!Wh/'2025'!Env_an*'2026'!Env_an,0.001*[9]mois!$B$169)</f>
        <v>43.179317394296177</v>
      </c>
      <c r="C225" s="839"/>
      <c r="D225" s="393">
        <f t="shared" si="77"/>
        <v>47.283897948687141</v>
      </c>
      <c r="E225" s="385">
        <f t="shared" si="75"/>
        <v>52.472231433710043</v>
      </c>
      <c r="F225" s="385">
        <f t="shared" si="78"/>
        <v>53.26340344068327</v>
      </c>
      <c r="G225" s="110">
        <f t="shared" si="76"/>
        <v>0.93740920314369014</v>
      </c>
      <c r="H225" s="414" t="b">
        <f>Wh_hp&gt;='2025'!Maxi_hp</f>
        <v>0</v>
      </c>
      <c r="I225" s="390">
        <f>IF(H225,Wh_hp,'2025'!Maxi_hp)</f>
        <v>53.331314939696405</v>
      </c>
      <c r="J225" s="85">
        <f>IF(H225,An,'2025'!An_max)</f>
        <v>2022</v>
      </c>
      <c r="K225" s="197">
        <f t="shared" si="79"/>
        <v>46233</v>
      </c>
      <c r="L225" s="147">
        <f>IF(t&lt;Tvie,1-EXP((T0-t)*PertePVj)+'2025'!Pspv,1-EXP((T0-t)*PertePVj)+Pspv)</f>
        <v>8.6807152803799942E-2</v>
      </c>
      <c r="M225" s="843"/>
      <c r="N225" s="843"/>
      <c r="O225" s="48">
        <f>IF(t&lt;Tnet,'2025'!Resal+('2025'!Salim-'2025'!Resal)*(1-EXP(('2025'!Tnet-t)/('2025'!Tau_j))),Resal+(Salim-Resal)*(1-EXP((Tnet-t)/(Tau_j))))*Salcycl</f>
        <v>9.8877698608596437E-2</v>
      </c>
      <c r="P225" s="169">
        <f>(INDEX(Models!$BJ225:$BT225,,T225)*(1-R225)+INDEX(Models!$BJ225:$BT225,,T225+1)*R225-ERP_i)*Q225*Ramure*Pc/MaxiM</f>
        <v>1.6277892473982494E-2</v>
      </c>
      <c r="Q225" s="305">
        <f t="shared" si="80"/>
        <v>0.8</v>
      </c>
      <c r="R225" s="177">
        <f t="shared" si="81"/>
        <v>0.93128891807595426</v>
      </c>
      <c r="S225" s="809">
        <f t="shared" si="82"/>
        <v>2</v>
      </c>
      <c r="T225" s="176">
        <f t="shared" si="83"/>
        <v>8</v>
      </c>
      <c r="U225" s="251">
        <f t="shared" si="84"/>
        <v>2.9312889180759543</v>
      </c>
      <c r="V225" s="383">
        <f t="shared" si="85"/>
        <v>45.995820591473809</v>
      </c>
      <c r="W225" s="402">
        <f t="shared" si="86"/>
        <v>43.179317394296177</v>
      </c>
      <c r="X225" s="157">
        <f t="shared" si="87"/>
        <v>46233</v>
      </c>
      <c r="Y225" s="385">
        <f t="shared" si="88"/>
        <v>39.78427198404448</v>
      </c>
      <c r="Z225" s="385">
        <f t="shared" si="89"/>
        <v>43.566123088014947</v>
      </c>
      <c r="AA225" s="386">
        <f t="shared" si="90"/>
        <v>51.645894096737237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0.15644556358319953</v>
      </c>
      <c r="AD225" s="231">
        <f>(INDEX(Models!$BJ225:$BT225,,AH225)*(1-AF225)+INDEX(Models!$BJ225:$BT225,,AH225+1)*AF225-ERP_i)*AE225*Ramure*Pc/MaxiM</f>
        <v>3.3279290652792871E-2</v>
      </c>
      <c r="AE225" s="305">
        <f t="shared" si="92"/>
        <v>0.8</v>
      </c>
      <c r="AF225" s="177">
        <f t="shared" si="93"/>
        <v>0.13200566524085833</v>
      </c>
      <c r="AG225" s="809">
        <f t="shared" si="99"/>
        <v>4</v>
      </c>
      <c r="AH225" s="176">
        <f t="shared" si="94"/>
        <v>10</v>
      </c>
      <c r="AI225" s="225">
        <f t="shared" si="95"/>
        <v>4.1320056652408583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IF(t&gt;Tmaj,'2025'!Wh/'2025'!Env_an*'2026'!Env_an,0.001*[9]mois!$B$170)</f>
        <v>44.109583717224837</v>
      </c>
      <c r="C226" s="839"/>
      <c r="D226" s="393">
        <f t="shared" si="77"/>
        <v>48.30374449660372</v>
      </c>
      <c r="E226" s="385">
        <f t="shared" si="75"/>
        <v>53.611398574764181</v>
      </c>
      <c r="F226" s="385">
        <f t="shared" si="78"/>
        <v>54.462970606889542</v>
      </c>
      <c r="G226" s="110">
        <f t="shared" si="76"/>
        <v>0.96155745087675815</v>
      </c>
      <c r="H226" s="414" t="b">
        <f>Wh_hp&gt;='2025'!Maxi_hp</f>
        <v>0</v>
      </c>
      <c r="I226" s="390">
        <f>IF(H226,Wh_hp,'2025'!Maxi_hp)</f>
        <v>55.057825166695693</v>
      </c>
      <c r="J226" s="85">
        <f>IF(H226,An,'2025'!An_max)</f>
        <v>2019</v>
      </c>
      <c r="K226" s="197">
        <f t="shared" si="79"/>
        <v>46234</v>
      </c>
      <c r="L226" s="147">
        <f>IF(t&lt;Tvie,1-EXP((T0-t)*PertePVj)+'2025'!Pspv,1-EXP((T0-t)*PertePVj)+Pspv)</f>
        <v>8.6828895421840052E-2</v>
      </c>
      <c r="M226" s="843"/>
      <c r="N226" s="843"/>
      <c r="O226" s="48">
        <f>IF(t&lt;Tnet,'2025'!Resal+('2025'!Salim-'2025'!Resal)*(1-EXP(('2025'!Tnet-t)/('2025'!Tau_j))),Resal+(Salim-Resal)*(1-EXP((Tnet-t)/(Tau_j))))*Salcycl</f>
        <v>9.9002343144595134E-2</v>
      </c>
      <c r="P226" s="169">
        <f>(INDEX(Models!$BJ226:$BT226,,T226)*(1-R226)+INDEX(Models!$BJ226:$BT226,,T226+1)*R226-ERP_i)*Q226*Ramure*Pc/MaxiM</f>
        <v>1.6522723921325654E-2</v>
      </c>
      <c r="Q226" s="305">
        <f t="shared" si="80"/>
        <v>0.8</v>
      </c>
      <c r="R226" s="177">
        <f t="shared" si="81"/>
        <v>0.93373628335452219</v>
      </c>
      <c r="S226" s="809">
        <f t="shared" si="82"/>
        <v>2</v>
      </c>
      <c r="T226" s="176">
        <f t="shared" si="83"/>
        <v>8</v>
      </c>
      <c r="U226" s="251">
        <f t="shared" si="84"/>
        <v>2.9337362833545222</v>
      </c>
      <c r="V226" s="383">
        <f t="shared" si="85"/>
        <v>45.831728874423007</v>
      </c>
      <c r="W226" s="402">
        <f t="shared" si="86"/>
        <v>44.109583717224837</v>
      </c>
      <c r="X226" s="157">
        <f t="shared" si="87"/>
        <v>46234</v>
      </c>
      <c r="Y226" s="385">
        <f t="shared" si="88"/>
        <v>40.592246810570593</v>
      </c>
      <c r="Z226" s="385">
        <f t="shared" si="89"/>
        <v>44.451961529512268</v>
      </c>
      <c r="AA226" s="386">
        <f t="shared" si="90"/>
        <v>52.698770973367218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0.15648959722462411</v>
      </c>
      <c r="AD226" s="231">
        <f>(INDEX(Models!$BJ226:$BT226,,AH226)*(1-AF226)+INDEX(Models!$BJ226:$BT226,,AH226+1)*AF226-ERP_i)*AE226*Ramure*Pc/MaxiM</f>
        <v>3.4230085520824315E-2</v>
      </c>
      <c r="AE226" s="305">
        <f t="shared" si="92"/>
        <v>0.8</v>
      </c>
      <c r="AF226" s="177">
        <f t="shared" si="93"/>
        <v>0.13445303051942581</v>
      </c>
      <c r="AG226" s="809">
        <f t="shared" si="99"/>
        <v>4</v>
      </c>
      <c r="AH226" s="176">
        <f t="shared" si="94"/>
        <v>10</v>
      </c>
      <c r="AI226" s="225">
        <f t="shared" si="95"/>
        <v>4.1344530305194258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IF(t&gt;Tmaj,'2025'!Wh/'2025'!Env_an*'2026'!Env_an,0.001*'[10]mon-tableau (1)'!$B$140)</f>
        <v>44.0403402009388</v>
      </c>
      <c r="C227" s="839"/>
      <c r="D227" s="393">
        <f t="shared" si="77"/>
        <v>48.229065267045669</v>
      </c>
      <c r="E227" s="385">
        <f t="shared" si="75"/>
        <v>53.535891690657827</v>
      </c>
      <c r="F227" s="385">
        <f t="shared" si="78"/>
        <v>54.403933423492148</v>
      </c>
      <c r="G227" s="110">
        <f t="shared" si="76"/>
        <v>0.96362825395717555</v>
      </c>
      <c r="H227" s="414" t="b">
        <f>Wh_hp&gt;='2025'!Maxi_hp</f>
        <v>0</v>
      </c>
      <c r="I227" s="390">
        <f>IF(H227,Wh_hp,'2025'!Maxi_hp)</f>
        <v>54.44583213474823</v>
      </c>
      <c r="J227" s="85">
        <f>IF(H227,An,'2025'!An_max)</f>
        <v>2022</v>
      </c>
      <c r="K227" s="197">
        <f t="shared" si="79"/>
        <v>46235</v>
      </c>
      <c r="L227" s="147">
        <f>IF(t&lt;Tvie,1-EXP((T0-t)*PertePVj)+'2025'!Pspv,1-EXP((T0-t)*PertePVj)+Pspv)</f>
        <v>8.6850637533897573E-2</v>
      </c>
      <c r="M227" s="843"/>
      <c r="N227" s="843"/>
      <c r="O227" s="48">
        <f>IF(t&lt;Tnet,'2025'!Resal+('2025'!Salim-'2025'!Resal)*(1-EXP(('2025'!Tnet-t)/('2025'!Tau_j))),Resal+(Salim-Resal)*(1-EXP((Tnet-t)/(Tau_j))))*Salcycl</f>
        <v>9.9126515988118127E-2</v>
      </c>
      <c r="P227" s="169">
        <f>(INDEX(Models!$BJ227:$BT227,,T227)*(1-R227)+INDEX(Models!$BJ227:$BT227,,T227+1)*R227-ERP_i)*Q227*Ramure*Pc/MaxiM</f>
        <v>1.6808792444384879E-2</v>
      </c>
      <c r="Q227" s="305">
        <f t="shared" si="80"/>
        <v>0.8</v>
      </c>
      <c r="R227" s="177">
        <f t="shared" si="81"/>
        <v>0.93610634902892542</v>
      </c>
      <c r="S227" s="809">
        <f t="shared" si="82"/>
        <v>2</v>
      </c>
      <c r="T227" s="176">
        <f t="shared" si="83"/>
        <v>8</v>
      </c>
      <c r="U227" s="251">
        <f t="shared" si="84"/>
        <v>2.9361063490289254</v>
      </c>
      <c r="V227" s="383">
        <f t="shared" si="85"/>
        <v>45.662994236492082</v>
      </c>
      <c r="W227" s="402">
        <f t="shared" si="86"/>
        <v>44.0403402009388</v>
      </c>
      <c r="X227" s="157">
        <f t="shared" si="87"/>
        <v>46235</v>
      </c>
      <c r="Y227" s="385">
        <f t="shared" si="88"/>
        <v>40.499637644219128</v>
      </c>
      <c r="Z227" s="385">
        <f t="shared" si="89"/>
        <v>44.351602606219352</v>
      </c>
      <c r="AA227" s="386">
        <f t="shared" si="90"/>
        <v>52.582505217064487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0.15653310120671035</v>
      </c>
      <c r="AD227" s="231">
        <f>(INDEX(Models!$BJ227:$BT227,,AH227)*(1-AF227)+INDEX(Models!$BJ227:$BT227,,AH227+1)*AF227-ERP_i)*AE227*Ramure*Pc/MaxiM</f>
        <v>3.527020362744971E-2</v>
      </c>
      <c r="AE227" s="305">
        <f t="shared" si="92"/>
        <v>0.8</v>
      </c>
      <c r="AF227" s="177">
        <f t="shared" si="93"/>
        <v>0.1368230961938286</v>
      </c>
      <c r="AG227" s="809">
        <f t="shared" si="99"/>
        <v>4</v>
      </c>
      <c r="AH227" s="176">
        <f t="shared" si="94"/>
        <v>10</v>
      </c>
      <c r="AI227" s="225">
        <f t="shared" si="95"/>
        <v>4.1368230961938286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IF(t&gt;Tmaj,'2025'!Wh/'2025'!Env_an*'2026'!Env_an,0.001*'[10]mon-tableau (1)'!$B$141)</f>
        <v>44.037589033053536</v>
      </c>
      <c r="C228" s="839"/>
      <c r="D228" s="393">
        <f t="shared" si="77"/>
        <v>48.227200696850446</v>
      </c>
      <c r="E228" s="385">
        <f t="shared" si="75"/>
        <v>53.541174759181921</v>
      </c>
      <c r="F228" s="385">
        <f t="shared" si="78"/>
        <v>54.431427701774687</v>
      </c>
      <c r="G228" s="110">
        <f t="shared" si="76"/>
        <v>0.9673189312491548</v>
      </c>
      <c r="H228" s="414" t="b">
        <f>Wh_hp&gt;='2025'!Maxi_hp</f>
        <v>0</v>
      </c>
      <c r="I228" s="390">
        <f>IF(H228,Wh_hp,'2025'!Maxi_hp)</f>
        <v>54.855614137032767</v>
      </c>
      <c r="J228" s="85">
        <f>IF(H228,An,'2025'!An_max)</f>
        <v>2019</v>
      </c>
      <c r="K228" s="197">
        <f t="shared" si="79"/>
        <v>46236</v>
      </c>
      <c r="L228" s="147">
        <f>IF(t&lt;Tvie,1-EXP((T0-t)*PertePVj)+'2025'!Pspv,1-EXP((T0-t)*PertePVj)+Pspv)</f>
        <v>8.6872379139984385E-2</v>
      </c>
      <c r="M228" s="843"/>
      <c r="N228" s="843"/>
      <c r="O228" s="48">
        <f>IF(t&lt;Tnet,'2025'!Resal+('2025'!Salim-'2025'!Resal)*(1-EXP(('2025'!Tnet-t)/('2025'!Tau_j))),Resal+(Salim-Resal)*(1-EXP((Tnet-t)/(Tau_j))))*Salcycl</f>
        <v>9.9250232857846787E-2</v>
      </c>
      <c r="P228" s="169">
        <f>(INDEX(Models!$BJ228:$BT228,,T228)*(1-R228)+INDEX(Models!$BJ228:$BT228,,T228+1)*R228-ERP_i)*Q228*Ramure*Pc/MaxiM</f>
        <v>1.7136738843685585E-2</v>
      </c>
      <c r="Q228" s="305">
        <f t="shared" si="80"/>
        <v>0.8</v>
      </c>
      <c r="R228" s="177">
        <f t="shared" si="81"/>
        <v>0.93840081273048925</v>
      </c>
      <c r="S228" s="809">
        <f t="shared" si="82"/>
        <v>2</v>
      </c>
      <c r="T228" s="176">
        <f t="shared" si="83"/>
        <v>8</v>
      </c>
      <c r="U228" s="251">
        <f t="shared" si="84"/>
        <v>2.9384008127304893</v>
      </c>
      <c r="V228" s="383">
        <f t="shared" si="85"/>
        <v>45.489250197820439</v>
      </c>
      <c r="W228" s="402">
        <f t="shared" si="86"/>
        <v>44.037589033053536</v>
      </c>
      <c r="X228" s="157">
        <f t="shared" si="87"/>
        <v>46236</v>
      </c>
      <c r="Y228" s="385">
        <f t="shared" si="88"/>
        <v>40.464176606963782</v>
      </c>
      <c r="Z228" s="385">
        <f t="shared" si="89"/>
        <v>44.313823919654517</v>
      </c>
      <c r="AA228" s="386">
        <f t="shared" si="90"/>
        <v>52.540393973195755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0.15657610138473924</v>
      </c>
      <c r="AD228" s="231">
        <f>(INDEX(Models!$BJ228:$BT228,,AH228)*(1-AF228)+INDEX(Models!$BJ228:$BT228,,AH228+1)*AF228-ERP_i)*AE228*Ramure*Pc/MaxiM</f>
        <v>3.6401060418714971E-2</v>
      </c>
      <c r="AE228" s="305">
        <f t="shared" si="92"/>
        <v>0.8</v>
      </c>
      <c r="AF228" s="177">
        <f t="shared" si="93"/>
        <v>0.13911755989539287</v>
      </c>
      <c r="AG228" s="809">
        <f t="shared" si="99"/>
        <v>4</v>
      </c>
      <c r="AH228" s="176">
        <f t="shared" si="94"/>
        <v>10</v>
      </c>
      <c r="AI228" s="225">
        <f t="shared" si="95"/>
        <v>4.1391175598953929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IF(t&gt;Tmaj,'2025'!Wh/'2025'!Env_an*'2026'!Env_an,0.001*'[10]mon-tableau (1)'!$B$142)</f>
        <v>41.075598767670613</v>
      </c>
      <c r="C229" s="839"/>
      <c r="D229" s="393">
        <f t="shared" si="77"/>
        <v>44.984486112905046</v>
      </c>
      <c r="E229" s="385">
        <f t="shared" si="75"/>
        <v>49.947993394115578</v>
      </c>
      <c r="F229" s="385">
        <f t="shared" si="78"/>
        <v>50.717368173426131</v>
      </c>
      <c r="G229" s="110">
        <f t="shared" si="76"/>
        <v>0.90439178939829434</v>
      </c>
      <c r="H229" s="414" t="b">
        <f>Wh_hp&gt;='2025'!Maxi_hp</f>
        <v>0</v>
      </c>
      <c r="I229" s="390">
        <f>IF(H229,Wh_hp,'2025'!Maxi_hp)</f>
        <v>54.652362848660495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8.6894120240112366E-2</v>
      </c>
      <c r="M229" s="843"/>
      <c r="N229" s="843"/>
      <c r="O229" s="48">
        <f>IF(t&lt;Tnet,'2025'!Resal+('2025'!Salim-'2025'!Resal)*(1-EXP(('2025'!Tnet-t)/('2025'!Tau_j))),Resal+(Salim-Resal)*(1-EXP((Tnet-t)/(Tau_j))))*Salcycl</f>
        <v>9.9373507200697445E-2</v>
      </c>
      <c r="P229" s="169">
        <f>(INDEX(Models!$BJ229:$BT229,,T229)*(1-R229)+INDEX(Models!$BJ229:$BT229,,T229+1)*R229-ERP_i)*Q229*Ramure*Pc/MaxiM</f>
        <v>1.7507229294959518E-2</v>
      </c>
      <c r="Q229" s="305">
        <f t="shared" si="80"/>
        <v>0.8</v>
      </c>
      <c r="R229" s="177">
        <f t="shared" si="81"/>
        <v>0.94062138911775683</v>
      </c>
      <c r="S229" s="809">
        <f t="shared" si="82"/>
        <v>2</v>
      </c>
      <c r="T229" s="176">
        <f t="shared" si="83"/>
        <v>8</v>
      </c>
      <c r="U229" s="251">
        <f t="shared" si="84"/>
        <v>2.9406213891177568</v>
      </c>
      <c r="V229" s="383">
        <f t="shared" si="85"/>
        <v>45.310131119221559</v>
      </c>
      <c r="W229" s="402">
        <f t="shared" si="86"/>
        <v>41.075598767670613</v>
      </c>
      <c r="X229" s="157">
        <f t="shared" si="87"/>
        <v>46237</v>
      </c>
      <c r="Y229" s="385">
        <f t="shared" si="88"/>
        <v>37.783962985541102</v>
      </c>
      <c r="Z229" s="385">
        <f t="shared" si="89"/>
        <v>41.379607582284827</v>
      </c>
      <c r="AA229" s="386">
        <f t="shared" si="90"/>
        <v>49.06393306760954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0.15661861992873261</v>
      </c>
      <c r="AD229" s="231">
        <f>(INDEX(Models!$BJ229:$BT229,,AH229)*(1-AF229)+INDEX(Models!$BJ229:$BT229,,AH229+1)*AF229-ERP_i)*AE229*Ramure*Pc/MaxiM</f>
        <v>3.7624144045645333E-2</v>
      </c>
      <c r="AE229" s="305">
        <f t="shared" si="92"/>
        <v>0.8</v>
      </c>
      <c r="AF229" s="177">
        <f t="shared" si="93"/>
        <v>0.1413381362826609</v>
      </c>
      <c r="AG229" s="809">
        <f t="shared" si="99"/>
        <v>4</v>
      </c>
      <c r="AH229" s="176">
        <f t="shared" si="94"/>
        <v>10</v>
      </c>
      <c r="AI229" s="225">
        <f t="shared" si="95"/>
        <v>4.1413381362826609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IF(t&gt;Tmaj,'2025'!Wh/'2025'!Env_an*'2026'!Env_an,0.001*'[10]mon-tableau (1)'!$B$143)</f>
        <v>40.597732200607922</v>
      </c>
      <c r="C230" s="839"/>
      <c r="D230" s="393">
        <f t="shared" si="77"/>
        <v>44.462202834562902</v>
      </c>
      <c r="E230" s="385">
        <f t="shared" si="75"/>
        <v>49.374816911141657</v>
      </c>
      <c r="F230" s="385">
        <f t="shared" si="78"/>
        <v>50.14465294702034</v>
      </c>
      <c r="G230" s="110">
        <f t="shared" si="76"/>
        <v>0.89732034341954825</v>
      </c>
      <c r="H230" s="414" t="b">
        <f>Wh_hp&gt;='2025'!Maxi_hp</f>
        <v>0</v>
      </c>
      <c r="I230" s="390">
        <f>IF(H230,Wh_hp,'2025'!Maxi_hp)</f>
        <v>51.450131759098554</v>
      </c>
      <c r="J230" s="85">
        <f>IF(H230,An,'2025'!An_max)</f>
        <v>2019</v>
      </c>
      <c r="K230" s="197">
        <f t="shared" si="79"/>
        <v>46238</v>
      </c>
      <c r="L230" s="147">
        <f>IF(t&lt;Tvie,1-EXP((T0-t)*PertePVj)+'2025'!Pspv,1-EXP((T0-t)*PertePVj)+Pspv)</f>
        <v>8.6915860834293063E-2</v>
      </c>
      <c r="M230" s="843"/>
      <c r="N230" s="843"/>
      <c r="O230" s="48">
        <f>IF(t&lt;Tnet,'2025'!Resal+('2025'!Salim-'2025'!Resal)*(1-EXP(('2025'!Tnet-t)/('2025'!Tau_j))),Resal+(Salim-Resal)*(1-EXP((Tnet-t)/(Tau_j))))*Salcycl</f>
        <v>9.9496350243077153E-2</v>
      </c>
      <c r="P230" s="169">
        <f>(INDEX(Models!$BJ230:$BT230,,T230)*(1-R230)+INDEX(Models!$BJ230:$BT230,,T230+1)*R230-ERP_i)*Q230*Ramure*Pc/MaxiM</f>
        <v>1.7920960087955386E-2</v>
      </c>
      <c r="Q230" s="305">
        <f t="shared" si="80"/>
        <v>0.8</v>
      </c>
      <c r="R230" s="177">
        <f t="shared" si="81"/>
        <v>0.94276980495936913</v>
      </c>
      <c r="S230" s="809">
        <f t="shared" si="82"/>
        <v>2</v>
      </c>
      <c r="T230" s="176">
        <f t="shared" si="83"/>
        <v>8</v>
      </c>
      <c r="U230" s="251">
        <f t="shared" si="84"/>
        <v>2.9427698049593691</v>
      </c>
      <c r="V230" s="383">
        <f t="shared" si="85"/>
        <v>45.125272179966849</v>
      </c>
      <c r="W230" s="402">
        <f t="shared" si="86"/>
        <v>40.597732200607922</v>
      </c>
      <c r="X230" s="157">
        <f t="shared" si="87"/>
        <v>46238</v>
      </c>
      <c r="Y230" s="385">
        <f t="shared" si="88"/>
        <v>37.32525309628889</v>
      </c>
      <c r="Z230" s="385">
        <f t="shared" si="89"/>
        <v>40.878218660542395</v>
      </c>
      <c r="AA230" s="386">
        <f t="shared" si="90"/>
        <v>48.471851684398374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0.15666067542247708</v>
      </c>
      <c r="AD230" s="231">
        <f>(INDEX(Models!$BJ230:$BT230,,AH230)*(1-AF230)+INDEX(Models!$BJ230:$BT230,,AH230+1)*AF230-ERP_i)*AE230*Ramure*Pc/MaxiM</f>
        <v>3.8941025446168849E-2</v>
      </c>
      <c r="AE230" s="305">
        <f t="shared" si="92"/>
        <v>0.8</v>
      </c>
      <c r="AF230" s="177">
        <f t="shared" si="93"/>
        <v>0.14348655212427275</v>
      </c>
      <c r="AG230" s="809">
        <f t="shared" si="99"/>
        <v>4</v>
      </c>
      <c r="AH230" s="176">
        <f t="shared" si="94"/>
        <v>10</v>
      </c>
      <c r="AI230" s="225">
        <f t="shared" si="95"/>
        <v>4.1434865521242727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IF(t&gt;Tmaj,'2025'!Wh/'2025'!Env_an*'2026'!Env_an,0.001*'[10]mon-tableau (1)'!$B$144)</f>
        <v>38.648844414981639</v>
      </c>
      <c r="C231" s="839"/>
      <c r="D231" s="393">
        <f t="shared" si="77"/>
        <v>42.328809568800111</v>
      </c>
      <c r="E231" s="385">
        <f t="shared" si="75"/>
        <v>47.012096885210099</v>
      </c>
      <c r="F231" s="385">
        <f t="shared" si="78"/>
        <v>47.713778054816402</v>
      </c>
      <c r="G231" s="110">
        <f t="shared" si="76"/>
        <v>0.85691277216761841</v>
      </c>
      <c r="H231" s="414" t="b">
        <f>Wh_hp&gt;='2025'!Maxi_hp</f>
        <v>0</v>
      </c>
      <c r="I231" s="390">
        <f>IF(H231,Wh_hp,'2025'!Maxi_hp)</f>
        <v>55.321706068538063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8.6937600922538466E-2</v>
      </c>
      <c r="M231" s="843"/>
      <c r="N231" s="843"/>
      <c r="O231" s="48">
        <f>IF(t&lt;Tnet,'2025'!Resal+('2025'!Salim-'2025'!Resal)*(1-EXP(('2025'!Tnet-t)/('2025'!Tau_j))),Resal+(Salim-Resal)*(1-EXP((Tnet-t)/(Tau_j))))*Salcycl</f>
        <v>9.9618771054718558E-2</v>
      </c>
      <c r="P231" s="169">
        <f>(INDEX(Models!$BJ231:$BT231,,T231)*(1-R231)+INDEX(Models!$BJ231:$BT231,,T231+1)*R231-ERP_i)*Q231*Ramure*Pc/MaxiM</f>
        <v>1.837866252051602E-2</v>
      </c>
      <c r="Q231" s="305">
        <f t="shared" si="80"/>
        <v>0.8</v>
      </c>
      <c r="R231" s="177">
        <f t="shared" si="81"/>
        <v>0.94484779452773981</v>
      </c>
      <c r="S231" s="809">
        <f t="shared" si="82"/>
        <v>2</v>
      </c>
      <c r="T231" s="176">
        <f t="shared" si="83"/>
        <v>8</v>
      </c>
      <c r="U231" s="251">
        <f t="shared" si="84"/>
        <v>2.9448477945277398</v>
      </c>
      <c r="V231" s="383">
        <f t="shared" si="85"/>
        <v>44.934309349607211</v>
      </c>
      <c r="W231" s="402">
        <f t="shared" si="86"/>
        <v>38.648844414981639</v>
      </c>
      <c r="X231" s="157">
        <f t="shared" si="87"/>
        <v>46239</v>
      </c>
      <c r="Y231" s="385">
        <f t="shared" si="88"/>
        <v>35.552539101993339</v>
      </c>
      <c r="Z231" s="385">
        <f t="shared" si="89"/>
        <v>38.937688309051886</v>
      </c>
      <c r="AA231" s="386">
        <f t="shared" si="90"/>
        <v>46.173121927478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0.15670228298165503</v>
      </c>
      <c r="AD231" s="231">
        <f>(INDEX(Models!$BJ231:$BT231,,AH231)*(1-AF231)+INDEX(Models!$BJ231:$BT231,,AH231+1)*AF231-ERP_i)*AE231*Ramure*Pc/MaxiM</f>
        <v>4.0353368810516231E-2</v>
      </c>
      <c r="AE231" s="305">
        <f t="shared" si="92"/>
        <v>0.8</v>
      </c>
      <c r="AF231" s="177">
        <f t="shared" si="93"/>
        <v>0.14556454169264299</v>
      </c>
      <c r="AG231" s="809">
        <f t="shared" si="99"/>
        <v>4</v>
      </c>
      <c r="AH231" s="176">
        <f t="shared" si="94"/>
        <v>10</v>
      </c>
      <c r="AI231" s="225">
        <f t="shared" si="95"/>
        <v>4.145564541692643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IF(t&gt;Tmaj,'2025'!Wh/'2025'!Env_an*'2026'!Env_an,0.001*'[10]mon-tableau (1)'!$B$145)</f>
        <v>39.664650638870377</v>
      </c>
      <c r="C232" s="839"/>
      <c r="D232" s="393">
        <f t="shared" si="77"/>
        <v>43.442370530139044</v>
      </c>
      <c r="E232" s="385">
        <f t="shared" si="75"/>
        <v>48.255401779957815</v>
      </c>
      <c r="F232" s="385">
        <f t="shared" si="78"/>
        <v>49.031219393079404</v>
      </c>
      <c r="G232" s="110">
        <f t="shared" si="76"/>
        <v>0.88386582794253421</v>
      </c>
      <c r="H232" s="414" t="b">
        <f>Wh_hp&gt;='2025'!Maxi_hp</f>
        <v>0</v>
      </c>
      <c r="I232" s="390">
        <f>IF(H232,Wh_hp,'2025'!Maxi_hp)</f>
        <v>54.962682458177952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8.6959340504860233E-2</v>
      </c>
      <c r="M232" s="843"/>
      <c r="N232" s="843"/>
      <c r="O232" s="48">
        <f>IF(t&lt;Tnet,'2025'!Resal+('2025'!Salim-'2025'!Resal)*(1-EXP(('2025'!Tnet-t)/('2025'!Tau_j))),Resal+(Salim-Resal)*(1-EXP((Tnet-t)/(Tau_j))))*Salcycl</f>
        <v>9.9740776623640032E-2</v>
      </c>
      <c r="P232" s="169">
        <f>(INDEX(Models!$BJ232:$BT232,,T232)*(1-R232)+INDEX(Models!$BJ232:$BT232,,T232+1)*R232-ERP_i)*Q232*Ramure*Pc/MaxiM</f>
        <v>1.8881107967411367E-2</v>
      </c>
      <c r="Q232" s="305">
        <f t="shared" si="80"/>
        <v>0.8</v>
      </c>
      <c r="R232" s="177">
        <f t="shared" si="81"/>
        <v>0.94685709529917794</v>
      </c>
      <c r="S232" s="809">
        <f t="shared" si="82"/>
        <v>2</v>
      </c>
      <c r="T232" s="176">
        <f t="shared" si="83"/>
        <v>8</v>
      </c>
      <c r="U232" s="251">
        <f t="shared" si="84"/>
        <v>2.9468570952991779</v>
      </c>
      <c r="V232" s="383">
        <f t="shared" si="85"/>
        <v>44.736879370099103</v>
      </c>
      <c r="W232" s="402">
        <f t="shared" si="86"/>
        <v>39.664650638870377</v>
      </c>
      <c r="X232" s="157">
        <f t="shared" si="87"/>
        <v>46240</v>
      </c>
      <c r="Y232" s="385">
        <f t="shared" si="88"/>
        <v>36.426107419557283</v>
      </c>
      <c r="Z232" s="385">
        <f t="shared" si="89"/>
        <v>39.895383672944945</v>
      </c>
      <c r="AA232" s="386">
        <f t="shared" si="90"/>
        <v>47.311086857941255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0.15674345438867396</v>
      </c>
      <c r="AD232" s="231">
        <f>(INDEX(Models!$BJ232:$BT232,,AH232)*(1-AF232)+INDEX(Models!$BJ232:$BT232,,AH232+1)*AF232-ERP_i)*AE232*Ramure*Pc/MaxiM</f>
        <v>4.1862942481444128E-2</v>
      </c>
      <c r="AE232" s="305">
        <f t="shared" si="92"/>
        <v>0.8</v>
      </c>
      <c r="AF232" s="177">
        <f t="shared" si="93"/>
        <v>0.14757384246408112</v>
      </c>
      <c r="AG232" s="809">
        <f t="shared" si="99"/>
        <v>4</v>
      </c>
      <c r="AH232" s="176">
        <f t="shared" si="94"/>
        <v>10</v>
      </c>
      <c r="AI232" s="225">
        <f t="shared" si="95"/>
        <v>4.1475738424640811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IF(t&gt;Tmaj,'2025'!Wh/'2025'!Env_an*'2026'!Env_an,0.001*'[10]mon-tableau (1)'!$B$146)</f>
        <v>42.01956594027444</v>
      </c>
      <c r="C233" s="839"/>
      <c r="D233" s="393">
        <f t="shared" si="77"/>
        <v>46.022667220306204</v>
      </c>
      <c r="E233" s="385">
        <f t="shared" ref="E233:E296" si="100">Wh_pvt/(1-Psa)</f>
        <v>51.128478341174379</v>
      </c>
      <c r="F233" s="385">
        <f t="shared" si="78"/>
        <v>52.058329140877085</v>
      </c>
      <c r="G233" s="110">
        <f t="shared" ref="G233:G296" si="101">+Wh_hp/MaxiM</f>
        <v>0.94203935964974039</v>
      </c>
      <c r="H233" s="414" t="b">
        <f>Wh_hp&gt;='2025'!Maxi_hp</f>
        <v>0</v>
      </c>
      <c r="I233" s="390">
        <f>IF(H233,Wh_hp,'2025'!Maxi_hp)</f>
        <v>52.959519523212762</v>
      </c>
      <c r="J233" s="85">
        <f>IF(H233,An,'2025'!An_max)</f>
        <v>2020</v>
      </c>
      <c r="K233" s="197">
        <f t="shared" si="79"/>
        <v>46241</v>
      </c>
      <c r="L233" s="147">
        <f>IF(t&lt;Tvie,1-EXP((T0-t)*PertePVj)+'2025'!Pspv,1-EXP((T0-t)*PertePVj)+Pspv)</f>
        <v>8.6981079581270132E-2</v>
      </c>
      <c r="M233" s="843"/>
      <c r="N233" s="843"/>
      <c r="O233" s="48">
        <f>IF(t&lt;Tnet,'2025'!Resal+('2025'!Salim-'2025'!Resal)*(1-EXP(('2025'!Tnet-t)/('2025'!Tau_j))),Resal+(Salim-Resal)*(1-EXP((Tnet-t)/(Tau_j))))*Salcycl</f>
        <v>9.9862371940696068E-2</v>
      </c>
      <c r="P233" s="169">
        <f>(INDEX(Models!$BJ233:$BT233,,T233)*(1-R233)+INDEX(Models!$BJ233:$BT233,,T233+1)*R233-ERP_i)*Q233*Ramure*Pc/MaxiM</f>
        <v>1.9428638003241433E-2</v>
      </c>
      <c r="Q233" s="305">
        <f t="shared" si="80"/>
        <v>0.8</v>
      </c>
      <c r="R233" s="177">
        <f t="shared" si="81"/>
        <v>0.9487994439546541</v>
      </c>
      <c r="S233" s="809">
        <f t="shared" si="82"/>
        <v>2</v>
      </c>
      <c r="T233" s="176">
        <f t="shared" si="83"/>
        <v>8</v>
      </c>
      <c r="U233" s="251">
        <f t="shared" si="84"/>
        <v>2.9487994439546541</v>
      </c>
      <c r="V233" s="383">
        <f t="shared" si="85"/>
        <v>44.53373042352429</v>
      </c>
      <c r="W233" s="402">
        <f t="shared" si="86"/>
        <v>42.01956594027444</v>
      </c>
      <c r="X233" s="157">
        <f t="shared" si="87"/>
        <v>46241</v>
      </c>
      <c r="Y233" s="385">
        <f t="shared" si="88"/>
        <v>38.476535860806678</v>
      </c>
      <c r="Z233" s="385">
        <f t="shared" si="89"/>
        <v>42.142101330343209</v>
      </c>
      <c r="AA233" s="386">
        <f t="shared" si="90"/>
        <v>49.977836329046589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0.15678419824167797</v>
      </c>
      <c r="AD233" s="231">
        <f>(INDEX(Models!$BJ233:$BT233,,AH233)*(1-AF233)+INDEX(Models!$BJ233:$BT233,,AH233+1)*AF233-ERP_i)*AE233*Ramure*Pc/MaxiM</f>
        <v>4.3470567237587118E-2</v>
      </c>
      <c r="AE233" s="305">
        <f t="shared" si="92"/>
        <v>0.8</v>
      </c>
      <c r="AF233" s="177">
        <f t="shared" si="93"/>
        <v>0.14951619111955772</v>
      </c>
      <c r="AG233" s="809">
        <f t="shared" si="99"/>
        <v>4</v>
      </c>
      <c r="AH233" s="176">
        <f t="shared" si="94"/>
        <v>10</v>
      </c>
      <c r="AI233" s="225">
        <f t="shared" si="95"/>
        <v>4.1495161911195577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IF(t&gt;Tmaj,'2025'!Wh/'2025'!Env_an*'2026'!Env_an,0.001*'[10]mon-tableau (1)'!$B$147)</f>
        <v>41.668581252363936</v>
      </c>
      <c r="C234" s="839"/>
      <c r="D234" s="393">
        <f t="shared" si="77"/>
        <v>45.639331731574906</v>
      </c>
      <c r="E234" s="385">
        <f t="shared" si="100"/>
        <v>50.709442303349988</v>
      </c>
      <c r="F234" s="385">
        <f t="shared" si="78"/>
        <v>51.656739747444355</v>
      </c>
      <c r="G234" s="110">
        <f t="shared" si="101"/>
        <v>0.93844084924658244</v>
      </c>
      <c r="H234" s="414" t="b">
        <f>Wh_hp&gt;='2025'!Maxi_hp</f>
        <v>0</v>
      </c>
      <c r="I234" s="390">
        <f>IF(H234,Wh_hp,'2025'!Maxi_hp)</f>
        <v>52.507741008384137</v>
      </c>
      <c r="J234" s="85">
        <f>IF(H234,An,'2025'!An_max)</f>
        <v>2019</v>
      </c>
      <c r="K234" s="197">
        <f t="shared" si="79"/>
        <v>46242</v>
      </c>
      <c r="L234" s="147">
        <f>IF(t&lt;Tvie,1-EXP((T0-t)*PertePVj)+'2025'!Pspv,1-EXP((T0-t)*PertePVj)+Pspv)</f>
        <v>8.7002818151779931E-2</v>
      </c>
      <c r="M234" s="843"/>
      <c r="N234" s="843"/>
      <c r="O234" s="48">
        <f>IF(t&lt;Tnet,'2025'!Resal+('2025'!Salim-'2025'!Resal)*(1-EXP(('2025'!Tnet-t)/('2025'!Tau_j))),Resal+(Salim-Resal)*(1-EXP((Tnet-t)/(Tau_j))))*Salcycl</f>
        <v>9.9983560092123794E-2</v>
      </c>
      <c r="P234" s="169">
        <f>(INDEX(Models!$BJ234:$BT234,,T234)*(1-R234)+INDEX(Models!$BJ234:$BT234,,T234+1)*R234-ERP_i)*Q234*Ramure*Pc/MaxiM</f>
        <v>2.005487504678418E-2</v>
      </c>
      <c r="Q234" s="305">
        <f t="shared" si="80"/>
        <v>0.8</v>
      </c>
      <c r="R234" s="177">
        <f t="shared" si="81"/>
        <v>0.95067657267415973</v>
      </c>
      <c r="S234" s="809">
        <f t="shared" si="82"/>
        <v>2</v>
      </c>
      <c r="T234" s="176">
        <f t="shared" si="83"/>
        <v>8</v>
      </c>
      <c r="U234" s="251">
        <f t="shared" si="84"/>
        <v>2.9506765726741597</v>
      </c>
      <c r="V234" s="383">
        <f t="shared" si="85"/>
        <v>44.324283606657005</v>
      </c>
      <c r="W234" s="402">
        <f t="shared" si="86"/>
        <v>41.668581252363936</v>
      </c>
      <c r="X234" s="157">
        <f t="shared" si="87"/>
        <v>46242</v>
      </c>
      <c r="Y234" s="385">
        <f t="shared" si="88"/>
        <v>38.12250413355391</v>
      </c>
      <c r="Z234" s="385">
        <f t="shared" si="89"/>
        <v>41.755336042090356</v>
      </c>
      <c r="AA234" s="386">
        <f t="shared" si="90"/>
        <v>49.521525516601656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0.15682452011515177</v>
      </c>
      <c r="AD234" s="231">
        <f>(INDEX(Models!$BJ234:$BT234,,AH234)*(1-AF234)+INDEX(Models!$BJ234:$BT234,,AH234+1)*AF234-ERP_i)*AE234*Ramure*Pc/MaxiM</f>
        <v>4.5203810972596632E-2</v>
      </c>
      <c r="AE234" s="305">
        <f t="shared" si="92"/>
        <v>0.8</v>
      </c>
      <c r="AF234" s="177">
        <f t="shared" si="93"/>
        <v>0.15139331983906335</v>
      </c>
      <c r="AG234" s="809">
        <f t="shared" si="99"/>
        <v>4</v>
      </c>
      <c r="AH234" s="176">
        <f t="shared" si="94"/>
        <v>10</v>
      </c>
      <c r="AI234" s="225">
        <f t="shared" si="95"/>
        <v>4.1513933198390633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IF(t&gt;Tmaj,'2025'!Wh/'2025'!Env_an*'2026'!Env_an,0.001*'[10]mon-tableau (1)'!$B$148)</f>
        <v>40.887404066707134</v>
      </c>
      <c r="C235" s="839"/>
      <c r="D235" s="393">
        <f t="shared" si="77"/>
        <v>44.784779640139618</v>
      </c>
      <c r="E235" s="385">
        <f t="shared" si="100"/>
        <v>49.766636009236493</v>
      </c>
      <c r="F235" s="385">
        <f t="shared" si="78"/>
        <v>50.709041938393867</v>
      </c>
      <c r="G235" s="110">
        <f t="shared" si="101"/>
        <v>0.9249187749429697</v>
      </c>
      <c r="H235" s="414" t="b">
        <f>Wh_hp&gt;='2025'!Maxi_hp</f>
        <v>0</v>
      </c>
      <c r="I235" s="390">
        <f>IF(H235,Wh_hp,'2025'!Maxi_hp)</f>
        <v>52.165063941951729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8.7024556216401511E-2</v>
      </c>
      <c r="M235" s="843"/>
      <c r="N235" s="843"/>
      <c r="O235" s="48">
        <f>IF(t&lt;Tnet,'2025'!Resal+('2025'!Salim-'2025'!Resal)*(1-EXP(('2025'!Tnet-t)/('2025'!Tau_j))),Resal+(Salim-Resal)*(1-EXP((Tnet-t)/(Tau_j))))*Salcycl</f>
        <v>0.10010434235844799</v>
      </c>
      <c r="P235" s="169">
        <f>(INDEX(Models!$BJ235:$BT235,,T235)*(1-R235)+INDEX(Models!$BJ235:$BT235,,T235+1)*R235-ERP_i)*Q235*Ramure*Pc/MaxiM</f>
        <v>2.0749532040439105E-2</v>
      </c>
      <c r="Q235" s="305">
        <f t="shared" si="80"/>
        <v>0.8</v>
      </c>
      <c r="R235" s="177">
        <f t="shared" si="81"/>
        <v>0.95249020571651366</v>
      </c>
      <c r="S235" s="809">
        <f t="shared" si="82"/>
        <v>2</v>
      </c>
      <c r="T235" s="176">
        <f t="shared" si="83"/>
        <v>8</v>
      </c>
      <c r="U235" s="251">
        <f t="shared" si="84"/>
        <v>2.9524902057165137</v>
      </c>
      <c r="V235" s="383">
        <f t="shared" si="85"/>
        <v>44.108963291777279</v>
      </c>
      <c r="W235" s="402">
        <f t="shared" si="86"/>
        <v>40.887404066707134</v>
      </c>
      <c r="X235" s="157">
        <f t="shared" si="87"/>
        <v>46243</v>
      </c>
      <c r="Y235" s="385">
        <f t="shared" si="88"/>
        <v>37.389750379281537</v>
      </c>
      <c r="Z235" s="385">
        <f t="shared" si="89"/>
        <v>40.953730611120342</v>
      </c>
      <c r="AA235" s="386">
        <f t="shared" si="90"/>
        <v>48.573125977793161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0.15686442272947973</v>
      </c>
      <c r="AD235" s="231">
        <f>(INDEX(Models!$BJ235:$BT235,,AH235)*(1-AF235)+INDEX(Models!$BJ235:$BT235,,AH235+1)*AF235-ERP_i)*AE235*Ramure*Pc/MaxiM</f>
        <v>4.7027777827964863E-2</v>
      </c>
      <c r="AE235" s="305">
        <f t="shared" si="92"/>
        <v>0.8</v>
      </c>
      <c r="AF235" s="177">
        <f t="shared" si="93"/>
        <v>0.15320695288141728</v>
      </c>
      <c r="AG235" s="809">
        <f t="shared" si="99"/>
        <v>4</v>
      </c>
      <c r="AH235" s="176">
        <f t="shared" si="94"/>
        <v>10</v>
      </c>
      <c r="AI235" s="225">
        <f t="shared" si="95"/>
        <v>4.1532069528814173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IF(t&gt;Tmaj,'2025'!Wh/'2025'!Env_an*'2026'!Env_an,0.001*'[10]mon-tableau (1)'!$B$149)</f>
        <v>38.155709770925085</v>
      </c>
      <c r="C236" s="839"/>
      <c r="D236" s="393">
        <f t="shared" si="77"/>
        <v>41.793696121463171</v>
      </c>
      <c r="E236" s="385">
        <f t="shared" si="100"/>
        <v>46.449037856807841</v>
      </c>
      <c r="F236" s="385">
        <f t="shared" si="78"/>
        <v>47.276358103086714</v>
      </c>
      <c r="G236" s="110">
        <f t="shared" si="101"/>
        <v>0.86584265760686718</v>
      </c>
      <c r="H236" s="414" t="b">
        <f>Wh_hp&gt;='2025'!Maxi_hp</f>
        <v>0</v>
      </c>
      <c r="I236" s="390">
        <f>IF(H236,Wh_hp,'2025'!Maxi_hp)</f>
        <v>48.556121526495438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8.7046293775146527E-2</v>
      </c>
      <c r="M236" s="843"/>
      <c r="N236" s="843"/>
      <c r="O236" s="48">
        <f>IF(t&lt;Tnet,'2025'!Resal+('2025'!Salim-'2025'!Resal)*(1-EXP(('2025'!Tnet-t)/('2025'!Tau_j))),Resal+(Salim-Resal)*(1-EXP((Tnet-t)/(Tau_j))))*Salcycl</f>
        <v>0.1002247183180858</v>
      </c>
      <c r="P236" s="169">
        <f>(INDEX(Models!$BJ236:$BT236,,T236)*(1-R236)+INDEX(Models!$BJ236:$BT236,,T236+1)*R236-ERP_i)*Q236*Ramure*Pc/MaxiM</f>
        <v>2.1513662965271182E-2</v>
      </c>
      <c r="Q236" s="305">
        <f t="shared" si="80"/>
        <v>0.8</v>
      </c>
      <c r="R236" s="177">
        <f t="shared" si="81"/>
        <v>0.95424205627559022</v>
      </c>
      <c r="S236" s="809">
        <f t="shared" si="82"/>
        <v>2</v>
      </c>
      <c r="T236" s="176">
        <f t="shared" si="83"/>
        <v>8</v>
      </c>
      <c r="U236" s="251">
        <f t="shared" si="84"/>
        <v>2.9542420562755902</v>
      </c>
      <c r="V236" s="383">
        <f t="shared" si="85"/>
        <v>43.887679144639883</v>
      </c>
      <c r="W236" s="402">
        <f t="shared" si="86"/>
        <v>38.155709770925085</v>
      </c>
      <c r="X236" s="157">
        <f t="shared" si="87"/>
        <v>46244</v>
      </c>
      <c r="Y236" s="385">
        <f t="shared" si="88"/>
        <v>34.940265072081331</v>
      </c>
      <c r="Z236" s="385">
        <f t="shared" si="89"/>
        <v>38.271672302599548</v>
      </c>
      <c r="AA236" s="386">
        <f t="shared" si="90"/>
        <v>45.394199523306106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0.15690390612681129</v>
      </c>
      <c r="AD236" s="231">
        <f>(INDEX(Models!$BJ236:$BT236,,AH236)*(1-AF236)+INDEX(Models!$BJ236:$BT236,,AH236+1)*AF236-ERP_i)*AE236*Ramure*Pc/MaxiM</f>
        <v>4.8943713773136117E-2</v>
      </c>
      <c r="AE236" s="305">
        <f t="shared" si="92"/>
        <v>0.8</v>
      </c>
      <c r="AF236" s="177">
        <f t="shared" si="93"/>
        <v>0.15495880344049429</v>
      </c>
      <c r="AG236" s="809">
        <f t="shared" si="99"/>
        <v>4</v>
      </c>
      <c r="AH236" s="176">
        <f t="shared" si="94"/>
        <v>10</v>
      </c>
      <c r="AI236" s="225">
        <f t="shared" si="95"/>
        <v>4.1549588034404943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IF(t&gt;Tmaj,'2025'!Wh/'2025'!Env_an*'2026'!Env_an,0.001*'[10]mon-tableau (1)'!$B$150)</f>
        <v>36.354938013499314</v>
      </c>
      <c r="C237" s="839"/>
      <c r="D237" s="393">
        <f t="shared" si="77"/>
        <v>39.822176505083007</v>
      </c>
      <c r="E237" s="385">
        <f t="shared" si="100"/>
        <v>44.263815133810681</v>
      </c>
      <c r="F237" s="385">
        <f t="shared" si="78"/>
        <v>45.029604266701128</v>
      </c>
      <c r="G237" s="110">
        <f t="shared" si="101"/>
        <v>0.82815132075110376</v>
      </c>
      <c r="H237" s="414" t="b">
        <f>Wh_hp&gt;='2025'!Maxi_hp</f>
        <v>0</v>
      </c>
      <c r="I237" s="390">
        <f>IF(H237,Wh_hp,'2025'!Maxi_hp)</f>
        <v>47.670695144219835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8.706803082802686E-2</v>
      </c>
      <c r="M237" s="843"/>
      <c r="N237" s="843"/>
      <c r="O237" s="48">
        <f>IF(t&lt;Tnet,'2025'!Resal+('2025'!Salim-'2025'!Resal)*(1-EXP(('2025'!Tnet-t)/('2025'!Tau_j))),Resal+(Salim-Resal)*(1-EXP((Tnet-t)/(Tau_j))))*Salcycl</f>
        <v>0.10034468595398943</v>
      </c>
      <c r="P237" s="169">
        <f>(INDEX(Models!$BJ237:$BT237,,T237)*(1-R237)+INDEX(Models!$BJ237:$BT237,,T237+1)*R237-ERP_i)*Q237*Ramure*Pc/MaxiM</f>
        <v>2.2348357936381794E-2</v>
      </c>
      <c r="Q237" s="305">
        <f t="shared" si="80"/>
        <v>0.8</v>
      </c>
      <c r="R237" s="177">
        <f t="shared" si="81"/>
        <v>0.95593382360320156</v>
      </c>
      <c r="S237" s="809">
        <f t="shared" si="82"/>
        <v>2</v>
      </c>
      <c r="T237" s="176">
        <f t="shared" si="83"/>
        <v>8</v>
      </c>
      <c r="U237" s="251">
        <f t="shared" si="84"/>
        <v>2.9559338236032016</v>
      </c>
      <c r="V237" s="383">
        <f t="shared" si="85"/>
        <v>43.660341729011805</v>
      </c>
      <c r="W237" s="402">
        <f t="shared" si="86"/>
        <v>36.354938013499314</v>
      </c>
      <c r="X237" s="157">
        <f t="shared" si="87"/>
        <v>46245</v>
      </c>
      <c r="Y237" s="385">
        <f t="shared" si="88"/>
        <v>33.31342222776604</v>
      </c>
      <c r="Z237" s="385">
        <f t="shared" si="89"/>
        <v>36.490585665415161</v>
      </c>
      <c r="AA237" s="386">
        <f t="shared" si="90"/>
        <v>43.283650184829369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0.15694296785059811</v>
      </c>
      <c r="AD237" s="231">
        <f>(INDEX(Models!$BJ237:$BT237,,AH237)*(1-AF237)+INDEX(Models!$BJ237:$BT237,,AH237+1)*AF237-ERP_i)*AE237*Ramure*Pc/MaxiM</f>
        <v>5.0952938722021633E-2</v>
      </c>
      <c r="AE237" s="305">
        <f t="shared" si="92"/>
        <v>0.8</v>
      </c>
      <c r="AF237" s="177">
        <f t="shared" si="93"/>
        <v>0.15665057076810474</v>
      </c>
      <c r="AG237" s="809">
        <f t="shared" si="99"/>
        <v>4</v>
      </c>
      <c r="AH237" s="176">
        <f t="shared" si="94"/>
        <v>10</v>
      </c>
      <c r="AI237" s="225">
        <f t="shared" si="95"/>
        <v>4.1566505707681047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IF(t&gt;Tmaj,'2025'!Wh/'2025'!Env_an*'2026'!Env_an,0.001*'[10]mon-tableau (1)'!$B$151)</f>
        <v>37.57392158019578</v>
      </c>
      <c r="C238" s="839"/>
      <c r="D238" s="393">
        <f t="shared" si="77"/>
        <v>41.15839678141981</v>
      </c>
      <c r="E238" s="385">
        <f t="shared" si="100"/>
        <v>45.755153593922572</v>
      </c>
      <c r="F238" s="385">
        <f t="shared" si="78"/>
        <v>46.630753789045606</v>
      </c>
      <c r="G238" s="110">
        <f t="shared" si="101"/>
        <v>0.86127491615160512</v>
      </c>
      <c r="H238" s="414" t="b">
        <f>Wh_hp&gt;='2025'!Maxi_hp</f>
        <v>0</v>
      </c>
      <c r="I238" s="390">
        <f>IF(H238,Wh_hp,'2025'!Maxi_hp)</f>
        <v>46.829298793552006</v>
      </c>
      <c r="J238" s="85">
        <f>IF(H238,An,'2025'!An_max)</f>
        <v>2022</v>
      </c>
      <c r="K238" s="197">
        <f t="shared" si="79"/>
        <v>46246</v>
      </c>
      <c r="L238" s="147">
        <f>IF(t&lt;Tvie,1-EXP((T0-t)*PertePVj)+'2025'!Pspv,1-EXP((T0-t)*PertePVj)+Pspv)</f>
        <v>8.7089767375054167E-2</v>
      </c>
      <c r="M238" s="843"/>
      <c r="N238" s="843"/>
      <c r="O238" s="48">
        <f>IF(t&lt;Tnet,'2025'!Resal+('2025'!Salim-'2025'!Resal)*(1-EXP(('2025'!Tnet-t)/('2025'!Tau_j))),Resal+(Salim-Resal)*(1-EXP((Tnet-t)/(Tau_j))))*Salcycl</f>
        <v>0.10046424176168266</v>
      </c>
      <c r="P238" s="169">
        <f>(INDEX(Models!$BJ238:$BT238,,T238)*(1-R238)+INDEX(Models!$BJ238:$BT238,,T238+1)*R238-ERP_i)*Q238*Ramure*Pc/MaxiM</f>
        <v>2.3254746220984286E-2</v>
      </c>
      <c r="Q238" s="305">
        <f t="shared" si="80"/>
        <v>0.8</v>
      </c>
      <c r="R238" s="177">
        <f t="shared" si="81"/>
        <v>0.95756719038828075</v>
      </c>
      <c r="S238" s="809">
        <f t="shared" si="82"/>
        <v>2</v>
      </c>
      <c r="T238" s="176">
        <f t="shared" si="83"/>
        <v>8</v>
      </c>
      <c r="U238" s="251">
        <f t="shared" si="84"/>
        <v>2.9575671903882808</v>
      </c>
      <c r="V238" s="383">
        <f t="shared" si="85"/>
        <v>43.426862495234928</v>
      </c>
      <c r="W238" s="402">
        <f t="shared" si="86"/>
        <v>37.57392158019578</v>
      </c>
      <c r="X238" s="157">
        <f t="shared" si="87"/>
        <v>46246</v>
      </c>
      <c r="Y238" s="385">
        <f t="shared" si="88"/>
        <v>34.349584349353584</v>
      </c>
      <c r="Z238" s="385">
        <f t="shared" si="89"/>
        <v>37.626464379291875</v>
      </c>
      <c r="AA238" s="386">
        <f t="shared" si="90"/>
        <v>44.633028791334141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0.15698160312621778</v>
      </c>
      <c r="AD238" s="231">
        <f>(INDEX(Models!$BJ238:$BT238,,AH238)*(1-AF238)+INDEX(Models!$BJ238:$BT238,,AH238+1)*AF238-ERP_i)*AE238*Ramure*Pc/MaxiM</f>
        <v>5.3056849575700227E-2</v>
      </c>
      <c r="AE238" s="305">
        <f t="shared" si="92"/>
        <v>0.8</v>
      </c>
      <c r="AF238" s="177">
        <f t="shared" si="93"/>
        <v>0.15828393755318437</v>
      </c>
      <c r="AG238" s="809">
        <f t="shared" si="99"/>
        <v>4</v>
      </c>
      <c r="AH238" s="176">
        <f t="shared" si="94"/>
        <v>10</v>
      </c>
      <c r="AI238" s="225">
        <f t="shared" si="95"/>
        <v>4.1582839375531844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IF(t&gt;Tmaj,'2025'!Wh/'2025'!Env_an*'2026'!Env_an,0.001*'[10]mon-tableau (1)'!$B$152)</f>
        <v>29.10857643239817</v>
      </c>
      <c r="C239" s="839"/>
      <c r="D239" s="393">
        <f t="shared" si="77"/>
        <v>31.886234234881044</v>
      </c>
      <c r="E239" s="385">
        <f t="shared" si="100"/>
        <v>35.452129253811776</v>
      </c>
      <c r="F239" s="385">
        <f t="shared" si="78"/>
        <v>35.91719326779743</v>
      </c>
      <c r="G239" s="110">
        <f t="shared" si="101"/>
        <v>0.66630355852903989</v>
      </c>
      <c r="H239" s="414" t="b">
        <f>Wh_hp&gt;='2025'!Maxi_hp</f>
        <v>0</v>
      </c>
      <c r="I239" s="390">
        <f>IF(H239,Wh_hp,'2025'!Maxi_hp)</f>
        <v>47.124763109850662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8.7111503416240216E-2</v>
      </c>
      <c r="M239" s="843"/>
      <c r="N239" s="843"/>
      <c r="O239" s="48">
        <f>IF(t&lt;Tnet,'2025'!Resal+('2025'!Salim-'2025'!Resal)*(1-EXP(('2025'!Tnet-t)/('2025'!Tau_j))),Resal+(Salim-Resal)*(1-EXP((Tnet-t)/(Tau_j))))*Salcycl</f>
        <v>0.10058338085708429</v>
      </c>
      <c r="P239" s="169">
        <f>(INDEX(Models!$BJ239:$BT239,,T239)*(1-R239)+INDEX(Models!$BJ239:$BT239,,T239+1)*R239-ERP_i)*Q239*Ramure*Pc/MaxiM</f>
        <v>2.4233999327886894E-2</v>
      </c>
      <c r="Q239" s="305">
        <f t="shared" si="80"/>
        <v>0.8</v>
      </c>
      <c r="R239" s="177">
        <f t="shared" si="81"/>
        <v>0.95914382038157298</v>
      </c>
      <c r="S239" s="809">
        <f t="shared" si="82"/>
        <v>2</v>
      </c>
      <c r="T239" s="176">
        <f t="shared" si="83"/>
        <v>8</v>
      </c>
      <c r="U239" s="251">
        <f t="shared" si="84"/>
        <v>2.959143820381573</v>
      </c>
      <c r="V239" s="383">
        <f t="shared" si="85"/>
        <v>43.187153774455361</v>
      </c>
      <c r="W239" s="402">
        <f t="shared" si="86"/>
        <v>29.10857643239817</v>
      </c>
      <c r="X239" s="157">
        <f t="shared" si="87"/>
        <v>46247</v>
      </c>
      <c r="Y239" s="385">
        <f t="shared" si="88"/>
        <v>26.823929306655192</v>
      </c>
      <c r="Z239" s="385">
        <f t="shared" si="89"/>
        <v>29.383576862931832</v>
      </c>
      <c r="AA239" s="386">
        <f t="shared" si="90"/>
        <v>34.856781972596877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0.15701980504017488</v>
      </c>
      <c r="AD239" s="231">
        <f>(INDEX(Models!$BJ239:$BT239,,AH239)*(1-AF239)+INDEX(Models!$BJ239:$BT239,,AH239+1)*AF239-ERP_i)*AE239*Ramure*Pc/MaxiM</f>
        <v>5.5256923439289271E-2</v>
      </c>
      <c r="AE239" s="305">
        <f t="shared" si="92"/>
        <v>0.8</v>
      </c>
      <c r="AF239" s="177">
        <f t="shared" si="93"/>
        <v>0.1598605675464766</v>
      </c>
      <c r="AG239" s="809">
        <f t="shared" si="99"/>
        <v>4</v>
      </c>
      <c r="AH239" s="176">
        <f t="shared" si="94"/>
        <v>10</v>
      </c>
      <c r="AI239" s="225">
        <f t="shared" si="95"/>
        <v>4.1598605675464766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IF(t&gt;Tmaj,'2025'!Wh/'2025'!Env_an*'2026'!Env_an,0.001*'[10]mon-tableau (1)'!$B$153)</f>
        <v>26.308838574512453</v>
      </c>
      <c r="C240" s="839"/>
      <c r="D240" s="393">
        <f t="shared" si="77"/>
        <v>28.820020288938391</v>
      </c>
      <c r="E240" s="385">
        <f t="shared" si="100"/>
        <v>32.047245073565406</v>
      </c>
      <c r="F240" s="385">
        <f t="shared" si="78"/>
        <v>32.413601758027255</v>
      </c>
      <c r="G240" s="110">
        <f t="shared" si="101"/>
        <v>0.60400623218970473</v>
      </c>
      <c r="H240" s="414" t="b">
        <f>Wh_hp&gt;='2025'!Maxi_hp</f>
        <v>0</v>
      </c>
      <c r="I240" s="390">
        <f>IF(H240,Wh_hp,'2025'!Maxi_hp)</f>
        <v>53.688303667232056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8.7133238951596886E-2</v>
      </c>
      <c r="M240" s="843"/>
      <c r="N240" s="843"/>
      <c r="O240" s="48">
        <f>IF(t&lt;Tnet,'2025'!Resal+('2025'!Salim-'2025'!Resal)*(1-EXP(('2025'!Tnet-t)/('2025'!Tau_j))),Resal+(Salim-Resal)*(1-EXP((Tnet-t)/(Tau_j))))*Salcycl</f>
        <v>0.10070209708256739</v>
      </c>
      <c r="P240" s="169">
        <f>(INDEX(Models!$BJ240:$BT240,,T240)*(1-R240)+INDEX(Models!$BJ240:$BT240,,T240+1)*R240-ERP_i)*Q240*Ramure*Pc/MaxiM</f>
        <v>2.5302989877296875E-2</v>
      </c>
      <c r="Q240" s="305">
        <f t="shared" si="80"/>
        <v>0.8</v>
      </c>
      <c r="R240" s="177">
        <f t="shared" si="81"/>
        <v>0.96066535625471161</v>
      </c>
      <c r="S240" s="809">
        <f t="shared" si="82"/>
        <v>2</v>
      </c>
      <c r="T240" s="176">
        <f t="shared" si="83"/>
        <v>8</v>
      </c>
      <c r="U240" s="251">
        <f t="shared" si="84"/>
        <v>2.9606653562547116</v>
      </c>
      <c r="V240" s="383">
        <f t="shared" si="85"/>
        <v>42.940439065703053</v>
      </c>
      <c r="W240" s="402">
        <f t="shared" si="86"/>
        <v>26.308838574512453</v>
      </c>
      <c r="X240" s="157">
        <f t="shared" si="87"/>
        <v>46248</v>
      </c>
      <c r="Y240" s="385">
        <f t="shared" si="88"/>
        <v>24.301181542940597</v>
      </c>
      <c r="Z240" s="385">
        <f t="shared" si="89"/>
        <v>26.620732159237935</v>
      </c>
      <c r="AA240" s="386">
        <f t="shared" si="90"/>
        <v>31.58072371840256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0.15705756471547755</v>
      </c>
      <c r="AD240" s="231">
        <f>(INDEX(Models!$BJ240:$BT240,,AH240)*(1-AF240)+INDEX(Models!$BJ240:$BT240,,AH240+1)*AF240-ERP_i)*AE240*Ramure*Pc/MaxiM</f>
        <v>5.7524007338922156E-2</v>
      </c>
      <c r="AE240" s="305">
        <f t="shared" si="92"/>
        <v>0.8</v>
      </c>
      <c r="AF240" s="177">
        <f t="shared" si="93"/>
        <v>0.16138210341961567</v>
      </c>
      <c r="AG240" s="809">
        <f t="shared" si="99"/>
        <v>4</v>
      </c>
      <c r="AH240" s="176">
        <f t="shared" si="94"/>
        <v>10</v>
      </c>
      <c r="AI240" s="225">
        <f t="shared" si="95"/>
        <v>4.1613821034196157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IF(t&gt;Tmaj,'2025'!Wh/'2025'!Env_an*'2026'!Env_an,0.001*'[10]mon-tableau (1)'!$B$154)</f>
        <v>32.041476952041968</v>
      </c>
      <c r="C241" s="839"/>
      <c r="D241" s="393">
        <f t="shared" si="77"/>
        <v>35.100675403559492</v>
      </c>
      <c r="E241" s="385">
        <f t="shared" si="100"/>
        <v>39.03633350248063</v>
      </c>
      <c r="F241" s="385">
        <f t="shared" si="78"/>
        <v>39.712076588735812</v>
      </c>
      <c r="G241" s="110">
        <f t="shared" si="101"/>
        <v>0.74340688561887114</v>
      </c>
      <c r="H241" s="414" t="b">
        <f>Wh_hp&gt;='2025'!Maxi_hp</f>
        <v>0</v>
      </c>
      <c r="I241" s="390">
        <f>IF(H241,Wh_hp,'2025'!Maxi_hp)</f>
        <v>46.59214980096219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8.7154973981135947E-2</v>
      </c>
      <c r="M241" s="843"/>
      <c r="N241" s="843"/>
      <c r="O241" s="48">
        <f>IF(t&lt;Tnet,'2025'!Resal+('2025'!Salim-'2025'!Resal)*(1-EXP(('2025'!Tnet-t)/('2025'!Tau_j))),Resal+(Salim-Resal)*(1-EXP((Tnet-t)/(Tau_j))))*Salcycl</f>
        <v>0.10082038310977744</v>
      </c>
      <c r="P241" s="169">
        <f>(INDEX(Models!$BJ241:$BT241,,T241)*(1-R241)+INDEX(Models!$BJ241:$BT241,,T241+1)*R241-ERP_i)*Q241*Ramure*Pc/MaxiM</f>
        <v>2.6434266400322384E-2</v>
      </c>
      <c r="Q241" s="305">
        <f t="shared" si="80"/>
        <v>0.8</v>
      </c>
      <c r="R241" s="177">
        <f t="shared" si="81"/>
        <v>0.96213341768235994</v>
      </c>
      <c r="S241" s="809">
        <f t="shared" si="82"/>
        <v>2</v>
      </c>
      <c r="T241" s="176">
        <f t="shared" si="83"/>
        <v>8</v>
      </c>
      <c r="U241" s="251">
        <f t="shared" si="84"/>
        <v>2.9621334176823599</v>
      </c>
      <c r="V241" s="383">
        <f t="shared" si="85"/>
        <v>42.687901400815598</v>
      </c>
      <c r="W241" s="402">
        <f t="shared" si="86"/>
        <v>32.041476952041968</v>
      </c>
      <c r="X241" s="157">
        <f t="shared" si="87"/>
        <v>46249</v>
      </c>
      <c r="Y241" s="385">
        <f t="shared" si="88"/>
        <v>29.37967442615556</v>
      </c>
      <c r="Z241" s="385">
        <f t="shared" si="89"/>
        <v>32.184734088202639</v>
      </c>
      <c r="AA241" s="386">
        <f t="shared" si="90"/>
        <v>38.183103885900891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0.15709487148092091</v>
      </c>
      <c r="AD241" s="231">
        <f>(INDEX(Models!$BJ241:$BT241,,AH241)*(1-AF241)+INDEX(Models!$BJ241:$BT241,,AH241+1)*AF241-ERP_i)*AE241*Ramure*Pc/MaxiM</f>
        <v>5.9811594920700845E-2</v>
      </c>
      <c r="AE241" s="305">
        <f t="shared" si="92"/>
        <v>0.8</v>
      </c>
      <c r="AF241" s="177">
        <f t="shared" si="93"/>
        <v>0.16285016484726356</v>
      </c>
      <c r="AG241" s="809">
        <f t="shared" si="99"/>
        <v>4</v>
      </c>
      <c r="AH241" s="176">
        <f t="shared" si="94"/>
        <v>10</v>
      </c>
      <c r="AI241" s="225">
        <f t="shared" si="95"/>
        <v>4.1628501648472636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IF(t&gt;Tmaj,'2025'!Wh/'2025'!Env_an*'2026'!Env_an,0.001*'[10]mon-tableau (1)'!$B$155)</f>
        <v>28.994846195143943</v>
      </c>
      <c r="C242" s="839"/>
      <c r="D242" s="393">
        <f t="shared" si="77"/>
        <v>31.763920208097147</v>
      </c>
      <c r="E242" s="385">
        <f t="shared" si="100"/>
        <v>35.330075515388202</v>
      </c>
      <c r="F242" s="385">
        <f t="shared" si="78"/>
        <v>35.872882233448266</v>
      </c>
      <c r="G242" s="110">
        <f t="shared" si="101"/>
        <v>0.67469434475087409</v>
      </c>
      <c r="H242" s="414" t="b">
        <f>Wh_hp&gt;='2025'!Maxi_hp</f>
        <v>0</v>
      </c>
      <c r="I242" s="390">
        <f>IF(H242,Wh_hp,'2025'!Maxi_hp)</f>
        <v>52.312778726424021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8.7176708504869055E-2</v>
      </c>
      <c r="M242" s="843"/>
      <c r="N242" s="843"/>
      <c r="O242" s="48">
        <f>IF(t&lt;Tnet,'2025'!Resal+('2025'!Salim-'2025'!Resal)*(1-EXP(('2025'!Tnet-t)/('2025'!Tau_j))),Resal+(Salim-Resal)*(1-EXP((Tnet-t)/(Tau_j))))*Salcycl</f>
        <v>0.10093823053782601</v>
      </c>
      <c r="P242" s="169">
        <f>(INDEX(Models!$BJ242:$BT242,,T242)*(1-R242)+INDEX(Models!$BJ242:$BT242,,T242+1)*R242-ERP_i)*Q242*Ramure*Pc/MaxiM</f>
        <v>2.7628892508501663E-2</v>
      </c>
      <c r="Q242" s="305">
        <f t="shared" si="80"/>
        <v>0.8</v>
      </c>
      <c r="R242" s="177">
        <f t="shared" si="81"/>
        <v>0.96354959963598219</v>
      </c>
      <c r="S242" s="809">
        <f t="shared" si="82"/>
        <v>2</v>
      </c>
      <c r="T242" s="176">
        <f t="shared" si="83"/>
        <v>8</v>
      </c>
      <c r="U242" s="251">
        <f t="shared" si="84"/>
        <v>2.9635495996359822</v>
      </c>
      <c r="V242" s="383">
        <f t="shared" si="85"/>
        <v>42.429458723405027</v>
      </c>
      <c r="W242" s="402">
        <f t="shared" si="86"/>
        <v>28.994846195143943</v>
      </c>
      <c r="X242" s="157">
        <f t="shared" si="87"/>
        <v>46250</v>
      </c>
      <c r="Y242" s="385">
        <f t="shared" si="88"/>
        <v>26.661240040179543</v>
      </c>
      <c r="Z242" s="385">
        <f t="shared" si="89"/>
        <v>29.207449337221206</v>
      </c>
      <c r="AA242" s="386">
        <f t="shared" si="90"/>
        <v>34.65244782466938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0.1571317130321695</v>
      </c>
      <c r="AD242" s="231">
        <f>(INDEX(Models!$BJ242:$BT242,,AH242)*(1-AF242)+INDEX(Models!$BJ242:$BT242,,AH242+1)*AF242-ERP_i)*AE242*Ramure*Pc/MaxiM</f>
        <v>6.2120180115563139E-2</v>
      </c>
      <c r="AE242" s="305">
        <f t="shared" si="92"/>
        <v>0.8</v>
      </c>
      <c r="AF242" s="177">
        <f t="shared" si="93"/>
        <v>0.16426634680088625</v>
      </c>
      <c r="AG242" s="809">
        <f t="shared" si="99"/>
        <v>4</v>
      </c>
      <c r="AH242" s="176">
        <f t="shared" si="94"/>
        <v>10</v>
      </c>
      <c r="AI242" s="225">
        <f t="shared" si="95"/>
        <v>4.1642663468008863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IF(t&gt;Tmaj,'2025'!Wh/'2025'!Env_an*'2026'!Env_an,0.001*'[10]mon-tableau (1)'!$B$156)</f>
        <v>23.107830077383465</v>
      </c>
      <c r="C243" s="839"/>
      <c r="D243" s="393">
        <f t="shared" si="77"/>
        <v>25.315283358246081</v>
      </c>
      <c r="E243" s="385">
        <f t="shared" si="100"/>
        <v>28.161123427292932</v>
      </c>
      <c r="F243" s="385">
        <f t="shared" si="78"/>
        <v>28.4523607702771</v>
      </c>
      <c r="G243" s="110">
        <f t="shared" si="101"/>
        <v>0.53770542141592481</v>
      </c>
      <c r="H243" s="414" t="b">
        <f>Wh_hp&gt;='2025'!Maxi_hp</f>
        <v>0</v>
      </c>
      <c r="I243" s="390">
        <f>IF(H243,Wh_hp,'2025'!Maxi_hp)</f>
        <v>51.695304108145685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8.7198442522807978E-2</v>
      </c>
      <c r="M243" s="843"/>
      <c r="N243" s="843"/>
      <c r="O243" s="48">
        <f>IF(t&lt;Tnet,'2025'!Resal+('2025'!Salim-'2025'!Resal)*(1-EXP(('2025'!Tnet-t)/('2025'!Tau_j))),Resal+(Salim-Resal)*(1-EXP((Tnet-t)/(Tau_j))))*Salcycl</f>
        <v>0.1010556299855831</v>
      </c>
      <c r="P243" s="169">
        <f>(INDEX(Models!$BJ243:$BT243,,T243)*(1-R243)+INDEX(Models!$BJ243:$BT243,,T243+1)*R243-ERP_i)*Q243*Ramure*Pc/MaxiM</f>
        <v>2.8887983399975749E-2</v>
      </c>
      <c r="Q243" s="305">
        <f t="shared" si="80"/>
        <v>0.8</v>
      </c>
      <c r="R243" s="177">
        <f t="shared" si="81"/>
        <v>0.9649154708778056</v>
      </c>
      <c r="S243" s="809">
        <f t="shared" si="82"/>
        <v>2</v>
      </c>
      <c r="T243" s="176">
        <f t="shared" si="83"/>
        <v>8</v>
      </c>
      <c r="U243" s="251">
        <f t="shared" si="84"/>
        <v>2.9649154708778056</v>
      </c>
      <c r="V243" s="383">
        <f t="shared" si="85"/>
        <v>42.165029542851954</v>
      </c>
      <c r="W243" s="402">
        <f t="shared" si="86"/>
        <v>23.107830077383465</v>
      </c>
      <c r="X243" s="157">
        <f t="shared" si="87"/>
        <v>46251</v>
      </c>
      <c r="Y243" s="385">
        <f t="shared" si="88"/>
        <v>21.38960327700245</v>
      </c>
      <c r="Z243" s="385">
        <f t="shared" si="89"/>
        <v>23.432917156845349</v>
      </c>
      <c r="AA243" s="386">
        <f t="shared" si="90"/>
        <v>27.802597977107158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0.1571680755827147</v>
      </c>
      <c r="AD243" s="231">
        <f>(INDEX(Models!$BJ243:$BT243,,AH243)*(1-AF243)+INDEX(Models!$BJ243:$BT243,,AH243+1)*AF243-ERP_i)*AE243*Ramure*Pc/MaxiM</f>
        <v>6.4450309121366858E-2</v>
      </c>
      <c r="AE243" s="305">
        <f t="shared" si="92"/>
        <v>0.8</v>
      </c>
      <c r="AF243" s="177">
        <f t="shared" si="93"/>
        <v>0.16563221804270967</v>
      </c>
      <c r="AG243" s="809">
        <f t="shared" si="99"/>
        <v>4</v>
      </c>
      <c r="AH243" s="176">
        <f t="shared" si="94"/>
        <v>10</v>
      </c>
      <c r="AI243" s="225">
        <f t="shared" si="95"/>
        <v>4.1656322180427097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IF(t&gt;Tmaj,'2025'!Wh/'2025'!Env_an*'2026'!Env_an,0.001*'[10]mon-tableau (1)'!$B$157)</f>
        <v>31.13304995243859</v>
      </c>
      <c r="C244" s="839"/>
      <c r="D244" s="393">
        <f t="shared" si="77"/>
        <v>34.107951485166879</v>
      </c>
      <c r="E244" s="385">
        <f t="shared" si="100"/>
        <v>37.947163594937862</v>
      </c>
      <c r="F244" s="385">
        <f t="shared" si="78"/>
        <v>38.687089153774586</v>
      </c>
      <c r="G244" s="110">
        <f t="shared" si="101"/>
        <v>0.73472960327641323</v>
      </c>
      <c r="H244" s="414" t="b">
        <f>Wh_hp&gt;='2025'!Maxi_hp</f>
        <v>0</v>
      </c>
      <c r="I244" s="390">
        <f>IF(H244,Wh_hp,'2025'!Maxi_hp)</f>
        <v>51.933307624444232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8.7220176034964708E-2</v>
      </c>
      <c r="M244" s="843"/>
      <c r="N244" s="843"/>
      <c r="O244" s="48">
        <f>IF(t&lt;Tnet,'2025'!Resal+('2025'!Salim-'2025'!Resal)*(1-EXP(('2025'!Tnet-t)/('2025'!Tau_j))),Resal+(Salim-Resal)*(1-EXP((Tnet-t)/(Tau_j))))*Salcycl</f>
        <v>0.10117257117691743</v>
      </c>
      <c r="P244" s="169">
        <f>(INDEX(Models!$BJ244:$BT244,,T244)*(1-R244)+INDEX(Models!$BJ244:$BT244,,T244+1)*R244-ERP_i)*Q244*Ramure*Pc/MaxiM</f>
        <v>3.0212708800422688E-2</v>
      </c>
      <c r="Q244" s="305">
        <f t="shared" si="80"/>
        <v>0.8</v>
      </c>
      <c r="R244" s="177">
        <f t="shared" si="81"/>
        <v>0.96623257264358209</v>
      </c>
      <c r="S244" s="809">
        <f t="shared" si="82"/>
        <v>2</v>
      </c>
      <c r="T244" s="176">
        <f t="shared" si="83"/>
        <v>8</v>
      </c>
      <c r="U244" s="251">
        <f t="shared" si="84"/>
        <v>2.9662325726435821</v>
      </c>
      <c r="V244" s="383">
        <f t="shared" si="85"/>
        <v>41.894532948755938</v>
      </c>
      <c r="W244" s="402">
        <f t="shared" si="86"/>
        <v>31.13304995243859</v>
      </c>
      <c r="X244" s="157">
        <f t="shared" si="87"/>
        <v>46252</v>
      </c>
      <c r="Y244" s="385">
        <f t="shared" si="88"/>
        <v>28.502905876321069</v>
      </c>
      <c r="Z244" s="385">
        <f t="shared" si="89"/>
        <v>31.226485432715801</v>
      </c>
      <c r="AA244" s="386">
        <f t="shared" si="90"/>
        <v>37.051057857378694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0.15720394400298976</v>
      </c>
      <c r="AD244" s="231">
        <f>(INDEX(Models!$BJ244:$BT244,,AH244)*(1-AF244)+INDEX(Models!$BJ244:$BT244,,AH244+1)*AF244-ERP_i)*AE244*Ramure*Pc/MaxiM</f>
        <v>6.6802581092207269E-2</v>
      </c>
      <c r="AE244" s="305">
        <f t="shared" si="92"/>
        <v>0.8</v>
      </c>
      <c r="AF244" s="177">
        <f t="shared" si="93"/>
        <v>0.16694931980848526</v>
      </c>
      <c r="AG244" s="809">
        <f t="shared" si="99"/>
        <v>4</v>
      </c>
      <c r="AH244" s="176">
        <f t="shared" si="94"/>
        <v>10</v>
      </c>
      <c r="AI244" s="225">
        <f t="shared" si="95"/>
        <v>4.1669493198084853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IF(t&gt;Tmaj,'2025'!Wh/'2025'!Env_an*'2026'!Env_an,0.001*'[10]mon-tableau (1)'!$B$158)</f>
        <v>32.269814207090207</v>
      </c>
      <c r="C245" s="839"/>
      <c r="D245" s="393">
        <f t="shared" si="77"/>
        <v>35.354180397566175</v>
      </c>
      <c r="E245" s="385">
        <f t="shared" si="100"/>
        <v>39.338766399694777</v>
      </c>
      <c r="F245" s="385">
        <f t="shared" si="78"/>
        <v>40.201616762599443</v>
      </c>
      <c r="G245" s="110">
        <f t="shared" si="101"/>
        <v>0.76734745565055762</v>
      </c>
      <c r="H245" s="414" t="b">
        <f>Wh_hp&gt;='2025'!Maxi_hp</f>
        <v>0</v>
      </c>
      <c r="I245" s="390">
        <f>IF(H245,Wh_hp,'2025'!Maxi_hp)</f>
        <v>43.525494254603814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8.7241909041350679E-2</v>
      </c>
      <c r="M245" s="843"/>
      <c r="N245" s="843"/>
      <c r="O245" s="48">
        <f>IF(t&lt;Tnet,'2025'!Resal+('2025'!Salim-'2025'!Resal)*(1-EXP(('2025'!Tnet-t)/('2025'!Tau_j))),Resal+(Salim-Resal)*(1-EXP((Tnet-t)/(Tau_j))))*Salcycl</f>
        <v>0.10128904301786948</v>
      </c>
      <c r="P245" s="169">
        <f>(INDEX(Models!$BJ245:$BT245,,T245)*(1-R245)+INDEX(Models!$BJ245:$BT245,,T245+1)*R245-ERP_i)*Q245*Ramure*Pc/MaxiM</f>
        <v>3.1604296065383695E-2</v>
      </c>
      <c r="Q245" s="305">
        <f t="shared" si="80"/>
        <v>0.8</v>
      </c>
      <c r="R245" s="177">
        <f t="shared" si="81"/>
        <v>0.96750241750290922</v>
      </c>
      <c r="S245" s="809">
        <f t="shared" si="82"/>
        <v>2</v>
      </c>
      <c r="T245" s="176">
        <f t="shared" si="83"/>
        <v>8</v>
      </c>
      <c r="U245" s="251">
        <f t="shared" si="84"/>
        <v>2.9675024175029092</v>
      </c>
      <c r="V245" s="383">
        <f t="shared" si="85"/>
        <v>41.617888642139405</v>
      </c>
      <c r="W245" s="402">
        <f t="shared" si="86"/>
        <v>32.269814207090207</v>
      </c>
      <c r="X245" s="157">
        <f t="shared" si="87"/>
        <v>46253</v>
      </c>
      <c r="Y245" s="385">
        <f t="shared" si="88"/>
        <v>29.471725735963876</v>
      </c>
      <c r="Z245" s="385">
        <f t="shared" si="89"/>
        <v>32.288649126090334</v>
      </c>
      <c r="AA245" s="386">
        <f t="shared" si="90"/>
        <v>38.312950758920181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0.15723930194615041</v>
      </c>
      <c r="AD245" s="231">
        <f>(INDEX(Models!$BJ245:$BT245,,AH245)*(1-AF245)+INDEX(Models!$BJ245:$BT245,,AH245+1)*AF245-ERP_i)*AE245*Ramure*Pc/MaxiM</f>
        <v>6.9177649005056324E-2</v>
      </c>
      <c r="AE245" s="305">
        <f t="shared" si="92"/>
        <v>0.8</v>
      </c>
      <c r="AF245" s="177">
        <f t="shared" si="93"/>
        <v>0.16821916466781239</v>
      </c>
      <c r="AG245" s="809">
        <f t="shared" si="99"/>
        <v>4</v>
      </c>
      <c r="AH245" s="176">
        <f t="shared" si="94"/>
        <v>10</v>
      </c>
      <c r="AI245" s="225">
        <f t="shared" si="95"/>
        <v>4.1682191646678124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IF(t&gt;Tmaj,'2025'!Wh/'2025'!Env_an*'2026'!Env_an,0.001*'[10]mon-tableau (1)'!$B$159)</f>
        <v>38.8594523272766</v>
      </c>
      <c r="C246" s="839"/>
      <c r="D246" s="393">
        <f t="shared" si="77"/>
        <v>42.574673362334124</v>
      </c>
      <c r="E246" s="385">
        <f t="shared" si="100"/>
        <v>47.379158527866792</v>
      </c>
      <c r="F246" s="385">
        <f t="shared" si="78"/>
        <v>48.856337579463911</v>
      </c>
      <c r="G246" s="110">
        <f t="shared" si="101"/>
        <v>0.93736737693512051</v>
      </c>
      <c r="H246" s="414" t="b">
        <f>Wh_hp&gt;='2025'!Maxi_hp</f>
        <v>0</v>
      </c>
      <c r="I246" s="390">
        <f>IF(H246,Wh_hp,'2025'!Maxi_hp)</f>
        <v>48.990722574028382</v>
      </c>
      <c r="J246" s="85">
        <f>IF(H246,An,'2025'!An_max)</f>
        <v>2022</v>
      </c>
      <c r="K246" s="197">
        <f t="shared" si="79"/>
        <v>46254</v>
      </c>
      <c r="L246" s="147">
        <f>IF(t&lt;Tvie,1-EXP((T0-t)*PertePVj)+'2025'!Pspv,1-EXP((T0-t)*PertePVj)+Pspv)</f>
        <v>8.7263641541977993E-2</v>
      </c>
      <c r="M246" s="843"/>
      <c r="N246" s="843"/>
      <c r="O246" s="48">
        <f>IF(t&lt;Tnet,'2025'!Resal+('2025'!Salim-'2025'!Resal)*(1-EXP(('2025'!Tnet-t)/('2025'!Tau_j))),Resal+(Salim-Resal)*(1-EXP((Tnet-t)/(Tau_j))))*Salcycl</f>
        <v>0.10140503366489373</v>
      </c>
      <c r="P246" s="169">
        <f>(INDEX(Models!$BJ246:$BT246,,T246)*(1-R246)+INDEX(Models!$BJ246:$BT246,,T246+1)*R246-ERP_i)*Q246*Ramure*Pc/MaxiM</f>
        <v>3.3064033481761922E-2</v>
      </c>
      <c r="Q246" s="305">
        <f t="shared" si="80"/>
        <v>0.8</v>
      </c>
      <c r="R246" s="177">
        <f t="shared" si="81"/>
        <v>0.96872648838605135</v>
      </c>
      <c r="S246" s="809">
        <f t="shared" si="82"/>
        <v>2</v>
      </c>
      <c r="T246" s="176">
        <f t="shared" si="83"/>
        <v>8</v>
      </c>
      <c r="U246" s="251">
        <f t="shared" si="84"/>
        <v>2.9687264883860514</v>
      </c>
      <c r="V246" s="383">
        <f t="shared" si="85"/>
        <v>41.335016950129742</v>
      </c>
      <c r="W246" s="402">
        <f t="shared" si="86"/>
        <v>38.8594523272766</v>
      </c>
      <c r="X246" s="157">
        <f t="shared" si="87"/>
        <v>46254</v>
      </c>
      <c r="Y246" s="385">
        <f t="shared" si="88"/>
        <v>35.119962141122116</v>
      </c>
      <c r="Z246" s="385">
        <f t="shared" si="89"/>
        <v>38.477663145197617</v>
      </c>
      <c r="AA246" s="386">
        <f t="shared" si="90"/>
        <v>45.658576061816177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0.15727413195927253</v>
      </c>
      <c r="AD246" s="231">
        <f>(INDEX(Models!$BJ246:$BT246,,AH246)*(1-AF246)+INDEX(Models!$BJ246:$BT246,,AH246+1)*AF246-ERP_i)*AE246*Ramure*Pc/MaxiM</f>
        <v>7.1576220751220984E-2</v>
      </c>
      <c r="AE246" s="305">
        <f t="shared" si="92"/>
        <v>0.8</v>
      </c>
      <c r="AF246" s="177">
        <f t="shared" si="93"/>
        <v>0.16944323555095497</v>
      </c>
      <c r="AG246" s="809">
        <f t="shared" si="99"/>
        <v>4</v>
      </c>
      <c r="AH246" s="176">
        <f t="shared" si="94"/>
        <v>10</v>
      </c>
      <c r="AI246" s="225">
        <f t="shared" si="95"/>
        <v>4.169443235550955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IF(t&gt;Tmaj,'2025'!Wh/'2025'!Env_an*'2026'!Env_an,0.001*'[10]mon-tableau (1)'!$B$160)</f>
        <v>24.959558348213818</v>
      </c>
      <c r="C247" s="839"/>
      <c r="D247" s="393">
        <f t="shared" si="77"/>
        <v>27.346508563070302</v>
      </c>
      <c r="E247" s="385">
        <f t="shared" si="100"/>
        <v>30.436431208415851</v>
      </c>
      <c r="F247" s="385">
        <f t="shared" si="78"/>
        <v>30.906990689583544</v>
      </c>
      <c r="G247" s="110">
        <f t="shared" si="101"/>
        <v>0.5961241712792632</v>
      </c>
      <c r="H247" s="414" t="b">
        <f>Wh_hp&gt;='2025'!Maxi_hp</f>
        <v>0</v>
      </c>
      <c r="I247" s="390">
        <f>IF(H247,Wh_hp,'2025'!Maxi_hp)</f>
        <v>48.833127388179392</v>
      </c>
      <c r="J247" s="85">
        <f>IF(H247,An,'2025'!An_max)</f>
        <v>2019</v>
      </c>
      <c r="K247" s="197">
        <f t="shared" si="79"/>
        <v>46255</v>
      </c>
      <c r="L247" s="147">
        <f>IF(t&lt;Tvie,1-EXP((T0-t)*PertePVj)+'2025'!Pspv,1-EXP((T0-t)*PertePVj)+Pspv)</f>
        <v>8.7285373536858196E-2</v>
      </c>
      <c r="M247" s="843"/>
      <c r="N247" s="843"/>
      <c r="O247" s="48">
        <f>IF(t&lt;Tnet,'2025'!Resal+('2025'!Salim-'2025'!Resal)*(1-EXP(('2025'!Tnet-t)/('2025'!Tau_j))),Resal+(Salim-Resal)*(1-EXP((Tnet-t)/(Tau_j))))*Salcycl</f>
        <v>0.10152053058346629</v>
      </c>
      <c r="P247" s="169">
        <f>(INDEX(Models!$BJ247:$BT247,,T247)*(1-R247)+INDEX(Models!$BJ247:$BT247,,T247+1)*R247-ERP_i)*Q247*Ramure*Pc/MaxiM</f>
        <v>3.4592927891617276E-2</v>
      </c>
      <c r="Q247" s="305">
        <f t="shared" si="80"/>
        <v>0.8</v>
      </c>
      <c r="R247" s="177">
        <f t="shared" si="81"/>
        <v>0.96990623776644869</v>
      </c>
      <c r="S247" s="809">
        <f t="shared" si="82"/>
        <v>2</v>
      </c>
      <c r="T247" s="176">
        <f t="shared" si="83"/>
        <v>8</v>
      </c>
      <c r="U247" s="251">
        <f t="shared" si="84"/>
        <v>2.9699062377664487</v>
      </c>
      <c r="V247" s="383">
        <f t="shared" si="85"/>
        <v>41.046263950906152</v>
      </c>
      <c r="W247" s="402">
        <f t="shared" si="86"/>
        <v>24.959558348213818</v>
      </c>
      <c r="X247" s="157">
        <f t="shared" si="87"/>
        <v>46255</v>
      </c>
      <c r="Y247" s="385">
        <f t="shared" si="88"/>
        <v>22.997508846280258</v>
      </c>
      <c r="Z247" s="385">
        <f t="shared" si="89"/>
        <v>25.19682294935696</v>
      </c>
      <c r="AA247" s="386">
        <f t="shared" si="90"/>
        <v>29.900408898314275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0.15730841557897537</v>
      </c>
      <c r="AD247" s="231">
        <f>(INDEX(Models!$BJ247:$BT247,,AH247)*(1-AF247)+INDEX(Models!$BJ247:$BT247,,AH247+1)*AF247-ERP_i)*AE247*Ramure*Pc/MaxiM</f>
        <v>7.3998320543845711E-2</v>
      </c>
      <c r="AE247" s="305">
        <f t="shared" si="92"/>
        <v>0.8</v>
      </c>
      <c r="AF247" s="177">
        <f t="shared" si="93"/>
        <v>0.17062298493135231</v>
      </c>
      <c r="AG247" s="809">
        <f t="shared" si="99"/>
        <v>4</v>
      </c>
      <c r="AH247" s="176">
        <f t="shared" si="94"/>
        <v>10</v>
      </c>
      <c r="AI247" s="225">
        <f t="shared" si="95"/>
        <v>4.1706229849313523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IF(t&gt;Tmaj,'2025'!Wh/'2025'!Env_an*'2026'!Env_an,0.001*'[10]mon-tableau (1)'!$B$161)</f>
        <v>21.89338372262549</v>
      </c>
      <c r="C248" s="839"/>
      <c r="D248" s="393">
        <f t="shared" si="77"/>
        <v>23.987678487679304</v>
      </c>
      <c r="E248" s="385">
        <f t="shared" si="100"/>
        <v>26.701499266319331</v>
      </c>
      <c r="F248" s="385">
        <f t="shared" si="78"/>
        <v>27.032980668757698</v>
      </c>
      <c r="G248" s="110">
        <f t="shared" si="101"/>
        <v>0.52421933692157463</v>
      </c>
      <c r="H248" s="414" t="b">
        <f>Wh_hp&gt;='2025'!Maxi_hp</f>
        <v>0</v>
      </c>
      <c r="I248" s="390">
        <f>IF(H248,Wh_hp,'2025'!Maxi_hp)</f>
        <v>52.442438256662555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8.7307105026003168E-2</v>
      </c>
      <c r="M248" s="843"/>
      <c r="N248" s="843"/>
      <c r="O248" s="48">
        <f>IF(t&lt;Tnet,'2025'!Resal+('2025'!Salim-'2025'!Resal)*(1-EXP(('2025'!Tnet-t)/('2025'!Tau_j))),Resal+(Salim-Resal)*(1-EXP((Tnet-t)/(Tau_j))))*Salcycl</f>
        <v>0.10163552059652248</v>
      </c>
      <c r="P248" s="169">
        <f>(INDEX(Models!$BJ248:$BT248,,T248)*(1-R248)+INDEX(Models!$BJ248:$BT248,,T248+1)*R248-ERP_i)*Q248*Ramure*Pc/MaxiM</f>
        <v>3.6182177873084892E-2</v>
      </c>
      <c r="Q248" s="305">
        <f t="shared" si="80"/>
        <v>0.8</v>
      </c>
      <c r="R248" s="177">
        <f t="shared" si="81"/>
        <v>0.97104308698839059</v>
      </c>
      <c r="S248" s="809">
        <f t="shared" si="82"/>
        <v>2</v>
      </c>
      <c r="T248" s="176">
        <f t="shared" si="83"/>
        <v>8</v>
      </c>
      <c r="U248" s="251">
        <f t="shared" si="84"/>
        <v>2.9710430869883906</v>
      </c>
      <c r="V248" s="383">
        <f t="shared" si="85"/>
        <v>40.75239070833512</v>
      </c>
      <c r="W248" s="402">
        <f t="shared" si="86"/>
        <v>21.89338372262549</v>
      </c>
      <c r="X248" s="157">
        <f t="shared" si="87"/>
        <v>46256</v>
      </c>
      <c r="Y248" s="385">
        <f t="shared" si="88"/>
        <v>20.252498186265363</v>
      </c>
      <c r="Z248" s="385">
        <f t="shared" si="89"/>
        <v>22.189827813705474</v>
      </c>
      <c r="AA248" s="386">
        <f t="shared" si="90"/>
        <v>26.333140285654871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0.15734213341074596</v>
      </c>
      <c r="AD248" s="231">
        <f>(INDEX(Models!$BJ248:$BT248,,AH248)*(1-AF248)+INDEX(Models!$BJ248:$BT248,,AH248+1)*AF248-ERP_i)*AE248*Ramure*Pc/MaxiM</f>
        <v>7.6389652746514158E-2</v>
      </c>
      <c r="AE248" s="305">
        <f t="shared" si="92"/>
        <v>0.8</v>
      </c>
      <c r="AF248" s="177">
        <f t="shared" si="93"/>
        <v>0.17175983415329377</v>
      </c>
      <c r="AG248" s="809">
        <f t="shared" si="99"/>
        <v>4</v>
      </c>
      <c r="AH248" s="176">
        <f t="shared" si="94"/>
        <v>10</v>
      </c>
      <c r="AI248" s="225">
        <f t="shared" si="95"/>
        <v>4.1717598341532938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IF(t&gt;Tmaj,'2025'!Wh/'2025'!Env_an*'2026'!Env_an,0.001*'[10]mon-tableau (1)'!$B$162)</f>
        <v>38.239241828609934</v>
      </c>
      <c r="C249" s="839"/>
      <c r="D249" s="393">
        <f t="shared" si="77"/>
        <v>41.898159312289621</v>
      </c>
      <c r="E249" s="385">
        <f t="shared" si="100"/>
        <v>46.644206893655848</v>
      </c>
      <c r="F249" s="385">
        <f t="shared" si="78"/>
        <v>48.327933994839292</v>
      </c>
      <c r="G249" s="110">
        <f t="shared" si="101"/>
        <v>0.94233666325392851</v>
      </c>
      <c r="H249" s="414" t="b">
        <f>Wh_hp&gt;='2025'!Maxi_hp</f>
        <v>0</v>
      </c>
      <c r="I249" s="390">
        <f>IF(H249,Wh_hp,'2025'!Maxi_hp)</f>
        <v>49.838510164075387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8.7328836009424676E-2</v>
      </c>
      <c r="M249" s="843"/>
      <c r="N249" s="843"/>
      <c r="O249" s="48">
        <f>IF(t&lt;Tnet,'2025'!Resal+('2025'!Salim-'2025'!Resal)*(1-EXP(('2025'!Tnet-t)/('2025'!Tau_j))),Resal+(Salim-Resal)*(1-EXP((Tnet-t)/(Tau_j))))*Salcycl</f>
        <v>0.10174998992236586</v>
      </c>
      <c r="P249" s="169">
        <f>(INDEX(Models!$BJ249:$BT249,,T249)*(1-R249)+INDEX(Models!$BJ249:$BT249,,T249+1)*R249-ERP_i)*Q249*Ramure*Pc/MaxiM</f>
        <v>3.7796804623380573E-2</v>
      </c>
      <c r="Q249" s="305">
        <f t="shared" si="80"/>
        <v>0.8</v>
      </c>
      <c r="R249" s="177">
        <f t="shared" si="81"/>
        <v>0.97213842572965437</v>
      </c>
      <c r="S249" s="809">
        <f t="shared" si="82"/>
        <v>2</v>
      </c>
      <c r="T249" s="176">
        <f t="shared" si="83"/>
        <v>8</v>
      </c>
      <c r="U249" s="251">
        <f t="shared" si="84"/>
        <v>2.9721384257296544</v>
      </c>
      <c r="V249" s="383">
        <f t="shared" si="85"/>
        <v>40.454840742820345</v>
      </c>
      <c r="W249" s="402">
        <f t="shared" si="86"/>
        <v>38.239241828609934</v>
      </c>
      <c r="X249" s="157">
        <f t="shared" si="87"/>
        <v>46257</v>
      </c>
      <c r="Y249" s="385">
        <f t="shared" si="88"/>
        <v>34.469217207561286</v>
      </c>
      <c r="Z249" s="385">
        <f t="shared" si="89"/>
        <v>37.767400316284373</v>
      </c>
      <c r="AA249" s="386">
        <f t="shared" si="90"/>
        <v>44.821138943741602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0.15737526519151832</v>
      </c>
      <c r="AD249" s="231">
        <f>(INDEX(Models!$BJ249:$BT249,,AH249)*(1-AF249)+INDEX(Models!$BJ249:$BT249,,AH249+1)*AF249-ERP_i)*AE249*Ramure*Pc/MaxiM</f>
        <v>7.8721573886536847E-2</v>
      </c>
      <c r="AE249" s="305">
        <f t="shared" si="92"/>
        <v>0.8</v>
      </c>
      <c r="AF249" s="177">
        <f t="shared" si="93"/>
        <v>0.17285517289455754</v>
      </c>
      <c r="AG249" s="809">
        <f t="shared" si="99"/>
        <v>4</v>
      </c>
      <c r="AH249" s="176">
        <f t="shared" si="94"/>
        <v>10</v>
      </c>
      <c r="AI249" s="225">
        <f t="shared" si="95"/>
        <v>4.1728551728945575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IF(t&gt;Tmaj,'2025'!Wh/'2025'!Env_an*'2026'!Env_an,0.001*'[10]mon-tableau (1)'!$B$163)</f>
        <v>35.356914028832279</v>
      </c>
      <c r="C250" s="839"/>
      <c r="D250" s="393">
        <f t="shared" si="77"/>
        <v>38.740958719209956</v>
      </c>
      <c r="E250" s="385">
        <f t="shared" si="100"/>
        <v>43.134843108025393</v>
      </c>
      <c r="F250" s="385">
        <f t="shared" si="78"/>
        <v>44.59337203261466</v>
      </c>
      <c r="G250" s="110">
        <f t="shared" si="101"/>
        <v>0.87441639400485882</v>
      </c>
      <c r="H250" s="414" t="b">
        <f>Wh_hp&gt;='2025'!Maxi_hp</f>
        <v>0</v>
      </c>
      <c r="I250" s="390">
        <f>IF(H250,Wh_hp,'2025'!Maxi_hp)</f>
        <v>49.324626465187585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8.7350566487134379E-2</v>
      </c>
      <c r="M250" s="843"/>
      <c r="N250" s="843"/>
      <c r="O250" s="48">
        <f>IF(t&lt;Tnet,'2025'!Resal+('2025'!Salim-'2025'!Resal)*(1-EXP(('2025'!Tnet-t)/('2025'!Tau_j))),Resal+(Salim-Resal)*(1-EXP((Tnet-t)/(Tau_j))))*Salcycl</f>
        <v>0.10186392420186963</v>
      </c>
      <c r="P250" s="169">
        <f>(INDEX(Models!$BJ250:$BT250,,T250)*(1-R250)+INDEX(Models!$BJ250:$BT250,,T250+1)*R250-ERP_i)*Q250*Ramure*Pc/MaxiM</f>
        <v>3.9437414320969172E-2</v>
      </c>
      <c r="Q250" s="305">
        <f t="shared" si="80"/>
        <v>0.8</v>
      </c>
      <c r="R250" s="177">
        <f t="shared" si="81"/>
        <v>0.97319361158925144</v>
      </c>
      <c r="S250" s="809">
        <f t="shared" si="82"/>
        <v>2</v>
      </c>
      <c r="T250" s="176">
        <f t="shared" si="83"/>
        <v>8</v>
      </c>
      <c r="U250" s="251">
        <f t="shared" si="84"/>
        <v>2.9731936115892514</v>
      </c>
      <c r="V250" s="383">
        <f t="shared" si="85"/>
        <v>40.153538101673014</v>
      </c>
      <c r="W250" s="402">
        <f t="shared" si="86"/>
        <v>35.356914028832279</v>
      </c>
      <c r="X250" s="157">
        <f t="shared" si="87"/>
        <v>46258</v>
      </c>
      <c r="Y250" s="385">
        <f t="shared" si="88"/>
        <v>31.98846799916117</v>
      </c>
      <c r="Z250" s="385">
        <f t="shared" si="89"/>
        <v>35.050115438120443</v>
      </c>
      <c r="AA250" s="386">
        <f t="shared" si="90"/>
        <v>41.597958081372397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0.15740778983534015</v>
      </c>
      <c r="AD250" s="231">
        <f>(INDEX(Models!$BJ250:$BT250,,AH250)*(1-AF250)+INDEX(Models!$BJ250:$BT250,,AH250+1)*AF250-ERP_i)*AE250*Ramure*Pc/MaxiM</f>
        <v>8.0993512755476768E-2</v>
      </c>
      <c r="AE250" s="305">
        <f t="shared" si="92"/>
        <v>0.8</v>
      </c>
      <c r="AF250" s="177">
        <f t="shared" si="93"/>
        <v>0.17391035875415461</v>
      </c>
      <c r="AG250" s="809">
        <f t="shared" si="99"/>
        <v>4</v>
      </c>
      <c r="AH250" s="176">
        <f t="shared" si="94"/>
        <v>10</v>
      </c>
      <c r="AI250" s="225">
        <f t="shared" si="95"/>
        <v>4.1739103587541546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IF(t&gt;Tmaj,'2025'!Wh/'2025'!Env_an*'2026'!Env_an,0.001*'[10]mon-tableau (1)'!$B$164)</f>
        <v>25.714829479758627</v>
      </c>
      <c r="C251" s="839"/>
      <c r="D251" s="393">
        <f t="shared" si="77"/>
        <v>28.176691744058417</v>
      </c>
      <c r="E251" s="385">
        <f t="shared" si="100"/>
        <v>31.376369451715863</v>
      </c>
      <c r="F251" s="385">
        <f t="shared" si="78"/>
        <v>32.025765863098464</v>
      </c>
      <c r="G251" s="110">
        <f t="shared" si="101"/>
        <v>0.63159797693335906</v>
      </c>
      <c r="H251" s="414" t="b">
        <f>Wh_hp&gt;='2025'!Maxi_hp</f>
        <v>0</v>
      </c>
      <c r="I251" s="390">
        <f>IF(H251,Wh_hp,'2025'!Maxi_hp)</f>
        <v>46.238410109379274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8.7372296459144155E-2</v>
      </c>
      <c r="M251" s="843"/>
      <c r="N251" s="843"/>
      <c r="O251" s="48">
        <f>IF(t&lt;Tnet,'2025'!Resal+('2025'!Salim-'2025'!Resal)*(1-EXP(('2025'!Tnet-t)/('2025'!Tau_j))),Resal+(Salim-Resal)*(1-EXP((Tnet-t)/(Tau_j))))*Salcycl</f>
        <v>0.10197730851497447</v>
      </c>
      <c r="P251" s="169">
        <f>(INDEX(Models!$BJ251:$BT251,,T251)*(1-R251)+INDEX(Models!$BJ251:$BT251,,T251+1)*R251-ERP_i)*Q251*Ramure*Pc/MaxiM</f>
        <v>4.1104674192703021E-2</v>
      </c>
      <c r="Q251" s="305">
        <f t="shared" si="80"/>
        <v>0.8</v>
      </c>
      <c r="R251" s="177">
        <f t="shared" si="81"/>
        <v>0.97420996979080865</v>
      </c>
      <c r="S251" s="809">
        <f t="shared" si="82"/>
        <v>2</v>
      </c>
      <c r="T251" s="176">
        <f t="shared" si="83"/>
        <v>8</v>
      </c>
      <c r="U251" s="251">
        <f t="shared" si="84"/>
        <v>2.9742099697908086</v>
      </c>
      <c r="V251" s="383">
        <f t="shared" si="85"/>
        <v>39.848406063761011</v>
      </c>
      <c r="W251" s="402">
        <f t="shared" si="86"/>
        <v>25.714829479758627</v>
      </c>
      <c r="X251" s="157">
        <f t="shared" si="87"/>
        <v>46259</v>
      </c>
      <c r="Y251" s="385">
        <f t="shared" si="88"/>
        <v>23.61522345460606</v>
      </c>
      <c r="Z251" s="385">
        <f t="shared" si="89"/>
        <v>25.876075603427999</v>
      </c>
      <c r="AA251" s="386">
        <f t="shared" si="90"/>
        <v>30.711244236116322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0.15743968546224449</v>
      </c>
      <c r="AD251" s="231">
        <f>(INDEX(Models!$BJ251:$BT251,,AH251)*(1-AF251)+INDEX(Models!$BJ251:$BT251,,AH251+1)*AF251-ERP_i)*AE251*Ramure*Pc/MaxiM</f>
        <v>8.3204930377307876E-2</v>
      </c>
      <c r="AE251" s="305">
        <f t="shared" si="92"/>
        <v>0.8</v>
      </c>
      <c r="AF251" s="177">
        <f t="shared" si="93"/>
        <v>0.17492671695571271</v>
      </c>
      <c r="AG251" s="809">
        <f t="shared" si="99"/>
        <v>4</v>
      </c>
      <c r="AH251" s="176">
        <f t="shared" si="94"/>
        <v>10</v>
      </c>
      <c r="AI251" s="225">
        <f t="shared" si="95"/>
        <v>4.1749267169557127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IF(t&gt;Tmaj,'2025'!Wh/'2025'!Env_an*'2026'!Env_an,0.001*'[10]mon-tableau (1)'!$B$165)</f>
        <v>34.122588476531263</v>
      </c>
      <c r="C252" s="839"/>
      <c r="D252" s="393">
        <f t="shared" si="77"/>
        <v>37.390275152575761</v>
      </c>
      <c r="E252" s="385">
        <f t="shared" si="100"/>
        <v>41.641456779791156</v>
      </c>
      <c r="F252" s="385">
        <f t="shared" si="78"/>
        <v>43.125983403219429</v>
      </c>
      <c r="G252" s="110">
        <f t="shared" si="101"/>
        <v>0.85551642556910046</v>
      </c>
      <c r="H252" s="414" t="b">
        <f>Wh_hp&gt;='2025'!Maxi_hp</f>
        <v>0</v>
      </c>
      <c r="I252" s="390">
        <f>IF(H252,Wh_hp,'2025'!Maxi_hp)</f>
        <v>47.616086487227513</v>
      </c>
      <c r="J252" s="85">
        <f>IF(H252,An,'2025'!An_max)</f>
        <v>2021</v>
      </c>
      <c r="K252" s="197">
        <f t="shared" si="79"/>
        <v>46260</v>
      </c>
      <c r="L252" s="147">
        <f>IF(t&lt;Tvie,1-EXP((T0-t)*PertePVj)+'2025'!Pspv,1-EXP((T0-t)*PertePVj)+Pspv)</f>
        <v>8.7394025925465663E-2</v>
      </c>
      <c r="M252" s="843"/>
      <c r="N252" s="843"/>
      <c r="O252" s="48">
        <f>IF(t&lt;Tnet,'2025'!Resal+('2025'!Salim-'2025'!Resal)*(1-EXP(('2025'!Tnet-t)/('2025'!Tau_j))),Resal+(Salim-Resal)*(1-EXP((Tnet-t)/(Tau_j))))*Salcycl</f>
        <v>0.10209012738666996</v>
      </c>
      <c r="P252" s="169">
        <f>(INDEX(Models!$BJ252:$BT252,,T252)*(1-R252)+INDEX(Models!$BJ252:$BT252,,T252+1)*R252-ERP_i)*Q252*Ramure*Pc/MaxiM</f>
        <v>4.2799275346658144E-2</v>
      </c>
      <c r="Q252" s="305">
        <f t="shared" si="80"/>
        <v>0.8</v>
      </c>
      <c r="R252" s="177">
        <f t="shared" si="81"/>
        <v>0.97518879299249317</v>
      </c>
      <c r="S252" s="809">
        <f t="shared" si="82"/>
        <v>2</v>
      </c>
      <c r="T252" s="176">
        <f t="shared" si="83"/>
        <v>8</v>
      </c>
      <c r="U252" s="251">
        <f t="shared" si="84"/>
        <v>2.9751887929924932</v>
      </c>
      <c r="V252" s="383">
        <f t="shared" si="85"/>
        <v>39.539368800055989</v>
      </c>
      <c r="W252" s="402">
        <f t="shared" si="86"/>
        <v>34.122588476531263</v>
      </c>
      <c r="X252" s="157">
        <f t="shared" si="87"/>
        <v>46260</v>
      </c>
      <c r="Y252" s="385">
        <f t="shared" si="88"/>
        <v>30.883034767454685</v>
      </c>
      <c r="Z252" s="385">
        <f t="shared" si="89"/>
        <v>33.840491564580098</v>
      </c>
      <c r="AA252" s="386">
        <f t="shared" si="90"/>
        <v>40.165369654143262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0.15747092941072241</v>
      </c>
      <c r="AD252" s="231">
        <f>(INDEX(Models!$BJ252:$BT252,,AH252)*(1-AF252)+INDEX(Models!$BJ252:$BT252,,AH252+1)*AF252-ERP_i)*AE252*Ramure*Pc/MaxiM</f>
        <v>8.5355237852987348E-2</v>
      </c>
      <c r="AE252" s="305">
        <f t="shared" si="92"/>
        <v>0.8</v>
      </c>
      <c r="AF252" s="177">
        <f t="shared" si="93"/>
        <v>0.17590554015739635</v>
      </c>
      <c r="AG252" s="809">
        <f t="shared" si="99"/>
        <v>4</v>
      </c>
      <c r="AH252" s="176">
        <f t="shared" si="94"/>
        <v>10</v>
      </c>
      <c r="AI252" s="225">
        <f t="shared" si="95"/>
        <v>4.1759055401573963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IF(t&gt;Tmaj,'2025'!Wh/'2025'!Env_an*'2026'!Env_an,0.001*'[10]mon-tableau (1)'!$B$166)</f>
        <v>36.732351901324549</v>
      </c>
      <c r="C253" s="839"/>
      <c r="D253" s="393">
        <f t="shared" si="77"/>
        <v>40.250916118698065</v>
      </c>
      <c r="E253" s="385">
        <f t="shared" si="100"/>
        <v>44.832949586642236</v>
      </c>
      <c r="F253" s="385">
        <f t="shared" si="78"/>
        <v>46.724259427038412</v>
      </c>
      <c r="G253" s="110">
        <f t="shared" si="101"/>
        <v>0.93247384245769593</v>
      </c>
      <c r="H253" s="414" t="b">
        <f>Wh_hp&gt;='2025'!Maxi_hp</f>
        <v>0</v>
      </c>
      <c r="I253" s="390">
        <f>IF(H253,Wh_hp,'2025'!Maxi_hp)</f>
        <v>46.908830165667723</v>
      </c>
      <c r="J253" s="85">
        <f>IF(H253,An,'2025'!An_max)</f>
        <v>2022</v>
      </c>
      <c r="K253" s="197">
        <f t="shared" si="79"/>
        <v>46261</v>
      </c>
      <c r="L253" s="147">
        <f>IF(t&lt;Tvie,1-EXP((T0-t)*PertePVj)+'2025'!Pspv,1-EXP((T0-t)*PertePVj)+Pspv)</f>
        <v>8.741575488611078E-2</v>
      </c>
      <c r="M253" s="843"/>
      <c r="N253" s="843"/>
      <c r="O253" s="48">
        <f>IF(t&lt;Tnet,'2025'!Resal+('2025'!Salim-'2025'!Resal)*(1-EXP(('2025'!Tnet-t)/('2025'!Tau_j))),Resal+(Salim-Resal)*(1-EXP((Tnet-t)/(Tau_j))))*Salcycl</f>
        <v>0.1022023647828285</v>
      </c>
      <c r="P253" s="169">
        <f>(INDEX(Models!$BJ253:$BT253,,T253)*(1-R253)+INDEX(Models!$BJ253:$BT253,,T253+1)*R253-ERP_i)*Q253*Ramure*Pc/MaxiM</f>
        <v>4.4521957727474873E-2</v>
      </c>
      <c r="Q253" s="305">
        <f t="shared" si="80"/>
        <v>0.8</v>
      </c>
      <c r="R253" s="177">
        <f t="shared" si="81"/>
        <v>0.97613134119478984</v>
      </c>
      <c r="S253" s="809">
        <f t="shared" si="82"/>
        <v>2</v>
      </c>
      <c r="T253" s="176">
        <f t="shared" si="83"/>
        <v>8</v>
      </c>
      <c r="U253" s="251">
        <f t="shared" si="84"/>
        <v>2.9761313411947898</v>
      </c>
      <c r="V253" s="383">
        <f t="shared" si="85"/>
        <v>39.226350419306719</v>
      </c>
      <c r="W253" s="402">
        <f t="shared" si="86"/>
        <v>36.732351901324549</v>
      </c>
      <c r="X253" s="157">
        <f t="shared" si="87"/>
        <v>46261</v>
      </c>
      <c r="Y253" s="385">
        <f t="shared" si="88"/>
        <v>33.067976714877304</v>
      </c>
      <c r="Z253" s="385">
        <f t="shared" si="89"/>
        <v>36.235533203567925</v>
      </c>
      <c r="AA253" s="386">
        <f t="shared" si="90"/>
        <v>43.009611444570183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0.1575014982344711</v>
      </c>
      <c r="AD253" s="231">
        <f>(INDEX(Models!$BJ253:$BT253,,AH253)*(1-AF253)+INDEX(Models!$BJ253:$BT253,,AH253+1)*AF253-ERP_i)*AE253*Ramure*Pc/MaxiM</f>
        <v>8.7443842841349012E-2</v>
      </c>
      <c r="AE253" s="305">
        <f t="shared" si="92"/>
        <v>0.8</v>
      </c>
      <c r="AF253" s="177">
        <f t="shared" si="93"/>
        <v>0.17684808835969346</v>
      </c>
      <c r="AG253" s="809">
        <f t="shared" si="99"/>
        <v>4</v>
      </c>
      <c r="AH253" s="176">
        <f t="shared" si="94"/>
        <v>10</v>
      </c>
      <c r="AI253" s="225">
        <f t="shared" si="95"/>
        <v>4.1768480883596935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IF(t&gt;Tmaj,'2025'!Wh/'2025'!Env_an*'2026'!Env_an,0.001*'[10]mon-tableau (1)'!$B$167)</f>
        <v>35.597668785332914</v>
      </c>
      <c r="C254" s="839"/>
      <c r="D254" s="393">
        <f t="shared" si="77"/>
        <v>39.008471349079485</v>
      </c>
      <c r="E254" s="385">
        <f t="shared" si="100"/>
        <v>43.454472418070473</v>
      </c>
      <c r="F254" s="385">
        <f t="shared" si="78"/>
        <v>45.293969691866259</v>
      </c>
      <c r="G254" s="110">
        <f t="shared" si="101"/>
        <v>0.90949050068092474</v>
      </c>
      <c r="H254" s="414" t="b">
        <f>Wh_hp&gt;='2025'!Maxi_hp</f>
        <v>0</v>
      </c>
      <c r="I254" s="390">
        <f>IF(H254,Wh_hp,'2025'!Maxi_hp)</f>
        <v>48.563065558192143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8.7437483341091277E-2</v>
      </c>
      <c r="M254" s="843"/>
      <c r="N254" s="843"/>
      <c r="O254" s="48">
        <f>IF(t&lt;Tnet,'2025'!Resal+('2025'!Salim-'2025'!Resal)*(1-EXP(('2025'!Tnet-t)/('2025'!Tau_j))),Resal+(Salim-Resal)*(1-EXP((Tnet-t)/(Tau_j))))*Salcycl</f>
        <v>0.10231400409643727</v>
      </c>
      <c r="P254" s="169">
        <f>(INDEX(Models!$BJ254:$BT254,,T254)*(1-R254)+INDEX(Models!$BJ254:$BT254,,T254+1)*R254-ERP_i)*Q254*Ramure*Pc/MaxiM</f>
        <v>4.6236518374238686E-2</v>
      </c>
      <c r="Q254" s="305">
        <f t="shared" si="80"/>
        <v>0.8</v>
      </c>
      <c r="R254" s="177">
        <f t="shared" si="81"/>
        <v>0.97703884173786149</v>
      </c>
      <c r="S254" s="809">
        <f t="shared" si="82"/>
        <v>2</v>
      </c>
      <c r="T254" s="176">
        <f t="shared" si="83"/>
        <v>8</v>
      </c>
      <c r="U254" s="251">
        <f t="shared" si="84"/>
        <v>2.9770388417378615</v>
      </c>
      <c r="V254" s="383">
        <f t="shared" si="85"/>
        <v>38.910784238945574</v>
      </c>
      <c r="W254" s="402">
        <f t="shared" si="86"/>
        <v>35.597668785332914</v>
      </c>
      <c r="X254" s="157">
        <f t="shared" si="87"/>
        <v>46262</v>
      </c>
      <c r="Y254" s="385">
        <f t="shared" si="88"/>
        <v>32.087612696454194</v>
      </c>
      <c r="Z254" s="385">
        <f t="shared" si="89"/>
        <v>35.162098059795369</v>
      </c>
      <c r="AA254" s="386">
        <f t="shared" si="90"/>
        <v>41.736981901803738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0.15753136768435627</v>
      </c>
      <c r="AD254" s="231">
        <f>(INDEX(Models!$BJ254:$BT254,,AH254)*(1-AF254)+INDEX(Models!$BJ254:$BT254,,AH254+1)*AF254-ERP_i)*AE254*Ramure*Pc/MaxiM</f>
        <v>8.9406346861716862E-2</v>
      </c>
      <c r="AE254" s="305">
        <f t="shared" si="92"/>
        <v>0.8</v>
      </c>
      <c r="AF254" s="177">
        <f t="shared" si="93"/>
        <v>0.1777555889027651</v>
      </c>
      <c r="AG254" s="809">
        <f t="shared" si="99"/>
        <v>4</v>
      </c>
      <c r="AH254" s="176">
        <f t="shared" si="94"/>
        <v>10</v>
      </c>
      <c r="AI254" s="225">
        <f t="shared" si="95"/>
        <v>4.1777555889027651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IF(t&gt;Tmaj,'2025'!Wh/'2025'!Env_an*'2026'!Env_an,0.001*'[10]mon-tableau (1)'!$B$168)</f>
        <v>25.238384186738877</v>
      </c>
      <c r="C255" s="839"/>
      <c r="D255" s="393">
        <f t="shared" si="77"/>
        <v>27.657266939736839</v>
      </c>
      <c r="E255" s="385">
        <f t="shared" si="100"/>
        <v>30.813322347837087</v>
      </c>
      <c r="F255" s="385">
        <f t="shared" si="78"/>
        <v>31.578604828212857</v>
      </c>
      <c r="G255" s="110">
        <f t="shared" si="101"/>
        <v>0.63807965142511347</v>
      </c>
      <c r="H255" s="414" t="b">
        <f>Wh_hp&gt;='2025'!Maxi_hp</f>
        <v>0</v>
      </c>
      <c r="I255" s="390">
        <f>IF(H255,Wh_hp,'2025'!Maxi_hp)</f>
        <v>47.495208459406513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8.745921129041892E-2</v>
      </c>
      <c r="M255" s="843"/>
      <c r="N255" s="843"/>
      <c r="O255" s="48">
        <f>IF(t&lt;Tnet,'2025'!Resal+('2025'!Salim-'2025'!Resal)*(1-EXP(('2025'!Tnet-t)/('2025'!Tau_j))),Resal+(Salim-Resal)*(1-EXP((Tnet-t)/(Tau_j))))*Salcycl</f>
        <v>0.10242502812494624</v>
      </c>
      <c r="P255" s="169">
        <f>(INDEX(Models!$BJ255:$BT255,,T255)*(1-R255)+INDEX(Models!$BJ255:$BT255,,T255+1)*R255-ERP_i)*Q255*Ramure*Pc/MaxiM</f>
        <v>4.7926414120267567E-2</v>
      </c>
      <c r="Q255" s="305">
        <f t="shared" si="80"/>
        <v>0.8</v>
      </c>
      <c r="R255" s="177">
        <f t="shared" si="81"/>
        <v>0.97791248938061504</v>
      </c>
      <c r="S255" s="809">
        <f t="shared" si="82"/>
        <v>2</v>
      </c>
      <c r="T255" s="176">
        <f t="shared" si="83"/>
        <v>8</v>
      </c>
      <c r="U255" s="251">
        <f t="shared" si="84"/>
        <v>2.977912489380615</v>
      </c>
      <c r="V255" s="383">
        <f t="shared" si="85"/>
        <v>38.593270163703508</v>
      </c>
      <c r="W255" s="402">
        <f t="shared" si="86"/>
        <v>25.238384186738877</v>
      </c>
      <c r="X255" s="157">
        <f t="shared" si="87"/>
        <v>46263</v>
      </c>
      <c r="Y255" s="385">
        <f t="shared" si="88"/>
        <v>23.155938729395498</v>
      </c>
      <c r="Z255" s="385">
        <f t="shared" si="89"/>
        <v>25.37523693832928</v>
      </c>
      <c r="AA255" s="386">
        <f t="shared" si="90"/>
        <v>30.121139049354344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0.15756051267678722</v>
      </c>
      <c r="AD255" s="231">
        <f>(INDEX(Models!$BJ255:$BT255,,AH255)*(1-AF255)+INDEX(Models!$BJ255:$BT255,,AH255+1)*AF255-ERP_i)*AE255*Ramure*Pc/MaxiM</f>
        <v>9.1274934778845421E-2</v>
      </c>
      <c r="AE255" s="305">
        <f t="shared" si="92"/>
        <v>0.8</v>
      </c>
      <c r="AF255" s="177">
        <f t="shared" si="93"/>
        <v>0.1786292365455191</v>
      </c>
      <c r="AG255" s="809">
        <f t="shared" si="99"/>
        <v>4</v>
      </c>
      <c r="AH255" s="176">
        <f t="shared" si="94"/>
        <v>10</v>
      </c>
      <c r="AI255" s="225">
        <f t="shared" si="95"/>
        <v>4.1786292365455191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IF(t&gt;Tmaj,'2025'!Wh/'2025'!Env_an*'2026'!Env_an,0.001*'[10]mon-tableau (1)'!$B$169)</f>
        <v>35.446584903854344</v>
      </c>
      <c r="C256" s="839"/>
      <c r="D256" s="393">
        <f t="shared" si="77"/>
        <v>38.844761066887706</v>
      </c>
      <c r="E256" s="385">
        <f t="shared" si="100"/>
        <v>43.282778943007919</v>
      </c>
      <c r="F256" s="385">
        <f t="shared" si="78"/>
        <v>45.291857181177924</v>
      </c>
      <c r="G256" s="110">
        <f t="shared" si="101"/>
        <v>0.92106209054336685</v>
      </c>
      <c r="H256" s="414" t="b">
        <f>Wh_hp&gt;='2025'!Maxi_hp</f>
        <v>0</v>
      </c>
      <c r="I256" s="390">
        <f>IF(H256,Wh_hp,'2025'!Maxi_hp)</f>
        <v>46.563941644559634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8.7480938734105368E-2</v>
      </c>
      <c r="M256" s="843"/>
      <c r="N256" s="843"/>
      <c r="O256" s="48">
        <f>IF(t&lt;Tnet,'2025'!Resal+('2025'!Salim-'2025'!Resal)*(1-EXP(('2025'!Tnet-t)/('2025'!Tau_j))),Resal+(Salim-Resal)*(1-EXP((Tnet-t)/(Tau_j))))*Salcycl</f>
        <v>0.10253541903961202</v>
      </c>
      <c r="P256" s="169">
        <f>(INDEX(Models!$BJ256:$BT256,,T256)*(1-R256)+INDEX(Models!$BJ256:$BT256,,T256+1)*R256-ERP_i)*Q256*Ramure*Pc/MaxiM</f>
        <v>4.9591559460638694E-2</v>
      </c>
      <c r="Q256" s="305">
        <f t="shared" si="80"/>
        <v>0.8</v>
      </c>
      <c r="R256" s="177">
        <f t="shared" si="81"/>
        <v>0.97875344645402507</v>
      </c>
      <c r="S256" s="809">
        <f t="shared" si="82"/>
        <v>2</v>
      </c>
      <c r="T256" s="176">
        <f t="shared" si="83"/>
        <v>8</v>
      </c>
      <c r="U256" s="251">
        <f t="shared" si="84"/>
        <v>2.9787534464540251</v>
      </c>
      <c r="V256" s="383">
        <f t="shared" si="85"/>
        <v>38.27372824242655</v>
      </c>
      <c r="W256" s="402">
        <f t="shared" si="86"/>
        <v>35.446584903854344</v>
      </c>
      <c r="X256" s="157">
        <f t="shared" si="87"/>
        <v>46264</v>
      </c>
      <c r="Y256" s="385">
        <f t="shared" si="88"/>
        <v>31.91880936013284</v>
      </c>
      <c r="Z256" s="385">
        <f t="shared" si="89"/>
        <v>34.978786433078319</v>
      </c>
      <c r="AA256" s="386">
        <f t="shared" si="90"/>
        <v>41.522229151671951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0.15758890724994107</v>
      </c>
      <c r="AD256" s="231">
        <f>(INDEX(Models!$BJ256:$BT256,,AH256)*(1-AF256)+INDEX(Models!$BJ256:$BT256,,AH256+1)*AF256-ERP_i)*AE256*Ramure*Pc/MaxiM</f>
        <v>9.3048508026254889E-2</v>
      </c>
      <c r="AE256" s="305">
        <f t="shared" si="92"/>
        <v>0.8</v>
      </c>
      <c r="AF256" s="177">
        <f t="shared" si="93"/>
        <v>0.17947019361892824</v>
      </c>
      <c r="AG256" s="809">
        <f t="shared" si="99"/>
        <v>4</v>
      </c>
      <c r="AH256" s="176">
        <f t="shared" si="94"/>
        <v>10</v>
      </c>
      <c r="AI256" s="225">
        <f t="shared" si="95"/>
        <v>4.1794701936189282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IF(t&gt;Tmaj,'2025'!Wh/'2025'!Env_an*'2026'!Env_an,0.001*'[10]mon-tableau (1)'!$B$170)</f>
        <v>19.503228080070045</v>
      </c>
      <c r="C257" s="839"/>
      <c r="D257" s="393">
        <f t="shared" si="77"/>
        <v>21.373463073660904</v>
      </c>
      <c r="E257" s="385">
        <f t="shared" si="100"/>
        <v>23.818295819644803</v>
      </c>
      <c r="F257" s="385">
        <f t="shared" si="78"/>
        <v>24.197085047926091</v>
      </c>
      <c r="G257" s="110">
        <f t="shared" si="101"/>
        <v>0.4953171769002031</v>
      </c>
      <c r="H257" s="414" t="b">
        <f>Wh_hp&gt;='2025'!Maxi_hp</f>
        <v>0</v>
      </c>
      <c r="I257" s="390">
        <f>IF(H257,Wh_hp,'2025'!Maxi_hp)</f>
        <v>46.070387290584499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8.75026656721625E-2</v>
      </c>
      <c r="M257" s="843"/>
      <c r="N257" s="843"/>
      <c r="O257" s="48">
        <f>IF(t&lt;Tnet,'2025'!Resal+('2025'!Salim-'2025'!Resal)*(1-EXP(('2025'!Tnet-t)/('2025'!Tau_j))),Resal+(Salim-Resal)*(1-EXP((Tnet-t)/(Tau_j))))*Salcycl</f>
        <v>0.10264515834787202</v>
      </c>
      <c r="P257" s="169">
        <f>(INDEX(Models!$BJ257:$BT257,,T257)*(1-R257)+INDEX(Models!$BJ257:$BT257,,T257+1)*R257-ERP_i)*Q257*Ramure*Pc/MaxiM</f>
        <v>5.1231877817570416E-2</v>
      </c>
      <c r="Q257" s="305">
        <f t="shared" si="80"/>
        <v>0.8</v>
      </c>
      <c r="R257" s="177">
        <f t="shared" si="81"/>
        <v>0.97956284308166497</v>
      </c>
      <c r="S257" s="809">
        <f t="shared" si="82"/>
        <v>2</v>
      </c>
      <c r="T257" s="176">
        <f t="shared" si="83"/>
        <v>8</v>
      </c>
      <c r="U257" s="251">
        <f t="shared" si="84"/>
        <v>2.979562843081665</v>
      </c>
      <c r="V257" s="383">
        <f t="shared" si="85"/>
        <v>37.952078104936497</v>
      </c>
      <c r="W257" s="402">
        <f t="shared" si="86"/>
        <v>19.503228080070045</v>
      </c>
      <c r="X257" s="157">
        <f t="shared" si="87"/>
        <v>46265</v>
      </c>
      <c r="Y257" s="385">
        <f t="shared" si="88"/>
        <v>18.061284513031719</v>
      </c>
      <c r="Z257" s="385">
        <f t="shared" si="89"/>
        <v>19.793246329136945</v>
      </c>
      <c r="AA257" s="386">
        <f t="shared" si="90"/>
        <v>23.496717237493051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0.15761652450949962</v>
      </c>
      <c r="AD257" s="231">
        <f>(INDEX(Models!$BJ257:$BT257,,AH257)*(1-AF257)+INDEX(Models!$BJ257:$BT257,,AH257+1)*AF257-ERP_i)*AE257*Ramure*Pc/MaxiM</f>
        <v>9.4725919884974571E-2</v>
      </c>
      <c r="AE257" s="305">
        <f t="shared" si="92"/>
        <v>0.8</v>
      </c>
      <c r="AF257" s="177">
        <f t="shared" si="93"/>
        <v>0.18027959024656859</v>
      </c>
      <c r="AG257" s="809">
        <f t="shared" si="99"/>
        <v>4</v>
      </c>
      <c r="AH257" s="176">
        <f t="shared" si="94"/>
        <v>10</v>
      </c>
      <c r="AI257" s="225">
        <f t="shared" si="95"/>
        <v>4.1802795902465686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IF(t&gt;Tmaj,'2025'!Wh/'2025'!Env_an*'2026'!Env_an,0.001*'[11]mon-tableau (3)'!$B$136)</f>
        <v>31.342990332621362</v>
      </c>
      <c r="C258" s="839"/>
      <c r="D258" s="393">
        <f t="shared" si="77"/>
        <v>34.34940075265483</v>
      </c>
      <c r="E258" s="385">
        <f t="shared" si="100"/>
        <v>38.283156946017058</v>
      </c>
      <c r="F258" s="385">
        <f t="shared" si="78"/>
        <v>39.888126335319868</v>
      </c>
      <c r="G258" s="110">
        <f t="shared" si="101"/>
        <v>0.82202008540317761</v>
      </c>
      <c r="H258" s="414" t="b">
        <f>Wh_hp&gt;='2025'!Maxi_hp</f>
        <v>0</v>
      </c>
      <c r="I258" s="390">
        <f>IF(H258,Wh_hp,'2025'!Maxi_hp)</f>
        <v>47.663426724874789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8.7524392104601972E-2</v>
      </c>
      <c r="M258" s="843"/>
      <c r="N258" s="843"/>
      <c r="O258" s="48">
        <f>IF(t&lt;Tnet,'2025'!Resal+('2025'!Salim-'2025'!Resal)*(1-EXP(('2025'!Tnet-t)/('2025'!Tau_j))),Resal+(Salim-Resal)*(1-EXP((Tnet-t)/(Tau_j))))*Salcycl</f>
        <v>0.10275422684992262</v>
      </c>
      <c r="P258" s="169">
        <f>(INDEX(Models!$BJ258:$BT258,,T258)*(1-R258)+INDEX(Models!$BJ258:$BT258,,T258+1)*R258-ERP_i)*Q258*Ramure*Pc/MaxiM</f>
        <v>5.2847300568546918E-2</v>
      </c>
      <c r="Q258" s="305">
        <f t="shared" si="80"/>
        <v>0.8</v>
      </c>
      <c r="R258" s="177">
        <f t="shared" si="81"/>
        <v>0.98034177746081097</v>
      </c>
      <c r="S258" s="809">
        <f t="shared" si="82"/>
        <v>2</v>
      </c>
      <c r="T258" s="176">
        <f t="shared" si="83"/>
        <v>8</v>
      </c>
      <c r="U258" s="251">
        <f t="shared" si="84"/>
        <v>2.980341777460811</v>
      </c>
      <c r="V258" s="383">
        <f t="shared" si="85"/>
        <v>37.628238982738893</v>
      </c>
      <c r="W258" s="402">
        <f t="shared" si="86"/>
        <v>31.342990332621362</v>
      </c>
      <c r="X258" s="157">
        <f t="shared" si="87"/>
        <v>46266</v>
      </c>
      <c r="Y258" s="385">
        <f t="shared" si="88"/>
        <v>28.41111304833165</v>
      </c>
      <c r="Z258" s="385">
        <f t="shared" si="89"/>
        <v>31.136298661025211</v>
      </c>
      <c r="AA258" s="386">
        <f t="shared" si="90"/>
        <v>36.963319710779551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0.15764333656576351</v>
      </c>
      <c r="AD258" s="231">
        <f>(INDEX(Models!$BJ258:$BT258,,AH258)*(1-AF258)+INDEX(Models!$BJ258:$BT258,,AH258+1)*AF258-ERP_i)*AE258*Ramure*Pc/MaxiM</f>
        <v>9.6305970582468745E-2</v>
      </c>
      <c r="AE258" s="305">
        <f t="shared" si="92"/>
        <v>0.8</v>
      </c>
      <c r="AF258" s="177">
        <f t="shared" si="93"/>
        <v>0.18105852462571459</v>
      </c>
      <c r="AG258" s="809">
        <f t="shared" si="99"/>
        <v>4</v>
      </c>
      <c r="AH258" s="176">
        <f t="shared" si="94"/>
        <v>10</v>
      </c>
      <c r="AI258" s="225">
        <f t="shared" si="95"/>
        <v>4.1810585246257146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IF(t&gt;Tmaj,'2025'!Wh/'2025'!Env_an*'2026'!Env_an,0.001*'[11]mon-tableau (3)'!$B$137)</f>
        <v>30.154748193883943</v>
      </c>
      <c r="C259" s="839"/>
      <c r="D259" s="393">
        <f t="shared" si="77"/>
        <v>33.047969645136355</v>
      </c>
      <c r="E259" s="385">
        <f t="shared" si="100"/>
        <v>36.837133101627906</v>
      </c>
      <c r="F259" s="385">
        <f t="shared" si="78"/>
        <v>38.353506479619696</v>
      </c>
      <c r="G259" s="110">
        <f t="shared" si="101"/>
        <v>0.79585041720724703</v>
      </c>
      <c r="H259" s="414" t="b">
        <f>Wh_hp&gt;='2025'!Maxi_hp</f>
        <v>0</v>
      </c>
      <c r="I259" s="390">
        <f>IF(H259,Wh_hp,'2025'!Maxi_hp)</f>
        <v>47.150040214573764</v>
      </c>
      <c r="J259" s="85">
        <f>IF(H259,An,'2025'!An_max)</f>
        <v>2020</v>
      </c>
      <c r="K259" s="197">
        <f t="shared" si="79"/>
        <v>46267</v>
      </c>
      <c r="L259" s="147">
        <f>IF(t&lt;Tvie,1-EXP((T0-t)*PertePVj)+'2025'!Pspv,1-EXP((T0-t)*PertePVj)+Pspv)</f>
        <v>8.7546118031435666E-2</v>
      </c>
      <c r="M259" s="843"/>
      <c r="N259" s="843"/>
      <c r="O259" s="48">
        <f>IF(t&lt;Tnet,'2025'!Resal+('2025'!Salim-'2025'!Resal)*(1-EXP(('2025'!Tnet-t)/('2025'!Tau_j))),Resal+(Salim-Resal)*(1-EXP((Tnet-t)/(Tau_j))))*Salcycl</f>
        <v>0.10286260459080356</v>
      </c>
      <c r="P259" s="169">
        <f>(INDEX(Models!$BJ259:$BT259,,T259)*(1-R259)+INDEX(Models!$BJ259:$BT259,,T259+1)*R259-ERP_i)*Q259*Ramure*Pc/MaxiM</f>
        <v>5.4437766049375863E-2</v>
      </c>
      <c r="Q259" s="305">
        <f t="shared" si="80"/>
        <v>0.8</v>
      </c>
      <c r="R259" s="177">
        <f t="shared" si="81"/>
        <v>0.98109131619785872</v>
      </c>
      <c r="S259" s="809">
        <f t="shared" si="82"/>
        <v>2</v>
      </c>
      <c r="T259" s="176">
        <f t="shared" si="83"/>
        <v>8</v>
      </c>
      <c r="U259" s="251">
        <f t="shared" si="84"/>
        <v>2.9810913161978587</v>
      </c>
      <c r="V259" s="383">
        <f t="shared" si="85"/>
        <v>37.302129742394968</v>
      </c>
      <c r="W259" s="402">
        <f t="shared" si="86"/>
        <v>30.154748193883943</v>
      </c>
      <c r="X259" s="157">
        <f t="shared" si="87"/>
        <v>46267</v>
      </c>
      <c r="Y259" s="385">
        <f t="shared" si="88"/>
        <v>27.384496106169539</v>
      </c>
      <c r="Z259" s="385">
        <f t="shared" si="89"/>
        <v>30.011923503562873</v>
      </c>
      <c r="AA259" s="386">
        <f t="shared" si="90"/>
        <v>35.629621500102694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0.15766931446419183</v>
      </c>
      <c r="AD259" s="231">
        <f>(INDEX(Models!$BJ259:$BT259,,AH259)*(1-AF259)+INDEX(Models!$BJ259:$BT259,,AH259+1)*AF259-ERP_i)*AE259*Ramure*Pc/MaxiM</f>
        <v>9.7787402108531166E-2</v>
      </c>
      <c r="AE259" s="305">
        <f t="shared" si="92"/>
        <v>0.8</v>
      </c>
      <c r="AF259" s="177">
        <f t="shared" si="93"/>
        <v>0.18180806336276234</v>
      </c>
      <c r="AG259" s="809">
        <f t="shared" si="99"/>
        <v>4</v>
      </c>
      <c r="AH259" s="176">
        <f t="shared" si="94"/>
        <v>10</v>
      </c>
      <c r="AI259" s="225">
        <f t="shared" si="95"/>
        <v>4.1818080633627623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IF(t&gt;Tmaj,'2025'!Wh/'2025'!Env_an*'2026'!Env_an,0.001*'[11]mon-tableau (3)'!$B$138)</f>
        <v>28.037433606642679</v>
      </c>
      <c r="C260" s="839"/>
      <c r="D260" s="393">
        <f t="shared" si="77"/>
        <v>30.728239250945858</v>
      </c>
      <c r="E260" s="385">
        <f t="shared" si="100"/>
        <v>34.255541651526251</v>
      </c>
      <c r="F260" s="385">
        <f t="shared" si="78"/>
        <v>35.55938914773288</v>
      </c>
      <c r="G260" s="110">
        <f t="shared" si="101"/>
        <v>0.74308702265439586</v>
      </c>
      <c r="H260" s="414" t="b">
        <f>Wh_hp&gt;='2025'!Maxi_hp</f>
        <v>0</v>
      </c>
      <c r="I260" s="390">
        <f>IF(H260,Wh_hp,'2025'!Maxi_hp)</f>
        <v>48.613808475226271</v>
      </c>
      <c r="J260" s="85">
        <f>IF(H260,An,'2025'!An_max)</f>
        <v>2019</v>
      </c>
      <c r="K260" s="197">
        <f t="shared" si="79"/>
        <v>46268</v>
      </c>
      <c r="L260" s="147">
        <f>IF(t&lt;Tvie,1-EXP((T0-t)*PertePVj)+'2025'!Pspv,1-EXP((T0-t)*PertePVj)+Pspv)</f>
        <v>8.7567843452675348E-2</v>
      </c>
      <c r="M260" s="843"/>
      <c r="N260" s="843"/>
      <c r="O260" s="48">
        <f>IF(t&lt;Tnet,'2025'!Resal+('2025'!Salim-'2025'!Resal)*(1-EXP(('2025'!Tnet-t)/('2025'!Tau_j))),Resal+(Salim-Resal)*(1-EXP((Tnet-t)/(Tau_j))))*Salcycl</f>
        <v>0.10297027080940149</v>
      </c>
      <c r="P260" s="169">
        <f>(INDEX(Models!$BJ260:$BT260,,T260)*(1-R260)+INDEX(Models!$BJ260:$BT260,,T260+1)*R260-ERP_i)*Q260*Ramure*Pc/MaxiM</f>
        <v>5.6003218573795852E-2</v>
      </c>
      <c r="Q260" s="305">
        <f t="shared" si="80"/>
        <v>0.8</v>
      </c>
      <c r="R260" s="177">
        <f t="shared" si="81"/>
        <v>0.98181249469220955</v>
      </c>
      <c r="S260" s="809">
        <f t="shared" si="82"/>
        <v>2</v>
      </c>
      <c r="T260" s="176">
        <f t="shared" si="83"/>
        <v>8</v>
      </c>
      <c r="U260" s="251">
        <f t="shared" si="84"/>
        <v>2.9818124946922095</v>
      </c>
      <c r="V260" s="383">
        <f t="shared" si="85"/>
        <v>36.973668901945601</v>
      </c>
      <c r="W260" s="402">
        <f t="shared" si="86"/>
        <v>28.037433606642679</v>
      </c>
      <c r="X260" s="157">
        <f t="shared" si="87"/>
        <v>46268</v>
      </c>
      <c r="Y260" s="385">
        <f t="shared" si="88"/>
        <v>25.554618113430053</v>
      </c>
      <c r="Z260" s="385">
        <f t="shared" si="89"/>
        <v>28.00714324901659</v>
      </c>
      <c r="AA260" s="386">
        <f t="shared" si="90"/>
        <v>33.25057340678061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0.15769442811156922</v>
      </c>
      <c r="AD260" s="231">
        <f>(INDEX(Models!$BJ260:$BT260,,AH260)*(1-AF260)+INDEX(Models!$BJ260:$BT260,,AH260+1)*AF260-ERP_i)*AE260*Ramure*Pc/MaxiM</f>
        <v>9.9168892806371436E-2</v>
      </c>
      <c r="AE260" s="305">
        <f t="shared" si="92"/>
        <v>0.8</v>
      </c>
      <c r="AF260" s="177">
        <f t="shared" si="93"/>
        <v>0.18252924185711272</v>
      </c>
      <c r="AG260" s="809">
        <f t="shared" si="99"/>
        <v>4</v>
      </c>
      <c r="AH260" s="176">
        <f t="shared" si="94"/>
        <v>10</v>
      </c>
      <c r="AI260" s="225">
        <f t="shared" si="95"/>
        <v>4.1825292418571127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IF(t&gt;Tmaj,'2025'!Wh/'2025'!Env_an*'2026'!Env_an,0.001*'[11]mon-tableau (3)'!$B$139)</f>
        <v>32.522685758282172</v>
      </c>
      <c r="C261" s="839"/>
      <c r="D261" s="393">
        <f t="shared" si="77"/>
        <v>35.644798251727259</v>
      </c>
      <c r="E261" s="385">
        <f t="shared" si="100"/>
        <v>39.741211179108035</v>
      </c>
      <c r="F261" s="385">
        <f t="shared" si="78"/>
        <v>41.758175058978935</v>
      </c>
      <c r="G261" s="110">
        <f t="shared" si="101"/>
        <v>0.87894477572325569</v>
      </c>
      <c r="H261" s="414" t="b">
        <f>Wh_hp&gt;='2025'!Maxi_hp</f>
        <v>0</v>
      </c>
      <c r="I261" s="390">
        <f>IF(H261,Wh_hp,'2025'!Maxi_hp)</f>
        <v>47.996366652785198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8.7589568368332676E-2</v>
      </c>
      <c r="M261" s="843"/>
      <c r="N261" s="843"/>
      <c r="O261" s="48">
        <f>IF(t&lt;Tnet,'2025'!Resal+('2025'!Salim-'2025'!Resal)*(1-EXP(('2025'!Tnet-t)/('2025'!Tau_j))),Resal+(Salim-Resal)*(1-EXP((Tnet-t)/(Tau_j))))*Salcycl</f>
        <v>0.10307720388588112</v>
      </c>
      <c r="P261" s="169">
        <f>(INDEX(Models!$BJ261:$BT261,,T261)*(1-R261)+INDEX(Models!$BJ261:$BT261,,T261+1)*R261-ERP_i)*Q261*Ramure*Pc/MaxiM</f>
        <v>5.7543854113959736E-2</v>
      </c>
      <c r="Q261" s="305">
        <f t="shared" si="80"/>
        <v>0.8</v>
      </c>
      <c r="R261" s="177">
        <f t="shared" si="81"/>
        <v>0.98250631756312634</v>
      </c>
      <c r="S261" s="809">
        <f t="shared" si="82"/>
        <v>2</v>
      </c>
      <c r="T261" s="176">
        <f t="shared" si="83"/>
        <v>8</v>
      </c>
      <c r="U261" s="251">
        <f t="shared" si="84"/>
        <v>2.9825063175631263</v>
      </c>
      <c r="V261" s="383">
        <f t="shared" si="85"/>
        <v>36.642607990886589</v>
      </c>
      <c r="W261" s="402">
        <f t="shared" si="86"/>
        <v>32.522685758282172</v>
      </c>
      <c r="X261" s="157">
        <f t="shared" si="87"/>
        <v>46269</v>
      </c>
      <c r="Y261" s="385">
        <f t="shared" si="88"/>
        <v>29.385628981060815</v>
      </c>
      <c r="Z261" s="385">
        <f t="shared" si="89"/>
        <v>32.206590326362637</v>
      </c>
      <c r="AA261" s="386">
        <f t="shared" si="90"/>
        <v>38.237330294759438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0.15771864620013315</v>
      </c>
      <c r="AD261" s="231">
        <f>(INDEX(Models!$BJ261:$BT261,,AH261)*(1-AF261)+INDEX(Models!$BJ261:$BT261,,AH261+1)*AF261-ERP_i)*AE261*Ramure*Pc/MaxiM</f>
        <v>0.10044948225999674</v>
      </c>
      <c r="AE261" s="305">
        <f t="shared" si="92"/>
        <v>0.8</v>
      </c>
      <c r="AF261" s="177">
        <f t="shared" si="93"/>
        <v>0.18322306472802996</v>
      </c>
      <c r="AG261" s="809">
        <f t="shared" si="99"/>
        <v>4</v>
      </c>
      <c r="AH261" s="176">
        <f t="shared" si="94"/>
        <v>10</v>
      </c>
      <c r="AI261" s="225">
        <f t="shared" si="95"/>
        <v>4.18322306472803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IF(t&gt;Tmaj,'2025'!Wh/'2025'!Env_an*'2026'!Env_an,0.001*'[11]mon-tableau (3)'!$B$140)</f>
        <v>28.995406375213111</v>
      </c>
      <c r="C262" s="839"/>
      <c r="D262" s="393">
        <f t="shared" si="77"/>
        <v>31.779663805255051</v>
      </c>
      <c r="E262" s="385">
        <f t="shared" si="100"/>
        <v>35.436078170514591</v>
      </c>
      <c r="F262" s="385">
        <f t="shared" si="78"/>
        <v>36.990969836692862</v>
      </c>
      <c r="G262" s="110">
        <f t="shared" si="101"/>
        <v>0.78438361924311983</v>
      </c>
      <c r="H262" s="414" t="b">
        <f>Wh_hp&gt;='2025'!Maxi_hp</f>
        <v>0</v>
      </c>
      <c r="I262" s="390">
        <f>IF(H262,Wh_hp,'2025'!Maxi_hp)</f>
        <v>45.417444264252914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8.7611292778419531E-2</v>
      </c>
      <c r="M262" s="843"/>
      <c r="N262" s="843"/>
      <c r="O262" s="48">
        <f>IF(t&lt;Tnet,'2025'!Resal+('2025'!Salim-'2025'!Resal)*(1-EXP(('2025'!Tnet-t)/('2025'!Tau_j))),Resal+(Salim-Resal)*(1-EXP((Tnet-t)/(Tau_j))))*Salcycl</f>
        <v>0.10318338128912762</v>
      </c>
      <c r="P262" s="169">
        <f>(INDEX(Models!$BJ262:$BT262,,T262)*(1-R262)+INDEX(Models!$BJ262:$BT262,,T262+1)*R262-ERP_i)*Q262*Ramure*Pc/MaxiM</f>
        <v>5.902012750702549E-2</v>
      </c>
      <c r="Q262" s="305">
        <f t="shared" si="80"/>
        <v>0.8</v>
      </c>
      <c r="R262" s="177">
        <f t="shared" si="81"/>
        <v>0.98317375911445293</v>
      </c>
      <c r="S262" s="809">
        <f t="shared" si="82"/>
        <v>2</v>
      </c>
      <c r="T262" s="176">
        <f t="shared" si="83"/>
        <v>8</v>
      </c>
      <c r="U262" s="251">
        <f t="shared" si="84"/>
        <v>2.9831737591144529</v>
      </c>
      <c r="V262" s="383">
        <f t="shared" si="85"/>
        <v>36.310404349362344</v>
      </c>
      <c r="W262" s="402">
        <f t="shared" si="86"/>
        <v>28.995406375213111</v>
      </c>
      <c r="X262" s="157">
        <f t="shared" si="87"/>
        <v>46270</v>
      </c>
      <c r="Y262" s="385">
        <f t="shared" si="88"/>
        <v>26.370354372485334</v>
      </c>
      <c r="Z262" s="385">
        <f t="shared" si="89"/>
        <v>28.902543580124664</v>
      </c>
      <c r="AA262" s="386">
        <f t="shared" si="90"/>
        <v>34.315543917021515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0.15774193613209336</v>
      </c>
      <c r="AD262" s="231">
        <f>(INDEX(Models!$BJ262:$BT262,,AH262)*(1-AF262)+INDEX(Models!$BJ262:$BT262,,AH262+1)*AF262-ERP_i)*AE262*Ramure*Pc/MaxiM</f>
        <v>0.10155304215033341</v>
      </c>
      <c r="AE262" s="305">
        <f t="shared" si="92"/>
        <v>0.8</v>
      </c>
      <c r="AF262" s="177">
        <f t="shared" si="93"/>
        <v>0.1838905062793561</v>
      </c>
      <c r="AG262" s="809">
        <f t="shared" si="99"/>
        <v>4</v>
      </c>
      <c r="AH262" s="176">
        <f t="shared" si="94"/>
        <v>10</v>
      </c>
      <c r="AI262" s="225">
        <f t="shared" si="95"/>
        <v>4.1838905062793561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IF(t&gt;Tmaj,'2025'!Wh/'2025'!Env_an*'2026'!Env_an,0.001*'[11]mon-tableau (3)'!$B$141)</f>
        <v>33.151781067609349</v>
      </c>
      <c r="C263" s="839"/>
      <c r="D263" s="393">
        <f t="shared" si="77"/>
        <v>36.336015741254556</v>
      </c>
      <c r="E263" s="385">
        <f t="shared" si="100"/>
        <v>40.521424190544884</v>
      </c>
      <c r="F263" s="385">
        <f t="shared" si="78"/>
        <v>42.819171430925827</v>
      </c>
      <c r="G263" s="110">
        <f t="shared" si="101"/>
        <v>0.91487405846296177</v>
      </c>
      <c r="H263" s="414" t="b">
        <f>Wh_hp&gt;='2025'!Maxi_hp</f>
        <v>0</v>
      </c>
      <c r="I263" s="390">
        <f>IF(H263,Wh_hp,'2025'!Maxi_hp)</f>
        <v>48.931389708757251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8.7633016682947568E-2</v>
      </c>
      <c r="M263" s="843"/>
      <c r="N263" s="843"/>
      <c r="O263" s="48">
        <f>IF(t&lt;Tnet,'2025'!Resal+('2025'!Salim-'2025'!Resal)*(1-EXP(('2025'!Tnet-t)/('2025'!Tau_j))),Resal+(Salim-Resal)*(1-EXP((Tnet-t)/(Tau_j))))*Salcycl</f>
        <v>0.10328877952584251</v>
      </c>
      <c r="P263" s="169">
        <f>(INDEX(Models!$BJ263:$BT263,,T263)*(1-R263)+INDEX(Models!$BJ263:$BT263,,T263+1)*R263-ERP_i)*Q263*Ramure*Pc/MaxiM</f>
        <v>6.0441828517366479E-2</v>
      </c>
      <c r="Q263" s="305">
        <f t="shared" si="80"/>
        <v>0.8</v>
      </c>
      <c r="R263" s="177">
        <f t="shared" si="81"/>
        <v>0.98381576383241054</v>
      </c>
      <c r="S263" s="809">
        <f t="shared" si="82"/>
        <v>2</v>
      </c>
      <c r="T263" s="176">
        <f t="shared" si="83"/>
        <v>8</v>
      </c>
      <c r="U263" s="251">
        <f t="shared" si="84"/>
        <v>2.9838157638324105</v>
      </c>
      <c r="V263" s="383">
        <f t="shared" si="85"/>
        <v>35.976820953653402</v>
      </c>
      <c r="W263" s="402">
        <f t="shared" si="86"/>
        <v>33.151781067609349</v>
      </c>
      <c r="X263" s="157">
        <f t="shared" si="87"/>
        <v>46271</v>
      </c>
      <c r="Y263" s="385">
        <f t="shared" si="88"/>
        <v>29.908134191594119</v>
      </c>
      <c r="Z263" s="385">
        <f t="shared" si="89"/>
        <v>32.780815985754366</v>
      </c>
      <c r="AA263" s="386">
        <f t="shared" si="90"/>
        <v>38.921188667887783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0.1577642639470459</v>
      </c>
      <c r="AD263" s="231">
        <f>(INDEX(Models!$BJ263:$BT263,,AH263)*(1-AF263)+INDEX(Models!$BJ263:$BT263,,AH263+1)*AF263-ERP_i)*AE263*Ramure*Pc/MaxiM</f>
        <v>0.10253573656262367</v>
      </c>
      <c r="AE263" s="305">
        <f t="shared" si="92"/>
        <v>0.8</v>
      </c>
      <c r="AF263" s="177">
        <f t="shared" si="93"/>
        <v>0.1845325109973146</v>
      </c>
      <c r="AG263" s="809">
        <f t="shared" si="99"/>
        <v>4</v>
      </c>
      <c r="AH263" s="176">
        <f t="shared" si="94"/>
        <v>10</v>
      </c>
      <c r="AI263" s="225">
        <f t="shared" si="95"/>
        <v>4.1845325109973146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IF(t&gt;Tmaj,'2025'!Wh/'2025'!Env_an*'2026'!Env_an,0.001*'[11]mon-tableau (3)'!$B$142)</f>
        <v>28.295415013412168</v>
      </c>
      <c r="C264" s="839"/>
      <c r="D264" s="393">
        <f t="shared" si="77"/>
        <v>31.013933273411315</v>
      </c>
      <c r="E264" s="385">
        <f t="shared" si="100"/>
        <v>34.590345840949887</v>
      </c>
      <c r="F264" s="385">
        <f t="shared" si="78"/>
        <v>36.167535103913792</v>
      </c>
      <c r="G264" s="110">
        <f t="shared" si="101"/>
        <v>0.77877010813159164</v>
      </c>
      <c r="H264" s="414" t="b">
        <f>Wh_hp&gt;='2025'!Maxi_hp</f>
        <v>0</v>
      </c>
      <c r="I264" s="390">
        <f>IF(H264,Wh_hp,'2025'!Maxi_hp)</f>
        <v>44.353228487080955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8.7654740081928667E-2</v>
      </c>
      <c r="M264" s="843"/>
      <c r="N264" s="843"/>
      <c r="O264" s="48">
        <f>IF(t&lt;Tnet,'2025'!Resal+('2025'!Salim-'2025'!Resal)*(1-EXP(('2025'!Tnet-t)/('2025'!Tau_j))),Resal+(Salim-Resal)*(1-EXP((Tnet-t)/(Tau_j))))*Salcycl</f>
        <v>0.10339337409297095</v>
      </c>
      <c r="P264" s="169">
        <f>(INDEX(Models!$BJ264:$BT264,,T264)*(1-R264)+INDEX(Models!$BJ264:$BT264,,T264+1)*R264-ERP_i)*Q264*Ramure*Pc/MaxiM</f>
        <v>6.1807862612813812E-2</v>
      </c>
      <c r="Q264" s="305">
        <f t="shared" si="80"/>
        <v>0.8</v>
      </c>
      <c r="R264" s="177">
        <f t="shared" si="81"/>
        <v>0.9844332469120558</v>
      </c>
      <c r="S264" s="809">
        <f t="shared" si="82"/>
        <v>2</v>
      </c>
      <c r="T264" s="176">
        <f t="shared" si="83"/>
        <v>8</v>
      </c>
      <c r="U264" s="251">
        <f t="shared" si="84"/>
        <v>2.9844332469120558</v>
      </c>
      <c r="V264" s="383">
        <f t="shared" si="85"/>
        <v>35.642043111160056</v>
      </c>
      <c r="W264" s="402">
        <f t="shared" si="86"/>
        <v>28.295415013412168</v>
      </c>
      <c r="X264" s="157">
        <f t="shared" si="87"/>
        <v>46272</v>
      </c>
      <c r="Y264" s="385">
        <f t="shared" si="88"/>
        <v>25.763469251819238</v>
      </c>
      <c r="Z264" s="385">
        <f t="shared" si="89"/>
        <v>28.238727577904882</v>
      </c>
      <c r="AA264" s="386">
        <f t="shared" si="90"/>
        <v>33.529143393029123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0.15778559425482208</v>
      </c>
      <c r="AD264" s="231">
        <f>(INDEX(Models!$BJ264:$BT264,,AH264)*(1-AF264)+INDEX(Models!$BJ264:$BT264,,AH264+1)*AF264-ERP_i)*AE264*Ramure*Pc/MaxiM</f>
        <v>0.10339491664982152</v>
      </c>
      <c r="AE264" s="305">
        <f t="shared" si="92"/>
        <v>0.8</v>
      </c>
      <c r="AF264" s="177">
        <f t="shared" si="93"/>
        <v>0.18514999407695942</v>
      </c>
      <c r="AG264" s="809">
        <f t="shared" si="99"/>
        <v>4</v>
      </c>
      <c r="AH264" s="176">
        <f t="shared" si="94"/>
        <v>10</v>
      </c>
      <c r="AI264" s="225">
        <f t="shared" si="95"/>
        <v>4.1851499940769594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IF(t&gt;Tmaj,'2025'!Wh/'2025'!Env_an*'2026'!Env_an,0.001*'[11]mon-tableau (3)'!$B$143)</f>
        <v>25.835111065750894</v>
      </c>
      <c r="C265" s="839"/>
      <c r="D265" s="393">
        <f t="shared" si="77"/>
        <v>28.317926719294483</v>
      </c>
      <c r="E265" s="385">
        <f t="shared" si="100"/>
        <v>31.587101352306508</v>
      </c>
      <c r="F265" s="385">
        <f t="shared" si="78"/>
        <v>32.8665664712059</v>
      </c>
      <c r="G265" s="110">
        <f t="shared" si="101"/>
        <v>0.71332685084391301</v>
      </c>
      <c r="H265" s="414" t="b">
        <f>Wh_hp&gt;='2025'!Maxi_hp</f>
        <v>0</v>
      </c>
      <c r="I265" s="390">
        <f>IF(H265,Wh_hp,'2025'!Maxi_hp)</f>
        <v>42.753480627950061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8.7676462975374486E-2</v>
      </c>
      <c r="M265" s="843"/>
      <c r="N265" s="843"/>
      <c r="O265" s="48">
        <f>IF(t&lt;Tnet,'2025'!Resal+('2025'!Salim-'2025'!Resal)*(1-EXP(('2025'!Tnet-t)/('2025'!Tau_j))),Resal+(Salim-Resal)*(1-EXP((Tnet-t)/(Tau_j))))*Salcycl</f>
        <v>0.10349713943515453</v>
      </c>
      <c r="P265" s="169">
        <f>(INDEX(Models!$BJ265:$BT265,,T265)*(1-R265)+INDEX(Models!$BJ265:$BT265,,T265+1)*R265-ERP_i)*Q265*Ramure*Pc/MaxiM</f>
        <v>6.3117048913069032E-2</v>
      </c>
      <c r="Q265" s="305">
        <f t="shared" si="80"/>
        <v>0.8</v>
      </c>
      <c r="R265" s="177">
        <f t="shared" si="81"/>
        <v>0.98502709480827066</v>
      </c>
      <c r="S265" s="809">
        <f t="shared" si="82"/>
        <v>2</v>
      </c>
      <c r="T265" s="176">
        <f t="shared" si="83"/>
        <v>8</v>
      </c>
      <c r="U265" s="251">
        <f t="shared" si="84"/>
        <v>2.9850270948082707</v>
      </c>
      <c r="V265" s="383">
        <f t="shared" si="85"/>
        <v>35.306255465317669</v>
      </c>
      <c r="W265" s="402">
        <f t="shared" si="86"/>
        <v>25.835111065750894</v>
      </c>
      <c r="X265" s="157">
        <f t="shared" si="87"/>
        <v>46273</v>
      </c>
      <c r="Y265" s="385">
        <f t="shared" si="88"/>
        <v>23.631296436005464</v>
      </c>
      <c r="Z265" s="385">
        <f t="shared" si="89"/>
        <v>25.902320259186304</v>
      </c>
      <c r="AA265" s="386">
        <f t="shared" si="90"/>
        <v>30.75576040849915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0.15780589017632063</v>
      </c>
      <c r="AD265" s="231">
        <f>(INDEX(Models!$BJ265:$BT265,,AH265)*(1-AF265)+INDEX(Models!$BJ265:$BT265,,AH265+1)*AF265-ERP_i)*AE265*Ramure*Pc/MaxiM</f>
        <v>0.10412776990784128</v>
      </c>
      <c r="AE265" s="305">
        <f t="shared" si="92"/>
        <v>0.8</v>
      </c>
      <c r="AF265" s="177">
        <f t="shared" si="93"/>
        <v>0.18574384197317428</v>
      </c>
      <c r="AG265" s="809">
        <f t="shared" si="99"/>
        <v>4</v>
      </c>
      <c r="AH265" s="176">
        <f t="shared" si="94"/>
        <v>10</v>
      </c>
      <c r="AI265" s="225">
        <f t="shared" si="95"/>
        <v>4.1857438419731743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IF(t&gt;Tmaj,'2025'!Wh/'2025'!Env_an*'2026'!Env_an,0.001*'[11]mon-tableau (3)'!$B$144)</f>
        <v>19.213282857691112</v>
      </c>
      <c r="C266" s="839"/>
      <c r="D266" s="393">
        <f t="shared" si="77"/>
        <v>21.060226505569567</v>
      </c>
      <c r="E266" s="385">
        <f t="shared" si="100"/>
        <v>23.494229869083515</v>
      </c>
      <c r="F266" s="385">
        <f t="shared" si="78"/>
        <v>24.045742282246817</v>
      </c>
      <c r="G266" s="110">
        <f t="shared" si="101"/>
        <v>0.52612916511070118</v>
      </c>
      <c r="H266" s="414" t="b">
        <f>Wh_hp&gt;='2025'!Maxi_hp</f>
        <v>0</v>
      </c>
      <c r="I266" s="390">
        <f>IF(H266,Wh_hp,'2025'!Maxi_hp)</f>
        <v>43.385482084784094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8.7698185363296793E-2</v>
      </c>
      <c r="M266" s="843"/>
      <c r="N266" s="843"/>
      <c r="O266" s="48">
        <f>IF(t&lt;Tnet,'2025'!Resal+('2025'!Salim-'2025'!Resal)*(1-EXP(('2025'!Tnet-t)/('2025'!Tau_j))),Resal+(Salim-Resal)*(1-EXP((Tnet-t)/(Tau_j))))*Salcycl</f>
        <v>0.10360004890889819</v>
      </c>
      <c r="P266" s="169">
        <f>(INDEX(Models!$BJ266:$BT266,,T266)*(1-R266)+INDEX(Models!$BJ266:$BT266,,T266+1)*R266-ERP_i)*Q266*Ramure*Pc/MaxiM</f>
        <v>6.4368118582451617E-2</v>
      </c>
      <c r="Q266" s="305">
        <f t="shared" si="80"/>
        <v>0.8</v>
      </c>
      <c r="R266" s="177">
        <f t="shared" si="81"/>
        <v>0.98559816580749704</v>
      </c>
      <c r="S266" s="809">
        <f t="shared" si="82"/>
        <v>2</v>
      </c>
      <c r="T266" s="176">
        <f t="shared" si="83"/>
        <v>8</v>
      </c>
      <c r="U266" s="251">
        <f t="shared" si="84"/>
        <v>2.985598165807497</v>
      </c>
      <c r="V266" s="383">
        <f t="shared" si="85"/>
        <v>34.969641977146978</v>
      </c>
      <c r="W266" s="402">
        <f t="shared" si="86"/>
        <v>19.213282857691112</v>
      </c>
      <c r="X266" s="157">
        <f t="shared" si="87"/>
        <v>46274</v>
      </c>
      <c r="Y266" s="385">
        <f t="shared" si="88"/>
        <v>17.785320293509422</v>
      </c>
      <c r="Z266" s="385">
        <f t="shared" si="89"/>
        <v>19.494996072754596</v>
      </c>
      <c r="AA266" s="386">
        <f t="shared" si="90"/>
        <v>23.148393974350075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0.15782511329484375</v>
      </c>
      <c r="AD266" s="231">
        <f>(INDEX(Models!$BJ266:$BT266,,AH266)*(1-AF266)+INDEX(Models!$BJ266:$BT266,,AH266+1)*AF266-ERP_i)*AE266*Ramure*Pc/MaxiM</f>
        <v>0.10473131866817485</v>
      </c>
      <c r="AE266" s="305">
        <f t="shared" si="92"/>
        <v>0.8</v>
      </c>
      <c r="AF266" s="177">
        <f t="shared" si="93"/>
        <v>0.1863149129724011</v>
      </c>
      <c r="AG266" s="809">
        <f t="shared" si="99"/>
        <v>4</v>
      </c>
      <c r="AH266" s="176">
        <f t="shared" si="94"/>
        <v>10</v>
      </c>
      <c r="AI266" s="225">
        <f t="shared" si="95"/>
        <v>4.1863149129724011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IF(t&gt;Tmaj,'2025'!Wh/'2025'!Env_an*'2026'!Env_an,0.001*'[11]mon-tableau (3)'!$B$145)</f>
        <v>32.828926017895938</v>
      </c>
      <c r="C267" s="839"/>
      <c r="D267" s="393">
        <f t="shared" si="77"/>
        <v>35.985577542069485</v>
      </c>
      <c r="E267" s="385">
        <f t="shared" si="100"/>
        <v>40.149125116224567</v>
      </c>
      <c r="F267" s="385">
        <f t="shared" si="78"/>
        <v>42.742873710337072</v>
      </c>
      <c r="G267" s="110">
        <f t="shared" si="101"/>
        <v>0.94300381259143307</v>
      </c>
      <c r="H267" s="414" t="b">
        <f>Wh_hp&gt;='2025'!Maxi_hp</f>
        <v>0</v>
      </c>
      <c r="I267" s="390">
        <f>IF(H267,Wh_hp,'2025'!Maxi_hp)</f>
        <v>42.945778972423717</v>
      </c>
      <c r="J267" s="85">
        <f>IF(H267,An,'2025'!An_max)</f>
        <v>2022</v>
      </c>
      <c r="K267" s="197">
        <f t="shared" si="79"/>
        <v>46275</v>
      </c>
      <c r="L267" s="147">
        <f>IF(t&lt;Tvie,1-EXP((T0-t)*PertePVj)+'2025'!Pspv,1-EXP((T0-t)*PertePVj)+Pspv)</f>
        <v>8.7719907245707468E-2</v>
      </c>
      <c r="M267" s="843"/>
      <c r="N267" s="843"/>
      <c r="O267" s="48">
        <f>IF(t&lt;Tnet,'2025'!Resal+('2025'!Salim-'2025'!Resal)*(1-EXP(('2025'!Tnet-t)/('2025'!Tau_j))),Resal+(Salim-Resal)*(1-EXP((Tnet-t)/(Tau_j))))*Salcycl</f>
        <v>0.10370207475511256</v>
      </c>
      <c r="P267" s="169">
        <f>(INDEX(Models!$BJ267:$BT267,,T267)*(1-R267)+INDEX(Models!$BJ267:$BT267,,T267+1)*R267-ERP_i)*Q267*Ramure*Pc/MaxiM</f>
        <v>6.555971326622187E-2</v>
      </c>
      <c r="Q267" s="305">
        <f t="shared" si="80"/>
        <v>0.8</v>
      </c>
      <c r="R267" s="177">
        <f t="shared" si="81"/>
        <v>0.98614729061669504</v>
      </c>
      <c r="S267" s="809">
        <f t="shared" si="82"/>
        <v>2</v>
      </c>
      <c r="T267" s="176">
        <f t="shared" si="83"/>
        <v>8</v>
      </c>
      <c r="U267" s="251">
        <f t="shared" si="84"/>
        <v>2.986147290616695</v>
      </c>
      <c r="V267" s="383">
        <f t="shared" si="85"/>
        <v>34.632385900929471</v>
      </c>
      <c r="W267" s="402">
        <f t="shared" si="86"/>
        <v>32.828926017895938</v>
      </c>
      <c r="X267" s="157">
        <f t="shared" si="87"/>
        <v>46275</v>
      </c>
      <c r="Y267" s="385">
        <f t="shared" si="88"/>
        <v>29.640917443450924</v>
      </c>
      <c r="Z267" s="385">
        <f t="shared" si="89"/>
        <v>32.491027348805922</v>
      </c>
      <c r="AA267" s="386">
        <f t="shared" si="90"/>
        <v>38.580734917889785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0.15784322362040026</v>
      </c>
      <c r="AD267" s="231">
        <f>(INDEX(Models!$BJ267:$BT267,,AH267)*(1-AF267)+INDEX(Models!$BJ267:$BT267,,AH267+1)*AF267-ERP_i)*AE267*Ramure*Pc/MaxiM</f>
        <v>0.10520241877969277</v>
      </c>
      <c r="AE267" s="305">
        <f t="shared" si="92"/>
        <v>0.8</v>
      </c>
      <c r="AF267" s="177">
        <f t="shared" si="93"/>
        <v>0.18686403778159821</v>
      </c>
      <c r="AG267" s="809">
        <f t="shared" si="99"/>
        <v>4</v>
      </c>
      <c r="AH267" s="176">
        <f t="shared" si="94"/>
        <v>10</v>
      </c>
      <c r="AI267" s="225">
        <f t="shared" si="95"/>
        <v>4.1868640377815982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IF(t&gt;Tmaj,'2025'!Wh/'2025'!Env_an*'2026'!Env_an,0.001*'[11]mon-tableau (3)'!$B$146)</f>
        <v>31.911517479481315</v>
      </c>
      <c r="C268" s="839"/>
      <c r="D268" s="393">
        <f t="shared" si="77"/>
        <v>34.980788865000399</v>
      </c>
      <c r="E268" s="385">
        <f t="shared" si="100"/>
        <v>39.032485275329421</v>
      </c>
      <c r="F268" s="385">
        <f t="shared" si="78"/>
        <v>41.524241325729683</v>
      </c>
      <c r="G268" s="110">
        <f t="shared" si="101"/>
        <v>0.92389384506243977</v>
      </c>
      <c r="H268" s="414" t="b">
        <f>Wh_hp&gt;='2025'!Maxi_hp</f>
        <v>0</v>
      </c>
      <c r="I268" s="390">
        <f>IF(H268,Wh_hp,'2025'!Maxi_hp)</f>
        <v>43.805127981597593</v>
      </c>
      <c r="J268" s="85">
        <f>IF(H268,An,'2025'!An_max)</f>
        <v>2019</v>
      </c>
      <c r="K268" s="197">
        <f t="shared" si="79"/>
        <v>46276</v>
      </c>
      <c r="L268" s="147">
        <f>IF(t&lt;Tvie,1-EXP((T0-t)*PertePVj)+'2025'!Pspv,1-EXP((T0-t)*PertePVj)+Pspv)</f>
        <v>8.7741628622618278E-2</v>
      </c>
      <c r="M268" s="843"/>
      <c r="N268" s="843"/>
      <c r="O268" s="48">
        <f>IF(t&lt;Tnet,'2025'!Resal+('2025'!Salim-'2025'!Resal)*(1-EXP(('2025'!Tnet-t)/('2025'!Tau_j))),Resal+(Salim-Resal)*(1-EXP((Tnet-t)/(Tau_j))))*Salcycl</f>
        <v>0.10380318808164418</v>
      </c>
      <c r="P268" s="169">
        <f>(INDEX(Models!$BJ268:$BT268,,T268)*(1-R268)+INDEX(Models!$BJ268:$BT268,,T268+1)*R268-ERP_i)*Q268*Ramure*Pc/MaxiM</f>
        <v>6.6627480086153629E-2</v>
      </c>
      <c r="Q268" s="305">
        <f t="shared" si="80"/>
        <v>0.8</v>
      </c>
      <c r="R268" s="177">
        <f t="shared" si="81"/>
        <v>0.98667527296629887</v>
      </c>
      <c r="S268" s="809">
        <f t="shared" si="82"/>
        <v>2</v>
      </c>
      <c r="T268" s="176">
        <f t="shared" si="83"/>
        <v>8</v>
      </c>
      <c r="U268" s="251">
        <f t="shared" si="84"/>
        <v>2.9866752729662989</v>
      </c>
      <c r="V268" s="383">
        <f t="shared" si="85"/>
        <v>34.296981159998161</v>
      </c>
      <c r="W268" s="402">
        <f t="shared" si="86"/>
        <v>31.911517479481315</v>
      </c>
      <c r="X268" s="157">
        <f t="shared" si="87"/>
        <v>46276</v>
      </c>
      <c r="Y268" s="385">
        <f t="shared" si="88"/>
        <v>28.870401682594039</v>
      </c>
      <c r="Z268" s="385">
        <f t="shared" si="89"/>
        <v>31.647176489050789</v>
      </c>
      <c r="AA268" s="386">
        <f t="shared" si="90"/>
        <v>37.579479940595967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0.15786017956934761</v>
      </c>
      <c r="AD268" s="231">
        <f>(INDEX(Models!$BJ268:$BT268,,AH268)*(1-AF268)+INDEX(Models!$BJ268:$BT268,,AH268+1)*AF268-ERP_i)*AE268*Ramure*Pc/MaxiM</f>
        <v>0.10547963176026212</v>
      </c>
      <c r="AE268" s="305">
        <f t="shared" si="92"/>
        <v>0.8</v>
      </c>
      <c r="AF268" s="177">
        <f t="shared" si="93"/>
        <v>0.18739202013120249</v>
      </c>
      <c r="AG268" s="809">
        <f t="shared" si="99"/>
        <v>4</v>
      </c>
      <c r="AH268" s="176">
        <f t="shared" si="94"/>
        <v>10</v>
      </c>
      <c r="AI268" s="225">
        <f t="shared" si="95"/>
        <v>4.1873920201312025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IF(t&gt;Tmaj,'2025'!Wh/'2025'!Env_an*'2026'!Env_an,0.001*'[11]mon-tableau (3)'!$B$147)</f>
        <v>22.967231801349033</v>
      </c>
      <c r="C269" s="839"/>
      <c r="D269" s="393">
        <f t="shared" si="77"/>
        <v>25.17683518702146</v>
      </c>
      <c r="E269" s="385">
        <f t="shared" si="100"/>
        <v>28.096116011457244</v>
      </c>
      <c r="F269" s="385">
        <f t="shared" si="78"/>
        <v>29.155665609457408</v>
      </c>
      <c r="G269" s="110">
        <f t="shared" si="101"/>
        <v>0.6543175308385083</v>
      </c>
      <c r="H269" s="414" t="b">
        <f>Wh_hp&gt;='2025'!Maxi_hp</f>
        <v>0</v>
      </c>
      <c r="I269" s="390">
        <f>IF(H269,Wh_hp,'2025'!Maxi_hp)</f>
        <v>44.561569210056845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8.7763349494040771E-2</v>
      </c>
      <c r="M269" s="843"/>
      <c r="N269" s="843"/>
      <c r="O269" s="48">
        <f>IF(t&lt;Tnet,'2025'!Resal+('2025'!Salim-'2025'!Resal)*(1-EXP(('2025'!Tnet-t)/('2025'!Tau_j))),Resal+(Salim-Resal)*(1-EXP((Tnet-t)/(Tau_j))))*Salcycl</f>
        <v>0.10390335885733591</v>
      </c>
      <c r="P269" s="169">
        <f>(INDEX(Models!$BJ269:$BT269,,T269)*(1-R269)+INDEX(Models!$BJ269:$BT269,,T269+1)*R269-ERP_i)*Q269*Ramure*Pc/MaxiM</f>
        <v>6.7609497032154409E-2</v>
      </c>
      <c r="Q269" s="305">
        <f t="shared" si="80"/>
        <v>0.8</v>
      </c>
      <c r="R269" s="177">
        <f t="shared" si="81"/>
        <v>0.98718289022420347</v>
      </c>
      <c r="S269" s="809">
        <f t="shared" si="82"/>
        <v>2</v>
      </c>
      <c r="T269" s="176">
        <f t="shared" si="83"/>
        <v>8</v>
      </c>
      <c r="U269" s="251">
        <f t="shared" si="84"/>
        <v>2.9871828902242035</v>
      </c>
      <c r="V269" s="383">
        <f t="shared" si="85"/>
        <v>33.962105889952142</v>
      </c>
      <c r="W269" s="402">
        <f t="shared" si="86"/>
        <v>22.967231801349033</v>
      </c>
      <c r="X269" s="157">
        <f t="shared" si="87"/>
        <v>46277</v>
      </c>
      <c r="Y269" s="385">
        <f t="shared" si="88"/>
        <v>21.126176178517859</v>
      </c>
      <c r="Z269" s="385">
        <f t="shared" si="89"/>
        <v>23.158657533437758</v>
      </c>
      <c r="AA269" s="386">
        <f t="shared" si="90"/>
        <v>27.500291913499993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0.15787593796162264</v>
      </c>
      <c r="AD269" s="231">
        <f>(INDEX(Models!$BJ269:$BT269,,AH269)*(1-AF269)+INDEX(Models!$BJ269:$BT269,,AH269+1)*AF269-ERP_i)*AE269*Ramure*Pc/MaxiM</f>
        <v>0.1056288286977598</v>
      </c>
      <c r="AE269" s="305">
        <f t="shared" si="92"/>
        <v>0.8</v>
      </c>
      <c r="AF269" s="177">
        <f t="shared" si="93"/>
        <v>0.18789963738910664</v>
      </c>
      <c r="AG269" s="809">
        <f t="shared" si="99"/>
        <v>4</v>
      </c>
      <c r="AH269" s="176">
        <f t="shared" si="94"/>
        <v>10</v>
      </c>
      <c r="AI269" s="225">
        <f t="shared" si="95"/>
        <v>4.1878996373891066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IF(t&gt;Tmaj,'2025'!Wh/'2025'!Env_an*'2026'!Env_an,0.001*'[11]mon-tableau (3)'!$B$148)</f>
        <v>11.15824254780085</v>
      </c>
      <c r="C270" s="839"/>
      <c r="D270" s="393">
        <f t="shared" si="77"/>
        <v>12.232032363346876</v>
      </c>
      <c r="E270" s="385">
        <f t="shared" si="100"/>
        <v>13.651860777230082</v>
      </c>
      <c r="F270" s="385">
        <f t="shared" si="78"/>
        <v>13.694497989843208</v>
      </c>
      <c r="G270" s="110">
        <f t="shared" si="101"/>
        <v>0.31004948966504114</v>
      </c>
      <c r="H270" s="414" t="b">
        <f>Wh_hp&gt;='2025'!Maxi_hp</f>
        <v>0</v>
      </c>
      <c r="I270" s="390">
        <f>IF(H270,Wh_hp,'2025'!Maxi_hp)</f>
        <v>41.322642207532596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8.7785069859986936E-2</v>
      </c>
      <c r="M270" s="843"/>
      <c r="N270" s="843"/>
      <c r="O270" s="48">
        <f>IF(t&lt;Tnet,'2025'!Resal+('2025'!Salim-'2025'!Resal)*(1-EXP(('2025'!Tnet-t)/('2025'!Tau_j))),Resal+(Salim-Resal)*(1-EXP((Tnet-t)/(Tau_j))))*Salcycl</f>
        <v>0.10400255591906828</v>
      </c>
      <c r="P270" s="169">
        <f>(INDEX(Models!$BJ270:$BT270,,T270)*(1-R270)+INDEX(Models!$BJ270:$BT270,,T270+1)*R270-ERP_i)*Q270*Ramure*Pc/MaxiM</f>
        <v>6.8503600199645298E-2</v>
      </c>
      <c r="Q270" s="305">
        <f t="shared" si="80"/>
        <v>0.8</v>
      </c>
      <c r="R270" s="177">
        <f t="shared" si="81"/>
        <v>0.98767089401805563</v>
      </c>
      <c r="S270" s="809">
        <f t="shared" si="82"/>
        <v>2</v>
      </c>
      <c r="T270" s="176">
        <f t="shared" si="83"/>
        <v>8</v>
      </c>
      <c r="U270" s="251">
        <f t="shared" si="84"/>
        <v>2.9876708940180556</v>
      </c>
      <c r="V270" s="383">
        <f t="shared" si="85"/>
        <v>33.627936857514406</v>
      </c>
      <c r="W270" s="402">
        <f t="shared" si="86"/>
        <v>11.15824254780085</v>
      </c>
      <c r="X270" s="157">
        <f t="shared" si="87"/>
        <v>46278</v>
      </c>
      <c r="Y270" s="385">
        <f t="shared" si="88"/>
        <v>10.469394282577056</v>
      </c>
      <c r="Z270" s="385">
        <f t="shared" si="89"/>
        <v>11.47689424571262</v>
      </c>
      <c r="AA270" s="386">
        <f t="shared" si="90"/>
        <v>13.628742603311887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0.15789045403765659</v>
      </c>
      <c r="AD270" s="231">
        <f>(INDEX(Models!$BJ270:$BT270,,AH270)*(1-AF270)+INDEX(Models!$BJ270:$BT270,,AH270+1)*AF270-ERP_i)*AE270*Ramure*Pc/MaxiM</f>
        <v>0.10564669765790674</v>
      </c>
      <c r="AE270" s="305">
        <f t="shared" si="92"/>
        <v>0.8</v>
      </c>
      <c r="AF270" s="177">
        <f t="shared" si="93"/>
        <v>0.18838764118295881</v>
      </c>
      <c r="AG270" s="809">
        <f t="shared" si="99"/>
        <v>4</v>
      </c>
      <c r="AH270" s="176">
        <f t="shared" si="94"/>
        <v>10</v>
      </c>
      <c r="AI270" s="225">
        <f t="shared" si="95"/>
        <v>4.1883876411829588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IF(t&gt;Tmaj,'2025'!Wh/'2025'!Env_an*'2026'!Env_an,0.001*'[11]mon-tableau (3)'!$B$149)</f>
        <v>25.251492950731386</v>
      </c>
      <c r="C271" s="839"/>
      <c r="D271" s="393">
        <f t="shared" ref="D271:D334" si="102">Wh/(1-Ppv)</f>
        <v>27.682175953703211</v>
      </c>
      <c r="E271" s="385">
        <f t="shared" si="100"/>
        <v>30.898759945155003</v>
      </c>
      <c r="F271" s="385">
        <f t="shared" ref="F271:F334" si="103">Wh_sa/(1-Pvg*MEDIAN((-Sdif+Wh/Env_an)/Csdif,0,1))</f>
        <v>32.367906425598939</v>
      </c>
      <c r="G271" s="110">
        <f t="shared" si="101"/>
        <v>0.739422020818016</v>
      </c>
      <c r="H271" s="414" t="b">
        <f>Wh_hp&gt;='2025'!Maxi_hp</f>
        <v>0</v>
      </c>
      <c r="I271" s="390">
        <f>IF(H271,Wh_hp,'2025'!Maxi_hp)</f>
        <v>40.506292806876168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8.7806789720468431E-2</v>
      </c>
      <c r="M271" s="843"/>
      <c r="N271" s="843"/>
      <c r="O271" s="48">
        <f>IF(t&lt;Tnet,'2025'!Resal+('2025'!Salim-'2025'!Resal)*(1-EXP(('2025'!Tnet-t)/('2025'!Tau_j))),Resal+(Salim-Resal)*(1-EXP((Tnet-t)/(Tau_j))))*Salcycl</f>
        <v>0.10410074699312198</v>
      </c>
      <c r="P271" s="169">
        <f>(INDEX(Models!$BJ271:$BT271,,T271)*(1-R271)+INDEX(Models!$BJ271:$BT271,,T271+1)*R271-ERP_i)*Q271*Ramure*Pc/MaxiM</f>
        <v>6.9307508205282933E-2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0.98814001086337822</v>
      </c>
      <c r="S271" s="809">
        <f t="shared" ref="S271:S334" si="107">INDEX(Echel_vg,T271)</f>
        <v>2</v>
      </c>
      <c r="T271" s="176">
        <f t="shared" ref="T271:T334" si="108">MIN(MATCH(Hp_vg,Echel_vg),10)</f>
        <v>8</v>
      </c>
      <c r="U271" s="251">
        <f t="shared" ref="U271:U334" si="109">IF(OR(t&lt;Ttai,Notai),Hdd+PousH*Croivg,Hdtf+PousH*(Croivg-Croi_tai))</f>
        <v>2.9881400108633782</v>
      </c>
      <c r="V271" s="383">
        <f t="shared" ref="V271:V334" si="110">MaxiM*(1-Ppv)*(1-Pvg)*(1-Psa)</f>
        <v>33.294649691477645</v>
      </c>
      <c r="W271" s="402">
        <f t="shared" ref="W271:W334" si="111">Wh*(A271&gt;Tmaj)</f>
        <v>25.251492950731386</v>
      </c>
      <c r="X271" s="157">
        <f t="shared" ref="X271:X334" si="112">t</f>
        <v>46279</v>
      </c>
      <c r="Y271" s="385">
        <f t="shared" ref="Y271:Y334" si="113">Wh_pvt_s*(1-Ppv)</f>
        <v>23.145217202421552</v>
      </c>
      <c r="Z271" s="385">
        <f t="shared" ref="Z271:Z334" si="114">Wh_sa_s*(1-Psa_s)</f>
        <v>25.373152246253788</v>
      </c>
      <c r="AA271" s="386">
        <f t="shared" ref="AA271:AA334" si="115">Wh_hp*(1-Pvg_s*MEDIAN((-Sdif+Wh/Env_an)/Csdif,0,1))</f>
        <v>30.130938336550933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0.15790368149688919</v>
      </c>
      <c r="AD271" s="231">
        <f>(INDEX(Models!$BJ271:$BT271,,AH271)*(1-AF271)+INDEX(Models!$BJ271:$BT271,,AH271+1)*AF271-ERP_i)*AE271*Ramure*Pc/MaxiM</f>
        <v>0.10552976592218506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0.18885675802828139</v>
      </c>
      <c r="AG271" s="809">
        <f t="shared" si="99"/>
        <v>4</v>
      </c>
      <c r="AH271" s="176">
        <f t="shared" ref="AH271:AH334" si="119">MIN(MATCH(Hp_vg_s,Echel_vg),10)</f>
        <v>10</v>
      </c>
      <c r="AI271" s="225">
        <f t="shared" ref="AI271:AI334" si="120">IF(OR(t&lt;Ttai,Notai),Hdd_s+PousH*Croivg,Hdtai_s+PousH*(Croivg-Croi_tai))</f>
        <v>4.1888567580282814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IF(t&gt;Tmaj,'2025'!Wh/'2025'!Env_an*'2026'!Env_an,0.001*'[11]mon-tableau (3)'!$B$150)</f>
        <v>27.496533753370105</v>
      </c>
      <c r="C272" s="839"/>
      <c r="D272" s="393">
        <f t="shared" si="102"/>
        <v>30.144039829069701</v>
      </c>
      <c r="E272" s="385">
        <f t="shared" si="100"/>
        <v>33.650333914603948</v>
      </c>
      <c r="F272" s="385">
        <f t="shared" si="103"/>
        <v>35.549839734608682</v>
      </c>
      <c r="G272" s="110">
        <f t="shared" si="101"/>
        <v>0.81956103978359118</v>
      </c>
      <c r="H272" s="414" t="b">
        <f>Wh_hp&gt;='2025'!Maxi_hp</f>
        <v>0</v>
      </c>
      <c r="I272" s="390">
        <f>IF(H272,Wh_hp,'2025'!Maxi_hp)</f>
        <v>40.691044739305312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8.7828509075497135E-2</v>
      </c>
      <c r="M272" s="843"/>
      <c r="N272" s="843"/>
      <c r="O272" s="48">
        <f>IF(t&lt;Tnet,'2025'!Resal+('2025'!Salim-'2025'!Resal)*(1-EXP(('2025'!Tnet-t)/('2025'!Tau_j))),Resal+(Salim-Resal)*(1-EXP((Tnet-t)/(Tau_j))))*Salcycl</f>
        <v>0.10419789873207019</v>
      </c>
      <c r="P272" s="169">
        <f>(INDEX(Models!$BJ272:$BT272,,T272)*(1-R272)+INDEX(Models!$BJ272:$BT272,,T272+1)*R272-ERP_i)*Q272*Ramure*Pc/MaxiM</f>
        <v>7.0018821635761327E-2</v>
      </c>
      <c r="Q272" s="305">
        <f t="shared" si="105"/>
        <v>0.8</v>
      </c>
      <c r="R272" s="177">
        <f t="shared" si="106"/>
        <v>0.9885909427952555</v>
      </c>
      <c r="S272" s="809">
        <f t="shared" si="107"/>
        <v>2</v>
      </c>
      <c r="T272" s="176">
        <f t="shared" si="108"/>
        <v>8</v>
      </c>
      <c r="U272" s="251">
        <f t="shared" si="109"/>
        <v>2.9885909427952555</v>
      </c>
      <c r="V272" s="383">
        <f t="shared" si="110"/>
        <v>32.96241880075619</v>
      </c>
      <c r="W272" s="402">
        <f t="shared" si="111"/>
        <v>27.496533753370105</v>
      </c>
      <c r="X272" s="157">
        <f t="shared" si="112"/>
        <v>46280</v>
      </c>
      <c r="Y272" s="385">
        <f t="shared" si="113"/>
        <v>25.113017437486295</v>
      </c>
      <c r="Z272" s="385">
        <f t="shared" si="114"/>
        <v>27.531026443321291</v>
      </c>
      <c r="AA272" s="386">
        <f t="shared" si="115"/>
        <v>32.693902827539638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0.1579155725595846</v>
      </c>
      <c r="AD272" s="231">
        <f>(INDEX(Models!$BJ272:$BT272,,AH272)*(1-AF272)+INDEX(Models!$BJ272:$BT272,,AH272+1)*AF272-ERP_i)*AE272*Ramure*Pc/MaxiM</f>
        <v>0.10527440073784934</v>
      </c>
      <c r="AE272" s="305">
        <f t="shared" si="117"/>
        <v>0.8</v>
      </c>
      <c r="AF272" s="177">
        <f t="shared" si="118"/>
        <v>0.18930768996015956</v>
      </c>
      <c r="AG272" s="809">
        <f t="shared" ref="AG272:AG335" si="124">INDEX(Echel_vg,AH272)</f>
        <v>4</v>
      </c>
      <c r="AH272" s="176">
        <f t="shared" si="119"/>
        <v>10</v>
      </c>
      <c r="AI272" s="225">
        <f t="shared" si="120"/>
        <v>4.1893076899601596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IF(t&gt;Tmaj,'2025'!Wh/'2025'!Env_an*'2026'!Env_an,0.001*'[11]mon-tableau (3)'!$B$151)</f>
        <v>25.420560729315437</v>
      </c>
      <c r="C273" s="839"/>
      <c r="D273" s="393">
        <f t="shared" si="102"/>
        <v>27.868845125609077</v>
      </c>
      <c r="E273" s="385">
        <f t="shared" si="100"/>
        <v>31.113830210784243</v>
      </c>
      <c r="F273" s="385">
        <f t="shared" si="103"/>
        <v>32.694156554902321</v>
      </c>
      <c r="G273" s="110">
        <f t="shared" si="101"/>
        <v>0.76076785136869929</v>
      </c>
      <c r="H273" s="414" t="b">
        <f>Wh_hp&gt;='2025'!Maxi_hp</f>
        <v>0</v>
      </c>
      <c r="I273" s="390">
        <f>IF(H273,Wh_hp,'2025'!Maxi_hp)</f>
        <v>39.509966115704373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8.7850227925084595E-2</v>
      </c>
      <c r="M273" s="843"/>
      <c r="N273" s="843"/>
      <c r="O273" s="48">
        <f>IF(t&lt;Tnet,'2025'!Resal+('2025'!Salim-'2025'!Resal)*(1-EXP(('2025'!Tnet-t)/('2025'!Tau_j))),Resal+(Salim-Resal)*(1-EXP((Tnet-t)/(Tau_j))))*Salcycl</f>
        <v>0.10429397676826163</v>
      </c>
      <c r="P273" s="169">
        <f>(INDEX(Models!$BJ273:$BT273,,T273)*(1-R273)+INDEX(Models!$BJ273:$BT273,,T273+1)*R273-ERP_i)*Q273*Ramure*Pc/MaxiM</f>
        <v>7.0635022813303777E-2</v>
      </c>
      <c r="Q273" s="305">
        <f t="shared" si="105"/>
        <v>0.8</v>
      </c>
      <c r="R273" s="177">
        <f t="shared" si="106"/>
        <v>0.98902436800153026</v>
      </c>
      <c r="S273" s="809">
        <f t="shared" si="107"/>
        <v>2</v>
      </c>
      <c r="T273" s="176">
        <f t="shared" si="108"/>
        <v>8</v>
      </c>
      <c r="U273" s="251">
        <f t="shared" si="109"/>
        <v>2.9890243680015303</v>
      </c>
      <c r="V273" s="383">
        <f t="shared" si="110"/>
        <v>32.631417277784017</v>
      </c>
      <c r="W273" s="402">
        <f t="shared" si="111"/>
        <v>25.420560729315437</v>
      </c>
      <c r="X273" s="157">
        <f t="shared" si="112"/>
        <v>46281</v>
      </c>
      <c r="Y273" s="385">
        <f t="shared" si="113"/>
        <v>23.310019969662402</v>
      </c>
      <c r="Z273" s="385">
        <f t="shared" si="114"/>
        <v>25.555035678666965</v>
      </c>
      <c r="AA273" s="386">
        <f t="shared" si="115"/>
        <v>30.347734340938388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0.15792607805341777</v>
      </c>
      <c r="AD273" s="231">
        <f>(INDEX(Models!$BJ273:$BT273,,AH273)*(1-AF273)+INDEX(Models!$BJ273:$BT273,,AH273+1)*AF273-ERP_i)*AE273*Ramure*Pc/MaxiM</f>
        <v>0.10487681055869424</v>
      </c>
      <c r="AE273" s="305">
        <f t="shared" si="117"/>
        <v>0.8</v>
      </c>
      <c r="AF273" s="177">
        <f t="shared" si="118"/>
        <v>0.18974111516643433</v>
      </c>
      <c r="AG273" s="809">
        <f t="shared" si="124"/>
        <v>4</v>
      </c>
      <c r="AH273" s="176">
        <f t="shared" si="119"/>
        <v>10</v>
      </c>
      <c r="AI273" s="225">
        <f t="shared" si="120"/>
        <v>4.1897411151664343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IF(t&gt;Tmaj,'2025'!Wh/'2025'!Env_an*'2026'!Env_an,0.001*'[11]mon-tableau (3)'!$B$152)</f>
        <v>32.004556348006638</v>
      </c>
      <c r="C274" s="839"/>
      <c r="D274" s="393">
        <f t="shared" si="102"/>
        <v>35.087788624746942</v>
      </c>
      <c r="E274" s="385">
        <f t="shared" si="100"/>
        <v>39.177484980344516</v>
      </c>
      <c r="F274" s="385">
        <f t="shared" si="103"/>
        <v>42.136207400713708</v>
      </c>
      <c r="G274" s="110">
        <f t="shared" si="101"/>
        <v>0.98980059858090952</v>
      </c>
      <c r="H274" s="414" t="b">
        <f>Wh_hp&gt;='2025'!Maxi_hp</f>
        <v>0</v>
      </c>
      <c r="I274" s="390">
        <f>IF(H274,Wh_hp,'2025'!Maxi_hp)</f>
        <v>42.174056181974457</v>
      </c>
      <c r="J274" s="85">
        <f>IF(H274,An,'2025'!An_max)</f>
        <v>2022</v>
      </c>
      <c r="K274" s="197">
        <f t="shared" si="104"/>
        <v>46282</v>
      </c>
      <c r="L274" s="147">
        <f>IF(t&lt;Tvie,1-EXP((T0-t)*PertePVj)+'2025'!Pspv,1-EXP((T0-t)*PertePVj)+Pspv)</f>
        <v>8.787194626924269E-2</v>
      </c>
      <c r="M274" s="843"/>
      <c r="N274" s="843"/>
      <c r="O274" s="48">
        <f>IF(t&lt;Tnet,'2025'!Resal+('2025'!Salim-'2025'!Resal)*(1-EXP(('2025'!Tnet-t)/('2025'!Tau_j))),Resal+(Salim-Resal)*(1-EXP((Tnet-t)/(Tau_j))))*Salcycl</f>
        <v>0.10438894578478915</v>
      </c>
      <c r="P274" s="169">
        <f>(INDEX(Models!$BJ274:$BT274,,T274)*(1-R274)+INDEX(Models!$BJ274:$BT274,,T274+1)*R274-ERP_i)*Q274*Ramure*Pc/MaxiM</f>
        <v>7.1153475895769883E-2</v>
      </c>
      <c r="Q274" s="305">
        <f t="shared" si="105"/>
        <v>0.8</v>
      </c>
      <c r="R274" s="177">
        <f t="shared" si="106"/>
        <v>0.98944094145564865</v>
      </c>
      <c r="S274" s="809">
        <f t="shared" si="107"/>
        <v>2</v>
      </c>
      <c r="T274" s="176">
        <f t="shared" si="108"/>
        <v>8</v>
      </c>
      <c r="U274" s="251">
        <f t="shared" si="109"/>
        <v>2.9894409414556486</v>
      </c>
      <c r="V274" s="383">
        <f t="shared" si="110"/>
        <v>32.301816797741303</v>
      </c>
      <c r="W274" s="402">
        <f t="shared" si="111"/>
        <v>32.004556348006638</v>
      </c>
      <c r="X274" s="157">
        <f t="shared" si="112"/>
        <v>46282</v>
      </c>
      <c r="Y274" s="385">
        <f t="shared" si="113"/>
        <v>29.031395707748331</v>
      </c>
      <c r="Z274" s="385">
        <f t="shared" si="114"/>
        <v>31.82820174097818</v>
      </c>
      <c r="AA274" s="386">
        <f t="shared" si="115"/>
        <v>37.797803396576789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0.15793514752604002</v>
      </c>
      <c r="AD274" s="231">
        <f>(INDEX(Models!$BJ274:$BT274,,AH274)*(1-AF274)+INDEX(Models!$BJ274:$BT274,,AH274+1)*AF274-ERP_i)*AE274*Ramure*Pc/MaxiM</f>
        <v>0.10433304679387571</v>
      </c>
      <c r="AE274" s="305">
        <f t="shared" si="117"/>
        <v>0.8</v>
      </c>
      <c r="AF274" s="177">
        <f t="shared" si="118"/>
        <v>0.19015768862055182</v>
      </c>
      <c r="AG274" s="809">
        <f t="shared" si="124"/>
        <v>4</v>
      </c>
      <c r="AH274" s="176">
        <f t="shared" si="119"/>
        <v>10</v>
      </c>
      <c r="AI274" s="225">
        <f t="shared" si="120"/>
        <v>4.1901576886205518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IF(t&gt;Tmaj,'2025'!Wh/'2025'!Env_an*'2026'!Env_an,0.001*'[11]mon-tableau (3)'!$B$153)</f>
        <v>32.068599044562021</v>
      </c>
      <c r="C275" s="839"/>
      <c r="D275" s="393">
        <f t="shared" si="102"/>
        <v>35.158838155860138</v>
      </c>
      <c r="E275" s="385">
        <f t="shared" si="100"/>
        <v>39.26092872645085</v>
      </c>
      <c r="F275" s="385">
        <f t="shared" si="103"/>
        <v>42.287790753707363</v>
      </c>
      <c r="G275" s="110">
        <f t="shared" si="101"/>
        <v>1.0030596920998256</v>
      </c>
      <c r="H275" s="414" t="b">
        <f>Wh_hp&gt;='2025'!Maxi_hp</f>
        <v>1</v>
      </c>
      <c r="I275" s="390">
        <f>IF(H275,Wh_hp,'2025'!Maxi_hp)</f>
        <v>42.287790753707363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8.7893664107983299E-2</v>
      </c>
      <c r="M275" s="843"/>
      <c r="N275" s="843"/>
      <c r="O275" s="48">
        <f>IF(t&lt;Tnet,'2025'!Resal+('2025'!Salim-'2025'!Resal)*(1-EXP(('2025'!Tnet-t)/('2025'!Tau_j))),Resal+(Salim-Resal)*(1-EXP((Tnet-t)/(Tau_j))))*Salcycl</f>
        <v>0.10448276960465921</v>
      </c>
      <c r="P275" s="169">
        <f>(INDEX(Models!$BJ275:$BT275,,T275)*(1-R275)+INDEX(Models!$BJ275:$BT275,,T275+1)*R275-ERP_i)*Q275*Ramure*Pc/MaxiM</f>
        <v>7.1577681721080533E-2</v>
      </c>
      <c r="Q275" s="305">
        <f t="shared" si="105"/>
        <v>0.8</v>
      </c>
      <c r="R275" s="177">
        <f t="shared" si="106"/>
        <v>0.9898412955474778</v>
      </c>
      <c r="S275" s="809">
        <f t="shared" si="107"/>
        <v>2</v>
      </c>
      <c r="T275" s="176">
        <f t="shared" si="108"/>
        <v>8</v>
      </c>
      <c r="U275" s="251">
        <f t="shared" si="109"/>
        <v>2.9898412955474778</v>
      </c>
      <c r="V275" s="383">
        <f t="shared" si="110"/>
        <v>31.970778306751573</v>
      </c>
      <c r="W275" s="402">
        <f t="shared" si="111"/>
        <v>32.068599044562021</v>
      </c>
      <c r="X275" s="157">
        <f t="shared" si="112"/>
        <v>46283</v>
      </c>
      <c r="Y275" s="385">
        <f t="shared" si="113"/>
        <v>29.112577714835066</v>
      </c>
      <c r="Z275" s="385">
        <f t="shared" si="114"/>
        <v>31.917964571930867</v>
      </c>
      <c r="AA275" s="386">
        <f t="shared" si="115"/>
        <v>37.904743163849773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0.15794272938455287</v>
      </c>
      <c r="AD275" s="231">
        <f>(INDEX(Models!$BJ275:$BT275,,AH275)*(1-AF275)+INDEX(Models!$BJ275:$BT275,,AH275+1)*AF275-ERP_i)*AE275*Ramure*Pc/MaxiM</f>
        <v>0.10364806275611189</v>
      </c>
      <c r="AE275" s="305">
        <f t="shared" si="117"/>
        <v>0.8</v>
      </c>
      <c r="AF275" s="177">
        <f t="shared" si="118"/>
        <v>0.19055804271238141</v>
      </c>
      <c r="AG275" s="809">
        <f t="shared" si="124"/>
        <v>4</v>
      </c>
      <c r="AH275" s="176">
        <f t="shared" si="119"/>
        <v>10</v>
      </c>
      <c r="AI275" s="225">
        <f t="shared" si="120"/>
        <v>4.1905580427123814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IF(t&gt;Tmaj,'2025'!Wh/'2025'!Env_an*'2026'!Env_an,0.001*'[11]mon-tableau (3)'!$B$154)</f>
        <v>30.653827469433644</v>
      </c>
      <c r="C276" s="839"/>
      <c r="D276" s="393">
        <f t="shared" si="102"/>
        <v>33.608534609293407</v>
      </c>
      <c r="E276" s="385">
        <f t="shared" si="100"/>
        <v>37.533629334478839</v>
      </c>
      <c r="F276" s="385">
        <f t="shared" si="103"/>
        <v>40.300771919065959</v>
      </c>
      <c r="G276" s="110">
        <f t="shared" si="101"/>
        <v>0.96557117043750851</v>
      </c>
      <c r="H276" s="414" t="b">
        <f>Wh_hp&gt;='2025'!Maxi_hp</f>
        <v>0</v>
      </c>
      <c r="I276" s="390">
        <f>IF(H276,Wh_hp,'2025'!Maxi_hp)</f>
        <v>40.423517538055499</v>
      </c>
      <c r="J276" s="85">
        <f>IF(H276,An,'2025'!An_max)</f>
        <v>2022</v>
      </c>
      <c r="K276" s="197">
        <f t="shared" si="104"/>
        <v>46284</v>
      </c>
      <c r="L276" s="147">
        <f>IF(t&lt;Tvie,1-EXP((T0-t)*PertePVj)+'2025'!Pspv,1-EXP((T0-t)*PertePVj)+Pspv)</f>
        <v>8.7915381441317969E-2</v>
      </c>
      <c r="M276" s="843"/>
      <c r="N276" s="843"/>
      <c r="O276" s="48">
        <f>IF(t&lt;Tnet,'2025'!Resal+('2025'!Salim-'2025'!Resal)*(1-EXP(('2025'!Tnet-t)/('2025'!Tau_j))),Resal+(Salim-Resal)*(1-EXP((Tnet-t)/(Tau_j))))*Salcycl</f>
        <v>0.10457541129868279</v>
      </c>
      <c r="P276" s="169">
        <f>(INDEX(Models!$BJ276:$BT276,,T276)*(1-R276)+INDEX(Models!$BJ276:$BT276,,T276+1)*R276-ERP_i)*Q276*Ramure*Pc/MaxiM</f>
        <v>7.1855416861028379E-2</v>
      </c>
      <c r="Q276" s="305">
        <f t="shared" si="105"/>
        <v>0.8</v>
      </c>
      <c r="R276" s="177">
        <f t="shared" si="106"/>
        <v>0.99022604071059206</v>
      </c>
      <c r="S276" s="809">
        <f t="shared" si="107"/>
        <v>2</v>
      </c>
      <c r="T276" s="176">
        <f t="shared" si="108"/>
        <v>8</v>
      </c>
      <c r="U276" s="251">
        <f t="shared" si="109"/>
        <v>2.9902260407105921</v>
      </c>
      <c r="V276" s="383">
        <f t="shared" si="110"/>
        <v>31.63798797538244</v>
      </c>
      <c r="W276" s="402">
        <f t="shared" si="111"/>
        <v>30.653827469433644</v>
      </c>
      <c r="X276" s="157">
        <f t="shared" si="112"/>
        <v>46284</v>
      </c>
      <c r="Y276" s="385">
        <f t="shared" si="113"/>
        <v>27.911038079438551</v>
      </c>
      <c r="Z276" s="385">
        <f t="shared" si="114"/>
        <v>30.60136911808123</v>
      </c>
      <c r="AA276" s="386">
        <f t="shared" si="115"/>
        <v>36.341457700495042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0.15794877106252186</v>
      </c>
      <c r="AD276" s="231">
        <f>(INDEX(Models!$BJ276:$BT276,,AH276)*(1-AF276)+INDEX(Models!$BJ276:$BT276,,AH276+1)*AF276-ERP_i)*AE276*Ramure*Pc/MaxiM</f>
        <v>0.10281297944090573</v>
      </c>
      <c r="AE276" s="305">
        <f t="shared" si="117"/>
        <v>0.8</v>
      </c>
      <c r="AF276" s="177">
        <f t="shared" si="118"/>
        <v>0.19094278787549523</v>
      </c>
      <c r="AG276" s="809">
        <f t="shared" si="124"/>
        <v>4</v>
      </c>
      <c r="AH276" s="176">
        <f t="shared" si="119"/>
        <v>10</v>
      </c>
      <c r="AI276" s="225">
        <f t="shared" si="120"/>
        <v>4.1909427878754952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IF(t&gt;Tmaj,'2025'!Wh/'2025'!Env_an*'2026'!Env_an,0.001*'[11]mon-tableau (3)'!$B$155)</f>
        <v>31.312552447357138</v>
      </c>
      <c r="C277" s="839"/>
      <c r="D277" s="393">
        <f t="shared" si="102"/>
        <v>34.331571197488756</v>
      </c>
      <c r="E277" s="385">
        <f t="shared" si="100"/>
        <v>38.345023366556347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Wh_hp&gt;='2025'!Maxi_hp</f>
        <v>1</v>
      </c>
      <c r="I277" s="390">
        <f>IF(H277,Wh_hp,'2025'!Maxi_hp)</f>
        <v>41.321180250587048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8.7937098269258579E-2</v>
      </c>
      <c r="M277" s="843"/>
      <c r="N277" s="843"/>
      <c r="O277" s="48">
        <f>IF(t&lt;Tnet,'2025'!Resal+('2025'!Salim-'2025'!Resal)*(1-EXP(('2025'!Tnet-t)/('2025'!Tau_j))),Resal+(Salim-Resal)*(1-EXP((Tnet-t)/(Tau_j))))*Salcycl</f>
        <v>0.10466683331240408</v>
      </c>
      <c r="P277" s="169">
        <f>(INDEX(Models!$BJ277:$BT277,,T277)*(1-R277)+INDEX(Models!$BJ277:$BT277,,T277+1)*R277-ERP_i)*Q277*Ramure*Pc/MaxiM</f>
        <v>7.2024972810122448E-2</v>
      </c>
      <c r="Q277" s="305">
        <f t="shared" si="105"/>
        <v>0.8</v>
      </c>
      <c r="R277" s="177">
        <f t="shared" si="106"/>
        <v>0.99059576604466226</v>
      </c>
      <c r="S277" s="809">
        <f t="shared" si="107"/>
        <v>2</v>
      </c>
      <c r="T277" s="176">
        <f t="shared" si="108"/>
        <v>8</v>
      </c>
      <c r="U277" s="251">
        <f t="shared" si="109"/>
        <v>2.9905957660446623</v>
      </c>
      <c r="V277" s="383">
        <f t="shared" si="110"/>
        <v>31.303104494960134</v>
      </c>
      <c r="W277" s="402">
        <f t="shared" si="111"/>
        <v>31.312552447357138</v>
      </c>
      <c r="X277" s="157">
        <f t="shared" si="112"/>
        <v>46285</v>
      </c>
      <c r="Y277" s="385">
        <f t="shared" si="113"/>
        <v>28.500771963074488</v>
      </c>
      <c r="Z277" s="385">
        <f t="shared" si="114"/>
        <v>31.248691191135045</v>
      </c>
      <c r="AA277" s="386">
        <f t="shared" si="115"/>
        <v>37.110398025627227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0.15795321921484859</v>
      </c>
      <c r="AD277" s="231">
        <f>(INDEX(Models!$BJ277:$BT277,,AH277)*(1-AF277)+INDEX(Models!$BJ277:$BT277,,AH277+1)*AF277-ERP_i)*AE277*Ramure*Pc/MaxiM</f>
        <v>0.10190372587191519</v>
      </c>
      <c r="AE277" s="305">
        <f t="shared" si="117"/>
        <v>0.8</v>
      </c>
      <c r="AF277" s="177">
        <f t="shared" si="118"/>
        <v>0.19131251320956633</v>
      </c>
      <c r="AG277" s="809">
        <f t="shared" si="124"/>
        <v>4</v>
      </c>
      <c r="AH277" s="176">
        <f t="shared" si="119"/>
        <v>10</v>
      </c>
      <c r="AI277" s="225">
        <f t="shared" si="120"/>
        <v>4.1913125132095663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IF(t&gt;Tmaj,'2025'!Wh/'2025'!Env_an*'2026'!Env_an,0.001*'[11]mon-tableau (3)'!$B$156)</f>
        <v>30.486742713325224</v>
      </c>
      <c r="C278" s="839"/>
      <c r="D278" s="393">
        <f t="shared" si="102"/>
        <v>33.426936415904194</v>
      </c>
      <c r="E278" s="385">
        <f t="shared" si="100"/>
        <v>37.338394521650962</v>
      </c>
      <c r="F278" s="385">
        <f t="shared" si="103"/>
        <v>40.169679839560871</v>
      </c>
      <c r="G278" s="110">
        <f t="shared" si="101"/>
        <v>0.98278973053652918</v>
      </c>
      <c r="H278" s="414" t="b">
        <f>Wh_hp&gt;='2025'!Maxi_hp</f>
        <v>0</v>
      </c>
      <c r="I278" s="390">
        <f>IF(H278,Wh_hp,'2025'!Maxi_hp)</f>
        <v>40.230485089809569</v>
      </c>
      <c r="J278" s="85">
        <f>IF(H278,An,'2025'!An_max)</f>
        <v>2022</v>
      </c>
      <c r="K278" s="197">
        <f t="shared" si="104"/>
        <v>46286</v>
      </c>
      <c r="L278" s="147">
        <f>IF(t&lt;Tvie,1-EXP((T0-t)*PertePVj)+'2025'!Pspv,1-EXP((T0-t)*PertePVj)+Pspv)</f>
        <v>8.7958814591816897E-2</v>
      </c>
      <c r="M278" s="843"/>
      <c r="N278" s="843"/>
      <c r="O278" s="48">
        <f>IF(t&lt;Tnet,'2025'!Resal+('2025'!Salim-'2025'!Resal)*(1-EXP(('2025'!Tnet-t)/('2025'!Tau_j))),Resal+(Salim-Resal)*(1-EXP((Tnet-t)/(Tau_j))))*Salcycl</f>
        <v>0.10475699761216786</v>
      </c>
      <c r="P278" s="169">
        <f>(INDEX(Models!$BJ278:$BT278,,T278)*(1-R278)+INDEX(Models!$BJ278:$BT278,,T278+1)*R278-ERP_i)*Q278*Ramure*Pc/MaxiM</f>
        <v>7.2081063486167316E-2</v>
      </c>
      <c r="Q278" s="305">
        <f t="shared" si="105"/>
        <v>0.8</v>
      </c>
      <c r="R278" s="177">
        <f t="shared" si="106"/>
        <v>0.99095103993176759</v>
      </c>
      <c r="S278" s="809">
        <f t="shared" si="107"/>
        <v>2</v>
      </c>
      <c r="T278" s="176">
        <f t="shared" si="108"/>
        <v>8</v>
      </c>
      <c r="U278" s="251">
        <f t="shared" si="109"/>
        <v>2.9909510399317676</v>
      </c>
      <c r="V278" s="383">
        <f t="shared" si="110"/>
        <v>30.967288753689992</v>
      </c>
      <c r="W278" s="402">
        <f t="shared" si="111"/>
        <v>30.486742713325224</v>
      </c>
      <c r="X278" s="157">
        <f t="shared" si="112"/>
        <v>46286</v>
      </c>
      <c r="Y278" s="385">
        <f t="shared" si="113"/>
        <v>27.805316488210821</v>
      </c>
      <c r="Z278" s="385">
        <f t="shared" si="114"/>
        <v>30.486908851343788</v>
      </c>
      <c r="AA278" s="386">
        <f t="shared" si="115"/>
        <v>36.205839093095086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0.15795601994049543</v>
      </c>
      <c r="AD278" s="231">
        <f>(INDEX(Models!$BJ278:$BT278,,AH278)*(1-AF278)+INDEX(Models!$BJ278:$BT278,,AH278+1)*AF278-ERP_i)*AE278*Ramure*Pc/MaxiM</f>
        <v>0.10091454036358923</v>
      </c>
      <c r="AE278" s="305">
        <f t="shared" si="117"/>
        <v>0.8</v>
      </c>
      <c r="AF278" s="177">
        <f t="shared" si="118"/>
        <v>0.1916677870966712</v>
      </c>
      <c r="AG278" s="809">
        <f t="shared" si="124"/>
        <v>4</v>
      </c>
      <c r="AH278" s="176">
        <f t="shared" si="119"/>
        <v>10</v>
      </c>
      <c r="AI278" s="225">
        <f t="shared" si="120"/>
        <v>4.1916677870966712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IF(t&gt;Tmaj,'2025'!Wh/'2025'!Env_an*'2026'!Env_an,0.001*'[11]mon-tableau (3)'!$B$157)</f>
        <v>29.445805900546592</v>
      </c>
      <c r="C279" s="839"/>
      <c r="D279" s="393">
        <f t="shared" si="102"/>
        <v>32.286378616184443</v>
      </c>
      <c r="E279" s="385">
        <f t="shared" si="100"/>
        <v>36.067954539303592</v>
      </c>
      <c r="F279" s="385">
        <f t="shared" si="103"/>
        <v>38.700977284294758</v>
      </c>
      <c r="G279" s="110">
        <f t="shared" si="101"/>
        <v>0.95717705168198886</v>
      </c>
      <c r="H279" s="414" t="b">
        <f>Wh_hp&gt;='2025'!Maxi_hp</f>
        <v>0</v>
      </c>
      <c r="I279" s="390">
        <f>IF(H279,Wh_hp,'2025'!Maxi_hp)</f>
        <v>38.846406402200635</v>
      </c>
      <c r="J279" s="85">
        <f>IF(H279,An,'2025'!An_max)</f>
        <v>2022</v>
      </c>
      <c r="K279" s="197">
        <f t="shared" si="104"/>
        <v>46287</v>
      </c>
      <c r="L279" s="147">
        <f>IF(t&lt;Tvie,1-EXP((T0-t)*PertePVj)+'2025'!Pspv,1-EXP((T0-t)*PertePVj)+Pspv)</f>
        <v>8.7980530409004692E-2</v>
      </c>
      <c r="M279" s="843"/>
      <c r="N279" s="843"/>
      <c r="O279" s="48">
        <f>IF(t&lt;Tnet,'2025'!Resal+('2025'!Salim-'2025'!Resal)*(1-EXP(('2025'!Tnet-t)/('2025'!Tau_j))),Resal+(Salim-Resal)*(1-EXP((Tnet-t)/(Tau_j))))*Salcycl</f>
        <v>0.10484586585020596</v>
      </c>
      <c r="P279" s="169">
        <f>(INDEX(Models!$BJ279:$BT279,,T279)*(1-R279)+INDEX(Models!$BJ279:$BT279,,T279+1)*R279-ERP_i)*Q279*Ramure*Pc/MaxiM</f>
        <v>7.201811695049759E-2</v>
      </c>
      <c r="Q279" s="305">
        <f t="shared" si="105"/>
        <v>0.8</v>
      </c>
      <c r="R279" s="177">
        <f t="shared" si="106"/>
        <v>0.99129241064553986</v>
      </c>
      <c r="S279" s="809">
        <f t="shared" si="107"/>
        <v>2</v>
      </c>
      <c r="T279" s="176">
        <f t="shared" si="108"/>
        <v>8</v>
      </c>
      <c r="U279" s="251">
        <f t="shared" si="109"/>
        <v>2.9912924106455399</v>
      </c>
      <c r="V279" s="383">
        <f t="shared" si="110"/>
        <v>30.631698814010502</v>
      </c>
      <c r="W279" s="402">
        <f t="shared" si="111"/>
        <v>29.445805900546592</v>
      </c>
      <c r="X279" s="157">
        <f t="shared" si="112"/>
        <v>46287</v>
      </c>
      <c r="Y279" s="385">
        <f t="shared" si="113"/>
        <v>26.917586014020685</v>
      </c>
      <c r="Z279" s="385">
        <f t="shared" si="114"/>
        <v>29.514266867671321</v>
      </c>
      <c r="AA279" s="386">
        <f t="shared" si="115"/>
        <v>35.050788427505708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0.15795711903272522</v>
      </c>
      <c r="AD279" s="231">
        <f>(INDEX(Models!$BJ279:$BT279,,AH279)*(1-AF279)+INDEX(Models!$BJ279:$BT279,,AH279+1)*AF279-ERP_i)*AE279*Ramure*Pc/MaxiM</f>
        <v>9.983952036863955E-2</v>
      </c>
      <c r="AE279" s="305">
        <f t="shared" si="117"/>
        <v>0.8</v>
      </c>
      <c r="AF279" s="177">
        <f t="shared" si="118"/>
        <v>0.19200915781044348</v>
      </c>
      <c r="AG279" s="809">
        <f t="shared" si="124"/>
        <v>4</v>
      </c>
      <c r="AH279" s="176">
        <f t="shared" si="119"/>
        <v>10</v>
      </c>
      <c r="AI279" s="225">
        <f t="shared" si="120"/>
        <v>4.1920091578104435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IF(t&gt;Tmaj,'2025'!Wh/'2025'!Env_an*'2026'!Env_an,0.001*'[11]mon-tableau (3)'!$B$158)</f>
        <v>19.059732090469382</v>
      </c>
      <c r="C280" s="839"/>
      <c r="D280" s="393">
        <f t="shared" si="102"/>
        <v>20.898880508246425</v>
      </c>
      <c r="E280" s="385">
        <f t="shared" si="100"/>
        <v>23.348966990503197</v>
      </c>
      <c r="F280" s="385">
        <f t="shared" si="103"/>
        <v>24.165001932003538</v>
      </c>
      <c r="G280" s="110">
        <f t="shared" si="101"/>
        <v>0.60430570575469889</v>
      </c>
      <c r="H280" s="414" t="b">
        <f>Wh_hp&gt;='2025'!Maxi_hp</f>
        <v>0</v>
      </c>
      <c r="I280" s="390">
        <f>IF(H280,Wh_hp,'2025'!Maxi_hp)</f>
        <v>37.625376650076369</v>
      </c>
      <c r="J280" s="85">
        <f>IF(H280,An,'2025'!An_max)</f>
        <v>2019</v>
      </c>
      <c r="K280" s="197">
        <f t="shared" si="104"/>
        <v>46288</v>
      </c>
      <c r="L280" s="147">
        <f>IF(t&lt;Tvie,1-EXP((T0-t)*PertePVj)+'2025'!Pspv,1-EXP((T0-t)*PertePVj)+Pspv)</f>
        <v>8.8002245720833622E-2</v>
      </c>
      <c r="M280" s="843"/>
      <c r="N280" s="843"/>
      <c r="O280" s="48">
        <f>IF(t&lt;Tnet,'2025'!Resal+('2025'!Salim-'2025'!Resal)*(1-EXP(('2025'!Tnet-t)/('2025'!Tau_j))),Resal+(Salim-Resal)*(1-EXP((Tnet-t)/(Tau_j))))*Salcycl</f>
        <v>0.10493339954839569</v>
      </c>
      <c r="P280" s="169">
        <f>(INDEX(Models!$BJ280:$BT280,,T280)*(1-R280)+INDEX(Models!$BJ280:$BT280,,T280+1)*R280-ERP_i)*Q280*Ramure*Pc/MaxiM</f>
        <v>7.1830679699252969E-2</v>
      </c>
      <c r="Q280" s="305">
        <f t="shared" si="105"/>
        <v>0.8</v>
      </c>
      <c r="R280" s="177">
        <f t="shared" si="106"/>
        <v>0.99162040695221787</v>
      </c>
      <c r="S280" s="809">
        <f t="shared" si="107"/>
        <v>2</v>
      </c>
      <c r="T280" s="176">
        <f t="shared" si="108"/>
        <v>8</v>
      </c>
      <c r="U280" s="251">
        <f t="shared" si="109"/>
        <v>2.9916204069522179</v>
      </c>
      <c r="V280" s="383">
        <f t="shared" si="110"/>
        <v>30.297477325847282</v>
      </c>
      <c r="W280" s="402">
        <f t="shared" si="111"/>
        <v>19.059732090469382</v>
      </c>
      <c r="X280" s="157">
        <f t="shared" si="112"/>
        <v>46288</v>
      </c>
      <c r="Y280" s="385">
        <f t="shared" si="113"/>
        <v>17.696468096922779</v>
      </c>
      <c r="Z280" s="385">
        <f t="shared" si="114"/>
        <v>19.404069816937088</v>
      </c>
      <c r="AA280" s="386">
        <f t="shared" si="115"/>
        <v>23.044022009750872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0.15795646225617949</v>
      </c>
      <c r="AD280" s="231">
        <f>(INDEX(Models!$BJ280:$BT280,,AH280)*(1-AF280)+INDEX(Models!$BJ280:$BT280,,AH280+1)*AF280-ERP_i)*AE280*Ramure*Pc/MaxiM</f>
        <v>9.8673164162041416E-2</v>
      </c>
      <c r="AE280" s="305">
        <f t="shared" si="117"/>
        <v>0.8</v>
      </c>
      <c r="AF280" s="177">
        <f t="shared" si="118"/>
        <v>0.19233715411712193</v>
      </c>
      <c r="AG280" s="809">
        <f t="shared" si="124"/>
        <v>4</v>
      </c>
      <c r="AH280" s="176">
        <f t="shared" si="119"/>
        <v>10</v>
      </c>
      <c r="AI280" s="225">
        <f t="shared" si="120"/>
        <v>4.1923371541171219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IF(t&gt;Tmaj,'2025'!Wh/'2025'!Env_an*'2026'!Env_an,0.001*'[11]mon-tableau (3)'!$B$159)</f>
        <v>13.898316692050491</v>
      </c>
      <c r="C281" s="839"/>
      <c r="D281" s="393">
        <f t="shared" si="102"/>
        <v>15.239782725088551</v>
      </c>
      <c r="E281" s="385">
        <f t="shared" si="100"/>
        <v>17.028062345361342</v>
      </c>
      <c r="F281" s="385">
        <f t="shared" si="103"/>
        <v>17.317871127828042</v>
      </c>
      <c r="G281" s="110">
        <f t="shared" si="101"/>
        <v>0.43796752845208198</v>
      </c>
      <c r="H281" s="414" t="b">
        <f>Wh_hp&gt;='2025'!Maxi_hp</f>
        <v>0</v>
      </c>
      <c r="I281" s="390">
        <f>IF(H281,Wh_hp,'2025'!Maxi_hp)</f>
        <v>36.227444973424483</v>
      </c>
      <c r="J281" s="85">
        <f>IF(H281,An,'2025'!An_max)</f>
        <v>2018</v>
      </c>
      <c r="K281" s="197">
        <f t="shared" si="104"/>
        <v>46289</v>
      </c>
      <c r="L281" s="147">
        <f>IF(t&lt;Tvie,1-EXP((T0-t)*PertePVj)+'2025'!Pspv,1-EXP((T0-t)*PertePVj)+Pspv)</f>
        <v>8.8023960527315565E-2</v>
      </c>
      <c r="M281" s="843"/>
      <c r="N281" s="843"/>
      <c r="O281" s="48">
        <f>IF(t&lt;Tnet,'2025'!Resal+('2025'!Salim-'2025'!Resal)*(1-EXP(('2025'!Tnet-t)/('2025'!Tau_j))),Resal+(Salim-Resal)*(1-EXP((Tnet-t)/(Tau_j))))*Salcycl</f>
        <v>0.10501956030011493</v>
      </c>
      <c r="P281" s="169">
        <f>(INDEX(Models!$BJ281:$BT281,,T281)*(1-R281)+INDEX(Models!$BJ281:$BT281,,T281+1)*R281-ERP_i)*Q281*Ramure*Pc/MaxiM</f>
        <v>7.1512864878437873E-2</v>
      </c>
      <c r="Q281" s="305">
        <f t="shared" si="105"/>
        <v>0.8</v>
      </c>
      <c r="R281" s="177">
        <f t="shared" si="106"/>
        <v>0.99193553870278128</v>
      </c>
      <c r="S281" s="809">
        <f t="shared" si="107"/>
        <v>2</v>
      </c>
      <c r="T281" s="176">
        <f t="shared" si="108"/>
        <v>8</v>
      </c>
      <c r="U281" s="251">
        <f t="shared" si="109"/>
        <v>2.9919355387027813</v>
      </c>
      <c r="V281" s="383">
        <f t="shared" si="110"/>
        <v>29.965770807199046</v>
      </c>
      <c r="W281" s="402">
        <f t="shared" si="111"/>
        <v>13.898316692050491</v>
      </c>
      <c r="X281" s="157">
        <f t="shared" si="112"/>
        <v>46289</v>
      </c>
      <c r="Y281" s="385">
        <f t="shared" si="113"/>
        <v>12.995696173112984</v>
      </c>
      <c r="Z281" s="385">
        <f t="shared" si="114"/>
        <v>14.25004124080634</v>
      </c>
      <c r="AA281" s="386">
        <f t="shared" si="115"/>
        <v>16.923114850242257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0.15795399564978144</v>
      </c>
      <c r="AD281" s="231">
        <f>(INDEX(Models!$BJ281:$BT281,,AH281)*(1-AF281)+INDEX(Models!$BJ281:$BT281,,AH281+1)*AF281-ERP_i)*AE281*Ramure*Pc/MaxiM</f>
        <v>9.7409581927184241E-2</v>
      </c>
      <c r="AE281" s="305">
        <f t="shared" si="117"/>
        <v>0.8</v>
      </c>
      <c r="AF281" s="177">
        <f t="shared" si="118"/>
        <v>0.1926522858676849</v>
      </c>
      <c r="AG281" s="809">
        <f t="shared" si="124"/>
        <v>4</v>
      </c>
      <c r="AH281" s="176">
        <f t="shared" si="119"/>
        <v>10</v>
      </c>
      <c r="AI281" s="225">
        <f t="shared" si="120"/>
        <v>4.1926522858676849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IF(t&gt;Tmaj,'2025'!Wh/'2025'!Env_an*'2026'!Env_an,0.001*'[11]mon-tableau (3)'!$B$160)</f>
        <v>25.589780605669905</v>
      </c>
      <c r="C282" s="839"/>
      <c r="D282" s="393">
        <f t="shared" si="102"/>
        <v>28.060375283440308</v>
      </c>
      <c r="E282" s="385">
        <f t="shared" si="100"/>
        <v>31.356029084359079</v>
      </c>
      <c r="F282" s="385">
        <f t="shared" si="103"/>
        <v>33.258242154757575</v>
      </c>
      <c r="G282" s="110">
        <f t="shared" si="101"/>
        <v>0.85072322351674889</v>
      </c>
      <c r="H282" s="414" t="b">
        <f>Wh_hp&gt;='2025'!Maxi_hp</f>
        <v>0</v>
      </c>
      <c r="I282" s="390">
        <f>IF(H282,Wh_hp,'2025'!Maxi_hp)</f>
        <v>37.737616608562853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8.8045674828462289E-2</v>
      </c>
      <c r="M282" s="843"/>
      <c r="N282" s="843"/>
      <c r="O282" s="48">
        <f>IF(t&lt;Tnet,'2025'!Resal+('2025'!Salim-'2025'!Resal)*(1-EXP(('2025'!Tnet-t)/('2025'!Tau_j))),Resal+(Salim-Resal)*(1-EXP((Tnet-t)/(Tau_j))))*Salcycl</f>
        <v>0.10510430998938895</v>
      </c>
      <c r="P282" s="169">
        <f>(INDEX(Models!$BJ282:$BT282,,T282)*(1-R282)+INDEX(Models!$BJ282:$BT282,,T282+1)*R282-ERP_i)*Q282*Ramure*Pc/MaxiM</f>
        <v>7.1060000995967917E-2</v>
      </c>
      <c r="Q282" s="305">
        <f t="shared" si="105"/>
        <v>0.8</v>
      </c>
      <c r="R282" s="177">
        <f t="shared" si="106"/>
        <v>0.99223829741544334</v>
      </c>
      <c r="S282" s="809">
        <f t="shared" si="107"/>
        <v>2</v>
      </c>
      <c r="T282" s="176">
        <f t="shared" si="108"/>
        <v>8</v>
      </c>
      <c r="U282" s="251">
        <f t="shared" si="109"/>
        <v>2.9922382974154433</v>
      </c>
      <c r="V282" s="383">
        <f t="shared" si="110"/>
        <v>29.637677627837022</v>
      </c>
      <c r="W282" s="402">
        <f t="shared" si="111"/>
        <v>25.589780605669905</v>
      </c>
      <c r="X282" s="157">
        <f t="shared" si="112"/>
        <v>46290</v>
      </c>
      <c r="Y282" s="385">
        <f t="shared" si="113"/>
        <v>23.564013974519817</v>
      </c>
      <c r="Z282" s="385">
        <f t="shared" si="114"/>
        <v>25.839028692678713</v>
      </c>
      <c r="AA282" s="386">
        <f t="shared" si="115"/>
        <v>30.685848155250596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0.15794966585411313</v>
      </c>
      <c r="AD282" s="231">
        <f>(INDEX(Models!$BJ282:$BT282,,AH282)*(1-AF282)+INDEX(Models!$BJ282:$BT282,,AH282+1)*AF282-ERP_i)*AE282*Ramure*Pc/MaxiM</f>
        <v>9.6095607275316589E-2</v>
      </c>
      <c r="AE282" s="305">
        <f t="shared" si="117"/>
        <v>0.8</v>
      </c>
      <c r="AF282" s="177">
        <f t="shared" si="118"/>
        <v>0.19295504458034696</v>
      </c>
      <c r="AG282" s="809">
        <f t="shared" si="124"/>
        <v>4</v>
      </c>
      <c r="AH282" s="176">
        <f t="shared" si="119"/>
        <v>10</v>
      </c>
      <c r="AI282" s="225">
        <f t="shared" si="120"/>
        <v>4.192955044580347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IF(t&gt;Tmaj,'2025'!Wh/'2025'!Env_an*'2026'!Env_an,0.001*'[11]mon-tableau (3)'!$B$161)</f>
        <v>22.223503713901959</v>
      </c>
      <c r="C283" s="839"/>
      <c r="D283" s="393">
        <f t="shared" si="102"/>
        <v>24.369677579987229</v>
      </c>
      <c r="E283" s="385">
        <f t="shared" si="100"/>
        <v>27.234398942484304</v>
      </c>
      <c r="F283" s="385">
        <f t="shared" si="103"/>
        <v>28.552626382310326</v>
      </c>
      <c r="G283" s="110">
        <f t="shared" si="101"/>
        <v>0.73879854984474214</v>
      </c>
      <c r="H283" s="414" t="b">
        <f>Wh_hp&gt;='2025'!Maxi_hp</f>
        <v>0</v>
      </c>
      <c r="I283" s="390">
        <f>IF(H283,Wh_hp,'2025'!Maxi_hp)</f>
        <v>38.347746104915672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8.8067388624285453E-2</v>
      </c>
      <c r="M283" s="843"/>
      <c r="N283" s="843"/>
      <c r="O283" s="48">
        <f>IF(t&lt;Tnet,'2025'!Resal+('2025'!Salim-'2025'!Resal)*(1-EXP(('2025'!Tnet-t)/('2025'!Tau_j))),Resal+(Salim-Resal)*(1-EXP((Tnet-t)/(Tau_j))))*Salcycl</f>
        <v>0.10518761102629863</v>
      </c>
      <c r="P283" s="169">
        <f>(INDEX(Models!$BJ283:$BT283,,T283)*(1-R283)+INDEX(Models!$BJ283:$BT283,,T283+1)*R283-ERP_i)*Q283*Ramure*Pc/MaxiM</f>
        <v>7.0537034445631419E-2</v>
      </c>
      <c r="Q283" s="305">
        <f t="shared" si="105"/>
        <v>0.8</v>
      </c>
      <c r="R283" s="177">
        <f t="shared" si="106"/>
        <v>0.99252915684789667</v>
      </c>
      <c r="S283" s="809">
        <f t="shared" si="107"/>
        <v>2</v>
      </c>
      <c r="T283" s="176">
        <f t="shared" si="108"/>
        <v>8</v>
      </c>
      <c r="U283" s="251">
        <f t="shared" si="109"/>
        <v>2.9925291568478967</v>
      </c>
      <c r="V283" s="383">
        <f t="shared" si="110"/>
        <v>29.31209457921624</v>
      </c>
      <c r="W283" s="402">
        <f t="shared" si="111"/>
        <v>22.223503713901959</v>
      </c>
      <c r="X283" s="157">
        <f t="shared" si="112"/>
        <v>46291</v>
      </c>
      <c r="Y283" s="385">
        <f t="shared" si="113"/>
        <v>20.565185264069235</v>
      </c>
      <c r="Z283" s="385">
        <f t="shared" si="114"/>
        <v>22.551211578062993</v>
      </c>
      <c r="AA283" s="386">
        <f t="shared" si="115"/>
        <v>26.781112013191308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0.15794342046158627</v>
      </c>
      <c r="AD283" s="231">
        <f>(INDEX(Models!$BJ283:$BT283,,AH283)*(1-AF283)+INDEX(Models!$BJ283:$BT283,,AH283+1)*AF283-ERP_i)*AE283*Ramure*Pc/MaxiM</f>
        <v>9.4791965559426511E-2</v>
      </c>
      <c r="AE283" s="305">
        <f t="shared" si="117"/>
        <v>0.8</v>
      </c>
      <c r="AF283" s="177">
        <f t="shared" si="118"/>
        <v>0.19324590401280073</v>
      </c>
      <c r="AG283" s="809">
        <f t="shared" si="124"/>
        <v>4</v>
      </c>
      <c r="AH283" s="176">
        <f t="shared" si="119"/>
        <v>10</v>
      </c>
      <c r="AI283" s="225">
        <f t="shared" si="120"/>
        <v>4.1932459040128007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IF(t&gt;Tmaj,'2025'!Wh/'2025'!Env_an*'2026'!Env_an,0.001*'[11]mon-tableau (3)'!$B$162)</f>
        <v>14.4103773762745</v>
      </c>
      <c r="C284" s="839"/>
      <c r="D284" s="393">
        <f t="shared" si="102"/>
        <v>15.802396271974466</v>
      </c>
      <c r="E284" s="385">
        <f t="shared" si="100"/>
        <v>17.661625456565059</v>
      </c>
      <c r="F284" s="385">
        <f t="shared" si="103"/>
        <v>18.016380744373674</v>
      </c>
      <c r="G284" s="110">
        <f t="shared" si="101"/>
        <v>0.47159862350735532</v>
      </c>
      <c r="H284" s="414" t="b">
        <f>Wh_hp&gt;='2025'!Maxi_hp</f>
        <v>0</v>
      </c>
      <c r="I284" s="390">
        <f>IF(H284,Wh_hp,'2025'!Maxi_hp)</f>
        <v>36.969576410748687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8.8089101914796936E-2</v>
      </c>
      <c r="M284" s="843"/>
      <c r="N284" s="843"/>
      <c r="O284" s="48">
        <f>IF(t&lt;Tnet,'2025'!Resal+('2025'!Salim-'2025'!Resal)*(1-EXP(('2025'!Tnet-t)/('2025'!Tau_j))),Resal+(Salim-Resal)*(1-EXP((Tnet-t)/(Tau_j))))*Salcycl</f>
        <v>0.10526942659739706</v>
      </c>
      <c r="P284" s="169">
        <f>(INDEX(Models!$BJ284:$BT284,,T284)*(1-R284)+INDEX(Models!$BJ284:$BT284,,T284+1)*R284-ERP_i)*Q284*Ramure*Pc/MaxiM</f>
        <v>6.9939355781397386E-2</v>
      </c>
      <c r="Q284" s="305">
        <f t="shared" si="105"/>
        <v>0.8</v>
      </c>
      <c r="R284" s="177">
        <f t="shared" si="106"/>
        <v>0.99280857355877972</v>
      </c>
      <c r="S284" s="809">
        <f t="shared" si="107"/>
        <v>2</v>
      </c>
      <c r="T284" s="176">
        <f t="shared" si="108"/>
        <v>8</v>
      </c>
      <c r="U284" s="251">
        <f t="shared" si="109"/>
        <v>2.9928085735587797</v>
      </c>
      <c r="V284" s="383">
        <f t="shared" si="110"/>
        <v>28.990184115223109</v>
      </c>
      <c r="W284" s="402">
        <f t="shared" si="111"/>
        <v>14.4103773762745</v>
      </c>
      <c r="X284" s="157">
        <f t="shared" si="112"/>
        <v>46292</v>
      </c>
      <c r="Y284" s="385">
        <f t="shared" si="113"/>
        <v>13.470400343847857</v>
      </c>
      <c r="Z284" s="385">
        <f t="shared" si="114"/>
        <v>14.771618994939645</v>
      </c>
      <c r="AA284" s="386">
        <f t="shared" si="115"/>
        <v>17.54214063106868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0.15793520838740716</v>
      </c>
      <c r="AD284" s="231">
        <f>(INDEX(Models!$BJ284:$BT284,,AH284)*(1-AF284)+INDEX(Models!$BJ284:$BT284,,AH284+1)*AF284-ERP_i)*AE284*Ramure*Pc/MaxiM</f>
        <v>9.3495570468118391E-2</v>
      </c>
      <c r="AE284" s="305">
        <f t="shared" si="117"/>
        <v>0.8</v>
      </c>
      <c r="AF284" s="177">
        <f t="shared" si="118"/>
        <v>0.19352532072368334</v>
      </c>
      <c r="AG284" s="809">
        <f t="shared" si="124"/>
        <v>4</v>
      </c>
      <c r="AH284" s="176">
        <f t="shared" si="119"/>
        <v>10</v>
      </c>
      <c r="AI284" s="225">
        <f t="shared" si="120"/>
        <v>4.1935253207236833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IF(t&gt;Tmaj,'2025'!Wh/'2025'!Env_an*'2026'!Env_an,0.001*'[11]mon-tableau (3)'!$B$163)</f>
        <v>15.871890778014489</v>
      </c>
      <c r="C285" s="839"/>
      <c r="D285" s="393">
        <f t="shared" si="102"/>
        <v>17.40550390757511</v>
      </c>
      <c r="E285" s="385">
        <f t="shared" si="100"/>
        <v>19.455092469944663</v>
      </c>
      <c r="F285" s="385">
        <f t="shared" si="103"/>
        <v>19.955730383138331</v>
      </c>
      <c r="G285" s="110">
        <f t="shared" si="101"/>
        <v>0.528464175465021</v>
      </c>
      <c r="H285" s="414" t="b">
        <f>Wh_hp&gt;='2025'!Maxi_hp</f>
        <v>0</v>
      </c>
      <c r="I285" s="390">
        <f>IF(H285,Wh_hp,'2025'!Maxi_hp)</f>
        <v>35.211477825551697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8.8110814700008283E-2</v>
      </c>
      <c r="M285" s="843"/>
      <c r="N285" s="843"/>
      <c r="O285" s="48">
        <f>IF(t&lt;Tnet,'2025'!Resal+('2025'!Salim-'2025'!Resal)*(1-EXP(('2025'!Tnet-t)/('2025'!Tau_j))),Resal+(Salim-Resal)*(1-EXP((Tnet-t)/(Tau_j))))*Salcycl</f>
        <v>0.10534972092966792</v>
      </c>
      <c r="P285" s="169">
        <f>(INDEX(Models!$BJ285:$BT285,,T285)*(1-R285)+INDEX(Models!$BJ285:$BT285,,T285+1)*R285-ERP_i)*Q285*Ramure*Pc/MaxiM</f>
        <v>6.9262304979641059E-2</v>
      </c>
      <c r="Q285" s="305">
        <f t="shared" si="105"/>
        <v>0.8</v>
      </c>
      <c r="R285" s="177">
        <f t="shared" si="106"/>
        <v>0.99307698745792372</v>
      </c>
      <c r="S285" s="809">
        <f t="shared" si="107"/>
        <v>2</v>
      </c>
      <c r="T285" s="176">
        <f t="shared" si="108"/>
        <v>8</v>
      </c>
      <c r="U285" s="251">
        <f t="shared" si="109"/>
        <v>2.9930769874579237</v>
      </c>
      <c r="V285" s="383">
        <f t="shared" si="110"/>
        <v>28.673106378082355</v>
      </c>
      <c r="W285" s="402">
        <f t="shared" si="111"/>
        <v>15.871890778014489</v>
      </c>
      <c r="X285" s="157">
        <f t="shared" si="112"/>
        <v>46293</v>
      </c>
      <c r="Y285" s="385">
        <f t="shared" si="113"/>
        <v>14.811828071537199</v>
      </c>
      <c r="Z285" s="385">
        <f t="shared" si="114"/>
        <v>16.243013197556927</v>
      </c>
      <c r="AA285" s="386">
        <f t="shared" si="115"/>
        <v>19.289270928085905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0.15792498025902649</v>
      </c>
      <c r="AD285" s="231">
        <f>(INDEX(Models!$BJ285:$BT285,,AH285)*(1-AF285)+INDEX(Models!$BJ285:$BT285,,AH285+1)*AF285-ERP_i)*AE285*Ramure*Pc/MaxiM</f>
        <v>9.2203400533409877E-2</v>
      </c>
      <c r="AE285" s="305">
        <f t="shared" si="117"/>
        <v>0.8</v>
      </c>
      <c r="AF285" s="177">
        <f t="shared" si="118"/>
        <v>0.19379373462282778</v>
      </c>
      <c r="AG285" s="809">
        <f t="shared" si="124"/>
        <v>4</v>
      </c>
      <c r="AH285" s="176">
        <f t="shared" si="119"/>
        <v>10</v>
      </c>
      <c r="AI285" s="225">
        <f t="shared" si="120"/>
        <v>4.1937937346228278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IF(t&gt;Tmaj,'2025'!Wh/'2025'!Env_an*'2026'!Env_an,0.001*'[11]mon-tableau (3)'!$B$164)</f>
        <v>18.331726646093642</v>
      </c>
      <c r="C286" s="839"/>
      <c r="D286" s="393">
        <f t="shared" si="102"/>
        <v>20.103498796135032</v>
      </c>
      <c r="E286" s="385">
        <f t="shared" si="100"/>
        <v>22.472768121362126</v>
      </c>
      <c r="F286" s="385">
        <f t="shared" si="103"/>
        <v>23.261163277917049</v>
      </c>
      <c r="G286" s="110">
        <f t="shared" si="101"/>
        <v>0.62319417280386091</v>
      </c>
      <c r="H286" s="414" t="b">
        <f>Wh_hp&gt;='2025'!Maxi_hp</f>
        <v>0</v>
      </c>
      <c r="I286" s="390">
        <f>IF(H286,Wh_hp,'2025'!Maxi_hp)</f>
        <v>37.209601495836544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8.8132526979931486E-2</v>
      </c>
      <c r="M286" s="843"/>
      <c r="N286" s="843"/>
      <c r="O286" s="48">
        <f>IF(t&lt;Tnet,'2025'!Resal+('2025'!Salim-'2025'!Resal)*(1-EXP(('2025'!Tnet-t)/('2025'!Tau_j))),Resal+(Salim-Resal)*(1-EXP((Tnet-t)/(Tau_j))))*Salcycl</f>
        <v>0.10542845956635483</v>
      </c>
      <c r="P286" s="169">
        <f>(INDEX(Models!$BJ286:$BT286,,T286)*(1-R286)+INDEX(Models!$BJ286:$BT286,,T286+1)*R286-ERP_i)*Q286*Ramure*Pc/MaxiM</f>
        <v>6.850120529894145E-2</v>
      </c>
      <c r="Q286" s="305">
        <f t="shared" si="105"/>
        <v>0.8</v>
      </c>
      <c r="R286" s="177">
        <f t="shared" si="106"/>
        <v>0.99333482234501602</v>
      </c>
      <c r="S286" s="809">
        <f t="shared" si="107"/>
        <v>2</v>
      </c>
      <c r="T286" s="176">
        <f t="shared" si="108"/>
        <v>8</v>
      </c>
      <c r="U286" s="251">
        <f t="shared" si="109"/>
        <v>2.993334822345016</v>
      </c>
      <c r="V286" s="383">
        <f t="shared" si="110"/>
        <v>28.362019103041501</v>
      </c>
      <c r="W286" s="402">
        <f t="shared" si="111"/>
        <v>18.331726646093642</v>
      </c>
      <c r="X286" s="157">
        <f t="shared" si="112"/>
        <v>46294</v>
      </c>
      <c r="Y286" s="385">
        <f t="shared" si="113"/>
        <v>17.058147849675368</v>
      </c>
      <c r="Z286" s="385">
        <f t="shared" si="114"/>
        <v>18.706827860828795</v>
      </c>
      <c r="AA286" s="386">
        <f t="shared" si="115"/>
        <v>22.214831659971388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0.15791268882147858</v>
      </c>
      <c r="AD286" s="231">
        <f>(INDEX(Models!$BJ286:$BT286,,AH286)*(1-AF286)+INDEX(Models!$BJ286:$BT286,,AH286+1)*AF286-ERP_i)*AE286*Ramure*Pc/MaxiM</f>
        <v>9.0912502919056143E-2</v>
      </c>
      <c r="AE286" s="305">
        <f t="shared" si="117"/>
        <v>0.8</v>
      </c>
      <c r="AF286" s="177">
        <f t="shared" si="118"/>
        <v>0.19405156950992009</v>
      </c>
      <c r="AG286" s="809">
        <f t="shared" si="124"/>
        <v>4</v>
      </c>
      <c r="AH286" s="176">
        <f t="shared" si="119"/>
        <v>10</v>
      </c>
      <c r="AI286" s="225">
        <f t="shared" si="120"/>
        <v>4.1940515695099201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IF(t&gt;Tmaj,'2025'!Wh/'2025'!Env_an*'2026'!Env_an,0.001*'[11]mon-tableau (3)'!$B$165)</f>
        <v>19.681760828315962</v>
      </c>
      <c r="C287" s="839"/>
      <c r="D287" s="393">
        <f t="shared" si="102"/>
        <v>21.584528507797327</v>
      </c>
      <c r="E287" s="385">
        <f t="shared" si="100"/>
        <v>24.130423556283233</v>
      </c>
      <c r="F287" s="385">
        <f t="shared" si="103"/>
        <v>25.104465112461195</v>
      </c>
      <c r="G287" s="110">
        <f t="shared" si="101"/>
        <v>0.6804095302889499</v>
      </c>
      <c r="H287" s="414" t="b">
        <f>Wh_hp&gt;='2025'!Maxi_hp</f>
        <v>0</v>
      </c>
      <c r="I287" s="390">
        <f>IF(H287,Wh_hp,'2025'!Maxi_hp)</f>
        <v>35.36597547612849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8.8154238754578201E-2</v>
      </c>
      <c r="M287" s="843"/>
      <c r="N287" s="843"/>
      <c r="O287" s="48">
        <f>IF(t&lt;Tnet,'2025'!Resal+('2025'!Salim-'2025'!Resal)*(1-EXP(('2025'!Tnet-t)/('2025'!Tau_j))),Resal+(Salim-Resal)*(1-EXP((Tnet-t)/(Tau_j))))*Salcycl</f>
        <v>0.10550560965279815</v>
      </c>
      <c r="P287" s="169">
        <f>(INDEX(Models!$BJ287:$BT287,,T287)*(1-R287)+INDEX(Models!$BJ287:$BT287,,T287+1)*R287-ERP_i)*Q287*Ramure*Pc/MaxiM</f>
        <v>6.7651402985554235E-2</v>
      </c>
      <c r="Q287" s="305">
        <f t="shared" si="105"/>
        <v>0.8</v>
      </c>
      <c r="R287" s="177">
        <f t="shared" si="106"/>
        <v>0.99358248643638714</v>
      </c>
      <c r="S287" s="809">
        <f t="shared" si="107"/>
        <v>2</v>
      </c>
      <c r="T287" s="176">
        <f t="shared" si="108"/>
        <v>8</v>
      </c>
      <c r="U287" s="251">
        <f t="shared" si="109"/>
        <v>2.9935824864363871</v>
      </c>
      <c r="V287" s="383">
        <f t="shared" si="110"/>
        <v>28.058077539501983</v>
      </c>
      <c r="W287" s="402">
        <f t="shared" si="111"/>
        <v>19.681760828315962</v>
      </c>
      <c r="X287" s="157">
        <f t="shared" si="112"/>
        <v>46295</v>
      </c>
      <c r="Y287" s="385">
        <f t="shared" si="113"/>
        <v>18.286074520765684</v>
      </c>
      <c r="Z287" s="385">
        <f t="shared" si="114"/>
        <v>20.053911854336093</v>
      </c>
      <c r="AA287" s="386">
        <f t="shared" si="115"/>
        <v>23.814120789510849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0.15789828935574121</v>
      </c>
      <c r="AD287" s="231">
        <f>(INDEX(Models!$BJ287:$BT287,,AH287)*(1-AF287)+INDEX(Models!$BJ287:$BT287,,AH287+1)*AF287-ERP_i)*AE287*Ramure*Pc/MaxiM</f>
        <v>8.9619999504504957E-2</v>
      </c>
      <c r="AE287" s="305">
        <f t="shared" si="117"/>
        <v>0.8</v>
      </c>
      <c r="AF287" s="177">
        <f t="shared" si="118"/>
        <v>0.19429923360129031</v>
      </c>
      <c r="AG287" s="809">
        <f t="shared" si="124"/>
        <v>4</v>
      </c>
      <c r="AH287" s="176">
        <f t="shared" si="119"/>
        <v>10</v>
      </c>
      <c r="AI287" s="225">
        <f t="shared" si="120"/>
        <v>4.1942992336012903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IF(t&gt;Tmaj,'2025'!Wh/'2025'!Env_an*'2026'!Env_an,0.001*'[12]mon-tableau (1)'!$B$140)</f>
        <v>25.007315448488516</v>
      </c>
      <c r="C288" s="839"/>
      <c r="D288" s="393">
        <f t="shared" si="102"/>
        <v>27.425593182309282</v>
      </c>
      <c r="E288" s="385">
        <f t="shared" si="100"/>
        <v>30.663030953270695</v>
      </c>
      <c r="F288" s="385">
        <f t="shared" si="103"/>
        <v>32.525129288642944</v>
      </c>
      <c r="G288" s="110">
        <f t="shared" si="101"/>
        <v>0.89172486151192742</v>
      </c>
      <c r="H288" s="414" t="b">
        <f>Wh_hp&gt;='2025'!Maxi_hp</f>
        <v>0</v>
      </c>
      <c r="I288" s="390">
        <f>IF(H288,Wh_hp,'2025'!Maxi_hp)</f>
        <v>35.633737494395717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8.8175950023960198E-2</v>
      </c>
      <c r="M288" s="843"/>
      <c r="N288" s="843"/>
      <c r="O288" s="48">
        <f>IF(t&lt;Tnet,'2025'!Resal+('2025'!Salim-'2025'!Resal)*(1-EXP(('2025'!Tnet-t)/('2025'!Tau_j))),Resal+(Salim-Resal)*(1-EXP((Tnet-t)/(Tau_j))))*Salcycl</f>
        <v>0.10558114023023836</v>
      </c>
      <c r="P288" s="169">
        <f>(INDEX(Models!$BJ288:$BT288,,T288)*(1-R288)+INDEX(Models!$BJ288:$BT288,,T288+1)*R288-ERP_i)*Q288*Ramure*Pc/MaxiM</f>
        <v>6.6708313197424457E-2</v>
      </c>
      <c r="Q288" s="305">
        <f t="shared" si="105"/>
        <v>0.8</v>
      </c>
      <c r="R288" s="177">
        <f t="shared" si="106"/>
        <v>0.99382037287968483</v>
      </c>
      <c r="S288" s="809">
        <f t="shared" si="107"/>
        <v>2</v>
      </c>
      <c r="T288" s="176">
        <f t="shared" si="108"/>
        <v>8</v>
      </c>
      <c r="U288" s="251">
        <f t="shared" si="109"/>
        <v>2.9938203728796848</v>
      </c>
      <c r="V288" s="383">
        <f t="shared" si="110"/>
        <v>27.762434374643025</v>
      </c>
      <c r="W288" s="402">
        <f t="shared" si="111"/>
        <v>25.007315448488516</v>
      </c>
      <c r="X288" s="157">
        <f t="shared" si="112"/>
        <v>46296</v>
      </c>
      <c r="Y288" s="385">
        <f t="shared" si="113"/>
        <v>23.081732825836482</v>
      </c>
      <c r="Z288" s="385">
        <f t="shared" si="114"/>
        <v>25.313801304586125</v>
      </c>
      <c r="AA288" s="386">
        <f t="shared" si="115"/>
        <v>30.059675119504721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0.15788174010700332</v>
      </c>
      <c r="AD288" s="231">
        <f>(INDEX(Models!$BJ288:$BT288,,AH288)*(1-AF288)+INDEX(Models!$BJ288:$BT288,,AH288+1)*AF288-ERP_i)*AE288*Ramure*Pc/MaxiM</f>
        <v>8.8323095383622832E-2</v>
      </c>
      <c r="AE288" s="305">
        <f t="shared" si="117"/>
        <v>0.8</v>
      </c>
      <c r="AF288" s="177">
        <f t="shared" si="118"/>
        <v>0.19453712004458801</v>
      </c>
      <c r="AG288" s="809">
        <f t="shared" si="124"/>
        <v>4</v>
      </c>
      <c r="AH288" s="176">
        <f t="shared" si="119"/>
        <v>10</v>
      </c>
      <c r="AI288" s="225">
        <f t="shared" si="120"/>
        <v>4.194537120044588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IF(t&gt;Tmaj,'2025'!Wh/'2025'!Env_an*'2026'!Env_an,0.001*'[12]mon-tableau (1)'!$B$141)</f>
        <v>26.701811163492152</v>
      </c>
      <c r="C289" s="839"/>
      <c r="D289" s="393">
        <f t="shared" si="102"/>
        <v>29.284648673495472</v>
      </c>
      <c r="E289" s="385">
        <f t="shared" si="100"/>
        <v>32.744242335339841</v>
      </c>
      <c r="F289" s="385">
        <f t="shared" si="103"/>
        <v>34.947301398693291</v>
      </c>
      <c r="G289" s="110">
        <f t="shared" si="101"/>
        <v>0.96918586262560846</v>
      </c>
      <c r="H289" s="414" t="b">
        <f>Wh_hp&gt;='2025'!Maxi_hp</f>
        <v>0</v>
      </c>
      <c r="I289" s="390">
        <f>IF(H289,Wh_hp,'2025'!Maxi_hp)</f>
        <v>36.768753531604595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8.8197660788089244E-2</v>
      </c>
      <c r="M289" s="843"/>
      <c r="N289" s="843"/>
      <c r="O289" s="48">
        <f>IF(t&lt;Tnet,'2025'!Resal+('2025'!Salim-'2025'!Resal)*(1-EXP(('2025'!Tnet-t)/('2025'!Tau_j))),Resal+(Salim-Resal)*(1-EXP((Tnet-t)/(Tau_j))))*Salcycl</f>
        <v>0.10565502253538281</v>
      </c>
      <c r="P289" s="169">
        <f>(INDEX(Models!$BJ289:$BT289,,T289)*(1-R289)+INDEX(Models!$BJ289:$BT289,,T289+1)*R289-ERP_i)*Q289*Ramure*Pc/MaxiM</f>
        <v>6.5674046803900113E-2</v>
      </c>
      <c r="Q289" s="305">
        <f t="shared" si="105"/>
        <v>0.8</v>
      </c>
      <c r="R289" s="177">
        <f t="shared" si="106"/>
        <v>0.9940488602562727</v>
      </c>
      <c r="S289" s="809">
        <f t="shared" si="107"/>
        <v>2</v>
      </c>
      <c r="T289" s="176">
        <f t="shared" si="108"/>
        <v>8</v>
      </c>
      <c r="U289" s="251">
        <f t="shared" si="109"/>
        <v>2.9940488602562727</v>
      </c>
      <c r="V289" s="383">
        <f t="shared" si="110"/>
        <v>27.473295793137765</v>
      </c>
      <c r="W289" s="402">
        <f t="shared" si="111"/>
        <v>26.701811163492152</v>
      </c>
      <c r="X289" s="157">
        <f t="shared" si="112"/>
        <v>46297</v>
      </c>
      <c r="Y289" s="385">
        <f t="shared" si="113"/>
        <v>24.593040582591573</v>
      </c>
      <c r="Z289" s="385">
        <f t="shared" si="114"/>
        <v>26.971898979605424</v>
      </c>
      <c r="AA289" s="386">
        <f t="shared" si="115"/>
        <v>32.02792308936138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0.15786300271950515</v>
      </c>
      <c r="AD289" s="231">
        <f>(INDEX(Models!$BJ289:$BT289,,AH289)*(1-AF289)+INDEX(Models!$BJ289:$BT289,,AH289+1)*AF289-ERP_i)*AE289*Ramure*Pc/MaxiM</f>
        <v>8.702780189356836E-2</v>
      </c>
      <c r="AE289" s="305">
        <f t="shared" si="117"/>
        <v>0.8</v>
      </c>
      <c r="AF289" s="177">
        <f t="shared" si="118"/>
        <v>0.19476560742117588</v>
      </c>
      <c r="AG289" s="809">
        <f t="shared" si="124"/>
        <v>4</v>
      </c>
      <c r="AH289" s="176">
        <f t="shared" si="119"/>
        <v>10</v>
      </c>
      <c r="AI289" s="225">
        <f t="shared" si="120"/>
        <v>4.1947656074211759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IF(t&gt;Tmaj,'2025'!Wh/'2025'!Env_an*'2026'!Env_an,0.001*'[12]mon-tableau (1)'!$B$142)</f>
        <v>25.596181124989446</v>
      </c>
      <c r="C290" s="839"/>
      <c r="D290" s="393">
        <f t="shared" si="102"/>
        <v>28.072740648571315</v>
      </c>
      <c r="E290" s="385">
        <f t="shared" si="100"/>
        <v>31.391697924667085</v>
      </c>
      <c r="F290" s="385">
        <f t="shared" si="103"/>
        <v>33.366433796373656</v>
      </c>
      <c r="G290" s="110">
        <f t="shared" si="101"/>
        <v>0.93607581243980398</v>
      </c>
      <c r="H290" s="414" t="b">
        <f>Wh_hp&gt;='2025'!Maxi_hp</f>
        <v>0</v>
      </c>
      <c r="I290" s="390">
        <f>IF(H290,Wh_hp,'2025'!Maxi_hp)</f>
        <v>34.895336094635255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8.8219371046977108E-2</v>
      </c>
      <c r="M290" s="843"/>
      <c r="N290" s="843"/>
      <c r="O290" s="48">
        <f>IF(t&lt;Tnet,'2025'!Resal+('2025'!Salim-'2025'!Resal)*(1-EXP(('2025'!Tnet-t)/('2025'!Tau_j))),Resal+(Salim-Resal)*(1-EXP((Tnet-t)/(Tau_j))))*Salcycl</f>
        <v>0.10572723030339135</v>
      </c>
      <c r="P290" s="169">
        <f>(INDEX(Models!$BJ290:$BT290,,T290)*(1-R290)+INDEX(Models!$BJ290:$BT290,,T290+1)*R290-ERP_i)*Q290*Ramure*Pc/MaxiM</f>
        <v>6.4582513351947549E-2</v>
      </c>
      <c r="Q290" s="305">
        <f t="shared" si="105"/>
        <v>0.8</v>
      </c>
      <c r="R290" s="177">
        <f t="shared" si="106"/>
        <v>0.99426831307121821</v>
      </c>
      <c r="S290" s="809">
        <f t="shared" si="107"/>
        <v>2</v>
      </c>
      <c r="T290" s="176">
        <f t="shared" si="108"/>
        <v>8</v>
      </c>
      <c r="U290" s="251">
        <f t="shared" si="109"/>
        <v>2.9942683130712182</v>
      </c>
      <c r="V290" s="383">
        <f t="shared" si="110"/>
        <v>27.187208675925582</v>
      </c>
      <c r="W290" s="402">
        <f t="shared" si="111"/>
        <v>25.596181124989446</v>
      </c>
      <c r="X290" s="157">
        <f t="shared" si="112"/>
        <v>46298</v>
      </c>
      <c r="Y290" s="385">
        <f t="shared" si="113"/>
        <v>23.605975044801923</v>
      </c>
      <c r="Z290" s="385">
        <f t="shared" si="114"/>
        <v>25.889972099876843</v>
      </c>
      <c r="AA290" s="386">
        <f t="shared" si="115"/>
        <v>30.742418182564222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0.15784204267442692</v>
      </c>
      <c r="AD290" s="231">
        <f>(INDEX(Models!$BJ290:$BT290,,AH290)*(1-AF290)+INDEX(Models!$BJ290:$BT290,,AH290+1)*AF290-ERP_i)*AE290*Ramure*Pc/MaxiM</f>
        <v>8.5816805094098003E-2</v>
      </c>
      <c r="AE290" s="305">
        <f t="shared" si="117"/>
        <v>0.8</v>
      </c>
      <c r="AF290" s="177">
        <f t="shared" si="118"/>
        <v>0.19498506023612183</v>
      </c>
      <c r="AG290" s="809">
        <f t="shared" si="124"/>
        <v>4</v>
      </c>
      <c r="AH290" s="176">
        <f t="shared" si="119"/>
        <v>10</v>
      </c>
      <c r="AI290" s="225">
        <f t="shared" si="120"/>
        <v>4.1949850602361218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IF(t&gt;Tmaj,'2025'!Wh/'2025'!Env_an*'2026'!Env_an,0.001*'[12]mon-tableau (1)'!$B$143)</f>
        <v>26.909121495506014</v>
      </c>
      <c r="C291" s="839"/>
      <c r="D291" s="393">
        <f t="shared" si="102"/>
        <v>29.513417339679556</v>
      </c>
      <c r="E291" s="385">
        <f t="shared" si="100"/>
        <v>33.005303903000325</v>
      </c>
      <c r="F291" s="385">
        <f t="shared" si="103"/>
        <v>35.24306359962609</v>
      </c>
      <c r="G291" s="110">
        <f t="shared" si="101"/>
        <v>1.0002513885874349</v>
      </c>
      <c r="H291" s="414" t="b">
        <f>Wh_hp&gt;='2025'!Maxi_hp</f>
        <v>1</v>
      </c>
      <c r="I291" s="390">
        <f>IF(H291,Wh_hp,'2025'!Maxi_hp)</f>
        <v>35.24306359962609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8.8241080800635557E-2</v>
      </c>
      <c r="M291" s="843"/>
      <c r="N291" s="843"/>
      <c r="O291" s="48">
        <f>IF(t&lt;Tnet,'2025'!Resal+('2025'!Salim-'2025'!Resal)*(1-EXP(('2025'!Tnet-t)/('2025'!Tau_j))),Resal+(Salim-Resal)*(1-EXP((Tnet-t)/(Tau_j))))*Salcycl</f>
        <v>0.10579774007181135</v>
      </c>
      <c r="P291" s="169">
        <f>(INDEX(Models!$BJ291:$BT291,,T291)*(1-R291)+INDEX(Models!$BJ291:$BT291,,T291+1)*R291-ERP_i)*Q291*Ramure*Pc/MaxiM</f>
        <v>6.349503896844845E-2</v>
      </c>
      <c r="Q291" s="305">
        <f t="shared" si="105"/>
        <v>0.8</v>
      </c>
      <c r="R291" s="177">
        <f t="shared" si="106"/>
        <v>0.99447908223081471</v>
      </c>
      <c r="S291" s="809">
        <f t="shared" si="107"/>
        <v>2</v>
      </c>
      <c r="T291" s="176">
        <f t="shared" si="108"/>
        <v>8</v>
      </c>
      <c r="U291" s="251">
        <f t="shared" si="109"/>
        <v>2.9944790822308147</v>
      </c>
      <c r="V291" s="383">
        <f t="shared" si="110"/>
        <v>26.902358549591572</v>
      </c>
      <c r="W291" s="402">
        <f t="shared" si="111"/>
        <v>26.909121495506014</v>
      </c>
      <c r="X291" s="157">
        <f t="shared" si="112"/>
        <v>46299</v>
      </c>
      <c r="Y291" s="385">
        <f t="shared" si="113"/>
        <v>24.7696485424534</v>
      </c>
      <c r="Z291" s="385">
        <f t="shared" si="114"/>
        <v>27.166883724268004</v>
      </c>
      <c r="AA291" s="386">
        <f t="shared" si="115"/>
        <v>32.257766717185213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0.15781882972713848</v>
      </c>
      <c r="AD291" s="231">
        <f>(INDEX(Models!$BJ291:$BT291,,AH291)*(1-AF291)+INDEX(Models!$BJ291:$BT291,,AH291+1)*AF291-ERP_i)*AE291*Ramure*Pc/MaxiM</f>
        <v>8.4705941468509252E-2</v>
      </c>
      <c r="AE291" s="305">
        <f t="shared" si="117"/>
        <v>0.8</v>
      </c>
      <c r="AF291" s="177">
        <f t="shared" si="118"/>
        <v>0.19519582939571833</v>
      </c>
      <c r="AG291" s="809">
        <f t="shared" si="124"/>
        <v>4</v>
      </c>
      <c r="AH291" s="176">
        <f t="shared" si="119"/>
        <v>10</v>
      </c>
      <c r="AI291" s="225">
        <f t="shared" si="120"/>
        <v>4.1951958293957183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IF(t&gt;Tmaj,'2025'!Wh/'2025'!Env_an*'2026'!Env_an,0.001*'[12]mon-tableau (1)'!$B$144)</f>
        <v>27.164718054237625</v>
      </c>
      <c r="C292" s="839"/>
      <c r="D292" s="393">
        <f t="shared" si="102"/>
        <v>29.794460243319261</v>
      </c>
      <c r="E292" s="385">
        <f t="shared" si="100"/>
        <v>33.322161950533513</v>
      </c>
      <c r="F292" s="385">
        <f t="shared" si="103"/>
        <v>35.540310062015898</v>
      </c>
      <c r="G292" s="110">
        <f t="shared" si="101"/>
        <v>1.020511066234328</v>
      </c>
      <c r="H292" s="414" t="b">
        <f>Wh_hp&gt;='2025'!Maxi_hp</f>
        <v>1</v>
      </c>
      <c r="I292" s="390">
        <f>IF(H292,Wh_hp,'2025'!Maxi_hp)</f>
        <v>35.540310062015898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8.8262790049076251E-2</v>
      </c>
      <c r="M292" s="843"/>
      <c r="N292" s="843"/>
      <c r="O292" s="48">
        <f>IF(t&lt;Tnet,'2025'!Resal+('2025'!Salim-'2025'!Resal)*(1-EXP(('2025'!Tnet-t)/('2025'!Tau_j))),Resal+(Salim-Resal)*(1-EXP((Tnet-t)/(Tau_j))))*Salcycl</f>
        <v>0.105866531482894</v>
      </c>
      <c r="P292" s="169">
        <f>(INDEX(Models!$BJ292:$BT292,,T292)*(1-R292)+INDEX(Models!$BJ292:$BT292,,T292+1)*R292-ERP_i)*Q292*Ramure*Pc/MaxiM</f>
        <v>6.2412176697722539E-2</v>
      </c>
      <c r="Q292" s="305">
        <f t="shared" si="105"/>
        <v>0.8</v>
      </c>
      <c r="R292" s="177">
        <f t="shared" si="106"/>
        <v>0.9946815055075926</v>
      </c>
      <c r="S292" s="809">
        <f t="shared" si="107"/>
        <v>2</v>
      </c>
      <c r="T292" s="176">
        <f t="shared" si="108"/>
        <v>8</v>
      </c>
      <c r="U292" s="251">
        <f t="shared" si="109"/>
        <v>2.9946815055075926</v>
      </c>
      <c r="V292" s="383">
        <f t="shared" si="110"/>
        <v>26.618739328790493</v>
      </c>
      <c r="W292" s="402">
        <f t="shared" si="111"/>
        <v>27.164718054237625</v>
      </c>
      <c r="X292" s="157">
        <f t="shared" si="112"/>
        <v>46300</v>
      </c>
      <c r="Y292" s="385">
        <f t="shared" si="113"/>
        <v>25.006223112839351</v>
      </c>
      <c r="Z292" s="385">
        <f t="shared" si="114"/>
        <v>27.427007299817635</v>
      </c>
      <c r="AA292" s="386">
        <f t="shared" si="115"/>
        <v>32.565649915139204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0.15779333834000059</v>
      </c>
      <c r="AD292" s="231">
        <f>(INDEX(Models!$BJ292:$BT292,,AH292)*(1-AF292)+INDEX(Models!$BJ292:$BT292,,AH292+1)*AF292-ERP_i)*AE292*Ramure*Pc/MaxiM</f>
        <v>8.3698204705757423E-2</v>
      </c>
      <c r="AE292" s="305">
        <f t="shared" si="117"/>
        <v>0.8</v>
      </c>
      <c r="AF292" s="177">
        <f t="shared" si="118"/>
        <v>0.19539825267249622</v>
      </c>
      <c r="AG292" s="809">
        <f t="shared" si="124"/>
        <v>4</v>
      </c>
      <c r="AH292" s="176">
        <f t="shared" si="119"/>
        <v>10</v>
      </c>
      <c r="AI292" s="225">
        <f t="shared" si="120"/>
        <v>4.1953982526724962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IF(t&gt;Tmaj,'2025'!Wh/'2025'!Env_an*'2026'!Env_an,0.001*'[12]mon-tableau (1)'!$B$145)</f>
        <v>9.9199479112999303</v>
      </c>
      <c r="C293" s="839"/>
      <c r="D293" s="393">
        <f t="shared" si="102"/>
        <v>10.880530053684108</v>
      </c>
      <c r="E293" s="385">
        <f t="shared" si="100"/>
        <v>12.169711223412833</v>
      </c>
      <c r="F293" s="385">
        <f t="shared" si="103"/>
        <v>12.252012145571126</v>
      </c>
      <c r="G293" s="110">
        <f t="shared" si="101"/>
        <v>0.35595237248986739</v>
      </c>
      <c r="H293" s="414" t="b">
        <f>Wh_hp&gt;='2025'!Maxi_hp</f>
        <v>0</v>
      </c>
      <c r="I293" s="390">
        <f>IF(H293,Wh_hp,'2025'!Maxi_hp)</f>
        <v>31.212763298231373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8.8284498792311067E-2</v>
      </c>
      <c r="M293" s="843"/>
      <c r="N293" s="843"/>
      <c r="O293" s="48">
        <f>IF(t&lt;Tnet,'2025'!Resal+('2025'!Salim-'2025'!Resal)*(1-EXP(('2025'!Tnet-t)/('2025'!Tau_j))),Resal+(Salim-Resal)*(1-EXP((Tnet-t)/(Tau_j))))*Salcycl</f>
        <v>0.10593358758164437</v>
      </c>
      <c r="P293" s="169">
        <f>(INDEX(Models!$BJ293:$BT293,,T293)*(1-R293)+INDEX(Models!$BJ293:$BT293,,T293+1)*R293-ERP_i)*Q293*Ramure*Pc/MaxiM</f>
        <v>6.1334512639715351E-2</v>
      </c>
      <c r="Q293" s="305">
        <f t="shared" si="105"/>
        <v>0.8</v>
      </c>
      <c r="R293" s="177">
        <f t="shared" si="106"/>
        <v>0.99487590799283954</v>
      </c>
      <c r="S293" s="809">
        <f t="shared" si="107"/>
        <v>2</v>
      </c>
      <c r="T293" s="176">
        <f t="shared" si="108"/>
        <v>8</v>
      </c>
      <c r="U293" s="251">
        <f t="shared" si="109"/>
        <v>2.9948759079928395</v>
      </c>
      <c r="V293" s="383">
        <f t="shared" si="110"/>
        <v>26.336344569897232</v>
      </c>
      <c r="W293" s="402">
        <f t="shared" si="111"/>
        <v>9.9199479112999303</v>
      </c>
      <c r="X293" s="157">
        <f t="shared" si="112"/>
        <v>46301</v>
      </c>
      <c r="Y293" s="385">
        <f t="shared" si="113"/>
        <v>9.3227421525617835</v>
      </c>
      <c r="Z293" s="385">
        <f t="shared" si="114"/>
        <v>10.225494839357856</v>
      </c>
      <c r="AA293" s="386">
        <f t="shared" si="115"/>
        <v>12.140912564634265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0.15776554810681229</v>
      </c>
      <c r="AD293" s="231">
        <f>(INDEX(Models!$BJ293:$BT293,,AH293)*(1-AF293)+INDEX(Models!$BJ293:$BT293,,AH293+1)*AF293-ERP_i)*AE293*Ramure*Pc/MaxiM</f>
        <v>8.2796625755090253E-2</v>
      </c>
      <c r="AE293" s="305">
        <f t="shared" si="117"/>
        <v>0.8</v>
      </c>
      <c r="AF293" s="177">
        <f t="shared" si="118"/>
        <v>0.1955926551577436</v>
      </c>
      <c r="AG293" s="809">
        <f t="shared" si="124"/>
        <v>4</v>
      </c>
      <c r="AH293" s="176">
        <f t="shared" si="119"/>
        <v>10</v>
      </c>
      <c r="AI293" s="225">
        <f t="shared" si="120"/>
        <v>4.1955926551577436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IF(t&gt;Tmaj,'2025'!Wh/'2025'!Env_an*'2026'!Env_an,0.001*'[12]mon-tableau (1)'!$B$146)</f>
        <v>20.029737474956253</v>
      </c>
      <c r="C294" s="839"/>
      <c r="D294" s="393">
        <f t="shared" si="102"/>
        <v>21.969807877833247</v>
      </c>
      <c r="E294" s="385">
        <f t="shared" si="100"/>
        <v>24.574698798006995</v>
      </c>
      <c r="F294" s="385">
        <f t="shared" si="103"/>
        <v>25.608084725905531</v>
      </c>
      <c r="G294" s="110">
        <f t="shared" si="101"/>
        <v>0.75279506415742947</v>
      </c>
      <c r="H294" s="414" t="b">
        <f>Wh_hp&gt;='2025'!Maxi_hp</f>
        <v>0</v>
      </c>
      <c r="I294" s="390">
        <f>IF(H294,Wh_hp,'2025'!Maxi_hp)</f>
        <v>34.247356004135384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8.8306207030351663E-2</v>
      </c>
      <c r="M294" s="843"/>
      <c r="N294" s="843"/>
      <c r="O294" s="48">
        <f>IF(t&lt;Tnet,'2025'!Resal+('2025'!Salim-'2025'!Resal)*(1-EXP(('2025'!Tnet-t)/('2025'!Tau_j))),Resal+(Salim-Resal)*(1-EXP((Tnet-t)/(Tau_j))))*Salcycl</f>
        <v>0.10599889510690587</v>
      </c>
      <c r="P294" s="169">
        <f>(INDEX(Models!$BJ294:$BT294,,T294)*(1-R294)+INDEX(Models!$BJ294:$BT294,,T294+1)*R294-ERP_i)*Q294*Ramure*Pc/MaxiM</f>
        <v>6.0262665921410767E-2</v>
      </c>
      <c r="Q294" s="305">
        <f t="shared" si="105"/>
        <v>0.8</v>
      </c>
      <c r="R294" s="177">
        <f t="shared" si="106"/>
        <v>0.99506260253666712</v>
      </c>
      <c r="S294" s="809">
        <f t="shared" si="107"/>
        <v>2</v>
      </c>
      <c r="T294" s="176">
        <f t="shared" si="108"/>
        <v>8</v>
      </c>
      <c r="U294" s="251">
        <f t="shared" si="109"/>
        <v>2.9950626025366671</v>
      </c>
      <c r="V294" s="383">
        <f t="shared" si="110"/>
        <v>26.055167511606413</v>
      </c>
      <c r="W294" s="402">
        <f t="shared" si="111"/>
        <v>20.029737474956253</v>
      </c>
      <c r="X294" s="157">
        <f t="shared" si="112"/>
        <v>46302</v>
      </c>
      <c r="Y294" s="385">
        <f t="shared" si="113"/>
        <v>18.584312672782939</v>
      </c>
      <c r="Z294" s="385">
        <f t="shared" si="114"/>
        <v>20.384379948719953</v>
      </c>
      <c r="AA294" s="386">
        <f t="shared" si="115"/>
        <v>24.201873161467866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0.15773544416494978</v>
      </c>
      <c r="AD294" s="231">
        <f>(INDEX(Models!$BJ294:$BT294,,AH294)*(1-AF294)+INDEX(Models!$BJ294:$BT294,,AH294+1)*AF294-ERP_i)*AE294*Ramure*Pc/MaxiM</f>
        <v>8.2004269106761202E-2</v>
      </c>
      <c r="AE294" s="305">
        <f t="shared" si="117"/>
        <v>0.8</v>
      </c>
      <c r="AF294" s="177">
        <f t="shared" si="118"/>
        <v>0.19577934970157074</v>
      </c>
      <c r="AG294" s="809">
        <f t="shared" si="124"/>
        <v>4</v>
      </c>
      <c r="AH294" s="176">
        <f t="shared" si="119"/>
        <v>10</v>
      </c>
      <c r="AI294" s="225">
        <f t="shared" si="120"/>
        <v>4.1957793497015707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IF(t&gt;Tmaj,'2025'!Wh/'2025'!Env_an*'2026'!Env_an,0.001*'[12]mon-tableau (1)'!$B$147)</f>
        <v>13.054022431635337</v>
      </c>
      <c r="C295" s="839"/>
      <c r="D295" s="393">
        <f t="shared" si="102"/>
        <v>14.318769481951172</v>
      </c>
      <c r="E295" s="385">
        <f t="shared" si="100"/>
        <v>16.017639485244786</v>
      </c>
      <c r="F295" s="385">
        <f t="shared" si="103"/>
        <v>16.302269538524552</v>
      </c>
      <c r="G295" s="110">
        <f t="shared" si="101"/>
        <v>0.48494267878226305</v>
      </c>
      <c r="H295" s="414" t="b">
        <f>Wh_hp&gt;='2025'!Maxi_hp</f>
        <v>0</v>
      </c>
      <c r="I295" s="390">
        <f>IF(H295,Wh_hp,'2025'!Maxi_hp)</f>
        <v>32.97035211319082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8.8327914763209919E-2</v>
      </c>
      <c r="M295" s="843"/>
      <c r="N295" s="843"/>
      <c r="O295" s="48">
        <f>IF(t&lt;Tnet,'2025'!Resal+('2025'!Salim-'2025'!Resal)*(1-EXP(('2025'!Tnet-t)/('2025'!Tau_j))),Resal+(Salim-Resal)*(1-EXP((Tnet-t)/(Tau_j))))*Salcycl</f>
        <v>0.10606244477275123</v>
      </c>
      <c r="P295" s="169">
        <f>(INDEX(Models!$BJ295:$BT295,,T295)*(1-R295)+INDEX(Models!$BJ295:$BT295,,T295+1)*R295-ERP_i)*Q295*Ramure*Pc/MaxiM</f>
        <v>5.91972884773935E-2</v>
      </c>
      <c r="Q295" s="305">
        <f t="shared" si="105"/>
        <v>0.8</v>
      </c>
      <c r="R295" s="177">
        <f t="shared" si="106"/>
        <v>0.99524189017570031</v>
      </c>
      <c r="S295" s="809">
        <f t="shared" si="107"/>
        <v>2</v>
      </c>
      <c r="T295" s="176">
        <f t="shared" si="108"/>
        <v>8</v>
      </c>
      <c r="U295" s="251">
        <f t="shared" si="109"/>
        <v>2.9952418901757003</v>
      </c>
      <c r="V295" s="383">
        <f t="shared" si="110"/>
        <v>25.775201120749905</v>
      </c>
      <c r="W295" s="402">
        <f t="shared" si="111"/>
        <v>13.054022431635337</v>
      </c>
      <c r="X295" s="157">
        <f t="shared" si="112"/>
        <v>46303</v>
      </c>
      <c r="Y295" s="385">
        <f t="shared" si="113"/>
        <v>12.218227035133797</v>
      </c>
      <c r="Z295" s="385">
        <f t="shared" si="114"/>
        <v>13.401997530680493</v>
      </c>
      <c r="AA295" s="386">
        <f t="shared" si="115"/>
        <v>15.91124960741735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0.1577030175912216</v>
      </c>
      <c r="AD295" s="231">
        <f>(INDEX(Models!$BJ295:$BT295,,AH295)*(1-AF295)+INDEX(Models!$BJ295:$BT295,,AH295+1)*AF295-ERP_i)*AE295*Ramure*Pc/MaxiM</f>
        <v>8.1324229101737838E-2</v>
      </c>
      <c r="AE295" s="305">
        <f t="shared" si="117"/>
        <v>0.8</v>
      </c>
      <c r="AF295" s="177">
        <f t="shared" si="118"/>
        <v>0.19595863734060437</v>
      </c>
      <c r="AG295" s="809">
        <f t="shared" si="124"/>
        <v>4</v>
      </c>
      <c r="AH295" s="176">
        <f t="shared" si="119"/>
        <v>10</v>
      </c>
      <c r="AI295" s="225">
        <f t="shared" si="120"/>
        <v>4.1959586373406044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IF(t&gt;Tmaj,'2025'!Wh/'2025'!Env_an*'2026'!Env_an,0.001*'[12]mon-tableau (1)'!$B$148)</f>
        <v>24.993420030464584</v>
      </c>
      <c r="C296" s="839"/>
      <c r="D296" s="393">
        <f t="shared" si="102"/>
        <v>27.415575787996911</v>
      </c>
      <c r="E296" s="385">
        <f t="shared" si="100"/>
        <v>30.670454167418836</v>
      </c>
      <c r="F296" s="385">
        <f t="shared" si="103"/>
        <v>32.508826039062122</v>
      </c>
      <c r="G296" s="110">
        <f t="shared" si="101"/>
        <v>0.97861988958451729</v>
      </c>
      <c r="H296" s="414" t="b">
        <f>Wh_hp&gt;='2025'!Maxi_hp</f>
        <v>0</v>
      </c>
      <c r="I296" s="390">
        <f>IF(H296,Wh_hp,'2025'!Maxi_hp)</f>
        <v>32.555897741774473</v>
      </c>
      <c r="J296" s="85">
        <f>IF(H296,An,'2025'!An_max)</f>
        <v>2022</v>
      </c>
      <c r="K296" s="197">
        <f t="shared" si="104"/>
        <v>46304</v>
      </c>
      <c r="L296" s="147">
        <f>IF(t&lt;Tvie,1-EXP((T0-t)*PertePVj)+'2025'!Pspv,1-EXP((T0-t)*PertePVj)+Pspv)</f>
        <v>8.8349621990897492E-2</v>
      </c>
      <c r="M296" s="843"/>
      <c r="N296" s="843"/>
      <c r="O296" s="48">
        <f>IF(t&lt;Tnet,'2025'!Resal+('2025'!Salim-'2025'!Resal)*(1-EXP(('2025'!Tnet-t)/('2025'!Tau_j))),Resal+(Salim-Resal)*(1-EXP((Tnet-t)/(Tau_j))))*Salcycl</f>
        <v>0.10612423153745071</v>
      </c>
      <c r="P296" s="169">
        <f>(INDEX(Models!$BJ296:$BT296,,T296)*(1-R296)+INDEX(Models!$BJ296:$BT296,,T296+1)*R296-ERP_i)*Q296*Ramure*Pc/MaxiM</f>
        <v>5.8185808735156379E-2</v>
      </c>
      <c r="Q296" s="305">
        <f t="shared" si="105"/>
        <v>0.8</v>
      </c>
      <c r="R296" s="177">
        <f t="shared" si="106"/>
        <v>0.99541406054849535</v>
      </c>
      <c r="S296" s="809">
        <f t="shared" si="107"/>
        <v>2</v>
      </c>
      <c r="T296" s="176">
        <f t="shared" si="108"/>
        <v>8</v>
      </c>
      <c r="U296" s="251">
        <f t="shared" si="109"/>
        <v>2.9954140605484953</v>
      </c>
      <c r="V296" s="383">
        <f t="shared" si="110"/>
        <v>25.495172764309434</v>
      </c>
      <c r="W296" s="402">
        <f t="shared" si="111"/>
        <v>24.993420030464584</v>
      </c>
      <c r="X296" s="157">
        <f t="shared" si="112"/>
        <v>46304</v>
      </c>
      <c r="Y296" s="385">
        <f t="shared" si="113"/>
        <v>23.003800015169737</v>
      </c>
      <c r="Z296" s="385">
        <f t="shared" si="114"/>
        <v>25.233138240348595</v>
      </c>
      <c r="AA296" s="386">
        <f t="shared" si="115"/>
        <v>29.956295382411714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0.15766826577749105</v>
      </c>
      <c r="AD296" s="231">
        <f>(INDEX(Models!$BJ296:$BT296,,AH296)*(1-AF296)+INDEX(Models!$BJ296:$BT296,,AH296+1)*AF296-ERP_i)*AE296*Ramure*Pc/MaxiM</f>
        <v>8.0789454445755762E-2</v>
      </c>
      <c r="AE296" s="305">
        <f t="shared" si="117"/>
        <v>0.8</v>
      </c>
      <c r="AF296" s="177">
        <f t="shared" si="118"/>
        <v>0.19613080771339941</v>
      </c>
      <c r="AG296" s="809">
        <f t="shared" si="124"/>
        <v>4</v>
      </c>
      <c r="AH296" s="176">
        <f t="shared" si="119"/>
        <v>10</v>
      </c>
      <c r="AI296" s="225">
        <f t="shared" si="120"/>
        <v>4.1961308077133994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IF(t&gt;Tmaj,'2025'!Wh/'2025'!Env_an*'2026'!Env_an,0.001*'[12]mon-tableau (1)'!$B$149)</f>
        <v>20.901232330381649</v>
      </c>
      <c r="C297" s="839"/>
      <c r="D297" s="393">
        <f t="shared" si="102"/>
        <v>22.927352976825439</v>
      </c>
      <c r="E297" s="385">
        <f t="shared" ref="E297:E360" si="125">Wh_pvt/(1-Psa)</f>
        <v>25.651095431492287</v>
      </c>
      <c r="F297" s="385">
        <f t="shared" si="103"/>
        <v>26.810409266375007</v>
      </c>
      <c r="G297" s="110">
        <f t="shared" ref="G297:G360" si="126">+Wh_hp/MaxiM</f>
        <v>0.81679790069731251</v>
      </c>
      <c r="H297" s="414" t="b">
        <f>Wh_hp&gt;='2025'!Maxi_hp</f>
        <v>0</v>
      </c>
      <c r="I297" s="390">
        <f>IF(H297,Wh_hp,'2025'!Maxi_hp)</f>
        <v>27.381561766744639</v>
      </c>
      <c r="J297" s="85">
        <f>IF(H297,An,'2025'!An_max)</f>
        <v>2021</v>
      </c>
      <c r="K297" s="197">
        <f t="shared" si="104"/>
        <v>46305</v>
      </c>
      <c r="L297" s="147">
        <f>IF(t&lt;Tvie,1-EXP((T0-t)*PertePVj)+'2025'!Pspv,1-EXP((T0-t)*PertePVj)+Pspv)</f>
        <v>8.837132871342615E-2</v>
      </c>
      <c r="M297" s="843"/>
      <c r="N297" s="843"/>
      <c r="O297" s="48">
        <f>IF(t&lt;Tnet,'2025'!Resal+('2025'!Salim-'2025'!Resal)*(1-EXP(('2025'!Tnet-t)/('2025'!Tau_j))),Resal+(Salim-Resal)*(1-EXP((Tnet-t)/(Tau_j))))*Salcycl</f>
        <v>0.10618425485731355</v>
      </c>
      <c r="P297" s="169">
        <f>(INDEX(Models!$BJ297:$BT297,,T297)*(1-R297)+INDEX(Models!$BJ297:$BT297,,T297+1)*R297-ERP_i)*Q297*Ramure*Pc/MaxiM</f>
        <v>5.7228062344128035E-2</v>
      </c>
      <c r="Q297" s="305">
        <f t="shared" si="105"/>
        <v>0.8</v>
      </c>
      <c r="R297" s="177">
        <f t="shared" si="106"/>
        <v>0.99557939229880477</v>
      </c>
      <c r="S297" s="809">
        <f t="shared" si="107"/>
        <v>2</v>
      </c>
      <c r="T297" s="176">
        <f t="shared" si="108"/>
        <v>8</v>
      </c>
      <c r="U297" s="251">
        <f t="shared" si="109"/>
        <v>2.9955793922988048</v>
      </c>
      <c r="V297" s="383">
        <f t="shared" si="110"/>
        <v>25.215144076242701</v>
      </c>
      <c r="W297" s="402">
        <f t="shared" si="111"/>
        <v>20.901232330381649</v>
      </c>
      <c r="X297" s="157">
        <f t="shared" si="112"/>
        <v>46305</v>
      </c>
      <c r="Y297" s="385">
        <f t="shared" si="113"/>
        <v>19.338593739724338</v>
      </c>
      <c r="Z297" s="385">
        <f t="shared" si="114"/>
        <v>21.213235551742731</v>
      </c>
      <c r="AA297" s="386">
        <f t="shared" si="115"/>
        <v>25.18283603331157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0.15763119278217511</v>
      </c>
      <c r="AD297" s="231">
        <f>(INDEX(Models!$BJ297:$BT297,,AH297)*(1-AF297)+INDEX(Models!$BJ297:$BT297,,AH297+1)*AF297-ERP_i)*AE297*Ramure*Pc/MaxiM</f>
        <v>8.0343095759580097E-2</v>
      </c>
      <c r="AE297" s="305">
        <f t="shared" si="117"/>
        <v>0.8</v>
      </c>
      <c r="AF297" s="177">
        <f t="shared" si="118"/>
        <v>0.19629613946370839</v>
      </c>
      <c r="AG297" s="809">
        <f t="shared" si="124"/>
        <v>4</v>
      </c>
      <c r="AH297" s="176">
        <f t="shared" si="119"/>
        <v>10</v>
      </c>
      <c r="AI297" s="225">
        <f t="shared" si="120"/>
        <v>4.1962961394637084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IF(t&gt;Tmaj,'2025'!Wh/'2025'!Env_an*'2026'!Env_an,0.001*'[12]mon-tableau (1)'!$B$150)</f>
        <v>16.911653297878114</v>
      </c>
      <c r="C298" s="839"/>
      <c r="D298" s="393">
        <f t="shared" si="102"/>
        <v>18.551474424720411</v>
      </c>
      <c r="E298" s="385">
        <f t="shared" si="125"/>
        <v>20.756720718421544</v>
      </c>
      <c r="F298" s="385">
        <f t="shared" si="103"/>
        <v>21.408263428783215</v>
      </c>
      <c r="G298" s="110">
        <f t="shared" si="126"/>
        <v>0.66011453594291147</v>
      </c>
      <c r="H298" s="414" t="b">
        <f>Wh_hp&gt;='2025'!Maxi_hp</f>
        <v>0</v>
      </c>
      <c r="I298" s="390">
        <f>IF(H298,Wh_hp,'2025'!Maxi_hp)</f>
        <v>33.346419914552634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8.8393034930807662E-2</v>
      </c>
      <c r="M298" s="843"/>
      <c r="N298" s="843"/>
      <c r="O298" s="48">
        <f>IF(t&lt;Tnet,'2025'!Resal+('2025'!Salim-'2025'!Resal)*(1-EXP(('2025'!Tnet-t)/('2025'!Tau_j))),Resal+(Salim-Resal)*(1-EXP((Tnet-t)/(Tau_j))))*Salcycl</f>
        <v>0.10624251892274972</v>
      </c>
      <c r="P298" s="169">
        <f>(INDEX(Models!$BJ298:$BT298,,T298)*(1-R298)+INDEX(Models!$BJ298:$BT298,,T298+1)*R298-ERP_i)*Q298*Ramure*Pc/MaxiM</f>
        <v>5.6325869687770064E-2</v>
      </c>
      <c r="Q298" s="305">
        <f t="shared" si="105"/>
        <v>0.8</v>
      </c>
      <c r="R298" s="177">
        <f t="shared" si="106"/>
        <v>0.99573815346684436</v>
      </c>
      <c r="S298" s="809">
        <f t="shared" si="107"/>
        <v>2</v>
      </c>
      <c r="T298" s="176">
        <f t="shared" si="108"/>
        <v>8</v>
      </c>
      <c r="U298" s="251">
        <f t="shared" si="109"/>
        <v>2.9957381534668444</v>
      </c>
      <c r="V298" s="383">
        <f t="shared" si="110"/>
        <v>24.935123195204827</v>
      </c>
      <c r="W298" s="402">
        <f t="shared" si="111"/>
        <v>16.911653297878114</v>
      </c>
      <c r="X298" s="157">
        <f t="shared" si="112"/>
        <v>46306</v>
      </c>
      <c r="Y298" s="385">
        <f t="shared" si="113"/>
        <v>15.729834208720369</v>
      </c>
      <c r="Z298" s="385">
        <f t="shared" si="114"/>
        <v>17.255061458998892</v>
      </c>
      <c r="AA298" s="386">
        <f t="shared" si="115"/>
        <v>20.483017207974129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0.15759180965383254</v>
      </c>
      <c r="AD298" s="231">
        <f>(INDEX(Models!$BJ298:$BT298,,AH298)*(1-AF298)+INDEX(Models!$BJ298:$BT298,,AH298+1)*AF298-ERP_i)*AE298*Ramure*Pc/MaxiM</f>
        <v>7.9987539164493207E-2</v>
      </c>
      <c r="AE298" s="305">
        <f t="shared" si="117"/>
        <v>0.8</v>
      </c>
      <c r="AF298" s="177">
        <f t="shared" si="118"/>
        <v>0.19645490063174798</v>
      </c>
      <c r="AG298" s="809">
        <f t="shared" si="124"/>
        <v>4</v>
      </c>
      <c r="AH298" s="176">
        <f t="shared" si="119"/>
        <v>10</v>
      </c>
      <c r="AI298" s="225">
        <f t="shared" si="120"/>
        <v>4.196454900631748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IF(t&gt;Tmaj,'2025'!Wh/'2025'!Env_an*'2026'!Env_an,0.001*'[12]mon-tableau (1)'!$B$151)</f>
        <v>19.623939297125187</v>
      </c>
      <c r="C299" s="839"/>
      <c r="D299" s="393">
        <f t="shared" si="102"/>
        <v>21.527267028175046</v>
      </c>
      <c r="E299" s="385">
        <f t="shared" si="125"/>
        <v>24.087774121362749</v>
      </c>
      <c r="F299" s="385">
        <f t="shared" si="103"/>
        <v>25.073341146554672</v>
      </c>
      <c r="G299" s="110">
        <f t="shared" si="126"/>
        <v>0.78253773723689712</v>
      </c>
      <c r="H299" s="414" t="b">
        <f>Wh_hp&gt;='2025'!Maxi_hp</f>
        <v>0</v>
      </c>
      <c r="I299" s="390">
        <f>IF(H299,Wh_hp,'2025'!Maxi_hp)</f>
        <v>31.597576410466939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8.8414740643053796E-2</v>
      </c>
      <c r="M299" s="843"/>
      <c r="N299" s="843"/>
      <c r="O299" s="48">
        <f>IF(t&lt;Tnet,'2025'!Resal+('2025'!Salim-'2025'!Resal)*(1-EXP(('2025'!Tnet-t)/('2025'!Tau_j))),Resal+(Salim-Resal)*(1-EXP((Tnet-t)/(Tau_j))))*Salcycl</f>
        <v>0.10629903287397832</v>
      </c>
      <c r="P299" s="169">
        <f>(INDEX(Models!$BJ299:$BT299,,T299)*(1-R299)+INDEX(Models!$BJ299:$BT299,,T299+1)*R299-ERP_i)*Q299*Ramure*Pc/MaxiM</f>
        <v>5.5481073474495109E-2</v>
      </c>
      <c r="Q299" s="305">
        <f t="shared" si="105"/>
        <v>0.8</v>
      </c>
      <c r="R299" s="177">
        <f t="shared" si="106"/>
        <v>0.99589060186872613</v>
      </c>
      <c r="S299" s="809">
        <f t="shared" si="107"/>
        <v>2</v>
      </c>
      <c r="T299" s="176">
        <f t="shared" si="108"/>
        <v>8</v>
      </c>
      <c r="U299" s="251">
        <f t="shared" si="109"/>
        <v>2.9958906018687261</v>
      </c>
      <c r="V299" s="383">
        <f t="shared" si="110"/>
        <v>24.65511917560417</v>
      </c>
      <c r="W299" s="402">
        <f t="shared" si="111"/>
        <v>19.623939297125187</v>
      </c>
      <c r="X299" s="157">
        <f t="shared" si="112"/>
        <v>46307</v>
      </c>
      <c r="Y299" s="385">
        <f t="shared" si="113"/>
        <v>18.167822718784684</v>
      </c>
      <c r="Z299" s="385">
        <f t="shared" si="114"/>
        <v>19.929921564989648</v>
      </c>
      <c r="AA299" s="386">
        <f t="shared" si="115"/>
        <v>23.657101017448859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0.15755013472319127</v>
      </c>
      <c r="AD299" s="231">
        <f>(INDEX(Models!$BJ299:$BT299,,AH299)*(1-AF299)+INDEX(Models!$BJ299:$BT299,,AH299+1)*AF299-ERP_i)*AE299*Ramure*Pc/MaxiM</f>
        <v>7.9725194382540096E-2</v>
      </c>
      <c r="AE299" s="305">
        <f t="shared" si="117"/>
        <v>0.8</v>
      </c>
      <c r="AF299" s="177">
        <f t="shared" si="118"/>
        <v>0.19660734903362975</v>
      </c>
      <c r="AG299" s="809">
        <f t="shared" si="124"/>
        <v>4</v>
      </c>
      <c r="AH299" s="176">
        <f t="shared" si="119"/>
        <v>10</v>
      </c>
      <c r="AI299" s="225">
        <f t="shared" si="120"/>
        <v>4.1966073490336298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IF(t&gt;Tmaj,'2025'!Wh/'2025'!Env_an*'2026'!Env_an,0.001*'[12]mon-tableau (1)'!$B$152)</f>
        <v>17.187104388767256</v>
      </c>
      <c r="C300" s="839"/>
      <c r="D300" s="393">
        <f t="shared" si="102"/>
        <v>18.854532205159224</v>
      </c>
      <c r="E300" s="385">
        <f t="shared" si="125"/>
        <v>21.098430718010682</v>
      </c>
      <c r="F300" s="385">
        <f t="shared" si="103"/>
        <v>21.788104919851467</v>
      </c>
      <c r="G300" s="110">
        <f t="shared" si="126"/>
        <v>0.68832980000828503</v>
      </c>
      <c r="H300" s="414" t="b">
        <f>Wh_hp&gt;='2025'!Maxi_hp</f>
        <v>0</v>
      </c>
      <c r="I300" s="390">
        <f>IF(H300,Wh_hp,'2025'!Maxi_hp)</f>
        <v>31.501015093356781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8.8436445850176321E-2</v>
      </c>
      <c r="M300" s="843"/>
      <c r="N300" s="843"/>
      <c r="O300" s="48">
        <f>IF(t&lt;Tnet,'2025'!Resal+('2025'!Salim-'2025'!Resal)*(1-EXP(('2025'!Tnet-t)/('2025'!Tau_j))),Resal+(Salim-Resal)*(1-EXP((Tnet-t)/(Tau_j))))*Salcycl</f>
        <v>0.10635381099391217</v>
      </c>
      <c r="P300" s="169">
        <f>(INDEX(Models!$BJ300:$BT300,,T300)*(1-R300)+INDEX(Models!$BJ300:$BT300,,T300+1)*R300-ERP_i)*Q300*Ramure*Pc/MaxiM</f>
        <v>5.4695536550733538E-2</v>
      </c>
      <c r="Q300" s="305">
        <f t="shared" si="105"/>
        <v>0.8</v>
      </c>
      <c r="R300" s="177">
        <f t="shared" si="106"/>
        <v>0.99603698546423924</v>
      </c>
      <c r="S300" s="809">
        <f t="shared" si="107"/>
        <v>2</v>
      </c>
      <c r="T300" s="176">
        <f t="shared" si="108"/>
        <v>8</v>
      </c>
      <c r="U300" s="251">
        <f t="shared" si="109"/>
        <v>2.9960369854642392</v>
      </c>
      <c r="V300" s="383">
        <f t="shared" si="110"/>
        <v>24.375142041503761</v>
      </c>
      <c r="W300" s="402">
        <f t="shared" si="111"/>
        <v>17.187104388767256</v>
      </c>
      <c r="X300" s="157">
        <f t="shared" si="112"/>
        <v>46308</v>
      </c>
      <c r="Y300" s="385">
        <f t="shared" si="113"/>
        <v>15.962545218574597</v>
      </c>
      <c r="Z300" s="385">
        <f t="shared" si="114"/>
        <v>17.511170939103835</v>
      </c>
      <c r="AA300" s="386">
        <f t="shared" si="115"/>
        <v>20.784925433857612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0.15750619386014228</v>
      </c>
      <c r="AD300" s="231">
        <f>(INDEX(Models!$BJ300:$BT300,,AH300)*(1-AF300)+INDEX(Models!$BJ300:$BT300,,AH300+1)*AF300-ERP_i)*AE300*Ramure*Pc/MaxiM</f>
        <v>7.9558493121350646E-2</v>
      </c>
      <c r="AE300" s="305">
        <f t="shared" si="117"/>
        <v>0.8</v>
      </c>
      <c r="AF300" s="177">
        <f t="shared" si="118"/>
        <v>0.19675373262914242</v>
      </c>
      <c r="AG300" s="809">
        <f t="shared" si="124"/>
        <v>4</v>
      </c>
      <c r="AH300" s="176">
        <f t="shared" si="119"/>
        <v>10</v>
      </c>
      <c r="AI300" s="225">
        <f t="shared" si="120"/>
        <v>4.1967537326291424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IF(t&gt;Tmaj,'2025'!Wh/'2025'!Env_an*'2026'!Env_an,0.001*'[12]mon-tableau (1)'!$B$153)</f>
        <v>16.241781865968054</v>
      </c>
      <c r="C301" s="839"/>
      <c r="D301" s="393">
        <f t="shared" si="102"/>
        <v>17.817922321182376</v>
      </c>
      <c r="E301" s="385">
        <f t="shared" si="125"/>
        <v>19.939636709747749</v>
      </c>
      <c r="F301" s="385">
        <f t="shared" si="103"/>
        <v>20.531797933904098</v>
      </c>
      <c r="G301" s="110">
        <f t="shared" si="126"/>
        <v>0.65662469541427304</v>
      </c>
      <c r="H301" s="414" t="b">
        <f>Wh_hp&gt;='2025'!Maxi_hp</f>
        <v>0</v>
      </c>
      <c r="I301" s="390">
        <f>IF(H301,Wh_hp,'2025'!Maxi_hp)</f>
        <v>32.224976238135895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8.8458150552186893E-2</v>
      </c>
      <c r="M301" s="843"/>
      <c r="N301" s="843"/>
      <c r="O301" s="48">
        <f>IF(t&lt;Tnet,'2025'!Resal+('2025'!Salim-'2025'!Resal)*(1-EXP(('2025'!Tnet-t)/('2025'!Tau_j))),Resal+(Salim-Resal)*(1-EXP((Tnet-t)/(Tau_j))))*Salcycl</f>
        <v>0.10640687287588074</v>
      </c>
      <c r="P301" s="169">
        <f>(INDEX(Models!$BJ301:$BT301,,T301)*(1-R301)+INDEX(Models!$BJ301:$BT301,,T301+1)*R301-ERP_i)*Q301*Ramure*Pc/MaxiM</f>
        <v>5.3971139822221112E-2</v>
      </c>
      <c r="Q301" s="305">
        <f t="shared" si="105"/>
        <v>0.8</v>
      </c>
      <c r="R301" s="177">
        <f t="shared" si="106"/>
        <v>0.99617754271317605</v>
      </c>
      <c r="S301" s="809">
        <f t="shared" si="107"/>
        <v>2</v>
      </c>
      <c r="T301" s="176">
        <f t="shared" si="108"/>
        <v>8</v>
      </c>
      <c r="U301" s="251">
        <f t="shared" si="109"/>
        <v>2.996177542713176</v>
      </c>
      <c r="V301" s="383">
        <f t="shared" si="110"/>
        <v>24.0952028357069</v>
      </c>
      <c r="W301" s="402">
        <f t="shared" si="111"/>
        <v>16.241781865968054</v>
      </c>
      <c r="X301" s="157">
        <f t="shared" si="112"/>
        <v>46309</v>
      </c>
      <c r="Y301" s="385">
        <f t="shared" si="113"/>
        <v>15.098816503157193</v>
      </c>
      <c r="Z301" s="385">
        <f t="shared" si="114"/>
        <v>16.564040929446783</v>
      </c>
      <c r="AA301" s="386">
        <f t="shared" si="115"/>
        <v>19.659649792594951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0.15746002069244211</v>
      </c>
      <c r="AD301" s="231">
        <f>(INDEX(Models!$BJ301:$BT301,,AH301)*(1-AF301)+INDEX(Models!$BJ301:$BT301,,AH301+1)*AF301-ERP_i)*AE301*Ramure*Pc/MaxiM</f>
        <v>7.9489887821256933E-2</v>
      </c>
      <c r="AE301" s="305">
        <f t="shared" si="117"/>
        <v>0.8</v>
      </c>
      <c r="AF301" s="177">
        <f t="shared" si="118"/>
        <v>0.19689428987808011</v>
      </c>
      <c r="AG301" s="809">
        <f t="shared" si="124"/>
        <v>4</v>
      </c>
      <c r="AH301" s="176">
        <f t="shared" si="119"/>
        <v>10</v>
      </c>
      <c r="AI301" s="225">
        <f t="shared" si="120"/>
        <v>4.1968942898780801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IF(t&gt;Tmaj,'2025'!Wh/'2025'!Env_an*'2026'!Env_an,0.001*'[12]mon-tableau (1)'!$B$154)</f>
        <v>23.476013404597612</v>
      </c>
      <c r="C302" s="839"/>
      <c r="D302" s="393">
        <f t="shared" si="102"/>
        <v>25.754793820969986</v>
      </c>
      <c r="E302" s="385">
        <f t="shared" si="125"/>
        <v>28.823268342484969</v>
      </c>
      <c r="F302" s="385">
        <f t="shared" si="103"/>
        <v>30.411501812799109</v>
      </c>
      <c r="G302" s="110">
        <f t="shared" si="126"/>
        <v>0.98462435933160353</v>
      </c>
      <c r="H302" s="414" t="b">
        <f>Wh_hp&gt;='2025'!Maxi_hp</f>
        <v>0</v>
      </c>
      <c r="I302" s="390">
        <f>IF(H302,Wh_hp,'2025'!Maxi_hp)</f>
        <v>30.440535467920558</v>
      </c>
      <c r="J302" s="85">
        <f>IF(H302,An,'2025'!An_max)</f>
        <v>2022</v>
      </c>
      <c r="K302" s="197">
        <f t="shared" si="104"/>
        <v>46310</v>
      </c>
      <c r="L302" s="147">
        <f>IF(t&lt;Tvie,1-EXP((T0-t)*PertePVj)+'2025'!Pspv,1-EXP((T0-t)*PertePVj)+Pspv)</f>
        <v>8.8479854749097392E-2</v>
      </c>
      <c r="M302" s="843"/>
      <c r="N302" s="843"/>
      <c r="O302" s="48">
        <f>IF(t&lt;Tnet,'2025'!Resal+('2025'!Salim-'2025'!Resal)*(1-EXP(('2025'!Tnet-t)/('2025'!Tau_j))),Resal+(Salim-Resal)*(1-EXP((Tnet-t)/(Tau_j))))*Salcycl</f>
        <v>0.1064582435640065</v>
      </c>
      <c r="P302" s="169">
        <f>(INDEX(Models!$BJ302:$BT302,,T302)*(1-R302)+INDEX(Models!$BJ302:$BT302,,T302+1)*R302-ERP_i)*Q302*Ramure*Pc/MaxiM</f>
        <v>5.3309780337958357E-2</v>
      </c>
      <c r="Q302" s="305">
        <f t="shared" si="105"/>
        <v>0.8</v>
      </c>
      <c r="R302" s="177">
        <f t="shared" si="106"/>
        <v>0.99631250292041518</v>
      </c>
      <c r="S302" s="809">
        <f t="shared" si="107"/>
        <v>2</v>
      </c>
      <c r="T302" s="176">
        <f t="shared" si="108"/>
        <v>8</v>
      </c>
      <c r="U302" s="251">
        <f t="shared" si="109"/>
        <v>2.9963125029204152</v>
      </c>
      <c r="V302" s="383">
        <f t="shared" si="110"/>
        <v>23.81531366099566</v>
      </c>
      <c r="W302" s="402">
        <f t="shared" si="111"/>
        <v>23.476013404597612</v>
      </c>
      <c r="X302" s="157">
        <f t="shared" si="112"/>
        <v>46310</v>
      </c>
      <c r="Y302" s="385">
        <f t="shared" si="113"/>
        <v>21.537536950404281</v>
      </c>
      <c r="Z302" s="385">
        <f t="shared" si="114"/>
        <v>23.628152446895086</v>
      </c>
      <c r="AA302" s="386">
        <f t="shared" si="115"/>
        <v>28.042344327582338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0.15741165678311253</v>
      </c>
      <c r="AD302" s="231">
        <f>(INDEX(Models!$BJ302:$BT302,,AH302)*(1-AF302)+INDEX(Models!$BJ302:$BT302,,AH302+1)*AF302-ERP_i)*AE302*Ramure*Pc/MaxiM</f>
        <v>7.9521850838437935E-2</v>
      </c>
      <c r="AE302" s="305">
        <f t="shared" si="117"/>
        <v>0.8</v>
      </c>
      <c r="AF302" s="177">
        <f t="shared" si="118"/>
        <v>0.19702925008531924</v>
      </c>
      <c r="AG302" s="809">
        <f t="shared" si="124"/>
        <v>4</v>
      </c>
      <c r="AH302" s="176">
        <f t="shared" si="119"/>
        <v>10</v>
      </c>
      <c r="AI302" s="225">
        <f t="shared" si="120"/>
        <v>4.1970292500853192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IF(t&gt;Tmaj,'2025'!Wh/'2025'!Env_an*'2026'!Env_an,0.001*'[12]mon-tableau (1)'!$B$155)</f>
        <v>22.112968690480745</v>
      </c>
      <c r="C303" s="839"/>
      <c r="D303" s="393">
        <f t="shared" si="102"/>
        <v>24.26001810014883</v>
      </c>
      <c r="E303" s="385">
        <f t="shared" si="125"/>
        <v>27.151912767035455</v>
      </c>
      <c r="F303" s="385">
        <f t="shared" si="103"/>
        <v>28.525824167731919</v>
      </c>
      <c r="G303" s="110">
        <f t="shared" si="126"/>
        <v>0.93508239427077899</v>
      </c>
      <c r="H303" s="414" t="b">
        <f>Wh_hp&gt;='2025'!Maxi_hp</f>
        <v>0</v>
      </c>
      <c r="I303" s="390">
        <f>IF(H303,Wh_hp,'2025'!Maxi_hp)</f>
        <v>30.080595648759999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8.8501558440919476E-2</v>
      </c>
      <c r="M303" s="843"/>
      <c r="N303" s="843"/>
      <c r="O303" s="48">
        <f>IF(t&lt;Tnet,'2025'!Resal+('2025'!Salim-'2025'!Resal)*(1-EXP(('2025'!Tnet-t)/('2025'!Tau_j))),Resal+(Salim-Resal)*(1-EXP((Tnet-t)/(Tau_j))))*Salcycl</f>
        <v>0.10650795366422997</v>
      </c>
      <c r="P303" s="169">
        <f>(INDEX(Models!$BJ303:$BT303,,T303)*(1-R303)+INDEX(Models!$BJ303:$BT303,,T303+1)*R303-ERP_i)*Q303*Ramure*Pc/MaxiM</f>
        <v>5.2714201323888557E-2</v>
      </c>
      <c r="Q303" s="305">
        <f t="shared" si="105"/>
        <v>0.8</v>
      </c>
      <c r="R303" s="177">
        <f t="shared" si="106"/>
        <v>0.99644208656997524</v>
      </c>
      <c r="S303" s="809">
        <f t="shared" si="107"/>
        <v>2</v>
      </c>
      <c r="T303" s="176">
        <f t="shared" si="108"/>
        <v>8</v>
      </c>
      <c r="U303" s="251">
        <f t="shared" si="109"/>
        <v>2.9964420865699752</v>
      </c>
      <c r="V303" s="383">
        <f t="shared" si="110"/>
        <v>23.535095701559456</v>
      </c>
      <c r="W303" s="402">
        <f t="shared" si="111"/>
        <v>22.112968690480745</v>
      </c>
      <c r="X303" s="157">
        <f t="shared" si="112"/>
        <v>46311</v>
      </c>
      <c r="Y303" s="385">
        <f t="shared" si="113"/>
        <v>20.315033349533429</v>
      </c>
      <c r="Z303" s="385">
        <f t="shared" si="114"/>
        <v>22.287512982233302</v>
      </c>
      <c r="AA303" s="386">
        <f t="shared" si="115"/>
        <v>26.449662306556917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0.15736115176380952</v>
      </c>
      <c r="AD303" s="231">
        <f>(INDEX(Models!$BJ303:$BT303,,AH303)*(1-AF303)+INDEX(Models!$BJ303:$BT303,,AH303+1)*AF303-ERP_i)*AE303*Ramure*Pc/MaxiM</f>
        <v>7.9658130994094037E-2</v>
      </c>
      <c r="AE303" s="305">
        <f t="shared" si="117"/>
        <v>0.8</v>
      </c>
      <c r="AF303" s="177">
        <f t="shared" si="118"/>
        <v>0.19715883373487841</v>
      </c>
      <c r="AG303" s="809">
        <f t="shared" si="124"/>
        <v>4</v>
      </c>
      <c r="AH303" s="176">
        <f t="shared" si="119"/>
        <v>10</v>
      </c>
      <c r="AI303" s="225">
        <f t="shared" si="120"/>
        <v>4.1971588337348784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IF(t&gt;Tmaj,'2025'!Wh/'2025'!Env_an*'2026'!Env_an,0.001*'[12]mon-tableau (1)'!$B$156)</f>
        <v>14.720979270644809</v>
      </c>
      <c r="C304" s="839"/>
      <c r="D304" s="393">
        <f t="shared" si="102"/>
        <v>16.150691126723348</v>
      </c>
      <c r="E304" s="385">
        <f t="shared" si="125"/>
        <v>18.076893279701963</v>
      </c>
      <c r="F304" s="385">
        <f t="shared" si="103"/>
        <v>18.537505844554087</v>
      </c>
      <c r="G304" s="110">
        <f t="shared" si="126"/>
        <v>0.61529557078541697</v>
      </c>
      <c r="H304" s="414" t="b">
        <f>Wh_hp&gt;='2025'!Maxi_hp</f>
        <v>0</v>
      </c>
      <c r="I304" s="390">
        <f>IF(H304,Wh_hp,'2025'!Maxi_hp)</f>
        <v>27.817595190845999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8.8523261627665023E-2</v>
      </c>
      <c r="M304" s="843"/>
      <c r="N304" s="843"/>
      <c r="O304" s="48">
        <f>IF(t&lt;Tnet,'2025'!Resal+('2025'!Salim-'2025'!Resal)*(1-EXP(('2025'!Tnet-t)/('2025'!Tau_j))),Resal+(Salim-Resal)*(1-EXP((Tnet-t)/(Tau_j))))*Salcycl</f>
        <v>0.10655603942417985</v>
      </c>
      <c r="P304" s="169">
        <f>(INDEX(Models!$BJ304:$BT304,,T304)*(1-R304)+INDEX(Models!$BJ304:$BT304,,T304+1)*R304-ERP_i)*Q304*Ramure*Pc/MaxiM</f>
        <v>5.2221722081395458E-2</v>
      </c>
      <c r="Q304" s="305">
        <f t="shared" si="105"/>
        <v>0.8</v>
      </c>
      <c r="R304" s="177">
        <f t="shared" si="106"/>
        <v>0.99656650564826865</v>
      </c>
      <c r="S304" s="809">
        <f t="shared" si="107"/>
        <v>2</v>
      </c>
      <c r="T304" s="176">
        <f t="shared" si="108"/>
        <v>8</v>
      </c>
      <c r="U304" s="251">
        <f t="shared" si="109"/>
        <v>2.9965665056482687</v>
      </c>
      <c r="V304" s="383">
        <f t="shared" si="110"/>
        <v>23.253437896991173</v>
      </c>
      <c r="W304" s="402">
        <f t="shared" si="111"/>
        <v>14.720979270644809</v>
      </c>
      <c r="X304" s="157">
        <f t="shared" si="112"/>
        <v>46312</v>
      </c>
      <c r="Y304" s="385">
        <f t="shared" si="113"/>
        <v>13.697243599016454</v>
      </c>
      <c r="Z304" s="385">
        <f t="shared" si="114"/>
        <v>15.027529526947927</v>
      </c>
      <c r="AA304" s="386">
        <f t="shared" si="115"/>
        <v>17.832778256258475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0.15730856342174482</v>
      </c>
      <c r="AD304" s="231">
        <f>(INDEX(Models!$BJ304:$BT304,,AH304)*(1-AF304)+INDEX(Models!$BJ304:$BT304,,AH304+1)*AF304-ERP_i)*AE304*Ramure*Pc/MaxiM</f>
        <v>7.9898142315940737E-2</v>
      </c>
      <c r="AE304" s="305">
        <f t="shared" si="117"/>
        <v>0.8</v>
      </c>
      <c r="AF304" s="177">
        <f t="shared" si="118"/>
        <v>0.19728325281317272</v>
      </c>
      <c r="AG304" s="809">
        <f t="shared" si="124"/>
        <v>4</v>
      </c>
      <c r="AH304" s="176">
        <f t="shared" si="119"/>
        <v>10</v>
      </c>
      <c r="AI304" s="225">
        <f t="shared" si="120"/>
        <v>4.1972832528131727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IF(t&gt;Tmaj,'2025'!Wh/'2025'!Env_an*'2026'!Env_an,0.001*'[12]mon-tableau (1)'!$B$157)</f>
        <v>21.88263026240535</v>
      </c>
      <c r="C305" s="839"/>
      <c r="D305" s="393">
        <f t="shared" si="102"/>
        <v>24.008458350140994</v>
      </c>
      <c r="E305" s="385">
        <f t="shared" si="125"/>
        <v>26.873210972478851</v>
      </c>
      <c r="F305" s="385">
        <f t="shared" si="103"/>
        <v>28.236867634895731</v>
      </c>
      <c r="G305" s="110">
        <f t="shared" si="126"/>
        <v>0.94909381903341561</v>
      </c>
      <c r="H305" s="414" t="b">
        <f>Wh_hp&gt;='2025'!Maxi_hp</f>
        <v>0</v>
      </c>
      <c r="I305" s="390">
        <f>IF(H305,Wh_hp,'2025'!Maxi_hp)</f>
        <v>30.068535736268366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8.8544964309345692E-2</v>
      </c>
      <c r="M305" s="843"/>
      <c r="N305" s="843"/>
      <c r="O305" s="48">
        <f>IF(t&lt;Tnet,'2025'!Resal+('2025'!Salim-'2025'!Resal)*(1-EXP(('2025'!Tnet-t)/('2025'!Tau_j))),Resal+(Salim-Resal)*(1-EXP((Tnet-t)/(Tau_j))))*Salcycl</f>
        <v>0.10660254278030572</v>
      </c>
      <c r="P305" s="169">
        <f>(INDEX(Models!$BJ305:$BT305,,T305)*(1-R305)+INDEX(Models!$BJ305:$BT305,,T305+1)*R305-ERP_i)*Q305*Ramure*Pc/MaxiM</f>
        <v>5.1800807237507109E-2</v>
      </c>
      <c r="Q305" s="305">
        <f t="shared" si="105"/>
        <v>0.8</v>
      </c>
      <c r="R305" s="177">
        <f t="shared" si="106"/>
        <v>0.99668596395679732</v>
      </c>
      <c r="S305" s="809">
        <f t="shared" si="107"/>
        <v>2</v>
      </c>
      <c r="T305" s="176">
        <f t="shared" si="108"/>
        <v>8</v>
      </c>
      <c r="U305" s="251">
        <f t="shared" si="109"/>
        <v>2.9966859639567973</v>
      </c>
      <c r="V305" s="383">
        <f t="shared" si="110"/>
        <v>22.971370946700226</v>
      </c>
      <c r="W305" s="402">
        <f t="shared" si="111"/>
        <v>21.88263026240535</v>
      </c>
      <c r="X305" s="157">
        <f t="shared" si="112"/>
        <v>46313</v>
      </c>
      <c r="Y305" s="385">
        <f t="shared" si="113"/>
        <v>20.068539775327412</v>
      </c>
      <c r="Z305" s="385">
        <f t="shared" si="114"/>
        <v>22.018134729071402</v>
      </c>
      <c r="AA305" s="386">
        <f t="shared" si="115"/>
        <v>26.12665456129001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0.15725395773808359</v>
      </c>
      <c r="AD305" s="231">
        <f>(INDEX(Models!$BJ305:$BT305,,AH305)*(1-AF305)+INDEX(Models!$BJ305:$BT305,,AH305+1)*AF305-ERP_i)*AE305*Ramure*Pc/MaxiM</f>
        <v>8.0160016570579112E-2</v>
      </c>
      <c r="AE305" s="305">
        <f t="shared" si="117"/>
        <v>0.8</v>
      </c>
      <c r="AF305" s="177">
        <f t="shared" si="118"/>
        <v>0.19740271112170049</v>
      </c>
      <c r="AG305" s="809">
        <f t="shared" si="124"/>
        <v>4</v>
      </c>
      <c r="AH305" s="176">
        <f t="shared" si="119"/>
        <v>10</v>
      </c>
      <c r="AI305" s="225">
        <f t="shared" si="120"/>
        <v>4.1974027111217005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IF(t&gt;Tmaj,'2025'!Wh/'2025'!Env_an*'2026'!Env_an,0.001*'[12]mon-tableau (1)'!$B$158)</f>
        <v>11.522926506238209</v>
      </c>
      <c r="C306" s="839"/>
      <c r="D306" s="393">
        <f t="shared" si="102"/>
        <v>12.642643276839152</v>
      </c>
      <c r="E306" s="385">
        <f t="shared" si="125"/>
        <v>14.151909171082579</v>
      </c>
      <c r="F306" s="385">
        <f t="shared" si="103"/>
        <v>14.371487662736612</v>
      </c>
      <c r="G306" s="110">
        <f t="shared" si="126"/>
        <v>0.48920532003486855</v>
      </c>
      <c r="H306" s="414" t="b">
        <f>Wh_hp&gt;='2025'!Maxi_hp</f>
        <v>0</v>
      </c>
      <c r="I306" s="390">
        <f>IF(H306,Wh_hp,'2025'!Maxi_hp)</f>
        <v>28.870083274747984</v>
      </c>
      <c r="J306" s="85">
        <f>IF(H306,An,'2025'!An_max)</f>
        <v>2021</v>
      </c>
      <c r="K306" s="197">
        <f t="shared" si="104"/>
        <v>46314</v>
      </c>
      <c r="L306" s="147">
        <f>IF(t&lt;Tvie,1-EXP((T0-t)*PertePVj)+'2025'!Pspv,1-EXP((T0-t)*PertePVj)+Pspv)</f>
        <v>8.8566666485973139E-2</v>
      </c>
      <c r="M306" s="843"/>
      <c r="N306" s="843"/>
      <c r="O306" s="48">
        <f>IF(t&lt;Tnet,'2025'!Resal+('2025'!Salim-'2025'!Resal)*(1-EXP(('2025'!Tnet-t)/('2025'!Tau_j))),Resal+(Salim-Resal)*(1-EXP((Tnet-t)/(Tau_j))))*Salcycl</f>
        <v>0.10664751137093209</v>
      </c>
      <c r="P306" s="169">
        <f>(INDEX(Models!$BJ306:$BT306,,T306)*(1-R306)+INDEX(Models!$BJ306:$BT306,,T306+1)*R306-ERP_i)*Q306*Ramure*Pc/MaxiM</f>
        <v>5.1453056736982895E-2</v>
      </c>
      <c r="Q306" s="305">
        <f t="shared" si="105"/>
        <v>0.8</v>
      </c>
      <c r="R306" s="177">
        <f t="shared" si="106"/>
        <v>0.9968006574145134</v>
      </c>
      <c r="S306" s="809">
        <f t="shared" si="107"/>
        <v>2</v>
      </c>
      <c r="T306" s="176">
        <f t="shared" si="108"/>
        <v>8</v>
      </c>
      <c r="U306" s="251">
        <f t="shared" si="109"/>
        <v>2.9968006574145134</v>
      </c>
      <c r="V306" s="383">
        <f t="shared" si="110"/>
        <v>22.689093423996912</v>
      </c>
      <c r="W306" s="402">
        <f t="shared" si="111"/>
        <v>11.522926506238209</v>
      </c>
      <c r="X306" s="157">
        <f t="shared" si="112"/>
        <v>46314</v>
      </c>
      <c r="Y306" s="385">
        <f t="shared" si="113"/>
        <v>10.775871271843997</v>
      </c>
      <c r="Z306" s="385">
        <f t="shared" si="114"/>
        <v>11.822994480899306</v>
      </c>
      <c r="AA306" s="386">
        <f t="shared" si="115"/>
        <v>14.028189525536643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0.15719740887610931</v>
      </c>
      <c r="AD306" s="231">
        <f>(INDEX(Models!$BJ306:$BT306,,AH306)*(1-AF306)+INDEX(Models!$BJ306:$BT306,,AH306+1)*AF306-ERP_i)*AE306*Ramure*Pc/MaxiM</f>
        <v>8.0443846744705019E-2</v>
      </c>
      <c r="AE306" s="305">
        <f t="shared" si="117"/>
        <v>0.8</v>
      </c>
      <c r="AF306" s="177">
        <f t="shared" si="118"/>
        <v>0.19751740457941747</v>
      </c>
      <c r="AG306" s="809">
        <f t="shared" si="124"/>
        <v>4</v>
      </c>
      <c r="AH306" s="176">
        <f t="shared" si="119"/>
        <v>10</v>
      </c>
      <c r="AI306" s="225">
        <f t="shared" si="120"/>
        <v>4.1975174045794175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IF(t&gt;Tmaj,'2025'!Wh/'2025'!Env_an*'2026'!Env_an,0.001*'[12]mon-tableau (1)'!$B$159)</f>
        <v>5.1264997648369679</v>
      </c>
      <c r="C307" s="839"/>
      <c r="D307" s="393">
        <f t="shared" si="102"/>
        <v>5.6247908033317771</v>
      </c>
      <c r="E307" s="385">
        <f t="shared" si="125"/>
        <v>6.2965791164938469</v>
      </c>
      <c r="F307" s="385">
        <f t="shared" si="103"/>
        <v>6.2965791164938469</v>
      </c>
      <c r="G307" s="110">
        <f t="shared" si="126"/>
        <v>0.21708249359427981</v>
      </c>
      <c r="H307" s="414" t="b">
        <f>Wh_hp&gt;='2025'!Maxi_hp</f>
        <v>0</v>
      </c>
      <c r="I307" s="390">
        <f>IF(H307,Wh_hp,'2025'!Maxi_hp)</f>
        <v>24.548923439144371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8.8588368157559355E-2</v>
      </c>
      <c r="M307" s="843"/>
      <c r="N307" s="843"/>
      <c r="O307" s="48">
        <f>IF(t&lt;Tnet,'2025'!Resal+('2025'!Salim-'2025'!Resal)*(1-EXP(('2025'!Tnet-t)/('2025'!Tau_j))),Resal+(Salim-Resal)*(1-EXP((Tnet-t)/(Tau_j))))*Salcycl</f>
        <v>0.10669099851414954</v>
      </c>
      <c r="P307" s="169">
        <f>(INDEX(Models!$BJ307:$BT307,,T307)*(1-R307)+INDEX(Models!$BJ307:$BT307,,T307+1)*R307-ERP_i)*Q307*Ramure*Pc/MaxiM</f>
        <v>5.1180080660311163E-2</v>
      </c>
      <c r="Q307" s="305">
        <f t="shared" si="105"/>
        <v>0.8</v>
      </c>
      <c r="R307" s="177">
        <f t="shared" si="106"/>
        <v>0.99691077435010556</v>
      </c>
      <c r="S307" s="809">
        <f t="shared" si="107"/>
        <v>2</v>
      </c>
      <c r="T307" s="176">
        <f t="shared" si="108"/>
        <v>8</v>
      </c>
      <c r="U307" s="251">
        <f t="shared" si="109"/>
        <v>2.9969107743501056</v>
      </c>
      <c r="V307" s="383">
        <f t="shared" si="110"/>
        <v>22.406804956176885</v>
      </c>
      <c r="W307" s="402">
        <f t="shared" si="111"/>
        <v>5.1264997648369679</v>
      </c>
      <c r="X307" s="157">
        <f t="shared" si="112"/>
        <v>46315</v>
      </c>
      <c r="Y307" s="385">
        <f t="shared" si="113"/>
        <v>4.8369900175926173</v>
      </c>
      <c r="Z307" s="385">
        <f t="shared" si="114"/>
        <v>5.3071409762617634</v>
      </c>
      <c r="AA307" s="386">
        <f t="shared" si="115"/>
        <v>6.2965791164938469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0.15713899911783155</v>
      </c>
      <c r="AD307" s="231">
        <f>(INDEX(Models!$BJ307:$BT307,,AH307)*(1-AF307)+INDEX(Models!$BJ307:$BT307,,AH307+1)*AF307-ERP_i)*AE307*Ramure*Pc/MaxiM</f>
        <v>8.0749734358184652E-2</v>
      </c>
      <c r="AE307" s="305">
        <f t="shared" si="117"/>
        <v>0.8</v>
      </c>
      <c r="AF307" s="177">
        <f t="shared" si="118"/>
        <v>0.19762752151500962</v>
      </c>
      <c r="AG307" s="809">
        <f t="shared" si="124"/>
        <v>4</v>
      </c>
      <c r="AH307" s="176">
        <f t="shared" si="119"/>
        <v>10</v>
      </c>
      <c r="AI307" s="225">
        <f t="shared" si="120"/>
        <v>4.1976275215150096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IF(t&gt;Tmaj,'2025'!Wh/'2025'!Env_an*'2026'!Env_an,0.001*'[12]mon-tableau (1)'!$B$160)</f>
        <v>11.985421188967651</v>
      </c>
      <c r="C308" s="839"/>
      <c r="D308" s="393">
        <f t="shared" si="102"/>
        <v>13.150706174775594</v>
      </c>
      <c r="E308" s="385">
        <f t="shared" si="125"/>
        <v>14.722033954537755</v>
      </c>
      <c r="F308" s="385">
        <f t="shared" si="103"/>
        <v>14.985866309701322</v>
      </c>
      <c r="G308" s="110">
        <f t="shared" si="126"/>
        <v>0.52331549363367269</v>
      </c>
      <c r="H308" s="414" t="b">
        <f>Wh_hp&gt;='2025'!Maxi_hp</f>
        <v>0</v>
      </c>
      <c r="I308" s="390">
        <f>IF(H308,Wh_hp,'2025'!Maxi_hp)</f>
        <v>22.767117495614556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8.8610069324115887E-2</v>
      </c>
      <c r="M308" s="843"/>
      <c r="N308" s="843"/>
      <c r="O308" s="48">
        <f>IF(t&lt;Tnet,'2025'!Resal+('2025'!Salim-'2025'!Resal)*(1-EXP(('2025'!Tnet-t)/('2025'!Tau_j))),Resal+(Salim-Resal)*(1-EXP((Tnet-t)/(Tau_j))))*Salcycl</f>
        <v>0.1067330631497309</v>
      </c>
      <c r="P308" s="169">
        <f>(INDEX(Models!$BJ308:$BT308,,T308)*(1-R308)+INDEX(Models!$BJ308:$BT308,,T308+1)*R308-ERP_i)*Q308*Ramure*Pc/MaxiM</f>
        <v>5.0983494186971005E-2</v>
      </c>
      <c r="Q308" s="305">
        <f t="shared" si="105"/>
        <v>0.8</v>
      </c>
      <c r="R308" s="177">
        <f t="shared" si="106"/>
        <v>0.99701649578444806</v>
      </c>
      <c r="S308" s="809">
        <f t="shared" si="107"/>
        <v>2</v>
      </c>
      <c r="T308" s="176">
        <f t="shared" si="108"/>
        <v>8</v>
      </c>
      <c r="U308" s="251">
        <f t="shared" si="109"/>
        <v>2.9970164957844481</v>
      </c>
      <c r="V308" s="383">
        <f t="shared" si="110"/>
        <v>22.124706205644799</v>
      </c>
      <c r="W308" s="402">
        <f t="shared" si="111"/>
        <v>11.985421188967651</v>
      </c>
      <c r="X308" s="157">
        <f t="shared" si="112"/>
        <v>46316</v>
      </c>
      <c r="Y308" s="385">
        <f t="shared" si="113"/>
        <v>11.190267049502632</v>
      </c>
      <c r="Z308" s="385">
        <f t="shared" si="114"/>
        <v>12.278243014166243</v>
      </c>
      <c r="AA308" s="386">
        <f t="shared" si="115"/>
        <v>14.56630025114686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0.15707881874812171</v>
      </c>
      <c r="AD308" s="231">
        <f>(INDEX(Models!$BJ308:$BT308,,AH308)*(1-AF308)+INDEX(Models!$BJ308:$BT308,,AH308+1)*AF308-ERP_i)*AE308*Ramure*Pc/MaxiM</f>
        <v>8.1077787802409915E-2</v>
      </c>
      <c r="AE308" s="305">
        <f t="shared" si="117"/>
        <v>0.8</v>
      </c>
      <c r="AF308" s="177">
        <f t="shared" si="118"/>
        <v>0.19773324294935168</v>
      </c>
      <c r="AG308" s="809">
        <f t="shared" si="124"/>
        <v>4</v>
      </c>
      <c r="AH308" s="176">
        <f t="shared" si="119"/>
        <v>10</v>
      </c>
      <c r="AI308" s="225">
        <f t="shared" si="120"/>
        <v>4.1977332429493517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IF(t&gt;Tmaj,'2025'!Wh/'2025'!Env_an*'2026'!Env_an,0.001*'[12]mon-tableau (1)'!$B$161)</f>
        <v>20.892662773575822</v>
      </c>
      <c r="C309" s="839"/>
      <c r="D309" s="393">
        <f t="shared" si="102"/>
        <v>22.924501958167841</v>
      </c>
      <c r="E309" s="385">
        <f t="shared" si="125"/>
        <v>25.664832918768639</v>
      </c>
      <c r="F309" s="385">
        <f t="shared" si="103"/>
        <v>26.950463562097202</v>
      </c>
      <c r="G309" s="110">
        <f t="shared" si="126"/>
        <v>0.95331704625618363</v>
      </c>
      <c r="H309" s="414" t="b">
        <f>Wh_hp&gt;='2025'!Maxi_hp</f>
        <v>0</v>
      </c>
      <c r="I309" s="390">
        <f>IF(H309,Wh_hp,'2025'!Maxi_hp)</f>
        <v>27.02636286510641</v>
      </c>
      <c r="J309" s="85">
        <f>IF(H309,An,'2025'!An_max)</f>
        <v>2022</v>
      </c>
      <c r="K309" s="197">
        <f t="shared" si="104"/>
        <v>46317</v>
      </c>
      <c r="L309" s="147">
        <f>IF(t&lt;Tvie,1-EXP((T0-t)*PertePVj)+'2025'!Pspv,1-EXP((T0-t)*PertePVj)+Pspv)</f>
        <v>8.8631769985654613E-2</v>
      </c>
      <c r="M309" s="843"/>
      <c r="N309" s="843"/>
      <c r="O309" s="48">
        <f>IF(t&lt;Tnet,'2025'!Resal+('2025'!Salim-'2025'!Resal)*(1-EXP(('2025'!Tnet-t)/('2025'!Tau_j))),Resal+(Salim-Resal)*(1-EXP((Tnet-t)/(Tau_j))))*Salcycl</f>
        <v>0.10677376974454399</v>
      </c>
      <c r="P309" s="169">
        <f>(INDEX(Models!$BJ309:$BT309,,T309)*(1-R309)+INDEX(Models!$BJ309:$BT309,,T309+1)*R309-ERP_i)*Q309*Ramure*Pc/MaxiM</f>
        <v>5.0864912439187969E-2</v>
      </c>
      <c r="Q309" s="305">
        <f t="shared" si="105"/>
        <v>0.8</v>
      </c>
      <c r="R309" s="177">
        <f t="shared" si="106"/>
        <v>0.99711799570346304</v>
      </c>
      <c r="S309" s="809">
        <f t="shared" si="107"/>
        <v>2</v>
      </c>
      <c r="T309" s="176">
        <f t="shared" si="108"/>
        <v>8</v>
      </c>
      <c r="U309" s="251">
        <f t="shared" si="109"/>
        <v>2.997117995703463</v>
      </c>
      <c r="V309" s="383">
        <f t="shared" si="110"/>
        <v>21.842998842378446</v>
      </c>
      <c r="W309" s="402">
        <f t="shared" si="111"/>
        <v>20.892662773575822</v>
      </c>
      <c r="X309" s="157">
        <f t="shared" si="112"/>
        <v>46317</v>
      </c>
      <c r="Y309" s="385">
        <f t="shared" si="113"/>
        <v>19.123983961041205</v>
      </c>
      <c r="Z309" s="385">
        <f t="shared" si="114"/>
        <v>20.983816783628921</v>
      </c>
      <c r="AA309" s="386">
        <f t="shared" si="115"/>
        <v>24.892335829368822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0.1570169658858811</v>
      </c>
      <c r="AD309" s="231">
        <f>(INDEX(Models!$BJ309:$BT309,,AH309)*(1-AF309)+INDEX(Models!$BJ309:$BT309,,AH309+1)*AF309-ERP_i)*AE309*Ramure*Pc/MaxiM</f>
        <v>8.1428120477009605E-2</v>
      </c>
      <c r="AE309" s="305">
        <f t="shared" si="117"/>
        <v>0.8</v>
      </c>
      <c r="AF309" s="177">
        <f t="shared" si="118"/>
        <v>0.19783474286836622</v>
      </c>
      <c r="AG309" s="809">
        <f t="shared" si="124"/>
        <v>4</v>
      </c>
      <c r="AH309" s="176">
        <f t="shared" si="119"/>
        <v>10</v>
      </c>
      <c r="AI309" s="225">
        <f t="shared" si="120"/>
        <v>4.1978347428683662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IF(t&gt;Tmaj,'2025'!Wh/'2025'!Env_an*'2026'!Env_an,0.001*'[12]mon-tableau (1)'!$B$162)</f>
        <v>12.960569542644288</v>
      </c>
      <c r="C310" s="839"/>
      <c r="D310" s="393">
        <f t="shared" si="102"/>
        <v>14.221340750226352</v>
      </c>
      <c r="E310" s="385">
        <f t="shared" si="125"/>
        <v>15.922022763579951</v>
      </c>
      <c r="F310" s="385">
        <f t="shared" si="103"/>
        <v>16.277984219771273</v>
      </c>
      <c r="G310" s="110">
        <f t="shared" si="126"/>
        <v>0.58329142567559433</v>
      </c>
      <c r="H310" s="414" t="b">
        <f>Wh_hp&gt;='2025'!Maxi_hp</f>
        <v>0</v>
      </c>
      <c r="I310" s="390">
        <f>IF(H310,Wh_hp,'2025'!Maxi_hp)</f>
        <v>29.192406870940115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8.8653470142187302E-2</v>
      </c>
      <c r="M310" s="843"/>
      <c r="N310" s="843"/>
      <c r="O310" s="48">
        <f>IF(t&lt;Tnet,'2025'!Resal+('2025'!Salim-'2025'!Resal)*(1-EXP(('2025'!Tnet-t)/('2025'!Tau_j))),Resal+(Salim-Resal)*(1-EXP((Tnet-t)/(Tau_j))))*Salcycl</f>
        <v>0.10681318816122659</v>
      </c>
      <c r="P310" s="169">
        <f>(INDEX(Models!$BJ310:$BT310,,T310)*(1-R310)+INDEX(Models!$BJ310:$BT310,,T310+1)*R310-ERP_i)*Q310*Ramure*Pc/MaxiM</f>
        <v>5.0838939843627265E-2</v>
      </c>
      <c r="Q310" s="305">
        <f t="shared" si="105"/>
        <v>0.8</v>
      </c>
      <c r="R310" s="177">
        <f t="shared" si="106"/>
        <v>0.99721544132164919</v>
      </c>
      <c r="S310" s="809">
        <f t="shared" si="107"/>
        <v>2</v>
      </c>
      <c r="T310" s="176">
        <f t="shared" si="108"/>
        <v>8</v>
      </c>
      <c r="U310" s="251">
        <f t="shared" si="109"/>
        <v>2.9972154413216492</v>
      </c>
      <c r="V310" s="383">
        <f t="shared" si="110"/>
        <v>21.561590305474748</v>
      </c>
      <c r="W310" s="402">
        <f t="shared" si="111"/>
        <v>12.960569542644288</v>
      </c>
      <c r="X310" s="157">
        <f t="shared" si="112"/>
        <v>46318</v>
      </c>
      <c r="Y310" s="385">
        <f t="shared" si="113"/>
        <v>12.066456194546003</v>
      </c>
      <c r="Z310" s="385">
        <f t="shared" si="114"/>
        <v>13.240250332031875</v>
      </c>
      <c r="AA310" s="386">
        <f t="shared" si="115"/>
        <v>15.705244086287861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0.15695354626217839</v>
      </c>
      <c r="AD310" s="231">
        <f>(INDEX(Models!$BJ310:$BT310,,AH310)*(1-AF310)+INDEX(Models!$BJ310:$BT310,,AH310+1)*AF310-ERP_i)*AE310*Ramure*Pc/MaxiM</f>
        <v>8.1799590056020291E-2</v>
      </c>
      <c r="AE310" s="305">
        <f t="shared" si="117"/>
        <v>0.8</v>
      </c>
      <c r="AF310" s="177">
        <f t="shared" si="118"/>
        <v>0.19793218848655236</v>
      </c>
      <c r="AG310" s="809">
        <f t="shared" si="124"/>
        <v>4</v>
      </c>
      <c r="AH310" s="176">
        <f t="shared" si="119"/>
        <v>10</v>
      </c>
      <c r="AI310" s="225">
        <f t="shared" si="120"/>
        <v>4.1979321884865524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IF(t&gt;Tmaj,'2025'!Wh/'2025'!Env_an*'2026'!Env_an,0.001*'[12]mon-tableau (1)'!$B$163)</f>
        <v>15.546012929477021</v>
      </c>
      <c r="C311" s="839"/>
      <c r="D311" s="393">
        <f t="shared" si="102"/>
        <v>17.058695663936039</v>
      </c>
      <c r="E311" s="385">
        <f t="shared" si="125"/>
        <v>19.099504314961564</v>
      </c>
      <c r="F311" s="385">
        <f t="shared" si="103"/>
        <v>19.716126111708526</v>
      </c>
      <c r="G311" s="110">
        <f t="shared" si="126"/>
        <v>0.71571708730412908</v>
      </c>
      <c r="H311" s="414" t="b">
        <f>Wh_hp&gt;='2025'!Maxi_hp</f>
        <v>0</v>
      </c>
      <c r="I311" s="390">
        <f>IF(H311,Wh_hp,'2025'!Maxi_hp)</f>
        <v>28.410947539123171</v>
      </c>
      <c r="J311" s="85">
        <f>IF(H311,An,'2025'!An_max)</f>
        <v>2018</v>
      </c>
      <c r="K311" s="197">
        <f t="shared" si="104"/>
        <v>46319</v>
      </c>
      <c r="L311" s="147">
        <f>IF(t&lt;Tvie,1-EXP((T0-t)*PertePVj)+'2025'!Pspv,1-EXP((T0-t)*PertePVj)+Pspv)</f>
        <v>8.8675169793725611E-2</v>
      </c>
      <c r="M311" s="843"/>
      <c r="N311" s="843"/>
      <c r="O311" s="48">
        <f>IF(t&lt;Tnet,'2025'!Resal+('2025'!Salim-'2025'!Resal)*(1-EXP(('2025'!Tnet-t)/('2025'!Tau_j))),Resal+(Salim-Resal)*(1-EXP((Tnet-t)/(Tau_j))))*Salcycl</f>
        <v>0.1068513934901892</v>
      </c>
      <c r="P311" s="169">
        <f>(INDEX(Models!$BJ311:$BT311,,T311)*(1-R311)+INDEX(Models!$BJ311:$BT311,,T311+1)*R311-ERP_i)*Q311*Ramure*Pc/MaxiM</f>
        <v>5.0855750226674462E-2</v>
      </c>
      <c r="Q311" s="305">
        <f t="shared" si="105"/>
        <v>0.8</v>
      </c>
      <c r="R311" s="177">
        <f t="shared" si="106"/>
        <v>0.99730899333652046</v>
      </c>
      <c r="S311" s="809">
        <f t="shared" si="107"/>
        <v>2</v>
      </c>
      <c r="T311" s="176">
        <f t="shared" si="108"/>
        <v>8</v>
      </c>
      <c r="U311" s="251">
        <f t="shared" si="109"/>
        <v>2.9973089933365205</v>
      </c>
      <c r="V311" s="383">
        <f t="shared" si="110"/>
        <v>21.281848677257127</v>
      </c>
      <c r="W311" s="402">
        <f t="shared" si="111"/>
        <v>15.546012929477021</v>
      </c>
      <c r="X311" s="157">
        <f t="shared" si="112"/>
        <v>46319</v>
      </c>
      <c r="Y311" s="385">
        <f t="shared" si="113"/>
        <v>14.383435506504689</v>
      </c>
      <c r="Z311" s="385">
        <f t="shared" si="114"/>
        <v>15.782995294058937</v>
      </c>
      <c r="AA311" s="386">
        <f t="shared" si="115"/>
        <v>18.719942180355822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0.15688867294573353</v>
      </c>
      <c r="AD311" s="231">
        <f>(INDEX(Models!$BJ311:$BT311,,AH311)*(1-AF311)+INDEX(Models!$BJ311:$BT311,,AH311+1)*AF311-ERP_i)*AE311*Ramure*Pc/MaxiM</f>
        <v>8.2160055742384594E-2</v>
      </c>
      <c r="AE311" s="305">
        <f t="shared" si="117"/>
        <v>0.8</v>
      </c>
      <c r="AF311" s="177">
        <f t="shared" si="118"/>
        <v>0.19802574050142407</v>
      </c>
      <c r="AG311" s="809">
        <f t="shared" si="124"/>
        <v>4</v>
      </c>
      <c r="AH311" s="176">
        <f t="shared" si="119"/>
        <v>10</v>
      </c>
      <c r="AI311" s="225">
        <f t="shared" si="120"/>
        <v>4.1980257405014241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IF(t&gt;Tmaj,'2025'!Wh/'2025'!Env_an*'2026'!Env_an,0.001*'[12]mon-tableau (1)'!$B$164)</f>
        <v>15.618393180615968</v>
      </c>
      <c r="C312" s="839"/>
      <c r="D312" s="393">
        <f t="shared" si="102"/>
        <v>17.138526850504672</v>
      </c>
      <c r="E312" s="385">
        <f t="shared" si="125"/>
        <v>19.189682581723702</v>
      </c>
      <c r="F312" s="385">
        <f t="shared" si="103"/>
        <v>19.829501953075926</v>
      </c>
      <c r="G312" s="110">
        <f t="shared" si="126"/>
        <v>0.72926224511429294</v>
      </c>
      <c r="H312" s="414" t="b">
        <f>Wh_hp&gt;='2025'!Maxi_hp</f>
        <v>0</v>
      </c>
      <c r="I312" s="390">
        <f>IF(H312,Wh_hp,'2025'!Maxi_hp)</f>
        <v>27.544324929727701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8.8696868940281309E-2</v>
      </c>
      <c r="M312" s="843"/>
      <c r="N312" s="843"/>
      <c r="O312" s="48">
        <f>IF(t&lt;Tnet,'2025'!Resal+('2025'!Salim-'2025'!Resal)*(1-EXP(('2025'!Tnet-t)/('2025'!Tau_j))),Resal+(Salim-Resal)*(1-EXP((Tnet-t)/(Tau_j))))*Salcycl</f>
        <v>0.1068884658453161</v>
      </c>
      <c r="P312" s="169">
        <f>(INDEX(Models!$BJ312:$BT312,,T312)*(1-R312)+INDEX(Models!$BJ312:$BT312,,T312+1)*R312-ERP_i)*Q312*Ramure*Pc/MaxiM</f>
        <v>5.0916542315775595E-2</v>
      </c>
      <c r="Q312" s="305">
        <f t="shared" si="105"/>
        <v>0.8</v>
      </c>
      <c r="R312" s="177">
        <f t="shared" si="106"/>
        <v>0.99739880617421051</v>
      </c>
      <c r="S312" s="809">
        <f t="shared" si="107"/>
        <v>2</v>
      </c>
      <c r="T312" s="176">
        <f t="shared" si="108"/>
        <v>8</v>
      </c>
      <c r="U312" s="251">
        <f t="shared" si="109"/>
        <v>2.9973988061742105</v>
      </c>
      <c r="V312" s="383">
        <f t="shared" si="110"/>
        <v>21.003953136481144</v>
      </c>
      <c r="W312" s="402">
        <f t="shared" si="111"/>
        <v>15.618393180615968</v>
      </c>
      <c r="X312" s="157">
        <f t="shared" si="112"/>
        <v>46320</v>
      </c>
      <c r="Y312" s="385">
        <f t="shared" si="113"/>
        <v>14.440115295253911</v>
      </c>
      <c r="Z312" s="385">
        <f t="shared" si="114"/>
        <v>15.845567520943407</v>
      </c>
      <c r="AA312" s="386">
        <f t="shared" si="115"/>
        <v>18.792682302722199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0.15682246601656702</v>
      </c>
      <c r="AD312" s="231">
        <f>(INDEX(Models!$BJ312:$BT312,,AH312)*(1-AF312)+INDEX(Models!$BJ312:$BT312,,AH312+1)*AF312-ERP_i)*AE312*Ramure*Pc/MaxiM</f>
        <v>8.2509648761480495E-2</v>
      </c>
      <c r="AE312" s="305">
        <f t="shared" si="117"/>
        <v>0.8</v>
      </c>
      <c r="AF312" s="177">
        <f t="shared" si="118"/>
        <v>0.19811555333911368</v>
      </c>
      <c r="AG312" s="809">
        <f t="shared" si="124"/>
        <v>4</v>
      </c>
      <c r="AH312" s="176">
        <f t="shared" si="119"/>
        <v>10</v>
      </c>
      <c r="AI312" s="225">
        <f t="shared" si="120"/>
        <v>4.1981155533391137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IF(t&gt;Tmaj,'2025'!Wh/'2025'!Env_an*'2026'!Env_an,0.001*'[12]mon-tableau (1)'!$B$165)</f>
        <v>10.172856295237061</v>
      </c>
      <c r="C313" s="839"/>
      <c r="D313" s="393">
        <f t="shared" si="102"/>
        <v>11.163243245550218</v>
      </c>
      <c r="E313" s="385">
        <f t="shared" si="125"/>
        <v>12.499775351695297</v>
      </c>
      <c r="F313" s="385">
        <f t="shared" si="103"/>
        <v>12.67604122669951</v>
      </c>
      <c r="G313" s="110">
        <f t="shared" si="126"/>
        <v>0.47230343662124491</v>
      </c>
      <c r="H313" s="414" t="b">
        <f>Wh_hp&gt;='2025'!Maxi_hp</f>
        <v>0</v>
      </c>
      <c r="I313" s="390">
        <f>IF(H313,Wh_hp,'2025'!Maxi_hp)</f>
        <v>27.696361546697236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8.8718567581866165E-2</v>
      </c>
      <c r="M313" s="843"/>
      <c r="N313" s="843"/>
      <c r="O313" s="48">
        <f>IF(t&lt;Tnet,'2025'!Resal+('2025'!Salim-'2025'!Resal)*(1-EXP(('2025'!Tnet-t)/('2025'!Tau_j))),Resal+(Salim-Resal)*(1-EXP((Tnet-t)/(Tau_j))))*Salcycl</f>
        <v>0.10692449012404129</v>
      </c>
      <c r="P313" s="169">
        <f>(INDEX(Models!$BJ313:$BT313,,T313)*(1-R313)+INDEX(Models!$BJ313:$BT313,,T313+1)*R313-ERP_i)*Q313*Ramure*Pc/MaxiM</f>
        <v>5.102209104733503E-2</v>
      </c>
      <c r="Q313" s="305">
        <f t="shared" si="105"/>
        <v>0.8</v>
      </c>
      <c r="R313" s="177">
        <f t="shared" si="106"/>
        <v>0.99748502822648577</v>
      </c>
      <c r="S313" s="809">
        <f t="shared" si="107"/>
        <v>2</v>
      </c>
      <c r="T313" s="176">
        <f t="shared" si="108"/>
        <v>8</v>
      </c>
      <c r="U313" s="251">
        <f t="shared" si="109"/>
        <v>2.9974850282264858</v>
      </c>
      <c r="V313" s="383">
        <f t="shared" si="110"/>
        <v>20.728092677472223</v>
      </c>
      <c r="W313" s="402">
        <f t="shared" si="111"/>
        <v>10.172856295237061</v>
      </c>
      <c r="X313" s="157">
        <f t="shared" si="112"/>
        <v>46321</v>
      </c>
      <c r="Y313" s="385">
        <f t="shared" si="113"/>
        <v>9.5207577215171266</v>
      </c>
      <c r="Z313" s="385">
        <f t="shared" si="114"/>
        <v>10.447659068673536</v>
      </c>
      <c r="AA313" s="386">
        <f t="shared" si="115"/>
        <v>12.389827055348265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0.15675505218907484</v>
      </c>
      <c r="AD313" s="231">
        <f>(INDEX(Models!$BJ313:$BT313,,AH313)*(1-AF313)+INDEX(Models!$BJ313:$BT313,,AH313+1)*AF313-ERP_i)*AE313*Ramure*Pc/MaxiM</f>
        <v>8.2847831489627322E-2</v>
      </c>
      <c r="AE313" s="305">
        <f t="shared" si="117"/>
        <v>0.8</v>
      </c>
      <c r="AF313" s="177">
        <f t="shared" si="118"/>
        <v>0.19820177539138939</v>
      </c>
      <c r="AG313" s="809">
        <f t="shared" si="124"/>
        <v>4</v>
      </c>
      <c r="AH313" s="176">
        <f t="shared" si="119"/>
        <v>10</v>
      </c>
      <c r="AI313" s="225">
        <f t="shared" si="120"/>
        <v>4.1982017753913894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IF(t&gt;Tmaj,'2025'!Wh/'2025'!Env_an*'2026'!Env_an,0.001*'[12]mon-tableau (1)'!$B$166)</f>
        <v>9.8153043619594751</v>
      </c>
      <c r="C314" s="839"/>
      <c r="D314" s="393">
        <f t="shared" si="102"/>
        <v>10.771138011160396</v>
      </c>
      <c r="E314" s="385">
        <f t="shared" si="125"/>
        <v>12.061198437657103</v>
      </c>
      <c r="F314" s="385">
        <f t="shared" si="103"/>
        <v>12.221900325371355</v>
      </c>
      <c r="G314" s="110">
        <f t="shared" si="126"/>
        <v>0.46137181767627894</v>
      </c>
      <c r="H314" s="414" t="b">
        <f>Wh_hp&gt;='2025'!Maxi_hp</f>
        <v>0</v>
      </c>
      <c r="I314" s="390">
        <f>IF(H314,Wh_hp,'2025'!Maxi_hp)</f>
        <v>24.453755622088135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8.8740265718491834E-2</v>
      </c>
      <c r="M314" s="843"/>
      <c r="N314" s="843"/>
      <c r="O314" s="48">
        <f>IF(t&lt;Tnet,'2025'!Resal+('2025'!Salim-'2025'!Resal)*(1-EXP(('2025'!Tnet-t)/('2025'!Tau_j))),Resal+(Salim-Resal)*(1-EXP((Tnet-t)/(Tau_j))))*Salcycl</f>
        <v>0.10695955573278024</v>
      </c>
      <c r="P314" s="169">
        <f>(INDEX(Models!$BJ314:$BT314,,T314)*(1-R314)+INDEX(Models!$BJ314:$BT314,,T314+1)*R314-ERP_i)*Q314*Ramure*Pc/MaxiM</f>
        <v>5.1173165052906817E-2</v>
      </c>
      <c r="Q314" s="305">
        <f t="shared" si="105"/>
        <v>0.8</v>
      </c>
      <c r="R314" s="177">
        <f t="shared" si="106"/>
        <v>0.99756780207941853</v>
      </c>
      <c r="S314" s="809">
        <f t="shared" si="107"/>
        <v>2</v>
      </c>
      <c r="T314" s="176">
        <f t="shared" si="108"/>
        <v>8</v>
      </c>
      <c r="U314" s="251">
        <f t="shared" si="109"/>
        <v>2.9975678020794185</v>
      </c>
      <c r="V314" s="383">
        <f t="shared" si="110"/>
        <v>20.45445640681729</v>
      </c>
      <c r="W314" s="402">
        <f t="shared" si="111"/>
        <v>9.8153043619594751</v>
      </c>
      <c r="X314" s="157">
        <f t="shared" si="112"/>
        <v>46322</v>
      </c>
      <c r="Y314" s="385">
        <f t="shared" si="113"/>
        <v>9.1915330213352018</v>
      </c>
      <c r="Z314" s="385">
        <f t="shared" si="114"/>
        <v>10.086622590190883</v>
      </c>
      <c r="AA314" s="386">
        <f t="shared" si="115"/>
        <v>11.960704246161722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0.15668656438622722</v>
      </c>
      <c r="AD314" s="231">
        <f>(INDEX(Models!$BJ314:$BT314,,AH314)*(1-AF314)+INDEX(Models!$BJ314:$BT314,,AH314+1)*AF314-ERP_i)*AE314*Ramure*Pc/MaxiM</f>
        <v>8.3174070091407468E-2</v>
      </c>
      <c r="AE314" s="305">
        <f t="shared" si="117"/>
        <v>0.8</v>
      </c>
      <c r="AF314" s="177">
        <f t="shared" si="118"/>
        <v>0.19828454924432215</v>
      </c>
      <c r="AG314" s="809">
        <f t="shared" si="124"/>
        <v>4</v>
      </c>
      <c r="AH314" s="176">
        <f t="shared" si="119"/>
        <v>10</v>
      </c>
      <c r="AI314" s="225">
        <f t="shared" si="120"/>
        <v>4.1982845492443222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IF(t&gt;Tmaj,'2025'!Wh/'2025'!Env_an*'2026'!Env_an,0.001*'[12]mon-tableau (1)'!$B$167)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Wh_hp&gt;='2025'!Maxi_hp</f>
        <v>0</v>
      </c>
      <c r="I315" s="390">
        <f>IF(H315,Wh_hp,'2025'!Maxi_hp)</f>
        <v>25.702565660135079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8.8761963350170309E-2</v>
      </c>
      <c r="M315" s="843"/>
      <c r="N315" s="843"/>
      <c r="O315" s="48">
        <f>IF(t&lt;Tnet,'2025'!Resal+('2025'!Salim-'2025'!Resal)*(1-EXP(('2025'!Tnet-t)/('2025'!Tau_j))),Resal+(Salim-Resal)*(1-EXP((Tnet-t)/(Tau_j))))*Salcycl</f>
        <v>0.10699375627899851</v>
      </c>
      <c r="P315" s="169">
        <f>(INDEX(Models!$BJ315:$BT315,,T315)*(1-R315)+INDEX(Models!$BJ315:$BT315,,T315+1)*R315-ERP_i)*Q315*Ramure*Pc/MaxiM</f>
        <v>5.137052305420016E-2</v>
      </c>
      <c r="Q315" s="305">
        <f t="shared" si="105"/>
        <v>0.8</v>
      </c>
      <c r="R315" s="177">
        <f t="shared" si="106"/>
        <v>0.99764726473395715</v>
      </c>
      <c r="S315" s="809">
        <f t="shared" si="107"/>
        <v>2</v>
      </c>
      <c r="T315" s="176">
        <f t="shared" si="108"/>
        <v>8</v>
      </c>
      <c r="U315" s="251">
        <f t="shared" si="109"/>
        <v>2.9976472647339572</v>
      </c>
      <c r="V315" s="383">
        <f t="shared" si="110"/>
        <v>20.183233514394569</v>
      </c>
      <c r="W315" s="402">
        <f t="shared" si="111"/>
        <v>0</v>
      </c>
      <c r="X315" s="157">
        <f t="shared" si="112"/>
        <v>46323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0.15661714126701332</v>
      </c>
      <c r="AD315" s="231">
        <f>(INDEX(Models!$BJ315:$BT315,,AH315)*(1-AF315)+INDEX(Models!$BJ315:$BT315,,AH315+1)*AF315-ERP_i)*AE315*Ramure*Pc/MaxiM</f>
        <v>8.3487833067049627E-2</v>
      </c>
      <c r="AE315" s="305">
        <f t="shared" si="117"/>
        <v>0.8</v>
      </c>
      <c r="AF315" s="177">
        <f t="shared" si="118"/>
        <v>0.19836401189886033</v>
      </c>
      <c r="AG315" s="809">
        <f t="shared" si="124"/>
        <v>4</v>
      </c>
      <c r="AH315" s="176">
        <f t="shared" si="119"/>
        <v>10</v>
      </c>
      <c r="AI315" s="225">
        <f t="shared" si="120"/>
        <v>4.1983640118988603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IF(t&gt;Tmaj,'2025'!Wh/'2025'!Env_an*'2026'!Env_an,0.001*'[12]mon-tableau (1)'!$B$168)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Wh_hp&gt;='2025'!Maxi_hp</f>
        <v>0</v>
      </c>
      <c r="I316" s="390">
        <f>IF(H316,Wh_hp,'2025'!Maxi_hp)</f>
        <v>24.397649963595786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8.8783660476913134E-2</v>
      </c>
      <c r="M316" s="843"/>
      <c r="N316" s="843"/>
      <c r="O316" s="48">
        <f>IF(t&lt;Tnet,'2025'!Resal+('2025'!Salim-'2025'!Resal)*(1-EXP(('2025'!Tnet-t)/('2025'!Tau_j))),Resal+(Salim-Resal)*(1-EXP((Tnet-t)/(Tau_j))))*Salcycl</f>
        <v>0.10702718923149085</v>
      </c>
      <c r="P316" s="169">
        <f>(INDEX(Models!$BJ316:$BT316,,T316)*(1-R316)+INDEX(Models!$BJ316:$BT316,,T316+1)*R316-ERP_i)*Q316*Ramure*Pc/MaxiM</f>
        <v>5.1614910031196462E-2</v>
      </c>
      <c r="Q316" s="305">
        <f t="shared" si="105"/>
        <v>0.8</v>
      </c>
      <c r="R316" s="177">
        <f t="shared" si="106"/>
        <v>0.99772354781864037</v>
      </c>
      <c r="S316" s="809">
        <f t="shared" si="107"/>
        <v>2</v>
      </c>
      <c r="T316" s="176">
        <f t="shared" si="108"/>
        <v>8</v>
      </c>
      <c r="U316" s="251">
        <f t="shared" si="109"/>
        <v>2.9977235478186404</v>
      </c>
      <c r="V316" s="383">
        <f t="shared" si="110"/>
        <v>19.914613247532955</v>
      </c>
      <c r="W316" s="402">
        <f t="shared" si="111"/>
        <v>0</v>
      </c>
      <c r="X316" s="157">
        <f t="shared" si="112"/>
        <v>46324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0.15654692670967071</v>
      </c>
      <c r="AD316" s="231">
        <f>(INDEX(Models!$BJ316:$BT316,,AH316)*(1-AF316)+INDEX(Models!$BJ316:$BT316,,AH316+1)*AF316-ERP_i)*AE316*Ramure*Pc/MaxiM</f>
        <v>8.3788589492151108E-2</v>
      </c>
      <c r="AE316" s="305">
        <f t="shared" si="117"/>
        <v>0.8</v>
      </c>
      <c r="AF316" s="177">
        <f t="shared" si="118"/>
        <v>0.19844029498354399</v>
      </c>
      <c r="AG316" s="809">
        <f t="shared" si="124"/>
        <v>4</v>
      </c>
      <c r="AH316" s="176">
        <f t="shared" si="119"/>
        <v>10</v>
      </c>
      <c r="AI316" s="225">
        <f t="shared" si="120"/>
        <v>4.198440294983544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IF(t&gt;Tmaj,'2025'!Wh/'2025'!Env_an*'2026'!Env_an,0.001*'[12]mon-tableau (1)'!$B$169)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Wh_hp&gt;='2025'!Maxi_hp</f>
        <v>0</v>
      </c>
      <c r="I317" s="390">
        <f>IF(H317,Wh_hp,'2025'!Maxi_hp)</f>
        <v>23.315037308519852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8.8805357098732191E-2</v>
      </c>
      <c r="M317" s="843"/>
      <c r="N317" s="843"/>
      <c r="O317" s="48">
        <f>IF(t&lt;Tnet,'2025'!Resal+('2025'!Salim-'2025'!Resal)*(1-EXP(('2025'!Tnet-t)/('2025'!Tau_j))),Resal+(Salim-Resal)*(1-EXP((Tnet-t)/(Tau_j))))*Salcycl</f>
        <v>0.10705995555072795</v>
      </c>
      <c r="P317" s="169">
        <f>(INDEX(Models!$BJ317:$BT317,,T317)*(1-R317)+INDEX(Models!$BJ317:$BT317,,T317+1)*R317-ERP_i)*Q317*Ramure*Pc/MaxiM</f>
        <v>5.1911618556241955E-2</v>
      </c>
      <c r="Q317" s="305">
        <f t="shared" si="105"/>
        <v>0.8</v>
      </c>
      <c r="R317" s="177">
        <f t="shared" si="106"/>
        <v>0.99779677779469145</v>
      </c>
      <c r="S317" s="809">
        <f t="shared" si="107"/>
        <v>2</v>
      </c>
      <c r="T317" s="176">
        <f t="shared" si="108"/>
        <v>8</v>
      </c>
      <c r="U317" s="251">
        <f t="shared" si="109"/>
        <v>2.9977967777946914</v>
      </c>
      <c r="V317" s="383">
        <f t="shared" si="110"/>
        <v>19.646962248234978</v>
      </c>
      <c r="W317" s="402">
        <f t="shared" si="111"/>
        <v>0</v>
      </c>
      <c r="X317" s="157">
        <f t="shared" si="112"/>
        <v>46325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0.15647606925363264</v>
      </c>
      <c r="AD317" s="231">
        <f>(INDEX(Models!$BJ317:$BT317,,AH317)*(1-AF317)+INDEX(Models!$BJ317:$BT317,,AH317+1)*AF317-ERP_i)*AE317*Ramure*Pc/MaxiM</f>
        <v>8.4083201732054635E-2</v>
      </c>
      <c r="AE317" s="305">
        <f t="shared" si="117"/>
        <v>0.8</v>
      </c>
      <c r="AF317" s="177">
        <f t="shared" si="118"/>
        <v>0.19851352495959507</v>
      </c>
      <c r="AG317" s="809">
        <f t="shared" si="124"/>
        <v>4</v>
      </c>
      <c r="AH317" s="176">
        <f t="shared" si="119"/>
        <v>10</v>
      </c>
      <c r="AI317" s="225">
        <f t="shared" si="120"/>
        <v>4.1985135249595951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IF(t&gt;Tmaj,'2025'!Wh/'2025'!Env_an*'2026'!Env_an,0.001*'[12]mon-tableau (1)'!$B$170)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Wh_hp&gt;='2025'!Maxi_hp</f>
        <v>0</v>
      </c>
      <c r="I318" s="390">
        <f>IF(H318,Wh_hp,'2025'!Maxi_hp)</f>
        <v>25.066473522391494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8.8827053215639024E-2</v>
      </c>
      <c r="M318" s="843"/>
      <c r="N318" s="843"/>
      <c r="O318" s="48">
        <f>IF(t&lt;Tnet,'2025'!Resal+('2025'!Salim-'2025'!Resal)*(1-EXP(('2025'!Tnet-t)/('2025'!Tau_j))),Resal+(Salim-Resal)*(1-EXP((Tnet-t)/(Tau_j))))*Salcycl</f>
        <v>0.10709215929139763</v>
      </c>
      <c r="P318" s="169">
        <f>(INDEX(Models!$BJ318:$BT318,,T318)*(1-R318)+INDEX(Models!$BJ318:$BT318,,T318+1)*R318-ERP_i)*Q318*Ramure*Pc/MaxiM</f>
        <v>5.2264042910606039E-2</v>
      </c>
      <c r="Q318" s="305">
        <f t="shared" si="105"/>
        <v>0.8</v>
      </c>
      <c r="R318" s="177">
        <f t="shared" si="106"/>
        <v>0.9978670761537245</v>
      </c>
      <c r="S318" s="809">
        <f t="shared" si="107"/>
        <v>2</v>
      </c>
      <c r="T318" s="176">
        <f t="shared" si="108"/>
        <v>8</v>
      </c>
      <c r="U318" s="251">
        <f t="shared" si="109"/>
        <v>2.9978670761537245</v>
      </c>
      <c r="V318" s="383">
        <f t="shared" si="110"/>
        <v>19.378978933312766</v>
      </c>
      <c r="W318" s="402">
        <f t="shared" si="111"/>
        <v>0</v>
      </c>
      <c r="X318" s="157">
        <f t="shared" si="112"/>
        <v>46326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0.15640472150350176</v>
      </c>
      <c r="AD318" s="231">
        <f>(INDEX(Models!$BJ318:$BT318,,AH318)*(1-AF318)+INDEX(Models!$BJ318:$BT318,,AH318+1)*AF318-ERP_i)*AE318*Ramure*Pc/MaxiM</f>
        <v>8.4350726327877906E-2</v>
      </c>
      <c r="AE318" s="305">
        <f t="shared" si="117"/>
        <v>0.8</v>
      </c>
      <c r="AF318" s="177">
        <f t="shared" si="118"/>
        <v>0.19858382331862856</v>
      </c>
      <c r="AG318" s="809">
        <f t="shared" si="124"/>
        <v>4</v>
      </c>
      <c r="AH318" s="176">
        <f t="shared" si="119"/>
        <v>10</v>
      </c>
      <c r="AI318" s="225">
        <f t="shared" si="120"/>
        <v>4.1985838233186286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IF(t&gt;Tmaj,'2025'!Wh/'2025'!Env_an*'2026'!Env_an,0.001*'[13]mon-tableau (3)'!$B$136)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Wh_hp&gt;='2025'!Maxi_hp</f>
        <v>0</v>
      </c>
      <c r="I319" s="390">
        <f>IF(H319,Wh_hp,'2025'!Maxi_hp)</f>
        <v>24.353652394890183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8.8848748827645624E-2</v>
      </c>
      <c r="M319" s="843"/>
      <c r="N319" s="843"/>
      <c r="O319" s="48">
        <f>IF(t&lt;Tnet,'2025'!Resal+('2025'!Salim-'2025'!Resal)*(1-EXP(('2025'!Tnet-t)/('2025'!Tau_j))),Resal+(Salim-Resal)*(1-EXP((Tnet-t)/(Tau_j))))*Salcycl</f>
        <v>0.1071239071795218</v>
      </c>
      <c r="P319" s="169">
        <f>(INDEX(Models!$BJ319:$BT319,,T319)*(1-R319)+INDEX(Models!$BJ319:$BT319,,T319+1)*R319-ERP_i)*Q319*Ramure*Pc/MaxiM</f>
        <v>5.2633640635425978E-2</v>
      </c>
      <c r="Q319" s="305">
        <f t="shared" si="105"/>
        <v>0.8</v>
      </c>
      <c r="R319" s="177">
        <f t="shared" si="106"/>
        <v>0.99793455960829469</v>
      </c>
      <c r="S319" s="809">
        <f t="shared" si="107"/>
        <v>2</v>
      </c>
      <c r="T319" s="176">
        <f t="shared" si="108"/>
        <v>8</v>
      </c>
      <c r="U319" s="251">
        <f t="shared" si="109"/>
        <v>2.9979345596082947</v>
      </c>
      <c r="V319" s="383">
        <f t="shared" si="110"/>
        <v>19.112082482230832</v>
      </c>
      <c r="W319" s="402">
        <f t="shared" si="111"/>
        <v>0</v>
      </c>
      <c r="X319" s="157">
        <f t="shared" si="112"/>
        <v>46327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0.15633303949870969</v>
      </c>
      <c r="AD319" s="231">
        <f>(INDEX(Models!$BJ319:$BT319,,AH319)*(1-AF319)+INDEX(Models!$BJ319:$BT319,,AH319+1)*AF319-ERP_i)*AE319*Ramure*Pc/MaxiM</f>
        <v>8.4593462854990045E-2</v>
      </c>
      <c r="AE319" s="305">
        <f t="shared" si="117"/>
        <v>0.8</v>
      </c>
      <c r="AF319" s="177">
        <f t="shared" si="118"/>
        <v>0.19865130677319787</v>
      </c>
      <c r="AG319" s="809">
        <f t="shared" si="124"/>
        <v>4</v>
      </c>
      <c r="AH319" s="176">
        <f t="shared" si="119"/>
        <v>10</v>
      </c>
      <c r="AI319" s="225">
        <f t="shared" si="120"/>
        <v>4.1986513067731979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IF(t&gt;Tmaj,'2025'!Wh/'2025'!Env_an*'2026'!Env_an,0.001*'[13]mon-tableau (3)'!$B$137)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Wh_hp&gt;='2025'!Maxi_hp</f>
        <v>0</v>
      </c>
      <c r="I320" s="390">
        <f>IF(H320,Wh_hp,'2025'!Maxi_hp)</f>
        <v>23.216009548028094</v>
      </c>
      <c r="J320" s="85">
        <f>IF(H320,An,'2025'!An_max)</f>
        <v>2021</v>
      </c>
      <c r="K320" s="197">
        <f t="shared" si="104"/>
        <v>46328</v>
      </c>
      <c r="L320" s="147">
        <f>IF(t&lt;Tvie,1-EXP((T0-t)*PertePVj)+'2025'!Pspv,1-EXP((T0-t)*PertePVj)+Pspv)</f>
        <v>8.8870443934763649E-2</v>
      </c>
      <c r="M320" s="843"/>
      <c r="N320" s="843"/>
      <c r="O320" s="48">
        <f>IF(t&lt;Tnet,'2025'!Resal+('2025'!Salim-'2025'!Resal)*(1-EXP(('2025'!Tnet-t)/('2025'!Tau_j))),Resal+(Salim-Resal)*(1-EXP((Tnet-t)/(Tau_j))))*Salcycl</f>
        <v>0.10715530816676784</v>
      </c>
      <c r="P320" s="169">
        <f>(INDEX(Models!$BJ320:$BT320,,T320)*(1-R320)+INDEX(Models!$BJ320:$BT320,,T320+1)*R320-ERP_i)*Q320*Ramure*Pc/MaxiM</f>
        <v>5.3019612494755598E-2</v>
      </c>
      <c r="Q320" s="305">
        <f t="shared" si="105"/>
        <v>0.8</v>
      </c>
      <c r="R320" s="177">
        <f t="shared" si="106"/>
        <v>0.9979993402755194</v>
      </c>
      <c r="S320" s="809">
        <f t="shared" si="107"/>
        <v>2</v>
      </c>
      <c r="T320" s="176">
        <f t="shared" si="108"/>
        <v>8</v>
      </c>
      <c r="U320" s="251">
        <f t="shared" si="109"/>
        <v>2.9979993402755194</v>
      </c>
      <c r="V320" s="383">
        <f t="shared" si="110"/>
        <v>18.846897541383452</v>
      </c>
      <c r="W320" s="402">
        <f t="shared" si="111"/>
        <v>0</v>
      </c>
      <c r="X320" s="157">
        <f t="shared" si="112"/>
        <v>46328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0.15626118205284245</v>
      </c>
      <c r="AD320" s="231">
        <f>(INDEX(Models!$BJ320:$BT320,,AH320)*(1-AF320)+INDEX(Models!$BJ320:$BT320,,AH320+1)*AF320-ERP_i)*AE320*Ramure*Pc/MaxiM</f>
        <v>8.4809104712254876E-2</v>
      </c>
      <c r="AE320" s="305">
        <f t="shared" si="117"/>
        <v>0.8</v>
      </c>
      <c r="AF320" s="177">
        <f t="shared" si="118"/>
        <v>0.19871608744042302</v>
      </c>
      <c r="AG320" s="809">
        <f t="shared" si="124"/>
        <v>4</v>
      </c>
      <c r="AH320" s="176">
        <f t="shared" si="119"/>
        <v>10</v>
      </c>
      <c r="AI320" s="225">
        <f t="shared" si="120"/>
        <v>4.198716087440423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IF(t&gt;Tmaj,'2025'!Wh/'2025'!Env_an*'2026'!Env_an,0.001*'[13]mon-tableau (3)'!$B$138)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Wh_hp&gt;='2025'!Maxi_hp</f>
        <v>0</v>
      </c>
      <c r="I321" s="390">
        <f>IF(H321,Wh_hp,'2025'!Maxi_hp)</f>
        <v>24.561857270116509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8.8892138537004756E-2</v>
      </c>
      <c r="M321" s="843"/>
      <c r="N321" s="843"/>
      <c r="O321" s="48">
        <f>IF(t&lt;Tnet,'2025'!Resal+('2025'!Salim-'2025'!Resal)*(1-EXP(('2025'!Tnet-t)/('2025'!Tau_j))),Resal+(Salim-Resal)*(1-EXP((Tnet-t)/(Tau_j))))*Salcycl</f>
        <v>0.10718647296478973</v>
      </c>
      <c r="P321" s="169">
        <f>(INDEX(Models!$BJ321:$BT321,,T321)*(1-R321)+INDEX(Models!$BJ321:$BT321,,T321+1)*R321-ERP_i)*Q321*Ramure*Pc/MaxiM</f>
        <v>5.3421067573795916E-2</v>
      </c>
      <c r="Q321" s="305">
        <f t="shared" si="105"/>
        <v>0.8</v>
      </c>
      <c r="R321" s="177">
        <f t="shared" si="106"/>
        <v>0.99806152585399133</v>
      </c>
      <c r="S321" s="809">
        <f t="shared" si="107"/>
        <v>2</v>
      </c>
      <c r="T321" s="176">
        <f t="shared" si="108"/>
        <v>8</v>
      </c>
      <c r="U321" s="251">
        <f t="shared" si="109"/>
        <v>2.9980615258539913</v>
      </c>
      <c r="V321" s="383">
        <f t="shared" si="110"/>
        <v>18.584048494738131</v>
      </c>
      <c r="W321" s="402">
        <f t="shared" si="111"/>
        <v>0</v>
      </c>
      <c r="X321" s="157">
        <f t="shared" si="112"/>
        <v>46329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0.15618931006690406</v>
      </c>
      <c r="AD321" s="231">
        <f>(INDEX(Models!$BJ321:$BT321,,AH321)*(1-AF321)+INDEX(Models!$BJ321:$BT321,,AH321+1)*AF321-ERP_i)*AE321*Ramure*Pc/MaxiM</f>
        <v>8.4995208183498649E-2</v>
      </c>
      <c r="AE321" s="305">
        <f t="shared" si="117"/>
        <v>0.8</v>
      </c>
      <c r="AF321" s="177">
        <f t="shared" si="118"/>
        <v>0.19877827301889539</v>
      </c>
      <c r="AG321" s="809">
        <f t="shared" si="124"/>
        <v>4</v>
      </c>
      <c r="AH321" s="176">
        <f t="shared" si="119"/>
        <v>10</v>
      </c>
      <c r="AI321" s="225">
        <f t="shared" si="120"/>
        <v>4.1987782730188954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IF(t&gt;Tmaj,'2025'!Wh/'2025'!Env_an*'2026'!Env_an,0.001*'[13]mon-tableau (3)'!$B$139)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Wh_hp&gt;='2025'!Maxi_hp</f>
        <v>0</v>
      </c>
      <c r="I322" s="390">
        <f>IF(H322,Wh_hp,'2025'!Maxi_hp)</f>
        <v>20.723995905929119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8.8913832634380824E-2</v>
      </c>
      <c r="M322" s="843"/>
      <c r="N322" s="843"/>
      <c r="O322" s="48">
        <f>IF(t&lt;Tnet,'2025'!Resal+('2025'!Salim-'2025'!Resal)*(1-EXP(('2025'!Tnet-t)/('2025'!Tau_j))),Resal+(Salim-Resal)*(1-EXP((Tnet-t)/(Tau_j))))*Salcycl</f>
        <v>0.10721751356262794</v>
      </c>
      <c r="P322" s="169">
        <f>(INDEX(Models!$BJ322:$BT322,,T322)*(1-R322)+INDEX(Models!$BJ322:$BT322,,T322+1)*R322-ERP_i)*Q322*Ramure*Pc/MaxiM</f>
        <v>5.3837011321541159E-2</v>
      </c>
      <c r="Q322" s="305">
        <f t="shared" si="105"/>
        <v>0.8</v>
      </c>
      <c r="R322" s="177">
        <f t="shared" si="106"/>
        <v>0.99812121979419821</v>
      </c>
      <c r="S322" s="809">
        <f t="shared" si="107"/>
        <v>2</v>
      </c>
      <c r="T322" s="176">
        <f t="shared" si="108"/>
        <v>8</v>
      </c>
      <c r="U322" s="251">
        <f t="shared" si="109"/>
        <v>2.9981212197941982</v>
      </c>
      <c r="V322" s="383">
        <f t="shared" si="110"/>
        <v>18.324159508041014</v>
      </c>
      <c r="W322" s="402">
        <f t="shared" si="111"/>
        <v>0</v>
      </c>
      <c r="X322" s="157">
        <f t="shared" si="112"/>
        <v>46330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0.15611758582104604</v>
      </c>
      <c r="AD322" s="231">
        <f>(INDEX(Models!$BJ322:$BT322,,AH322)*(1-AF322)+INDEX(Models!$BJ322:$BT322,,AH322+1)*AF322-ERP_i)*AE322*Ramure*Pc/MaxiM</f>
        <v>8.5149187529829612E-2</v>
      </c>
      <c r="AE322" s="305">
        <f t="shared" si="117"/>
        <v>0.8</v>
      </c>
      <c r="AF322" s="177">
        <f t="shared" si="118"/>
        <v>0.19883796695910227</v>
      </c>
      <c r="AG322" s="809">
        <f t="shared" si="124"/>
        <v>4</v>
      </c>
      <c r="AH322" s="176">
        <f t="shared" si="119"/>
        <v>10</v>
      </c>
      <c r="AI322" s="225">
        <f t="shared" si="120"/>
        <v>4.1988379669591023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IF(t&gt;Tmaj,'2025'!Wh/'2025'!Env_an*'2026'!Env_an,0.001*'[13]mon-tableau (3)'!$B$140)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Wh_hp&gt;='2025'!Maxi_hp</f>
        <v>0</v>
      </c>
      <c r="I323" s="390">
        <f>IF(H323,Wh_hp,'2025'!Maxi_hp)</f>
        <v>15.637654954165301</v>
      </c>
      <c r="J323" s="85">
        <f>IF(H323,An,'2025'!An_max)</f>
        <v>2020</v>
      </c>
      <c r="K323" s="197">
        <f t="shared" si="104"/>
        <v>46331</v>
      </c>
      <c r="L323" s="147">
        <f>IF(t&lt;Tvie,1-EXP((T0-t)*PertePVj)+'2025'!Pspv,1-EXP((T0-t)*PertePVj)+Pspv)</f>
        <v>8.8935526226903622E-2</v>
      </c>
      <c r="M323" s="843"/>
      <c r="N323" s="843"/>
      <c r="O323" s="48">
        <f>IF(t&lt;Tnet,'2025'!Resal+('2025'!Salim-'2025'!Resal)*(1-EXP(('2025'!Tnet-t)/('2025'!Tau_j))),Resal+(Salim-Resal)*(1-EXP((Tnet-t)/(Tau_j))))*Salcycl</f>
        <v>0.10724854273036778</v>
      </c>
      <c r="P323" s="169">
        <f>(INDEX(Models!$BJ323:$BT323,,T323)*(1-R323)+INDEX(Models!$BJ323:$BT323,,T323+1)*R323-ERP_i)*Q323*Ramure*Pc/MaxiM</f>
        <v>5.4266333394629822E-2</v>
      </c>
      <c r="Q323" s="305">
        <f t="shared" si="105"/>
        <v>0.8</v>
      </c>
      <c r="R323" s="177">
        <f t="shared" si="106"/>
        <v>0.99817852146266528</v>
      </c>
      <c r="S323" s="809">
        <f t="shared" si="107"/>
        <v>2</v>
      </c>
      <c r="T323" s="176">
        <f t="shared" si="108"/>
        <v>8</v>
      </c>
      <c r="U323" s="251">
        <f t="shared" si="109"/>
        <v>2.9981785214626653</v>
      </c>
      <c r="V323" s="383">
        <f t="shared" si="110"/>
        <v>18.067854556834028</v>
      </c>
      <c r="W323" s="402">
        <f t="shared" si="111"/>
        <v>0</v>
      </c>
      <c r="X323" s="157">
        <f t="shared" si="112"/>
        <v>46331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0.15604617224950854</v>
      </c>
      <c r="AD323" s="231">
        <f>(INDEX(Models!$BJ323:$BT323,,AH323)*(1-AF323)+INDEX(Models!$BJ323:$BT323,,AH323+1)*AF323-ERP_i)*AE323*Ramure*Pc/MaxiM</f>
        <v>8.5268311609828076E-2</v>
      </c>
      <c r="AE323" s="305">
        <f t="shared" si="117"/>
        <v>0.8</v>
      </c>
      <c r="AF323" s="177">
        <f t="shared" si="118"/>
        <v>0.19889526862756934</v>
      </c>
      <c r="AG323" s="809">
        <f t="shared" si="124"/>
        <v>4</v>
      </c>
      <c r="AH323" s="176">
        <f t="shared" si="119"/>
        <v>10</v>
      </c>
      <c r="AI323" s="225">
        <f t="shared" si="120"/>
        <v>4.1988952686275693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IF(t&gt;Tmaj,'2025'!Wh/'2025'!Env_an*'2026'!Env_an,0.001*'[13]mon-tableau (3)'!$B$141)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Wh_hp&gt;='2025'!Maxi_hp</f>
        <v>0</v>
      </c>
      <c r="I324" s="390">
        <f>IF(H324,Wh_hp,'2025'!Maxi_hp)</f>
        <v>19.931335355516538</v>
      </c>
      <c r="J324" s="85">
        <f>IF(H324,An,'2025'!An_max)</f>
        <v>2020</v>
      </c>
      <c r="K324" s="197">
        <f t="shared" si="104"/>
        <v>46332</v>
      </c>
      <c r="L324" s="147">
        <f>IF(t&lt;Tvie,1-EXP((T0-t)*PertePVj)+'2025'!Pspv,1-EXP((T0-t)*PertePVj)+Pspv)</f>
        <v>8.8957219314584696E-2</v>
      </c>
      <c r="M324" s="843"/>
      <c r="N324" s="843"/>
      <c r="O324" s="48">
        <f>IF(t&lt;Tnet,'2025'!Resal+('2025'!Salim-'2025'!Resal)*(1-EXP(('2025'!Tnet-t)/('2025'!Tau_j))),Resal+(Salim-Resal)*(1-EXP((Tnet-t)/(Tau_j))))*Salcycl</f>
        <v>0.10727967351239957</v>
      </c>
      <c r="P324" s="169">
        <f>(INDEX(Models!$BJ324:$BT324,,T324)*(1-R324)+INDEX(Models!$BJ324:$BT324,,T324+1)*R324-ERP_i)*Q324*Ramure*Pc/MaxiM</f>
        <v>5.4694376623998363E-2</v>
      </c>
      <c r="Q324" s="305">
        <f t="shared" si="105"/>
        <v>0.8</v>
      </c>
      <c r="R324" s="177">
        <f t="shared" si="106"/>
        <v>0.99823352630002837</v>
      </c>
      <c r="S324" s="809">
        <f t="shared" si="107"/>
        <v>2</v>
      </c>
      <c r="T324" s="176">
        <f t="shared" si="108"/>
        <v>8</v>
      </c>
      <c r="U324" s="251">
        <f t="shared" si="109"/>
        <v>2.9982335263000284</v>
      </c>
      <c r="V324" s="383">
        <f t="shared" si="110"/>
        <v>17.816010371333054</v>
      </c>
      <c r="W324" s="402">
        <f t="shared" si="111"/>
        <v>0</v>
      </c>
      <c r="X324" s="157">
        <f t="shared" si="112"/>
        <v>46332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0.1559752322037026</v>
      </c>
      <c r="AD324" s="231">
        <f>(INDEX(Models!$BJ324:$BT324,,AH324)*(1-AF324)+INDEX(Models!$BJ324:$BT324,,AH324+1)*AF324-ERP_i)*AE324*Ramure*Pc/MaxiM</f>
        <v>8.531739951251549E-2</v>
      </c>
      <c r="AE324" s="305">
        <f t="shared" si="117"/>
        <v>0.8</v>
      </c>
      <c r="AF324" s="177">
        <f t="shared" si="118"/>
        <v>0.19895027346493244</v>
      </c>
      <c r="AG324" s="809">
        <f t="shared" si="124"/>
        <v>4</v>
      </c>
      <c r="AH324" s="176">
        <f t="shared" si="119"/>
        <v>10</v>
      </c>
      <c r="AI324" s="225">
        <f t="shared" si="120"/>
        <v>4.1989502734649324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IF(t&gt;Tmaj,'2025'!Wh/'2025'!Env_an*'2026'!Env_an,0.001*'[13]mon-tableau (3)'!$B$142)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Wh_hp&gt;='2025'!Maxi_hp</f>
        <v>0</v>
      </c>
      <c r="I325" s="390">
        <f>IF(H325,Wh_hp,'2025'!Maxi_hp)</f>
        <v>13.60303974842923</v>
      </c>
      <c r="J325" s="85">
        <f>IF(H325,An,'2025'!An_max)</f>
        <v>2020</v>
      </c>
      <c r="K325" s="197">
        <f t="shared" si="104"/>
        <v>46333</v>
      </c>
      <c r="L325" s="147">
        <f>IF(t&lt;Tvie,1-EXP((T0-t)*PertePVj)+'2025'!Pspv,1-EXP((T0-t)*PertePVj)+Pspv)</f>
        <v>8.8978911897436036E-2</v>
      </c>
      <c r="M325" s="843"/>
      <c r="N325" s="843"/>
      <c r="O325" s="48">
        <f>IF(t&lt;Tnet,'2025'!Resal+('2025'!Salim-'2025'!Resal)*(1-EXP(('2025'!Tnet-t)/('2025'!Tau_j))),Resal+(Salim-Resal)*(1-EXP((Tnet-t)/(Tau_j))))*Salcycl</f>
        <v>0.10731101871373996</v>
      </c>
      <c r="P325" s="169">
        <f>(INDEX(Models!$BJ325:$BT325,,T325)*(1-R325)+INDEX(Models!$BJ325:$BT325,,T325+1)*R325-ERP_i)*Q325*Ramure*Pc/MaxiM</f>
        <v>5.5105194064836299E-2</v>
      </c>
      <c r="Q325" s="305">
        <f t="shared" si="105"/>
        <v>0.8</v>
      </c>
      <c r="R325" s="177">
        <f t="shared" si="106"/>
        <v>0.99828632597323397</v>
      </c>
      <c r="S325" s="809">
        <f t="shared" si="107"/>
        <v>2</v>
      </c>
      <c r="T325" s="176">
        <f t="shared" si="108"/>
        <v>8</v>
      </c>
      <c r="U325" s="251">
        <f t="shared" si="109"/>
        <v>2.998286325973234</v>
      </c>
      <c r="V325" s="383">
        <f t="shared" si="110"/>
        <v>17.569511383616977</v>
      </c>
      <c r="W325" s="402">
        <f t="shared" si="111"/>
        <v>0</v>
      </c>
      <c r="X325" s="157">
        <f t="shared" si="112"/>
        <v>46333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0.15590492770849787</v>
      </c>
      <c r="AD325" s="231">
        <f>(INDEX(Models!$BJ325:$BT325,,AH325)*(1-AF325)+INDEX(Models!$BJ325:$BT325,,AH325+1)*AF325-ERP_i)*AE325*Ramure*Pc/MaxiM</f>
        <v>8.5294235496237214E-2</v>
      </c>
      <c r="AE325" s="305">
        <f t="shared" si="117"/>
        <v>0.8</v>
      </c>
      <c r="AF325" s="177">
        <f t="shared" si="118"/>
        <v>0.19900307313813759</v>
      </c>
      <c r="AG325" s="809">
        <f t="shared" si="124"/>
        <v>4</v>
      </c>
      <c r="AH325" s="176">
        <f t="shared" si="119"/>
        <v>10</v>
      </c>
      <c r="AI325" s="225">
        <f t="shared" si="120"/>
        <v>4.1990030731381376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IF(t&gt;Tmaj,'2025'!Wh/'2025'!Env_an*'2026'!Env_an,0.001*'[13]mon-tableau (3)'!$B$143)</f>
        <v>0.86387620210458904</v>
      </c>
      <c r="C326" s="839"/>
      <c r="D326" s="393">
        <f t="shared" si="102"/>
        <v>0.94827307885649481</v>
      </c>
      <c r="E326" s="385">
        <f t="shared" si="125"/>
        <v>1.0623036059194053</v>
      </c>
      <c r="F326" s="385">
        <f t="shared" si="103"/>
        <v>1.0623036059194053</v>
      </c>
      <c r="G326" s="110">
        <f t="shared" si="126"/>
        <v>4.7084961261917933E-2</v>
      </c>
      <c r="H326" s="414" t="b">
        <f>Wh_hp&gt;='2025'!Maxi_hp</f>
        <v>0</v>
      </c>
      <c r="I326" s="390">
        <f>IF(H326,Wh_hp,'2025'!Maxi_hp)</f>
        <v>20.0155602932596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8.9000603975469189E-2</v>
      </c>
      <c r="M326" s="843"/>
      <c r="N326" s="843"/>
      <c r="O326" s="48">
        <f>IF(t&lt;Tnet,'2025'!Resal+('2025'!Salim-'2025'!Resal)*(1-EXP(('2025'!Tnet-t)/('2025'!Tau_j))),Resal+(Salim-Resal)*(1-EXP((Tnet-t)/(Tau_j))))*Salcycl</f>
        <v>0.10734269038296174</v>
      </c>
      <c r="P326" s="169">
        <f>(INDEX(Models!$BJ326:$BT326,,T326)*(1-R326)+INDEX(Models!$BJ326:$BT326,,T326+1)*R326-ERP_i)*Q326*Ramure*Pc/MaxiM</f>
        <v>5.5496738776058235E-2</v>
      </c>
      <c r="Q326" s="305">
        <f t="shared" si="105"/>
        <v>0.8</v>
      </c>
      <c r="R326" s="177">
        <f t="shared" si="106"/>
        <v>0.99833700852207308</v>
      </c>
      <c r="S326" s="809">
        <f t="shared" si="107"/>
        <v>2</v>
      </c>
      <c r="T326" s="176">
        <f t="shared" si="108"/>
        <v>8</v>
      </c>
      <c r="U326" s="251">
        <f t="shared" si="109"/>
        <v>2.9983370085220731</v>
      </c>
      <c r="V326" s="383">
        <f t="shared" si="110"/>
        <v>17.328970191623803</v>
      </c>
      <c r="W326" s="402">
        <f t="shared" si="111"/>
        <v>0.86387620210458904</v>
      </c>
      <c r="X326" s="157">
        <f t="shared" si="112"/>
        <v>46334</v>
      </c>
      <c r="Y326" s="385">
        <f t="shared" si="113"/>
        <v>0.81694697857903975</v>
      </c>
      <c r="Z326" s="385">
        <f t="shared" si="114"/>
        <v>0.89675907815535094</v>
      </c>
      <c r="AA326" s="386">
        <f t="shared" si="115"/>
        <v>1.0623036059194053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0.15583541921688043</v>
      </c>
      <c r="AD326" s="231">
        <f>(INDEX(Models!$BJ326:$BT326,,AH326)*(1-AF326)+INDEX(Models!$BJ326:$BT326,,AH326+1)*AF326-ERP_i)*AE326*Ramure*Pc/MaxiM</f>
        <v>8.5195085278422941E-2</v>
      </c>
      <c r="AE326" s="305">
        <f t="shared" si="117"/>
        <v>0.8</v>
      </c>
      <c r="AF326" s="177">
        <f t="shared" si="118"/>
        <v>0.19905375568697714</v>
      </c>
      <c r="AG326" s="809">
        <f t="shared" si="124"/>
        <v>4</v>
      </c>
      <c r="AH326" s="176">
        <f t="shared" si="119"/>
        <v>10</v>
      </c>
      <c r="AI326" s="225">
        <f t="shared" si="120"/>
        <v>4.1990537556869771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IF(t&gt;Tmaj,'2025'!Wh/'2025'!Env_an*'2026'!Env_an,0.001*'[13]mon-tableau (3)'!$B$144)</f>
        <v>6.8610235407224209</v>
      </c>
      <c r="C327" s="839"/>
      <c r="D327" s="393">
        <f t="shared" si="102"/>
        <v>7.5314944670955715</v>
      </c>
      <c r="E327" s="385">
        <f t="shared" si="125"/>
        <v>8.4374656475640624</v>
      </c>
      <c r="F327" s="385">
        <f t="shared" si="103"/>
        <v>8.5062682858863834</v>
      </c>
      <c r="G327" s="110">
        <f t="shared" si="126"/>
        <v>0.38201475139659002</v>
      </c>
      <c r="H327" s="414" t="b">
        <f>Wh_hp&gt;='2025'!Maxi_hp</f>
        <v>0</v>
      </c>
      <c r="I327" s="390">
        <f>IF(H327,Wh_hp,'2025'!Maxi_hp)</f>
        <v>17.157196529957051</v>
      </c>
      <c r="J327" s="85">
        <f>IF(H327,An,'2025'!An_max)</f>
        <v>2021</v>
      </c>
      <c r="K327" s="197">
        <f t="shared" si="104"/>
        <v>46335</v>
      </c>
      <c r="L327" s="147">
        <f>IF(t&lt;Tvie,1-EXP((T0-t)*PertePVj)+'2025'!Pspv,1-EXP((T0-t)*PertePVj)+Pspv)</f>
        <v>8.9022295548696034E-2</v>
      </c>
      <c r="M327" s="843"/>
      <c r="N327" s="843"/>
      <c r="O327" s="48">
        <f>IF(t&lt;Tnet,'2025'!Resal+('2025'!Salim-'2025'!Resal)*(1-EXP(('2025'!Tnet-t)/('2025'!Tau_j))),Resal+(Salim-Resal)*(1-EXP((Tnet-t)/(Tau_j))))*Salcycl</f>
        <v>0.1073747992953369</v>
      </c>
      <c r="P327" s="169">
        <f>(INDEX(Models!$BJ327:$BT327,,T327)*(1-R327)+INDEX(Models!$BJ327:$BT327,,T327+1)*R327-ERP_i)*Q327*Ramure*Pc/MaxiM</f>
        <v>5.5866822614373771E-2</v>
      </c>
      <c r="Q327" s="305">
        <f t="shared" si="105"/>
        <v>0.8</v>
      </c>
      <c r="R327" s="177">
        <f t="shared" si="106"/>
        <v>0.99838565850023642</v>
      </c>
      <c r="S327" s="809">
        <f t="shared" si="107"/>
        <v>2</v>
      </c>
      <c r="T327" s="176">
        <f t="shared" si="108"/>
        <v>8</v>
      </c>
      <c r="U327" s="251">
        <f t="shared" si="109"/>
        <v>2.9983856585002364</v>
      </c>
      <c r="V327" s="383">
        <f t="shared" si="110"/>
        <v>17.094999553479649</v>
      </c>
      <c r="W327" s="402">
        <f t="shared" si="111"/>
        <v>6.8610235407224209</v>
      </c>
      <c r="X327" s="157">
        <f t="shared" si="112"/>
        <v>46335</v>
      </c>
      <c r="Y327" s="385">
        <f t="shared" si="113"/>
        <v>6.4614566201558246</v>
      </c>
      <c r="Z327" s="385">
        <f t="shared" si="114"/>
        <v>7.092881185327867</v>
      </c>
      <c r="AA327" s="386">
        <f t="shared" si="115"/>
        <v>8.4015669252551977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0.15576686486819594</v>
      </c>
      <c r="AD327" s="231">
        <f>(INDEX(Models!$BJ327:$BT327,,AH327)*(1-AF327)+INDEX(Models!$BJ327:$BT327,,AH327+1)*AF327-ERP_i)*AE327*Ramure*Pc/MaxiM</f>
        <v>8.5016105261305805E-2</v>
      </c>
      <c r="AE327" s="305">
        <f t="shared" si="117"/>
        <v>0.8</v>
      </c>
      <c r="AF327" s="177">
        <f t="shared" si="118"/>
        <v>0.19910240566514048</v>
      </c>
      <c r="AG327" s="809">
        <f t="shared" si="124"/>
        <v>4</v>
      </c>
      <c r="AH327" s="176">
        <f t="shared" si="119"/>
        <v>10</v>
      </c>
      <c r="AI327" s="225">
        <f t="shared" si="120"/>
        <v>4.1991024056651405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IF(t&gt;Tmaj,'2025'!Wh/'2025'!Env_an*'2026'!Env_an,0.001*'[13]mon-tableau (3)'!$B$145)</f>
        <v>15.35024716960972</v>
      </c>
      <c r="C328" s="839"/>
      <c r="D328" s="393">
        <f t="shared" si="102"/>
        <v>16.850700740868884</v>
      </c>
      <c r="E328" s="385">
        <f t="shared" si="125"/>
        <v>18.878379418118133</v>
      </c>
      <c r="F328" s="385">
        <f t="shared" si="103"/>
        <v>19.850801569349397</v>
      </c>
      <c r="G328" s="110">
        <f t="shared" si="126"/>
        <v>0.90309530756639478</v>
      </c>
      <c r="H328" s="414" t="b">
        <f>Wh_hp&gt;='2025'!Maxi_hp</f>
        <v>0</v>
      </c>
      <c r="I328" s="390">
        <f>IF(H328,Wh_hp,'2025'!Maxi_hp)</f>
        <v>19.985849148012122</v>
      </c>
      <c r="J328" s="85">
        <f>IF(H328,An,'2025'!An_max)</f>
        <v>2022</v>
      </c>
      <c r="K328" s="197">
        <f t="shared" si="104"/>
        <v>46336</v>
      </c>
      <c r="L328" s="147">
        <f>IF(t&lt;Tvie,1-EXP((T0-t)*PertePVj)+'2025'!Pspv,1-EXP((T0-t)*PertePVj)+Pspv)</f>
        <v>8.904398661712834E-2</v>
      </c>
      <c r="M328" s="843"/>
      <c r="N328" s="843"/>
      <c r="O328" s="48">
        <f>IF(t&lt;Tnet,'2025'!Resal+('2025'!Salim-'2025'!Resal)*(1-EXP(('2025'!Tnet-t)/('2025'!Tau_j))),Resal+(Salim-Resal)*(1-EXP((Tnet-t)/(Tau_j))))*Salcycl</f>
        <v>0.1074074544398247</v>
      </c>
      <c r="P328" s="169">
        <f>(INDEX(Models!$BJ328:$BT328,,T328)*(1-R328)+INDEX(Models!$BJ328:$BT328,,T328+1)*R328-ERP_i)*Q328*Ramure*Pc/MaxiM</f>
        <v>5.6213116446121737E-2</v>
      </c>
      <c r="Q328" s="305">
        <f t="shared" si="105"/>
        <v>0.8</v>
      </c>
      <c r="R328" s="177">
        <f t="shared" si="106"/>
        <v>0.99843235711107869</v>
      </c>
      <c r="S328" s="809">
        <f t="shared" si="107"/>
        <v>2</v>
      </c>
      <c r="T328" s="176">
        <f t="shared" si="108"/>
        <v>8</v>
      </c>
      <c r="U328" s="251">
        <f t="shared" si="109"/>
        <v>2.9984323571110787</v>
      </c>
      <c r="V328" s="383">
        <f t="shared" si="110"/>
        <v>16.868212456776153</v>
      </c>
      <c r="W328" s="402">
        <f t="shared" si="111"/>
        <v>15.35024716960972</v>
      </c>
      <c r="X328" s="157">
        <f t="shared" si="112"/>
        <v>46336</v>
      </c>
      <c r="Y328" s="385">
        <f t="shared" si="113"/>
        <v>14.140027011700584</v>
      </c>
      <c r="Z328" s="385">
        <f t="shared" si="114"/>
        <v>15.522184171320223</v>
      </c>
      <c r="AA328" s="386">
        <f t="shared" si="115"/>
        <v>18.384665999897475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0.15569941975520332</v>
      </c>
      <c r="AD328" s="231">
        <f>(INDEX(Models!$BJ328:$BT328,,AH328)*(1-AF328)+INDEX(Models!$BJ328:$BT328,,AH328+1)*AF328-ERP_i)*AE328*Ramure*Pc/MaxiM</f>
        <v>8.4753364973276402E-2</v>
      </c>
      <c r="AE328" s="305">
        <f t="shared" si="117"/>
        <v>0.8</v>
      </c>
      <c r="AF328" s="177">
        <f t="shared" si="118"/>
        <v>0.19914910427598187</v>
      </c>
      <c r="AG328" s="809">
        <f t="shared" si="124"/>
        <v>4</v>
      </c>
      <c r="AH328" s="176">
        <f t="shared" si="119"/>
        <v>10</v>
      </c>
      <c r="AI328" s="225">
        <f t="shared" si="120"/>
        <v>4.1991491042759819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IF(t&gt;Tmaj,'2025'!Wh/'2025'!Env_an*'2026'!Env_an,0.001*'[13]mon-tableau (3)'!$B$146)</f>
        <v>16.614046350774458</v>
      </c>
      <c r="C329" s="839"/>
      <c r="D329" s="393">
        <f t="shared" si="102"/>
        <v>18.238467839652987</v>
      </c>
      <c r="E329" s="385">
        <f t="shared" si="125"/>
        <v>20.433901833803521</v>
      </c>
      <c r="F329" s="385">
        <f t="shared" si="103"/>
        <v>21.654398349295434</v>
      </c>
      <c r="G329" s="110">
        <f t="shared" si="126"/>
        <v>0.99770679755343117</v>
      </c>
      <c r="H329" s="414" t="b">
        <f>Wh_hp&gt;='2025'!Maxi_hp</f>
        <v>0</v>
      </c>
      <c r="I329" s="390">
        <f>IF(H329,Wh_hp,'2025'!Maxi_hp)</f>
        <v>21.657878919803085</v>
      </c>
      <c r="J329" s="85">
        <f>IF(H329,An,'2025'!An_max)</f>
        <v>2022</v>
      </c>
      <c r="K329" s="197">
        <f t="shared" si="104"/>
        <v>46337</v>
      </c>
      <c r="L329" s="147">
        <f>IF(t&lt;Tvie,1-EXP((T0-t)*PertePVj)+'2025'!Pspv,1-EXP((T0-t)*PertePVj)+Pspv)</f>
        <v>8.9065677180777764E-2</v>
      </c>
      <c r="M329" s="843"/>
      <c r="N329" s="843"/>
      <c r="O329" s="48">
        <f>IF(t&lt;Tnet,'2025'!Resal+('2025'!Salim-'2025'!Resal)*(1-EXP(('2025'!Tnet-t)/('2025'!Tau_j))),Resal+(Salim-Resal)*(1-EXP((Tnet-t)/(Tau_j))))*Salcycl</f>
        <v>0.10744076251353323</v>
      </c>
      <c r="P329" s="169">
        <f>(INDEX(Models!$BJ329:$BT329,,T329)*(1-R329)+INDEX(Models!$BJ329:$BT329,,T329+1)*R329-ERP_i)*Q329*Ramure*Pc/MaxiM</f>
        <v>5.6533152756300803E-2</v>
      </c>
      <c r="Q329" s="305">
        <f t="shared" si="105"/>
        <v>0.8</v>
      </c>
      <c r="R329" s="177">
        <f t="shared" si="106"/>
        <v>0.99847718233827543</v>
      </c>
      <c r="S329" s="809">
        <f t="shared" si="107"/>
        <v>2</v>
      </c>
      <c r="T329" s="176">
        <f t="shared" si="108"/>
        <v>8</v>
      </c>
      <c r="U329" s="251">
        <f t="shared" si="109"/>
        <v>2.9984771823382754</v>
      </c>
      <c r="V329" s="383">
        <f t="shared" si="110"/>
        <v>16.649222206655441</v>
      </c>
      <c r="W329" s="402">
        <f t="shared" si="111"/>
        <v>16.614046350774458</v>
      </c>
      <c r="X329" s="157">
        <f t="shared" si="112"/>
        <v>46337</v>
      </c>
      <c r="Y329" s="385">
        <f t="shared" si="113"/>
        <v>15.254204211934484</v>
      </c>
      <c r="Z329" s="385">
        <f t="shared" si="114"/>
        <v>16.745668518367737</v>
      </c>
      <c r="AA329" s="386">
        <f t="shared" si="115"/>
        <v>19.832221277013286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0.15563323520512784</v>
      </c>
      <c r="AD329" s="231">
        <f>(INDEX(Models!$BJ329:$BT329,,AH329)*(1-AF329)+INDEX(Models!$BJ329:$BT329,,AH329+1)*AF329-ERP_i)*AE329*Ramure*Pc/MaxiM</f>
        <v>8.4402874951950785E-2</v>
      </c>
      <c r="AE329" s="305">
        <f t="shared" si="117"/>
        <v>0.8</v>
      </c>
      <c r="AF329" s="177">
        <f t="shared" si="118"/>
        <v>0.1991939295031786</v>
      </c>
      <c r="AG329" s="809">
        <f t="shared" si="124"/>
        <v>4</v>
      </c>
      <c r="AH329" s="176">
        <f t="shared" si="119"/>
        <v>10</v>
      </c>
      <c r="AI329" s="225">
        <f t="shared" si="120"/>
        <v>4.1991939295031786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IF(t&gt;Tmaj,'2025'!Wh/'2025'!Env_an*'2026'!Env_an,0.001*'[13]mon-tableau (3)'!$B$147)</f>
        <v>16.802540213266692</v>
      </c>
      <c r="C330" s="839"/>
      <c r="D330" s="393">
        <f t="shared" si="102"/>
        <v>18.445830707550794</v>
      </c>
      <c r="E330" s="385">
        <f t="shared" si="125"/>
        <v>20.667014527309821</v>
      </c>
      <c r="F330" s="385">
        <f t="shared" si="103"/>
        <v>21.912158265711366</v>
      </c>
      <c r="G330" s="110">
        <f t="shared" si="126"/>
        <v>1.0221367254498741</v>
      </c>
      <c r="H330" s="414" t="b">
        <f>Wh_hp&gt;='2025'!Maxi_hp</f>
        <v>1</v>
      </c>
      <c r="I330" s="390">
        <f>IF(H330,Wh_hp,'2025'!Maxi_hp)</f>
        <v>21.912158265711366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8.9087367239656073E-2</v>
      </c>
      <c r="M330" s="843"/>
      <c r="N330" s="843"/>
      <c r="O330" s="48">
        <f>IF(t&lt;Tnet,'2025'!Resal+('2025'!Salim-'2025'!Resal)*(1-EXP(('2025'!Tnet-t)/('2025'!Tau_j))),Resal+(Salim-Resal)*(1-EXP((Tnet-t)/(Tau_j))))*Salcycl</f>
        <v>0.1074748274272469</v>
      </c>
      <c r="P330" s="169">
        <f>(INDEX(Models!$BJ330:$BT330,,T330)*(1-R330)+INDEX(Models!$BJ330:$BT330,,T330+1)*R330-ERP_i)*Q330*Ramure*Pc/MaxiM</f>
        <v>5.6824331191052659E-2</v>
      </c>
      <c r="Q330" s="305">
        <f t="shared" si="105"/>
        <v>0.8</v>
      </c>
      <c r="R330" s="177">
        <f t="shared" si="106"/>
        <v>0.99852020907155126</v>
      </c>
      <c r="S330" s="809">
        <f t="shared" si="107"/>
        <v>2</v>
      </c>
      <c r="T330" s="176">
        <f t="shared" si="108"/>
        <v>8</v>
      </c>
      <c r="U330" s="251">
        <f t="shared" si="109"/>
        <v>2.9985202090715513</v>
      </c>
      <c r="V330" s="383">
        <f t="shared" si="110"/>
        <v>16.438642497530232</v>
      </c>
      <c r="W330" s="402">
        <f t="shared" si="111"/>
        <v>16.802540213266692</v>
      </c>
      <c r="X330" s="157">
        <f t="shared" si="112"/>
        <v>46338</v>
      </c>
      <c r="Y330" s="385">
        <f t="shared" si="113"/>
        <v>15.439757393310275</v>
      </c>
      <c r="Z330" s="385">
        <f t="shared" si="114"/>
        <v>16.949767560609065</v>
      </c>
      <c r="AA330" s="386">
        <f t="shared" si="115"/>
        <v>20.072399856199688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0.15556845807982181</v>
      </c>
      <c r="AD330" s="231">
        <f>(INDEX(Models!$BJ330:$BT330,,AH330)*(1-AF330)+INDEX(Models!$BJ330:$BT330,,AH330+1)*AF330-ERP_i)*AE330*Ramure*Pc/MaxiM</f>
        <v>8.3960620729477548E-2</v>
      </c>
      <c r="AE330" s="305">
        <f t="shared" si="117"/>
        <v>0.8</v>
      </c>
      <c r="AF330" s="177">
        <f t="shared" si="118"/>
        <v>0.19923695623645443</v>
      </c>
      <c r="AG330" s="809">
        <f t="shared" si="124"/>
        <v>4</v>
      </c>
      <c r="AH330" s="176">
        <f t="shared" si="119"/>
        <v>10</v>
      </c>
      <c r="AI330" s="225">
        <f t="shared" si="120"/>
        <v>4.1992369562364544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IF(t&gt;Tmaj,'2025'!Wh/'2025'!Env_an*'2026'!Env_an,0.001*'[13]mon-tableau (3)'!$B$148)</f>
        <v>16.192246675242256</v>
      </c>
      <c r="C331" s="839"/>
      <c r="D331" s="393">
        <f t="shared" si="102"/>
        <v>17.77627365384436</v>
      </c>
      <c r="E331" s="385">
        <f t="shared" si="125"/>
        <v>19.917611033139803</v>
      </c>
      <c r="F331" s="385">
        <f t="shared" si="103"/>
        <v>21.118705347187465</v>
      </c>
      <c r="G331" s="110">
        <f t="shared" si="126"/>
        <v>0.99711868809117399</v>
      </c>
      <c r="H331" s="414" t="b">
        <f>Wh_hp&gt;='2025'!Maxi_hp</f>
        <v>0</v>
      </c>
      <c r="I331" s="390">
        <f>IF(H331,Wh_hp,'2025'!Maxi_hp)</f>
        <v>21.123000933531273</v>
      </c>
      <c r="J331" s="85">
        <f>IF(H331,An,'2025'!An_max)</f>
        <v>2022</v>
      </c>
      <c r="K331" s="197">
        <f t="shared" si="104"/>
        <v>46339</v>
      </c>
      <c r="L331" s="147">
        <f>IF(t&lt;Tvie,1-EXP((T0-t)*PertePVj)+'2025'!Pspv,1-EXP((T0-t)*PertePVj)+Pspv)</f>
        <v>8.9109056793775038E-2</v>
      </c>
      <c r="M331" s="843"/>
      <c r="N331" s="843"/>
      <c r="O331" s="48">
        <f>IF(t&lt;Tnet,'2025'!Resal+('2025'!Salim-'2025'!Resal)*(1-EXP(('2025'!Tnet-t)/('2025'!Tau_j))),Resal+(Salim-Resal)*(1-EXP((Tnet-t)/(Tau_j))))*Salcycl</f>
        <v>0.10750974982554844</v>
      </c>
      <c r="P331" s="169">
        <f>(INDEX(Models!$BJ331:$BT331,,T331)*(1-R331)+INDEX(Models!$BJ331:$BT331,,T331+1)*R331-ERP_i)*Q331*Ramure*Pc/MaxiM</f>
        <v>5.7089815293414704E-2</v>
      </c>
      <c r="Q331" s="305">
        <f t="shared" si="105"/>
        <v>0.8</v>
      </c>
      <c r="R331" s="177">
        <f t="shared" si="106"/>
        <v>0.99856150922765208</v>
      </c>
      <c r="S331" s="809">
        <f t="shared" si="107"/>
        <v>2</v>
      </c>
      <c r="T331" s="176">
        <f t="shared" si="108"/>
        <v>8</v>
      </c>
      <c r="U331" s="251">
        <f t="shared" si="109"/>
        <v>2.9985615092276521</v>
      </c>
      <c r="V331" s="383">
        <f t="shared" si="110"/>
        <v>16.235311517009901</v>
      </c>
      <c r="W331" s="402">
        <f t="shared" si="111"/>
        <v>16.192246675242256</v>
      </c>
      <c r="X331" s="157">
        <f t="shared" si="112"/>
        <v>46339</v>
      </c>
      <c r="Y331" s="385">
        <f t="shared" si="113"/>
        <v>14.895170520950813</v>
      </c>
      <c r="Z331" s="385">
        <f t="shared" si="114"/>
        <v>16.352309386809392</v>
      </c>
      <c r="AA331" s="386">
        <f t="shared" si="115"/>
        <v>19.363422924153877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0.15550523010001657</v>
      </c>
      <c r="AD331" s="231">
        <f>(INDEX(Models!$BJ331:$BT331,,AH331)*(1-AF331)+INDEX(Models!$BJ331:$BT331,,AH331+1)*AF331-ERP_i)*AE331*Ramure*Pc/MaxiM</f>
        <v>8.3431207813367964E-2</v>
      </c>
      <c r="AE331" s="305">
        <f t="shared" si="117"/>
        <v>0.8</v>
      </c>
      <c r="AF331" s="177">
        <f t="shared" si="118"/>
        <v>0.1992782563925557</v>
      </c>
      <c r="AG331" s="809">
        <f t="shared" si="124"/>
        <v>4</v>
      </c>
      <c r="AH331" s="176">
        <f t="shared" si="119"/>
        <v>10</v>
      </c>
      <c r="AI331" s="225">
        <f t="shared" si="120"/>
        <v>4.1992782563925557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IF(t&gt;Tmaj,'2025'!Wh/'2025'!Env_an*'2026'!Env_an,0.001*'[13]mon-tableau (3)'!$B$149)</f>
        <v>6.6964306003628238</v>
      </c>
      <c r="C332" s="839"/>
      <c r="D332" s="393">
        <f t="shared" si="102"/>
        <v>7.3516924298442543</v>
      </c>
      <c r="E332" s="385">
        <f t="shared" si="125"/>
        <v>8.2376115229757136</v>
      </c>
      <c r="F332" s="385">
        <f t="shared" si="103"/>
        <v>8.3176503707127161</v>
      </c>
      <c r="G332" s="110">
        <f t="shared" si="126"/>
        <v>0.39742773567789397</v>
      </c>
      <c r="H332" s="414" t="b">
        <f>Wh_hp&gt;='2025'!Maxi_hp</f>
        <v>0</v>
      </c>
      <c r="I332" s="390">
        <f>IF(H332,Wh_hp,'2025'!Maxi_hp)</f>
        <v>16.142697199455277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8.9130745843146314E-2</v>
      </c>
      <c r="M332" s="843"/>
      <c r="N332" s="843"/>
      <c r="O332" s="48">
        <f>IF(t&lt;Tnet,'2025'!Resal+('2025'!Salim-'2025'!Resal)*(1-EXP(('2025'!Tnet-t)/('2025'!Tau_j))),Resal+(Salim-Resal)*(1-EXP((Tnet-t)/(Tau_j))))*Salcycl</f>
        <v>0.10754562662496549</v>
      </c>
      <c r="P332" s="169">
        <f>(INDEX(Models!$BJ332:$BT332,,T332)*(1-R332)+INDEX(Models!$BJ332:$BT332,,T332+1)*R332-ERP_i)*Q332*Ramure*Pc/MaxiM</f>
        <v>5.7311207822038024E-2</v>
      </c>
      <c r="Q332" s="305">
        <f t="shared" si="105"/>
        <v>0.8</v>
      </c>
      <c r="R332" s="177">
        <f t="shared" si="106"/>
        <v>0.99860115186672616</v>
      </c>
      <c r="S332" s="809">
        <f t="shared" si="107"/>
        <v>2</v>
      </c>
      <c r="T332" s="176">
        <f t="shared" si="108"/>
        <v>8</v>
      </c>
      <c r="U332" s="251">
        <f t="shared" si="109"/>
        <v>2.9986011518667262</v>
      </c>
      <c r="V332" s="383">
        <f t="shared" si="110"/>
        <v>16.038099275036949</v>
      </c>
      <c r="W332" s="402">
        <f t="shared" si="111"/>
        <v>6.6964306003628238</v>
      </c>
      <c r="X332" s="157">
        <f t="shared" si="112"/>
        <v>46340</v>
      </c>
      <c r="Y332" s="385">
        <f t="shared" si="113"/>
        <v>6.3096303780524048</v>
      </c>
      <c r="Z332" s="385">
        <f t="shared" si="114"/>
        <v>6.9270428760853449</v>
      </c>
      <c r="AA332" s="386">
        <f t="shared" si="115"/>
        <v>8.2019905257795465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0.15544368719848353</v>
      </c>
      <c r="AD332" s="231">
        <f>(INDEX(Models!$BJ332:$BT332,,AH332)*(1-AF332)+INDEX(Models!$BJ332:$BT332,,AH332+1)*AF332-ERP_i)*AE332*Ramure*Pc/MaxiM</f>
        <v>8.2817351786601129E-2</v>
      </c>
      <c r="AE332" s="305">
        <f t="shared" si="117"/>
        <v>0.8</v>
      </c>
      <c r="AF332" s="177">
        <f t="shared" si="118"/>
        <v>0.19931789903162933</v>
      </c>
      <c r="AG332" s="809">
        <f t="shared" si="124"/>
        <v>4</v>
      </c>
      <c r="AH332" s="176">
        <f t="shared" si="119"/>
        <v>10</v>
      </c>
      <c r="AI332" s="225">
        <f t="shared" si="120"/>
        <v>4.1993178990316293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IF(t&gt;Tmaj,'2025'!Wh/'2025'!Env_an*'2026'!Env_an,0.001*'[13]mon-tableau (3)'!$B$150)</f>
        <v>9.1416485041625251</v>
      </c>
      <c r="C333" s="839"/>
      <c r="D333" s="393">
        <f t="shared" si="102"/>
        <v>10.036419758138175</v>
      </c>
      <c r="E333" s="385">
        <f t="shared" si="125"/>
        <v>11.246328458265076</v>
      </c>
      <c r="F333" s="385">
        <f t="shared" si="103"/>
        <v>11.508002873955645</v>
      </c>
      <c r="G333" s="110">
        <f t="shared" si="126"/>
        <v>0.55635465198613521</v>
      </c>
      <c r="H333" s="414" t="b">
        <f>Wh_hp&gt;='2025'!Maxi_hp</f>
        <v>0</v>
      </c>
      <c r="I333" s="390">
        <f>IF(H333,Wh_hp,'2025'!Maxi_hp)</f>
        <v>20.45344773267831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8.9152434387781782E-2</v>
      </c>
      <c r="M333" s="843"/>
      <c r="N333" s="843"/>
      <c r="O333" s="48">
        <f>IF(t&lt;Tnet,'2025'!Resal+('2025'!Salim-'2025'!Resal)*(1-EXP(('2025'!Tnet-t)/('2025'!Tau_j))),Resal+(Salim-Resal)*(1-EXP((Tnet-t)/(Tau_j))))*Salcycl</f>
        <v>0.10758255057344716</v>
      </c>
      <c r="P333" s="169">
        <f>(INDEX(Models!$BJ333:$BT333,,T333)*(1-R333)+INDEX(Models!$BJ333:$BT333,,T333+1)*R333-ERP_i)*Q333*Ramure*Pc/MaxiM</f>
        <v>5.748929997202111E-2</v>
      </c>
      <c r="Q333" s="305">
        <f t="shared" si="105"/>
        <v>0.8</v>
      </c>
      <c r="R333" s="177">
        <f t="shared" si="106"/>
        <v>0.99863920330427991</v>
      </c>
      <c r="S333" s="809">
        <f t="shared" si="107"/>
        <v>2</v>
      </c>
      <c r="T333" s="176">
        <f t="shared" si="108"/>
        <v>8</v>
      </c>
      <c r="U333" s="251">
        <f t="shared" si="109"/>
        <v>2.9986392033042799</v>
      </c>
      <c r="V333" s="383">
        <f t="shared" si="110"/>
        <v>15.847044687655787</v>
      </c>
      <c r="W333" s="402">
        <f t="shared" si="111"/>
        <v>9.1416485041625251</v>
      </c>
      <c r="X333" s="157">
        <f t="shared" si="112"/>
        <v>46341</v>
      </c>
      <c r="Y333" s="385">
        <f t="shared" si="113"/>
        <v>8.5656398080488341</v>
      </c>
      <c r="Z333" s="385">
        <f t="shared" si="114"/>
        <v>9.4040321689738651</v>
      </c>
      <c r="AA333" s="386">
        <f t="shared" si="115"/>
        <v>11.134091363930377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0.15538395890670995</v>
      </c>
      <c r="AD333" s="231">
        <f>(INDEX(Models!$BJ333:$BT333,,AH333)*(1-AF333)+INDEX(Models!$BJ333:$BT333,,AH333+1)*AF333-ERP_i)*AE333*Ramure*Pc/MaxiM</f>
        <v>8.2147545475951364E-2</v>
      </c>
      <c r="AE333" s="305">
        <f t="shared" si="117"/>
        <v>0.8</v>
      </c>
      <c r="AF333" s="177">
        <f t="shared" si="118"/>
        <v>0.19935595046918397</v>
      </c>
      <c r="AG333" s="809">
        <f t="shared" si="124"/>
        <v>4</v>
      </c>
      <c r="AH333" s="176">
        <f t="shared" si="119"/>
        <v>10</v>
      </c>
      <c r="AI333" s="225">
        <f t="shared" si="120"/>
        <v>4.199355950469184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IF(t&gt;Tmaj,'2025'!Wh/'2025'!Env_an*'2026'!Env_an,0.001*'[13]mon-tableau (3)'!$B$151)</f>
        <v>16.378173234708726</v>
      </c>
      <c r="C334" s="839"/>
      <c r="D334" s="393">
        <f t="shared" si="102"/>
        <v>17.981673158389736</v>
      </c>
      <c r="E334" s="385">
        <f t="shared" si="125"/>
        <v>20.150255997117185</v>
      </c>
      <c r="F334" s="385">
        <f t="shared" si="103"/>
        <v>21.38237855654209</v>
      </c>
      <c r="G334" s="110">
        <f t="shared" si="126"/>
        <v>1.0457124086047511</v>
      </c>
      <c r="H334" s="414" t="b">
        <f>Wh_hp&gt;='2025'!Maxi_hp</f>
        <v>1</v>
      </c>
      <c r="I334" s="390">
        <f>IF(H334,Wh_hp,'2025'!Maxi_hp)</f>
        <v>21.38237855654209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8.9174122427693098E-2</v>
      </c>
      <c r="M334" s="843"/>
      <c r="N334" s="843"/>
      <c r="O334" s="48">
        <f>IF(t&lt;Tnet,'2025'!Resal+('2025'!Salim-'2025'!Resal)*(1-EXP(('2025'!Tnet-t)/('2025'!Tau_j))),Resal+(Salim-Resal)*(1-EXP((Tnet-t)/(Tau_j))))*Salcycl</f>
        <v>0.10762060983432165</v>
      </c>
      <c r="P334" s="169">
        <f>(INDEX(Models!$BJ334:$BT334,,T334)*(1-R334)+INDEX(Models!$BJ334:$BT334,,T334+1)*R334-ERP_i)*Q334*Ramure*Pc/MaxiM</f>
        <v>5.7623269374207566E-2</v>
      </c>
      <c r="Q334" s="305">
        <f t="shared" si="105"/>
        <v>0.8</v>
      </c>
      <c r="R334" s="177">
        <f t="shared" si="106"/>
        <v>0.99867572721886777</v>
      </c>
      <c r="S334" s="809">
        <f t="shared" si="107"/>
        <v>2</v>
      </c>
      <c r="T334" s="176">
        <f t="shared" si="108"/>
        <v>8</v>
      </c>
      <c r="U334" s="251">
        <f t="shared" si="109"/>
        <v>2.9986757272188678</v>
      </c>
      <c r="V334" s="383">
        <f t="shared" si="110"/>
        <v>15.662215633991964</v>
      </c>
      <c r="W334" s="402">
        <f t="shared" si="111"/>
        <v>16.378173234708726</v>
      </c>
      <c r="X334" s="157">
        <f t="shared" si="112"/>
        <v>46342</v>
      </c>
      <c r="Y334" s="385">
        <f t="shared" si="113"/>
        <v>15.111127673993277</v>
      </c>
      <c r="Z334" s="385">
        <f t="shared" si="114"/>
        <v>16.590577898675988</v>
      </c>
      <c r="AA334" s="386">
        <f t="shared" si="115"/>
        <v>19.641401527807815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0.15532616777945032</v>
      </c>
      <c r="AD334" s="231">
        <f>(INDEX(Models!$BJ334:$BT334,,AH334)*(1-AF334)+INDEX(Models!$BJ334:$BT334,,AH334+1)*AF334-ERP_i)*AE334*Ramure*Pc/MaxiM</f>
        <v>8.1421111506867844E-2</v>
      </c>
      <c r="AE334" s="305">
        <f t="shared" si="117"/>
        <v>0.8</v>
      </c>
      <c r="AF334" s="177">
        <f t="shared" si="118"/>
        <v>0.19939247438377095</v>
      </c>
      <c r="AG334" s="809">
        <f t="shared" si="124"/>
        <v>4</v>
      </c>
      <c r="AH334" s="176">
        <f t="shared" si="119"/>
        <v>10</v>
      </c>
      <c r="AI334" s="225">
        <f t="shared" si="120"/>
        <v>4.1993924743837709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IF(t&gt;Tmaj,'2025'!Wh/'2025'!Env_an*'2026'!Env_an,0.001*'[13]mon-tableau (3)'!$B$152)</f>
        <v>9.584258562714183</v>
      </c>
      <c r="C335" s="839"/>
      <c r="D335" s="393">
        <f t="shared" ref="D335:D379" si="127">Wh/(1-Ppv)</f>
        <v>10.52285295517108</v>
      </c>
      <c r="E335" s="385">
        <f t="shared" si="125"/>
        <v>11.792423997215773</v>
      </c>
      <c r="F335" s="385">
        <f t="shared" ref="F335:F379" si="128">Wh_sa/(1-Pvg*MEDIAN((-Sdif+Wh/Env_an)/Csdif,0,1))</f>
        <v>12.110936337983919</v>
      </c>
      <c r="G335" s="110">
        <f t="shared" si="126"/>
        <v>0.59902158138397632</v>
      </c>
      <c r="H335" s="414" t="b">
        <f>Wh_hp&gt;='2025'!Maxi_hp</f>
        <v>0</v>
      </c>
      <c r="I335" s="390">
        <f>IF(H335,Wh_hp,'2025'!Maxi_hp)</f>
        <v>19.633088626435899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8.9195809962892142E-2</v>
      </c>
      <c r="M335" s="843"/>
      <c r="N335" s="843"/>
      <c r="O335" s="48">
        <f>IF(t&lt;Tnet,'2025'!Resal+('2025'!Salim-'2025'!Resal)*(1-EXP(('2025'!Tnet-t)/('2025'!Tau_j))),Resal+(Salim-Resal)*(1-EXP((Tnet-t)/(Tau_j))))*Salcycl</f>
        <v>0.10765988759770186</v>
      </c>
      <c r="P335" s="169">
        <f>(INDEX(Models!$BJ335:$BT335,,T335)*(1-R335)+INDEX(Models!$BJ335:$BT335,,T335+1)*R335-ERP_i)*Q335*Ramure*Pc/MaxiM</f>
        <v>5.7712277911977104E-2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0.99871078475566044</v>
      </c>
      <c r="S335" s="809">
        <f t="shared" ref="S335:S379" si="132">INDEX(Echel_vg,T335)</f>
        <v>2</v>
      </c>
      <c r="T335" s="176">
        <f t="shared" ref="T335:T379" si="133">MIN(MATCH(Hp_vg,Echel_vg),10)</f>
        <v>8</v>
      </c>
      <c r="U335" s="251">
        <f t="shared" ref="U335:U379" si="134">IF(OR(t&lt;Ttai,Notai),Hdd+PousH*Croivg,Hdtf+PousH*(Croivg-Croi_tai))</f>
        <v>2.9987107847556604</v>
      </c>
      <c r="V335" s="383">
        <f t="shared" ref="V335:V379" si="135">MaxiM*(1-Ppv)*(1-Pvg)*(1-Psa)</f>
        <v>15.483681166379212</v>
      </c>
      <c r="W335" s="402">
        <f t="shared" ref="W335:W379" si="136">Wh*(A335&gt;Tmaj)</f>
        <v>9.584258562714183</v>
      </c>
      <c r="X335" s="157">
        <f t="shared" ref="X335:X379" si="137">t</f>
        <v>46343</v>
      </c>
      <c r="Y335" s="385">
        <f t="shared" ref="Y335:Y379" si="138">Wh_pvt_s*(1-Ppv)</f>
        <v>8.9755487387405939</v>
      </c>
      <c r="Z335" s="385">
        <f t="shared" ref="Z335:Z379" si="139">Wh_sa_s*(1-Psa_s)</f>
        <v>9.8545316731304382</v>
      </c>
      <c r="AA335" s="386">
        <f t="shared" ref="AA335:AA379" si="140">Wh_hp*(1-Pvg_s*MEDIAN((-Sdif+Wh/Env_an)/Csdif,0,1))</f>
        <v>11.66590114732883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0.15527042886122389</v>
      </c>
      <c r="AD335" s="231">
        <f>(INDEX(Models!$BJ335:$BT335,,AH335)*(1-AF335)+INDEX(Models!$BJ335:$BT335,,AH335+1)*AF335-ERP_i)*AE335*Ramure*Pc/MaxiM</f>
        <v>8.063736099441228E-2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0.1994275319205645</v>
      </c>
      <c r="AG335" s="809">
        <f t="shared" si="124"/>
        <v>4</v>
      </c>
      <c r="AH335" s="176">
        <f t="shared" ref="AH335:AH379" si="144">MIN(MATCH(Hp_vg_s,Echel_vg),10)</f>
        <v>10</v>
      </c>
      <c r="AI335" s="225">
        <f t="shared" ref="AI335:AI379" si="145">IF(OR(t&lt;Ttai,Notai),Hdd_s+PousH*Croivg,Hdtai_s+PousH*(Croivg-Croi_tai))</f>
        <v>4.1994275319205645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IF(t&gt;Tmaj,'2025'!Wh/'2025'!Env_an*'2026'!Env_an,0.001*'[13]mon-tableau (3)'!$B$153)</f>
        <v>9.9364730696768557</v>
      </c>
      <c r="C336" s="839"/>
      <c r="D336" s="393">
        <f t="shared" si="127"/>
        <v>10.90981989319655</v>
      </c>
      <c r="E336" s="385">
        <f t="shared" si="125"/>
        <v>12.22663402275434</v>
      </c>
      <c r="F336" s="385">
        <f t="shared" si="128"/>
        <v>12.589092460895273</v>
      </c>
      <c r="G336" s="110">
        <f t="shared" si="126"/>
        <v>0.62960088132144787</v>
      </c>
      <c r="H336" s="414" t="b">
        <f>Wh_hp&gt;='2025'!Maxi_hp</f>
        <v>0</v>
      </c>
      <c r="I336" s="390">
        <f>IF(H336,Wh_hp,'2025'!Maxi_hp)</f>
        <v>18.436950655926712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8.921749699339046E-2</v>
      </c>
      <c r="M336" s="843"/>
      <c r="N336" s="843"/>
      <c r="O336" s="48">
        <f>IF(t&lt;Tnet,'2025'!Resal+('2025'!Salim-'2025'!Resal)*(1-EXP(('2025'!Tnet-t)/('2025'!Tau_j))),Resal+(Salim-Resal)*(1-EXP((Tnet-t)/(Tau_j))))*Salcycl</f>
        <v>0.10770046172210078</v>
      </c>
      <c r="P336" s="169">
        <f>(INDEX(Models!$BJ336:$BT336,,T336)*(1-R336)+INDEX(Models!$BJ336:$BT336,,T336+1)*R336-ERP_i)*Q336*Ramure*Pc/MaxiM</f>
        <v>5.7755471287213887E-2</v>
      </c>
      <c r="Q336" s="305">
        <f t="shared" si="130"/>
        <v>0.8</v>
      </c>
      <c r="R336" s="177">
        <f t="shared" si="131"/>
        <v>0.99874443462605678</v>
      </c>
      <c r="S336" s="809">
        <f t="shared" si="132"/>
        <v>2</v>
      </c>
      <c r="T336" s="176">
        <f t="shared" si="133"/>
        <v>8</v>
      </c>
      <c r="U336" s="251">
        <f t="shared" si="134"/>
        <v>2.9987444346260568</v>
      </c>
      <c r="V336" s="383">
        <f t="shared" si="135"/>
        <v>15.311511587757789</v>
      </c>
      <c r="W336" s="402">
        <f t="shared" si="136"/>
        <v>9.9364730696768557</v>
      </c>
      <c r="X336" s="157">
        <f t="shared" si="137"/>
        <v>46344</v>
      </c>
      <c r="Y336" s="385">
        <f t="shared" si="138"/>
        <v>9.300916007679719</v>
      </c>
      <c r="Z336" s="385">
        <f t="shared" si="139"/>
        <v>10.212005585281014</v>
      </c>
      <c r="AA336" s="386">
        <f t="shared" si="140"/>
        <v>12.088315889814268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0.15521684919850995</v>
      </c>
      <c r="AD336" s="231">
        <f>(INDEX(Models!$BJ336:$BT336,,AH336)*(1-AF336)+INDEX(Models!$BJ336:$BT336,,AH336+1)*AF336-ERP_i)*AE336*Ramure*Pc/MaxiM</f>
        <v>7.9795595381152634E-2</v>
      </c>
      <c r="AE336" s="305">
        <f t="shared" si="142"/>
        <v>0.8</v>
      </c>
      <c r="AF336" s="177">
        <f t="shared" si="143"/>
        <v>0.1994611817909604</v>
      </c>
      <c r="AG336" s="809">
        <f t="shared" ref="AG336:AG379" si="149">INDEX(Echel_vg,AH336)</f>
        <v>4</v>
      </c>
      <c r="AH336" s="176">
        <f t="shared" si="144"/>
        <v>10</v>
      </c>
      <c r="AI336" s="225">
        <f t="shared" si="145"/>
        <v>4.1994611817909604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IF(t&gt;Tmaj,'2025'!Wh/'2025'!Env_an*'2026'!Env_an,0.001*'[13]mon-tableau (3)'!$B$154)</f>
        <v>6.5193455102573585</v>
      </c>
      <c r="C337" s="839"/>
      <c r="D337" s="393">
        <f t="shared" si="127"/>
        <v>7.1581313032858107</v>
      </c>
      <c r="E337" s="385">
        <f t="shared" si="125"/>
        <v>8.0224941078173515</v>
      </c>
      <c r="F337" s="385">
        <f t="shared" si="128"/>
        <v>8.1097686019510355</v>
      </c>
      <c r="G337" s="110">
        <f t="shared" si="126"/>
        <v>0.40999323070032156</v>
      </c>
      <c r="H337" s="414" t="b">
        <f>Wh_hp&gt;='2025'!Maxi_hp</f>
        <v>0</v>
      </c>
      <c r="I337" s="390">
        <f>IF(H337,Wh_hp,'2025'!Maxi_hp)</f>
        <v>19.188007096665945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8.9239183519199933E-2</v>
      </c>
      <c r="M337" s="843"/>
      <c r="N337" s="843"/>
      <c r="O337" s="48">
        <f>IF(t&lt;Tnet,'2025'!Resal+('2025'!Salim-'2025'!Resal)*(1-EXP(('2025'!Tnet-t)/('2025'!Tau_j))),Resal+(Salim-Resal)*(1-EXP((Tnet-t)/(Tau_j))))*Salcycl</f>
        <v>0.10774240440878363</v>
      </c>
      <c r="P337" s="169">
        <f>(INDEX(Models!$BJ337:$BT337,,T337)*(1-R337)+INDEX(Models!$BJ337:$BT337,,T337+1)*R337-ERP_i)*Q337*Ramure*Pc/MaxiM</f>
        <v>5.775197934513971E-2</v>
      </c>
      <c r="Q337" s="305">
        <f t="shared" si="130"/>
        <v>0.8</v>
      </c>
      <c r="R337" s="177">
        <f t="shared" si="131"/>
        <v>0.99877673320346139</v>
      </c>
      <c r="S337" s="809">
        <f t="shared" si="132"/>
        <v>2</v>
      </c>
      <c r="T337" s="176">
        <f t="shared" si="133"/>
        <v>8</v>
      </c>
      <c r="U337" s="251">
        <f t="shared" si="134"/>
        <v>2.9987767332034614</v>
      </c>
      <c r="V337" s="383">
        <f t="shared" si="135"/>
        <v>15.145778514065961</v>
      </c>
      <c r="W337" s="402">
        <f t="shared" si="136"/>
        <v>6.5193455102573585</v>
      </c>
      <c r="X337" s="157">
        <f t="shared" si="137"/>
        <v>46345</v>
      </c>
      <c r="Y337" s="385">
        <f t="shared" si="138"/>
        <v>6.1482602414533165</v>
      </c>
      <c r="Z337" s="385">
        <f t="shared" si="139"/>
        <v>6.7506859432208888</v>
      </c>
      <c r="AA337" s="386">
        <f t="shared" si="140"/>
        <v>7.9905427183312803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0.15516552740103723</v>
      </c>
      <c r="AD337" s="231">
        <f>(INDEX(Models!$BJ337:$BT337,,AH337)*(1-AF337)+INDEX(Models!$BJ337:$BT337,,AH337+1)*AF337-ERP_i)*AE337*Ramure*Pc/MaxiM</f>
        <v>7.8895109465397378E-2</v>
      </c>
      <c r="AE337" s="305">
        <f t="shared" si="142"/>
        <v>0.8</v>
      </c>
      <c r="AF337" s="177">
        <f t="shared" si="143"/>
        <v>0.19949348036836501</v>
      </c>
      <c r="AG337" s="809">
        <f t="shared" si="149"/>
        <v>4</v>
      </c>
      <c r="AH337" s="176">
        <f t="shared" si="144"/>
        <v>10</v>
      </c>
      <c r="AI337" s="225">
        <f t="shared" si="145"/>
        <v>4.199493480368365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IF(t&gt;Tmaj,'2025'!Wh/'2025'!Env_an*'2026'!Env_an,0.001*'[13]mon-tableau (3)'!$B$155)</f>
        <v>10.380285296795963</v>
      </c>
      <c r="C338" s="839"/>
      <c r="D338" s="393">
        <f t="shared" si="127"/>
        <v>11.397649392265414</v>
      </c>
      <c r="E338" s="385">
        <f t="shared" si="125"/>
        <v>12.774565974390427</v>
      </c>
      <c r="F338" s="385">
        <f t="shared" si="128"/>
        <v>13.201693403636201</v>
      </c>
      <c r="G338" s="110">
        <f t="shared" si="126"/>
        <v>0.67449655751227611</v>
      </c>
      <c r="H338" s="414" t="b">
        <f>Wh_hp&gt;='2025'!Maxi_hp</f>
        <v>0</v>
      </c>
      <c r="I338" s="390">
        <f>IF(H338,Wh_hp,'2025'!Maxi_hp)</f>
        <v>20.296414509075642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8.9260869540332327E-2</v>
      </c>
      <c r="M338" s="843"/>
      <c r="N338" s="843"/>
      <c r="O338" s="48">
        <f>IF(t&lt;Tnet,'2025'!Resal+('2025'!Salim-'2025'!Resal)*(1-EXP(('2025'!Tnet-t)/('2025'!Tau_j))),Resal+(Salim-Resal)*(1-EXP((Tnet-t)/(Tau_j))))*Salcycl</f>
        <v>0.10778578191113189</v>
      </c>
      <c r="P338" s="169">
        <f>(INDEX(Models!$BJ338:$BT338,,T338)*(1-R338)+INDEX(Models!$BJ338:$BT338,,T338+1)*R338-ERP_i)*Q338*Ramure*Pc/MaxiM</f>
        <v>5.7682784473857759E-2</v>
      </c>
      <c r="Q338" s="305">
        <f t="shared" si="130"/>
        <v>0.8</v>
      </c>
      <c r="R338" s="177">
        <f t="shared" si="131"/>
        <v>0.9988077346153883</v>
      </c>
      <c r="S338" s="809">
        <f t="shared" si="132"/>
        <v>2</v>
      </c>
      <c r="T338" s="176">
        <f t="shared" si="133"/>
        <v>8</v>
      </c>
      <c r="U338" s="251">
        <f t="shared" si="134"/>
        <v>2.9988077346153883</v>
      </c>
      <c r="V338" s="383">
        <f t="shared" si="135"/>
        <v>14.986843317897833</v>
      </c>
      <c r="W338" s="402">
        <f t="shared" si="136"/>
        <v>10.380285296795963</v>
      </c>
      <c r="X338" s="157">
        <f t="shared" si="137"/>
        <v>46346</v>
      </c>
      <c r="Y338" s="385">
        <f t="shared" si="138"/>
        <v>9.7141670932808193</v>
      </c>
      <c r="Z338" s="385">
        <f t="shared" si="139"/>
        <v>10.666245435592398</v>
      </c>
      <c r="AA338" s="386">
        <f t="shared" si="140"/>
        <v>12.624516998986632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0.15511655325517995</v>
      </c>
      <c r="AD338" s="231">
        <f>(INDEX(Models!$BJ338:$BT338,,AH338)*(1-AF338)+INDEX(Models!$BJ338:$BT338,,AH338+1)*AF338-ERP_i)*AE338*Ramure*Pc/MaxiM</f>
        <v>7.7946626400431873E-2</v>
      </c>
      <c r="AE338" s="305">
        <f t="shared" si="142"/>
        <v>0.8</v>
      </c>
      <c r="AF338" s="177">
        <f t="shared" si="143"/>
        <v>0.19952448178029147</v>
      </c>
      <c r="AG338" s="809">
        <f t="shared" si="149"/>
        <v>4</v>
      </c>
      <c r="AH338" s="176">
        <f t="shared" si="144"/>
        <v>10</v>
      </c>
      <c r="AI338" s="225">
        <f t="shared" si="145"/>
        <v>4.1995244817802915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IF(t&gt;Tmaj,'2025'!Wh/'2025'!Env_an*'2026'!Env_an,0.001*'[13]mon-tableau (3)'!$B$156)</f>
        <v>2.822367558396305</v>
      </c>
      <c r="C339" s="839"/>
      <c r="D339" s="393">
        <f t="shared" si="127"/>
        <v>3.0990595096949405</v>
      </c>
      <c r="E339" s="385">
        <f t="shared" si="125"/>
        <v>3.4736224961836948</v>
      </c>
      <c r="F339" s="385">
        <f t="shared" si="128"/>
        <v>3.4736224961836948</v>
      </c>
      <c r="G339" s="110">
        <f t="shared" si="126"/>
        <v>0.17930500674758387</v>
      </c>
      <c r="H339" s="414" t="b">
        <f>Wh_hp&gt;='2025'!Maxi_hp</f>
        <v>0</v>
      </c>
      <c r="I339" s="390">
        <f>IF(H339,Wh_hp,'2025'!Maxi_hp)</f>
        <v>20.252187824566644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8.928255505679919E-2</v>
      </c>
      <c r="M339" s="843"/>
      <c r="N339" s="843"/>
      <c r="O339" s="48">
        <f>IF(t&lt;Tnet,'2025'!Resal+('2025'!Salim-'2025'!Resal)*(1-EXP(('2025'!Tnet-t)/('2025'!Tau_j))),Resal+(Salim-Resal)*(1-EXP((Tnet-t)/(Tau_j))))*Salcycl</f>
        <v>0.10783065428101898</v>
      </c>
      <c r="P339" s="169">
        <f>(INDEX(Models!$BJ339:$BT339,,T339)*(1-R339)+INDEX(Models!$BJ339:$BT339,,T339+1)*R339-ERP_i)*Q339*Ramure*Pc/MaxiM</f>
        <v>5.7561274821841694E-2</v>
      </c>
      <c r="Q339" s="305">
        <f t="shared" si="130"/>
        <v>0.8</v>
      </c>
      <c r="R339" s="177">
        <f t="shared" si="131"/>
        <v>0.99883749083201057</v>
      </c>
      <c r="S339" s="809">
        <f t="shared" si="132"/>
        <v>2</v>
      </c>
      <c r="T339" s="176">
        <f t="shared" si="133"/>
        <v>8</v>
      </c>
      <c r="U339" s="251">
        <f t="shared" si="134"/>
        <v>2.9988374908320106</v>
      </c>
      <c r="V339" s="383">
        <f t="shared" si="135"/>
        <v>14.83454663072339</v>
      </c>
      <c r="W339" s="402">
        <f t="shared" si="136"/>
        <v>2.822367558396305</v>
      </c>
      <c r="X339" s="157">
        <f t="shared" si="137"/>
        <v>46347</v>
      </c>
      <c r="Y339" s="385">
        <f t="shared" si="138"/>
        <v>2.6729264031492606</v>
      </c>
      <c r="Z339" s="385">
        <f t="shared" si="139"/>
        <v>2.9349678300232451</v>
      </c>
      <c r="AA339" s="386">
        <f t="shared" si="140"/>
        <v>3.4736224961836948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0.15507000739206525</v>
      </c>
      <c r="AD339" s="231">
        <f>(INDEX(Models!$BJ339:$BT339,,AH339)*(1-AF339)+INDEX(Models!$BJ339:$BT339,,AH339+1)*AF339-ERP_i)*AE339*Ramure*Pc/MaxiM</f>
        <v>7.6984484546958165E-2</v>
      </c>
      <c r="AE339" s="305">
        <f t="shared" si="142"/>
        <v>0.8</v>
      </c>
      <c r="AF339" s="177">
        <f t="shared" si="143"/>
        <v>0.19955423799691374</v>
      </c>
      <c r="AG339" s="809">
        <f t="shared" si="149"/>
        <v>4</v>
      </c>
      <c r="AH339" s="176">
        <f t="shared" si="144"/>
        <v>10</v>
      </c>
      <c r="AI339" s="225">
        <f t="shared" si="145"/>
        <v>4.1995542379969137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IF(t&gt;Tmaj,'2025'!Wh/'2025'!Env_an*'2026'!Env_an,0.001*'[13]mon-tableau (3)'!$B$157)</f>
        <v>6.2936934173124337</v>
      </c>
      <c r="C340" s="839"/>
      <c r="D340" s="393">
        <f t="shared" si="127"/>
        <v>6.9108627647356187</v>
      </c>
      <c r="E340" s="385">
        <f t="shared" si="125"/>
        <v>7.7465364606877118</v>
      </c>
      <c r="F340" s="385">
        <f t="shared" si="128"/>
        <v>7.8289880681171038</v>
      </c>
      <c r="G340" s="110">
        <f t="shared" si="126"/>
        <v>0.40817476298484723</v>
      </c>
      <c r="H340" s="414" t="b">
        <f>Wh_hp&gt;='2025'!Maxi_hp</f>
        <v>0</v>
      </c>
      <c r="I340" s="390">
        <f>IF(H340,Wh_hp,'2025'!Maxi_hp)</f>
        <v>19.238098983375799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8.9304240068612512E-2</v>
      </c>
      <c r="M340" s="843"/>
      <c r="N340" s="843"/>
      <c r="O340" s="48">
        <f>IF(t&lt;Tnet,'2025'!Resal+('2025'!Salim-'2025'!Resal)*(1-EXP(('2025'!Tnet-t)/('2025'!Tau_j))),Resal+(Salim-Resal)*(1-EXP((Tnet-t)/(Tau_j))))*Salcycl</f>
        <v>0.10787707515390749</v>
      </c>
      <c r="P340" s="169">
        <f>(INDEX(Models!$BJ340:$BT340,,T340)*(1-R340)+INDEX(Models!$BJ340:$BT340,,T340+1)*R340-ERP_i)*Q340*Ramure*Pc/MaxiM</f>
        <v>5.7386504757394284E-2</v>
      </c>
      <c r="Q340" s="305">
        <f t="shared" si="130"/>
        <v>0.8</v>
      </c>
      <c r="R340" s="177">
        <f t="shared" si="131"/>
        <v>0.99886605175129262</v>
      </c>
      <c r="S340" s="809">
        <f t="shared" si="132"/>
        <v>2</v>
      </c>
      <c r="T340" s="176">
        <f t="shared" si="133"/>
        <v>8</v>
      </c>
      <c r="U340" s="251">
        <f t="shared" si="134"/>
        <v>2.9988660517512926</v>
      </c>
      <c r="V340" s="383">
        <f t="shared" si="135"/>
        <v>14.688963418151337</v>
      </c>
      <c r="W340" s="402">
        <f t="shared" si="136"/>
        <v>6.2936934173124337</v>
      </c>
      <c r="X340" s="157">
        <f t="shared" si="137"/>
        <v>46348</v>
      </c>
      <c r="Y340" s="385">
        <f t="shared" si="138"/>
        <v>5.9404814881396248</v>
      </c>
      <c r="Z340" s="385">
        <f t="shared" si="139"/>
        <v>6.5230143254287087</v>
      </c>
      <c r="AA340" s="386">
        <f t="shared" si="140"/>
        <v>7.719780755921791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0.15502596101256519</v>
      </c>
      <c r="AD340" s="231">
        <f>(INDEX(Models!$BJ340:$BT340,,AH340)*(1-AF340)+INDEX(Models!$BJ340:$BT340,,AH340+1)*AF340-ERP_i)*AE340*Ramure*Pc/MaxiM</f>
        <v>7.6008535627463653E-2</v>
      </c>
      <c r="AE340" s="305">
        <f t="shared" si="142"/>
        <v>0.8</v>
      </c>
      <c r="AF340" s="177">
        <f t="shared" si="143"/>
        <v>0.19958279891619668</v>
      </c>
      <c r="AG340" s="809">
        <f t="shared" si="149"/>
        <v>4</v>
      </c>
      <c r="AH340" s="176">
        <f t="shared" si="144"/>
        <v>10</v>
      </c>
      <c r="AI340" s="225">
        <f t="shared" si="145"/>
        <v>4.1995827989161967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IF(t&gt;Tmaj,'2025'!Wh/'2025'!Env_an*'2026'!Env_an,0.001*'[13]mon-tableau (3)'!$B$158)</f>
        <v>8.6462374359835241</v>
      </c>
      <c r="C341" s="839"/>
      <c r="D341" s="393">
        <f t="shared" si="127"/>
        <v>9.4943269708823941</v>
      </c>
      <c r="E341" s="385">
        <f t="shared" si="125"/>
        <v>10.642970541156886</v>
      </c>
      <c r="F341" s="385">
        <f t="shared" si="128"/>
        <v>10.904965367634006</v>
      </c>
      <c r="G341" s="110">
        <f t="shared" si="126"/>
        <v>0.57406312863613085</v>
      </c>
      <c r="H341" s="414" t="b">
        <f>Wh_hp&gt;='2025'!Maxi_hp</f>
        <v>0</v>
      </c>
      <c r="I341" s="390">
        <f>IF(H341,Wh_hp,'2025'!Maxi_hp)</f>
        <v>18.879598059880493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8.9325924575783838E-2</v>
      </c>
      <c r="M341" s="843"/>
      <c r="N341" s="843"/>
      <c r="O341" s="48">
        <f>IF(t&lt;Tnet,'2025'!Resal+('2025'!Salim-'2025'!Resal)*(1-EXP(('2025'!Tnet-t)/('2025'!Tau_j))),Resal+(Salim-Resal)*(1-EXP((Tnet-t)/(Tau_j))))*Salcycl</f>
        <v>0.10792509157407063</v>
      </c>
      <c r="P341" s="169">
        <f>(INDEX(Models!$BJ341:$BT341,,T341)*(1-R341)+INDEX(Models!$BJ341:$BT341,,T341+1)*R341-ERP_i)*Q341*Ramure*Pc/MaxiM</f>
        <v>5.715717200505812E-2</v>
      </c>
      <c r="Q341" s="305">
        <f t="shared" si="130"/>
        <v>0.8</v>
      </c>
      <c r="R341" s="177">
        <f t="shared" si="131"/>
        <v>0.99889346528083234</v>
      </c>
      <c r="S341" s="809">
        <f t="shared" si="132"/>
        <v>2</v>
      </c>
      <c r="T341" s="176">
        <f t="shared" si="133"/>
        <v>8</v>
      </c>
      <c r="U341" s="251">
        <f t="shared" si="134"/>
        <v>2.9988934652808323</v>
      </c>
      <c r="V341" s="383">
        <f t="shared" si="135"/>
        <v>14.550175660494524</v>
      </c>
      <c r="W341" s="402">
        <f t="shared" si="136"/>
        <v>8.6462374359835241</v>
      </c>
      <c r="X341" s="157">
        <f t="shared" si="137"/>
        <v>46349</v>
      </c>
      <c r="Y341" s="385">
        <f t="shared" si="138"/>
        <v>8.1271227855129631</v>
      </c>
      <c r="Z341" s="385">
        <f t="shared" si="139"/>
        <v>8.9242935588422601</v>
      </c>
      <c r="AA341" s="386">
        <f t="shared" si="140"/>
        <v>10.56110012408074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0.15498447567089524</v>
      </c>
      <c r="AD341" s="231">
        <f>(INDEX(Models!$BJ341:$BT341,,AH341)*(1-AF341)+INDEX(Models!$BJ341:$BT341,,AH341+1)*AF341-ERP_i)*AE341*Ramure*Pc/MaxiM</f>
        <v>7.5018141146583062E-2</v>
      </c>
      <c r="AE341" s="305">
        <f t="shared" si="142"/>
        <v>0.8</v>
      </c>
      <c r="AF341" s="177">
        <f t="shared" si="143"/>
        <v>0.19961021244573551</v>
      </c>
      <c r="AG341" s="809">
        <f t="shared" si="149"/>
        <v>4</v>
      </c>
      <c r="AH341" s="176">
        <f t="shared" si="144"/>
        <v>10</v>
      </c>
      <c r="AI341" s="225">
        <f t="shared" si="145"/>
        <v>4.1996102124457355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IF(t&gt;Tmaj,'2025'!Wh/'2025'!Env_an*'2026'!Env_an,0.001*'[13]mon-tableau (3)'!$B$159)</f>
        <v>9.5999034037942472</v>
      </c>
      <c r="C342" s="839"/>
      <c r="D342" s="393">
        <f t="shared" si="127"/>
        <v>10.541786848884517</v>
      </c>
      <c r="E342" s="385">
        <f t="shared" si="125"/>
        <v>11.817812081367933</v>
      </c>
      <c r="F342" s="385">
        <f t="shared" si="128"/>
        <v>12.179808914989012</v>
      </c>
      <c r="G342" s="110">
        <f t="shared" si="126"/>
        <v>0.64718412037698414</v>
      </c>
      <c r="H342" s="414" t="b">
        <f>Wh_hp&gt;='2025'!Maxi_hp</f>
        <v>0</v>
      </c>
      <c r="I342" s="390">
        <f>IF(H342,Wh_hp,'2025'!Maxi_hp)</f>
        <v>17.858943426555001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8.9347608578325161E-2</v>
      </c>
      <c r="M342" s="843"/>
      <c r="N342" s="843"/>
      <c r="O342" s="48">
        <f>IF(t&lt;Tnet,'2025'!Resal+('2025'!Salim-'2025'!Resal)*(1-EXP(('2025'!Tnet-t)/('2025'!Tau_j))),Resal+(Salim-Resal)*(1-EXP((Tnet-t)/(Tau_j))))*Salcycl</f>
        <v>0.10797474386102396</v>
      </c>
      <c r="P342" s="169">
        <f>(INDEX(Models!$BJ342:$BT342,,T342)*(1-R342)+INDEX(Models!$BJ342:$BT342,,T342+1)*R342-ERP_i)*Q342*Ramure*Pc/MaxiM</f>
        <v>5.6872222088366613E-2</v>
      </c>
      <c r="Q342" s="305">
        <f t="shared" si="130"/>
        <v>0.8</v>
      </c>
      <c r="R342" s="177">
        <f t="shared" si="131"/>
        <v>0.99891977741653015</v>
      </c>
      <c r="S342" s="809">
        <f t="shared" si="132"/>
        <v>2</v>
      </c>
      <c r="T342" s="176">
        <f t="shared" si="133"/>
        <v>8</v>
      </c>
      <c r="U342" s="251">
        <f t="shared" si="134"/>
        <v>2.9989197774165302</v>
      </c>
      <c r="V342" s="383">
        <f t="shared" si="135"/>
        <v>14.418262953772519</v>
      </c>
      <c r="W342" s="402">
        <f t="shared" si="136"/>
        <v>9.5999034037942472</v>
      </c>
      <c r="X342" s="157">
        <f t="shared" si="137"/>
        <v>46350</v>
      </c>
      <c r="Y342" s="385">
        <f t="shared" si="138"/>
        <v>9.0104469548940287</v>
      </c>
      <c r="Z342" s="385">
        <f t="shared" si="139"/>
        <v>9.8944965606769806</v>
      </c>
      <c r="AA342" s="386">
        <f t="shared" si="140"/>
        <v>11.708709637137774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0.15494560311808053</v>
      </c>
      <c r="AD342" s="231">
        <f>(INDEX(Models!$BJ342:$BT342,,AH342)*(1-AF342)+INDEX(Models!$BJ342:$BT342,,AH342+1)*AF342-ERP_i)*AE342*Ramure*Pc/MaxiM</f>
        <v>7.4012975438536063E-2</v>
      </c>
      <c r="AE342" s="305">
        <f t="shared" si="142"/>
        <v>0.8</v>
      </c>
      <c r="AF342" s="177">
        <f t="shared" si="143"/>
        <v>0.19963652458143333</v>
      </c>
      <c r="AG342" s="809">
        <f t="shared" si="149"/>
        <v>4</v>
      </c>
      <c r="AH342" s="176">
        <f t="shared" si="144"/>
        <v>10</v>
      </c>
      <c r="AI342" s="225">
        <f t="shared" si="145"/>
        <v>4.1996365245814333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IF(t&gt;Tmaj,'2025'!Wh/'2025'!Env_an*'2026'!Env_an,0.001*'[13]mon-tableau (3)'!$B$160)</f>
        <v>4.6225845768611684</v>
      </c>
      <c r="C343" s="839"/>
      <c r="D343" s="393">
        <f t="shared" si="127"/>
        <v>5.0762449988104521</v>
      </c>
      <c r="E343" s="385">
        <f t="shared" si="125"/>
        <v>5.6910239218570657</v>
      </c>
      <c r="F343" s="385">
        <f t="shared" si="128"/>
        <v>5.7018031016767097</v>
      </c>
      <c r="G343" s="110">
        <f t="shared" si="126"/>
        <v>0.30570446440957405</v>
      </c>
      <c r="H343" s="414" t="b">
        <f>Wh_hp&gt;='2025'!Maxi_hp</f>
        <v>0</v>
      </c>
      <c r="I343" s="390">
        <f>IF(H343,Wh_hp,'2025'!Maxi_hp)</f>
        <v>17.941310299000229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8.9369292076247914E-2</v>
      </c>
      <c r="M343" s="843"/>
      <c r="N343" s="843"/>
      <c r="O343" s="48">
        <f>IF(t&lt;Tnet,'2025'!Resal+('2025'!Salim-'2025'!Resal)*(1-EXP(('2025'!Tnet-t)/('2025'!Tau_j))),Resal+(Salim-Resal)*(1-EXP((Tnet-t)/(Tau_j))))*Salcycl</f>
        <v>0.10802606551792569</v>
      </c>
      <c r="P343" s="169">
        <f>(INDEX(Models!$BJ343:$BT343,,T343)*(1-R343)+INDEX(Models!$BJ343:$BT343,,T343+1)*R343-ERP_i)*Q343*Ramure*Pc/MaxiM</f>
        <v>5.6530907240719651E-2</v>
      </c>
      <c r="Q343" s="305">
        <f t="shared" si="130"/>
        <v>0.8</v>
      </c>
      <c r="R343" s="177">
        <f t="shared" si="131"/>
        <v>0.99894503231820675</v>
      </c>
      <c r="S343" s="809">
        <f t="shared" si="132"/>
        <v>2</v>
      </c>
      <c r="T343" s="176">
        <f t="shared" si="133"/>
        <v>8</v>
      </c>
      <c r="U343" s="251">
        <f t="shared" si="134"/>
        <v>2.9989450323182067</v>
      </c>
      <c r="V343" s="383">
        <f t="shared" si="135"/>
        <v>14.293301912247903</v>
      </c>
      <c r="W343" s="402">
        <f t="shared" si="136"/>
        <v>4.6225845768611684</v>
      </c>
      <c r="X343" s="157">
        <f t="shared" si="137"/>
        <v>46351</v>
      </c>
      <c r="Y343" s="385">
        <f t="shared" si="138"/>
        <v>4.3771998278389441</v>
      </c>
      <c r="Z343" s="385">
        <f t="shared" si="139"/>
        <v>4.8067781920280366</v>
      </c>
      <c r="AA343" s="386">
        <f t="shared" si="140"/>
        <v>5.6878849532604994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0.15490938520607397</v>
      </c>
      <c r="AD343" s="231">
        <f>(INDEX(Models!$BJ343:$BT343,,AH343)*(1-AF343)+INDEX(Models!$BJ343:$BT343,,AH343+1)*AF343-ERP_i)*AE343*Ramure*Pc/MaxiM</f>
        <v>7.2993082056716313E-2</v>
      </c>
      <c r="AE343" s="305">
        <f t="shared" si="142"/>
        <v>0.8</v>
      </c>
      <c r="AF343" s="177">
        <f t="shared" si="143"/>
        <v>0.19966177948310992</v>
      </c>
      <c r="AG343" s="809">
        <f t="shared" si="149"/>
        <v>4</v>
      </c>
      <c r="AH343" s="176">
        <f t="shared" si="144"/>
        <v>10</v>
      </c>
      <c r="AI343" s="225">
        <f t="shared" si="145"/>
        <v>4.1996617794831099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IF(t&gt;Tmaj,'2025'!Wh/'2025'!Env_an*'2026'!Env_an,0.001*'[13]mon-tableau (3)'!$B$161)</f>
        <v>8.8560445501005187</v>
      </c>
      <c r="C344" s="839"/>
      <c r="D344" s="393">
        <f t="shared" si="127"/>
        <v>9.7254082791207317</v>
      </c>
      <c r="E344" s="385">
        <f t="shared" si="125"/>
        <v>10.903890799893956</v>
      </c>
      <c r="F344" s="385">
        <f t="shared" si="128"/>
        <v>11.195435222540091</v>
      </c>
      <c r="G344" s="110">
        <f t="shared" si="126"/>
        <v>0.6054466569239001</v>
      </c>
      <c r="H344" s="414" t="b">
        <f>Wh_hp&gt;='2025'!Maxi_hp</f>
        <v>0</v>
      </c>
      <c r="I344" s="390">
        <f>IF(H344,Wh_hp,'2025'!Maxi_hp)</f>
        <v>17.978894299225775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8.9390975069564088E-2</v>
      </c>
      <c r="M344" s="843"/>
      <c r="N344" s="843"/>
      <c r="O344" s="48">
        <f>IF(t&lt;Tnet,'2025'!Resal+('2025'!Salim-'2025'!Resal)*(1-EXP(('2025'!Tnet-t)/('2025'!Tau_j))),Resal+(Salim-Resal)*(1-EXP((Tnet-t)/(Tau_j))))*Salcycl</f>
        <v>0.10807908318237061</v>
      </c>
      <c r="P344" s="169">
        <f>(INDEX(Models!$BJ344:$BT344,,T344)*(1-R344)+INDEX(Models!$BJ344:$BT344,,T344+1)*R344-ERP_i)*Q344*Ramure*Pc/MaxiM</f>
        <v>5.6132497924005959E-2</v>
      </c>
      <c r="Q344" s="305">
        <f t="shared" si="130"/>
        <v>0.8</v>
      </c>
      <c r="R344" s="177">
        <f t="shared" si="131"/>
        <v>0.9989692723822845</v>
      </c>
      <c r="S344" s="809">
        <f t="shared" si="132"/>
        <v>2</v>
      </c>
      <c r="T344" s="176">
        <f t="shared" si="133"/>
        <v>8</v>
      </c>
      <c r="U344" s="251">
        <f t="shared" si="134"/>
        <v>2.9989692723822845</v>
      </c>
      <c r="V344" s="383">
        <f t="shared" si="135"/>
        <v>14.175370811534325</v>
      </c>
      <c r="W344" s="402">
        <f t="shared" si="136"/>
        <v>8.8560445501005187</v>
      </c>
      <c r="X344" s="157">
        <f t="shared" si="137"/>
        <v>46352</v>
      </c>
      <c r="Y344" s="385">
        <f t="shared" si="138"/>
        <v>8.328133194221321</v>
      </c>
      <c r="Z344" s="385">
        <f t="shared" si="139"/>
        <v>9.1456739019883226</v>
      </c>
      <c r="AA344" s="386">
        <f t="shared" si="140"/>
        <v>10.821692817182544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0.15487585385283342</v>
      </c>
      <c r="AD344" s="231">
        <f>(INDEX(Models!$BJ344:$BT344,,AH344)*(1-AF344)+INDEX(Models!$BJ344:$BT344,,AH344+1)*AF344-ERP_i)*AE344*Ramure*Pc/MaxiM</f>
        <v>7.1958484413571111E-2</v>
      </c>
      <c r="AE344" s="305">
        <f t="shared" si="142"/>
        <v>0.8</v>
      </c>
      <c r="AF344" s="177">
        <f t="shared" si="143"/>
        <v>0.19968601954718856</v>
      </c>
      <c r="AG344" s="809">
        <f t="shared" si="149"/>
        <v>4</v>
      </c>
      <c r="AH344" s="176">
        <f t="shared" si="144"/>
        <v>10</v>
      </c>
      <c r="AI344" s="225">
        <f t="shared" si="145"/>
        <v>4.1996860195471886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IF(t&gt;Tmaj,'2025'!Wh/'2025'!Env_an*'2026'!Env_an,0.001*'[13]mon-tableau (3)'!$B$162)</f>
        <v>9.988595122321005</v>
      </c>
      <c r="C345" s="839"/>
      <c r="D345" s="393">
        <f t="shared" si="127"/>
        <v>10.969398163977178</v>
      </c>
      <c r="E345" s="385">
        <f t="shared" si="125"/>
        <v>12.299376709632815</v>
      </c>
      <c r="F345" s="385">
        <f t="shared" si="128"/>
        <v>12.714288463292545</v>
      </c>
      <c r="G345" s="110">
        <f t="shared" si="126"/>
        <v>0.69333561022741452</v>
      </c>
      <c r="H345" s="414" t="b">
        <f>Wh_hp&gt;='2025'!Maxi_hp</f>
        <v>0</v>
      </c>
      <c r="I345" s="390">
        <f>IF(H345,Wh_hp,'2025'!Maxi_hp)</f>
        <v>16.263070033899286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8.941265755828523E-2</v>
      </c>
      <c r="M345" s="843"/>
      <c r="N345" s="843"/>
      <c r="O345" s="48">
        <f>IF(t&lt;Tnet,'2025'!Resal+('2025'!Salim-'2025'!Resal)*(1-EXP(('2025'!Tnet-t)/('2025'!Tau_j))),Resal+(Salim-Resal)*(1-EXP((Tnet-t)/(Tau_j))))*Salcycl</f>
        <v>0.10813381661966691</v>
      </c>
      <c r="P345" s="169">
        <f>(INDEX(Models!$BJ345:$BT345,,T345)*(1-R345)+INDEX(Models!$BJ345:$BT345,,T345+1)*R345-ERP_i)*Q345*Ramure*Pc/MaxiM</f>
        <v>5.568078753082361E-2</v>
      </c>
      <c r="Q345" s="305">
        <f t="shared" si="130"/>
        <v>0.8</v>
      </c>
      <c r="R345" s="177">
        <f t="shared" si="131"/>
        <v>0.99899253831163737</v>
      </c>
      <c r="S345" s="809">
        <f t="shared" si="132"/>
        <v>2</v>
      </c>
      <c r="T345" s="176">
        <f t="shared" si="133"/>
        <v>8</v>
      </c>
      <c r="U345" s="251">
        <f t="shared" si="134"/>
        <v>2.9989925383116374</v>
      </c>
      <c r="V345" s="383">
        <f t="shared" si="135"/>
        <v>14.063346784937897</v>
      </c>
      <c r="W345" s="402">
        <f t="shared" si="136"/>
        <v>9.988595122321005</v>
      </c>
      <c r="X345" s="157">
        <f t="shared" si="137"/>
        <v>46353</v>
      </c>
      <c r="Y345" s="385">
        <f t="shared" si="138"/>
        <v>9.3780828582082467</v>
      </c>
      <c r="Z345" s="385">
        <f t="shared" si="139"/>
        <v>10.298938301801096</v>
      </c>
      <c r="AA345" s="386">
        <f t="shared" si="140"/>
        <v>12.185857837193817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0.15484503106818162</v>
      </c>
      <c r="AD345" s="231">
        <f>(INDEX(Models!$BJ345:$BT345,,AH345)*(1-AF345)+INDEX(Models!$BJ345:$BT345,,AH345+1)*AF345-ERP_i)*AE345*Ramure*Pc/MaxiM</f>
        <v>7.0914919032912485E-2</v>
      </c>
      <c r="AE345" s="305">
        <f t="shared" si="142"/>
        <v>0.8</v>
      </c>
      <c r="AF345" s="177">
        <f t="shared" si="143"/>
        <v>0.19970928547654143</v>
      </c>
      <c r="AG345" s="809">
        <f t="shared" si="149"/>
        <v>4</v>
      </c>
      <c r="AH345" s="176">
        <f t="shared" si="144"/>
        <v>10</v>
      </c>
      <c r="AI345" s="225">
        <f t="shared" si="145"/>
        <v>4.1997092854765414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IF(t&gt;Tmaj,'2025'!Wh/'2025'!Env_an*'2026'!Env_an,0.001*'[13]mon-tableau (3)'!$B$163)</f>
        <v>8.5035854355189304</v>
      </c>
      <c r="C346" s="839"/>
      <c r="D346" s="393">
        <f t="shared" si="127"/>
        <v>9.3387943393842843</v>
      </c>
      <c r="E346" s="385">
        <f t="shared" si="125"/>
        <v>10.471734179329228</v>
      </c>
      <c r="F346" s="385">
        <f t="shared" si="128"/>
        <v>10.733472734158806</v>
      </c>
      <c r="G346" s="110">
        <f t="shared" si="126"/>
        <v>0.59006733296589531</v>
      </c>
      <c r="H346" s="414" t="b">
        <f>Wh_hp&gt;='2025'!Maxi_hp</f>
        <v>0</v>
      </c>
      <c r="I346" s="390">
        <f>IF(H346,Wh_hp,'2025'!Maxi_hp)</f>
        <v>12.704962668086491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8.9434339542423219E-2</v>
      </c>
      <c r="M346" s="843"/>
      <c r="N346" s="843"/>
      <c r="O346" s="48">
        <f>IF(t&lt;Tnet,'2025'!Resal+('2025'!Salim-'2025'!Resal)*(1-EXP(('2025'!Tnet-t)/('2025'!Tau_j))),Resal+(Salim-Resal)*(1-EXP((Tnet-t)/(Tau_j))))*Salcycl</f>
        <v>0.10819027875834755</v>
      </c>
      <c r="P346" s="169">
        <f>(INDEX(Models!$BJ346:$BT346,,T346)*(1-R346)+INDEX(Models!$BJ346:$BT346,,T346+1)*R346-ERP_i)*Q346*Ramure*Pc/MaxiM</f>
        <v>5.5187352381585557E-2</v>
      </c>
      <c r="Q346" s="305">
        <f t="shared" si="130"/>
        <v>0.8</v>
      </c>
      <c r="R346" s="177">
        <f t="shared" si="131"/>
        <v>0.99901486918271898</v>
      </c>
      <c r="S346" s="809">
        <f t="shared" si="132"/>
        <v>2</v>
      </c>
      <c r="T346" s="176">
        <f t="shared" si="133"/>
        <v>8</v>
      </c>
      <c r="U346" s="251">
        <f t="shared" si="134"/>
        <v>2.999014869182719</v>
      </c>
      <c r="V346" s="383">
        <f t="shared" si="135"/>
        <v>13.956221505506582</v>
      </c>
      <c r="W346" s="402">
        <f t="shared" si="136"/>
        <v>8.5035854355189304</v>
      </c>
      <c r="X346" s="157">
        <f t="shared" si="137"/>
        <v>46354</v>
      </c>
      <c r="Y346" s="385">
        <f t="shared" si="138"/>
        <v>8.0053241257936136</v>
      </c>
      <c r="Z346" s="385">
        <f t="shared" si="139"/>
        <v>8.7915945806376925</v>
      </c>
      <c r="AA346" s="386">
        <f t="shared" si="140"/>
        <v>10.402000327159476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0.15481692903979596</v>
      </c>
      <c r="AD346" s="231">
        <f>(INDEX(Models!$BJ346:$BT346,,AH346)*(1-AF346)+INDEX(Models!$BJ346:$BT346,,AH346+1)*AF346-ERP_i)*AE346*Ramure*Pc/MaxiM</f>
        <v>6.9890675990609552E-2</v>
      </c>
      <c r="AE346" s="305">
        <f t="shared" si="142"/>
        <v>0.8</v>
      </c>
      <c r="AF346" s="177">
        <f t="shared" si="143"/>
        <v>0.1997316163476226</v>
      </c>
      <c r="AG346" s="809">
        <f t="shared" si="149"/>
        <v>4</v>
      </c>
      <c r="AH346" s="176">
        <f t="shared" si="144"/>
        <v>10</v>
      </c>
      <c r="AI346" s="225">
        <f t="shared" si="145"/>
        <v>4.1997316163476226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IF(t&gt;Tmaj,'2025'!Wh/'2025'!Env_an*'2026'!Env_an,0.001*'[13]mon-tableau (3)'!$B$164)</f>
        <v>11.352352536767114</v>
      </c>
      <c r="C347" s="839"/>
      <c r="D347" s="393">
        <f t="shared" si="127"/>
        <v>12.467659771369787</v>
      </c>
      <c r="E347" s="385">
        <f t="shared" si="125"/>
        <v>13.981091629866258</v>
      </c>
      <c r="F347" s="385">
        <f t="shared" si="128"/>
        <v>14.572295337798282</v>
      </c>
      <c r="G347" s="110">
        <f t="shared" si="126"/>
        <v>0.80737679138761698</v>
      </c>
      <c r="H347" s="414" t="b">
        <f>Wh_hp&gt;='2025'!Maxi_hp</f>
        <v>0</v>
      </c>
      <c r="I347" s="390">
        <f>IF(H347,Wh_hp,'2025'!Maxi_hp)</f>
        <v>18.062192612165116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8.9456021021989823E-2</v>
      </c>
      <c r="M347" s="843"/>
      <c r="N347" s="843"/>
      <c r="O347" s="48">
        <f>IF(t&lt;Tnet,'2025'!Resal+('2025'!Salim-'2025'!Resal)*(1-EXP(('2025'!Tnet-t)/('2025'!Tau_j))),Resal+(Salim-Resal)*(1-EXP((Tnet-t)/(Tau_j))))*Salcycl</f>
        <v>0.10824847576733521</v>
      </c>
      <c r="P347" s="169">
        <f>(INDEX(Models!$BJ347:$BT347,,T347)*(1-R347)+INDEX(Models!$BJ347:$BT347,,T347+1)*R347-ERP_i)*Q347*Ramure*Pc/MaxiM</f>
        <v>5.4674667963181961E-2</v>
      </c>
      <c r="Q347" s="305">
        <f t="shared" si="130"/>
        <v>0.8</v>
      </c>
      <c r="R347" s="177">
        <f t="shared" si="131"/>
        <v>0.99903630251007414</v>
      </c>
      <c r="S347" s="809">
        <f t="shared" si="132"/>
        <v>2</v>
      </c>
      <c r="T347" s="176">
        <f t="shared" si="133"/>
        <v>8</v>
      </c>
      <c r="U347" s="251">
        <f t="shared" si="134"/>
        <v>2.9990363025100741</v>
      </c>
      <c r="V347" s="383">
        <f t="shared" si="135"/>
        <v>13.854083043771711</v>
      </c>
      <c r="W347" s="402">
        <f t="shared" si="136"/>
        <v>11.352352536767114</v>
      </c>
      <c r="X347" s="157">
        <f t="shared" si="137"/>
        <v>46355</v>
      </c>
      <c r="Y347" s="385">
        <f t="shared" si="138"/>
        <v>10.641559680325578</v>
      </c>
      <c r="Z347" s="385">
        <f t="shared" si="139"/>
        <v>11.687035361289862</v>
      </c>
      <c r="AA347" s="386">
        <f t="shared" si="140"/>
        <v>13.827400051592811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0.15479155027820254</v>
      </c>
      <c r="AD347" s="231">
        <f>(INDEX(Models!$BJ347:$BT347,,AH347)*(1-AF347)+INDEX(Models!$BJ347:$BT347,,AH347+1)*AF347-ERP_i)*AE347*Ramure*Pc/MaxiM</f>
        <v>6.8888103870461945E-2</v>
      </c>
      <c r="AE347" s="305">
        <f t="shared" si="142"/>
        <v>0.8</v>
      </c>
      <c r="AF347" s="177">
        <f t="shared" si="143"/>
        <v>0.1997530496749782</v>
      </c>
      <c r="AG347" s="809">
        <f t="shared" si="149"/>
        <v>4</v>
      </c>
      <c r="AH347" s="176">
        <f t="shared" si="144"/>
        <v>10</v>
      </c>
      <c r="AI347" s="225">
        <f t="shared" si="145"/>
        <v>4.1997530496749782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IF(t&gt;Tmaj,'2025'!Wh/'2025'!Env_an*'2026'!Env_an,0.001*'[13]mon-tableau (3)'!$B$165)</f>
        <v>3.402722655385312</v>
      </c>
      <c r="C348" s="839"/>
      <c r="D348" s="393">
        <f t="shared" si="127"/>
        <v>3.7371107361657256</v>
      </c>
      <c r="E348" s="385">
        <f t="shared" si="125"/>
        <v>4.1910350688865838</v>
      </c>
      <c r="F348" s="385">
        <f t="shared" si="128"/>
        <v>4.1910350688865838</v>
      </c>
      <c r="G348" s="110">
        <f t="shared" si="126"/>
        <v>0.23394679793719403</v>
      </c>
      <c r="H348" s="414" t="b">
        <f>Wh_hp&gt;='2025'!Maxi_hp</f>
        <v>0</v>
      </c>
      <c r="I348" s="390">
        <f>IF(H348,Wh_hp,'2025'!Maxi_hp)</f>
        <v>16.943177507664462</v>
      </c>
      <c r="J348" s="85">
        <f>IF(H348,An,'2025'!An_max)</f>
        <v>2021</v>
      </c>
      <c r="K348" s="197">
        <f t="shared" si="129"/>
        <v>46356</v>
      </c>
      <c r="L348" s="147">
        <f>IF(t&lt;Tvie,1-EXP((T0-t)*PertePVj)+'2025'!Pspv,1-EXP((T0-t)*PertePVj)+Pspv)</f>
        <v>8.94777019969967E-2</v>
      </c>
      <c r="M348" s="843"/>
      <c r="N348" s="843"/>
      <c r="O348" s="48">
        <f>IF(t&lt;Tnet,'2025'!Resal+('2025'!Salim-'2025'!Resal)*(1-EXP(('2025'!Tnet-t)/('2025'!Tau_j))),Resal+(Salim-Resal)*(1-EXP((Tnet-t)/(Tau_j))))*Salcycl</f>
        <v>0.10830840717385128</v>
      </c>
      <c r="P348" s="169">
        <f>(INDEX(Models!$BJ348:$BT348,,T348)*(1-R348)+INDEX(Models!$BJ348:$BT348,,T348+1)*R348-ERP_i)*Q348*Ramure*Pc/MaxiM</f>
        <v>5.4140965276743891E-2</v>
      </c>
      <c r="Q348" s="305">
        <f t="shared" si="130"/>
        <v>0.8</v>
      </c>
      <c r="R348" s="177">
        <f t="shared" si="131"/>
        <v>0.99905687430832479</v>
      </c>
      <c r="S348" s="809">
        <f t="shared" si="132"/>
        <v>2</v>
      </c>
      <c r="T348" s="176">
        <f t="shared" si="133"/>
        <v>8</v>
      </c>
      <c r="U348" s="251">
        <f t="shared" si="134"/>
        <v>2.9990568743083248</v>
      </c>
      <c r="V348" s="383">
        <f t="shared" si="135"/>
        <v>13.75738413448066</v>
      </c>
      <c r="W348" s="402">
        <f t="shared" si="136"/>
        <v>3.402722655385312</v>
      </c>
      <c r="X348" s="157">
        <f t="shared" si="137"/>
        <v>46356</v>
      </c>
      <c r="Y348" s="385">
        <f t="shared" si="138"/>
        <v>3.225428026453212</v>
      </c>
      <c r="Z348" s="385">
        <f t="shared" si="139"/>
        <v>3.5423932324637843</v>
      </c>
      <c r="AA348" s="386">
        <f t="shared" si="140"/>
        <v>4.1910350688865838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0.15476888781919021</v>
      </c>
      <c r="AD348" s="231">
        <f>(INDEX(Models!$BJ348:$BT348,,AH348)*(1-AF348)+INDEX(Models!$BJ348:$BT348,,AH348+1)*AF348-ERP_i)*AE348*Ramure*Pc/MaxiM</f>
        <v>6.7905510283387954E-2</v>
      </c>
      <c r="AE348" s="305">
        <f t="shared" si="142"/>
        <v>0.8</v>
      </c>
      <c r="AF348" s="177">
        <f t="shared" si="143"/>
        <v>0.19977362147322886</v>
      </c>
      <c r="AG348" s="809">
        <f t="shared" si="149"/>
        <v>4</v>
      </c>
      <c r="AH348" s="176">
        <f t="shared" si="144"/>
        <v>10</v>
      </c>
      <c r="AI348" s="225">
        <f t="shared" si="145"/>
        <v>4.1997736214732289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IF(t&gt;Tmaj,'2025'!Wh/'2025'!Env_an*'2026'!Env_an,0.001*'[14]mon-tableau (2)'!$B$140)</f>
        <v>3.0489130559052922</v>
      </c>
      <c r="C349" s="839"/>
      <c r="D349" s="393">
        <f t="shared" si="127"/>
        <v>3.3486117386365346</v>
      </c>
      <c r="E349" s="385">
        <f t="shared" si="125"/>
        <v>3.7556071314164758</v>
      </c>
      <c r="F349" s="385">
        <f t="shared" si="128"/>
        <v>3.7556071314164758</v>
      </c>
      <c r="G349" s="110">
        <f t="shared" si="126"/>
        <v>0.21113834032381237</v>
      </c>
      <c r="H349" s="414" t="b">
        <f>Wh_hp&gt;='2025'!Maxi_hp</f>
        <v>0</v>
      </c>
      <c r="I349" s="390">
        <f>IF(H349,Wh_hp,'2025'!Maxi_hp)</f>
        <v>17.003353982063814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8.9499382467455618E-2</v>
      </c>
      <c r="M349" s="843"/>
      <c r="N349" s="843"/>
      <c r="O349" s="48">
        <f>IF(t&lt;Tnet,'2025'!Resal+('2025'!Salim-'2025'!Resal)*(1-EXP(('2025'!Tnet-t)/('2025'!Tau_j))),Resal+(Salim-Resal)*(1-EXP((Tnet-t)/(Tau_j))))*Salcycl</f>
        <v>0.10837006602084005</v>
      </c>
      <c r="P349" s="169">
        <f>(INDEX(Models!$BJ349:$BT349,,T349)*(1-R349)+INDEX(Models!$BJ349:$BT349,,T349+1)*R349-ERP_i)*Q349*Ramure*Pc/MaxiM</f>
        <v>5.3584473716438256E-2</v>
      </c>
      <c r="Q349" s="305">
        <f t="shared" si="130"/>
        <v>0.8</v>
      </c>
      <c r="R349" s="177">
        <f t="shared" si="131"/>
        <v>0.99907661915173573</v>
      </c>
      <c r="S349" s="809">
        <f t="shared" si="132"/>
        <v>2</v>
      </c>
      <c r="T349" s="176">
        <f t="shared" si="133"/>
        <v>8</v>
      </c>
      <c r="U349" s="251">
        <f t="shared" si="134"/>
        <v>2.9990766191517357</v>
      </c>
      <c r="V349" s="383">
        <f t="shared" si="135"/>
        <v>13.666578272671948</v>
      </c>
      <c r="W349" s="402">
        <f t="shared" si="136"/>
        <v>3.0489130559052922</v>
      </c>
      <c r="X349" s="157">
        <f t="shared" si="137"/>
        <v>46357</v>
      </c>
      <c r="Y349" s="385">
        <f t="shared" si="138"/>
        <v>2.8903213523978883</v>
      </c>
      <c r="Z349" s="385">
        <f t="shared" si="139"/>
        <v>3.1744309632986916</v>
      </c>
      <c r="AA349" s="386">
        <f t="shared" si="140"/>
        <v>3.7556071314164758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0.15474892548161348</v>
      </c>
      <c r="AD349" s="231">
        <f>(INDEX(Models!$BJ349:$BT349,,AH349)*(1-AF349)+INDEX(Models!$BJ349:$BT349,,AH349+1)*AF349-ERP_i)*AE349*Ramure*Pc/MaxiM</f>
        <v>6.6941210758724154E-2</v>
      </c>
      <c r="AE349" s="305">
        <f t="shared" si="142"/>
        <v>0.8</v>
      </c>
      <c r="AF349" s="177">
        <f t="shared" si="143"/>
        <v>0.19979336631663891</v>
      </c>
      <c r="AG349" s="809">
        <f t="shared" si="149"/>
        <v>4</v>
      </c>
      <c r="AH349" s="176">
        <f t="shared" si="144"/>
        <v>10</v>
      </c>
      <c r="AI349" s="225">
        <f t="shared" si="145"/>
        <v>4.1997933663166389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IF(t&gt;Tmaj,'2025'!Wh/'2025'!Env_an*'2026'!Env_an,0.001*'[14]mon-tableau (2)'!$B$141)</f>
        <v>5.094028401164679</v>
      </c>
      <c r="C350" s="839"/>
      <c r="D350" s="393">
        <f t="shared" si="127"/>
        <v>5.5948887898265491</v>
      </c>
      <c r="E350" s="385">
        <f t="shared" si="125"/>
        <v>6.2753461546859901</v>
      </c>
      <c r="F350" s="385">
        <f t="shared" si="128"/>
        <v>6.3112129634593206</v>
      </c>
      <c r="G350" s="110">
        <f t="shared" si="126"/>
        <v>0.35720486141930319</v>
      </c>
      <c r="H350" s="414" t="b">
        <f>Wh_hp&gt;='2025'!Maxi_hp</f>
        <v>0</v>
      </c>
      <c r="I350" s="390">
        <f>IF(H350,Wh_hp,'2025'!Maxi_hp)</f>
        <v>9.0516021673760747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8.9521062433378235E-2</v>
      </c>
      <c r="M350" s="843"/>
      <c r="N350" s="843"/>
      <c r="O350" s="48">
        <f>IF(t&lt;Tnet,'2025'!Resal+('2025'!Salim-'2025'!Resal)*(1-EXP(('2025'!Tnet-t)/('2025'!Tau_j))),Resal+(Salim-Resal)*(1-EXP((Tnet-t)/(Tau_j))))*Salcycl</f>
        <v>0.10843343906237307</v>
      </c>
      <c r="P350" s="169">
        <f>(INDEX(Models!$BJ350:$BT350,,T350)*(1-R350)+INDEX(Models!$BJ350:$BT350,,T350+1)*R350-ERP_i)*Q350*Ramure*Pc/MaxiM</f>
        <v>5.3003439458520464E-2</v>
      </c>
      <c r="Q350" s="305">
        <f t="shared" si="130"/>
        <v>0.8</v>
      </c>
      <c r="R350" s="177">
        <f t="shared" si="131"/>
        <v>0.99909557023144213</v>
      </c>
      <c r="S350" s="809">
        <f t="shared" si="132"/>
        <v>2</v>
      </c>
      <c r="T350" s="176">
        <f t="shared" si="133"/>
        <v>8</v>
      </c>
      <c r="U350" s="251">
        <f t="shared" si="134"/>
        <v>2.9990955702314421</v>
      </c>
      <c r="V350" s="383">
        <f t="shared" si="135"/>
        <v>13.582119617659275</v>
      </c>
      <c r="W350" s="402">
        <f t="shared" si="136"/>
        <v>5.094028401164679</v>
      </c>
      <c r="X350" s="157">
        <f t="shared" si="137"/>
        <v>46358</v>
      </c>
      <c r="Y350" s="385">
        <f t="shared" si="138"/>
        <v>4.8227354105285922</v>
      </c>
      <c r="Z350" s="385">
        <f t="shared" si="139"/>
        <v>5.2969214460007228</v>
      </c>
      <c r="AA350" s="386">
        <f t="shared" si="140"/>
        <v>6.2665559072669899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0.15473163817813126</v>
      </c>
      <c r="AD350" s="231">
        <f>(INDEX(Models!$BJ350:$BT350,,AH350)*(1-AF350)+INDEX(Models!$BJ350:$BT350,,AH350+1)*AF350-ERP_i)*AE350*Ramure*Pc/MaxiM</f>
        <v>6.5993537067784547E-2</v>
      </c>
      <c r="AE350" s="305">
        <f t="shared" si="142"/>
        <v>0.8</v>
      </c>
      <c r="AF350" s="177">
        <f t="shared" si="143"/>
        <v>0.19981231739634531</v>
      </c>
      <c r="AG350" s="809">
        <f t="shared" si="149"/>
        <v>4</v>
      </c>
      <c r="AH350" s="176">
        <f t="shared" si="144"/>
        <v>10</v>
      </c>
      <c r="AI350" s="225">
        <f t="shared" si="145"/>
        <v>4.1998123173963453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IF(t&gt;Tmaj,'2025'!Wh/'2025'!Env_an*'2026'!Env_an,0.001*'[14]mon-tableau (2)'!$B$142)</f>
        <v>5.7248204763910202</v>
      </c>
      <c r="C351" s="839"/>
      <c r="D351" s="393">
        <f t="shared" si="127"/>
        <v>6.2878519836341287</v>
      </c>
      <c r="E351" s="385">
        <f t="shared" si="125"/>
        <v>7.0531031444950161</v>
      </c>
      <c r="F351" s="385">
        <f t="shared" si="128"/>
        <v>7.1191378629173103</v>
      </c>
      <c r="G351" s="110">
        <f t="shared" si="126"/>
        <v>0.40546982744902632</v>
      </c>
      <c r="H351" s="414" t="b">
        <f>Wh_hp&gt;='2025'!Maxi_hp</f>
        <v>0</v>
      </c>
      <c r="I351" s="390">
        <f>IF(H351,Wh_hp,'2025'!Maxi_hp)</f>
        <v>12.664538267846305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8.9542741894776429E-2</v>
      </c>
      <c r="M351" s="843"/>
      <c r="N351" s="843"/>
      <c r="O351" s="48">
        <f>IF(t&lt;Tnet,'2025'!Resal+('2025'!Salim-'2025'!Resal)*(1-EXP(('2025'!Tnet-t)/('2025'!Tau_j))),Resal+(Salim-Resal)*(1-EXP((Tnet-t)/(Tau_j))))*Salcycl</f>
        <v>0.1084985069952039</v>
      </c>
      <c r="P351" s="169">
        <f>(INDEX(Models!$BJ351:$BT351,,T351)*(1-R351)+INDEX(Models!$BJ351:$BT351,,T351+1)*R351-ERP_i)*Q351*Ramure*Pc/MaxiM</f>
        <v>5.2396145791319459E-2</v>
      </c>
      <c r="Q351" s="305">
        <f t="shared" si="130"/>
        <v>0.8</v>
      </c>
      <c r="R351" s="177">
        <f t="shared" si="131"/>
        <v>0.99911375941043712</v>
      </c>
      <c r="S351" s="809">
        <f t="shared" si="132"/>
        <v>2</v>
      </c>
      <c r="T351" s="176">
        <f t="shared" si="133"/>
        <v>8</v>
      </c>
      <c r="U351" s="251">
        <f t="shared" si="134"/>
        <v>2.9991137594104371</v>
      </c>
      <c r="V351" s="383">
        <f t="shared" si="135"/>
        <v>13.50446291765671</v>
      </c>
      <c r="W351" s="402">
        <f t="shared" si="136"/>
        <v>5.7248204763910202</v>
      </c>
      <c r="X351" s="157">
        <f t="shared" si="137"/>
        <v>46359</v>
      </c>
      <c r="Y351" s="385">
        <f t="shared" si="138"/>
        <v>5.4157424990115146</v>
      </c>
      <c r="Z351" s="385">
        <f t="shared" si="139"/>
        <v>5.9483764348063497</v>
      </c>
      <c r="AA351" s="386">
        <f t="shared" si="140"/>
        <v>7.0371418571669198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0.15471699227602265</v>
      </c>
      <c r="AD351" s="231">
        <f>(INDEX(Models!$BJ351:$BT351,,AH351)*(1-AF351)+INDEX(Models!$BJ351:$BT351,,AH351+1)*AF351-ERP_i)*AE351*Ramure*Pc/MaxiM</f>
        <v>6.5060846388842783E-2</v>
      </c>
      <c r="AE351" s="305">
        <f t="shared" si="142"/>
        <v>0.8</v>
      </c>
      <c r="AF351" s="177">
        <f t="shared" si="143"/>
        <v>0.19983050657534029</v>
      </c>
      <c r="AG351" s="809">
        <f t="shared" si="149"/>
        <v>4</v>
      </c>
      <c r="AH351" s="176">
        <f t="shared" si="144"/>
        <v>10</v>
      </c>
      <c r="AI351" s="225">
        <f t="shared" si="145"/>
        <v>4.1998305065753403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IF(t&gt;Tmaj,'2025'!Wh/'2025'!Env_an*'2026'!Env_an,0.001*'[14]mon-tableau (2)'!$B$143)</f>
        <v>11.170397507377629</v>
      </c>
      <c r="C352" s="839"/>
      <c r="D352" s="393">
        <f t="shared" si="127"/>
        <v>12.269289297576568</v>
      </c>
      <c r="E352" s="385">
        <f t="shared" si="125"/>
        <v>13.76353033687016</v>
      </c>
      <c r="F352" s="385">
        <f t="shared" si="128"/>
        <v>14.326861355224411</v>
      </c>
      <c r="G352" s="110">
        <f t="shared" si="126"/>
        <v>0.82072996530532405</v>
      </c>
      <c r="H352" s="414" t="b">
        <f>Wh_hp&gt;='2025'!Maxi_hp</f>
        <v>0</v>
      </c>
      <c r="I352" s="390">
        <f>IF(H352,Wh_hp,'2025'!Maxi_hp)</f>
        <v>14.483247185091793</v>
      </c>
      <c r="J352" s="85">
        <f>IF(H352,An,'2025'!An_max)</f>
        <v>2022</v>
      </c>
      <c r="K352" s="197">
        <f t="shared" si="129"/>
        <v>46360</v>
      </c>
      <c r="L352" s="147">
        <f>IF(t&lt;Tvie,1-EXP((T0-t)*PertePVj)+'2025'!Pspv,1-EXP((T0-t)*PertePVj)+Pspv)</f>
        <v>8.9564420851661969E-2</v>
      </c>
      <c r="M352" s="843"/>
      <c r="N352" s="843"/>
      <c r="O352" s="48">
        <f>IF(t&lt;Tnet,'2025'!Resal+('2025'!Salim-'2025'!Resal)*(1-EXP(('2025'!Tnet-t)/('2025'!Tau_j))),Resal+(Salim-Resal)*(1-EXP((Tnet-t)/(Tau_j))))*Salcycl</f>
        <v>0.10856524472436939</v>
      </c>
      <c r="P352" s="169">
        <f>(INDEX(Models!$BJ352:$BT352,,T352)*(1-R352)+INDEX(Models!$BJ352:$BT352,,T352+1)*R352-ERP_i)*Q352*Ramure*Pc/MaxiM</f>
        <v>5.1783654402034709E-2</v>
      </c>
      <c r="Q352" s="305">
        <f t="shared" si="130"/>
        <v>0.8</v>
      </c>
      <c r="R352" s="177">
        <f t="shared" si="131"/>
        <v>0.99913121727639886</v>
      </c>
      <c r="S352" s="809">
        <f t="shared" si="132"/>
        <v>2</v>
      </c>
      <c r="T352" s="176">
        <f t="shared" si="133"/>
        <v>8</v>
      </c>
      <c r="U352" s="251">
        <f t="shared" si="134"/>
        <v>2.9991312172763989</v>
      </c>
      <c r="V352" s="383">
        <f t="shared" si="135"/>
        <v>13.433741567177883</v>
      </c>
      <c r="W352" s="402">
        <f t="shared" si="136"/>
        <v>11.170397507377629</v>
      </c>
      <c r="X352" s="157">
        <f t="shared" si="137"/>
        <v>46360</v>
      </c>
      <c r="Y352" s="385">
        <f t="shared" si="138"/>
        <v>10.488528729746038</v>
      </c>
      <c r="Z352" s="385">
        <f t="shared" si="139"/>
        <v>11.520341438718239</v>
      </c>
      <c r="AA352" s="386">
        <f t="shared" si="140"/>
        <v>13.628781316380813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0.15470494600484791</v>
      </c>
      <c r="AD352" s="231">
        <f>(INDEX(Models!$BJ352:$BT352,,AH352)*(1-AF352)+INDEX(Models!$BJ352:$BT352,,AH352+1)*AF352-ERP_i)*AE352*Ramure*Pc/MaxiM</f>
        <v>6.4170326679407988E-2</v>
      </c>
      <c r="AE352" s="305">
        <f t="shared" si="142"/>
        <v>0.8</v>
      </c>
      <c r="AF352" s="177">
        <f t="shared" si="143"/>
        <v>0.19984796444130293</v>
      </c>
      <c r="AG352" s="809">
        <f t="shared" si="149"/>
        <v>4</v>
      </c>
      <c r="AH352" s="176">
        <f t="shared" si="144"/>
        <v>10</v>
      </c>
      <c r="AI352" s="225">
        <f t="shared" si="145"/>
        <v>4.1998479644413029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IF(t&gt;Tmaj,'2025'!Wh/'2025'!Env_an*'2026'!Env_an,0.001*'[14]mon-tableau (2)'!$B$144)</f>
        <v>13.984559530870603</v>
      </c>
      <c r="C353" s="839"/>
      <c r="D353" s="393">
        <f t="shared" si="127"/>
        <v>15.360661255479839</v>
      </c>
      <c r="E353" s="385">
        <f t="shared" si="125"/>
        <v>17.232713313793969</v>
      </c>
      <c r="F353" s="385">
        <f t="shared" si="128"/>
        <v>18.162323905204573</v>
      </c>
      <c r="G353" s="110">
        <f t="shared" si="126"/>
        <v>1.0459540036296504</v>
      </c>
      <c r="H353" s="414" t="b">
        <f>Wh_hp&gt;='2025'!Maxi_hp</f>
        <v>1</v>
      </c>
      <c r="I353" s="390">
        <f>IF(H353,Wh_hp,'2025'!Maxi_hp)</f>
        <v>18.162323905204573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8.9586099304046402E-2</v>
      </c>
      <c r="M353" s="843"/>
      <c r="N353" s="843"/>
      <c r="O353" s="48">
        <f>IF(t&lt;Tnet,'2025'!Resal+('2025'!Salim-'2025'!Resal)*(1-EXP(('2025'!Tnet-t)/('2025'!Tau_j))),Resal+(Salim-Resal)*(1-EXP((Tnet-t)/(Tau_j))))*Salcycl</f>
        <v>0.10863362166047534</v>
      </c>
      <c r="P353" s="169">
        <f>(INDEX(Models!$BJ353:$BT353,,T353)*(1-R353)+INDEX(Models!$BJ353:$BT353,,T353+1)*R353-ERP_i)*Q353*Ramure*Pc/MaxiM</f>
        <v>5.1183460677309799E-2</v>
      </c>
      <c r="Q353" s="305">
        <f t="shared" si="130"/>
        <v>0.8</v>
      </c>
      <c r="R353" s="177">
        <f t="shared" si="131"/>
        <v>0.99914797319244197</v>
      </c>
      <c r="S353" s="809">
        <f t="shared" si="132"/>
        <v>2</v>
      </c>
      <c r="T353" s="176">
        <f t="shared" si="133"/>
        <v>8</v>
      </c>
      <c r="U353" s="251">
        <f t="shared" si="134"/>
        <v>2.999147973192442</v>
      </c>
      <c r="V353" s="383">
        <f t="shared" si="135"/>
        <v>13.370147714279637</v>
      </c>
      <c r="W353" s="402">
        <f t="shared" si="136"/>
        <v>13.984559530870603</v>
      </c>
      <c r="X353" s="157">
        <f t="shared" si="137"/>
        <v>46361</v>
      </c>
      <c r="Y353" s="385">
        <f t="shared" si="138"/>
        <v>13.092423342106757</v>
      </c>
      <c r="Z353" s="385">
        <f t="shared" si="139"/>
        <v>14.380737521800173</v>
      </c>
      <c r="AA353" s="386">
        <f t="shared" si="140"/>
        <v>17.012492740308101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0.15469544990737594</v>
      </c>
      <c r="AD353" s="231">
        <f>(INDEX(Models!$BJ353:$BT353,,AH353)*(1-AF353)+INDEX(Models!$BJ353:$BT353,,AH353+1)*AF353-ERP_i)*AE353*Ramure*Pc/MaxiM</f>
        <v>6.3308592606201558E-2</v>
      </c>
      <c r="AE353" s="305">
        <f t="shared" si="142"/>
        <v>0.8</v>
      </c>
      <c r="AF353" s="177">
        <f t="shared" si="143"/>
        <v>0.19986472035734515</v>
      </c>
      <c r="AG353" s="809">
        <f t="shared" si="149"/>
        <v>4</v>
      </c>
      <c r="AH353" s="176">
        <f t="shared" si="144"/>
        <v>10</v>
      </c>
      <c r="AI353" s="225">
        <f t="shared" si="145"/>
        <v>4.1998647203573451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IF(t&gt;Tmaj,'2025'!Wh/'2025'!Env_an*'2026'!Env_an,0.001*'[14]mon-tableau (2)'!$B$145)</f>
        <v>7.7975138391863492</v>
      </c>
      <c r="C354" s="839"/>
      <c r="D354" s="393">
        <f t="shared" si="127"/>
        <v>8.5650048894851221</v>
      </c>
      <c r="E354" s="385">
        <f t="shared" si="125"/>
        <v>9.6096033924820645</v>
      </c>
      <c r="F354" s="385">
        <f t="shared" si="128"/>
        <v>9.8121910071553806</v>
      </c>
      <c r="G354" s="110">
        <f t="shared" si="126"/>
        <v>0.56774761450797218</v>
      </c>
      <c r="H354" s="414" t="b">
        <f>Wh_hp&gt;='2025'!Maxi_hp</f>
        <v>0</v>
      </c>
      <c r="I354" s="390">
        <f>IF(H354,Wh_hp,'2025'!Maxi_hp)</f>
        <v>13.343805020579753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8.9607777251941606E-2</v>
      </c>
      <c r="M354" s="843"/>
      <c r="N354" s="843"/>
      <c r="O354" s="48">
        <f>IF(t&lt;Tnet,'2025'!Resal+('2025'!Salim-'2025'!Resal)*(1-EXP(('2025'!Tnet-t)/('2025'!Tau_j))),Resal+(Salim-Resal)*(1-EXP((Tnet-t)/(Tau_j))))*Salcycl</f>
        <v>0.10870360204607091</v>
      </c>
      <c r="P354" s="169">
        <f>(INDEX(Models!$BJ354:$BT354,,T354)*(1-R354)+INDEX(Models!$BJ354:$BT354,,T354+1)*R354-ERP_i)*Q354*Ramure*Pc/MaxiM</f>
        <v>5.0594222727498563E-2</v>
      </c>
      <c r="Q354" s="305">
        <f t="shared" si="130"/>
        <v>0.8</v>
      </c>
      <c r="R354" s="177">
        <f t="shared" si="131"/>
        <v>0.99916405534586916</v>
      </c>
      <c r="S354" s="809">
        <f t="shared" si="132"/>
        <v>2</v>
      </c>
      <c r="T354" s="176">
        <f t="shared" si="133"/>
        <v>8</v>
      </c>
      <c r="U354" s="251">
        <f t="shared" si="134"/>
        <v>2.9991640553458692</v>
      </c>
      <c r="V354" s="383">
        <f t="shared" si="135"/>
        <v>13.314143581158</v>
      </c>
      <c r="W354" s="402">
        <f t="shared" si="136"/>
        <v>7.7975138391863492</v>
      </c>
      <c r="X354" s="157">
        <f t="shared" si="137"/>
        <v>46362</v>
      </c>
      <c r="Y354" s="385">
        <f t="shared" si="138"/>
        <v>7.3586074004011532</v>
      </c>
      <c r="Z354" s="385">
        <f t="shared" si="139"/>
        <v>8.0828979164484487</v>
      </c>
      <c r="AA354" s="386">
        <f t="shared" si="140"/>
        <v>9.5620341292115754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0.15468844732988701</v>
      </c>
      <c r="AD354" s="231">
        <f>(INDEX(Models!$BJ354:$BT354,,AH354)*(1-AF354)+INDEX(Models!$BJ354:$BT354,,AH354+1)*AF354-ERP_i)*AE354*Ramure*Pc/MaxiM</f>
        <v>6.2474168620396141E-2</v>
      </c>
      <c r="AE354" s="305">
        <f t="shared" si="142"/>
        <v>0.8</v>
      </c>
      <c r="AF354" s="177">
        <f t="shared" si="143"/>
        <v>0.19988080251077278</v>
      </c>
      <c r="AG354" s="809">
        <f t="shared" si="149"/>
        <v>4</v>
      </c>
      <c r="AH354" s="176">
        <f t="shared" si="144"/>
        <v>10</v>
      </c>
      <c r="AI354" s="225">
        <f t="shared" si="145"/>
        <v>4.1998808025107728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IF(t&gt;Tmaj,'2025'!Wh/'2025'!Env_an*'2026'!Env_an,0.001*'[14]mon-tableau (2)'!$B$146)</f>
        <v>12.453933277801649</v>
      </c>
      <c r="C355" s="839"/>
      <c r="D355" s="393">
        <f t="shared" si="127"/>
        <v>13.680070540544722</v>
      </c>
      <c r="E355" s="385">
        <f t="shared" si="125"/>
        <v>15.349740829745052</v>
      </c>
      <c r="F355" s="385">
        <f t="shared" si="128"/>
        <v>16.083804778621055</v>
      </c>
      <c r="G355" s="110">
        <f t="shared" si="126"/>
        <v>0.93446912216385258</v>
      </c>
      <c r="H355" s="414" t="b">
        <f>Wh_hp&gt;='2025'!Maxi_hp</f>
        <v>0</v>
      </c>
      <c r="I355" s="390">
        <f>IF(H355,Wh_hp,'2025'!Maxi_hp)</f>
        <v>16.145056868445899</v>
      </c>
      <c r="J355" s="85">
        <f>IF(H355,An,'2025'!An_max)</f>
        <v>2022</v>
      </c>
      <c r="K355" s="197">
        <f t="shared" si="129"/>
        <v>46363</v>
      </c>
      <c r="L355" s="147">
        <f>IF(t&lt;Tvie,1-EXP((T0-t)*PertePVj)+'2025'!Pspv,1-EXP((T0-t)*PertePVj)+Pspv)</f>
        <v>8.9629454695359351E-2</v>
      </c>
      <c r="M355" s="843"/>
      <c r="N355" s="843"/>
      <c r="O355" s="48">
        <f>IF(t&lt;Tnet,'2025'!Resal+('2025'!Salim-'2025'!Resal)*(1-EXP(('2025'!Tnet-t)/('2025'!Tau_j))),Resal+(Salim-Resal)*(1-EXP((Tnet-t)/(Tau_j))))*Salcycl</f>
        <v>0.10877514530830433</v>
      </c>
      <c r="P355" s="169">
        <f>(INDEX(Models!$BJ355:$BT355,,T355)*(1-R355)+INDEX(Models!$BJ355:$BT355,,T355+1)*R355-ERP_i)*Q355*Ramure*Pc/MaxiM</f>
        <v>5.0014626725503324E-2</v>
      </c>
      <c r="Q355" s="305">
        <f t="shared" si="130"/>
        <v>0.8</v>
      </c>
      <c r="R355" s="177">
        <f t="shared" si="131"/>
        <v>0.99917949079501156</v>
      </c>
      <c r="S355" s="809">
        <f t="shared" si="132"/>
        <v>2</v>
      </c>
      <c r="T355" s="176">
        <f t="shared" si="133"/>
        <v>8</v>
      </c>
      <c r="U355" s="251">
        <f t="shared" si="134"/>
        <v>2.9991794907950116</v>
      </c>
      <c r="V355" s="383">
        <f t="shared" si="135"/>
        <v>13.266190939180428</v>
      </c>
      <c r="W355" s="402">
        <f t="shared" si="136"/>
        <v>12.453933277801649</v>
      </c>
      <c r="X355" s="157">
        <f t="shared" si="137"/>
        <v>46363</v>
      </c>
      <c r="Y355" s="385">
        <f t="shared" si="138"/>
        <v>11.680812769893738</v>
      </c>
      <c r="Z355" s="385">
        <f t="shared" si="139"/>
        <v>12.830833367950127</v>
      </c>
      <c r="AA355" s="386">
        <f t="shared" si="140"/>
        <v>15.178739630875979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0.15468387494768246</v>
      </c>
      <c r="AD355" s="231">
        <f>(INDEX(Models!$BJ355:$BT355,,AH355)*(1-AF355)+INDEX(Models!$BJ355:$BT355,,AH355+1)*AF355-ERP_i)*AE355*Ramure*Pc/MaxiM</f>
        <v>6.1665602289888252E-2</v>
      </c>
      <c r="AE355" s="305">
        <f t="shared" si="142"/>
        <v>0.8</v>
      </c>
      <c r="AF355" s="177">
        <f t="shared" si="143"/>
        <v>0.19989623795991474</v>
      </c>
      <c r="AG355" s="809">
        <f t="shared" si="149"/>
        <v>4</v>
      </c>
      <c r="AH355" s="176">
        <f t="shared" si="144"/>
        <v>10</v>
      </c>
      <c r="AI355" s="225">
        <f t="shared" si="145"/>
        <v>4.1998962379599147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IF(t&gt;Tmaj,'2025'!Wh/'2025'!Env_an*'2026'!Env_an,0.001*'[14]mon-tableau (2)'!$B$147)</f>
        <v>3.6611650976964434</v>
      </c>
      <c r="C356" s="839"/>
      <c r="D356" s="393">
        <f t="shared" si="127"/>
        <v>4.0217165362869949</v>
      </c>
      <c r="E356" s="385">
        <f t="shared" si="125"/>
        <v>4.5129422005624402</v>
      </c>
      <c r="F356" s="385">
        <f t="shared" si="128"/>
        <v>4.5129422005624402</v>
      </c>
      <c r="G356" s="110">
        <f t="shared" si="126"/>
        <v>0.26311409721079881</v>
      </c>
      <c r="H356" s="414" t="b">
        <f>Wh_hp&gt;='2025'!Maxi_hp</f>
        <v>0</v>
      </c>
      <c r="I356" s="390">
        <f>IF(H356,Wh_hp,'2025'!Maxi_hp)</f>
        <v>13.163873636421526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8.9651131634311182E-2</v>
      </c>
      <c r="M356" s="843"/>
      <c r="N356" s="843"/>
      <c r="O356" s="48">
        <f>IF(t&lt;Tnet,'2025'!Resal+('2025'!Salim-'2025'!Resal)*(1-EXP(('2025'!Tnet-t)/('2025'!Tau_j))),Resal+(Salim-Resal)*(1-EXP((Tnet-t)/(Tau_j))))*Salcycl</f>
        <v>0.10884820643486752</v>
      </c>
      <c r="P356" s="169">
        <f>(INDEX(Models!$BJ356:$BT356,,T356)*(1-R356)+INDEX(Models!$BJ356:$BT356,,T356+1)*R356-ERP_i)*Q356*Ramure*Pc/MaxiM</f>
        <v>4.9443395638229588E-2</v>
      </c>
      <c r="Q356" s="305">
        <f t="shared" si="130"/>
        <v>0.8</v>
      </c>
      <c r="R356" s="177">
        <f t="shared" si="131"/>
        <v>0.99919430551421229</v>
      </c>
      <c r="S356" s="809">
        <f t="shared" si="132"/>
        <v>2</v>
      </c>
      <c r="T356" s="176">
        <f t="shared" si="133"/>
        <v>8</v>
      </c>
      <c r="U356" s="251">
        <f t="shared" si="134"/>
        <v>2.9991943055142123</v>
      </c>
      <c r="V356" s="383">
        <f t="shared" si="135"/>
        <v>13.226751056542504</v>
      </c>
      <c r="W356" s="402">
        <f t="shared" si="136"/>
        <v>3.6611650976964434</v>
      </c>
      <c r="X356" s="157">
        <f t="shared" si="137"/>
        <v>46364</v>
      </c>
      <c r="Y356" s="385">
        <f t="shared" si="138"/>
        <v>3.4728651314377119</v>
      </c>
      <c r="Z356" s="385">
        <f t="shared" si="139"/>
        <v>3.8148727945061336</v>
      </c>
      <c r="AA356" s="386">
        <f t="shared" si="140"/>
        <v>4.5129422005624402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0.15468166332139324</v>
      </c>
      <c r="AD356" s="231">
        <f>(INDEX(Models!$BJ356:$BT356,,AH356)*(1-AF356)+INDEX(Models!$BJ356:$BT356,,AH356+1)*AF356-ERP_i)*AE356*Ramure*Pc/MaxiM</f>
        <v>6.0881469111019881E-2</v>
      </c>
      <c r="AE356" s="305">
        <f t="shared" si="142"/>
        <v>0.8</v>
      </c>
      <c r="AF356" s="177">
        <f t="shared" si="143"/>
        <v>0.19991105267911546</v>
      </c>
      <c r="AG356" s="809">
        <f t="shared" si="149"/>
        <v>4</v>
      </c>
      <c r="AH356" s="176">
        <f t="shared" si="144"/>
        <v>10</v>
      </c>
      <c r="AI356" s="225">
        <f t="shared" si="145"/>
        <v>4.1999110526791155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IF(t&gt;Tmaj,'2025'!Wh/'2025'!Env_an*'2026'!Env_an,0.001*'[14]mon-tableau (2)'!$B$148)</f>
        <v>4.3332927177757989</v>
      </c>
      <c r="C357" s="839"/>
      <c r="D357" s="393">
        <f t="shared" si="127"/>
        <v>4.7601486105045847</v>
      </c>
      <c r="E357" s="385">
        <f t="shared" si="125"/>
        <v>5.3420155634018576</v>
      </c>
      <c r="F357" s="385">
        <f t="shared" si="128"/>
        <v>5.352619960807937</v>
      </c>
      <c r="G357" s="110">
        <f t="shared" si="126"/>
        <v>0.31294156285272651</v>
      </c>
      <c r="H357" s="414" t="b">
        <f>Wh_hp&gt;='2025'!Maxi_hp</f>
        <v>0</v>
      </c>
      <c r="I357" s="390">
        <f>IF(H357,Wh_hp,'2025'!Maxi_hp)</f>
        <v>9.5730272396475531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8.967280806880909E-2</v>
      </c>
      <c r="M357" s="843"/>
      <c r="N357" s="843"/>
      <c r="O357" s="48">
        <f>IF(t&lt;Tnet,'2025'!Resal+('2025'!Salim-'2025'!Resal)*(1-EXP(('2025'!Tnet-t)/('2025'!Tau_j))),Resal+(Salim-Resal)*(1-EXP((Tnet-t)/(Tau_j))))*Salcycl</f>
        <v>0.10892273637007779</v>
      </c>
      <c r="P357" s="169">
        <f>(INDEX(Models!$BJ357:$BT357,,T357)*(1-R357)+INDEX(Models!$BJ357:$BT357,,T357+1)*R357-ERP_i)*Q357*Ramure*Pc/MaxiM</f>
        <v>4.8879298362582591E-2</v>
      </c>
      <c r="Q357" s="305">
        <f t="shared" si="130"/>
        <v>0.8</v>
      </c>
      <c r="R357" s="177">
        <f t="shared" si="131"/>
        <v>0.99920852443704433</v>
      </c>
      <c r="S357" s="809">
        <f t="shared" si="132"/>
        <v>2</v>
      </c>
      <c r="T357" s="176">
        <f t="shared" si="133"/>
        <v>8</v>
      </c>
      <c r="U357" s="251">
        <f t="shared" si="134"/>
        <v>2.9992085244370443</v>
      </c>
      <c r="V357" s="383">
        <f t="shared" si="135"/>
        <v>13.196284642124922</v>
      </c>
      <c r="W357" s="402">
        <f t="shared" si="136"/>
        <v>4.3332927177757989</v>
      </c>
      <c r="X357" s="157">
        <f t="shared" si="137"/>
        <v>46365</v>
      </c>
      <c r="Y357" s="385">
        <f t="shared" si="138"/>
        <v>4.1088908525757954</v>
      </c>
      <c r="Z357" s="385">
        <f t="shared" si="139"/>
        <v>4.5136417861572289</v>
      </c>
      <c r="AA357" s="386">
        <f t="shared" si="140"/>
        <v>5.3395768035328119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0.15468173747947991</v>
      </c>
      <c r="AD357" s="231">
        <f>(INDEX(Models!$BJ357:$BT357,,AH357)*(1-AF357)+INDEX(Models!$BJ357:$BT357,,AH357+1)*AF357-ERP_i)*AE357*Ramure*Pc/MaxiM</f>
        <v>6.0120377578022043E-2</v>
      </c>
      <c r="AE357" s="305">
        <f t="shared" si="142"/>
        <v>0.8</v>
      </c>
      <c r="AF357" s="177">
        <f t="shared" si="143"/>
        <v>0.1999252716019484</v>
      </c>
      <c r="AG357" s="809">
        <f t="shared" si="149"/>
        <v>4</v>
      </c>
      <c r="AH357" s="176">
        <f t="shared" si="144"/>
        <v>10</v>
      </c>
      <c r="AI357" s="225">
        <f t="shared" si="145"/>
        <v>4.1999252716019484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IF(t&gt;Tmaj,'2025'!Wh/'2025'!Env_an*'2026'!Env_an,0.001*'[14]mon-tableau (2)'!$B$149)</f>
        <v>8.8374306662948072</v>
      </c>
      <c r="C358" s="839"/>
      <c r="D358" s="393">
        <f t="shared" si="127"/>
        <v>9.708202917539813</v>
      </c>
      <c r="E358" s="385">
        <f t="shared" si="125"/>
        <v>10.895834524681625</v>
      </c>
      <c r="F358" s="385">
        <f t="shared" si="128"/>
        <v>11.182023208101196</v>
      </c>
      <c r="G358" s="110">
        <f t="shared" si="126"/>
        <v>0.65511478296931913</v>
      </c>
      <c r="H358" s="414" t="b">
        <f>Wh_hp&gt;='2025'!Maxi_hp</f>
        <v>0</v>
      </c>
      <c r="I358" s="390">
        <f>IF(H358,Wh_hp,'2025'!Maxi_hp)</f>
        <v>15.549770066457318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8.9694483998864621E-2</v>
      </c>
      <c r="M358" s="843"/>
      <c r="N358" s="843"/>
      <c r="O358" s="48">
        <f>IF(t&lt;Tnet,'2025'!Resal+('2025'!Salim-'2025'!Resal)*(1-EXP(('2025'!Tnet-t)/('2025'!Tau_j))),Resal+(Salim-Resal)*(1-EXP((Tnet-t)/(Tau_j))))*Salcycl</f>
        <v>0.10899868242781663</v>
      </c>
      <c r="P358" s="169">
        <f>(INDEX(Models!$BJ358:$BT358,,T358)*(1-R358)+INDEX(Models!$BJ358:$BT358,,T358+1)*R358-ERP_i)*Q358*Ramure*Pc/MaxiM</f>
        <v>4.8321159075759179E-2</v>
      </c>
      <c r="Q358" s="305">
        <f t="shared" si="130"/>
        <v>0.8</v>
      </c>
      <c r="R358" s="177">
        <f t="shared" si="131"/>
        <v>0.99922217149781778</v>
      </c>
      <c r="S358" s="809">
        <f t="shared" si="132"/>
        <v>2</v>
      </c>
      <c r="T358" s="176">
        <f t="shared" si="133"/>
        <v>8</v>
      </c>
      <c r="U358" s="251">
        <f t="shared" si="134"/>
        <v>2.9992221714978178</v>
      </c>
      <c r="V358" s="383">
        <f t="shared" si="135"/>
        <v>13.175251795201515</v>
      </c>
      <c r="W358" s="402">
        <f t="shared" si="136"/>
        <v>8.8374306662948072</v>
      </c>
      <c r="X358" s="157">
        <f t="shared" si="137"/>
        <v>46366</v>
      </c>
      <c r="Y358" s="385">
        <f t="shared" si="138"/>
        <v>8.3338944296988071</v>
      </c>
      <c r="Z358" s="385">
        <f t="shared" si="139"/>
        <v>9.155052104164568</v>
      </c>
      <c r="AA358" s="386">
        <f t="shared" si="140"/>
        <v>10.830331253561207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0.15468401752215813</v>
      </c>
      <c r="AD358" s="231">
        <f>(INDEX(Models!$BJ358:$BT358,,AH358)*(1-AF358)+INDEX(Models!$BJ358:$BT358,,AH358+1)*AF358-ERP_i)*AE358*Ramure*Pc/MaxiM</f>
        <v>5.938097439051046E-2</v>
      </c>
      <c r="AE358" s="305">
        <f t="shared" si="142"/>
        <v>0.8</v>
      </c>
      <c r="AF358" s="177">
        <f t="shared" si="143"/>
        <v>0.1999389186627214</v>
      </c>
      <c r="AG358" s="809">
        <f t="shared" si="149"/>
        <v>4</v>
      </c>
      <c r="AH358" s="176">
        <f t="shared" si="144"/>
        <v>10</v>
      </c>
      <c r="AI358" s="225">
        <f t="shared" si="145"/>
        <v>4.1999389186627214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IF(t&gt;Tmaj,'2025'!Wh/'2025'!Env_an*'2026'!Env_an,0.001*'[14]mon-tableau (2)'!$B$150)</f>
        <v>10.754046425101647</v>
      </c>
      <c r="C359" s="839"/>
      <c r="D359" s="393">
        <f t="shared" si="127"/>
        <v>11.813948513358863</v>
      </c>
      <c r="E359" s="385">
        <f t="shared" si="125"/>
        <v>13.26033237824443</v>
      </c>
      <c r="F359" s="385">
        <f t="shared" si="128"/>
        <v>13.745134012539674</v>
      </c>
      <c r="G359" s="110">
        <f t="shared" si="126"/>
        <v>0.80630610258177349</v>
      </c>
      <c r="H359" s="414" t="b">
        <f>Wh_hp&gt;='2025'!Maxi_hp</f>
        <v>0</v>
      </c>
      <c r="I359" s="390">
        <f>IF(H359,Wh_hp,'2025'!Maxi_hp)</f>
        <v>14.841331638958879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8.9716159424489655E-2</v>
      </c>
      <c r="M359" s="843"/>
      <c r="N359" s="843"/>
      <c r="O359" s="48">
        <f>IF(t&lt;Tnet,'2025'!Resal+('2025'!Salim-'2025'!Resal)*(1-EXP(('2025'!Tnet-t)/('2025'!Tau_j))),Resal+(Salim-Resal)*(1-EXP((Tnet-t)/(Tau_j))))*Salcycl</f>
        <v>0.1090759887179432</v>
      </c>
      <c r="P359" s="169">
        <f>(INDEX(Models!$BJ359:$BT359,,T359)*(1-R359)+INDEX(Models!$BJ359:$BT359,,T359+1)*R359-ERP_i)*Q359*Ramure*Pc/MaxiM</f>
        <v>4.7765909499571546E-2</v>
      </c>
      <c r="Q359" s="305">
        <f t="shared" si="130"/>
        <v>0.8</v>
      </c>
      <c r="R359" s="177">
        <f t="shared" si="131"/>
        <v>0.99923526967144749</v>
      </c>
      <c r="S359" s="809">
        <f t="shared" si="132"/>
        <v>2</v>
      </c>
      <c r="T359" s="176">
        <f t="shared" si="133"/>
        <v>8</v>
      </c>
      <c r="U359" s="251">
        <f t="shared" si="134"/>
        <v>2.9992352696714475</v>
      </c>
      <c r="V359" s="383">
        <f t="shared" si="135"/>
        <v>13.164678394877225</v>
      </c>
      <c r="W359" s="402">
        <f t="shared" si="136"/>
        <v>10.754046425101647</v>
      </c>
      <c r="X359" s="157">
        <f t="shared" si="137"/>
        <v>46367</v>
      </c>
      <c r="Y359" s="385">
        <f t="shared" si="138"/>
        <v>10.11839691990377</v>
      </c>
      <c r="Z359" s="385">
        <f t="shared" si="139"/>
        <v>11.115650381650847</v>
      </c>
      <c r="AA359" s="386">
        <f t="shared" si="140"/>
        <v>13.149767061846703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0.15468841924186855</v>
      </c>
      <c r="AD359" s="231">
        <f>(INDEX(Models!$BJ359:$BT359,,AH359)*(1-AF359)+INDEX(Models!$BJ359:$BT359,,AH359+1)*AF359-ERP_i)*AE359*Ramure*Pc/MaxiM</f>
        <v>5.8659546243438256E-2</v>
      </c>
      <c r="AE359" s="305">
        <f t="shared" si="142"/>
        <v>0.8</v>
      </c>
      <c r="AF359" s="177">
        <f t="shared" si="143"/>
        <v>0.19995201683635067</v>
      </c>
      <c r="AG359" s="809">
        <f t="shared" si="149"/>
        <v>4</v>
      </c>
      <c r="AH359" s="176">
        <f t="shared" si="144"/>
        <v>10</v>
      </c>
      <c r="AI359" s="225">
        <f t="shared" si="145"/>
        <v>4.1999520168363507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IF(t&gt;Tmaj,'2025'!Wh/'2025'!Env_an*'2026'!Env_an,0.001*'[14]mon-tableau (2)'!$B$151)</f>
        <v>3.5937364088949977</v>
      </c>
      <c r="C360" s="839"/>
      <c r="D360" s="393">
        <f t="shared" si="127"/>
        <v>3.9480234865213686</v>
      </c>
      <c r="E360" s="385">
        <f t="shared" si="125"/>
        <v>4.4317717433090111</v>
      </c>
      <c r="F360" s="385">
        <f t="shared" si="128"/>
        <v>4.4317717433090111</v>
      </c>
      <c r="G360" s="110">
        <f t="shared" si="126"/>
        <v>0.26009297036235512</v>
      </c>
      <c r="H360" s="414" t="b">
        <f>Wh_hp&gt;='2025'!Maxi_hp</f>
        <v>0</v>
      </c>
      <c r="I360" s="390">
        <f>IF(H360,Wh_hp,'2025'!Maxi_hp)</f>
        <v>16.842886191960798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8.9737834345695849E-2</v>
      </c>
      <c r="M360" s="843"/>
      <c r="N360" s="843"/>
      <c r="O360" s="48">
        <f>IF(t&lt;Tnet,'2025'!Resal+('2025'!Salim-'2025'!Resal)*(1-EXP(('2025'!Tnet-t)/('2025'!Tau_j))),Resal+(Salim-Resal)*(1-EXP((Tnet-t)/(Tau_j))))*Salcycl</f>
        <v>0.10915459658273115</v>
      </c>
      <c r="P360" s="169">
        <f>(INDEX(Models!$BJ360:$BT360,,T360)*(1-R360)+INDEX(Models!$BJ360:$BT360,,T360+1)*R360-ERP_i)*Q360*Ramure*Pc/MaxiM</f>
        <v>4.7213447224232728E-2</v>
      </c>
      <c r="Q360" s="305">
        <f t="shared" si="130"/>
        <v>0.8</v>
      </c>
      <c r="R360" s="177">
        <f t="shared" si="131"/>
        <v>0.99924784101174513</v>
      </c>
      <c r="S360" s="809">
        <f t="shared" si="132"/>
        <v>2</v>
      </c>
      <c r="T360" s="176">
        <f t="shared" si="133"/>
        <v>8</v>
      </c>
      <c r="U360" s="251">
        <f t="shared" si="134"/>
        <v>2.9992478410117451</v>
      </c>
      <c r="V360" s="383">
        <f t="shared" si="135"/>
        <v>13.164768428172083</v>
      </c>
      <c r="W360" s="402">
        <f t="shared" si="136"/>
        <v>3.5937364088949977</v>
      </c>
      <c r="X360" s="157">
        <f t="shared" si="137"/>
        <v>46368</v>
      </c>
      <c r="Y360" s="385">
        <f t="shared" si="138"/>
        <v>3.4100236308556506</v>
      </c>
      <c r="Z360" s="385">
        <f t="shared" si="139"/>
        <v>3.7461994571690198</v>
      </c>
      <c r="AA360" s="386">
        <f t="shared" si="140"/>
        <v>4.4317717433090111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0.15469485475533643</v>
      </c>
      <c r="AD360" s="231">
        <f>(INDEX(Models!$BJ360:$BT360,,AH360)*(1-AF360)+INDEX(Models!$BJ360:$BT360,,AH360+1)*AF360-ERP_i)*AE360*Ramure*Pc/MaxiM</f>
        <v>5.7955982666801818E-2</v>
      </c>
      <c r="AE360" s="305">
        <f t="shared" si="142"/>
        <v>0.8</v>
      </c>
      <c r="AF360" s="177">
        <f t="shared" si="143"/>
        <v>0.19996458817664831</v>
      </c>
      <c r="AG360" s="809">
        <f t="shared" si="149"/>
        <v>4</v>
      </c>
      <c r="AH360" s="176">
        <f t="shared" si="144"/>
        <v>10</v>
      </c>
      <c r="AI360" s="225">
        <f t="shared" si="145"/>
        <v>4.1999645881766483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IF(t&gt;Tmaj,'2025'!Wh/'2025'!Env_an*'2026'!Env_an,0.001*'[14]mon-tableau (2)'!$B$152)</f>
        <v>4.6695603924145974</v>
      </c>
      <c r="C361" s="839"/>
      <c r="D361" s="393">
        <f t="shared" si="127"/>
        <v>5.1300293025485608</v>
      </c>
      <c r="E361" s="385">
        <f t="shared" ref="E361:E379" si="150">Wh_pvt/(1-Psa)</f>
        <v>5.7591240186403363</v>
      </c>
      <c r="F361" s="385">
        <f t="shared" si="128"/>
        <v>5.7801067898884515</v>
      </c>
      <c r="G361" s="110">
        <f t="shared" ref="G361:G379" si="151">+Wh_hp/MaxiM</f>
        <v>0.33912336348898425</v>
      </c>
      <c r="H361" s="414" t="b">
        <f>Wh_hp&gt;='2025'!Maxi_hp</f>
        <v>0</v>
      </c>
      <c r="I361" s="390">
        <f>IF(H361,Wh_hp,'2025'!Maxi_hp)</f>
        <v>17.504311781575961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8.9759508762494972E-2</v>
      </c>
      <c r="M361" s="843"/>
      <c r="N361" s="843"/>
      <c r="O361" s="48">
        <f>IF(t&lt;Tnet,'2025'!Resal+('2025'!Salim-'2025'!Resal)*(1-EXP(('2025'!Tnet-t)/('2025'!Tau_j))),Resal+(Salim-Resal)*(1-EXP((Tnet-t)/(Tau_j))))*Salcycl</f>
        <v>0.10923444503983742</v>
      </c>
      <c r="P361" s="169">
        <f>(INDEX(Models!$BJ361:$BT361,,T361)*(1-R361)+INDEX(Models!$BJ361:$BT361,,T361+1)*R361-ERP_i)*Q361*Ramure*Pc/MaxiM</f>
        <v>4.6679721747772296E-2</v>
      </c>
      <c r="Q361" s="305">
        <f t="shared" si="130"/>
        <v>0.8</v>
      </c>
      <c r="R361" s="177">
        <f t="shared" si="131"/>
        <v>0.99925990668819598</v>
      </c>
      <c r="S361" s="809">
        <f t="shared" si="132"/>
        <v>2</v>
      </c>
      <c r="T361" s="176">
        <f t="shared" si="133"/>
        <v>8</v>
      </c>
      <c r="U361" s="251">
        <f t="shared" si="134"/>
        <v>2.999259906688196</v>
      </c>
      <c r="V361" s="383">
        <f t="shared" si="135"/>
        <v>13.174572995864672</v>
      </c>
      <c r="W361" s="402">
        <f t="shared" si="136"/>
        <v>4.6695603924145974</v>
      </c>
      <c r="X361" s="157">
        <f t="shared" si="137"/>
        <v>46369</v>
      </c>
      <c r="Y361" s="385">
        <f t="shared" si="138"/>
        <v>4.4275390277880202</v>
      </c>
      <c r="Z361" s="385">
        <f t="shared" si="139"/>
        <v>4.8641420266512423</v>
      </c>
      <c r="AA361" s="386">
        <f t="shared" si="140"/>
        <v>5.7543601458844087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0.1547032331422393</v>
      </c>
      <c r="AD361" s="231">
        <f>(INDEX(Models!$BJ361:$BT361,,AH361)*(1-AF361)+INDEX(Models!$BJ361:$BT361,,AH361+1)*AF361-ERP_i)*AE361*Ramure*Pc/MaxiM</f>
        <v>5.7277762018954015E-2</v>
      </c>
      <c r="AE361" s="305">
        <f t="shared" si="142"/>
        <v>0.8</v>
      </c>
      <c r="AF361" s="177">
        <f t="shared" si="143"/>
        <v>0.19997665385310004</v>
      </c>
      <c r="AG361" s="809">
        <f t="shared" si="149"/>
        <v>4</v>
      </c>
      <c r="AH361" s="176">
        <f t="shared" si="144"/>
        <v>10</v>
      </c>
      <c r="AI361" s="225">
        <f t="shared" si="145"/>
        <v>4.1999766538531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IF(t&gt;Tmaj,'2025'!Wh/'2025'!Env_an*'2026'!Env_an,0.001*'[14]mon-tableau (2)'!$B$153)</f>
        <v>12.465560830424399</v>
      </c>
      <c r="C362" s="839"/>
      <c r="D362" s="393">
        <f t="shared" si="127"/>
        <v>13.695125384308659</v>
      </c>
      <c r="E362" s="385">
        <f t="shared" si="150"/>
        <v>15.375955169216866</v>
      </c>
      <c r="F362" s="385">
        <f t="shared" si="128"/>
        <v>16.058936111529455</v>
      </c>
      <c r="G362" s="110">
        <f t="shared" si="151"/>
        <v>0.94124873500831463</v>
      </c>
      <c r="H362" s="414" t="b">
        <f>Wh_hp&gt;='2025'!Maxi_hp</f>
        <v>0</v>
      </c>
      <c r="I362" s="390">
        <f>IF(H362,Wh_hp,'2025'!Maxi_hp)</f>
        <v>17.825188760800483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8.9781182674898791E-2</v>
      </c>
      <c r="M362" s="843"/>
      <c r="N362" s="843"/>
      <c r="O362" s="48">
        <f>IF(t&lt;Tnet,'2025'!Resal+('2025'!Salim-'2025'!Resal)*(1-EXP(('2025'!Tnet-t)/('2025'!Tau_j))),Resal+(Salim-Resal)*(1-EXP((Tnet-t)/(Tau_j))))*Salcycl</f>
        <v>0.10931547122830323</v>
      </c>
      <c r="P362" s="169">
        <f>(INDEX(Models!$BJ362:$BT362,,T362)*(1-R362)+INDEX(Models!$BJ362:$BT362,,T362+1)*R362-ERP_i)*Q362*Ramure*Pc/MaxiM</f>
        <v>4.6167745884277266E-2</v>
      </c>
      <c r="Q362" s="305">
        <f t="shared" si="130"/>
        <v>0.8</v>
      </c>
      <c r="R362" s="177">
        <f t="shared" si="131"/>
        <v>0.99927148702127955</v>
      </c>
      <c r="S362" s="809">
        <f t="shared" si="132"/>
        <v>2</v>
      </c>
      <c r="T362" s="176">
        <f t="shared" si="133"/>
        <v>8</v>
      </c>
      <c r="U362" s="251">
        <f t="shared" si="134"/>
        <v>2.9992714870212795</v>
      </c>
      <c r="V362" s="383">
        <f t="shared" si="135"/>
        <v>13.193319725140608</v>
      </c>
      <c r="W362" s="402">
        <f t="shared" si="136"/>
        <v>12.465560830424399</v>
      </c>
      <c r="X362" s="157">
        <f t="shared" si="137"/>
        <v>46370</v>
      </c>
      <c r="Y362" s="385">
        <f t="shared" si="138"/>
        <v>11.71112823665924</v>
      </c>
      <c r="Z362" s="385">
        <f t="shared" si="139"/>
        <v>12.866277881482644</v>
      </c>
      <c r="AA362" s="386">
        <f t="shared" si="140"/>
        <v>15.221202857442254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0.1547134610855142</v>
      </c>
      <c r="AD362" s="231">
        <f>(INDEX(Models!$BJ362:$BT362,,AH362)*(1-AF362)+INDEX(Models!$BJ362:$BT362,,AH362+1)*AF362-ERP_i)*AE362*Ramure*Pc/MaxiM</f>
        <v>5.6628602055202135E-2</v>
      </c>
      <c r="AE362" s="305">
        <f t="shared" si="142"/>
        <v>0.8</v>
      </c>
      <c r="AF362" s="177">
        <f t="shared" si="143"/>
        <v>0.19998823418618272</v>
      </c>
      <c r="AG362" s="809">
        <f t="shared" si="149"/>
        <v>4</v>
      </c>
      <c r="AH362" s="176">
        <f t="shared" si="144"/>
        <v>10</v>
      </c>
      <c r="AI362" s="225">
        <f t="shared" si="145"/>
        <v>4.1999882341861827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IF(t&gt;Tmaj,'2025'!Wh/'2025'!Env_an*'2026'!Env_an,0.001*'[14]mon-tableau (2)'!$B$154)</f>
        <v>4.892241203654887</v>
      </c>
      <c r="C363" s="839"/>
      <c r="D363" s="393">
        <f t="shared" si="127"/>
        <v>5.374924802115804</v>
      </c>
      <c r="E363" s="385">
        <f t="shared" si="150"/>
        <v>6.0351565048803488</v>
      </c>
      <c r="F363" s="385">
        <f t="shared" si="128"/>
        <v>6.0628744990664289</v>
      </c>
      <c r="G363" s="110">
        <f t="shared" si="151"/>
        <v>0.35477463214264965</v>
      </c>
      <c r="H363" s="414" t="b">
        <f>Wh_hp&gt;='2025'!Maxi_hp</f>
        <v>0</v>
      </c>
      <c r="I363" s="390">
        <f>IF(H363,Wh_hp,'2025'!Maxi_hp)</f>
        <v>16.523910631894243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8.9802856082918964E-2</v>
      </c>
      <c r="M363" s="843"/>
      <c r="N363" s="843"/>
      <c r="O363" s="48">
        <f>IF(t&lt;Tnet,'2025'!Resal+('2025'!Salim-'2025'!Resal)*(1-EXP(('2025'!Tnet-t)/('2025'!Tau_j))),Resal+(Salim-Resal)*(1-EXP((Tnet-t)/(Tau_j))))*Salcycl</f>
        <v>0.10939761085410894</v>
      </c>
      <c r="P363" s="169">
        <f>(INDEX(Models!$BJ363:$BT363,,T363)*(1-R363)+INDEX(Models!$BJ363:$BT363,,T363+1)*R363-ERP_i)*Q363*Ramure*Pc/MaxiM</f>
        <v>4.5680363531900213E-2</v>
      </c>
      <c r="Q363" s="305">
        <f t="shared" si="130"/>
        <v>0.8</v>
      </c>
      <c r="R363" s="177">
        <f t="shared" si="131"/>
        <v>0.99928260151638693</v>
      </c>
      <c r="S363" s="809">
        <f t="shared" si="132"/>
        <v>2</v>
      </c>
      <c r="T363" s="176">
        <f t="shared" si="133"/>
        <v>8</v>
      </c>
      <c r="U363" s="251">
        <f t="shared" si="134"/>
        <v>2.9992826015163869</v>
      </c>
      <c r="V363" s="383">
        <f t="shared" si="135"/>
        <v>13.220235892238268</v>
      </c>
      <c r="W363" s="402">
        <f t="shared" si="136"/>
        <v>4.892241203654887</v>
      </c>
      <c r="X363" s="157">
        <f t="shared" si="137"/>
        <v>46371</v>
      </c>
      <c r="Y363" s="385">
        <f t="shared" si="138"/>
        <v>4.638423966090536</v>
      </c>
      <c r="Z363" s="385">
        <f t="shared" si="139"/>
        <v>5.0960651734511444</v>
      </c>
      <c r="AA363" s="386">
        <f t="shared" si="140"/>
        <v>6.0288874594816448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0.15472544350839537</v>
      </c>
      <c r="AD363" s="231">
        <f>(INDEX(Models!$BJ363:$BT363,,AH363)*(1-AF363)+INDEX(Models!$BJ363:$BT363,,AH363+1)*AF363-ERP_i)*AE363*Ramure*Pc/MaxiM</f>
        <v>5.6012001199773002E-2</v>
      </c>
      <c r="AE363" s="305">
        <f t="shared" si="142"/>
        <v>0.8</v>
      </c>
      <c r="AF363" s="177">
        <f t="shared" si="143"/>
        <v>0.19999934868129099</v>
      </c>
      <c r="AG363" s="809">
        <f t="shared" si="149"/>
        <v>4</v>
      </c>
      <c r="AH363" s="176">
        <f t="shared" si="144"/>
        <v>10</v>
      </c>
      <c r="AI363" s="225">
        <f t="shared" si="145"/>
        <v>4.199999348681291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IF(t&gt;Tmaj,'2025'!Wh/'2025'!Env_an*'2026'!Env_an,0.001*'[14]mon-tableau (2)'!$B$155)</f>
        <v>4.1361760837601143</v>
      </c>
      <c r="C364" s="839"/>
      <c r="D364" s="393">
        <f t="shared" si="127"/>
        <v>4.5443721738124836</v>
      </c>
      <c r="E364" s="385">
        <f t="shared" si="150"/>
        <v>5.1030591668666672</v>
      </c>
      <c r="F364" s="385">
        <f t="shared" si="128"/>
        <v>5.1070370050876264</v>
      </c>
      <c r="G364" s="110">
        <f t="shared" si="151"/>
        <v>0.29817806071907532</v>
      </c>
      <c r="H364" s="414" t="b">
        <f>Wh_hp&gt;='2025'!Maxi_hp</f>
        <v>0</v>
      </c>
      <c r="I364" s="390">
        <f>IF(H364,Wh_hp,'2025'!Maxi_hp)</f>
        <v>16.953885897183909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8.9824528986567259E-2</v>
      </c>
      <c r="M364" s="843"/>
      <c r="N364" s="843"/>
      <c r="O364" s="48">
        <f>IF(t&lt;Tnet,'2025'!Resal+('2025'!Salim-'2025'!Resal)*(1-EXP(('2025'!Tnet-t)/('2025'!Tau_j))),Resal+(Salim-Resal)*(1-EXP((Tnet-t)/(Tau_j))))*Salcycl</f>
        <v>0.10948079863185728</v>
      </c>
      <c r="P364" s="169">
        <f>(INDEX(Models!$BJ364:$BT364,,T364)*(1-R364)+INDEX(Models!$BJ364:$BT364,,T364+1)*R364-ERP_i)*Q364*Ramure*Pc/MaxiM</f>
        <v>4.5220244555807178E-2</v>
      </c>
      <c r="Q364" s="305">
        <f t="shared" si="130"/>
        <v>0.8</v>
      </c>
      <c r="R364" s="177">
        <f t="shared" si="131"/>
        <v>0.99929326889640135</v>
      </c>
      <c r="S364" s="809">
        <f t="shared" si="132"/>
        <v>2</v>
      </c>
      <c r="T364" s="176">
        <f t="shared" si="133"/>
        <v>8</v>
      </c>
      <c r="U364" s="251">
        <f t="shared" si="134"/>
        <v>2.9992932688964014</v>
      </c>
      <c r="V364" s="383">
        <f t="shared" si="135"/>
        <v>13.254548424593109</v>
      </c>
      <c r="W364" s="402">
        <f t="shared" si="136"/>
        <v>4.1361760837601143</v>
      </c>
      <c r="X364" s="157">
        <f t="shared" si="137"/>
        <v>46372</v>
      </c>
      <c r="Y364" s="385">
        <f t="shared" si="138"/>
        <v>3.9252748308461061</v>
      </c>
      <c r="Z364" s="385">
        <f t="shared" si="139"/>
        <v>4.3126572357256761</v>
      </c>
      <c r="AA364" s="386">
        <f t="shared" si="140"/>
        <v>5.1021609483281933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0.15473908420337293</v>
      </c>
      <c r="AD364" s="231">
        <f>(INDEX(Models!$BJ364:$BT364,,AH364)*(1-AF364)+INDEX(Models!$BJ364:$BT364,,AH364+1)*AF364-ERP_i)*AE364*Ramure*Pc/MaxiM</f>
        <v>5.543123346940762E-2</v>
      </c>
      <c r="AE364" s="305">
        <f t="shared" si="142"/>
        <v>0.8</v>
      </c>
      <c r="AF364" s="177">
        <f t="shared" si="143"/>
        <v>0.20001001606130497</v>
      </c>
      <c r="AG364" s="809">
        <f t="shared" si="149"/>
        <v>4</v>
      </c>
      <c r="AH364" s="176">
        <f t="shared" si="144"/>
        <v>10</v>
      </c>
      <c r="AI364" s="225">
        <f t="shared" si="145"/>
        <v>4.200010016061305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IF(t&gt;Tmaj,'2025'!Wh/'2025'!Env_an*'2026'!Env_an,0.001*'[14]mon-tableau (2)'!$B$156)</f>
        <v>3.0750726225282636</v>
      </c>
      <c r="C365" s="839"/>
      <c r="D365" s="393">
        <f t="shared" si="127"/>
        <v>3.3786296637014051</v>
      </c>
      <c r="E365" s="385">
        <f t="shared" si="150"/>
        <v>3.7943584259502336</v>
      </c>
      <c r="F365" s="385">
        <f t="shared" si="128"/>
        <v>3.7943584259502336</v>
      </c>
      <c r="G365" s="110">
        <f t="shared" si="151"/>
        <v>0.22092768456985568</v>
      </c>
      <c r="H365" s="414" t="b">
        <f>Wh_hp&gt;='2025'!Maxi_hp</f>
        <v>0</v>
      </c>
      <c r="I365" s="390">
        <f>IF(H365,Wh_hp,'2025'!Maxi_hp)</f>
        <v>16.997202859341002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8.9846201385855445E-2</v>
      </c>
      <c r="M365" s="843"/>
      <c r="N365" s="843"/>
      <c r="O365" s="48">
        <f>IF(t&lt;Tnet,'2025'!Resal+('2025'!Salim-'2025'!Resal)*(1-EXP(('2025'!Tnet-t)/('2025'!Tau_j))),Resal+(Salim-Resal)*(1-EXP((Tnet-t)/(Tau_j))))*Salcycl</f>
        <v>0.10956496871924172</v>
      </c>
      <c r="P365" s="169">
        <f>(INDEX(Models!$BJ365:$BT365,,T365)*(1-R365)+INDEX(Models!$BJ365:$BT365,,T365+1)*R365-ERP_i)*Q365*Ramure*Pc/MaxiM</f>
        <v>4.478988421239806E-2</v>
      </c>
      <c r="Q365" s="305">
        <f t="shared" si="130"/>
        <v>0.8</v>
      </c>
      <c r="R365" s="177">
        <f t="shared" si="131"/>
        <v>0.99930350713297633</v>
      </c>
      <c r="S365" s="809">
        <f t="shared" si="132"/>
        <v>2</v>
      </c>
      <c r="T365" s="176">
        <f t="shared" si="133"/>
        <v>8</v>
      </c>
      <c r="U365" s="251">
        <f t="shared" si="134"/>
        <v>2.9993035071329763</v>
      </c>
      <c r="V365" s="383">
        <f t="shared" si="135"/>
        <v>13.295483911577151</v>
      </c>
      <c r="W365" s="402">
        <f t="shared" si="136"/>
        <v>3.0750726225282636</v>
      </c>
      <c r="X365" s="157">
        <f t="shared" si="137"/>
        <v>46373</v>
      </c>
      <c r="Y365" s="385">
        <f t="shared" si="138"/>
        <v>2.9190135852060171</v>
      </c>
      <c r="Z365" s="385">
        <f t="shared" si="139"/>
        <v>3.2071651952128137</v>
      </c>
      <c r="AA365" s="386">
        <f t="shared" si="140"/>
        <v>3.7943584259502336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0.15475428644840467</v>
      </c>
      <c r="AD365" s="231">
        <f>(INDEX(Models!$BJ365:$BT365,,AH365)*(1-AF365)+INDEX(Models!$BJ365:$BT365,,AH365+1)*AF365-ERP_i)*AE365*Ramure*Pc/MaxiM</f>
        <v>5.4889349059813478E-2</v>
      </c>
      <c r="AE365" s="305">
        <f t="shared" si="142"/>
        <v>0.8</v>
      </c>
      <c r="AF365" s="177">
        <f t="shared" si="143"/>
        <v>0.20002025429787995</v>
      </c>
      <c r="AG365" s="809">
        <f t="shared" si="149"/>
        <v>4</v>
      </c>
      <c r="AH365" s="176">
        <f t="shared" si="144"/>
        <v>10</v>
      </c>
      <c r="AI365" s="225">
        <f t="shared" si="145"/>
        <v>4.20002025429788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IF(t&gt;Tmaj,'2025'!Wh/'2025'!Env_an*'2026'!Env_an,0.001*'[14]mon-tableau (2)'!$B$157)</f>
        <v>12.362858729897505</v>
      </c>
      <c r="C366" s="839"/>
      <c r="D366" s="393">
        <f t="shared" si="127"/>
        <v>13.583586785868631</v>
      </c>
      <c r="E366" s="385">
        <f t="shared" si="150"/>
        <v>15.256458277223585</v>
      </c>
      <c r="F366" s="385">
        <f t="shared" si="128"/>
        <v>15.888115100923285</v>
      </c>
      <c r="G366" s="110">
        <f t="shared" si="151"/>
        <v>0.92212083318453553</v>
      </c>
      <c r="H366" s="414" t="b">
        <f>Wh_hp&gt;='2025'!Maxi_hp</f>
        <v>0</v>
      </c>
      <c r="I366" s="390">
        <f>IF(H366,Wh_hp,'2025'!Maxi_hp)</f>
        <v>17.776988276378741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8.986787328079518E-2</v>
      </c>
      <c r="M366" s="843"/>
      <c r="N366" s="843"/>
      <c r="O366" s="48">
        <f>IF(t&lt;Tnet,'2025'!Resal+('2025'!Salim-'2025'!Resal)*(1-EXP(('2025'!Tnet-t)/('2025'!Tau_j))),Resal+(Salim-Resal)*(1-EXP((Tnet-t)/(Tau_j))))*Salcycl</f>
        <v>0.109650055141067</v>
      </c>
      <c r="P366" s="169">
        <f>(INDEX(Models!$BJ366:$BT366,,T366)*(1-R366)+INDEX(Models!$BJ366:$BT366,,T366+1)*R366-ERP_i)*Q366*Ramure*Pc/MaxiM</f>
        <v>4.4412666561624639E-2</v>
      </c>
      <c r="Q366" s="305">
        <f t="shared" si="130"/>
        <v>0.8</v>
      </c>
      <c r="R366" s="177">
        <f t="shared" si="131"/>
        <v>0.99931333347657958</v>
      </c>
      <c r="S366" s="809">
        <f t="shared" si="132"/>
        <v>2</v>
      </c>
      <c r="T366" s="176">
        <f t="shared" si="133"/>
        <v>8</v>
      </c>
      <c r="U366" s="251">
        <f t="shared" si="134"/>
        <v>2.9993133334765796</v>
      </c>
      <c r="V366" s="383">
        <f t="shared" si="135"/>
        <v>13.341974575775209</v>
      </c>
      <c r="W366" s="402">
        <f t="shared" si="136"/>
        <v>12.362858729897505</v>
      </c>
      <c r="X366" s="157">
        <f t="shared" si="137"/>
        <v>46374</v>
      </c>
      <c r="Y366" s="385">
        <f t="shared" si="138"/>
        <v>11.626888317622464</v>
      </c>
      <c r="Z366" s="385">
        <f t="shared" si="139"/>
        <v>12.774945501082842</v>
      </c>
      <c r="AA366" s="386">
        <f t="shared" si="140"/>
        <v>15.1141818369624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0.15477095360589435</v>
      </c>
      <c r="AD366" s="231">
        <f>(INDEX(Models!$BJ366:$BT366,,AH366)*(1-AF366)+INDEX(Models!$BJ366:$BT366,,AH366+1)*AF366-ERP_i)*AE366*Ramure*Pc/MaxiM</f>
        <v>5.4416320228950495E-2</v>
      </c>
      <c r="AE366" s="305">
        <f t="shared" si="142"/>
        <v>0.8</v>
      </c>
      <c r="AF366" s="177">
        <f t="shared" si="143"/>
        <v>0.20003008064148275</v>
      </c>
      <c r="AG366" s="809">
        <f t="shared" si="149"/>
        <v>4</v>
      </c>
      <c r="AH366" s="176">
        <f t="shared" si="144"/>
        <v>10</v>
      </c>
      <c r="AI366" s="225">
        <f t="shared" si="145"/>
        <v>4.2000300806414828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IF(t&gt;Tmaj,'2025'!Wh/'2025'!Env_an*'2026'!Env_an,0.001*'[14]mon-tableau (2)'!$B$158)</f>
        <v>10.288861882118448</v>
      </c>
      <c r="C367" s="839"/>
      <c r="D367" s="393">
        <f t="shared" si="127"/>
        <v>11.305069425231011</v>
      </c>
      <c r="E367" s="385">
        <f t="shared" si="150"/>
        <v>12.698558322226649</v>
      </c>
      <c r="F367" s="385">
        <f t="shared" si="128"/>
        <v>13.084216881829089</v>
      </c>
      <c r="G367" s="110">
        <f t="shared" si="151"/>
        <v>0.75664394155960457</v>
      </c>
      <c r="H367" s="414" t="b">
        <f>Wh_hp&gt;='2025'!Maxi_hp</f>
        <v>0</v>
      </c>
      <c r="I367" s="390">
        <f>IF(H367,Wh_hp,'2025'!Maxi_hp)</f>
        <v>17.087258276429306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8.9889544671398341E-2</v>
      </c>
      <c r="M367" s="843"/>
      <c r="N367" s="843"/>
      <c r="O367" s="48">
        <f>IF(t&lt;Tnet,'2025'!Resal+('2025'!Salim-'2025'!Resal)*(1-EXP(('2025'!Tnet-t)/('2025'!Tau_j))),Resal+(Salim-Resal)*(1-EXP((Tnet-t)/(Tau_j))))*Salcycl</f>
        <v>0.10973599219972674</v>
      </c>
      <c r="P367" s="169">
        <f>(INDEX(Models!$BJ367:$BT367,,T367)*(1-R367)+INDEX(Models!$BJ367:$BT367,,T367+1)*R367-ERP_i)*Q367*Ramure*Pc/MaxiM</f>
        <v>4.4068335015662111E-2</v>
      </c>
      <c r="Q367" s="305">
        <f t="shared" si="130"/>
        <v>0.8</v>
      </c>
      <c r="R367" s="177">
        <f t="shared" si="131"/>
        <v>0.99932276448533885</v>
      </c>
      <c r="S367" s="809">
        <f t="shared" si="132"/>
        <v>2</v>
      </c>
      <c r="T367" s="176">
        <f t="shared" si="133"/>
        <v>8</v>
      </c>
      <c r="U367" s="251">
        <f t="shared" si="134"/>
        <v>2.9993227644853389</v>
      </c>
      <c r="V367" s="383">
        <f t="shared" si="135"/>
        <v>13.393557372034838</v>
      </c>
      <c r="W367" s="402">
        <f t="shared" si="136"/>
        <v>10.288861882118448</v>
      </c>
      <c r="X367" s="157">
        <f t="shared" si="137"/>
        <v>46375</v>
      </c>
      <c r="Y367" s="385">
        <f t="shared" si="138"/>
        <v>9.701413508810834</v>
      </c>
      <c r="Z367" s="385">
        <f t="shared" si="139"/>
        <v>10.659600108986849</v>
      </c>
      <c r="AA367" s="386">
        <f t="shared" si="140"/>
        <v>12.611762008643765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0.15478898970016697</v>
      </c>
      <c r="AD367" s="231">
        <f>(INDEX(Models!$BJ367:$BT367,,AH367)*(1-AF367)+INDEX(Models!$BJ367:$BT367,,AH367+1)*AF367-ERP_i)*AE367*Ramure*Pc/MaxiM</f>
        <v>5.3986354283892632E-2</v>
      </c>
      <c r="AE367" s="305">
        <f t="shared" si="142"/>
        <v>0.8</v>
      </c>
      <c r="AF367" s="177">
        <f t="shared" si="143"/>
        <v>0.20003951165024247</v>
      </c>
      <c r="AG367" s="809">
        <f t="shared" si="149"/>
        <v>4</v>
      </c>
      <c r="AH367" s="176">
        <f t="shared" si="144"/>
        <v>10</v>
      </c>
      <c r="AI367" s="225">
        <f t="shared" si="145"/>
        <v>4.2000395116502425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IF(t&gt;Tmaj,'2025'!Wh/'2025'!Env_an*'2026'!Env_an,0.001*'[14]mon-tableau (2)'!$B$159)</f>
        <v>4.1613549631149542</v>
      </c>
      <c r="C368" s="839"/>
      <c r="D368" s="393">
        <f t="shared" si="127"/>
        <v>4.5724714272409299</v>
      </c>
      <c r="E368" s="385">
        <f t="shared" si="150"/>
        <v>5.1365851540113212</v>
      </c>
      <c r="F368" s="385">
        <f t="shared" si="128"/>
        <v>5.1396075031036732</v>
      </c>
      <c r="G368" s="110">
        <f t="shared" si="151"/>
        <v>0.29604167551825766</v>
      </c>
      <c r="H368" s="414" t="b">
        <f>Wh_hp&gt;='2025'!Maxi_hp</f>
        <v>0</v>
      </c>
      <c r="I368" s="390">
        <f>IF(H368,Wh_hp,'2025'!Maxi_hp)</f>
        <v>17.638070585315422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8.9911215557676477E-2</v>
      </c>
      <c r="M368" s="843"/>
      <c r="N368" s="843"/>
      <c r="O368" s="48">
        <f>IF(t&lt;Tnet,'2025'!Resal+('2025'!Salim-'2025'!Resal)*(1-EXP(('2025'!Tnet-t)/('2025'!Tau_j))),Resal+(Salim-Resal)*(1-EXP((Tnet-t)/(Tau_j))))*Salcycl</f>
        <v>0.10982271486920785</v>
      </c>
      <c r="P368" s="169">
        <f>(INDEX(Models!$BJ368:$BT368,,T368)*(1-R368)+INDEX(Models!$BJ368:$BT368,,T368+1)*R368-ERP_i)*Q368*Ramure*Pc/MaxiM</f>
        <v>4.3758903802535901E-2</v>
      </c>
      <c r="Q368" s="305">
        <f t="shared" si="130"/>
        <v>0.8</v>
      </c>
      <c r="R368" s="177">
        <f t="shared" si="131"/>
        <v>0.99933181605274513</v>
      </c>
      <c r="S368" s="809">
        <f t="shared" si="132"/>
        <v>2</v>
      </c>
      <c r="T368" s="176">
        <f t="shared" si="133"/>
        <v>8</v>
      </c>
      <c r="U368" s="251">
        <f t="shared" si="134"/>
        <v>2.9993318160527451</v>
      </c>
      <c r="V368" s="383">
        <f t="shared" si="135"/>
        <v>13.449457772323134</v>
      </c>
      <c r="W368" s="402">
        <f t="shared" si="136"/>
        <v>4.1613549631149542</v>
      </c>
      <c r="X368" s="157">
        <f t="shared" si="137"/>
        <v>46376</v>
      </c>
      <c r="Y368" s="385">
        <f t="shared" si="138"/>
        <v>3.950535734623267</v>
      </c>
      <c r="Z368" s="385">
        <f t="shared" si="139"/>
        <v>4.3408245460843062</v>
      </c>
      <c r="AA368" s="386">
        <f t="shared" si="140"/>
        <v>5.1359053170153972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0.15480829996942624</v>
      </c>
      <c r="AD368" s="231">
        <f>(INDEX(Models!$BJ368:$BT368,,AH368)*(1-AF368)+INDEX(Models!$BJ368:$BT368,,AH368+1)*AF368-ERP_i)*AE368*Ramure*Pc/MaxiM</f>
        <v>5.3601883814771427E-2</v>
      </c>
      <c r="AE368" s="305">
        <f t="shared" si="142"/>
        <v>0.8</v>
      </c>
      <c r="AF368" s="177">
        <f t="shared" si="143"/>
        <v>0.2000485632176483</v>
      </c>
      <c r="AG368" s="809">
        <f t="shared" si="149"/>
        <v>4</v>
      </c>
      <c r="AH368" s="176">
        <f t="shared" si="144"/>
        <v>10</v>
      </c>
      <c r="AI368" s="225">
        <f t="shared" si="145"/>
        <v>4.2000485632176483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IF(t&gt;Tmaj,'2025'!Wh/'2025'!Env_an*'2026'!Env_an,0.001*'[14]mon-tableau (2)'!$B$160)</f>
        <v>13.087818093779035</v>
      </c>
      <c r="C369" s="839"/>
      <c r="D369" s="393">
        <f t="shared" si="127"/>
        <v>14.381157050479917</v>
      </c>
      <c r="E369" s="385">
        <f t="shared" si="150"/>
        <v>16.156972465911622</v>
      </c>
      <c r="F369" s="385">
        <f t="shared" si="128"/>
        <v>16.857394246532422</v>
      </c>
      <c r="G369" s="110">
        <f t="shared" si="151"/>
        <v>0.96687182792207926</v>
      </c>
      <c r="H369" s="414" t="b">
        <f>Wh_hp&gt;='2025'!Maxi_hp</f>
        <v>0</v>
      </c>
      <c r="I369" s="390">
        <f>IF(H369,Wh_hp,'2025'!Maxi_hp)</f>
        <v>16.885283849711772</v>
      </c>
      <c r="J369" s="85">
        <f>IF(H369,An,'2025'!An_max)</f>
        <v>2022</v>
      </c>
      <c r="K369" s="197">
        <f t="shared" si="129"/>
        <v>46377</v>
      </c>
      <c r="L369" s="147">
        <f>IF(t&lt;Tvie,1-EXP((T0-t)*PertePVj)+'2025'!Pspv,1-EXP((T0-t)*PertePVj)+Pspv)</f>
        <v>8.9932885939641577E-2</v>
      </c>
      <c r="M369" s="843"/>
      <c r="N369" s="843"/>
      <c r="O369" s="48">
        <f>IF(t&lt;Tnet,'2025'!Resal+('2025'!Salim-'2025'!Resal)*(1-EXP(('2025'!Tnet-t)/('2025'!Tau_j))),Resal+(Salim-Resal)*(1-EXP((Tnet-t)/(Tau_j))))*Salcycl</f>
        <v>0.10991015916987946</v>
      </c>
      <c r="P369" s="169">
        <f>(INDEX(Models!$BJ369:$BT369,,T369)*(1-R369)+INDEX(Models!$BJ369:$BT369,,T369+1)*R369-ERP_i)*Q369*Ramure*Pc/MaxiM</f>
        <v>4.3486253805673725E-2</v>
      </c>
      <c r="Q369" s="305">
        <f t="shared" si="130"/>
        <v>0.8</v>
      </c>
      <c r="R369" s="177">
        <f t="shared" si="131"/>
        <v>0.99934050343424907</v>
      </c>
      <c r="S369" s="809">
        <f t="shared" si="132"/>
        <v>2</v>
      </c>
      <c r="T369" s="176">
        <f t="shared" si="133"/>
        <v>8</v>
      </c>
      <c r="U369" s="251">
        <f t="shared" si="134"/>
        <v>2.9993405034342491</v>
      </c>
      <c r="V369" s="383">
        <f t="shared" si="135"/>
        <v>13.50890098916987</v>
      </c>
      <c r="W369" s="402">
        <f t="shared" si="136"/>
        <v>13.087818093779035</v>
      </c>
      <c r="X369" s="157">
        <f t="shared" si="137"/>
        <v>46377</v>
      </c>
      <c r="Y369" s="385">
        <f t="shared" si="138"/>
        <v>12.306189589997009</v>
      </c>
      <c r="Z369" s="385">
        <f t="shared" si="139"/>
        <v>13.522287971808664</v>
      </c>
      <c r="AA369" s="386">
        <f t="shared" si="140"/>
        <v>15.999465947288181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0.15482879138846403</v>
      </c>
      <c r="AD369" s="231">
        <f>(INDEX(Models!$BJ369:$BT369,,AH369)*(1-AF369)+INDEX(Models!$BJ369:$BT369,,AH369+1)*AF369-ERP_i)*AE369*Ramure*Pc/MaxiM</f>
        <v>5.326517364285567E-2</v>
      </c>
      <c r="AE369" s="305">
        <f t="shared" si="142"/>
        <v>0.8</v>
      </c>
      <c r="AF369" s="177">
        <f t="shared" si="143"/>
        <v>0.20005725059915314</v>
      </c>
      <c r="AG369" s="809">
        <f t="shared" si="149"/>
        <v>4</v>
      </c>
      <c r="AH369" s="176">
        <f t="shared" si="144"/>
        <v>10</v>
      </c>
      <c r="AI369" s="225">
        <f t="shared" si="145"/>
        <v>4.2000572505991531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IF(t&gt;Tmaj,'2025'!Wh/'2025'!Env_an*'2026'!Env_an,0.001*'[14]mon-tableau (2)'!$B$161)</f>
        <v>9.6640398157795442</v>
      </c>
      <c r="C370" s="839"/>
      <c r="D370" s="393">
        <f t="shared" si="127"/>
        <v>10.619293660064137</v>
      </c>
      <c r="E370" s="385">
        <f t="shared" si="150"/>
        <v>11.931767335814978</v>
      </c>
      <c r="F370" s="385">
        <f t="shared" si="128"/>
        <v>12.243529085508689</v>
      </c>
      <c r="G370" s="110">
        <f t="shared" si="151"/>
        <v>0.69910532988978602</v>
      </c>
      <c r="H370" s="414" t="b">
        <f>Wh_hp&gt;='2025'!Maxi_hp</f>
        <v>0</v>
      </c>
      <c r="I370" s="390">
        <f>IF(H370,Wh_hp,'2025'!Maxi_hp)</f>
        <v>16.570747847760565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8.9954555817305076E-2</v>
      </c>
      <c r="M370" s="843"/>
      <c r="N370" s="843"/>
      <c r="O370" s="48">
        <f>IF(t&lt;Tnet,'2025'!Resal+('2025'!Salim-'2025'!Resal)*(1-EXP(('2025'!Tnet-t)/('2025'!Tau_j))),Resal+(Salim-Resal)*(1-EXP((Tnet-t)/(Tau_j))))*Salcycl</f>
        <v>0.10999826252153409</v>
      </c>
      <c r="P370" s="169">
        <f>(INDEX(Models!$BJ370:$BT370,,T370)*(1-R370)+INDEX(Models!$BJ370:$BT370,,T370+1)*R370-ERP_i)*Q370*Ramure*Pc/MaxiM</f>
        <v>4.3252148012388483E-2</v>
      </c>
      <c r="Q370" s="305">
        <f t="shared" si="130"/>
        <v>0.8</v>
      </c>
      <c r="R370" s="177">
        <f t="shared" si="131"/>
        <v>0.99934884127280599</v>
      </c>
      <c r="S370" s="809">
        <f t="shared" si="132"/>
        <v>2</v>
      </c>
      <c r="T370" s="176">
        <f t="shared" si="133"/>
        <v>8</v>
      </c>
      <c r="U370" s="251">
        <f t="shared" si="134"/>
        <v>2.999348841272806</v>
      </c>
      <c r="V370" s="383">
        <f t="shared" si="135"/>
        <v>13.57111198953138</v>
      </c>
      <c r="W370" s="402">
        <f t="shared" si="136"/>
        <v>9.6640398157795442</v>
      </c>
      <c r="X370" s="157">
        <f t="shared" si="137"/>
        <v>46378</v>
      </c>
      <c r="Y370" s="385">
        <f t="shared" si="138"/>
        <v>9.1230947907664177</v>
      </c>
      <c r="Z370" s="385">
        <f t="shared" si="139"/>
        <v>10.024878261941964</v>
      </c>
      <c r="AA370" s="386">
        <f t="shared" si="140"/>
        <v>11.861660874666041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0.15485037315870739</v>
      </c>
      <c r="AD370" s="231">
        <f>(INDEX(Models!$BJ370:$BT370,,AH370)*(1-AF370)+INDEX(Models!$BJ370:$BT370,,AH370+1)*AF370-ERP_i)*AE370*Ramure*Pc/MaxiM</f>
        <v>5.2978341290485016E-2</v>
      </c>
      <c r="AE370" s="305">
        <f t="shared" si="142"/>
        <v>0.8</v>
      </c>
      <c r="AF370" s="177">
        <f t="shared" si="143"/>
        <v>0.20006558843770961</v>
      </c>
      <c r="AG370" s="809">
        <f t="shared" si="149"/>
        <v>4</v>
      </c>
      <c r="AH370" s="176">
        <f t="shared" si="144"/>
        <v>10</v>
      </c>
      <c r="AI370" s="225">
        <f t="shared" si="145"/>
        <v>4.2000655884377096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IF(t&gt;Tmaj,'2025'!Wh/'2025'!Env_an*'2026'!Env_an,0.001*'[14]mon-tableau (2)'!$B$162)</f>
        <v>10.389282412573765</v>
      </c>
      <c r="C371" s="839"/>
      <c r="D371" s="393">
        <f t="shared" si="127"/>
        <v>11.416495590734044</v>
      </c>
      <c r="E371" s="385">
        <f t="shared" si="150"/>
        <v>12.828776666737793</v>
      </c>
      <c r="F371" s="385">
        <f t="shared" si="128"/>
        <v>13.203962696865343</v>
      </c>
      <c r="G371" s="110">
        <f t="shared" si="151"/>
        <v>0.7504554355007711</v>
      </c>
      <c r="H371" s="414" t="b">
        <f>Wh_hp&gt;='2025'!Maxi_hp</f>
        <v>0</v>
      </c>
      <c r="I371" s="390">
        <f>IF(H371,Wh_hp,'2025'!Maxi_hp)</f>
        <v>14.372652723691925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8.9976225190678966E-2</v>
      </c>
      <c r="M371" s="843"/>
      <c r="N371" s="843"/>
      <c r="O371" s="48">
        <f>IF(t&lt;Tnet,'2025'!Resal+('2025'!Salim-'2025'!Resal)*(1-EXP(('2025'!Tnet-t)/('2025'!Tau_j))),Resal+(Salim-Resal)*(1-EXP((Tnet-t)/(Tau_j))))*Salcycl</f>
        <v>0.11008696407237996</v>
      </c>
      <c r="P371" s="169">
        <f>(INDEX(Models!$BJ371:$BT371,,T371)*(1-R371)+INDEX(Models!$BJ371:$BT371,,T371+1)*R371-ERP_i)*Q371*Ramure*Pc/MaxiM</f>
        <v>4.3058171214046446E-2</v>
      </c>
      <c r="Q371" s="305">
        <f t="shared" si="130"/>
        <v>0.8</v>
      </c>
      <c r="R371" s="177">
        <f t="shared" si="131"/>
        <v>0.99934884127280599</v>
      </c>
      <c r="S371" s="809">
        <f t="shared" si="132"/>
        <v>2</v>
      </c>
      <c r="T371" s="176">
        <f t="shared" si="133"/>
        <v>8</v>
      </c>
      <c r="U371" s="251">
        <f t="shared" si="134"/>
        <v>2.999348841272806</v>
      </c>
      <c r="V371" s="383">
        <f t="shared" si="135"/>
        <v>13.635316615250447</v>
      </c>
      <c r="W371" s="402">
        <f t="shared" si="136"/>
        <v>10.389282412573765</v>
      </c>
      <c r="X371" s="157">
        <f t="shared" si="137"/>
        <v>46379</v>
      </c>
      <c r="Y371" s="385">
        <f t="shared" si="138"/>
        <v>9.8015243174069617</v>
      </c>
      <c r="Z371" s="385">
        <f t="shared" si="139"/>
        <v>10.770624448202678</v>
      </c>
      <c r="AA371" s="386">
        <f t="shared" si="140"/>
        <v>12.744385047768516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0.15487295716252969</v>
      </c>
      <c r="AD371" s="231">
        <f>(INDEX(Models!$BJ371:$BT371,,AH371)*(1-AF371)+INDEX(Models!$BJ371:$BT371,,AH371+1)*AF371-ERP_i)*AE371*Ramure*Pc/MaxiM</f>
        <v>5.2743363323609571E-2</v>
      </c>
      <c r="AE371" s="305">
        <f t="shared" si="142"/>
        <v>0.8</v>
      </c>
      <c r="AF371" s="177">
        <f t="shared" si="143"/>
        <v>0.20006558843770961</v>
      </c>
      <c r="AG371" s="809">
        <f t="shared" si="149"/>
        <v>4</v>
      </c>
      <c r="AH371" s="176">
        <f t="shared" si="144"/>
        <v>10</v>
      </c>
      <c r="AI371" s="225">
        <f t="shared" si="145"/>
        <v>4.2000655884377096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IF(t&gt;Tmaj,'2025'!Wh/'2025'!Env_an*'2026'!Env_an,0.001*'[14]mon-tableau (2)'!$B$163)</f>
        <v>13.812219096551454</v>
      </c>
      <c r="C372" s="839"/>
      <c r="D372" s="393">
        <f t="shared" si="127"/>
        <v>15.178227617704799</v>
      </c>
      <c r="E372" s="385">
        <f t="shared" si="150"/>
        <v>17.05756544500786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Wh_hp&gt;='2025'!Maxi_hp</f>
        <v>1</v>
      </c>
      <c r="I372" s="390">
        <f>IF(H372,Wh_hp,'2025'!Maxi_hp)</f>
        <v>17.822245305266634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8.9997894059774902E-2</v>
      </c>
      <c r="M372" s="843"/>
      <c r="N372" s="843"/>
      <c r="O372" s="48">
        <f>IF(t&lt;Tnet,'2025'!Resal+('2025'!Salim-'2025'!Resal)*(1-EXP(('2025'!Tnet-t)/('2025'!Tau_j))),Resal+(Salim-Resal)*(1-EXP((Tnet-t)/(Tau_j))))*Salcycl</f>
        <v>0.11017620500193226</v>
      </c>
      <c r="P372" s="169">
        <f>(INDEX(Models!$BJ372:$BT372,,T372)*(1-R372)+INDEX(Models!$BJ372:$BT372,,T372+1)*R372-ERP_i)*Q372*Ramure*Pc/MaxiM</f>
        <v>4.2905921625531807E-2</v>
      </c>
      <c r="Q372" s="305">
        <f t="shared" si="130"/>
        <v>0.8</v>
      </c>
      <c r="R372" s="177">
        <f t="shared" si="131"/>
        <v>0.99934884127280599</v>
      </c>
      <c r="S372" s="809">
        <f t="shared" si="132"/>
        <v>2</v>
      </c>
      <c r="T372" s="176">
        <f t="shared" si="133"/>
        <v>8</v>
      </c>
      <c r="U372" s="251">
        <f t="shared" si="134"/>
        <v>2.999348841272806</v>
      </c>
      <c r="V372" s="383">
        <f t="shared" si="135"/>
        <v>13.700739153572798</v>
      </c>
      <c r="W372" s="402">
        <f t="shared" si="136"/>
        <v>13.812219096551454</v>
      </c>
      <c r="X372" s="157">
        <f t="shared" si="137"/>
        <v>46380</v>
      </c>
      <c r="Y372" s="385">
        <f t="shared" si="138"/>
        <v>12.985704101991534</v>
      </c>
      <c r="Z372" s="385">
        <f t="shared" si="139"/>
        <v>14.269971483829202</v>
      </c>
      <c r="AA372" s="386">
        <f t="shared" si="140"/>
        <v>16.885471165414632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0.15489645837911717</v>
      </c>
      <c r="AD372" s="231">
        <f>(INDEX(Models!$BJ372:$BT372,,AH372)*(1-AF372)+INDEX(Models!$BJ372:$BT372,,AH372+1)*AF372-ERP_i)*AE372*Ramure*Pc/MaxiM</f>
        <v>5.2562071939116217E-2</v>
      </c>
      <c r="AE372" s="305">
        <f t="shared" si="142"/>
        <v>0.8</v>
      </c>
      <c r="AF372" s="177">
        <f t="shared" si="143"/>
        <v>0.20006558843770961</v>
      </c>
      <c r="AG372" s="809">
        <f t="shared" si="149"/>
        <v>4</v>
      </c>
      <c r="AH372" s="176">
        <f t="shared" si="144"/>
        <v>10</v>
      </c>
      <c r="AI372" s="225">
        <f t="shared" si="145"/>
        <v>4.2000655884377096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IF(t&gt;Tmaj,'2025'!Wh/'2025'!Env_an*'2026'!Env_an,0.001*'[14]mon-tableau (2)'!$B$164)</f>
        <v>8.2925578954537844</v>
      </c>
      <c r="C373" s="839"/>
      <c r="D373" s="393">
        <f t="shared" si="127"/>
        <v>9.1128968855077321</v>
      </c>
      <c r="E373" s="385">
        <f t="shared" si="150"/>
        <v>10.242270337221298</v>
      </c>
      <c r="F373" s="385">
        <f t="shared" si="128"/>
        <v>10.435123193546238</v>
      </c>
      <c r="G373" s="110">
        <f t="shared" si="151"/>
        <v>0.587392550122942</v>
      </c>
      <c r="H373" s="414" t="b">
        <f>Wh_hp&gt;='2025'!Maxi_hp</f>
        <v>0</v>
      </c>
      <c r="I373" s="390">
        <f>IF(H373,Wh_hp,'2025'!Maxi_hp)</f>
        <v>13.575447760552157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9.0019562424604543E-2</v>
      </c>
      <c r="M373" s="843"/>
      <c r="N373" s="843"/>
      <c r="O373" s="48">
        <f>IF(t&lt;Tnet,'2025'!Resal+('2025'!Salim-'2025'!Resal)*(1-EXP(('2025'!Tnet-t)/('2025'!Tau_j))),Resal+(Salim-Resal)*(1-EXP((Tnet-t)/(Tau_j))))*Salcycl</f>
        <v>0.11026592879601352</v>
      </c>
      <c r="P373" s="169">
        <f>(INDEX(Models!$BJ373:$BT373,,T373)*(1-R373)+INDEX(Models!$BJ373:$BT373,,T373+1)*R373-ERP_i)*Q373*Ramure*Pc/MaxiM</f>
        <v>4.2792909517624482E-2</v>
      </c>
      <c r="Q373" s="305">
        <f t="shared" si="130"/>
        <v>0.8</v>
      </c>
      <c r="R373" s="177">
        <f t="shared" si="131"/>
        <v>0.99934884127280599</v>
      </c>
      <c r="S373" s="809">
        <f t="shared" si="132"/>
        <v>2</v>
      </c>
      <c r="T373" s="176">
        <f t="shared" si="133"/>
        <v>8</v>
      </c>
      <c r="U373" s="251">
        <f t="shared" si="134"/>
        <v>2.999348841272806</v>
      </c>
      <c r="V373" s="383">
        <f t="shared" si="135"/>
        <v>13.767888215630951</v>
      </c>
      <c r="W373" s="402">
        <f t="shared" si="136"/>
        <v>8.2925578954537844</v>
      </c>
      <c r="X373" s="157">
        <f t="shared" si="137"/>
        <v>46381</v>
      </c>
      <c r="Y373" s="385">
        <f t="shared" si="138"/>
        <v>7.8429592054549193</v>
      </c>
      <c r="Z373" s="385">
        <f t="shared" si="139"/>
        <v>8.6188217697867806</v>
      </c>
      <c r="AA373" s="386">
        <f t="shared" si="140"/>
        <v>10.198833105157343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0.1549207952595657</v>
      </c>
      <c r="AD373" s="231">
        <f>(INDEX(Models!$BJ373:$BT373,,AH373)*(1-AF373)+INDEX(Models!$BJ373:$BT373,,AH373+1)*AF373-ERP_i)*AE373*Ramure*Pc/MaxiM</f>
        <v>5.2431374702070342E-2</v>
      </c>
      <c r="AE373" s="305">
        <f t="shared" si="142"/>
        <v>0.8</v>
      </c>
      <c r="AF373" s="177">
        <f t="shared" si="143"/>
        <v>0.20006558843770961</v>
      </c>
      <c r="AG373" s="809">
        <f t="shared" si="149"/>
        <v>4</v>
      </c>
      <c r="AH373" s="176">
        <f t="shared" si="144"/>
        <v>10</v>
      </c>
      <c r="AI373" s="225">
        <f t="shared" si="145"/>
        <v>4.2000655884377096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IF(t&gt;Tmaj,'2025'!Wh/'2025'!Env_an*'2026'!Env_an,0.001*'[14]mon-tableau (2)'!$B$165)</f>
        <v>13.63004655564154</v>
      </c>
      <c r="C374" s="839"/>
      <c r="D374" s="393">
        <f t="shared" si="127"/>
        <v>14.978751795439232</v>
      </c>
      <c r="E374" s="385">
        <f t="shared" si="150"/>
        <v>16.836794456557008</v>
      </c>
      <c r="F374" s="385">
        <f t="shared" si="128"/>
        <v>17.571231174446694</v>
      </c>
      <c r="G374" s="110">
        <f t="shared" si="151"/>
        <v>0.9840310044542695</v>
      </c>
      <c r="H374" s="414" t="b">
        <f>Wh_hp&gt;='2025'!Maxi_hp</f>
        <v>0</v>
      </c>
      <c r="I374" s="390">
        <f>IF(H374,Wh_hp,'2025'!Maxi_hp)</f>
        <v>17.584999794203402</v>
      </c>
      <c r="J374" s="85">
        <f>IF(H374,An,'2025'!An_max)</f>
        <v>2022</v>
      </c>
      <c r="K374" s="197">
        <f t="shared" si="129"/>
        <v>46382</v>
      </c>
      <c r="L374" s="147">
        <f>IF(t&lt;Tvie,1-EXP((T0-t)*PertePVj)+'2025'!Pspv,1-EXP((T0-t)*PertePVj)+Pspv)</f>
        <v>9.0041230285179658E-2</v>
      </c>
      <c r="M374" s="843"/>
      <c r="N374" s="843"/>
      <c r="O374" s="48">
        <f>IF(t&lt;Tnet,'2025'!Resal+('2025'!Salim-'2025'!Resal)*(1-EXP(('2025'!Tnet-t)/('2025'!Tau_j))),Resal+(Salim-Resal)*(1-EXP((Tnet-t)/(Tau_j))))*Salcycl</f>
        <v>0.11035608149235146</v>
      </c>
      <c r="P374" s="169">
        <f>(INDEX(Models!$BJ374:$BT374,,T374)*(1-R374)+INDEX(Models!$BJ374:$BT374,,T374+1)*R374-ERP_i)*Q374*Ramure*Pc/MaxiM</f>
        <v>4.27146082032566E-2</v>
      </c>
      <c r="Q374" s="305">
        <f t="shared" si="130"/>
        <v>0.8</v>
      </c>
      <c r="R374" s="177">
        <f t="shared" si="131"/>
        <v>0.99934884127280599</v>
      </c>
      <c r="S374" s="809">
        <f t="shared" si="132"/>
        <v>2</v>
      </c>
      <c r="T374" s="176">
        <f t="shared" si="133"/>
        <v>8</v>
      </c>
      <c r="U374" s="251">
        <f t="shared" si="134"/>
        <v>2.999348841272806</v>
      </c>
      <c r="V374" s="383">
        <f t="shared" si="135"/>
        <v>13.837982311072443</v>
      </c>
      <c r="W374" s="402">
        <f t="shared" si="136"/>
        <v>13.63004655564154</v>
      </c>
      <c r="X374" s="157">
        <f t="shared" si="137"/>
        <v>46382</v>
      </c>
      <c r="Y374" s="385">
        <f t="shared" si="138"/>
        <v>12.819557265549282</v>
      </c>
      <c r="Z374" s="385">
        <f t="shared" si="139"/>
        <v>14.088063868615619</v>
      </c>
      <c r="AA374" s="386">
        <f t="shared" si="140"/>
        <v>16.671197385932949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0.15494589005928053</v>
      </c>
      <c r="AD374" s="231">
        <f>(INDEX(Models!$BJ374:$BT374,,AH374)*(1-AF374)+INDEX(Models!$BJ374:$BT374,,AH374+1)*AF374-ERP_i)*AE374*Ramure*Pc/MaxiM</f>
        <v>5.2345681676323745E-2</v>
      </c>
      <c r="AE374" s="305">
        <f t="shared" si="142"/>
        <v>0.8</v>
      </c>
      <c r="AF374" s="177">
        <f t="shared" si="143"/>
        <v>0.20006558843770961</v>
      </c>
      <c r="AG374" s="809">
        <f t="shared" si="149"/>
        <v>4</v>
      </c>
      <c r="AH374" s="176">
        <f t="shared" si="144"/>
        <v>10</v>
      </c>
      <c r="AI374" s="225">
        <f t="shared" si="145"/>
        <v>4.2000655884377096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IF(t&gt;Tmaj,'2025'!Wh/'2025'!Env_an*'2026'!Env_an,0.001*'[14]mon-tableau (2)'!$B$166)</f>
        <v>6.0684893180358186</v>
      </c>
      <c r="C375" s="839"/>
      <c r="D375" s="393">
        <f t="shared" si="127"/>
        <v>6.6691305391402924</v>
      </c>
      <c r="E375" s="385">
        <f t="shared" si="150"/>
        <v>7.497167262047677</v>
      </c>
      <c r="F375" s="385">
        <f t="shared" si="128"/>
        <v>7.559979939697322</v>
      </c>
      <c r="G375" s="110">
        <f t="shared" si="151"/>
        <v>0.42111226671511737</v>
      </c>
      <c r="H375" s="414" t="b">
        <f>Wh_hp&gt;='2025'!Maxi_hp</f>
        <v>0</v>
      </c>
      <c r="I375" s="390">
        <f>IF(H375,Wh_hp,'2025'!Maxi_hp)</f>
        <v>16.697654329104385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9.0062897641512013E-2</v>
      </c>
      <c r="M375" s="843"/>
      <c r="N375" s="843"/>
      <c r="O375" s="48">
        <f>IF(t&lt;Tnet,'2025'!Resal+('2025'!Salim-'2025'!Resal)*(1-EXP(('2025'!Tnet-t)/('2025'!Tau_j))),Resal+(Salim-Resal)*(1-EXP((Tnet-t)/(Tau_j))))*Salcycl</f>
        <v>0.11044661189554751</v>
      </c>
      <c r="P375" s="169">
        <f>(INDEX(Models!$BJ375:$BT375,,T375)*(1-R375)+INDEX(Models!$BJ375:$BT375,,T375+1)*R375-ERP_i)*Q375*Ramure*Pc/MaxiM</f>
        <v>4.269047660669676E-2</v>
      </c>
      <c r="Q375" s="305">
        <f t="shared" si="130"/>
        <v>0.8</v>
      </c>
      <c r="R375" s="177">
        <f t="shared" si="131"/>
        <v>0.99934884127280599</v>
      </c>
      <c r="S375" s="809">
        <f t="shared" si="132"/>
        <v>2</v>
      </c>
      <c r="T375" s="176">
        <f t="shared" si="133"/>
        <v>8</v>
      </c>
      <c r="U375" s="251">
        <f t="shared" si="134"/>
        <v>2.999348841272806</v>
      </c>
      <c r="V375" s="383">
        <f t="shared" si="135"/>
        <v>13.911005485506163</v>
      </c>
      <c r="W375" s="402">
        <f t="shared" si="136"/>
        <v>6.0684893180358186</v>
      </c>
      <c r="X375" s="157">
        <f t="shared" si="137"/>
        <v>46383</v>
      </c>
      <c r="Y375" s="385">
        <f t="shared" si="138"/>
        <v>5.7538362143008444</v>
      </c>
      <c r="Z375" s="385">
        <f t="shared" si="139"/>
        <v>6.3233339968085014</v>
      </c>
      <c r="AA375" s="386">
        <f t="shared" si="140"/>
        <v>7.4829846122077406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0.15497166912616461</v>
      </c>
      <c r="AD375" s="231">
        <f>(INDEX(Models!$BJ375:$BT375,,AH375)*(1-AF375)+INDEX(Models!$BJ375:$BT375,,AH375+1)*AF375-ERP_i)*AE375*Ramure*Pc/MaxiM</f>
        <v>5.2329678498230961E-2</v>
      </c>
      <c r="AE375" s="305">
        <f t="shared" si="142"/>
        <v>0.8</v>
      </c>
      <c r="AF375" s="177">
        <f t="shared" si="143"/>
        <v>0.20006558843770961</v>
      </c>
      <c r="AG375" s="809">
        <f t="shared" si="149"/>
        <v>4</v>
      </c>
      <c r="AH375" s="176">
        <f t="shared" si="144"/>
        <v>10</v>
      </c>
      <c r="AI375" s="225">
        <f t="shared" si="145"/>
        <v>4.2000655884377096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IF(t&gt;Tmaj,'2025'!Wh/'2025'!Env_an*'2026'!Env_an,0.001*'[14]mon-tableau (2)'!$B$167)</f>
        <v>12.802876074576822</v>
      </c>
      <c r="C376" s="839"/>
      <c r="D376" s="393">
        <f t="shared" si="127"/>
        <v>14.070402121985939</v>
      </c>
      <c r="E376" s="385">
        <f t="shared" si="150"/>
        <v>15.818993690307598</v>
      </c>
      <c r="F376" s="385">
        <f t="shared" si="128"/>
        <v>16.435870349767821</v>
      </c>
      <c r="G376" s="110">
        <f t="shared" si="151"/>
        <v>0.91039271576313086</v>
      </c>
      <c r="H376" s="414" t="b">
        <f>Wh_hp&gt;='2025'!Maxi_hp</f>
        <v>0</v>
      </c>
      <c r="I376" s="390">
        <f>IF(H376,Wh_hp,'2025'!Maxi_hp)</f>
        <v>16.508460643102687</v>
      </c>
      <c r="J376" s="85">
        <f>IF(H376,An,'2025'!An_max)</f>
        <v>2022</v>
      </c>
      <c r="K376" s="197">
        <f t="shared" si="129"/>
        <v>46384</v>
      </c>
      <c r="L376" s="147">
        <f>IF(t&lt;Tvie,1-EXP((T0-t)*PertePVj)+'2025'!Pspv,1-EXP((T0-t)*PertePVj)+Pspv)</f>
        <v>9.0084564493613378E-2</v>
      </c>
      <c r="M376" s="843"/>
      <c r="N376" s="843"/>
      <c r="O376" s="48">
        <f>IF(t&lt;Tnet,'2025'!Resal+('2025'!Salim-'2025'!Resal)*(1-EXP(('2025'!Tnet-t)/('2025'!Tau_j))),Resal+(Salim-Resal)*(1-EXP((Tnet-t)/(Tau_j))))*Salcycl</f>
        <v>0.11053747176048456</v>
      </c>
      <c r="P376" s="169">
        <f>(INDEX(Models!$BJ376:$BT376,,T376)*(1-R376)+INDEX(Models!$BJ376:$BT376,,T376+1)*R376-ERP_i)*Q376*Ramure*Pc/MaxiM</f>
        <v>4.2698508672737299E-2</v>
      </c>
      <c r="Q376" s="305">
        <f t="shared" si="130"/>
        <v>0.8</v>
      </c>
      <c r="R376" s="177">
        <f t="shared" si="131"/>
        <v>0.99934884127280599</v>
      </c>
      <c r="S376" s="809">
        <f t="shared" si="132"/>
        <v>2</v>
      </c>
      <c r="T376" s="176">
        <f t="shared" si="133"/>
        <v>8</v>
      </c>
      <c r="U376" s="251">
        <f t="shared" si="134"/>
        <v>2.999348841272806</v>
      </c>
      <c r="V376" s="383">
        <f t="shared" si="135"/>
        <v>13.987540499838216</v>
      </c>
      <c r="W376" s="402">
        <f t="shared" si="136"/>
        <v>12.802876074576822</v>
      </c>
      <c r="X376" s="157">
        <f t="shared" si="137"/>
        <v>46384</v>
      </c>
      <c r="Y376" s="385">
        <f t="shared" si="138"/>
        <v>12.055645503150952</v>
      </c>
      <c r="Z376" s="385">
        <f t="shared" si="139"/>
        <v>13.24919331260903</v>
      </c>
      <c r="AA376" s="386">
        <f t="shared" si="140"/>
        <v>15.679482773610482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0.15499806314349709</v>
      </c>
      <c r="AD376" s="231">
        <f>(INDEX(Models!$BJ376:$BT376,,AH376)*(1-AF376)+INDEX(Models!$BJ376:$BT376,,AH376+1)*AF376-ERP_i)*AE376*Ramure*Pc/MaxiM</f>
        <v>5.2355071285668318E-2</v>
      </c>
      <c r="AE376" s="305">
        <f t="shared" si="142"/>
        <v>0.8</v>
      </c>
      <c r="AF376" s="177">
        <f t="shared" si="143"/>
        <v>0.20006558843770961</v>
      </c>
      <c r="AG376" s="809">
        <f t="shared" si="149"/>
        <v>4</v>
      </c>
      <c r="AH376" s="176">
        <f t="shared" si="144"/>
        <v>10</v>
      </c>
      <c r="AI376" s="225">
        <f t="shared" si="145"/>
        <v>4.2000655884377096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IF(t&gt;Tmaj,'2025'!Wh/'2025'!Env_an*'2026'!Env_an,0.001*'[14]mon-tableau (2)'!$B$168)</f>
        <v>7.5032729788694921</v>
      </c>
      <c r="C377" s="839"/>
      <c r="D377" s="393">
        <f t="shared" si="127"/>
        <v>8.246317573763287</v>
      </c>
      <c r="E377" s="385">
        <f t="shared" si="150"/>
        <v>9.2720743230476774</v>
      </c>
      <c r="F377" s="385">
        <f t="shared" si="128"/>
        <v>9.4060868323557241</v>
      </c>
      <c r="G377" s="110">
        <f t="shared" si="151"/>
        <v>0.5179472315258824</v>
      </c>
      <c r="H377" s="414" t="b">
        <f>Wh_hp&gt;='2025'!Maxi_hp</f>
        <v>0</v>
      </c>
      <c r="I377" s="390">
        <f>IF(H377,Wh_hp,'2025'!Maxi_hp)</f>
        <v>18.884024419131489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9.0106230841495411E-2</v>
      </c>
      <c r="M377" s="843"/>
      <c r="N377" s="843"/>
      <c r="O377" s="48">
        <f>IF(t&lt;Tnet,'2025'!Resal+('2025'!Salim-'2025'!Resal)*(1-EXP(('2025'!Tnet-t)/('2025'!Tau_j))),Resal+(Salim-Resal)*(1-EXP((Tnet-t)/(Tau_j))))*Salcycl</f>
        <v>0.11062861594353887</v>
      </c>
      <c r="P377" s="169">
        <f>(INDEX(Models!$BJ377:$BT377,,T377)*(1-R377)+INDEX(Models!$BJ377:$BT377,,T377+1)*R377-ERP_i)*Q377*Ramure*Pc/MaxiM</f>
        <v>4.2737001061764875E-2</v>
      </c>
      <c r="Q377" s="305">
        <f t="shared" si="130"/>
        <v>0.8</v>
      </c>
      <c r="R377" s="177">
        <f t="shared" si="131"/>
        <v>0.99934884127280599</v>
      </c>
      <c r="S377" s="809">
        <f t="shared" si="132"/>
        <v>2</v>
      </c>
      <c r="T377" s="176">
        <f t="shared" si="133"/>
        <v>8</v>
      </c>
      <c r="U377" s="251">
        <f t="shared" si="134"/>
        <v>2.999348841272806</v>
      </c>
      <c r="V377" s="383">
        <f t="shared" si="135"/>
        <v>14.067877657092479</v>
      </c>
      <c r="W377" s="402">
        <f t="shared" si="136"/>
        <v>7.5032729788694921</v>
      </c>
      <c r="X377" s="157">
        <f t="shared" si="137"/>
        <v>46385</v>
      </c>
      <c r="Y377" s="385">
        <f t="shared" si="138"/>
        <v>7.1053743631028645</v>
      </c>
      <c r="Z377" s="385">
        <f t="shared" si="139"/>
        <v>7.8090152982079601</v>
      </c>
      <c r="AA377" s="386">
        <f t="shared" si="140"/>
        <v>9.2417117262882051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0.15502500732682623</v>
      </c>
      <c r="AD377" s="231">
        <f>(INDEX(Models!$BJ377:$BT377,,AH377)*(1-AF377)+INDEX(Models!$BJ377:$BT377,,AH377+1)*AF377-ERP_i)*AE377*Ramure*Pc/MaxiM</f>
        <v>5.2419726477828409E-2</v>
      </c>
      <c r="AE377" s="305">
        <f t="shared" si="142"/>
        <v>0.8</v>
      </c>
      <c r="AF377" s="177">
        <f t="shared" si="143"/>
        <v>0.20006558843770961</v>
      </c>
      <c r="AG377" s="809">
        <f t="shared" si="149"/>
        <v>4</v>
      </c>
      <c r="AH377" s="176">
        <f t="shared" si="144"/>
        <v>10</v>
      </c>
      <c r="AI377" s="225">
        <f t="shared" si="145"/>
        <v>4.2000655884377096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IF(t&gt;Tmaj,'2025'!Wh/'2025'!Env_an*'2026'!Env_an,0.001*'[14]mon-tableau (2)'!$B$169)</f>
        <v>9.7436616858352068</v>
      </c>
      <c r="C378" s="839"/>
      <c r="D378" s="393">
        <f t="shared" si="127"/>
        <v>10.708825614432257</v>
      </c>
      <c r="E378" s="385">
        <f t="shared" si="150"/>
        <v>12.042130313055088</v>
      </c>
      <c r="F378" s="385">
        <f t="shared" si="128"/>
        <v>12.335158067622402</v>
      </c>
      <c r="G378" s="110">
        <f t="shared" si="151"/>
        <v>0.6750518306287504</v>
      </c>
      <c r="H378" s="414" t="b">
        <f>Wh_hp&gt;='2025'!Maxi_hp</f>
        <v>0</v>
      </c>
      <c r="I378" s="390">
        <f>IF(H378,Wh_hp,'2025'!Maxi_hp)</f>
        <v>17.411891706814348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9.0127896685169878E-2</v>
      </c>
      <c r="M378" s="843"/>
      <c r="N378" s="843"/>
      <c r="O378" s="48">
        <f>IF(t&lt;Tnet,'2025'!Resal+('2025'!Salim-'2025'!Resal)*(1-EXP(('2025'!Tnet-t)/('2025'!Tau_j))),Resal+(Salim-Resal)*(1-EXP((Tnet-t)/(Tau_j))))*Salcycl</f>
        <v>0.11072000252126249</v>
      </c>
      <c r="P378" s="169">
        <f>(INDEX(Models!$BJ378:$BT378,,T378)*(1-R378)+INDEX(Models!$BJ378:$BT378,,T378+1)*R378-ERP_i)*Q378*Ramure*Pc/MaxiM</f>
        <v>4.2804257632922289E-2</v>
      </c>
      <c r="Q378" s="305">
        <f t="shared" si="130"/>
        <v>0.8</v>
      </c>
      <c r="R378" s="177">
        <f t="shared" si="131"/>
        <v>0.99934884127280599</v>
      </c>
      <c r="S378" s="809">
        <f t="shared" si="132"/>
        <v>2</v>
      </c>
      <c r="T378" s="176">
        <f t="shared" si="133"/>
        <v>8</v>
      </c>
      <c r="U378" s="251">
        <f t="shared" si="134"/>
        <v>2.999348841272806</v>
      </c>
      <c r="V378" s="383">
        <f t="shared" si="135"/>
        <v>14.152306693570226</v>
      </c>
      <c r="W378" s="402">
        <f t="shared" si="136"/>
        <v>9.7436616858352068</v>
      </c>
      <c r="X378" s="157">
        <f t="shared" si="137"/>
        <v>46386</v>
      </c>
      <c r="Y378" s="385">
        <f t="shared" si="138"/>
        <v>9.206778330196121</v>
      </c>
      <c r="Z378" s="385">
        <f t="shared" si="139"/>
        <v>10.118760973827142</v>
      </c>
      <c r="AA378" s="386">
        <f t="shared" si="140"/>
        <v>11.975608276428675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0.15505244157462339</v>
      </c>
      <c r="AD378" s="231">
        <f>(INDEX(Models!$BJ378:$BT378,,AH378)*(1-AF378)+INDEX(Models!$BJ378:$BT378,,AH378+1)*AF378-ERP_i)*AE378*Ramure*Pc/MaxiM</f>
        <v>5.2521515980099041E-2</v>
      </c>
      <c r="AE378" s="305">
        <f t="shared" si="142"/>
        <v>0.8</v>
      </c>
      <c r="AF378" s="177">
        <f t="shared" si="143"/>
        <v>0.20006558843770961</v>
      </c>
      <c r="AG378" s="809">
        <f t="shared" si="149"/>
        <v>4</v>
      </c>
      <c r="AH378" s="176">
        <f t="shared" si="144"/>
        <v>10</v>
      </c>
      <c r="AI378" s="225">
        <f t="shared" si="145"/>
        <v>4.2000655884377096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IF(t&gt;Tmaj,'2025'!Wh/'2025'!Env_an*'2026'!Env_an,0.001*'[14]mon-tableau (2)'!$B$170)</f>
        <v>7.9970642758975714</v>
      </c>
      <c r="C379" s="839"/>
      <c r="D379" s="393">
        <f t="shared" si="127"/>
        <v>8.7894272971864158</v>
      </c>
      <c r="E379" s="385">
        <f t="shared" si="150"/>
        <v>9.8847749551975834</v>
      </c>
      <c r="F379" s="385">
        <f t="shared" si="128"/>
        <v>10.045794988887899</v>
      </c>
      <c r="G379" s="110">
        <f t="shared" si="151"/>
        <v>0.54621298487219405</v>
      </c>
      <c r="H379" s="414" t="b">
        <f>Wh_hp&gt;='2025'!Maxi_hp</f>
        <v>0</v>
      </c>
      <c r="I379" s="390">
        <f>IF(H379,Wh_hp,'2025'!Maxi_hp)</f>
        <v>17.60535838608622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9.0149562024648439E-2</v>
      </c>
      <c r="M379" s="843"/>
      <c r="N379" s="843"/>
      <c r="O379" s="48">
        <f>IF(t&lt;Tnet,'2025'!Resal+('2025'!Salim-'2025'!Resal)*(1-EXP(('2025'!Tnet-t)/('2025'!Tau_j))),Resal+(Salim-Resal)*(1-EXP((Tnet-t)/(Tau_j))))*Salcycl</f>
        <v>0.11081159287649894</v>
      </c>
      <c r="P379" s="169">
        <f>(INDEX(Models!$BJ379:$BT379,,T379)*(1-R379)+INDEX(Models!$BJ379:$BT379,,T379+1)*R379-ERP_i)*Q379*Ramure*Pc/MaxiM</f>
        <v>4.2898586604716668E-2</v>
      </c>
      <c r="Q379" s="306">
        <f t="shared" si="130"/>
        <v>0.8</v>
      </c>
      <c r="R379" s="177">
        <f t="shared" si="131"/>
        <v>0.99934884127280599</v>
      </c>
      <c r="S379" s="809">
        <f t="shared" si="132"/>
        <v>2</v>
      </c>
      <c r="T379" s="176">
        <f t="shared" si="133"/>
        <v>8</v>
      </c>
      <c r="U379" s="307">
        <f t="shared" si="134"/>
        <v>2.999348841272806</v>
      </c>
      <c r="V379" s="383">
        <f t="shared" si="135"/>
        <v>14.241116811921382</v>
      </c>
      <c r="W379" s="402">
        <f t="shared" si="136"/>
        <v>7.9970642758975714</v>
      </c>
      <c r="X379" s="157">
        <f t="shared" si="137"/>
        <v>46387</v>
      </c>
      <c r="Y379" s="385">
        <f t="shared" si="138"/>
        <v>7.5707644028349321</v>
      </c>
      <c r="Z379" s="385">
        <f t="shared" si="139"/>
        <v>8.3208888921148478</v>
      </c>
      <c r="AA379" s="386">
        <f t="shared" si="140"/>
        <v>9.8481417775415583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0.15508031057286087</v>
      </c>
      <c r="AD379" s="231">
        <f>(INDEX(Models!$BJ379:$BT379,,AH379)*(1-AF379)+INDEX(Models!$BJ379:$BT379,,AH379+1)*AF379-ERP_i)*AE379*Ramure*Pc/MaxiM</f>
        <v>5.2658313442840006E-2</v>
      </c>
      <c r="AE379" s="306">
        <f t="shared" si="142"/>
        <v>0.8</v>
      </c>
      <c r="AF379" s="177">
        <f t="shared" si="143"/>
        <v>0.20006558843770961</v>
      </c>
      <c r="AG379" s="809">
        <f t="shared" si="149"/>
        <v>4</v>
      </c>
      <c r="AH379" s="176">
        <f t="shared" si="144"/>
        <v>10</v>
      </c>
      <c r="AI379" s="222">
        <f t="shared" si="145"/>
        <v>4.2000655884377096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12.748654420137802</v>
      </c>
      <c r="J380" s="85">
        <f>IF(H380,An,'2025'!An_max)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9.0516021673760747</v>
      </c>
      <c r="J381" s="57">
        <f>MIN(J15:J380)</f>
        <v>2018</v>
      </c>
      <c r="K381" s="200" t="s">
        <v>7</v>
      </c>
      <c r="L381" s="146">
        <f t="shared" ref="L381:T381" si="152">MIN(L15:L380)</f>
        <v>8.2229974515451804E-2</v>
      </c>
      <c r="M381" s="845"/>
      <c r="N381" s="845"/>
      <c r="O381" s="47">
        <f t="shared" si="152"/>
        <v>6.504107941071767E-2</v>
      </c>
      <c r="P381" s="168">
        <f t="shared" si="152"/>
        <v>9.6093218727817346E-3</v>
      </c>
      <c r="Q381" s="310">
        <f t="shared" si="152"/>
        <v>0.8</v>
      </c>
      <c r="R381" s="311">
        <f t="shared" si="152"/>
        <v>0.39935036891621101</v>
      </c>
      <c r="S381" s="809">
        <f t="shared" si="152"/>
        <v>2</v>
      </c>
      <c r="T381" s="176">
        <f t="shared" si="152"/>
        <v>8</v>
      </c>
      <c r="U381" s="252">
        <f>MIN(U15:U380)</f>
        <v>2.399350368916211</v>
      </c>
      <c r="V381" s="57">
        <f>MIN(V15:V380)</f>
        <v>13.164678394877225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0.13854342211658599</v>
      </c>
      <c r="AD381" s="168">
        <f t="shared" si="153"/>
        <v>1.9081091381129019E-2</v>
      </c>
      <c r="AE381" s="310">
        <f t="shared" si="153"/>
        <v>0.8</v>
      </c>
      <c r="AF381" s="311">
        <f t="shared" si="153"/>
        <v>6.5133447994192295E-4</v>
      </c>
      <c r="AG381" s="809">
        <f t="shared" si="153"/>
        <v>3</v>
      </c>
      <c r="AH381" s="176">
        <f t="shared" si="153"/>
        <v>9</v>
      </c>
      <c r="AI381" s="226">
        <f>MIN(AI15:AI380)</f>
        <v>3.6000671160811146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23.755701375713862</v>
      </c>
      <c r="C382" s="375"/>
      <c r="D382" s="375">
        <f>AVERAGE(D15:D380)</f>
        <v>25.990601436708744</v>
      </c>
      <c r="E382" s="375">
        <f>AVERAGE(E15:E380)</f>
        <v>28.617512661972707</v>
      </c>
      <c r="F382" s="376">
        <f>AVERAGE(F15:F380)</f>
        <v>29.206629640032677</v>
      </c>
      <c r="G382" s="126">
        <f>AVERAGE(G15:G380)</f>
        <v>0.67127223496338473</v>
      </c>
      <c r="H382" s="94"/>
      <c r="I382" s="376">
        <f>AVERAGE(I15:I380)</f>
        <v>39.044491058617467</v>
      </c>
      <c r="J382" s="59">
        <f>AVERAGE(J15:J380)</f>
        <v>2020.4071038251366</v>
      </c>
      <c r="K382" s="200" t="s">
        <v>8</v>
      </c>
      <c r="L382" s="147">
        <f t="shared" ref="L382:V382" si="154">AVERAGE(L15:L380)</f>
        <v>8.6195343414479889E-2</v>
      </c>
      <c r="M382" s="843"/>
      <c r="N382" s="843"/>
      <c r="O382" s="48">
        <f t="shared" si="154"/>
        <v>9.1880822398028014E-2</v>
      </c>
      <c r="P382" s="169">
        <f t="shared" si="154"/>
        <v>3.3818677749791866E-2</v>
      </c>
      <c r="Q382" s="312">
        <f t="shared" si="154"/>
        <v>0.80000000000000548</v>
      </c>
      <c r="R382" s="177">
        <f t="shared" si="154"/>
        <v>0.73521068531518441</v>
      </c>
      <c r="S382" s="809">
        <f t="shared" si="154"/>
        <v>2</v>
      </c>
      <c r="T382" s="176">
        <f t="shared" si="154"/>
        <v>8</v>
      </c>
      <c r="U382" s="251">
        <f>AVERAGE(U15:U380)</f>
        <v>2.7352106853151823</v>
      </c>
      <c r="V382" s="59">
        <f t="shared" si="154"/>
        <v>33.41845696496398</v>
      </c>
      <c r="X382" s="112" t="s">
        <v>8</v>
      </c>
      <c r="Y382" s="375">
        <f>AVERAGE(Y15:Y380)</f>
        <v>21.891088770869548</v>
      </c>
      <c r="Z382" s="375">
        <f>AVERAGE(Z15:Z380)</f>
        <v>23.950710928363854</v>
      </c>
      <c r="AA382" s="375">
        <f>AVERAGE(AA15:AA380)</f>
        <v>28.224082084300708</v>
      </c>
      <c r="AB382" s="200" t="s">
        <v>8</v>
      </c>
      <c r="AC382" s="48">
        <f t="shared" ref="AC382:AH382" si="155">AVERAGE(AC15:AC380)</f>
        <v>0.15069670021144119</v>
      </c>
      <c r="AD382" s="169">
        <f t="shared" si="155"/>
        <v>5.3264032188459098E-2</v>
      </c>
      <c r="AE382" s="312">
        <f t="shared" si="155"/>
        <v>0.80000000000000548</v>
      </c>
      <c r="AF382" s="177">
        <f t="shared" si="155"/>
        <v>0.42085893932940299</v>
      </c>
      <c r="AG382" s="809">
        <f t="shared" si="155"/>
        <v>3.515068493150685</v>
      </c>
      <c r="AH382" s="176">
        <f t="shared" si="155"/>
        <v>9.5150684931506841</v>
      </c>
      <c r="AI382" s="225">
        <f>AVERAGE(AI15:AI380)</f>
        <v>3.9359274324800855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50.420255936886996</v>
      </c>
      <c r="C383" s="377"/>
      <c r="D383" s="377">
        <f>MAX(D15:D380)</f>
        <v>55.171101366334035</v>
      </c>
      <c r="E383" s="377">
        <f>MAX(E15:E380)</f>
        <v>60.925294680835826</v>
      </c>
      <c r="F383" s="378">
        <f>MAX(F15:F380)</f>
        <v>61.907521444604455</v>
      </c>
      <c r="G383" s="127">
        <f>+MAX(G15:G380)</f>
        <v>1.0459540036296504</v>
      </c>
      <c r="H383" s="94"/>
      <c r="I383" s="378">
        <f>MAX(I15:I380)</f>
        <v>64.737412852018437</v>
      </c>
      <c r="J383" s="60">
        <f>MAX(J15:J380)</f>
        <v>2026</v>
      </c>
      <c r="K383" s="200" t="s">
        <v>9</v>
      </c>
      <c r="L383" s="148">
        <f t="shared" ref="L383:T383" si="156">MAX(L15:L380)</f>
        <v>9.0149562024648439E-2</v>
      </c>
      <c r="M383" s="846"/>
      <c r="N383" s="846"/>
      <c r="O383" s="49">
        <f t="shared" si="156"/>
        <v>0.11081159287649894</v>
      </c>
      <c r="P383" s="170">
        <f t="shared" si="156"/>
        <v>7.2081063486167316E-2</v>
      </c>
      <c r="Q383" s="313">
        <f t="shared" si="156"/>
        <v>0.8</v>
      </c>
      <c r="R383" s="314">
        <f t="shared" si="156"/>
        <v>0.99934884127280599</v>
      </c>
      <c r="S383" s="810">
        <f t="shared" si="156"/>
        <v>2</v>
      </c>
      <c r="T383" s="233">
        <f t="shared" si="156"/>
        <v>8</v>
      </c>
      <c r="U383" s="253">
        <f>MAX(U15:U380)</f>
        <v>2.999348841272806</v>
      </c>
      <c r="V383" s="60">
        <f>MAX(V15:V380)</f>
        <v>51.322624693970702</v>
      </c>
      <c r="X383" s="112" t="s">
        <v>9</v>
      </c>
      <c r="Y383" s="377">
        <f>MAX(Y15:Y380)</f>
        <v>46.686836646460975</v>
      </c>
      <c r="Z383" s="377">
        <f>MAX(Z15:Z380)</f>
        <v>51.08590087919351</v>
      </c>
      <c r="AA383" s="377">
        <f>MAX(AA15:AA380)</f>
        <v>60.416213061401528</v>
      </c>
      <c r="AB383" s="200" t="s">
        <v>9</v>
      </c>
      <c r="AC383" s="49">
        <f t="shared" ref="AC383:AH383" si="157">MAX(AC15:AC380)</f>
        <v>0.15795711903272522</v>
      </c>
      <c r="AD383" s="170">
        <f t="shared" si="157"/>
        <v>0.10564669765790674</v>
      </c>
      <c r="AE383" s="313">
        <f t="shared" si="157"/>
        <v>0.8</v>
      </c>
      <c r="AF383" s="314">
        <f t="shared" si="157"/>
        <v>0.99513521597868149</v>
      </c>
      <c r="AG383" s="810">
        <f t="shared" si="157"/>
        <v>4</v>
      </c>
      <c r="AH383" s="233">
        <f t="shared" si="157"/>
        <v>10</v>
      </c>
      <c r="AI383" s="227">
        <f>MAX(AI15:AI380)</f>
        <v>4.2000655884377096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6" priority="3" stopIfTrue="1" operator="lessThan">
      <formula>0.01</formula>
    </cfRule>
    <cfRule type="cellIs" dxfId="5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'2026'!An+1</f>
        <v>2027</v>
      </c>
      <c r="K1" s="1275"/>
      <c r="L1" s="113" t="str">
        <f>"Calcul pertes et enveloppes en "&amp;TEXT(An,0)</f>
        <v>Calcul pertes et enveloppes en 2027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92.424310770728709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645.49920161041973</v>
      </c>
      <c r="AK4" s="832">
        <f>AM12-AK12</f>
        <v>98.539182759668847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738.25206354144996</v>
      </c>
      <c r="AA5" s="237">
        <f>Wh_Pvg_s-Wh_Pvg</f>
        <v>98.539182759668847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2144.6943844234843</v>
      </c>
      <c r="AK5" s="515">
        <f>SUMIF(AK15:AK380,"VRAI",Wh)</f>
        <v>0</v>
      </c>
      <c r="AL5" s="515">
        <f>SUMIF(AJ15:AJ380,"VRAI",Wh_s)</f>
        <v>2020.1700357998002</v>
      </c>
      <c r="AM5" s="515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6681.4973693591128</v>
      </c>
      <c r="AK6" s="515">
        <f>SUMIF(AK15:AK380,"FAUX",Wh)</f>
        <v>8826.191753782603</v>
      </c>
      <c r="AL6" s="515">
        <f>SUMIF(AJ15:AJ380,"FAUX",Wh_s)</f>
        <v>5929.4452798765078</v>
      </c>
      <c r="AM6" s="515">
        <f>SUMIF(AK15:AK380,"FAUX",Wh_s)</f>
        <v>7949.6153156763148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2361.2657934651124</v>
      </c>
      <c r="AK7" s="515">
        <f>SUMIF(AK15:AK380,"VRAI",Wh_sa)</f>
        <v>0</v>
      </c>
      <c r="AL7" s="515">
        <f>SUMIF(AJ15:AJ380,"VRAI",Wh_pvt_s)</f>
        <v>2224.1658298351458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7380.1559515655235</v>
      </c>
      <c r="AK8" s="515">
        <f>SUMIF(AK15:AK380,"FAUX",Wh_sa)</f>
        <v>10347.286542840582</v>
      </c>
      <c r="AL8" s="515">
        <f>SUMIF(AJ15:AJ380,"FAUX",Wh_pvt_s)</f>
        <v>6549.4999601860463</v>
      </c>
      <c r="AM8" s="515">
        <f>SUMIF(AK15:AK380,"FAUX",Wh_sa_s)</f>
        <v>10194.289692719334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9741.421745030646</v>
      </c>
      <c r="E9" s="184">
        <f>SUM(E$15:E$380)</f>
        <v>10347.286542840582</v>
      </c>
      <c r="F9" s="184">
        <f>SUM(F$15:F$380)</f>
        <v>10631.078826595236</v>
      </c>
      <c r="H9" s="1276">
        <f>+SUM(Wh)</f>
        <v>8826.191753782603</v>
      </c>
      <c r="I9" s="1277"/>
      <c r="J9" s="1278"/>
      <c r="K9" s="191"/>
      <c r="L9" s="232"/>
      <c r="M9" s="232"/>
      <c r="N9" s="232"/>
      <c r="O9" s="223">
        <f>Tnet_2027</f>
        <v>46507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7949.6153156763148</v>
      </c>
      <c r="Y9" s="1271"/>
      <c r="Z9" s="515">
        <f>SUM(Z$15:Z$380)</f>
        <v>8773.665790021194</v>
      </c>
      <c r="AA9" s="515">
        <f>SUM(AA$15:AA$380)</f>
        <v>10194.289692719334</v>
      </c>
      <c r="AB9" s="515">
        <f>F9</f>
        <v>10631.078826595236</v>
      </c>
      <c r="AC9" s="325">
        <f>IF(An_Tnet,Tnet,'2026'!Tnet_s)</f>
        <v>46507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2676.006388069261</v>
      </c>
      <c r="AK9" s="515">
        <f>SUMIF(AK15:AK380,"VRAI",Wh_hp)</f>
        <v>0</v>
      </c>
      <c r="AL9" s="515">
        <f>SUMIF(AJ15:AJ380,"VRAI",Wh_sa_s)</f>
        <v>2640.663536638549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1.7999999999999999E-2</v>
      </c>
      <c r="P10" s="420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IF(OR(Inflex,GainD),'2026'!Resal_s+('2026'!Salim-'2026'!Resal_s)*(1-EXP(('2026'!Tnet_s-Tnet)/('2026'!Tau_j))),IF(Acti_net,'2026'!Resal+('2026'!Salim-'2026'!Resal)*(1-EXP(('2026'!Tnet-Tnet)/'2026'!Tau_j)),'2026'!Resal_s))</f>
        <v>0.12140512808973442</v>
      </c>
      <c r="AD10" s="427"/>
      <c r="AE10" s="427"/>
      <c r="AF10" s="260"/>
      <c r="AG10" s="261"/>
      <c r="AH10" s="262"/>
      <c r="AI10" s="472"/>
      <c r="AJ10" s="515">
        <f>SUMIF(AJ15:AJ380,"FAUX",Wh_sa)</f>
        <v>7671.2801547713188</v>
      </c>
      <c r="AK10" s="515">
        <f>SUMIF(AK15:AK380,"FAUX",Wh_hp)</f>
        <v>10631.078826595236</v>
      </c>
      <c r="AL10" s="515">
        <f>SUMIF(AJ15:AJ380,"FAUX",Wh_sa_s)</f>
        <v>7553.6261560807907</v>
      </c>
      <c r="AM10" s="515">
        <f>SUMIF(AK15:AK380,"FAUX",Wh_hp)</f>
        <v>10631.078826595236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915.22999124804301</v>
      </c>
      <c r="E11" s="51">
        <f>(E$9-D$9)*Prod_an/D$9</f>
        <v>548.94234356141203</v>
      </c>
      <c r="F11" s="186">
        <f>(F$9-E$9)*Prod_an/E$9</f>
        <v>242.07362039234965</v>
      </c>
      <c r="G11" s="185" t="s">
        <v>6</v>
      </c>
      <c r="K11" s="194"/>
      <c r="L11" s="211">
        <f>Tvie_2027</f>
        <v>44743</v>
      </c>
      <c r="M11" s="842"/>
      <c r="N11" s="842"/>
      <c r="O11" s="202">
        <f>IF(An_Tnet,Salim_2027,'2026'!Salim)</f>
        <v>0.18000000000000002</v>
      </c>
      <c r="P11" s="256">
        <f>Ttai_2027</f>
        <v>44576</v>
      </c>
      <c r="Q11" s="272">
        <f>Dens_2027</f>
        <v>0.8</v>
      </c>
      <c r="R11" s="277"/>
      <c r="S11" s="230"/>
      <c r="T11" s="230"/>
      <c r="U11" s="266">
        <f>Htf_2027</f>
        <v>3.5993488412728061</v>
      </c>
      <c r="V11" s="427"/>
      <c r="W11" s="518"/>
      <c r="X11" s="525" t="s">
        <v>43</v>
      </c>
      <c r="Y11" s="50">
        <f>Z$9-Prod_an_s</f>
        <v>824.05047434487915</v>
      </c>
      <c r="Z11" s="51">
        <f>(AA$9-Z$9)*Prod_an_s/Z$9</f>
        <v>1287.194407102862</v>
      </c>
      <c r="AA11" s="186">
        <f>(AB$9-AA$9)*Prod_an_s/AA$9</f>
        <v>340.6128031520185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285.87310571549142</v>
      </c>
      <c r="AK11" s="832">
        <f>IF($AK7=0,0,($AK9-$AK7)*$AK5/$AK7)</f>
        <v>0</v>
      </c>
      <c r="AL11" s="831">
        <f>IF($AL7=0,0,($AL9-$AL7)*$AL5/$AL7)</f>
        <v>378.29741648622013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4.5954003629650186E-2</v>
      </c>
      <c r="K12" s="191"/>
      <c r="L12" s="212">
        <f>Pspv_2027</f>
        <v>2.1111111111111112E-2</v>
      </c>
      <c r="M12" s="212"/>
      <c r="N12" s="212"/>
      <c r="O12" s="205">
        <f>IF(An_Tnet,Tau_2027*365,'2026'!Tau_j)</f>
        <v>717.83333333333337</v>
      </c>
      <c r="P12" s="281">
        <f>INDEX(Croivg,MIN(MAX(Ttai-$A$15,0)+1,366))</f>
        <v>2.3909964587625958E-6</v>
      </c>
      <c r="Q12" s="280">
        <f>'2026'!Df</f>
        <v>0.8</v>
      </c>
      <c r="R12" s="278"/>
      <c r="S12" s="279"/>
      <c r="T12" s="279"/>
      <c r="U12" s="267">
        <f>'2026'!Hdf</f>
        <v>2.999348841272806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'2026'!Df_s</f>
        <v>0.8</v>
      </c>
      <c r="AF12" s="203"/>
      <c r="AG12" s="203"/>
      <c r="AH12" s="203"/>
      <c r="AI12" s="297">
        <f>'2026'!Hdf_s</f>
        <v>4.2000655884377096</v>
      </c>
      <c r="AJ12" s="831">
        <f>IF($AJ8=0,0,($AJ10-$AJ8)*$AJ6/$AJ8)</f>
        <v>263.56429466286181</v>
      </c>
      <c r="AK12" s="832">
        <f>IF($AK8=0,0,($AK10-$AK8)*$AK6/$AK8)</f>
        <v>242.07362039234965</v>
      </c>
      <c r="AL12" s="831">
        <f>IF($AL8=0,0,($AL10-$AL8)*$AL6/$AL8)</f>
        <v>909.06349627328154</v>
      </c>
      <c r="AM12" s="832">
        <f>IF($AM8=0,0,($AM10-$AM8)*$AM6/$AM8)</f>
        <v>340.6128031520185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549.43740037835323</v>
      </c>
      <c r="AK13" s="73">
        <f>+AK11+AK12</f>
        <v>242.07362039234965</v>
      </c>
      <c r="AL13" s="73">
        <f>+AL11+AL12</f>
        <v>1287.3609127595016</v>
      </c>
      <c r="AM13" s="73">
        <f>+AM11+AM12</f>
        <v>340.6128031520185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93" t="s">
        <v>400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2027</v>
      </c>
      <c r="W14" s="836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IF(t&gt;Tmaj,'2026'!Wh/'2026'!Env_an*'2027'!Env_an,0.001*'[3]mon-tableau (2)'!$B$140)</f>
        <v>5.4714992059501686</v>
      </c>
      <c r="C15" s="839"/>
      <c r="D15" s="393">
        <f t="shared" ref="D15:D78" si="0">Wh/(1-Ppv)</f>
        <v>6.0137680489776049</v>
      </c>
      <c r="E15" s="400">
        <f t="shared" ref="E15:E79" si="1">Wh_pvt/(1-Psa)</f>
        <v>6.7639081317304104</v>
      </c>
      <c r="F15" s="400">
        <f t="shared" ref="F15:F78" si="2">Wh_sa/(1-Pvg*MEDIAN((-Sdif+Wh/Env_an)/Csdif,0,1))</f>
        <v>6.7980396111826469</v>
      </c>
      <c r="G15" s="123">
        <f>+Wh_hp/MaxiM</f>
        <v>0.36712206336154252</v>
      </c>
      <c r="H15" s="414" t="b">
        <f>Wh_hp&gt;='2026'!Maxi_hp</f>
        <v>0</v>
      </c>
      <c r="I15" s="396">
        <f>IF(H15,Wh_hp,'2026'!Maxi_hp)</f>
        <v>18.425979166910196</v>
      </c>
      <c r="J15" s="84">
        <f>IF(H15,An,'2026'!An_max)</f>
        <v>2022</v>
      </c>
      <c r="K15" s="197">
        <f t="shared" ref="K15:K78" si="3">t</f>
        <v>46388</v>
      </c>
      <c r="L15" s="146">
        <f>IF(t&lt;Tvie,1-EXP((T0-t)*PertePVj)+'2026'!Pspv,1-EXP((T0-t)*PertePVj)+Pspv)</f>
        <v>9.0171226859942971E-2</v>
      </c>
      <c r="M15" s="843"/>
      <c r="N15" s="843"/>
      <c r="O15" s="48">
        <f>IF(t&lt;Tnet,'2026'!Resal+('2026'!Salim-'2026'!Resal)*(1-EXP(('2026'!Tnet-t)/('2026'!Tau_j))),Resal+(Salim-Resal)*(1-EXP((Tnet-t)/(Tau_j))))*Salcycl</f>
        <v>0.11090335175219146</v>
      </c>
      <c r="P15" s="302">
        <f>(INDEX(Models!$BJ15:$BT15,,T15)*(1-R15)+INDEX(Models!$BJ15:$BT15,,T15+1)*R15-ERP_i)*Q15*Ramure*Pc/MaxiM</f>
        <v>4.3018318489390125E-2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0.99935027587068115</v>
      </c>
      <c r="S15" s="808">
        <f t="shared" ref="S15:S78" si="6">INDEX(Echel_vg,T15)</f>
        <v>2</v>
      </c>
      <c r="T15" s="249">
        <f t="shared" ref="T15:T78" si="7">MIN(MATCH(Hp_vg,Echel_vg),10)</f>
        <v>8</v>
      </c>
      <c r="U15" s="251">
        <f t="shared" ref="U15:U78" si="8">IF(OR(t&lt;Ttai,Notai),Hdd+PousH*Croivg,Hdtf+PousH*(Croivg-Croi_tai))</f>
        <v>2.9993502758706811</v>
      </c>
      <c r="V15" s="382">
        <f t="shared" ref="V15:V78" si="9">MaxiM*(1-Ppv)*(1-Pvg)*(1-Psa)</f>
        <v>14.334596414964594</v>
      </c>
      <c r="W15" s="402">
        <f t="shared" ref="W15:W78" si="10">Wh*(A15&gt;Tmaj)</f>
        <v>5.4714992059501686</v>
      </c>
      <c r="X15" s="156">
        <f t="shared" ref="X15:X78" si="11">t</f>
        <v>46388</v>
      </c>
      <c r="Y15" s="385">
        <f t="shared" ref="Y15:Y78" si="12">Wh_pvt_s*(1-Ppv)</f>
        <v>5.1934774332512053</v>
      </c>
      <c r="Z15" s="385">
        <f>Wh_sa_s*(1-Psa_s)</f>
        <v>5.7081921198503718</v>
      </c>
      <c r="AA15" s="386">
        <f t="shared" ref="AA15:AA78" si="13">Wh_hp*(1-Pvg_s*MEDIAN((-Sdif+Wh/Env_an)/Csdif,0,1))</f>
        <v>6.7561249595439854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0.15510856385408625</v>
      </c>
      <c r="AD15" s="231">
        <f>(INDEX(Models!$BJ15:$BT15,,AH15)*(1-AF15)+INDEX(Models!$BJ15:$BT15,,AH15+1)*AF15-ERP_i)*AE15*Ramure*Pc/MaxiM</f>
        <v>5.2828001085832091E-2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0.20006702303558477</v>
      </c>
      <c r="AG15" s="808">
        <f>INDEX(Echel_vg,AH15)</f>
        <v>4</v>
      </c>
      <c r="AH15" s="249">
        <f t="shared" ref="AH15:AH78" si="16">MIN(MATCH(Hp_vg_s,Echel_vg),10)</f>
        <v>10</v>
      </c>
      <c r="AI15" s="224">
        <f t="shared" ref="AI15:AI78" si="17">IF(OR(t&lt;Ttai,Notai),Hdd_s+PousH*Croivg,Hdtai_s+PousH*(Croivg-Croi_tai))</f>
        <v>4.2000670230355848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IF(t&gt;Tmaj,'2026'!Wh/'2026'!Env_an*'2027'!Env_an,0.001*'[3]mon-tableau (2)'!$B$141)</f>
        <v>1.6798632496966268</v>
      </c>
      <c r="C16" s="839"/>
      <c r="D16" s="393">
        <f t="shared" si="0"/>
        <v>1.8463949483707633</v>
      </c>
      <c r="E16" s="385">
        <f t="shared" si="1"/>
        <v>2.0769235965363304</v>
      </c>
      <c r="F16" s="385">
        <f t="shared" si="2"/>
        <v>2.0769235965363304</v>
      </c>
      <c r="G16" s="110">
        <f t="shared" ref="G16:G79" si="21">+Wh_hp/MaxiM</f>
        <v>0.11136656492172506</v>
      </c>
      <c r="H16" s="414" t="b">
        <f>Wh_hp&gt;='2026'!Maxi_hp</f>
        <v>0</v>
      </c>
      <c r="I16" s="390">
        <f>IF(H16,Wh_hp,'2026'!Maxi_hp)</f>
        <v>16.317377222864518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9.0192891191065133E-2</v>
      </c>
      <c r="M16" s="843"/>
      <c r="N16" s="843"/>
      <c r="O16" s="48">
        <f>IF(t&lt;Tnet,'2026'!Resal+('2026'!Salim-'2026'!Resal)*(1-EXP(('2026'!Tnet-t)/('2026'!Tau_j))),Resal+(Salim-Resal)*(1-EXP((Tnet-t)/(Tau_j))))*Salcycl</f>
        <v>0.11099524727342776</v>
      </c>
      <c r="P16" s="169">
        <f>(INDEX(Models!$BJ16:$BT16,,T16)*(1-R16)+INDEX(Models!$BJ16:$BT16,,T16+1)*R16-ERP_i)*Q16*Ramure*Pc/MaxiM</f>
        <v>4.3150806795217121E-2</v>
      </c>
      <c r="Q16" s="305">
        <f t="shared" si="4"/>
        <v>0.8</v>
      </c>
      <c r="R16" s="177">
        <f t="shared" si="5"/>
        <v>0.99938533340747426</v>
      </c>
      <c r="S16" s="809">
        <f t="shared" si="6"/>
        <v>2</v>
      </c>
      <c r="T16" s="176">
        <f t="shared" si="7"/>
        <v>8</v>
      </c>
      <c r="U16" s="251">
        <f t="shared" si="8"/>
        <v>2.9993853334074743</v>
      </c>
      <c r="V16" s="383">
        <f t="shared" si="9"/>
        <v>14.433199015308949</v>
      </c>
      <c r="W16" s="402">
        <f t="shared" si="10"/>
        <v>1.6798632496966268</v>
      </c>
      <c r="X16" s="157">
        <f t="shared" si="11"/>
        <v>46389</v>
      </c>
      <c r="Y16" s="385">
        <f t="shared" si="12"/>
        <v>1.5964527058295344</v>
      </c>
      <c r="Z16" s="385">
        <f t="shared" ref="Z16:Z78" si="22">Wh_sa_s*(1-Psa_s)</f>
        <v>1.7547155769309331</v>
      </c>
      <c r="AA16" s="386">
        <f t="shared" si="13"/>
        <v>2.0769235965363304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0.15513715581196205</v>
      </c>
      <c r="AD16" s="231">
        <f>(INDEX(Models!$BJ16:$BT16,,AH16)*(1-AF16)+INDEX(Models!$BJ16:$BT16,,AH16+1)*AF16-ERP_i)*AE16*Ramure*Pc/MaxiM</f>
        <v>5.3025489921152982E-2</v>
      </c>
      <c r="AE16" s="305">
        <f t="shared" si="15"/>
        <v>0.8</v>
      </c>
      <c r="AF16" s="177">
        <f t="shared" ref="AF16:AF78" si="23">(Hp_vg_s-AG16)/(INDEX(Echel_vg,AH16+1)-AG16)</f>
        <v>0.20010208057237833</v>
      </c>
      <c r="AG16" s="809">
        <f t="shared" ref="AG16:AG79" si="24">INDEX(Echel_vg,AH16)</f>
        <v>4</v>
      </c>
      <c r="AH16" s="176">
        <f t="shared" si="16"/>
        <v>10</v>
      </c>
      <c r="AI16" s="225">
        <f t="shared" si="17"/>
        <v>4.2001020805723783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IF(t&gt;Tmaj,'2026'!Wh/'2026'!Env_an*'2027'!Env_an,0.001*'[3]mon-tableau (2)'!$B$142)</f>
        <v>12.026731109238259</v>
      </c>
      <c r="C17" s="839"/>
      <c r="D17" s="393">
        <f t="shared" si="0"/>
        <v>13.219304810351806</v>
      </c>
      <c r="E17" s="385">
        <f t="shared" si="1"/>
        <v>14.871318725385843</v>
      </c>
      <c r="F17" s="385">
        <f t="shared" si="2"/>
        <v>15.372671796596768</v>
      </c>
      <c r="G17" s="110">
        <f t="shared" si="21"/>
        <v>0.81817190593560518</v>
      </c>
      <c r="H17" s="414" t="b">
        <f>Wh_hp&gt;='2026'!Maxi_hp</f>
        <v>0</v>
      </c>
      <c r="I17" s="390">
        <f>IF(H17,Wh_hp,'2026'!Maxi_hp)</f>
        <v>18.889891187353829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9.0214555018026693E-2</v>
      </c>
      <c r="M17" s="843"/>
      <c r="N17" s="843"/>
      <c r="O17" s="48">
        <f>IF(t&lt;Tnet,'2026'!Resal+('2026'!Salim-'2026'!Resal)*(1-EXP(('2026'!Tnet-t)/('2026'!Tau_j))),Resal+(Salim-Resal)*(1-EXP((Tnet-t)/(Tau_j))))*Salcycl</f>
        <v>0.11108725093854616</v>
      </c>
      <c r="P17" s="169">
        <f>(INDEX(Models!$BJ17:$BT17,,T17)*(1-R17)+INDEX(Models!$BJ17:$BT17,,T17+1)*R17-ERP_i)*Q17*Ramure*Pc/MaxiM</f>
        <v>4.3294177895149187E-2</v>
      </c>
      <c r="Q17" s="305">
        <f t="shared" si="4"/>
        <v>0.8</v>
      </c>
      <c r="R17" s="177">
        <f t="shared" si="5"/>
        <v>0.99942185732206168</v>
      </c>
      <c r="S17" s="809">
        <f t="shared" si="6"/>
        <v>2</v>
      </c>
      <c r="T17" s="176">
        <f t="shared" si="7"/>
        <v>8</v>
      </c>
      <c r="U17" s="251">
        <f t="shared" si="8"/>
        <v>2.9994218573220617</v>
      </c>
      <c r="V17" s="383">
        <f t="shared" si="9"/>
        <v>14.537218861688961</v>
      </c>
      <c r="W17" s="402">
        <f t="shared" si="10"/>
        <v>12.026731109238259</v>
      </c>
      <c r="X17" s="157">
        <f t="shared" si="11"/>
        <v>46390</v>
      </c>
      <c r="Y17" s="385">
        <f t="shared" si="12"/>
        <v>11.34175725910784</v>
      </c>
      <c r="Z17" s="385">
        <f t="shared" si="22"/>
        <v>12.466408779855307</v>
      </c>
      <c r="AA17" s="386">
        <f t="shared" si="13"/>
        <v>14.756046103498015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0.15516604567262327</v>
      </c>
      <c r="AD17" s="231">
        <f>(INDEX(Models!$BJ17:$BT17,,AH17)*(1-AF17)+INDEX(Models!$BJ17:$BT17,,AH17+1)*AF17-ERP_i)*AE17*Ramure*Pc/MaxiM</f>
        <v>5.324850686015959E-2</v>
      </c>
      <c r="AE17" s="305">
        <f t="shared" si="15"/>
        <v>0.8</v>
      </c>
      <c r="AF17" s="177">
        <f>(Hp_vg_s-AG17)/(INDEX(Echel_vg,AH17+1)-AG17)</f>
        <v>0.2001386044869653</v>
      </c>
      <c r="AG17" s="809">
        <f>INDEX(Echel_vg,AH17)</f>
        <v>4</v>
      </c>
      <c r="AH17" s="176">
        <f t="shared" si="16"/>
        <v>10</v>
      </c>
      <c r="AI17" s="225">
        <f t="shared" si="17"/>
        <v>4.2001386044869653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IF(t&gt;Tmaj,'2026'!Wh/'2026'!Env_an*'2027'!Env_an,0.001*'[3]mon-tableau (2)'!$B$143)</f>
        <v>10.137804145050588</v>
      </c>
      <c r="C18" s="839"/>
      <c r="D18" s="393">
        <f t="shared" si="0"/>
        <v>11.143336709406041</v>
      </c>
      <c r="E18" s="385">
        <f t="shared" si="1"/>
        <v>12.537216089318719</v>
      </c>
      <c r="F18" s="385">
        <f t="shared" si="2"/>
        <v>12.849975667756535</v>
      </c>
      <c r="G18" s="110">
        <f t="shared" si="21"/>
        <v>0.67858947867390829</v>
      </c>
      <c r="H18" s="414" t="b">
        <f>Wh_hp&gt;='2026'!Maxi_hp</f>
        <v>0</v>
      </c>
      <c r="I18" s="390">
        <f>IF(H18,Wh_hp,'2026'!Maxi_hp)</f>
        <v>18.708529066845525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9.0236218340839308E-2</v>
      </c>
      <c r="M18" s="843"/>
      <c r="N18" s="843"/>
      <c r="O18" s="48">
        <f>IF(t&lt;Tnet,'2026'!Resal+('2026'!Salim-'2026'!Resal)*(1-EXP(('2026'!Tnet-t)/('2026'!Tau_j))),Resal+(Salim-Resal)*(1-EXP((Tnet-t)/(Tau_j))))*Salcycl</f>
        <v>0.11117933758039124</v>
      </c>
      <c r="P18" s="169">
        <f>(INDEX(Models!$BJ18:$BT18,,T18)*(1-R18)+INDEX(Models!$BJ18:$BT18,,T18+1)*R18-ERP_i)*Q18*Ramure*Pc/MaxiM</f>
        <v>4.3447020769483619E-2</v>
      </c>
      <c r="Q18" s="305">
        <f t="shared" si="4"/>
        <v>0.8</v>
      </c>
      <c r="R18" s="177">
        <f t="shared" si="5"/>
        <v>0.99945990875961588</v>
      </c>
      <c r="S18" s="809">
        <f t="shared" si="6"/>
        <v>2</v>
      </c>
      <c r="T18" s="176">
        <f t="shared" si="7"/>
        <v>8</v>
      </c>
      <c r="U18" s="251">
        <f t="shared" si="8"/>
        <v>2.9994599087596159</v>
      </c>
      <c r="V18" s="383">
        <f t="shared" si="9"/>
        <v>14.646943206556298</v>
      </c>
      <c r="W18" s="402">
        <f t="shared" si="10"/>
        <v>10.137804145050588</v>
      </c>
      <c r="X18" s="157">
        <f t="shared" si="11"/>
        <v>46391</v>
      </c>
      <c r="Y18" s="385">
        <f t="shared" si="12"/>
        <v>9.5801711970971688</v>
      </c>
      <c r="Z18" s="385">
        <f>Wh_sa_s*(1-Psa_s)</f>
        <v>10.530394142120665</v>
      </c>
      <c r="AA18" s="386">
        <f t="shared" si="13"/>
        <v>12.464884325962842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0.15519519742456564</v>
      </c>
      <c r="AD18" s="231">
        <f>(INDEX(Models!$BJ18:$BT18,,AH18)*(1-AF18)+INDEX(Models!$BJ18:$BT18,,AH18+1)*AF18-ERP_i)*AE18*Ramure*Pc/MaxiM</f>
        <v>5.3494993210528856E-2</v>
      </c>
      <c r="AE18" s="305">
        <f t="shared" si="15"/>
        <v>0.8</v>
      </c>
      <c r="AF18" s="177">
        <f t="shared" si="23"/>
        <v>0.20017665592451994</v>
      </c>
      <c r="AG18" s="809">
        <f t="shared" si="24"/>
        <v>4</v>
      </c>
      <c r="AH18" s="176">
        <f t="shared" si="16"/>
        <v>10</v>
      </c>
      <c r="AI18" s="225">
        <f t="shared" si="17"/>
        <v>4.2001766559245199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IF(t&gt;Tmaj,'2026'!Wh/'2026'!Env_an*'2027'!Env_an,0.001*'[3]mon-tableau (2)'!$B$144)</f>
        <v>10.123545671099137</v>
      </c>
      <c r="C19" s="839"/>
      <c r="D19" s="393">
        <f t="shared" si="0"/>
        <v>11.127928960794005</v>
      </c>
      <c r="E19" s="385">
        <f t="shared" si="1"/>
        <v>12.521179164076441</v>
      </c>
      <c r="F19" s="385">
        <f t="shared" si="2"/>
        <v>12.829488626185059</v>
      </c>
      <c r="G19" s="110">
        <f t="shared" si="21"/>
        <v>0.67199824125649377</v>
      </c>
      <c r="H19" s="414" t="b">
        <f>Wh_hp&gt;='2026'!Maxi_hp</f>
        <v>0</v>
      </c>
      <c r="I19" s="390">
        <f>IF(H19,Wh_hp,'2026'!Maxi_hp)</f>
        <v>18.453425057954192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9.0257881159514747E-2</v>
      </c>
      <c r="M19" s="843"/>
      <c r="N19" s="843"/>
      <c r="O19" s="48">
        <f>IF(t&lt;Tnet,'2026'!Resal+('2026'!Salim-'2026'!Resal)*(1-EXP(('2026'!Tnet-t)/('2026'!Tau_j))),Resal+(Salim-Resal)*(1-EXP((Tnet-t)/(Tau_j))))*Salcycl</f>
        <v>0.11127148529906063</v>
      </c>
      <c r="P19" s="169">
        <f>(INDEX(Models!$BJ19:$BT19,,T19)*(1-R19)+INDEX(Models!$BJ19:$BT19,,T19+1)*R19-ERP_i)*Q19*Ramure*Pc/MaxiM</f>
        <v>4.3607945170189476E-2</v>
      </c>
      <c r="Q19" s="305">
        <f t="shared" si="4"/>
        <v>0.8</v>
      </c>
      <c r="R19" s="177">
        <f t="shared" si="5"/>
        <v>0.99949955139868996</v>
      </c>
      <c r="S19" s="809">
        <f t="shared" si="6"/>
        <v>2</v>
      </c>
      <c r="T19" s="176">
        <f t="shared" si="7"/>
        <v>8</v>
      </c>
      <c r="U19" s="251">
        <f t="shared" si="8"/>
        <v>2.99949955139869</v>
      </c>
      <c r="V19" s="383">
        <f t="shared" si="9"/>
        <v>14.762658920130155</v>
      </c>
      <c r="W19" s="402">
        <f t="shared" si="10"/>
        <v>10.123545671099137</v>
      </c>
      <c r="X19" s="157">
        <f t="shared" si="11"/>
        <v>46392</v>
      </c>
      <c r="Y19" s="385">
        <f t="shared" si="12"/>
        <v>9.5676969770923641</v>
      </c>
      <c r="Z19" s="385">
        <f t="shared" si="22"/>
        <v>10.516933072513893</v>
      </c>
      <c r="AA19" s="386">
        <f t="shared" si="13"/>
        <v>12.44938337445071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0.15522457970911996</v>
      </c>
      <c r="AD19" s="231">
        <f>(INDEX(Models!$BJ19:$BT19,,AH19)*(1-AF19)+INDEX(Models!$BJ19:$BT19,,AH19+1)*AF19-ERP_i)*AE19*Ramure*Pc/MaxiM</f>
        <v>5.3762894149168294E-2</v>
      </c>
      <c r="AE19" s="305">
        <f t="shared" si="15"/>
        <v>0.8</v>
      </c>
      <c r="AF19" s="177">
        <f t="shared" si="23"/>
        <v>0.20021629856359358</v>
      </c>
      <c r="AG19" s="809">
        <f t="shared" si="24"/>
        <v>4</v>
      </c>
      <c r="AH19" s="176">
        <f t="shared" si="16"/>
        <v>10</v>
      </c>
      <c r="AI19" s="225">
        <f t="shared" si="17"/>
        <v>4.2002162985635936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IF(t&gt;Tmaj,'2026'!Wh/'2026'!Env_an*'2027'!Env_an,0.001*'[3]mon-tableau (2)'!$B$145)</f>
        <v>4.4202941054314575</v>
      </c>
      <c r="C20" s="839"/>
      <c r="D20" s="393">
        <f t="shared" si="0"/>
        <v>4.8589586765057415</v>
      </c>
      <c r="E20" s="385">
        <f t="shared" si="1"/>
        <v>5.467882126601542</v>
      </c>
      <c r="F20" s="385">
        <f t="shared" si="2"/>
        <v>5.467882126601542</v>
      </c>
      <c r="G20" s="110">
        <f t="shared" si="21"/>
        <v>0.28396989084232194</v>
      </c>
      <c r="H20" s="414" t="b">
        <f>Wh_hp&gt;='2026'!Maxi_hp</f>
        <v>0</v>
      </c>
      <c r="I20" s="390">
        <f>IF(H20,Wh_hp,'2026'!Maxi_hp)</f>
        <v>17.976062678070381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9.0279543474064777E-2</v>
      </c>
      <c r="M20" s="843"/>
      <c r="N20" s="843"/>
      <c r="O20" s="48">
        <f>IF(t&lt;Tnet,'2026'!Resal+('2026'!Salim-'2026'!Resal)*(1-EXP(('2026'!Tnet-t)/('2026'!Tau_j))),Resal+(Salim-Resal)*(1-EXP((Tnet-t)/(Tau_j))))*Salcycl</f>
        <v>0.11136367536771785</v>
      </c>
      <c r="P20" s="169">
        <f>(INDEX(Models!$BJ20:$BT20,,T20)*(1-R20)+INDEX(Models!$BJ20:$BT20,,T20+1)*R20-ERP_i)*Q20*Ramure*Pc/MaxiM</f>
        <v>4.3775583823078425E-2</v>
      </c>
      <c r="Q20" s="305">
        <f t="shared" si="4"/>
        <v>0.8</v>
      </c>
      <c r="R20" s="177">
        <f t="shared" si="5"/>
        <v>0.99954085155479078</v>
      </c>
      <c r="S20" s="809">
        <f t="shared" si="6"/>
        <v>2</v>
      </c>
      <c r="T20" s="176">
        <f t="shared" si="7"/>
        <v>8</v>
      </c>
      <c r="U20" s="251">
        <f t="shared" si="8"/>
        <v>2.9995408515547908</v>
      </c>
      <c r="V20" s="383">
        <f t="shared" si="9"/>
        <v>14.88465251635944</v>
      </c>
      <c r="W20" s="402">
        <f t="shared" si="10"/>
        <v>4.4202941054314575</v>
      </c>
      <c r="X20" s="157">
        <f t="shared" si="11"/>
        <v>46393</v>
      </c>
      <c r="Y20" s="385">
        <f t="shared" si="12"/>
        <v>4.2019720875180893</v>
      </c>
      <c r="Z20" s="385">
        <f t="shared" si="22"/>
        <v>4.6189706490328826</v>
      </c>
      <c r="AA20" s="386">
        <f t="shared" si="13"/>
        <v>5.467882126601542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0.15525416567388292</v>
      </c>
      <c r="AD20" s="231">
        <f>(INDEX(Models!$BJ20:$BT20,,AH20)*(1-AF20)+INDEX(Models!$BJ20:$BT20,,AH20+1)*AF20-ERP_i)*AE20*Ramure*Pc/MaxiM</f>
        <v>5.4050160977340299E-2</v>
      </c>
      <c r="AE20" s="305">
        <f t="shared" si="15"/>
        <v>0.8</v>
      </c>
      <c r="AF20" s="177">
        <f t="shared" si="23"/>
        <v>0.20025759871969484</v>
      </c>
      <c r="AG20" s="809">
        <f t="shared" si="24"/>
        <v>4</v>
      </c>
      <c r="AH20" s="176">
        <f t="shared" si="16"/>
        <v>10</v>
      </c>
      <c r="AI20" s="225">
        <f t="shared" si="17"/>
        <v>4.2002575987196948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IF(t&gt;Tmaj,'2026'!Wh/'2026'!Env_an*'2027'!Env_an,0.001*'[3]mon-tableau (2)'!$B$146)</f>
        <v>10.165405922045286</v>
      </c>
      <c r="C21" s="839"/>
      <c r="D21" s="393">
        <f t="shared" si="0"/>
        <v>11.174474431643539</v>
      </c>
      <c r="E21" s="385">
        <f t="shared" si="1"/>
        <v>12.576161759960671</v>
      </c>
      <c r="F21" s="385">
        <f t="shared" si="2"/>
        <v>12.881129906766153</v>
      </c>
      <c r="G21" s="110">
        <f t="shared" si="21"/>
        <v>0.66303774272114213</v>
      </c>
      <c r="H21" s="414" t="b">
        <f>Wh_hp&gt;='2026'!Maxi_hp</f>
        <v>0</v>
      </c>
      <c r="I21" s="390">
        <f>IF(H21,Wh_hp,'2026'!Maxi_hp)</f>
        <v>13.106878010800106</v>
      </c>
      <c r="J21" s="85">
        <f>IF(H21,An,'2026'!An_max)</f>
        <v>2023</v>
      </c>
      <c r="K21" s="197">
        <f t="shared" si="3"/>
        <v>46394</v>
      </c>
      <c r="L21" s="147">
        <f>IF(t&lt;Tvie,1-EXP((T0-t)*PertePVj)+'2026'!Pspv,1-EXP((T0-t)*PertePVj)+Pspv)</f>
        <v>9.0301205284501168E-2</v>
      </c>
      <c r="M21" s="843"/>
      <c r="N21" s="843"/>
      <c r="O21" s="48">
        <f>IF(t&lt;Tnet,'2026'!Resal+('2026'!Salim-'2026'!Resal)*(1-EXP(('2026'!Tnet-t)/('2026'!Tau_j))),Resal+(Salim-Resal)*(1-EXP((Tnet-t)/(Tau_j))))*Salcycl</f>
        <v>0.11145589211326395</v>
      </c>
      <c r="P21" s="169">
        <f>(INDEX(Models!$BJ21:$BT21,,T21)*(1-R21)+INDEX(Models!$BJ21:$BT21,,T21+1)*R21-ERP_i)*Q21*Ramure*Pc/MaxiM</f>
        <v>4.3948594942727126E-2</v>
      </c>
      <c r="Q21" s="305">
        <f t="shared" si="4"/>
        <v>0.8</v>
      </c>
      <c r="R21" s="177">
        <f t="shared" si="5"/>
        <v>0.99958387828806661</v>
      </c>
      <c r="S21" s="809">
        <f t="shared" si="6"/>
        <v>2</v>
      </c>
      <c r="T21" s="176">
        <f t="shared" si="7"/>
        <v>8</v>
      </c>
      <c r="U21" s="251">
        <f t="shared" si="8"/>
        <v>2.9995838782880666</v>
      </c>
      <c r="V21" s="383">
        <f t="shared" si="9"/>
        <v>15.013210158098419</v>
      </c>
      <c r="W21" s="402">
        <f t="shared" si="10"/>
        <v>10.165405922045286</v>
      </c>
      <c r="X21" s="157">
        <f t="shared" si="11"/>
        <v>46394</v>
      </c>
      <c r="Y21" s="385">
        <f t="shared" si="12"/>
        <v>9.608501199160683</v>
      </c>
      <c r="Z21" s="385">
        <f t="shared" si="22"/>
        <v>10.5622885893409</v>
      </c>
      <c r="AA21" s="386">
        <f t="shared" si="13"/>
        <v>12.503951326803762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0.1552839327917622</v>
      </c>
      <c r="AD21" s="231">
        <f>(INDEX(Models!$BJ21:$BT21,,AH21)*(1-AF21)+INDEX(Models!$BJ21:$BT21,,AH21+1)*AF21-ERP_i)*AE21*Ramure*Pc/MaxiM</f>
        <v>5.4354754112773435E-2</v>
      </c>
      <c r="AE21" s="305">
        <f t="shared" si="15"/>
        <v>0.8</v>
      </c>
      <c r="AF21" s="177">
        <f t="shared" si="23"/>
        <v>0.20030062545297067</v>
      </c>
      <c r="AG21" s="809">
        <f t="shared" si="24"/>
        <v>4</v>
      </c>
      <c r="AH21" s="176">
        <f t="shared" si="16"/>
        <v>10</v>
      </c>
      <c r="AI21" s="225">
        <f t="shared" si="17"/>
        <v>4.2003006254529707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IF(t&gt;Tmaj,'2026'!Wh/'2026'!Env_an*'2027'!Env_an,0.001*'[3]mon-tableau (2)'!$B$147)</f>
        <v>5.1333702286344085</v>
      </c>
      <c r="C22" s="839"/>
      <c r="D22" s="393">
        <f t="shared" si="0"/>
        <v>5.6430683372201083</v>
      </c>
      <c r="E22" s="385">
        <f t="shared" si="1"/>
        <v>6.3515745555498802</v>
      </c>
      <c r="F22" s="385">
        <f t="shared" si="2"/>
        <v>6.3671745214695639</v>
      </c>
      <c r="G22" s="110">
        <f t="shared" si="21"/>
        <v>0.32471005474506581</v>
      </c>
      <c r="H22" s="414" t="b">
        <f>Wh_hp&gt;='2026'!Maxi_hp</f>
        <v>0</v>
      </c>
      <c r="I22" s="390">
        <f>IF(H22,Wh_hp,'2026'!Maxi_hp)</f>
        <v>14.204515850119641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9.0322866590835466E-2</v>
      </c>
      <c r="M22" s="843"/>
      <c r="N22" s="843"/>
      <c r="O22" s="48">
        <f>IF(t&lt;Tnet,'2026'!Resal+('2026'!Salim-'2026'!Resal)*(1-EXP(('2026'!Tnet-t)/('2026'!Tau_j))),Resal+(Salim-Resal)*(1-EXP((Tnet-t)/(Tau_j))))*Salcycl</f>
        <v>0.11154812277385501</v>
      </c>
      <c r="P22" s="169">
        <f>(INDEX(Models!$BJ22:$BT22,,T22)*(1-R22)+INDEX(Models!$BJ22:$BT22,,T22+1)*R22-ERP_i)*Q22*Ramure*Pc/MaxiM</f>
        <v>4.4125664855591475E-2</v>
      </c>
      <c r="Q22" s="305">
        <f t="shared" si="4"/>
        <v>0.8</v>
      </c>
      <c r="R22" s="177">
        <f t="shared" si="5"/>
        <v>0.99962870351526334</v>
      </c>
      <c r="S22" s="809">
        <f t="shared" si="6"/>
        <v>2</v>
      </c>
      <c r="T22" s="176">
        <f t="shared" si="7"/>
        <v>8</v>
      </c>
      <c r="U22" s="251">
        <f t="shared" si="8"/>
        <v>2.9996287035152633</v>
      </c>
      <c r="V22" s="383">
        <f t="shared" si="9"/>
        <v>15.148617692158425</v>
      </c>
      <c r="W22" s="402">
        <f t="shared" si="10"/>
        <v>5.1333702286344085</v>
      </c>
      <c r="X22" s="157">
        <f t="shared" si="11"/>
        <v>46395</v>
      </c>
      <c r="Y22" s="385">
        <f t="shared" si="12"/>
        <v>4.8776312761153617</v>
      </c>
      <c r="Z22" s="385">
        <f t="shared" si="22"/>
        <v>5.3619367762226107</v>
      </c>
      <c r="AA22" s="386">
        <f t="shared" si="13"/>
        <v>6.3478451215444522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0.15531386264855296</v>
      </c>
      <c r="AD22" s="231">
        <f>(INDEX(Models!$BJ22:$BT22,,AH22)*(1-AF22)+INDEX(Models!$BJ22:$BT22,,AH22+1)*AF22-ERP_i)*AE22*Ramure*Pc/MaxiM</f>
        <v>5.4674646556689757E-2</v>
      </c>
      <c r="AE22" s="305">
        <f t="shared" si="15"/>
        <v>0.8</v>
      </c>
      <c r="AF22" s="177">
        <f t="shared" si="23"/>
        <v>0.20034545068016651</v>
      </c>
      <c r="AG22" s="809">
        <f t="shared" si="24"/>
        <v>4</v>
      </c>
      <c r="AH22" s="176">
        <f t="shared" si="16"/>
        <v>10</v>
      </c>
      <c r="AI22" s="225">
        <f t="shared" si="17"/>
        <v>4.2003454506801665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IF(t&gt;Tmaj,'2026'!Wh/'2026'!Env_an*'2027'!Env_an,0.001*'[3]mon-tableau (2)'!$B$148)</f>
        <v>6.3876812473638944</v>
      </c>
      <c r="C23" s="839"/>
      <c r="D23" s="393">
        <f t="shared" si="0"/>
        <v>7.0220885156199504</v>
      </c>
      <c r="E23" s="385">
        <f t="shared" si="1"/>
        <v>7.9045559685238347</v>
      </c>
      <c r="F23" s="385">
        <f t="shared" si="2"/>
        <v>7.9638932096552644</v>
      </c>
      <c r="G23" s="110">
        <f t="shared" si="21"/>
        <v>0.40221190595822076</v>
      </c>
      <c r="H23" s="414" t="b">
        <f>Wh_hp&gt;='2026'!Maxi_hp</f>
        <v>0</v>
      </c>
      <c r="I23" s="390">
        <f>IF(H23,Wh_hp,'2026'!Maxi_hp)</f>
        <v>18.029266819342844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9.0344527393079549E-2</v>
      </c>
      <c r="M23" s="843"/>
      <c r="N23" s="843"/>
      <c r="O23" s="48">
        <f>IF(t&lt;Tnet,'2026'!Resal+('2026'!Salim-'2026'!Resal)*(1-EXP(('2026'!Tnet-t)/('2026'!Tau_j))),Resal+(Salim-Resal)*(1-EXP((Tnet-t)/(Tau_j))))*Salcycl</f>
        <v>0.11164035733542714</v>
      </c>
      <c r="P23" s="169">
        <f>(INDEX(Models!$BJ23:$BT23,,T23)*(1-R23)+INDEX(Models!$BJ23:$BT23,,T23+1)*R23-ERP_i)*Q23*Ramure*Pc/MaxiM</f>
        <v>4.4303991459782421E-2</v>
      </c>
      <c r="Q23" s="305">
        <f t="shared" si="4"/>
        <v>0.8</v>
      </c>
      <c r="R23" s="177">
        <f t="shared" si="5"/>
        <v>0.99967540212610517</v>
      </c>
      <c r="S23" s="809">
        <f t="shared" si="6"/>
        <v>2</v>
      </c>
      <c r="T23" s="176">
        <f t="shared" si="7"/>
        <v>8</v>
      </c>
      <c r="U23" s="251">
        <f t="shared" si="8"/>
        <v>2.9996754021261052</v>
      </c>
      <c r="V23" s="383">
        <f t="shared" si="9"/>
        <v>15.291709367202767</v>
      </c>
      <c r="W23" s="402">
        <f t="shared" si="10"/>
        <v>6.3876812473638944</v>
      </c>
      <c r="X23" s="157">
        <f t="shared" si="11"/>
        <v>46396</v>
      </c>
      <c r="Y23" s="385">
        <f t="shared" si="12"/>
        <v>6.0624210491171917</v>
      </c>
      <c r="Z23" s="385">
        <f t="shared" si="22"/>
        <v>6.664524351998133</v>
      </c>
      <c r="AA23" s="386">
        <f t="shared" si="13"/>
        <v>7.8902226280582672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0.15534394070218657</v>
      </c>
      <c r="AD23" s="231">
        <f>(INDEX(Models!$BJ23:$BT23,,AH23)*(1-AF23)+INDEX(Models!$BJ23:$BT23,,AH23+1)*AF23-ERP_i)*AE23*Ramure*Pc/MaxiM</f>
        <v>5.5005941558374072E-2</v>
      </c>
      <c r="AE23" s="305">
        <f t="shared" si="15"/>
        <v>0.8</v>
      </c>
      <c r="AF23" s="177">
        <f t="shared" si="23"/>
        <v>0.20039214929100879</v>
      </c>
      <c r="AG23" s="809">
        <f t="shared" si="24"/>
        <v>4</v>
      </c>
      <c r="AH23" s="176">
        <f t="shared" si="16"/>
        <v>10</v>
      </c>
      <c r="AI23" s="225">
        <f t="shared" si="17"/>
        <v>4.2003921492910088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IF(t&gt;Tmaj,'2026'!Wh/'2026'!Env_an*'2027'!Env_an,0.001*'[3]mon-tableau (2)'!$B$149)</f>
        <v>13.771530385879261</v>
      </c>
      <c r="C24" s="839"/>
      <c r="D24" s="393">
        <f t="shared" si="0"/>
        <v>15.139642127996034</v>
      </c>
      <c r="E24" s="385">
        <f t="shared" si="1"/>
        <v>17.044013919035454</v>
      </c>
      <c r="F24" s="385">
        <f t="shared" si="2"/>
        <v>17.709745364410015</v>
      </c>
      <c r="G24" s="110">
        <f t="shared" si="21"/>
        <v>0.88539559653254407</v>
      </c>
      <c r="H24" s="414" t="b">
        <f>Wh_hp&gt;='2026'!Maxi_hp</f>
        <v>0</v>
      </c>
      <c r="I24" s="390">
        <f>IF(H24,Wh_hp,'2026'!Maxi_hp)</f>
        <v>17.81595985452303</v>
      </c>
      <c r="J24" s="85">
        <f>IF(H24,An,'2026'!An_max)</f>
        <v>2023</v>
      </c>
      <c r="K24" s="197">
        <f t="shared" si="3"/>
        <v>46397</v>
      </c>
      <c r="L24" s="147">
        <f>IF(t&lt;Tvie,1-EXP((T0-t)*PertePVj)+'2026'!Pspv,1-EXP((T0-t)*PertePVj)+Pspv)</f>
        <v>9.0366187691245187E-2</v>
      </c>
      <c r="M24" s="843"/>
      <c r="N24" s="843"/>
      <c r="O24" s="48">
        <f>IF(t&lt;Tnet,'2026'!Resal+('2026'!Salim-'2026'!Resal)*(1-EXP(('2026'!Tnet-t)/('2026'!Tau_j))),Resal+(Salim-Resal)*(1-EXP((Tnet-t)/(Tau_j))))*Salcycl</f>
        <v>0.11173258834954011</v>
      </c>
      <c r="P24" s="169">
        <f>(INDEX(Models!$BJ24:$BT24,,T24)*(1-R24)+INDEX(Models!$BJ24:$BT24,,T24+1)*R24-ERP_i)*Q24*Ramure*Pc/MaxiM</f>
        <v>4.4466662404230292E-2</v>
      </c>
      <c r="Q24" s="305">
        <f t="shared" si="4"/>
        <v>0.8</v>
      </c>
      <c r="R24" s="177">
        <f t="shared" si="5"/>
        <v>0.99972405210426896</v>
      </c>
      <c r="S24" s="809">
        <f t="shared" si="6"/>
        <v>2</v>
      </c>
      <c r="T24" s="176">
        <f t="shared" si="7"/>
        <v>8</v>
      </c>
      <c r="U24" s="251">
        <f t="shared" si="8"/>
        <v>2.999724052104269</v>
      </c>
      <c r="V24" s="383">
        <f t="shared" si="9"/>
        <v>15.442980653157841</v>
      </c>
      <c r="W24" s="402">
        <f t="shared" si="10"/>
        <v>13.771530385879261</v>
      </c>
      <c r="X24" s="157">
        <f t="shared" si="11"/>
        <v>46397</v>
      </c>
      <c r="Y24" s="385">
        <f t="shared" si="12"/>
        <v>12.969654927520731</v>
      </c>
      <c r="Z24" s="385">
        <f t="shared" si="22"/>
        <v>14.258105571737994</v>
      </c>
      <c r="AA24" s="386">
        <f t="shared" si="13"/>
        <v>16.880972413182203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0.15537415601698604</v>
      </c>
      <c r="AD24" s="231">
        <f>(INDEX(Models!$BJ24:$BT24,,AH24)*(1-AF24)+INDEX(Models!$BJ24:$BT24,,AH24+1)*AF24-ERP_i)*AE24*Ramure*Pc/MaxiM</f>
        <v>5.5356806844643114E-2</v>
      </c>
      <c r="AE24" s="305">
        <f t="shared" si="15"/>
        <v>0.8</v>
      </c>
      <c r="AF24" s="177">
        <f t="shared" si="23"/>
        <v>0.20044079926917213</v>
      </c>
      <c r="AG24" s="809">
        <f t="shared" si="24"/>
        <v>4</v>
      </c>
      <c r="AH24" s="176">
        <f t="shared" si="16"/>
        <v>10</v>
      </c>
      <c r="AI24" s="225">
        <f t="shared" si="17"/>
        <v>4.2004407992691721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IF(t&gt;Tmaj,'2026'!Wh/'2026'!Env_an*'2027'!Env_an,0.001*'[3]mon-tableau (2)'!$B$150)</f>
        <v>3.8354539930816336</v>
      </c>
      <c r="C25" s="839"/>
      <c r="D25" s="393">
        <f t="shared" si="0"/>
        <v>4.2165817403366708</v>
      </c>
      <c r="E25" s="385">
        <f t="shared" si="1"/>
        <v>4.7474662558700258</v>
      </c>
      <c r="F25" s="385">
        <f t="shared" si="2"/>
        <v>4.7474662558700258</v>
      </c>
      <c r="G25" s="110">
        <f t="shared" si="21"/>
        <v>0.23486569242482722</v>
      </c>
      <c r="H25" s="414" t="b">
        <f>Wh_hp&gt;='2026'!Maxi_hp</f>
        <v>0</v>
      </c>
      <c r="I25" s="390">
        <f>IF(H25,Wh_hp,'2026'!Maxi_hp)</f>
        <v>20.883768698219409</v>
      </c>
      <c r="J25" s="85">
        <f>IF(H25,An,'2026'!An_max)</f>
        <v>2022</v>
      </c>
      <c r="K25" s="197">
        <f t="shared" si="3"/>
        <v>46398</v>
      </c>
      <c r="L25" s="147">
        <f>IF(t&lt;Tvie,1-EXP((T0-t)*PertePVj)+'2026'!Pspv,1-EXP((T0-t)*PertePVj)+Pspv)</f>
        <v>9.0387847485343925E-2</v>
      </c>
      <c r="M25" s="843"/>
      <c r="N25" s="843"/>
      <c r="O25" s="48">
        <f>IF(t&lt;Tnet,'2026'!Resal+('2026'!Salim-'2026'!Resal)*(1-EXP(('2026'!Tnet-t)/('2026'!Tau_j))),Resal+(Salim-Resal)*(1-EXP((Tnet-t)/(Tau_j))))*Salcycl</f>
        <v>0.11182481073497692</v>
      </c>
      <c r="P25" s="169">
        <f>(INDEX(Models!$BJ25:$BT25,,T25)*(1-R25)+INDEX(Models!$BJ25:$BT25,,T25+1)*R25-ERP_i)*Q25*Ramure*Pc/MaxiM</f>
        <v>4.4596633621233728E-2</v>
      </c>
      <c r="Q25" s="305">
        <f t="shared" si="4"/>
        <v>0.8</v>
      </c>
      <c r="R25" s="177">
        <f t="shared" si="5"/>
        <v>0.99977473465310807</v>
      </c>
      <c r="S25" s="809">
        <f t="shared" si="6"/>
        <v>2</v>
      </c>
      <c r="T25" s="176">
        <f t="shared" si="7"/>
        <v>8</v>
      </c>
      <c r="U25" s="251">
        <f t="shared" si="8"/>
        <v>2.9997747346531081</v>
      </c>
      <c r="V25" s="383">
        <f t="shared" si="9"/>
        <v>15.602132515603271</v>
      </c>
      <c r="W25" s="402">
        <f t="shared" si="10"/>
        <v>3.8354539930816336</v>
      </c>
      <c r="X25" s="157">
        <f t="shared" si="11"/>
        <v>46398</v>
      </c>
      <c r="Y25" s="385">
        <f t="shared" si="12"/>
        <v>3.6472615069887553</v>
      </c>
      <c r="Z25" s="385">
        <f t="shared" si="22"/>
        <v>4.0096886314741589</v>
      </c>
      <c r="AA25" s="386">
        <f t="shared" si="13"/>
        <v>4.7474662558700258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0.15540450097641834</v>
      </c>
      <c r="AD25" s="231">
        <f>(INDEX(Models!$BJ25:$BT25,,AH25)*(1-AF25)+INDEX(Models!$BJ25:$BT25,,AH25+1)*AF25-ERP_i)*AE25*Ramure*Pc/MaxiM</f>
        <v>5.5704223825679175E-2</v>
      </c>
      <c r="AE25" s="305">
        <f t="shared" si="15"/>
        <v>0.8</v>
      </c>
      <c r="AF25" s="177">
        <f t="shared" si="23"/>
        <v>0.20049148181801169</v>
      </c>
      <c r="AG25" s="809">
        <f t="shared" si="24"/>
        <v>4</v>
      </c>
      <c r="AH25" s="176">
        <f t="shared" si="16"/>
        <v>10</v>
      </c>
      <c r="AI25" s="225">
        <f t="shared" si="17"/>
        <v>4.2004914818180117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IF(t&gt;Tmaj,'2026'!Wh/'2026'!Env_an*'2027'!Env_an,0.001*'[3]mon-tableau (2)'!$B$151)</f>
        <v>13.292577977078158</v>
      </c>
      <c r="C26" s="839"/>
      <c r="D26" s="393">
        <f t="shared" si="0"/>
        <v>14.613804867236798</v>
      </c>
      <c r="E26" s="385">
        <f t="shared" si="1"/>
        <v>16.455449797044903</v>
      </c>
      <c r="F26" s="385">
        <f t="shared" si="2"/>
        <v>17.046454320110779</v>
      </c>
      <c r="G26" s="110">
        <f t="shared" si="21"/>
        <v>0.83422458853817139</v>
      </c>
      <c r="H26" s="414" t="b">
        <f>Wh_hp&gt;='2026'!Maxi_hp</f>
        <v>0</v>
      </c>
      <c r="I26" s="390">
        <f>IF(H26,Wh_hp,'2026'!Maxi_hp)</f>
        <v>19.450333694535168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9.0409506775387755E-2</v>
      </c>
      <c r="M26" s="843"/>
      <c r="N26" s="843"/>
      <c r="O26" s="48">
        <f>IF(t&lt;Tnet,'2026'!Resal+('2026'!Salim-'2026'!Resal)*(1-EXP(('2026'!Tnet-t)/('2026'!Tau_j))),Resal+(Salim-Resal)*(1-EXP((Tnet-t)/(Tau_j))))*Salcycl</f>
        <v>0.11191702156563543</v>
      </c>
      <c r="P26" s="169">
        <f>(INDEX(Models!$BJ26:$BT26,,T26)*(1-R26)+INDEX(Models!$BJ26:$BT26,,T26+1)*R26-ERP_i)*Q26*Ramure*Pc/MaxiM</f>
        <v>4.4696247204007521E-2</v>
      </c>
      <c r="Q26" s="305">
        <f t="shared" si="4"/>
        <v>0.8</v>
      </c>
      <c r="R26" s="177">
        <f t="shared" si="5"/>
        <v>0.99982753432631322</v>
      </c>
      <c r="S26" s="809">
        <f t="shared" si="6"/>
        <v>2</v>
      </c>
      <c r="T26" s="176">
        <f t="shared" si="7"/>
        <v>8</v>
      </c>
      <c r="U26" s="251">
        <f t="shared" si="8"/>
        <v>2.9998275343263132</v>
      </c>
      <c r="V26" s="383">
        <f t="shared" si="9"/>
        <v>15.768559282883709</v>
      </c>
      <c r="W26" s="402">
        <f t="shared" si="10"/>
        <v>13.292577977078158</v>
      </c>
      <c r="X26" s="157">
        <f t="shared" si="11"/>
        <v>46399</v>
      </c>
      <c r="Y26" s="385">
        <f t="shared" si="12"/>
        <v>12.525887488507216</v>
      </c>
      <c r="Z26" s="385">
        <f t="shared" si="22"/>
        <v>13.770908537204885</v>
      </c>
      <c r="AA26" s="386">
        <f t="shared" si="13"/>
        <v>16.305326486405388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0.15543497097795506</v>
      </c>
      <c r="AD26" s="231">
        <f>(INDEX(Models!$BJ26:$BT26,,AH26)*(1-AF26)+INDEX(Models!$BJ26:$BT26,,AH26+1)*AF26-ERP_i)*AE26*Ramure*Pc/MaxiM</f>
        <v>5.6049711249628598E-2</v>
      </c>
      <c r="AE26" s="305">
        <f t="shared" si="15"/>
        <v>0.8</v>
      </c>
      <c r="AF26" s="177">
        <f t="shared" si="23"/>
        <v>0.20054428149121684</v>
      </c>
      <c r="AG26" s="809">
        <f t="shared" si="24"/>
        <v>4</v>
      </c>
      <c r="AH26" s="176">
        <f t="shared" si="16"/>
        <v>10</v>
      </c>
      <c r="AI26" s="225">
        <f t="shared" si="17"/>
        <v>4.2005442814912168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IF(t&gt;Tmaj,'2026'!Wh/'2026'!Env_an*'2027'!Env_an,0.001*'[3]mon-tableau (2)'!$B$152)</f>
        <v>9.1211750130914897</v>
      </c>
      <c r="C27" s="839"/>
      <c r="D27" s="393">
        <f t="shared" si="0"/>
        <v>10.028020604642968</v>
      </c>
      <c r="E27" s="385">
        <f t="shared" si="1"/>
        <v>11.292933247481248</v>
      </c>
      <c r="F27" s="385">
        <f t="shared" si="2"/>
        <v>11.492976880981024</v>
      </c>
      <c r="G27" s="110">
        <f t="shared" si="21"/>
        <v>0.55622700974378425</v>
      </c>
      <c r="H27" s="414" t="b">
        <f>Wh_hp&gt;='2026'!Maxi_hp</f>
        <v>0</v>
      </c>
      <c r="I27" s="390">
        <f>IF(H27,Wh_hp,'2026'!Maxi_hp)</f>
        <v>13.955743056810109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9.043116556138811E-2</v>
      </c>
      <c r="M27" s="843"/>
      <c r="N27" s="843"/>
      <c r="O27" s="48">
        <f>IF(t&lt;Tnet,'2026'!Resal+('2026'!Salim-'2026'!Resal)*(1-EXP(('2026'!Tnet-t)/('2026'!Tau_j))),Resal+(Salim-Resal)*(1-EXP((Tnet-t)/(Tau_j))))*Salcycl</f>
        <v>0.11200921984732386</v>
      </c>
      <c r="P27" s="169">
        <f>(INDEX(Models!$BJ27:$BT27,,T27)*(1-R27)+INDEX(Models!$BJ27:$BT27,,T27+1)*R27-ERP_i)*Q27*Ramure*Pc/MaxiM</f>
        <v>4.4767846582622083E-2</v>
      </c>
      <c r="Q27" s="305">
        <f t="shared" si="4"/>
        <v>0.8</v>
      </c>
      <c r="R27" s="177">
        <f t="shared" si="5"/>
        <v>0.99988253916367631</v>
      </c>
      <c r="S27" s="809">
        <f t="shared" si="6"/>
        <v>2</v>
      </c>
      <c r="T27" s="176">
        <f t="shared" si="7"/>
        <v>8</v>
      </c>
      <c r="U27" s="251">
        <f t="shared" si="8"/>
        <v>2.9998825391636763</v>
      </c>
      <c r="V27" s="383">
        <f t="shared" si="9"/>
        <v>15.94165549201047</v>
      </c>
      <c r="W27" s="402">
        <f t="shared" si="10"/>
        <v>9.1211750130914897</v>
      </c>
      <c r="X27" s="157">
        <f t="shared" si="11"/>
        <v>46400</v>
      </c>
      <c r="Y27" s="385">
        <f t="shared" si="12"/>
        <v>8.6348949360807428</v>
      </c>
      <c r="Z27" s="385">
        <f t="shared" si="22"/>
        <v>9.4933935829169229</v>
      </c>
      <c r="AA27" s="386">
        <f t="shared" si="13"/>
        <v>11.240978673598363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0.15546556411373552</v>
      </c>
      <c r="AD27" s="231">
        <f>(INDEX(Models!$BJ27:$BT27,,AH27)*(1-AF27)+INDEX(Models!$BJ27:$BT27,,AH27+1)*AF27-ERP_i)*AE27*Ramure*Pc/MaxiM</f>
        <v>5.63947819274907E-2</v>
      </c>
      <c r="AE27" s="305">
        <f t="shared" si="15"/>
        <v>0.8</v>
      </c>
      <c r="AF27" s="177">
        <f t="shared" si="23"/>
        <v>0.20059928632857993</v>
      </c>
      <c r="AG27" s="809">
        <f t="shared" si="24"/>
        <v>4</v>
      </c>
      <c r="AH27" s="176">
        <f t="shared" si="16"/>
        <v>10</v>
      </c>
      <c r="AI27" s="225">
        <f t="shared" si="17"/>
        <v>4.2005992863285799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IF(t&gt;Tmaj,'2026'!Wh/'2026'!Env_an*'2027'!Env_an,0.001*'[3]mon-tableau (2)'!$B$153)</f>
        <v>11.54549937894477</v>
      </c>
      <c r="C28" s="839"/>
      <c r="D28" s="393">
        <f t="shared" si="0"/>
        <v>12.6936784386832</v>
      </c>
      <c r="E28" s="385">
        <f t="shared" si="1"/>
        <v>14.296315512324846</v>
      </c>
      <c r="F28" s="385">
        <f t="shared" si="2"/>
        <v>14.687654399736552</v>
      </c>
      <c r="G28" s="110">
        <f t="shared" si="21"/>
        <v>0.70281671895194631</v>
      </c>
      <c r="H28" s="414" t="b">
        <f>Wh_hp&gt;='2026'!Maxi_hp</f>
        <v>0</v>
      </c>
      <c r="I28" s="390">
        <f>IF(H28,Wh_hp,'2026'!Maxi_hp)</f>
        <v>21.54879733993512</v>
      </c>
      <c r="J28" s="85">
        <f>IF(H28,An,'2026'!An_max)</f>
        <v>2022</v>
      </c>
      <c r="K28" s="197">
        <f t="shared" si="3"/>
        <v>46401</v>
      </c>
      <c r="L28" s="147">
        <f>IF(t&lt;Tvie,1-EXP((T0-t)*PertePVj)+'2026'!Pspv,1-EXP((T0-t)*PertePVj)+Pspv)</f>
        <v>9.0452823843356983E-2</v>
      </c>
      <c r="M28" s="843"/>
      <c r="N28" s="843"/>
      <c r="O28" s="48">
        <f>IF(t&lt;Tnet,'2026'!Resal+('2026'!Salim-'2026'!Resal)*(1-EXP(('2026'!Tnet-t)/('2026'!Tau_j))),Resal+(Salim-Resal)*(1-EXP((Tnet-t)/(Tau_j))))*Salcycl</f>
        <v>0.11210140628611706</v>
      </c>
      <c r="P28" s="169">
        <f>(INDEX(Models!$BJ28:$BT28,,T28)*(1-R28)+INDEX(Models!$BJ28:$BT28,,T28+1)*R28-ERP_i)*Q28*Ramure*Pc/MaxiM</f>
        <v>4.4813756070666844E-2</v>
      </c>
      <c r="Q28" s="305">
        <f t="shared" si="4"/>
        <v>0.8</v>
      </c>
      <c r="R28" s="177">
        <f t="shared" si="5"/>
        <v>0.99993984083214382</v>
      </c>
      <c r="S28" s="809">
        <f t="shared" si="6"/>
        <v>2</v>
      </c>
      <c r="T28" s="176">
        <f t="shared" si="7"/>
        <v>8</v>
      </c>
      <c r="U28" s="251">
        <f t="shared" si="8"/>
        <v>2.9999398408321438</v>
      </c>
      <c r="V28" s="383">
        <f t="shared" si="9"/>
        <v>16.12081589532178</v>
      </c>
      <c r="W28" s="402">
        <f t="shared" si="10"/>
        <v>11.54549937894477</v>
      </c>
      <c r="X28" s="157">
        <f t="shared" si="11"/>
        <v>46401</v>
      </c>
      <c r="Y28" s="385">
        <f t="shared" si="12"/>
        <v>10.901225314223199</v>
      </c>
      <c r="Z28" s="385">
        <f t="shared" si="22"/>
        <v>11.985332481913813</v>
      </c>
      <c r="AA28" s="386">
        <f t="shared" si="13"/>
        <v>14.192160685622818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0.15549628084077455</v>
      </c>
      <c r="AD28" s="231">
        <f>(INDEX(Models!$BJ28:$BT28,,AH28)*(1-AF28)+INDEX(Models!$BJ28:$BT28,,AH28+1)*AF28-ERP_i)*AE28*Ramure*Pc/MaxiM</f>
        <v>5.6740935166713864E-2</v>
      </c>
      <c r="AE28" s="305">
        <f t="shared" si="15"/>
        <v>0.8</v>
      </c>
      <c r="AF28" s="177">
        <f t="shared" si="23"/>
        <v>0.200656587997047</v>
      </c>
      <c r="AG28" s="809">
        <f t="shared" si="24"/>
        <v>4</v>
      </c>
      <c r="AH28" s="176">
        <f t="shared" si="16"/>
        <v>10</v>
      </c>
      <c r="AI28" s="225">
        <f t="shared" si="17"/>
        <v>4.200656587997047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IF(t&gt;Tmaj,'2026'!Wh/'2026'!Env_an*'2027'!Env_an,0.001*'[3]mon-tableau (2)'!$B$154)</f>
        <v>5.9657133544728405</v>
      </c>
      <c r="C29" s="839"/>
      <c r="D29" s="393">
        <f t="shared" si="0"/>
        <v>6.5591489561581815</v>
      </c>
      <c r="E29" s="385">
        <f t="shared" si="1"/>
        <v>7.3880395894171897</v>
      </c>
      <c r="F29" s="385">
        <f t="shared" si="2"/>
        <v>7.4193437590268978</v>
      </c>
      <c r="G29" s="110">
        <f t="shared" si="21"/>
        <v>0.35094906154756422</v>
      </c>
      <c r="H29" s="414" t="b">
        <f>Wh_hp&gt;='2026'!Maxi_hp</f>
        <v>0</v>
      </c>
      <c r="I29" s="390">
        <f>IF(H29,Wh_hp,'2026'!Maxi_hp)</f>
        <v>20.889632657989388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9.0474481621305919E-2</v>
      </c>
      <c r="M29" s="843"/>
      <c r="N29" s="843"/>
      <c r="O29" s="48">
        <f>IF(t&lt;Tnet,'2026'!Resal+('2026'!Salim-'2026'!Resal)*(1-EXP(('2026'!Tnet-t)/('2026'!Tau_j))),Resal+(Salim-Resal)*(1-EXP((Tnet-t)/(Tau_j))))*Salcycl</f>
        <v>0.11219358305095324</v>
      </c>
      <c r="P29" s="169">
        <f>(INDEX(Models!$BJ29:$BT29,,T29)*(1-R29)+INDEX(Models!$BJ29:$BT29,,T29+1)*R29-ERP_i)*Q29*Ramure*Pc/MaxiM</f>
        <v>4.4836263297124639E-2</v>
      </c>
      <c r="Q29" s="305">
        <f t="shared" si="4"/>
        <v>0.8</v>
      </c>
      <c r="R29" s="177">
        <f t="shared" si="5"/>
        <v>0.99999953477235026</v>
      </c>
      <c r="S29" s="809">
        <f t="shared" si="6"/>
        <v>2</v>
      </c>
      <c r="T29" s="176">
        <f t="shared" si="7"/>
        <v>8</v>
      </c>
      <c r="U29" s="251">
        <f t="shared" si="8"/>
        <v>2.9999995347723503</v>
      </c>
      <c r="V29" s="383">
        <f t="shared" si="9"/>
        <v>16.305435480160899</v>
      </c>
      <c r="W29" s="402">
        <f t="shared" si="10"/>
        <v>5.9657133544728405</v>
      </c>
      <c r="X29" s="157">
        <f t="shared" si="11"/>
        <v>46402</v>
      </c>
      <c r="Y29" s="385">
        <f t="shared" si="12"/>
        <v>5.6679578677208449</v>
      </c>
      <c r="Z29" s="385">
        <f t="shared" si="22"/>
        <v>6.2317744287422059</v>
      </c>
      <c r="AA29" s="386">
        <f t="shared" si="13"/>
        <v>7.3794844135627908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0.15552712364446533</v>
      </c>
      <c r="AD29" s="231">
        <f>(INDEX(Models!$BJ29:$BT29,,AH29)*(1-AF29)+INDEX(Models!$BJ29:$BT29,,AH29+1)*AF29-ERP_i)*AE29*Ramure*Pc/MaxiM</f>
        <v>5.7089650687476137E-2</v>
      </c>
      <c r="AE29" s="305">
        <f t="shared" si="15"/>
        <v>0.8</v>
      </c>
      <c r="AF29" s="177">
        <f t="shared" si="23"/>
        <v>0.20071628193725388</v>
      </c>
      <c r="AG29" s="809">
        <f t="shared" si="24"/>
        <v>4</v>
      </c>
      <c r="AH29" s="176">
        <f t="shared" si="16"/>
        <v>10</v>
      </c>
      <c r="AI29" s="225">
        <f t="shared" si="17"/>
        <v>4.2007162819372539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IF(t&gt;Tmaj,'2026'!Wh/'2026'!Env_an*'2027'!Env_an,0.001*'[3]mon-tableau (2)'!$B$155)</f>
        <v>3.1965215951554891</v>
      </c>
      <c r="C30" s="839"/>
      <c r="D30" s="393">
        <f t="shared" si="0"/>
        <v>3.514577267734464</v>
      </c>
      <c r="E30" s="385">
        <f t="shared" si="1"/>
        <v>3.9591313102416068</v>
      </c>
      <c r="F30" s="385">
        <f t="shared" si="2"/>
        <v>3.9591313102416068</v>
      </c>
      <c r="G30" s="110">
        <f t="shared" si="21"/>
        <v>0.18509936231887245</v>
      </c>
      <c r="H30" s="414" t="b">
        <f>Wh_hp&gt;='2026'!Maxi_hp</f>
        <v>0</v>
      </c>
      <c r="I30" s="390">
        <f>IF(H30,Wh_hp,'2026'!Maxi_hp)</f>
        <v>20.57239192220748</v>
      </c>
      <c r="J30" s="85">
        <f>IF(H30,An,'2026'!An_max)</f>
        <v>2022</v>
      </c>
      <c r="K30" s="197">
        <f t="shared" si="3"/>
        <v>46403</v>
      </c>
      <c r="L30" s="147">
        <f>IF(t&lt;Tvie,1-EXP((T0-t)*PertePVj)+'2026'!Pspv,1-EXP((T0-t)*PertePVj)+Pspv)</f>
        <v>9.0496138895246797E-2</v>
      </c>
      <c r="M30" s="843"/>
      <c r="N30" s="843"/>
      <c r="O30" s="48">
        <f>IF(t&lt;Tnet,'2026'!Resal+('2026'!Salim-'2026'!Resal)*(1-EXP(('2026'!Tnet-t)/('2026'!Tau_j))),Resal+(Salim-Resal)*(1-EXP((Tnet-t)/(Tau_j))))*Salcycl</f>
        <v>0.11228575353314409</v>
      </c>
      <c r="P30" s="169">
        <f>(INDEX(Models!$BJ30:$BT30,,T30)*(1-R30)+INDEX(Models!$BJ30:$BT30,,T30+1)*R30-ERP_i)*Q30*Ramure*Pc/MaxiM</f>
        <v>4.4817935285084355E-2</v>
      </c>
      <c r="Q30" s="305">
        <f t="shared" si="4"/>
        <v>0.8</v>
      </c>
      <c r="R30" s="177">
        <f t="shared" si="5"/>
        <v>6.172035082263605E-5</v>
      </c>
      <c r="S30" s="809">
        <f t="shared" si="6"/>
        <v>3</v>
      </c>
      <c r="T30" s="176">
        <f t="shared" si="7"/>
        <v>9</v>
      </c>
      <c r="U30" s="251">
        <f t="shared" si="8"/>
        <v>3.0000617203508226</v>
      </c>
      <c r="V30" s="383">
        <f t="shared" si="9"/>
        <v>16.495249140332291</v>
      </c>
      <c r="W30" s="402">
        <f t="shared" si="10"/>
        <v>3.1965215951554891</v>
      </c>
      <c r="X30" s="157">
        <f t="shared" si="11"/>
        <v>46403</v>
      </c>
      <c r="Y30" s="385">
        <f t="shared" si="12"/>
        <v>3.0407045853986991</v>
      </c>
      <c r="Z30" s="385">
        <f t="shared" si="22"/>
        <v>3.3432563790385958</v>
      </c>
      <c r="AA30" s="386">
        <f t="shared" si="13"/>
        <v>3.9591313102416068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0.15555809669910312</v>
      </c>
      <c r="AD30" s="231">
        <f>(INDEX(Models!$BJ30:$BT30,,AH30)*(1-AF30)+INDEX(Models!$BJ30:$BT30,,AH30+1)*AF30-ERP_i)*AE30*Ramure*Pc/MaxiM</f>
        <v>5.7439188606622019E-2</v>
      </c>
      <c r="AE30" s="305">
        <f t="shared" si="15"/>
        <v>0.8</v>
      </c>
      <c r="AF30" s="177">
        <f t="shared" si="23"/>
        <v>0.20077846751572626</v>
      </c>
      <c r="AG30" s="809">
        <f t="shared" si="24"/>
        <v>4</v>
      </c>
      <c r="AH30" s="176">
        <f t="shared" si="16"/>
        <v>10</v>
      </c>
      <c r="AI30" s="225">
        <f t="shared" si="17"/>
        <v>4.2007784675157263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IF(t&gt;Tmaj,'2026'!Wh/'2026'!Env_an*'2027'!Env_an,0.001*'[3]mon-tableau (2)'!$B$156)</f>
        <v>5.1988767718751827</v>
      </c>
      <c r="C31" s="839"/>
      <c r="D31" s="393">
        <f t="shared" si="0"/>
        <v>5.716304010233622</v>
      </c>
      <c r="E31" s="385">
        <f t="shared" si="1"/>
        <v>6.4400200857922529</v>
      </c>
      <c r="F31" s="385">
        <f t="shared" si="2"/>
        <v>6.4447590477409582</v>
      </c>
      <c r="G31" s="110">
        <f t="shared" si="21"/>
        <v>0.29777858054357581</v>
      </c>
      <c r="H31" s="414" t="b">
        <f>Wh_hp&gt;='2026'!Maxi_hp</f>
        <v>0</v>
      </c>
      <c r="I31" s="390">
        <f>IF(H31,Wh_hp,'2026'!Maxi_hp)</f>
        <v>13.681968685413491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9.0517795665191164E-2</v>
      </c>
      <c r="M31" s="843"/>
      <c r="N31" s="843"/>
      <c r="O31" s="48">
        <f>IF(t&lt;Tnet,'2026'!Resal+('2026'!Salim-'2026'!Resal)*(1-EXP(('2026'!Tnet-t)/('2026'!Tau_j))),Resal+(Salim-Resal)*(1-EXP((Tnet-t)/(Tau_j))))*Salcycl</f>
        <v>0.11237792210544004</v>
      </c>
      <c r="P31" s="169">
        <f>(INDEX(Models!$BJ31:$BT31,,T31)*(1-R31)+INDEX(Models!$BJ31:$BT31,,T31+1)*R31-ERP_i)*Q31*Ramure*Pc/MaxiM</f>
        <v>4.4755160426383549E-2</v>
      </c>
      <c r="Q31" s="305">
        <f t="shared" si="4"/>
        <v>0.8</v>
      </c>
      <c r="R31" s="177">
        <f t="shared" si="5"/>
        <v>1.2650101804734248E-4</v>
      </c>
      <c r="S31" s="809">
        <f t="shared" si="6"/>
        <v>3</v>
      </c>
      <c r="T31" s="176">
        <f t="shared" si="7"/>
        <v>9</v>
      </c>
      <c r="U31" s="251">
        <f t="shared" si="8"/>
        <v>3.0001265010180473</v>
      </c>
      <c r="V31" s="383">
        <f t="shared" si="9"/>
        <v>16.68976537428399</v>
      </c>
      <c r="W31" s="402">
        <f t="shared" si="10"/>
        <v>5.1988767718751827</v>
      </c>
      <c r="X31" s="157">
        <f t="shared" si="11"/>
        <v>46404</v>
      </c>
      <c r="Y31" s="385">
        <f t="shared" si="12"/>
        <v>4.9447261313931277</v>
      </c>
      <c r="Z31" s="385">
        <f t="shared" si="22"/>
        <v>5.4368585859353651</v>
      </c>
      <c r="AA31" s="386">
        <f t="shared" si="13"/>
        <v>6.4386417387546402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0.15558920552909025</v>
      </c>
      <c r="AD31" s="231">
        <f>(INDEX(Models!$BJ31:$BT31,,AH31)*(1-AF31)+INDEX(Models!$BJ31:$BT31,,AH31+1)*AF31-ERP_i)*AE31*Ramure*Pc/MaxiM</f>
        <v>5.7772387291536297E-2</v>
      </c>
      <c r="AE31" s="305">
        <f t="shared" si="15"/>
        <v>0.8</v>
      </c>
      <c r="AF31" s="177">
        <f t="shared" si="23"/>
        <v>0.20084324818295141</v>
      </c>
      <c r="AG31" s="809">
        <f t="shared" si="24"/>
        <v>4</v>
      </c>
      <c r="AH31" s="176">
        <f t="shared" si="16"/>
        <v>10</v>
      </c>
      <c r="AI31" s="225">
        <f t="shared" si="17"/>
        <v>4.2008432481829514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IF(t&gt;Tmaj,'2026'!Wh/'2026'!Env_an*'2027'!Env_an,0.001*'[3]mon-tableau (2)'!$B$157)</f>
        <v>12.767584780491342</v>
      </c>
      <c r="C32" s="839"/>
      <c r="D32" s="393">
        <f t="shared" si="0"/>
        <v>14.038635109133724</v>
      </c>
      <c r="E32" s="385">
        <f t="shared" si="1"/>
        <v>15.817647396871811</v>
      </c>
      <c r="F32" s="385">
        <f t="shared" si="2"/>
        <v>16.29151535980078</v>
      </c>
      <c r="G32" s="110">
        <f t="shared" si="21"/>
        <v>0.74387922906304771</v>
      </c>
      <c r="H32" s="414" t="b">
        <f>Wh_hp&gt;='2026'!Maxi_hp</f>
        <v>0</v>
      </c>
      <c r="I32" s="390">
        <f>IF(H32,Wh_hp,'2026'!Maxi_hp)</f>
        <v>21.36929658640063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9.053945193115101E-2</v>
      </c>
      <c r="M32" s="843"/>
      <c r="N32" s="843"/>
      <c r="O32" s="48">
        <f>IF(t&lt;Tnet,'2026'!Resal+('2026'!Salim-'2026'!Resal)*(1-EXP(('2026'!Tnet-t)/('2026'!Tau_j))),Resal+(Salim-Resal)*(1-EXP((Tnet-t)/(Tau_j))))*Salcycl</f>
        <v>0.11247009388323542</v>
      </c>
      <c r="P32" s="169">
        <f>(INDEX(Models!$BJ32:$BT32,,T32)*(1-R32)+INDEX(Models!$BJ32:$BT32,,T32+1)*R32-ERP_i)*Q32*Ramure*Pc/MaxiM</f>
        <v>4.4650956648114859E-2</v>
      </c>
      <c r="Q32" s="305">
        <f t="shared" si="4"/>
        <v>0.8</v>
      </c>
      <c r="R32" s="177">
        <f t="shared" si="5"/>
        <v>1.939844726175366E-4</v>
      </c>
      <c r="S32" s="809">
        <f t="shared" si="6"/>
        <v>3</v>
      </c>
      <c r="T32" s="176">
        <f t="shared" si="7"/>
        <v>9</v>
      </c>
      <c r="U32" s="251">
        <f t="shared" si="8"/>
        <v>3.0001939844726175</v>
      </c>
      <c r="V32" s="383">
        <f t="shared" si="9"/>
        <v>16.888379645350302</v>
      </c>
      <c r="W32" s="402">
        <f t="shared" si="10"/>
        <v>12.767584780491342</v>
      </c>
      <c r="X32" s="157">
        <f t="shared" si="11"/>
        <v>46405</v>
      </c>
      <c r="Y32" s="385">
        <f t="shared" si="12"/>
        <v>12.037306707036921</v>
      </c>
      <c r="Z32" s="385">
        <f t="shared" si="22"/>
        <v>13.235655722061798</v>
      </c>
      <c r="AA32" s="386">
        <f t="shared" si="13"/>
        <v>15.675007556356503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0.15562045667438951</v>
      </c>
      <c r="AD32" s="231">
        <f>(INDEX(Models!$BJ32:$BT32,,AH32)*(1-AF32)+INDEX(Models!$BJ32:$BT32,,AH32+1)*AF32-ERP_i)*AE32*Ramure*Pc/MaxiM</f>
        <v>5.8091420729662717E-2</v>
      </c>
      <c r="AE32" s="305">
        <f t="shared" si="15"/>
        <v>0.8</v>
      </c>
      <c r="AF32" s="177">
        <f t="shared" si="23"/>
        <v>0.20091073163752071</v>
      </c>
      <c r="AG32" s="809">
        <f t="shared" si="24"/>
        <v>4</v>
      </c>
      <c r="AH32" s="176">
        <f t="shared" si="16"/>
        <v>10</v>
      </c>
      <c r="AI32" s="225">
        <f t="shared" si="17"/>
        <v>4.2009107316375207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IF(t&gt;Tmaj,'2026'!Wh/'2026'!Env_an*'2027'!Env_an,0.001*'[3]mon-tableau (2)'!$B$158)</f>
        <v>6.8502441378938279</v>
      </c>
      <c r="C33" s="839"/>
      <c r="D33" s="393">
        <f t="shared" si="0"/>
        <v>7.5323852936590967</v>
      </c>
      <c r="E33" s="385">
        <f t="shared" si="1"/>
        <v>8.4877902720823251</v>
      </c>
      <c r="F33" s="385">
        <f t="shared" si="2"/>
        <v>8.5425530612168927</v>
      </c>
      <c r="G33" s="110">
        <f t="shared" si="21"/>
        <v>0.38545313674509146</v>
      </c>
      <c r="H33" s="414" t="b">
        <f>Wh_hp&gt;='2026'!Maxi_hp</f>
        <v>0</v>
      </c>
      <c r="I33" s="390">
        <f>IF(H33,Wh_hp,'2026'!Maxi_hp)</f>
        <v>22.802724307103638</v>
      </c>
      <c r="J33" s="85">
        <f>IF(H33,An,'2026'!An_max)</f>
        <v>2020</v>
      </c>
      <c r="K33" s="197">
        <f t="shared" si="3"/>
        <v>46406</v>
      </c>
      <c r="L33" s="147">
        <f>IF(t&lt;Tvie,1-EXP((T0-t)*PertePVj)+'2026'!Pspv,1-EXP((T0-t)*PertePVj)+Pspv)</f>
        <v>9.0561107693137771E-2</v>
      </c>
      <c r="M33" s="843"/>
      <c r="N33" s="843"/>
      <c r="O33" s="48">
        <f>IF(t&lt;Tnet,'2026'!Resal+('2026'!Salim-'2026'!Resal)*(1-EXP(('2026'!Tnet-t)/('2026'!Tau_j))),Resal+(Salim-Resal)*(1-EXP((Tnet-t)/(Tau_j))))*Salcycl</f>
        <v>0.11256227449041777</v>
      </c>
      <c r="P33" s="169">
        <f>(INDEX(Models!$BJ33:$BT33,,T33)*(1-R33)+INDEX(Models!$BJ33:$BT33,,T33+1)*R33-ERP_i)*Q33*Ramure*Pc/MaxiM</f>
        <v>4.4508241457221202E-2</v>
      </c>
      <c r="Q33" s="305">
        <f t="shared" si="4"/>
        <v>0.8</v>
      </c>
      <c r="R33" s="177">
        <f t="shared" si="5"/>
        <v>2.642828316505863E-4</v>
      </c>
      <c r="S33" s="809">
        <f t="shared" si="6"/>
        <v>3</v>
      </c>
      <c r="T33" s="176">
        <f t="shared" si="7"/>
        <v>9</v>
      </c>
      <c r="U33" s="251">
        <f t="shared" si="8"/>
        <v>3.0002642828316506</v>
      </c>
      <c r="V33" s="383">
        <f t="shared" si="9"/>
        <v>17.090487702011341</v>
      </c>
      <c r="W33" s="402">
        <f t="shared" si="10"/>
        <v>6.8502441378938279</v>
      </c>
      <c r="X33" s="157">
        <f t="shared" si="11"/>
        <v>46406</v>
      </c>
      <c r="Y33" s="385">
        <f t="shared" si="12"/>
        <v>6.5045067435690731</v>
      </c>
      <c r="Z33" s="385">
        <f t="shared" si="22"/>
        <v>7.1522196802798783</v>
      </c>
      <c r="AA33" s="386">
        <f t="shared" si="13"/>
        <v>8.4706998441996184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0.1556518573636605</v>
      </c>
      <c r="AD33" s="231">
        <f>(INDEX(Models!$BJ33:$BT33,,AH33)*(1-AF33)+INDEX(Models!$BJ33:$BT33,,AH33+1)*AF33-ERP_i)*AE33*Ramure*Pc/MaxiM</f>
        <v>5.8398419492921863E-2</v>
      </c>
      <c r="AE33" s="305">
        <f t="shared" si="15"/>
        <v>0.8</v>
      </c>
      <c r="AF33" s="177">
        <f t="shared" si="23"/>
        <v>0.20098102999655421</v>
      </c>
      <c r="AG33" s="809">
        <f t="shared" si="24"/>
        <v>4</v>
      </c>
      <c r="AH33" s="176">
        <f t="shared" si="16"/>
        <v>10</v>
      </c>
      <c r="AI33" s="225">
        <f t="shared" si="17"/>
        <v>4.2009810299965542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IF(t&gt;Tmaj,'2026'!Wh/'2026'!Env_an*'2027'!Env_an,0.001*'[3]mon-tableau (2)'!$B$159)</f>
        <v>13.723305160935436</v>
      </c>
      <c r="C34" s="839"/>
      <c r="D34" s="393">
        <f t="shared" si="0"/>
        <v>15.090218880685763</v>
      </c>
      <c r="E34" s="385">
        <f t="shared" si="1"/>
        <v>17.006023434673949</v>
      </c>
      <c r="F34" s="385">
        <f t="shared" si="2"/>
        <v>17.554610000247475</v>
      </c>
      <c r="G34" s="110">
        <f t="shared" si="21"/>
        <v>0.78274879683204901</v>
      </c>
      <c r="H34" s="414" t="b">
        <f>Wh_hp&gt;='2026'!Maxi_hp</f>
        <v>0</v>
      </c>
      <c r="I34" s="390">
        <f>IF(H34,Wh_hp,'2026'!Maxi_hp)</f>
        <v>17.761021939938079</v>
      </c>
      <c r="J34" s="85">
        <f>IF(H34,An,'2026'!An_max)</f>
        <v>2023</v>
      </c>
      <c r="K34" s="197">
        <f t="shared" si="3"/>
        <v>46407</v>
      </c>
      <c r="L34" s="147">
        <f>IF(t&lt;Tvie,1-EXP((T0-t)*PertePVj)+'2026'!Pspv,1-EXP((T0-t)*PertePVj)+Pspv)</f>
        <v>9.0582762951163326E-2</v>
      </c>
      <c r="M34" s="843"/>
      <c r="N34" s="843"/>
      <c r="O34" s="48">
        <f>IF(t&lt;Tnet,'2026'!Resal+('2026'!Salim-'2026'!Resal)*(1-EXP(('2026'!Tnet-t)/('2026'!Tau_j))),Resal+(Salim-Resal)*(1-EXP((Tnet-t)/(Tau_j))))*Salcycl</f>
        <v>0.1126544698322601</v>
      </c>
      <c r="P34" s="169">
        <f>(INDEX(Models!$BJ34:$BT34,,T34)*(1-R34)+INDEX(Models!$BJ34:$BT34,,T34+1)*R34-ERP_i)*Q34*Ramure*Pc/MaxiM</f>
        <v>4.4330068384473613E-2</v>
      </c>
      <c r="Q34" s="305">
        <f t="shared" si="4"/>
        <v>0.8</v>
      </c>
      <c r="R34" s="177">
        <f t="shared" si="5"/>
        <v>3.3751280770166758E-4</v>
      </c>
      <c r="S34" s="809">
        <f t="shared" si="6"/>
        <v>3</v>
      </c>
      <c r="T34" s="176">
        <f t="shared" si="7"/>
        <v>9</v>
      </c>
      <c r="U34" s="251">
        <f t="shared" si="8"/>
        <v>3.0003375128077017</v>
      </c>
      <c r="V34" s="383">
        <f t="shared" si="9"/>
        <v>17.295481064784919</v>
      </c>
      <c r="W34" s="402">
        <f t="shared" si="10"/>
        <v>13.723305160935436</v>
      </c>
      <c r="X34" s="157">
        <f t="shared" si="11"/>
        <v>46407</v>
      </c>
      <c r="Y34" s="385">
        <f t="shared" si="12"/>
        <v>12.921334785117756</v>
      </c>
      <c r="Z34" s="385">
        <f t="shared" si="22"/>
        <v>14.208368017136964</v>
      </c>
      <c r="AA34" s="386">
        <f t="shared" si="13"/>
        <v>16.828246978560678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0.15568341519835441</v>
      </c>
      <c r="AD34" s="231">
        <f>(INDEX(Models!$BJ34:$BT34,,AH34)*(1-AF34)+INDEX(Models!$BJ34:$BT34,,AH34+1)*AF34-ERP_i)*AE34*Ramure*Pc/MaxiM</f>
        <v>5.869579104560306E-2</v>
      </c>
      <c r="AE34" s="305">
        <f t="shared" si="15"/>
        <v>0.8</v>
      </c>
      <c r="AF34" s="177">
        <f t="shared" si="23"/>
        <v>0.20105425997260529</v>
      </c>
      <c r="AG34" s="809">
        <f t="shared" si="24"/>
        <v>4</v>
      </c>
      <c r="AH34" s="176">
        <f t="shared" si="16"/>
        <v>10</v>
      </c>
      <c r="AI34" s="225">
        <f t="shared" si="17"/>
        <v>4.2010542599726053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IF(t&gt;Tmaj,'2026'!Wh/'2026'!Env_an*'2027'!Env_an,0.001*'[3]mon-tableau (2)'!$B$160)</f>
        <v>5.2609921382041938</v>
      </c>
      <c r="C35" s="839"/>
      <c r="D35" s="393">
        <f t="shared" si="0"/>
        <v>5.785152512978625</v>
      </c>
      <c r="E35" s="385">
        <f t="shared" si="1"/>
        <v>6.5202940590884504</v>
      </c>
      <c r="F35" s="385">
        <f t="shared" si="2"/>
        <v>6.5205327940961686</v>
      </c>
      <c r="G35" s="110">
        <f t="shared" si="21"/>
        <v>0.28732994736952777</v>
      </c>
      <c r="H35" s="414" t="b">
        <f>Wh_hp&gt;='2026'!Maxi_hp</f>
        <v>0</v>
      </c>
      <c r="I35" s="390">
        <f>IF(H35,Wh_hp,'2026'!Maxi_hp)</f>
        <v>16.083260697407649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9.0604417705239443E-2</v>
      </c>
      <c r="M35" s="843"/>
      <c r="N35" s="843"/>
      <c r="O35" s="48">
        <f>IF(t&lt;Tnet,'2026'!Resal+('2026'!Salim-'2026'!Resal)*(1-EXP(('2026'!Tnet-t)/('2026'!Tau_j))),Resal+(Salim-Resal)*(1-EXP((Tnet-t)/(Tau_j))))*Salcycl</f>
        <v>0.11274668587763054</v>
      </c>
      <c r="P35" s="169">
        <f>(INDEX(Models!$BJ35:$BT35,,T35)*(1-R35)+INDEX(Models!$BJ35:$BT35,,T35+1)*R35-ERP_i)*Q35*Ramure*Pc/MaxiM</f>
        <v>4.4119475813948567E-2</v>
      </c>
      <c r="Q35" s="305">
        <f t="shared" si="4"/>
        <v>0.8</v>
      </c>
      <c r="R35" s="177">
        <f t="shared" si="5"/>
        <v>4.1379589238488279E-4</v>
      </c>
      <c r="S35" s="809">
        <f t="shared" si="6"/>
        <v>3</v>
      </c>
      <c r="T35" s="176">
        <f t="shared" si="7"/>
        <v>9</v>
      </c>
      <c r="U35" s="251">
        <f t="shared" si="8"/>
        <v>3.0004137958923849</v>
      </c>
      <c r="V35" s="383">
        <f t="shared" si="9"/>
        <v>17.502749354867202</v>
      </c>
      <c r="W35" s="402">
        <f t="shared" si="10"/>
        <v>5.2609921382041938</v>
      </c>
      <c r="X35" s="157">
        <f t="shared" si="11"/>
        <v>46408</v>
      </c>
      <c r="Y35" s="385">
        <f t="shared" si="12"/>
        <v>5.0061477943189781</v>
      </c>
      <c r="Z35" s="385">
        <f t="shared" si="22"/>
        <v>5.5049176527628498</v>
      </c>
      <c r="AA35" s="386">
        <f t="shared" si="13"/>
        <v>6.5202136145731036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0.15571513785085217</v>
      </c>
      <c r="AD35" s="231">
        <f>(INDEX(Models!$BJ35:$BT35,,AH35)*(1-AF35)+INDEX(Models!$BJ35:$BT35,,AH35+1)*AF35-ERP_i)*AE35*Ramure*Pc/MaxiM</f>
        <v>5.898604223470548E-2</v>
      </c>
      <c r="AE35" s="305">
        <f t="shared" si="15"/>
        <v>0.8</v>
      </c>
      <c r="AF35" s="177">
        <f t="shared" si="23"/>
        <v>0.20113054305728895</v>
      </c>
      <c r="AG35" s="809">
        <f t="shared" si="24"/>
        <v>4</v>
      </c>
      <c r="AH35" s="176">
        <f t="shared" si="16"/>
        <v>10</v>
      </c>
      <c r="AI35" s="225">
        <f t="shared" si="17"/>
        <v>4.2011305430572889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IF(t&gt;Tmaj,'2026'!Wh/'2026'!Env_an*'2027'!Env_an,0.001*'[3]mon-tableau (2)'!$B$161)</f>
        <v>17.03166081872887</v>
      </c>
      <c r="C36" s="839"/>
      <c r="D36" s="393">
        <f t="shared" si="0"/>
        <v>18.72899617361049</v>
      </c>
      <c r="E36" s="385">
        <f t="shared" si="1"/>
        <v>21.111156445293584</v>
      </c>
      <c r="F36" s="385">
        <f t="shared" si="2"/>
        <v>22.024569421130508</v>
      </c>
      <c r="G36" s="110">
        <f t="shared" si="21"/>
        <v>0.95919140745639131</v>
      </c>
      <c r="H36" s="414" t="b">
        <f>Wh_hp&gt;='2026'!Maxi_hp</f>
        <v>0</v>
      </c>
      <c r="I36" s="390">
        <f>IF(H36,Wh_hp,'2026'!Maxi_hp)</f>
        <v>22.080002975196251</v>
      </c>
      <c r="J36" s="85">
        <f>IF(H36,An,'2026'!An_max)</f>
        <v>2022</v>
      </c>
      <c r="K36" s="197">
        <f t="shared" si="3"/>
        <v>46409</v>
      </c>
      <c r="L36" s="147">
        <f>IF(t&lt;Tvie,1-EXP((T0-t)*PertePVj)+'2026'!Pspv,1-EXP((T0-t)*PertePVj)+Pspv)</f>
        <v>9.0626071955377779E-2</v>
      </c>
      <c r="M36" s="843"/>
      <c r="N36" s="843"/>
      <c r="O36" s="48">
        <f>IF(t&lt;Tnet,'2026'!Resal+('2026'!Salim-'2026'!Resal)*(1-EXP(('2026'!Tnet-t)/('2026'!Tau_j))),Resal+(Salim-Resal)*(1-EXP((Tnet-t)/(Tau_j))))*Salcycl</f>
        <v>0.11283892845264573</v>
      </c>
      <c r="P36" s="169">
        <f>(INDEX(Models!$BJ36:$BT36,,T36)*(1-R36)+INDEX(Models!$BJ36:$BT36,,T36+1)*R36-ERP_i)*Q36*Ramure*Pc/MaxiM</f>
        <v>4.3879174614902088E-2</v>
      </c>
      <c r="Q36" s="305">
        <f t="shared" si="4"/>
        <v>0.8</v>
      </c>
      <c r="R36" s="177">
        <f t="shared" si="5"/>
        <v>4.9325854692350291E-4</v>
      </c>
      <c r="S36" s="809">
        <f t="shared" si="6"/>
        <v>3</v>
      </c>
      <c r="T36" s="176">
        <f t="shared" si="7"/>
        <v>9</v>
      </c>
      <c r="U36" s="251">
        <f t="shared" si="8"/>
        <v>3.0004932585469235</v>
      </c>
      <c r="V36" s="383">
        <f t="shared" si="9"/>
        <v>17.711685840288634</v>
      </c>
      <c r="W36" s="402">
        <f t="shared" si="10"/>
        <v>17.03166081872887</v>
      </c>
      <c r="X36" s="157">
        <f t="shared" si="11"/>
        <v>46409</v>
      </c>
      <c r="Y36" s="385">
        <f t="shared" si="12"/>
        <v>15.961919819437972</v>
      </c>
      <c r="Z36" s="385">
        <f t="shared" si="22"/>
        <v>17.552647296321798</v>
      </c>
      <c r="AA36" s="386">
        <f t="shared" si="13"/>
        <v>20.790743980574888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0.1557470327795144</v>
      </c>
      <c r="AD36" s="231">
        <f>(INDEX(Models!$BJ36:$BT36,,AH36)*(1-AF36)+INDEX(Models!$BJ36:$BT36,,AH36+1)*AF36-ERP_i)*AE36*Ramure*Pc/MaxiM</f>
        <v>5.9271373828298217E-2</v>
      </c>
      <c r="AE36" s="305">
        <f t="shared" si="15"/>
        <v>0.8</v>
      </c>
      <c r="AF36" s="177">
        <f t="shared" si="23"/>
        <v>0.20121000571182712</v>
      </c>
      <c r="AG36" s="809">
        <f t="shared" si="24"/>
        <v>4</v>
      </c>
      <c r="AH36" s="176">
        <f t="shared" si="16"/>
        <v>10</v>
      </c>
      <c r="AI36" s="225">
        <f t="shared" si="17"/>
        <v>4.2012100057118271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IF(t&gt;Tmaj,'2026'!Wh/'2026'!Env_an*'2027'!Env_an,0.001*'[3]mon-tableau (2)'!$B$162)</f>
        <v>17.280792723037152</v>
      </c>
      <c r="C37" s="839"/>
      <c r="D37" s="393">
        <f t="shared" si="0"/>
        <v>19.003408482559472</v>
      </c>
      <c r="E37" s="385">
        <f t="shared" si="1"/>
        <v>21.422699736311447</v>
      </c>
      <c r="F37" s="385">
        <f t="shared" si="2"/>
        <v>22.347278242119376</v>
      </c>
      <c r="G37" s="110">
        <f t="shared" si="21"/>
        <v>0.9618902654128958</v>
      </c>
      <c r="H37" s="414" t="b">
        <f>Wh_hp&gt;='2026'!Maxi_hp</f>
        <v>0</v>
      </c>
      <c r="I37" s="390">
        <f>IF(H37,Wh_hp,'2026'!Maxi_hp)</f>
        <v>22.39947454636982</v>
      </c>
      <c r="J37" s="85">
        <f>IF(H37,An,'2026'!An_max)</f>
        <v>2022</v>
      </c>
      <c r="K37" s="197">
        <f t="shared" si="3"/>
        <v>46410</v>
      </c>
      <c r="L37" s="147">
        <f>IF(t&lt;Tvie,1-EXP((T0-t)*PertePVj)+'2026'!Pspv,1-EXP((T0-t)*PertePVj)+Pspv)</f>
        <v>9.0647725701590104E-2</v>
      </c>
      <c r="M37" s="843"/>
      <c r="N37" s="843"/>
      <c r="O37" s="48">
        <f>IF(t&lt;Tnet,'2026'!Resal+('2026'!Salim-'2026'!Resal)*(1-EXP(('2026'!Tnet-t)/('2026'!Tau_j))),Resal+(Salim-Resal)*(1-EXP((Tnet-t)/(Tau_j))))*Salcycl</f>
        <v>0.11293120304773165</v>
      </c>
      <c r="P37" s="169">
        <f>(INDEX(Models!$BJ37:$BT37,,T37)*(1-R37)+INDEX(Models!$BJ37:$BT37,,T37+1)*R37-ERP_i)*Q37*Ramure*Pc/MaxiM</f>
        <v>4.360731788858669E-2</v>
      </c>
      <c r="Q37" s="305">
        <f t="shared" si="4"/>
        <v>0.8</v>
      </c>
      <c r="R37" s="177">
        <f t="shared" si="5"/>
        <v>5.7603239985626331E-4</v>
      </c>
      <c r="S37" s="809">
        <f t="shared" si="6"/>
        <v>3</v>
      </c>
      <c r="T37" s="176">
        <f t="shared" si="7"/>
        <v>9</v>
      </c>
      <c r="U37" s="251">
        <f t="shared" si="8"/>
        <v>3.0005760323998563</v>
      </c>
      <c r="V37" s="383">
        <f t="shared" si="9"/>
        <v>17.923582183441415</v>
      </c>
      <c r="W37" s="402">
        <f t="shared" si="10"/>
        <v>17.280792723037152</v>
      </c>
      <c r="X37" s="157">
        <f t="shared" si="11"/>
        <v>46410</v>
      </c>
      <c r="Y37" s="385">
        <f t="shared" si="12"/>
        <v>16.186618294399391</v>
      </c>
      <c r="Z37" s="385">
        <f t="shared" si="22"/>
        <v>17.800162546344108</v>
      </c>
      <c r="AA37" s="386">
        <f t="shared" si="13"/>
        <v>21.084721656574406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0.15577910696327085</v>
      </c>
      <c r="AD37" s="231">
        <f>(INDEX(Models!$BJ37:$BT37,,AH37)*(1-AF37)+INDEX(Models!$BJ37:$BT37,,AH37+1)*AF37-ERP_i)*AE37*Ramure*Pc/MaxiM</f>
        <v>5.9547897806771471E-2</v>
      </c>
      <c r="AE37" s="305">
        <f t="shared" si="15"/>
        <v>0.8</v>
      </c>
      <c r="AF37" s="177">
        <f t="shared" si="23"/>
        <v>0.20129277956475988</v>
      </c>
      <c r="AG37" s="809">
        <f t="shared" si="24"/>
        <v>4</v>
      </c>
      <c r="AH37" s="176">
        <f t="shared" si="16"/>
        <v>10</v>
      </c>
      <c r="AI37" s="225">
        <f t="shared" si="17"/>
        <v>4.2012927795647599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IF(t&gt;Tmaj,'2026'!Wh/'2026'!Env_an*'2027'!Env_an,0.001*'[3]mon-tableau (2)'!$B$163)</f>
        <v>17.38734742777083</v>
      </c>
      <c r="C38" s="839"/>
      <c r="D38" s="393">
        <f t="shared" si="0"/>
        <v>19.121040274192982</v>
      </c>
      <c r="E38" s="385">
        <f t="shared" si="1"/>
        <v>21.557550385825085</v>
      </c>
      <c r="F38" s="385">
        <f t="shared" si="2"/>
        <v>22.47273310510813</v>
      </c>
      <c r="G38" s="110">
        <f t="shared" si="21"/>
        <v>0.95593262852622729</v>
      </c>
      <c r="H38" s="414" t="b">
        <f>Wh_hp&gt;='2026'!Maxi_hp</f>
        <v>0</v>
      </c>
      <c r="I38" s="390">
        <f>IF(H38,Wh_hp,'2026'!Maxi_hp)</f>
        <v>22.533015476555242</v>
      </c>
      <c r="J38" s="85">
        <f>IF(H38,An,'2026'!An_max)</f>
        <v>2022</v>
      </c>
      <c r="K38" s="197">
        <f t="shared" si="3"/>
        <v>46411</v>
      </c>
      <c r="L38" s="147">
        <f>IF(t&lt;Tvie,1-EXP((T0-t)*PertePVj)+'2026'!Pspv,1-EXP((T0-t)*PertePVj)+Pspv)</f>
        <v>9.0669378943888185E-2</v>
      </c>
      <c r="M38" s="843"/>
      <c r="N38" s="843"/>
      <c r="O38" s="48">
        <f>IF(t&lt;Tnet,'2026'!Resal+('2026'!Salim-'2026'!Resal)*(1-EXP(('2026'!Tnet-t)/('2026'!Tau_j))),Resal+(Salim-Resal)*(1-EXP((Tnet-t)/(Tau_j))))*Salcycl</f>
        <v>0.11302351463987302</v>
      </c>
      <c r="P38" s="169">
        <f>(INDEX(Models!$BJ38:$BT38,,T38)*(1-R38)+INDEX(Models!$BJ38:$BT38,,T38+1)*R38-ERP_i)*Q38*Ramure*Pc/MaxiM</f>
        <v>4.3290838276702708E-2</v>
      </c>
      <c r="Q38" s="305">
        <f t="shared" si="4"/>
        <v>0.8</v>
      </c>
      <c r="R38" s="177">
        <f t="shared" si="5"/>
        <v>6.6225445213152767E-4</v>
      </c>
      <c r="S38" s="809">
        <f t="shared" si="6"/>
        <v>3</v>
      </c>
      <c r="T38" s="176">
        <f t="shared" si="7"/>
        <v>9</v>
      </c>
      <c r="U38" s="251">
        <f t="shared" si="8"/>
        <v>3.0006622544521315</v>
      </c>
      <c r="V38" s="383">
        <f t="shared" si="9"/>
        <v>18.140216404310429</v>
      </c>
      <c r="W38" s="402">
        <f t="shared" si="10"/>
        <v>17.38734742777083</v>
      </c>
      <c r="X38" s="157">
        <f t="shared" si="11"/>
        <v>46411</v>
      </c>
      <c r="Y38" s="385">
        <f t="shared" si="12"/>
        <v>16.280904598788464</v>
      </c>
      <c r="Z38" s="385">
        <f t="shared" si="22"/>
        <v>17.904274003089821</v>
      </c>
      <c r="AA38" s="386">
        <f t="shared" si="13"/>
        <v>21.208854627919251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0.15581136665811707</v>
      </c>
      <c r="AD38" s="231">
        <f>(INDEX(Models!$BJ38:$BT38,,AH38)*(1-AF38)+INDEX(Models!$BJ38:$BT38,,AH38+1)*AF38-ERP_i)*AE38*Ramure*Pc/MaxiM</f>
        <v>5.9785174702875116E-2</v>
      </c>
      <c r="AE38" s="305">
        <f t="shared" si="15"/>
        <v>0.8</v>
      </c>
      <c r="AF38" s="177">
        <f t="shared" si="23"/>
        <v>0.20137900161703559</v>
      </c>
      <c r="AG38" s="809">
        <f t="shared" si="24"/>
        <v>4</v>
      </c>
      <c r="AH38" s="176">
        <f t="shared" si="16"/>
        <v>10</v>
      </c>
      <c r="AI38" s="225">
        <f t="shared" si="17"/>
        <v>4.2013790016170356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IF(t&gt;Tmaj,'2026'!Wh/'2026'!Env_an*'2027'!Env_an,0.001*'[3]mon-tableau (2)'!$B$164)</f>
        <v>17.417906459322051</v>
      </c>
      <c r="C39" s="839"/>
      <c r="D39" s="393">
        <f t="shared" si="0"/>
        <v>19.155102463738331</v>
      </c>
      <c r="E39" s="385">
        <f t="shared" si="1"/>
        <v>21.598201797145872</v>
      </c>
      <c r="F39" s="385">
        <f t="shared" si="2"/>
        <v>22.493290490157378</v>
      </c>
      <c r="G39" s="110">
        <f t="shared" si="21"/>
        <v>0.94551458248038267</v>
      </c>
      <c r="H39" s="414" t="b">
        <f>Wh_hp&gt;='2026'!Maxi_hp</f>
        <v>0</v>
      </c>
      <c r="I39" s="390">
        <f>IF(H39,Wh_hp,'2026'!Maxi_hp)</f>
        <v>22.567351646183756</v>
      </c>
      <c r="J39" s="85">
        <f>IF(H39,An,'2026'!An_max)</f>
        <v>2022</v>
      </c>
      <c r="K39" s="197">
        <f t="shared" si="3"/>
        <v>46412</v>
      </c>
      <c r="L39" s="147">
        <f>IF(t&lt;Tvie,1-EXP((T0-t)*PertePVj)+'2026'!Pspv,1-EXP((T0-t)*PertePVj)+Pspv)</f>
        <v>9.0691031682283568E-2</v>
      </c>
      <c r="M39" s="843"/>
      <c r="N39" s="843"/>
      <c r="O39" s="48">
        <f>IF(t&lt;Tnet,'2026'!Resal+('2026'!Salim-'2026'!Resal)*(1-EXP(('2026'!Tnet-t)/('2026'!Tau_j))),Resal+(Salim-Resal)*(1-EXP((Tnet-t)/(Tau_j))))*Salcycl</f>
        <v>0.11311586753163817</v>
      </c>
      <c r="P39" s="169">
        <f>(INDEX(Models!$BJ39:$BT39,,T39)*(1-R39)+INDEX(Models!$BJ39:$BT39,,T39+1)*R39-ERP_i)*Q39*Ramure*Pc/MaxiM</f>
        <v>4.2945261908691634E-2</v>
      </c>
      <c r="Q39" s="305">
        <f t="shared" si="4"/>
        <v>0.8</v>
      </c>
      <c r="R39" s="177">
        <f t="shared" si="5"/>
        <v>7.5206728982157856E-4</v>
      </c>
      <c r="S39" s="809">
        <f t="shared" si="6"/>
        <v>3</v>
      </c>
      <c r="T39" s="176">
        <f t="shared" si="7"/>
        <v>9</v>
      </c>
      <c r="U39" s="251">
        <f t="shared" si="8"/>
        <v>3.0007520672898216</v>
      </c>
      <c r="V39" s="383">
        <f t="shared" si="9"/>
        <v>18.361150809974522</v>
      </c>
      <c r="W39" s="402">
        <f t="shared" si="10"/>
        <v>17.417906459322051</v>
      </c>
      <c r="X39" s="157">
        <f t="shared" si="11"/>
        <v>46412</v>
      </c>
      <c r="Y39" s="385">
        <f t="shared" si="12"/>
        <v>16.306272462631615</v>
      </c>
      <c r="Z39" s="385">
        <f t="shared" si="22"/>
        <v>17.932598303521992</v>
      </c>
      <c r="AA39" s="386">
        <f t="shared" si="13"/>
        <v>21.24322331391943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0.15584381717760218</v>
      </c>
      <c r="AD39" s="231">
        <f>(INDEX(Models!$BJ39:$BT39,,AH39)*(1-AF39)+INDEX(Models!$BJ39:$BT39,,AH39+1)*AF39-ERP_i)*AE39*Ramure*Pc/MaxiM</f>
        <v>5.9976695836003825E-2</v>
      </c>
      <c r="AE39" s="305">
        <f t="shared" si="15"/>
        <v>0.8</v>
      </c>
      <c r="AF39" s="177">
        <f t="shared" si="23"/>
        <v>0.2014688144547252</v>
      </c>
      <c r="AG39" s="809">
        <f t="shared" si="24"/>
        <v>4</v>
      </c>
      <c r="AH39" s="176">
        <f t="shared" si="16"/>
        <v>10</v>
      </c>
      <c r="AI39" s="225">
        <f t="shared" si="17"/>
        <v>4.2014688144547252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IF(t&gt;Tmaj,'2026'!Wh/'2026'!Env_an*'2027'!Env_an,0.001*'[3]mon-tableau (2)'!$B$165)</f>
        <v>17.663240118682896</v>
      </c>
      <c r="C40" s="839"/>
      <c r="D40" s="393">
        <f t="shared" si="0"/>
        <v>19.425367324783483</v>
      </c>
      <c r="E40" s="385">
        <f t="shared" si="1"/>
        <v>21.905219188074202</v>
      </c>
      <c r="F40" s="385">
        <f t="shared" si="2"/>
        <v>22.807297353765751</v>
      </c>
      <c r="G40" s="110">
        <f t="shared" si="21"/>
        <v>0.94735317557635512</v>
      </c>
      <c r="H40" s="414" t="b">
        <f>Wh_hp&gt;='2026'!Maxi_hp</f>
        <v>0</v>
      </c>
      <c r="I40" s="390">
        <f>IF(H40,Wh_hp,'2026'!Maxi_hp)</f>
        <v>22.879228367903401</v>
      </c>
      <c r="J40" s="85">
        <f>IF(H40,An,'2026'!An_max)</f>
        <v>2022</v>
      </c>
      <c r="K40" s="197">
        <f t="shared" si="3"/>
        <v>46413</v>
      </c>
      <c r="L40" s="147">
        <f>IF(t&lt;Tvie,1-EXP((T0-t)*PertePVj)+'2026'!Pspv,1-EXP((T0-t)*PertePVj)+Pspv)</f>
        <v>9.0712683916788134E-2</v>
      </c>
      <c r="M40" s="843"/>
      <c r="N40" s="843"/>
      <c r="O40" s="48">
        <f>IF(t&lt;Tnet,'2026'!Resal+('2026'!Salim-'2026'!Resal)*(1-EXP(('2026'!Tnet-t)/('2026'!Tau_j))),Resal+(Salim-Resal)*(1-EXP((Tnet-t)/(Tau_j))))*Salcycl</f>
        <v>0.11320826520835806</v>
      </c>
      <c r="P40" s="169">
        <f>(INDEX(Models!$BJ40:$BT40,,T40)*(1-R40)+INDEX(Models!$BJ40:$BT40,,T40+1)*R40-ERP_i)*Q40*Ramure*Pc/MaxiM</f>
        <v>4.2572280518623239E-2</v>
      </c>
      <c r="Q40" s="305">
        <f t="shared" si="4"/>
        <v>0.8</v>
      </c>
      <c r="R40" s="177">
        <f t="shared" si="5"/>
        <v>8.4561930469284619E-4</v>
      </c>
      <c r="S40" s="809">
        <f t="shared" si="6"/>
        <v>3</v>
      </c>
      <c r="T40" s="176">
        <f t="shared" si="7"/>
        <v>9</v>
      </c>
      <c r="U40" s="251">
        <f t="shared" si="8"/>
        <v>3.0008456193046928</v>
      </c>
      <c r="V40" s="383">
        <f t="shared" si="9"/>
        <v>18.586203002559785</v>
      </c>
      <c r="W40" s="402">
        <f t="shared" si="10"/>
        <v>17.663240118682896</v>
      </c>
      <c r="X40" s="157">
        <f t="shared" si="11"/>
        <v>46413</v>
      </c>
      <c r="Y40" s="385">
        <f t="shared" si="12"/>
        <v>16.527899785993739</v>
      </c>
      <c r="Z40" s="385">
        <f t="shared" si="22"/>
        <v>18.176762716968568</v>
      </c>
      <c r="AA40" s="386">
        <f t="shared" si="13"/>
        <v>21.533296862079109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0.15587646269910091</v>
      </c>
      <c r="AD40" s="231">
        <f>(INDEX(Models!$BJ40:$BT40,,AH40)*(1-AF40)+INDEX(Models!$BJ40:$BT40,,AH40+1)*AF40-ERP_i)*AE40*Ramure*Pc/MaxiM</f>
        <v>6.0124619324278365E-2</v>
      </c>
      <c r="AE40" s="305">
        <f t="shared" si="15"/>
        <v>0.8</v>
      </c>
      <c r="AF40" s="177">
        <f t="shared" si="23"/>
        <v>0.20156236646959602</v>
      </c>
      <c r="AG40" s="809">
        <f t="shared" si="24"/>
        <v>4</v>
      </c>
      <c r="AH40" s="176">
        <f t="shared" si="16"/>
        <v>10</v>
      </c>
      <c r="AI40" s="225">
        <f t="shared" si="17"/>
        <v>4.201562366469596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IF(t&gt;Tmaj,'2026'!Wh/'2026'!Env_an*'2027'!Env_an,0.001*'[3]mon-tableau (2)'!$B$166)</f>
        <v>18.491385278925204</v>
      </c>
      <c r="C41" s="839"/>
      <c r="D41" s="393">
        <f t="shared" si="0"/>
        <v>20.336614483393479</v>
      </c>
      <c r="E41" s="385">
        <f t="shared" si="1"/>
        <v>22.935187518099674</v>
      </c>
      <c r="F41" s="385">
        <f t="shared" si="2"/>
        <v>23.919141276922332</v>
      </c>
      <c r="G41" s="110">
        <f t="shared" si="21"/>
        <v>0.98172748340252936</v>
      </c>
      <c r="H41" s="414" t="b">
        <f>Wh_hp&gt;='2026'!Maxi_hp</f>
        <v>0</v>
      </c>
      <c r="I41" s="390">
        <f>IF(H41,Wh_hp,'2026'!Maxi_hp)</f>
        <v>23.945029081134049</v>
      </c>
      <c r="J41" s="85">
        <f>IF(H41,An,'2026'!An_max)</f>
        <v>2022</v>
      </c>
      <c r="K41" s="197">
        <f t="shared" si="3"/>
        <v>46414</v>
      </c>
      <c r="L41" s="147">
        <f>IF(t&lt;Tvie,1-EXP((T0-t)*PertePVj)+'2026'!Pspv,1-EXP((T0-t)*PertePVj)+Pspv)</f>
        <v>9.0734335647413539E-2</v>
      </c>
      <c r="M41" s="843"/>
      <c r="N41" s="843"/>
      <c r="O41" s="48">
        <f>IF(t&lt;Tnet,'2026'!Resal+('2026'!Salim-'2026'!Resal)*(1-EXP(('2026'!Tnet-t)/('2026'!Tau_j))),Resal+(Salim-Resal)*(1-EXP((Tnet-t)/(Tau_j))))*Salcycl</f>
        <v>0.11330071021462068</v>
      </c>
      <c r="P41" s="169">
        <f>(INDEX(Models!$BJ41:$BT41,,T41)*(1-R41)+INDEX(Models!$BJ41:$BT41,,T41+1)*R41-ERP_i)*Q41*Ramure*Pc/MaxiM</f>
        <v>4.2173520873502658E-2</v>
      </c>
      <c r="Q41" s="305">
        <f t="shared" si="4"/>
        <v>0.8</v>
      </c>
      <c r="R41" s="177">
        <f t="shared" si="5"/>
        <v>9.4306492287898891E-4</v>
      </c>
      <c r="S41" s="809">
        <f t="shared" si="6"/>
        <v>3</v>
      </c>
      <c r="T41" s="176">
        <f t="shared" si="7"/>
        <v>9</v>
      </c>
      <c r="U41" s="251">
        <f t="shared" si="8"/>
        <v>3.000943064922879</v>
      </c>
      <c r="V41" s="383">
        <f t="shared" si="9"/>
        <v>18.815190762892833</v>
      </c>
      <c r="W41" s="402">
        <f t="shared" si="10"/>
        <v>18.491385278925204</v>
      </c>
      <c r="X41" s="157">
        <f t="shared" si="11"/>
        <v>46414</v>
      </c>
      <c r="Y41" s="385">
        <f t="shared" si="12"/>
        <v>17.279467736316764</v>
      </c>
      <c r="Z41" s="385">
        <f t="shared" si="22"/>
        <v>19.003761401922127</v>
      </c>
      <c r="AA41" s="386">
        <f t="shared" si="13"/>
        <v>22.513885698772931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0.15590930609735293</v>
      </c>
      <c r="AD41" s="231">
        <f>(INDEX(Models!$BJ41:$BT41,,AH41)*(1-AF41)+INDEX(Models!$BJ41:$BT41,,AH41+1)*AF41-ERP_i)*AE41*Ramure*Pc/MaxiM</f>
        <v>6.023105753323444E-2</v>
      </c>
      <c r="AE41" s="305">
        <f t="shared" si="15"/>
        <v>0.8</v>
      </c>
      <c r="AF41" s="177">
        <f t="shared" si="23"/>
        <v>0.20165981208778216</v>
      </c>
      <c r="AG41" s="809">
        <f t="shared" si="24"/>
        <v>4</v>
      </c>
      <c r="AH41" s="176">
        <f t="shared" si="16"/>
        <v>10</v>
      </c>
      <c r="AI41" s="225">
        <f t="shared" si="17"/>
        <v>4.2016598120877822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IF(t&gt;Tmaj,'2026'!Wh/'2026'!Env_an*'2027'!Env_an,0.001*'[3]mon-tableau (2)'!$B$167)</f>
        <v>3.6793317111684698</v>
      </c>
      <c r="C42" s="839"/>
      <c r="D42" s="393">
        <f t="shared" si="0"/>
        <v>4.0465833792180215</v>
      </c>
      <c r="E42" s="385">
        <f t="shared" si="1"/>
        <v>4.5641240262395586</v>
      </c>
      <c r="F42" s="385">
        <f t="shared" si="2"/>
        <v>4.5641240262395586</v>
      </c>
      <c r="G42" s="110">
        <f t="shared" si="21"/>
        <v>0.18509713300471195</v>
      </c>
      <c r="H42" s="414" t="b">
        <f>Wh_hp&gt;='2026'!Maxi_hp</f>
        <v>0</v>
      </c>
      <c r="I42" s="390">
        <f>IF(H42,Wh_hp,'2026'!Maxi_hp)</f>
        <v>16.864393920494742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9.0755986874171551E-2</v>
      </c>
      <c r="M42" s="843"/>
      <c r="N42" s="843"/>
      <c r="O42" s="48">
        <f>IF(t&lt;Tnet,'2026'!Resal+('2026'!Salim-'2026'!Resal)*(1-EXP(('2026'!Tnet-t)/('2026'!Tau_j))),Resal+(Salim-Resal)*(1-EXP((Tnet-t)/(Tau_j))))*Salcycl</f>
        <v>0.11339320405101819</v>
      </c>
      <c r="P42" s="169">
        <f>(INDEX(Models!$BJ42:$BT42,,T42)*(1-R42)+INDEX(Models!$BJ42:$BT42,,T42+1)*R42-ERP_i)*Q42*Ramure*Pc/MaxiM</f>
        <v>4.175054227025525E-2</v>
      </c>
      <c r="Q42" s="305">
        <f t="shared" si="4"/>
        <v>0.8</v>
      </c>
      <c r="R42" s="177">
        <f t="shared" si="5"/>
        <v>1.044564841893969E-3</v>
      </c>
      <c r="S42" s="809">
        <f t="shared" si="6"/>
        <v>3</v>
      </c>
      <c r="T42" s="176">
        <f t="shared" si="7"/>
        <v>9</v>
      </c>
      <c r="U42" s="251">
        <f t="shared" si="8"/>
        <v>3.001044564841894</v>
      </c>
      <c r="V42" s="383">
        <f t="shared" si="9"/>
        <v>19.047932076534586</v>
      </c>
      <c r="W42" s="402">
        <f t="shared" si="10"/>
        <v>3.6793317111684698</v>
      </c>
      <c r="X42" s="157">
        <f t="shared" si="11"/>
        <v>46415</v>
      </c>
      <c r="Y42" s="385">
        <f t="shared" si="12"/>
        <v>3.502756911271808</v>
      </c>
      <c r="Z42" s="385">
        <f t="shared" si="22"/>
        <v>3.8523838053438668</v>
      </c>
      <c r="AA42" s="386">
        <f t="shared" si="13"/>
        <v>4.5641240262395586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0.15594234880643762</v>
      </c>
      <c r="AD42" s="231">
        <f>(INDEX(Models!$BJ42:$BT42,,AH42)*(1-AF42)+INDEX(Models!$BJ42:$BT42,,AH42+1)*AF42-ERP_i)*AE42*Ramure*Pc/MaxiM</f>
        <v>6.0298070606827257E-2</v>
      </c>
      <c r="AE42" s="305">
        <f t="shared" si="15"/>
        <v>0.8</v>
      </c>
      <c r="AF42" s="177">
        <f t="shared" si="23"/>
        <v>0.20176131200679759</v>
      </c>
      <c r="AG42" s="809">
        <f t="shared" si="24"/>
        <v>4</v>
      </c>
      <c r="AH42" s="176">
        <f t="shared" si="16"/>
        <v>10</v>
      </c>
      <c r="AI42" s="225">
        <f t="shared" si="17"/>
        <v>4.2017613120067976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IF(t&gt;Tmaj,'2026'!Wh/'2026'!Env_an*'2027'!Env_an,0.001*'[3]mon-tableau (2)'!$B$168)</f>
        <v>7.3034528226533526</v>
      </c>
      <c r="C43" s="839"/>
      <c r="D43" s="393">
        <f t="shared" si="0"/>
        <v>8.0326365965653554</v>
      </c>
      <c r="E43" s="385">
        <f t="shared" si="1"/>
        <v>9.0609221117594618</v>
      </c>
      <c r="F43" s="385">
        <f t="shared" si="2"/>
        <v>9.1032101788424722</v>
      </c>
      <c r="G43" s="110">
        <f t="shared" si="21"/>
        <v>0.3647777114832918</v>
      </c>
      <c r="H43" s="414" t="b">
        <f>Wh_hp&gt;='2026'!Maxi_hp</f>
        <v>0</v>
      </c>
      <c r="I43" s="390">
        <f>IF(H43,Wh_hp,'2026'!Maxi_hp)</f>
        <v>15.521194705525005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9.077763759707394E-2</v>
      </c>
      <c r="M43" s="843"/>
      <c r="N43" s="843"/>
      <c r="O43" s="48">
        <f>IF(t&lt;Tnet,'2026'!Resal+('2026'!Salim-'2026'!Resal)*(1-EXP(('2026'!Tnet-t)/('2026'!Tau_j))),Resal+(Salim-Resal)*(1-EXP((Tnet-t)/(Tau_j))))*Salcycl</f>
        <v>0.11348574709185222</v>
      </c>
      <c r="P43" s="169">
        <f>(INDEX(Models!$BJ43:$BT43,,T43)*(1-R43)+INDEX(Models!$BJ43:$BT43,,T43+1)*R43-ERP_i)*Q43*Ramure*Pc/MaxiM</f>
        <v>4.130483481748902E-2</v>
      </c>
      <c r="Q43" s="305">
        <f t="shared" si="4"/>
        <v>0.8</v>
      </c>
      <c r="R43" s="177">
        <f t="shared" si="5"/>
        <v>1.1502862762364785E-3</v>
      </c>
      <c r="S43" s="809">
        <f t="shared" si="6"/>
        <v>3</v>
      </c>
      <c r="T43" s="176">
        <f t="shared" si="7"/>
        <v>9</v>
      </c>
      <c r="U43" s="251">
        <f t="shared" si="8"/>
        <v>3.0011502862762365</v>
      </c>
      <c r="V43" s="383">
        <f t="shared" si="9"/>
        <v>19.284245154101754</v>
      </c>
      <c r="W43" s="402">
        <f t="shared" si="10"/>
        <v>7.3034528226533526</v>
      </c>
      <c r="X43" s="157">
        <f t="shared" si="11"/>
        <v>46416</v>
      </c>
      <c r="Y43" s="385">
        <f t="shared" si="12"/>
        <v>6.9384590630922132</v>
      </c>
      <c r="Z43" s="385">
        <f t="shared" si="22"/>
        <v>7.6312015080172468</v>
      </c>
      <c r="AA43" s="386">
        <f t="shared" si="13"/>
        <v>9.041446460589933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0.15597559071103215</v>
      </c>
      <c r="AD43" s="231">
        <f>(INDEX(Models!$BJ43:$BT43,,AH43)*(1-AF43)+INDEX(Models!$BJ43:$BT43,,AH43+1)*AF43-ERP_i)*AE43*Ramure*Pc/MaxiM</f>
        <v>6.0327661113650517E-2</v>
      </c>
      <c r="AE43" s="305">
        <f t="shared" si="15"/>
        <v>0.8</v>
      </c>
      <c r="AF43" s="177">
        <f t="shared" si="23"/>
        <v>0.20186703344113965</v>
      </c>
      <c r="AG43" s="809">
        <f t="shared" si="24"/>
        <v>4</v>
      </c>
      <c r="AH43" s="176">
        <f t="shared" si="16"/>
        <v>10</v>
      </c>
      <c r="AI43" s="225">
        <f t="shared" si="17"/>
        <v>4.2018670334411397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IF(t&gt;Tmaj,'2026'!Wh/'2026'!Env_an*'2027'!Env_an,0.001*'[3]mon-tableau (2)'!$B$169)</f>
        <v>3.8476281418628928</v>
      </c>
      <c r="C44" s="839"/>
      <c r="D44" s="393">
        <f t="shared" si="0"/>
        <v>4.2318798152071695</v>
      </c>
      <c r="E44" s="385">
        <f t="shared" si="1"/>
        <v>4.7741159756428715</v>
      </c>
      <c r="F44" s="385">
        <f t="shared" si="2"/>
        <v>4.7741159756428715</v>
      </c>
      <c r="G44" s="110">
        <f t="shared" si="21"/>
        <v>0.18902423417481554</v>
      </c>
      <c r="H44" s="414" t="b">
        <f>Wh_hp&gt;='2026'!Maxi_hp</f>
        <v>0</v>
      </c>
      <c r="I44" s="390">
        <f>IF(H44,Wh_hp,'2026'!Maxi_hp)</f>
        <v>11.334187659797209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9.0799287816132362E-2</v>
      </c>
      <c r="M44" s="843"/>
      <c r="N44" s="843"/>
      <c r="O44" s="48">
        <f>IF(t&lt;Tnet,'2026'!Resal+('2026'!Salim-'2026'!Resal)*(1-EXP(('2026'!Tnet-t)/('2026'!Tau_j))),Resal+(Salim-Resal)*(1-EXP((Tnet-t)/(Tau_j))))*Salcycl</f>
        <v>0.11357833852427217</v>
      </c>
      <c r="P44" s="169">
        <f>(INDEX(Models!$BJ44:$BT44,,T44)*(1-R44)+INDEX(Models!$BJ44:$BT44,,T44+1)*R44-ERP_i)*Q44*Ramure*Pc/MaxiM</f>
        <v>4.0836627197354897E-2</v>
      </c>
      <c r="Q44" s="305">
        <f t="shared" si="4"/>
        <v>0.8</v>
      </c>
      <c r="R44" s="177">
        <f t="shared" si="5"/>
        <v>1.2604032118286312E-3</v>
      </c>
      <c r="S44" s="809">
        <f t="shared" si="6"/>
        <v>3</v>
      </c>
      <c r="T44" s="176">
        <f t="shared" si="7"/>
        <v>9</v>
      </c>
      <c r="U44" s="251">
        <f t="shared" si="8"/>
        <v>3.0012604032118286</v>
      </c>
      <c r="V44" s="383">
        <f t="shared" si="9"/>
        <v>19.52397269032971</v>
      </c>
      <c r="W44" s="402">
        <f t="shared" si="10"/>
        <v>3.8476281418628928</v>
      </c>
      <c r="X44" s="157">
        <f t="shared" si="11"/>
        <v>46417</v>
      </c>
      <c r="Y44" s="385">
        <f t="shared" si="12"/>
        <v>3.6634522242882404</v>
      </c>
      <c r="Z44" s="385">
        <f t="shared" si="22"/>
        <v>4.0293107728531785</v>
      </c>
      <c r="AA44" s="386">
        <f t="shared" si="13"/>
        <v>4.7741159756428715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0.15600903006747738</v>
      </c>
      <c r="AD44" s="231">
        <f>(INDEX(Models!$BJ44:$BT44,,AH44)*(1-AF44)+INDEX(Models!$BJ44:$BT44,,AH44+1)*AF44-ERP_i)*AE44*Ramure*Pc/MaxiM</f>
        <v>6.0300829679995192E-2</v>
      </c>
      <c r="AE44" s="305">
        <f t="shared" si="15"/>
        <v>0.8</v>
      </c>
      <c r="AF44" s="177">
        <f t="shared" si="23"/>
        <v>0.20197715037673181</v>
      </c>
      <c r="AG44" s="809">
        <f t="shared" si="24"/>
        <v>4</v>
      </c>
      <c r="AH44" s="176">
        <f t="shared" si="16"/>
        <v>10</v>
      </c>
      <c r="AI44" s="225">
        <f t="shared" si="17"/>
        <v>4.2019771503767318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IF(t&gt;Tmaj,'2026'!Wh/'2026'!Env_an*'2027'!Env_an,0.001*'[3]mon-tableau (2)'!$B$170)</f>
        <v>7.9469356947378502</v>
      </c>
      <c r="C45" s="839"/>
      <c r="D45" s="393">
        <f t="shared" si="0"/>
        <v>8.7407816818394313</v>
      </c>
      <c r="E45" s="385">
        <f t="shared" si="1"/>
        <v>9.8617798223964908</v>
      </c>
      <c r="F45" s="385">
        <f t="shared" si="2"/>
        <v>9.9201475727789283</v>
      </c>
      <c r="G45" s="110">
        <f t="shared" si="21"/>
        <v>0.38809434574456075</v>
      </c>
      <c r="H45" s="414" t="b">
        <f>Wh_hp&gt;='2026'!Maxi_hp</f>
        <v>0</v>
      </c>
      <c r="I45" s="390">
        <f>IF(H45,Wh_hp,'2026'!Maxi_hp)</f>
        <v>19.643738017718885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9.0820937531358475E-2</v>
      </c>
      <c r="M45" s="843"/>
      <c r="N45" s="843"/>
      <c r="O45" s="48">
        <f>IF(t&lt;Tnet,'2026'!Resal+('2026'!Salim-'2026'!Resal)*(1-EXP(('2026'!Tnet-t)/('2026'!Tau_j))),Resal+(Salim-Resal)*(1-EXP((Tnet-t)/(Tau_j))))*Salcycl</f>
        <v>0.11367097630908658</v>
      </c>
      <c r="P45" s="169">
        <f>(INDEX(Models!$BJ45:$BT45,,T45)*(1-R45)+INDEX(Models!$BJ45:$BT45,,T45+1)*R45-ERP_i)*Q45*Ramure*Pc/MaxiM</f>
        <v>4.036347234463273E-2</v>
      </c>
      <c r="Q45" s="305">
        <f t="shared" si="4"/>
        <v>0.8</v>
      </c>
      <c r="R45" s="177">
        <f t="shared" si="5"/>
        <v>1.3750966695447175E-3</v>
      </c>
      <c r="S45" s="809">
        <f t="shared" si="6"/>
        <v>3</v>
      </c>
      <c r="T45" s="176">
        <f t="shared" si="7"/>
        <v>9</v>
      </c>
      <c r="U45" s="251">
        <f t="shared" si="8"/>
        <v>3.0013750966695447</v>
      </c>
      <c r="V45" s="383">
        <f t="shared" si="9"/>
        <v>19.766600490846944</v>
      </c>
      <c r="W45" s="402">
        <f t="shared" si="10"/>
        <v>7.9469356947378502</v>
      </c>
      <c r="X45" s="157">
        <f t="shared" si="11"/>
        <v>46418</v>
      </c>
      <c r="Y45" s="385">
        <f t="shared" si="12"/>
        <v>7.5449905620289348</v>
      </c>
      <c r="Z45" s="385">
        <f t="shared" si="22"/>
        <v>8.2986849054161631</v>
      </c>
      <c r="AA45" s="386">
        <f t="shared" si="13"/>
        <v>9.8330621064187422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0.15604266345485412</v>
      </c>
      <c r="AD45" s="231">
        <f>(INDEX(Models!$BJ45:$BT45,,AH45)*(1-AF45)+INDEX(Models!$BJ45:$BT45,,AH45+1)*AF45-ERP_i)*AE45*Ramure*Pc/MaxiM</f>
        <v>6.0222842066336414E-2</v>
      </c>
      <c r="AE45" s="305">
        <f t="shared" si="15"/>
        <v>0.8</v>
      </c>
      <c r="AF45" s="177">
        <f t="shared" si="23"/>
        <v>0.20209184383444789</v>
      </c>
      <c r="AG45" s="809">
        <f t="shared" si="24"/>
        <v>4</v>
      </c>
      <c r="AH45" s="176">
        <f t="shared" si="16"/>
        <v>10</v>
      </c>
      <c r="AI45" s="225">
        <f t="shared" si="17"/>
        <v>4.2020918438344479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IF(t&gt;Tmaj,'2026'!Wh/'2026'!Env_an*'2027'!Env_an,0.001*'[4]mon-tableau'!$B$128)</f>
        <v>7.7855844194645734</v>
      </c>
      <c r="C46" s="839"/>
      <c r="D46" s="393">
        <f t="shared" si="0"/>
        <v>8.5635164009400526</v>
      </c>
      <c r="E46" s="385">
        <f t="shared" si="1"/>
        <v>9.6627908234153548</v>
      </c>
      <c r="F46" s="385">
        <f t="shared" si="2"/>
        <v>9.7120688930473396</v>
      </c>
      <c r="G46" s="110">
        <f t="shared" si="21"/>
        <v>0.37543416162660403</v>
      </c>
      <c r="H46" s="414" t="b">
        <f>Wh_hp&gt;='2026'!Maxi_hp</f>
        <v>0</v>
      </c>
      <c r="I46" s="390">
        <f>IF(H46,Wh_hp,'2026'!Maxi_hp)</f>
        <v>19.85137426834298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9.0842586742764159E-2</v>
      </c>
      <c r="M46" s="843"/>
      <c r="N46" s="843"/>
      <c r="O46" s="48">
        <f>IF(t&lt;Tnet,'2026'!Resal+('2026'!Salim-'2026'!Resal)*(1-EXP(('2026'!Tnet-t)/('2026'!Tau_j))),Resal+(Salim-Resal)*(1-EXP((Tnet-t)/(Tau_j))))*Salcycl</f>
        <v>0.11376365716325816</v>
      </c>
      <c r="P46" s="169">
        <f>(INDEX(Models!$BJ46:$BT46,,T46)*(1-R46)+INDEX(Models!$BJ46:$BT46,,T46+1)*R46-ERP_i)*Q46*Ramure*Pc/MaxiM</f>
        <v>3.9886104094469042E-2</v>
      </c>
      <c r="Q46" s="305">
        <f t="shared" si="4"/>
        <v>0.8</v>
      </c>
      <c r="R46" s="177">
        <f t="shared" si="5"/>
        <v>1.4945549780729372E-3</v>
      </c>
      <c r="S46" s="809">
        <f t="shared" si="6"/>
        <v>3</v>
      </c>
      <c r="T46" s="176">
        <f t="shared" si="7"/>
        <v>9</v>
      </c>
      <c r="U46" s="251">
        <f t="shared" si="8"/>
        <v>3.0014945549780729</v>
      </c>
      <c r="V46" s="383">
        <f t="shared" si="9"/>
        <v>20.01194783748242</v>
      </c>
      <c r="W46" s="402">
        <f t="shared" si="10"/>
        <v>7.7855844194645734</v>
      </c>
      <c r="X46" s="157">
        <f t="shared" si="11"/>
        <v>46419</v>
      </c>
      <c r="Y46" s="385">
        <f t="shared" si="12"/>
        <v>7.3947087085139627</v>
      </c>
      <c r="Z46" s="385">
        <f t="shared" si="22"/>
        <v>8.1335845703781473</v>
      </c>
      <c r="AA46" s="386">
        <f t="shared" si="13"/>
        <v>9.6378219508007525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0.1560764857559572</v>
      </c>
      <c r="AD46" s="231">
        <f>(INDEX(Models!$BJ46:$BT46,,AH46)*(1-AF46)+INDEX(Models!$BJ46:$BT46,,AH46+1)*AF46-ERP_i)*AE46*Ramure*Pc/MaxiM</f>
        <v>6.0096129764410644E-2</v>
      </c>
      <c r="AE46" s="305">
        <f t="shared" si="15"/>
        <v>0.8</v>
      </c>
      <c r="AF46" s="177">
        <f t="shared" si="23"/>
        <v>0.20221130214297656</v>
      </c>
      <c r="AG46" s="809">
        <f t="shared" si="24"/>
        <v>4</v>
      </c>
      <c r="AH46" s="176">
        <f t="shared" si="16"/>
        <v>10</v>
      </c>
      <c r="AI46" s="225">
        <f t="shared" si="17"/>
        <v>4.2022113021429766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IF(t&gt;Tmaj,'2026'!Wh/'2026'!Env_an*'2027'!Env_an,0.001*'[4]mon-tableau'!$B$129)</f>
        <v>4.6755215386568176</v>
      </c>
      <c r="C47" s="839"/>
      <c r="D47" s="393">
        <f t="shared" si="0"/>
        <v>5.1428199406201376</v>
      </c>
      <c r="E47" s="385">
        <f t="shared" si="1"/>
        <v>5.8035963974758404</v>
      </c>
      <c r="F47" s="385">
        <f t="shared" si="2"/>
        <v>5.8035963974758404</v>
      </c>
      <c r="G47" s="110">
        <f t="shared" si="21"/>
        <v>0.22168402789530459</v>
      </c>
      <c r="H47" s="414" t="b">
        <f>Wh_hp&gt;='2026'!Maxi_hp</f>
        <v>0</v>
      </c>
      <c r="I47" s="390">
        <f>IF(H47,Wh_hp,'2026'!Maxi_hp)</f>
        <v>23.358776993635303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9.0864235450361069E-2</v>
      </c>
      <c r="M47" s="843"/>
      <c r="N47" s="843"/>
      <c r="O47" s="48">
        <f>IF(t&lt;Tnet,'2026'!Resal+('2026'!Salim-'2026'!Resal)*(1-EXP(('2026'!Tnet-t)/('2026'!Tau_j))),Resal+(Salim-Resal)*(1-EXP((Tnet-t)/(Tau_j))))*Salcycl</f>
        <v>0.11385637656386555</v>
      </c>
      <c r="P47" s="169">
        <f>(INDEX(Models!$BJ47:$BT47,,T47)*(1-R47)+INDEX(Models!$BJ47:$BT47,,T47+1)*R47-ERP_i)*Q47*Ramure*Pc/MaxiM</f>
        <v>3.9405202203412613E-2</v>
      </c>
      <c r="Q47" s="305">
        <f t="shared" si="4"/>
        <v>0.8</v>
      </c>
      <c r="R47" s="177">
        <f t="shared" si="5"/>
        <v>1.6189740563667954E-3</v>
      </c>
      <c r="S47" s="809">
        <f t="shared" si="6"/>
        <v>3</v>
      </c>
      <c r="T47" s="176">
        <f t="shared" si="7"/>
        <v>9</v>
      </c>
      <c r="U47" s="251">
        <f t="shared" si="8"/>
        <v>3.0016189740563668</v>
      </c>
      <c r="V47" s="383">
        <f t="shared" si="9"/>
        <v>20.259834277013169</v>
      </c>
      <c r="W47" s="402">
        <f t="shared" si="10"/>
        <v>4.6755215386568176</v>
      </c>
      <c r="X47" s="157">
        <f t="shared" si="11"/>
        <v>46420</v>
      </c>
      <c r="Y47" s="385">
        <f t="shared" si="12"/>
        <v>4.4525779739491922</v>
      </c>
      <c r="Z47" s="385">
        <f t="shared" si="22"/>
        <v>4.8975941191301366</v>
      </c>
      <c r="AA47" s="386">
        <f t="shared" si="13"/>
        <v>5.8035963974758404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0.1561104901677435</v>
      </c>
      <c r="AD47" s="231">
        <f>(INDEX(Models!$BJ47:$BT47,,AH47)*(1-AF47)+INDEX(Models!$BJ47:$BT47,,AH47+1)*AF47-ERP_i)*AE47*Ramure*Pc/MaxiM</f>
        <v>5.9923034844007184E-2</v>
      </c>
      <c r="AE47" s="305">
        <f t="shared" si="15"/>
        <v>0.8</v>
      </c>
      <c r="AF47" s="177">
        <f t="shared" si="23"/>
        <v>0.20233572122127086</v>
      </c>
      <c r="AG47" s="809">
        <f t="shared" si="24"/>
        <v>4</v>
      </c>
      <c r="AH47" s="176">
        <f t="shared" si="16"/>
        <v>10</v>
      </c>
      <c r="AI47" s="225">
        <f t="shared" si="17"/>
        <v>4.2023357212212709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IF(t&gt;Tmaj,'2026'!Wh/'2026'!Env_an*'2027'!Env_an,0.001*'[4]mon-tableau'!$B$130)</f>
        <v>8.5262969234936232</v>
      </c>
      <c r="C48" s="839"/>
      <c r="D48" s="393">
        <f t="shared" si="0"/>
        <v>9.3786871968998309</v>
      </c>
      <c r="E48" s="385">
        <f t="shared" si="1"/>
        <v>10.584817984449671</v>
      </c>
      <c r="F48" s="385">
        <f t="shared" si="2"/>
        <v>10.653360070148761</v>
      </c>
      <c r="G48" s="110">
        <f t="shared" si="21"/>
        <v>0.40211958661950797</v>
      </c>
      <c r="H48" s="414" t="b">
        <f>Wh_hp&gt;='2026'!Maxi_hp</f>
        <v>0</v>
      </c>
      <c r="I48" s="390">
        <f>IF(H48,Wh_hp,'2026'!Maxi_hp)</f>
        <v>21.831324615372054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9.0885883654160976E-2</v>
      </c>
      <c r="M48" s="843"/>
      <c r="N48" s="843"/>
      <c r="O48" s="48">
        <f>IF(t&lt;Tnet,'2026'!Resal+('2026'!Salim-'2026'!Resal)*(1-EXP(('2026'!Tnet-t)/('2026'!Tau_j))),Resal+(Salim-Resal)*(1-EXP((Tnet-t)/(Tau_j))))*Salcycl</f>
        <v>0.11394912877309615</v>
      </c>
      <c r="P48" s="169">
        <f>(INDEX(Models!$BJ48:$BT48,,T48)*(1-R48)+INDEX(Models!$BJ48:$BT48,,T48+1)*R48-ERP_i)*Q48*Ramure*Pc/MaxiM</f>
        <v>3.8921394405832949E-2</v>
      </c>
      <c r="Q48" s="305">
        <f t="shared" si="4"/>
        <v>0.8</v>
      </c>
      <c r="R48" s="177">
        <f t="shared" si="5"/>
        <v>1.7485577059264124E-3</v>
      </c>
      <c r="S48" s="809">
        <f t="shared" si="6"/>
        <v>3</v>
      </c>
      <c r="T48" s="176">
        <f t="shared" si="7"/>
        <v>9</v>
      </c>
      <c r="U48" s="251">
        <f t="shared" si="8"/>
        <v>3.0017485577059264</v>
      </c>
      <c r="V48" s="383">
        <f t="shared" si="9"/>
        <v>20.510079622651503</v>
      </c>
      <c r="W48" s="402">
        <f t="shared" si="10"/>
        <v>8.5262969234936232</v>
      </c>
      <c r="X48" s="157">
        <f t="shared" si="11"/>
        <v>46421</v>
      </c>
      <c r="Y48" s="385">
        <f t="shared" si="12"/>
        <v>8.0921776307720652</v>
      </c>
      <c r="Z48" s="385">
        <f t="shared" si="22"/>
        <v>8.9011681650026144</v>
      </c>
      <c r="AA48" s="386">
        <f t="shared" si="13"/>
        <v>10.548215825624272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0.15614466824053458</v>
      </c>
      <c r="AD48" s="231">
        <f>(INDEX(Models!$BJ48:$BT48,,AH48)*(1-AF48)+INDEX(Models!$BJ48:$BT48,,AH48+1)*AF48-ERP_i)*AE48*Ramure*Pc/MaxiM</f>
        <v>5.9705808028765558E-2</v>
      </c>
      <c r="AE48" s="305">
        <f t="shared" si="15"/>
        <v>0.8</v>
      </c>
      <c r="AF48" s="177">
        <f t="shared" si="23"/>
        <v>0.20246530487083003</v>
      </c>
      <c r="AG48" s="809">
        <f t="shared" si="24"/>
        <v>4</v>
      </c>
      <c r="AH48" s="176">
        <f t="shared" si="16"/>
        <v>10</v>
      </c>
      <c r="AI48" s="225">
        <f t="shared" si="17"/>
        <v>4.20246530487083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IF(t&gt;Tmaj,'2026'!Wh/'2026'!Env_an*'2027'!Env_an,0.001*'[4]mon-tableau'!$B$131)</f>
        <v>7.7583602475462579</v>
      </c>
      <c r="C49" s="839"/>
      <c r="D49" s="393">
        <f t="shared" si="0"/>
        <v>8.5341816318234791</v>
      </c>
      <c r="E49" s="385">
        <f t="shared" si="1"/>
        <v>9.6327147955771881</v>
      </c>
      <c r="F49" s="385">
        <f t="shared" si="2"/>
        <v>9.6718386406324548</v>
      </c>
      <c r="G49" s="110">
        <f t="shared" si="21"/>
        <v>0.36076889331092771</v>
      </c>
      <c r="H49" s="414" t="b">
        <f>Wh_hp&gt;='2026'!Maxi_hp</f>
        <v>0</v>
      </c>
      <c r="I49" s="390">
        <f>IF(H49,Wh_hp,'2026'!Maxi_hp)</f>
        <v>19.89663781404116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9.0907531354175425E-2</v>
      </c>
      <c r="M49" s="843"/>
      <c r="N49" s="843"/>
      <c r="O49" s="48">
        <f>IF(t&lt;Tnet,'2026'!Resal+('2026'!Salim-'2026'!Resal)*(1-EXP(('2026'!Tnet-t)/('2026'!Tau_j))),Resal+(Salim-Resal)*(1-EXP((Tnet-t)/(Tau_j))))*Salcycl</f>
        <v>0.11404190688362278</v>
      </c>
      <c r="P49" s="169">
        <f>(INDEX(Models!$BJ49:$BT49,,T49)*(1-R49)+INDEX(Models!$BJ49:$BT49,,T49+1)*R49-ERP_i)*Q49*Ramure*Pc/MaxiM</f>
        <v>3.8435258638771522E-2</v>
      </c>
      <c r="Q49" s="305">
        <f t="shared" si="4"/>
        <v>0.8</v>
      </c>
      <c r="R49" s="177">
        <f t="shared" si="5"/>
        <v>1.8835179131655444E-3</v>
      </c>
      <c r="S49" s="809">
        <f t="shared" si="6"/>
        <v>3</v>
      </c>
      <c r="T49" s="176">
        <f t="shared" si="7"/>
        <v>9</v>
      </c>
      <c r="U49" s="251">
        <f t="shared" si="8"/>
        <v>3.0018835179131655</v>
      </c>
      <c r="V49" s="383">
        <f t="shared" si="9"/>
        <v>20.762503949265273</v>
      </c>
      <c r="W49" s="402">
        <f t="shared" si="10"/>
        <v>7.7583602475462579</v>
      </c>
      <c r="X49" s="157">
        <f t="shared" si="11"/>
        <v>46422</v>
      </c>
      <c r="Y49" s="385">
        <f t="shared" si="12"/>
        <v>7.3729576302093838</v>
      </c>
      <c r="Z49" s="385">
        <f t="shared" si="22"/>
        <v>8.1102394800300903</v>
      </c>
      <c r="AA49" s="386">
        <f t="shared" si="13"/>
        <v>9.6113270179509964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0.15617900994496772</v>
      </c>
      <c r="AD49" s="231">
        <f>(INDEX(Models!$BJ49:$BT49,,AH49)*(1-AF49)+INDEX(Models!$BJ49:$BT49,,AH49+1)*AF49-ERP_i)*AE49*Ramure*Pc/MaxiM</f>
        <v>5.9446607692271447E-2</v>
      </c>
      <c r="AE49" s="305">
        <f t="shared" si="15"/>
        <v>0.8</v>
      </c>
      <c r="AF49" s="177">
        <f t="shared" si="23"/>
        <v>0.20260026507806916</v>
      </c>
      <c r="AG49" s="809">
        <f t="shared" si="24"/>
        <v>4</v>
      </c>
      <c r="AH49" s="176">
        <f t="shared" si="16"/>
        <v>10</v>
      </c>
      <c r="AI49" s="225">
        <f t="shared" si="17"/>
        <v>4.2026002650780692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IF(t&gt;Tmaj,'2026'!Wh/'2026'!Env_an*'2027'!Env_an,0.001*'[4]mon-tableau'!$B$132)</f>
        <v>8.0538382348182136</v>
      </c>
      <c r="C50" s="839"/>
      <c r="D50" s="393">
        <f t="shared" si="0"/>
        <v>8.8594178195882982</v>
      </c>
      <c r="E50" s="385">
        <f t="shared" si="1"/>
        <v>10.000863391337219</v>
      </c>
      <c r="F50" s="385">
        <f t="shared" si="2"/>
        <v>10.046178706289465</v>
      </c>
      <c r="G50" s="110">
        <f t="shared" si="21"/>
        <v>0.37033599878188384</v>
      </c>
      <c r="H50" s="414" t="b">
        <f>Wh_hp&gt;='2026'!Maxi_hp</f>
        <v>0</v>
      </c>
      <c r="I50" s="390">
        <f>IF(H50,Wh_hp,'2026'!Maxi_hp)</f>
        <v>27.074904186376749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9.0929178550416406E-2</v>
      </c>
      <c r="M50" s="843"/>
      <c r="N50" s="843"/>
      <c r="O50" s="48">
        <f>IF(t&lt;Tnet,'2026'!Resal+('2026'!Salim-'2026'!Resal)*(1-EXP(('2026'!Tnet-t)/('2026'!Tau_j))),Resal+(Salim-Resal)*(1-EXP((Tnet-t)/(Tau_j))))*Salcycl</f>
        <v>0.11413470288351753</v>
      </c>
      <c r="P50" s="169">
        <f>(INDEX(Models!$BJ50:$BT50,,T50)*(1-R50)+INDEX(Models!$BJ50:$BT50,,T50+1)*R50-ERP_i)*Q50*Ramure*Pc/MaxiM</f>
        <v>3.7947325378355393E-2</v>
      </c>
      <c r="Q50" s="305">
        <f t="shared" si="4"/>
        <v>0.8</v>
      </c>
      <c r="R50" s="177">
        <f t="shared" si="5"/>
        <v>2.0240751621027897E-3</v>
      </c>
      <c r="S50" s="809">
        <f t="shared" si="6"/>
        <v>3</v>
      </c>
      <c r="T50" s="176">
        <f t="shared" si="7"/>
        <v>9</v>
      </c>
      <c r="U50" s="251">
        <f t="shared" si="8"/>
        <v>3.0020240751621028</v>
      </c>
      <c r="V50" s="383">
        <f t="shared" si="9"/>
        <v>21.016927592195266</v>
      </c>
      <c r="W50" s="402">
        <f t="shared" si="10"/>
        <v>8.0538382348182136</v>
      </c>
      <c r="X50" s="157">
        <f t="shared" si="11"/>
        <v>46423</v>
      </c>
      <c r="Y50" s="385">
        <f t="shared" si="12"/>
        <v>7.6518598078779654</v>
      </c>
      <c r="Z50" s="385">
        <f t="shared" si="22"/>
        <v>8.4172317792319902</v>
      </c>
      <c r="AA50" s="386">
        <f t="shared" si="13"/>
        <v>9.9755469147635587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0.15621350376542276</v>
      </c>
      <c r="AD50" s="231">
        <f>(INDEX(Models!$BJ50:$BT50,,AH50)*(1-AF50)+INDEX(Models!$BJ50:$BT50,,AH50+1)*AF50-ERP_i)*AE50*Ramure*Pc/MaxiM</f>
        <v>5.9147499645853654E-2</v>
      </c>
      <c r="AE50" s="305">
        <f t="shared" si="15"/>
        <v>0.8</v>
      </c>
      <c r="AF50" s="177">
        <f t="shared" si="23"/>
        <v>0.20274082232700597</v>
      </c>
      <c r="AG50" s="809">
        <f t="shared" si="24"/>
        <v>4</v>
      </c>
      <c r="AH50" s="176">
        <f t="shared" si="16"/>
        <v>10</v>
      </c>
      <c r="AI50" s="225">
        <f t="shared" si="17"/>
        <v>4.202740822327006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IF(t&gt;Tmaj,'2026'!Wh/'2026'!Env_an*'2027'!Env_an,0.001*'[4]mon-tableau'!$B$133)</f>
        <v>13.96812417191</v>
      </c>
      <c r="C51" s="839"/>
      <c r="D51" s="393">
        <f t="shared" si="0"/>
        <v>15.365641991416188</v>
      </c>
      <c r="E51" s="385">
        <f t="shared" si="1"/>
        <v>17.347165469324796</v>
      </c>
      <c r="F51" s="385">
        <f t="shared" si="2"/>
        <v>17.684649479519891</v>
      </c>
      <c r="G51" s="110">
        <f t="shared" si="21"/>
        <v>0.64431743823629128</v>
      </c>
      <c r="H51" s="414" t="b">
        <f>Wh_hp&gt;='2026'!Maxi_hp</f>
        <v>0</v>
      </c>
      <c r="I51" s="390">
        <f>IF(H51,Wh_hp,'2026'!Maxi_hp)</f>
        <v>27.752705659425114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9.0950825242895356E-2</v>
      </c>
      <c r="M51" s="843"/>
      <c r="N51" s="843"/>
      <c r="O51" s="48">
        <f>IF(t&lt;Tnet,'2026'!Resal+('2026'!Salim-'2026'!Resal)*(1-EXP(('2026'!Tnet-t)/('2026'!Tau_j))),Resal+(Salim-Resal)*(1-EXP((Tnet-t)/(Tau_j))))*Salcycl</f>
        <v>0.11422750773966842</v>
      </c>
      <c r="P51" s="169">
        <f>(INDEX(Models!$BJ51:$BT51,,T51)*(1-R51)+INDEX(Models!$BJ51:$BT51,,T51+1)*R51-ERP_i)*Q51*Ramure*Pc/MaxiM</f>
        <v>3.7458635920967633E-2</v>
      </c>
      <c r="Q51" s="305">
        <f t="shared" si="4"/>
        <v>0.8</v>
      </c>
      <c r="R51" s="177">
        <f t="shared" si="5"/>
        <v>2.1704587576159007E-3</v>
      </c>
      <c r="S51" s="809">
        <f t="shared" si="6"/>
        <v>3</v>
      </c>
      <c r="T51" s="176">
        <f t="shared" si="7"/>
        <v>9</v>
      </c>
      <c r="U51" s="251">
        <f t="shared" si="8"/>
        <v>3.0021704587576159</v>
      </c>
      <c r="V51" s="383">
        <f t="shared" si="9"/>
        <v>21.272843181653471</v>
      </c>
      <c r="W51" s="402">
        <f t="shared" si="10"/>
        <v>13.96812417191</v>
      </c>
      <c r="X51" s="157">
        <f t="shared" si="11"/>
        <v>46424</v>
      </c>
      <c r="Y51" s="385">
        <f t="shared" si="12"/>
        <v>13.157927232072829</v>
      </c>
      <c r="Z51" s="385">
        <f t="shared" si="22"/>
        <v>14.474384441951218</v>
      </c>
      <c r="AA51" s="386">
        <f t="shared" si="13"/>
        <v>17.154788123811169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0.15624813681840238</v>
      </c>
      <c r="AD51" s="231">
        <f>(INDEX(Models!$BJ51:$BT51,,AH51)*(1-AF51)+INDEX(Models!$BJ51:$BT51,,AH51+1)*AF51-ERP_i)*AE51*Ramure*Pc/MaxiM</f>
        <v>5.8811330351946148E-2</v>
      </c>
      <c r="AE51" s="305">
        <f t="shared" si="15"/>
        <v>0.8</v>
      </c>
      <c r="AF51" s="177">
        <f t="shared" si="23"/>
        <v>0.20288720592251952</v>
      </c>
      <c r="AG51" s="809">
        <f t="shared" si="24"/>
        <v>4</v>
      </c>
      <c r="AH51" s="176">
        <f t="shared" si="16"/>
        <v>10</v>
      </c>
      <c r="AI51" s="225">
        <f t="shared" si="17"/>
        <v>4.2028872059225195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IF(t&gt;Tmaj,'2026'!Wh/'2026'!Env_an*'2027'!Env_an,0.001*'[4]mon-tableau'!$B$134)</f>
        <v>8.0616665829187948</v>
      </c>
      <c r="C52" s="839"/>
      <c r="D52" s="393">
        <f t="shared" si="0"/>
        <v>8.8684515370123993</v>
      </c>
      <c r="E52" s="385">
        <f t="shared" si="1"/>
        <v>10.013158992069743</v>
      </c>
      <c r="F52" s="385">
        <f t="shared" si="2"/>
        <v>10.052691236740024</v>
      </c>
      <c r="G52" s="110">
        <f t="shared" si="21"/>
        <v>0.36201787067859365</v>
      </c>
      <c r="H52" s="414" t="b">
        <f>Wh_hp&gt;='2026'!Maxi_hp</f>
        <v>0</v>
      </c>
      <c r="I52" s="390">
        <f>IF(H52,Wh_hp,'2026'!Maxi_hp)</f>
        <v>19.538155508149512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9.0972471431624263E-2</v>
      </c>
      <c r="M52" s="843"/>
      <c r="N52" s="843"/>
      <c r="O52" s="48">
        <f>IF(t&lt;Tnet,'2026'!Resal+('2026'!Salim-'2026'!Resal)*(1-EXP(('2026'!Tnet-t)/('2026'!Tau_j))),Resal+(Salim-Resal)*(1-EXP((Tnet-t)/(Tau_j))))*Salcycl</f>
        <v>0.11432031149849244</v>
      </c>
      <c r="P52" s="169">
        <f>(INDEX(Models!$BJ52:$BT52,,T52)*(1-R52)+INDEX(Models!$BJ52:$BT52,,T52+1)*R52-ERP_i)*Q52*Ramure*Pc/MaxiM</f>
        <v>3.6979121385735621E-2</v>
      </c>
      <c r="Q52" s="305">
        <f t="shared" si="4"/>
        <v>0.8</v>
      </c>
      <c r="R52" s="177">
        <f t="shared" si="5"/>
        <v>2.322907159497678E-3</v>
      </c>
      <c r="S52" s="809">
        <f t="shared" si="6"/>
        <v>3</v>
      </c>
      <c r="T52" s="176">
        <f t="shared" si="7"/>
        <v>9</v>
      </c>
      <c r="U52" s="251">
        <f t="shared" si="8"/>
        <v>3.0023229071594977</v>
      </c>
      <c r="V52" s="383">
        <f t="shared" si="9"/>
        <v>21.529887340898707</v>
      </c>
      <c r="W52" s="402">
        <f t="shared" si="10"/>
        <v>8.0616665829187948</v>
      </c>
      <c r="X52" s="157">
        <f t="shared" si="11"/>
        <v>46425</v>
      </c>
      <c r="Y52" s="385">
        <f t="shared" si="12"/>
        <v>7.6621180537530931</v>
      </c>
      <c r="Z52" s="385">
        <f t="shared" si="22"/>
        <v>8.4289175112442809</v>
      </c>
      <c r="AA52" s="386">
        <f t="shared" si="13"/>
        <v>9.9902176466903452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0.15628289499411527</v>
      </c>
      <c r="AD52" s="231">
        <f>(INDEX(Models!$BJ52:$BT52,,AH52)*(1-AF52)+INDEX(Models!$BJ52:$BT52,,AH52+1)*AF52-ERP_i)*AE52*Ramure*Pc/MaxiM</f>
        <v>5.8438838702887713E-2</v>
      </c>
      <c r="AE52" s="305">
        <f t="shared" si="15"/>
        <v>0.8</v>
      </c>
      <c r="AF52" s="177">
        <f t="shared" si="23"/>
        <v>0.2030396543244013</v>
      </c>
      <c r="AG52" s="809">
        <f t="shared" si="24"/>
        <v>4</v>
      </c>
      <c r="AH52" s="176">
        <f t="shared" si="16"/>
        <v>10</v>
      </c>
      <c r="AI52" s="225">
        <f t="shared" si="17"/>
        <v>4.2030396543244013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IF(t&gt;Tmaj,'2026'!Wh/'2026'!Env_an*'2027'!Env_an,0.001*'[4]mon-tableau'!$B$135)</f>
        <v>21.989191623529052</v>
      </c>
      <c r="C53" s="839"/>
      <c r="D53" s="393">
        <f t="shared" si="0"/>
        <v>24.190373283150691</v>
      </c>
      <c r="E53" s="385">
        <f t="shared" si="1"/>
        <v>27.315640482141699</v>
      </c>
      <c r="F53" s="385">
        <f t="shared" si="2"/>
        <v>28.35093087832141</v>
      </c>
      <c r="G53" s="110">
        <f t="shared" si="21"/>
        <v>1.009224158935293</v>
      </c>
      <c r="H53" s="414" t="b">
        <f>Wh_hp&gt;='2026'!Maxi_hp</f>
        <v>1</v>
      </c>
      <c r="I53" s="390">
        <f>IF(H53,Wh_hp,'2026'!Maxi_hp)</f>
        <v>28.35093087832141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9.0994117116614676E-2</v>
      </c>
      <c r="M53" s="843"/>
      <c r="N53" s="843"/>
      <c r="O53" s="48">
        <f>IF(t&lt;Tnet,'2026'!Resal+('2026'!Salim-'2026'!Resal)*(1-EXP(('2026'!Tnet-t)/('2026'!Tau_j))),Resal+(Salim-Resal)*(1-EXP((Tnet-t)/(Tau_j))))*Salcycl</f>
        <v>0.11441310340258107</v>
      </c>
      <c r="P53" s="169">
        <f>(INDEX(Models!$BJ53:$BT53,,T53)*(1-R53)+INDEX(Models!$BJ53:$BT53,,T53+1)*R53-ERP_i)*Q53*Ramure*Pc/MaxiM</f>
        <v>3.6516980716543149E-2</v>
      </c>
      <c r="Q53" s="305">
        <f t="shared" si="4"/>
        <v>0.8</v>
      </c>
      <c r="R53" s="177">
        <f t="shared" si="5"/>
        <v>2.4816683275368234E-3</v>
      </c>
      <c r="S53" s="809">
        <f t="shared" si="6"/>
        <v>3</v>
      </c>
      <c r="T53" s="176">
        <f t="shared" si="7"/>
        <v>9</v>
      </c>
      <c r="U53" s="251">
        <f t="shared" si="8"/>
        <v>3.0024816683275368</v>
      </c>
      <c r="V53" s="383">
        <f t="shared" si="9"/>
        <v>21.78821367765028</v>
      </c>
      <c r="W53" s="402">
        <f t="shared" si="10"/>
        <v>21.989191623529052</v>
      </c>
      <c r="X53" s="157">
        <f t="shared" si="11"/>
        <v>46426</v>
      </c>
      <c r="Y53" s="385">
        <f t="shared" si="12"/>
        <v>20.480467493400869</v>
      </c>
      <c r="Z53" s="385">
        <f t="shared" si="22"/>
        <v>22.530621505370686</v>
      </c>
      <c r="AA53" s="386">
        <f t="shared" si="13"/>
        <v>26.705103557320431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0.15631776311930584</v>
      </c>
      <c r="AD53" s="231">
        <f>(INDEX(Models!$BJ53:$BT53,,AH53)*(1-AF53)+INDEX(Models!$BJ53:$BT53,,AH53+1)*AF53-ERP_i)*AE53*Ramure*Pc/MaxiM</f>
        <v>5.8051967607859564E-2</v>
      </c>
      <c r="AE53" s="305">
        <f t="shared" si="15"/>
        <v>0.8</v>
      </c>
      <c r="AF53" s="177">
        <f t="shared" si="23"/>
        <v>0.20319841549244089</v>
      </c>
      <c r="AG53" s="809">
        <f t="shared" si="24"/>
        <v>4</v>
      </c>
      <c r="AH53" s="176">
        <f t="shared" si="16"/>
        <v>10</v>
      </c>
      <c r="AI53" s="225">
        <f t="shared" si="17"/>
        <v>4.2031984154924409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IF(t&gt;Tmaj,'2026'!Wh/'2026'!Env_an*'2027'!Env_an,0.001*'[4]mon-tableau'!$B$136)</f>
        <v>21.768698904376375</v>
      </c>
      <c r="C54" s="839"/>
      <c r="D54" s="393">
        <f t="shared" si="0"/>
        <v>23.948378862329712</v>
      </c>
      <c r="E54" s="385">
        <f t="shared" si="1"/>
        <v>27.045214762755187</v>
      </c>
      <c r="F54" s="385">
        <f t="shared" si="2"/>
        <v>28.038272929572184</v>
      </c>
      <c r="G54" s="110">
        <f t="shared" si="21"/>
        <v>0.98665549120846818</v>
      </c>
      <c r="H54" s="414" t="b">
        <f>Wh_hp&gt;='2026'!Maxi_hp</f>
        <v>0</v>
      </c>
      <c r="I54" s="390">
        <f>IF(H54,Wh_hp,'2026'!Maxi_hp)</f>
        <v>28.057262374648079</v>
      </c>
      <c r="J54" s="85">
        <f>IF(H54,An,'2026'!An_max)</f>
        <v>2022</v>
      </c>
      <c r="K54" s="197">
        <f t="shared" si="3"/>
        <v>46427</v>
      </c>
      <c r="L54" s="147">
        <f>IF(t&lt;Tvie,1-EXP((T0-t)*PertePVj)+'2026'!Pspv,1-EXP((T0-t)*PertePVj)+Pspv)</f>
        <v>9.1015762297878472E-2</v>
      </c>
      <c r="M54" s="843"/>
      <c r="N54" s="843"/>
      <c r="O54" s="48">
        <f>IF(t&lt;Tnet,'2026'!Resal+('2026'!Salim-'2026'!Resal)*(1-EXP(('2026'!Tnet-t)/('2026'!Tau_j))),Resal+(Salim-Resal)*(1-EXP((Tnet-t)/(Tau_j))))*Salcycl</f>
        <v>0.1145058720217753</v>
      </c>
      <c r="P54" s="169">
        <f>(INDEX(Models!$BJ54:$BT54,,T54)*(1-R54)+INDEX(Models!$BJ54:$BT54,,T54+1)*R54-ERP_i)*Q54*Ramure*Pc/MaxiM</f>
        <v>3.6071143183888467E-2</v>
      </c>
      <c r="Q54" s="305">
        <f t="shared" si="4"/>
        <v>0.8</v>
      </c>
      <c r="R54" s="177">
        <f t="shared" si="5"/>
        <v>2.6470000778462399E-3</v>
      </c>
      <c r="S54" s="809">
        <f t="shared" si="6"/>
        <v>3</v>
      </c>
      <c r="T54" s="176">
        <f t="shared" si="7"/>
        <v>9</v>
      </c>
      <c r="U54" s="251">
        <f t="shared" si="8"/>
        <v>3.0026470000778462</v>
      </c>
      <c r="V54" s="383">
        <f t="shared" si="9"/>
        <v>22.048179776449839</v>
      </c>
      <c r="W54" s="402">
        <f t="shared" si="10"/>
        <v>21.768698904376375</v>
      </c>
      <c r="X54" s="157">
        <f t="shared" si="11"/>
        <v>46427</v>
      </c>
      <c r="Y54" s="385">
        <f t="shared" si="12"/>
        <v>20.28436566452206</v>
      </c>
      <c r="Z54" s="385">
        <f t="shared" si="22"/>
        <v>22.315420689582236</v>
      </c>
      <c r="AA54" s="386">
        <f t="shared" si="13"/>
        <v>26.451126382485043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0.15635272513919549</v>
      </c>
      <c r="AD54" s="231">
        <f>(INDEX(Models!$BJ54:$BT54,,AH54)*(1-AF54)+INDEX(Models!$BJ54:$BT54,,AH54+1)*AF54-ERP_i)*AE54*Ramure*Pc/MaxiM</f>
        <v>5.7650389742320854E-2</v>
      </c>
      <c r="AE54" s="305">
        <f t="shared" si="15"/>
        <v>0.8</v>
      </c>
      <c r="AF54" s="177">
        <f t="shared" si="23"/>
        <v>0.20336374724274986</v>
      </c>
      <c r="AG54" s="809">
        <f t="shared" si="24"/>
        <v>4</v>
      </c>
      <c r="AH54" s="176">
        <f t="shared" si="16"/>
        <v>10</v>
      </c>
      <c r="AI54" s="225">
        <f t="shared" si="17"/>
        <v>4.2033637472427499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IF(t&gt;Tmaj,'2026'!Wh/'2026'!Env_an*'2027'!Env_an,0.001*'[4]mon-tableau'!$B$137)</f>
        <v>20.354616204611098</v>
      </c>
      <c r="C55" s="839"/>
      <c r="D55" s="393">
        <f t="shared" si="0"/>
        <v>22.393238578587834</v>
      </c>
      <c r="E55" s="385">
        <f t="shared" si="1"/>
        <v>25.29162334178363</v>
      </c>
      <c r="F55" s="385">
        <f t="shared" si="2"/>
        <v>26.105536370050693</v>
      </c>
      <c r="G55" s="110">
        <f t="shared" si="21"/>
        <v>0.9081454122155288</v>
      </c>
      <c r="H55" s="414" t="b">
        <f>Wh_hp&gt;='2026'!Maxi_hp</f>
        <v>0</v>
      </c>
      <c r="I55" s="390">
        <f>IF(H55,Wh_hp,'2026'!Maxi_hp)</f>
        <v>26.226274713136441</v>
      </c>
      <c r="J55" s="85">
        <f>IF(H55,An,'2026'!An_max)</f>
        <v>2022</v>
      </c>
      <c r="K55" s="197">
        <f t="shared" si="3"/>
        <v>46428</v>
      </c>
      <c r="L55" s="147">
        <f>IF(t&lt;Tvie,1-EXP((T0-t)*PertePVj)+'2026'!Pspv,1-EXP((T0-t)*PertePVj)+Pspv)</f>
        <v>9.1037406975427199E-2</v>
      </c>
      <c r="M55" s="843"/>
      <c r="N55" s="843"/>
      <c r="O55" s="48">
        <f>IF(t&lt;Tnet,'2026'!Resal+('2026'!Salim-'2026'!Resal)*(1-EXP(('2026'!Tnet-t)/('2026'!Tau_j))),Resal+(Salim-Resal)*(1-EXP((Tnet-t)/(Tau_j))))*Salcycl</f>
        <v>0.11459860539704669</v>
      </c>
      <c r="P55" s="169">
        <f>(INDEX(Models!$BJ55:$BT55,,T55)*(1-R55)+INDEX(Models!$BJ55:$BT55,,T55+1)*R55-ERP_i)*Q55*Ramure*Pc/MaxiM</f>
        <v>3.5640604371293468E-2</v>
      </c>
      <c r="Q55" s="305">
        <f t="shared" si="4"/>
        <v>0.8</v>
      </c>
      <c r="R55" s="177">
        <f t="shared" si="5"/>
        <v>2.819170450641284E-3</v>
      </c>
      <c r="S55" s="809">
        <f t="shared" si="6"/>
        <v>3</v>
      </c>
      <c r="T55" s="176">
        <f t="shared" si="7"/>
        <v>9</v>
      </c>
      <c r="U55" s="251">
        <f t="shared" si="8"/>
        <v>3.0028191704506413</v>
      </c>
      <c r="V55" s="383">
        <f t="shared" si="9"/>
        <v>22.310143110538373</v>
      </c>
      <c r="W55" s="402">
        <f t="shared" si="10"/>
        <v>20.354616204611098</v>
      </c>
      <c r="X55" s="157">
        <f t="shared" si="11"/>
        <v>46428</v>
      </c>
      <c r="Y55" s="385">
        <f t="shared" si="12"/>
        <v>19.015791134716693</v>
      </c>
      <c r="Z55" s="385">
        <f t="shared" si="22"/>
        <v>20.920323103112146</v>
      </c>
      <c r="AA55" s="386">
        <f t="shared" si="13"/>
        <v>24.798506017585215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0.15638776431624377</v>
      </c>
      <c r="AD55" s="231">
        <f>(INDEX(Models!$BJ55:$BT55,,AH55)*(1-AF55)+INDEX(Models!$BJ55:$BT55,,AH55+1)*AF55-ERP_i)*AE55*Ramure*Pc/MaxiM</f>
        <v>5.7233819923827756E-2</v>
      </c>
      <c r="AE55" s="305">
        <f t="shared" si="15"/>
        <v>0.8</v>
      </c>
      <c r="AF55" s="177">
        <f t="shared" si="23"/>
        <v>0.2035359176155449</v>
      </c>
      <c r="AG55" s="809">
        <f t="shared" si="24"/>
        <v>4</v>
      </c>
      <c r="AH55" s="176">
        <f t="shared" si="16"/>
        <v>10</v>
      </c>
      <c r="AI55" s="225">
        <f t="shared" si="17"/>
        <v>4.2035359176155449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IF(t&gt;Tmaj,'2026'!Wh/'2026'!Env_an*'2027'!Env_an,0.001*'[4]mon-tableau'!$B$138)</f>
        <v>13.461985946020476</v>
      </c>
      <c r="C56" s="839"/>
      <c r="D56" s="393">
        <f t="shared" si="0"/>
        <v>14.810627646429534</v>
      </c>
      <c r="E56" s="385">
        <f t="shared" si="1"/>
        <v>16.72933689585949</v>
      </c>
      <c r="F56" s="385">
        <f t="shared" si="2"/>
        <v>16.982578652111119</v>
      </c>
      <c r="G56" s="110">
        <f t="shared" si="21"/>
        <v>0.58404048332182179</v>
      </c>
      <c r="H56" s="414" t="b">
        <f>Wh_hp&gt;='2026'!Maxi_hp</f>
        <v>0</v>
      </c>
      <c r="I56" s="390">
        <f>IF(H56,Wh_hp,'2026'!Maxi_hp)</f>
        <v>22.96810519767752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9.1059051149272624E-2</v>
      </c>
      <c r="M56" s="843"/>
      <c r="N56" s="843"/>
      <c r="O56" s="48">
        <f>IF(t&lt;Tnet,'2026'!Resal+('2026'!Salim-'2026'!Resal)*(1-EXP(('2026'!Tnet-t)/('2026'!Tau_j))),Resal+(Salim-Resal)*(1-EXP((Tnet-t)/(Tau_j))))*Salcycl</f>
        <v>0.11469129119545887</v>
      </c>
      <c r="P56" s="169">
        <f>(INDEX(Models!$BJ56:$BT56,,T56)*(1-R56)+INDEX(Models!$BJ56:$BT56,,T56+1)*R56-ERP_i)*Q56*Ramure*Pc/MaxiM</f>
        <v>3.5224421519684815E-2</v>
      </c>
      <c r="Q56" s="305">
        <f t="shared" si="4"/>
        <v>0.8</v>
      </c>
      <c r="R56" s="177">
        <f t="shared" si="5"/>
        <v>2.9984580896749158E-3</v>
      </c>
      <c r="S56" s="809">
        <f t="shared" si="6"/>
        <v>3</v>
      </c>
      <c r="T56" s="176">
        <f t="shared" si="7"/>
        <v>9</v>
      </c>
      <c r="U56" s="251">
        <f t="shared" si="8"/>
        <v>3.0029984580896749</v>
      </c>
      <c r="V56" s="383">
        <f t="shared" si="9"/>
        <v>22.574461030916716</v>
      </c>
      <c r="W56" s="402">
        <f t="shared" si="10"/>
        <v>13.461985946020476</v>
      </c>
      <c r="X56" s="157">
        <f t="shared" si="11"/>
        <v>46429</v>
      </c>
      <c r="Y56" s="385">
        <f t="shared" si="12"/>
        <v>12.708469121276876</v>
      </c>
      <c r="Z56" s="385">
        <f t="shared" si="22"/>
        <v>13.981622389601405</v>
      </c>
      <c r="AA56" s="386">
        <f t="shared" si="13"/>
        <v>16.574207364926433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0.1564228634433123</v>
      </c>
      <c r="AD56" s="231">
        <f>(INDEX(Models!$BJ56:$BT56,,AH56)*(1-AF56)+INDEX(Models!$BJ56:$BT56,,AH56+1)*AF56-ERP_i)*AE56*Ramure*Pc/MaxiM</f>
        <v>5.6802016260054052E-2</v>
      </c>
      <c r="AE56" s="305">
        <f t="shared" si="15"/>
        <v>0.8</v>
      </c>
      <c r="AF56" s="177">
        <f t="shared" si="23"/>
        <v>0.20371520525457854</v>
      </c>
      <c r="AG56" s="809">
        <f t="shared" si="24"/>
        <v>4</v>
      </c>
      <c r="AH56" s="176">
        <f t="shared" si="16"/>
        <v>10</v>
      </c>
      <c r="AI56" s="225">
        <f t="shared" si="17"/>
        <v>4.2037152052545785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IF(t&gt;Tmaj,'2026'!Wh/'2026'!Env_an*'2027'!Env_an,0.001*'[4]mon-tableau'!$B$139)</f>
        <v>19.099601367355316</v>
      </c>
      <c r="C57" s="839"/>
      <c r="D57" s="393">
        <f t="shared" si="0"/>
        <v>21.013528108043463</v>
      </c>
      <c r="E57" s="385">
        <f t="shared" si="1"/>
        <v>23.738303571990105</v>
      </c>
      <c r="F57" s="385">
        <f t="shared" si="2"/>
        <v>24.388812777011591</v>
      </c>
      <c r="G57" s="110">
        <f t="shared" si="21"/>
        <v>0.82917917046638945</v>
      </c>
      <c r="H57" s="414" t="b">
        <f>Wh_hp&gt;='2026'!Maxi_hp</f>
        <v>0</v>
      </c>
      <c r="I57" s="390">
        <f>IF(H57,Wh_hp,'2026'!Maxi_hp)</f>
        <v>29.947194156112754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9.1080694819426516E-2</v>
      </c>
      <c r="M57" s="843"/>
      <c r="N57" s="843"/>
      <c r="O57" s="48">
        <f>IF(t&lt;Tnet,'2026'!Resal+('2026'!Salim-'2026'!Resal)*(1-EXP(('2026'!Tnet-t)/('2026'!Tau_j))),Resal+(Salim-Resal)*(1-EXP((Tnet-t)/(Tau_j))))*Salcycl</f>
        <v>0.11478391687440244</v>
      </c>
      <c r="P57" s="169">
        <f>(INDEX(Models!$BJ57:$BT57,,T57)*(1-R57)+INDEX(Models!$BJ57:$BT57,,T57+1)*R57-ERP_i)*Q57*Ramure*Pc/MaxiM</f>
        <v>3.4821709429709004E-2</v>
      </c>
      <c r="Q57" s="305">
        <f t="shared" si="4"/>
        <v>0.8</v>
      </c>
      <c r="R57" s="177">
        <f t="shared" si="5"/>
        <v>3.185152633502053E-3</v>
      </c>
      <c r="S57" s="809">
        <f t="shared" si="6"/>
        <v>3</v>
      </c>
      <c r="T57" s="176">
        <f t="shared" si="7"/>
        <v>9</v>
      </c>
      <c r="U57" s="251">
        <f t="shared" si="8"/>
        <v>3.0031851526335021</v>
      </c>
      <c r="V57" s="383">
        <f t="shared" si="9"/>
        <v>22.84149074189882</v>
      </c>
      <c r="W57" s="402">
        <f t="shared" si="10"/>
        <v>19.099601367355316</v>
      </c>
      <c r="X57" s="157">
        <f t="shared" si="11"/>
        <v>46430</v>
      </c>
      <c r="Y57" s="385">
        <f t="shared" si="12"/>
        <v>17.892013620196256</v>
      </c>
      <c r="Z57" s="385">
        <f t="shared" si="22"/>
        <v>19.68493079442479</v>
      </c>
      <c r="AA57" s="386">
        <f t="shared" si="13"/>
        <v>23.336041255454397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0.1564580050687141</v>
      </c>
      <c r="AD57" s="231">
        <f>(INDEX(Models!$BJ57:$BT57,,AH57)*(1-AF57)+INDEX(Models!$BJ57:$BT57,,AH57+1)*AF57-ERP_i)*AE57*Ramure*Pc/MaxiM</f>
        <v>5.6354781356747263E-2</v>
      </c>
      <c r="AE57" s="305">
        <f t="shared" si="15"/>
        <v>0.8</v>
      </c>
      <c r="AF57" s="177">
        <f t="shared" si="23"/>
        <v>0.20390189979840567</v>
      </c>
      <c r="AG57" s="809">
        <f t="shared" si="24"/>
        <v>4</v>
      </c>
      <c r="AH57" s="176">
        <f t="shared" si="16"/>
        <v>10</v>
      </c>
      <c r="AI57" s="225">
        <f t="shared" si="17"/>
        <v>4.2039018997984057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IF(t&gt;Tmaj,'2026'!Wh/'2026'!Env_an*'2027'!Env_an,0.001*'[4]mon-tableau'!$B$140)</f>
        <v>21.893151115006805</v>
      </c>
      <c r="C58" s="839"/>
      <c r="D58" s="393">
        <f t="shared" si="0"/>
        <v>24.08758656776827</v>
      </c>
      <c r="E58" s="385">
        <f t="shared" si="1"/>
        <v>27.21381338012139</v>
      </c>
      <c r="F58" s="385">
        <f t="shared" si="2"/>
        <v>28.109462482070384</v>
      </c>
      <c r="G58" s="110">
        <f t="shared" si="21"/>
        <v>0.94476681436132603</v>
      </c>
      <c r="H58" s="414" t="b">
        <f>Wh_hp&gt;='2026'!Maxi_hp</f>
        <v>0</v>
      </c>
      <c r="I58" s="390">
        <f>IF(H58,Wh_hp,'2026'!Maxi_hp)</f>
        <v>30.793710907907265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9.1102337985900644E-2</v>
      </c>
      <c r="M58" s="843"/>
      <c r="N58" s="843"/>
      <c r="O58" s="48">
        <f>IF(t&lt;Tnet,'2026'!Resal+('2026'!Salim-'2026'!Resal)*(1-EXP(('2026'!Tnet-t)/('2026'!Tau_j))),Resal+(Salim-Resal)*(1-EXP((Tnet-t)/(Tau_j))))*Salcycl</f>
        <v>0.11487646985323646</v>
      </c>
      <c r="P58" s="169">
        <f>(INDEX(Models!$BJ58:$BT58,,T58)*(1-R58)+INDEX(Models!$BJ58:$BT58,,T58+1)*R58-ERP_i)*Q58*Ramure*Pc/MaxiM</f>
        <v>3.4456766838079488E-2</v>
      </c>
      <c r="Q58" s="305">
        <f t="shared" si="4"/>
        <v>0.8</v>
      </c>
      <c r="R58" s="177">
        <f t="shared" si="5"/>
        <v>3.3795551187494333E-3</v>
      </c>
      <c r="S58" s="809">
        <f t="shared" si="6"/>
        <v>3</v>
      </c>
      <c r="T58" s="176">
        <f t="shared" si="7"/>
        <v>9</v>
      </c>
      <c r="U58" s="251">
        <f t="shared" si="8"/>
        <v>3.0033795551187494</v>
      </c>
      <c r="V58" s="383">
        <f t="shared" si="9"/>
        <v>23.110987784184871</v>
      </c>
      <c r="W58" s="402">
        <f t="shared" si="10"/>
        <v>21.893151115006805</v>
      </c>
      <c r="X58" s="157">
        <f t="shared" si="11"/>
        <v>46431</v>
      </c>
      <c r="Y58" s="385">
        <f t="shared" si="12"/>
        <v>20.436680998636064</v>
      </c>
      <c r="Z58" s="385">
        <f t="shared" si="22"/>
        <v>22.485128802453712</v>
      </c>
      <c r="AA58" s="386">
        <f t="shared" si="13"/>
        <v>26.656724105701446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0.1564931717305614</v>
      </c>
      <c r="AD58" s="231">
        <f>(INDEX(Models!$BJ58:$BT58,,AH58)*(1-AF58)+INDEX(Models!$BJ58:$BT58,,AH58+1)*AF58-ERP_i)*AE58*Ramure*Pc/MaxiM</f>
        <v>5.5888703960454825E-2</v>
      </c>
      <c r="AE58" s="305">
        <f t="shared" si="15"/>
        <v>0.8</v>
      </c>
      <c r="AF58" s="177">
        <f t="shared" si="23"/>
        <v>0.20409630228365305</v>
      </c>
      <c r="AG58" s="809">
        <f t="shared" si="24"/>
        <v>4</v>
      </c>
      <c r="AH58" s="176">
        <f t="shared" si="16"/>
        <v>10</v>
      </c>
      <c r="AI58" s="225">
        <f t="shared" si="17"/>
        <v>4.2040963022836531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IF(t&gt;Tmaj,'2026'!Wh/'2026'!Env_an*'2027'!Env_an,0.001*'[4]mon-tableau'!$B$141)</f>
        <v>11.561254168158209</v>
      </c>
      <c r="C59" s="839"/>
      <c r="D59" s="393">
        <f t="shared" si="0"/>
        <v>12.720386413550671</v>
      </c>
      <c r="E59" s="385">
        <f t="shared" si="1"/>
        <v>14.372813514991924</v>
      </c>
      <c r="F59" s="385">
        <f t="shared" si="2"/>
        <v>14.510361170559873</v>
      </c>
      <c r="G59" s="110">
        <f t="shared" si="21"/>
        <v>0.48211984214454928</v>
      </c>
      <c r="H59" s="414" t="b">
        <f>Wh_hp&gt;='2026'!Maxi_hp</f>
        <v>0</v>
      </c>
      <c r="I59" s="390">
        <f>IF(H59,Wh_hp,'2026'!Maxi_hp)</f>
        <v>30.902600245057862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9.1123980648706665E-2</v>
      </c>
      <c r="M59" s="843"/>
      <c r="N59" s="843"/>
      <c r="O59" s="48">
        <f>IF(t&lt;Tnet,'2026'!Resal+('2026'!Salim-'2026'!Resal)*(1-EXP(('2026'!Tnet-t)/('2026'!Tau_j))),Resal+(Salim-Resal)*(1-EXP((Tnet-t)/(Tau_j))))*Salcycl</f>
        <v>0.1149689376904284</v>
      </c>
      <c r="P59" s="169">
        <f>(INDEX(Models!$BJ59:$BT59,,T59)*(1-R59)+INDEX(Models!$BJ59:$BT59,,T59+1)*R59-ERP_i)*Q59*Ramure*Pc/MaxiM</f>
        <v>3.4128986893869152E-2</v>
      </c>
      <c r="Q59" s="305">
        <f t="shared" si="4"/>
        <v>0.8</v>
      </c>
      <c r="R59" s="177">
        <f t="shared" si="5"/>
        <v>3.5819783955273188E-3</v>
      </c>
      <c r="S59" s="809">
        <f t="shared" si="6"/>
        <v>3</v>
      </c>
      <c r="T59" s="176">
        <f t="shared" si="7"/>
        <v>9</v>
      </c>
      <c r="U59" s="251">
        <f t="shared" si="8"/>
        <v>3.0035819783955273</v>
      </c>
      <c r="V59" s="383">
        <f t="shared" si="9"/>
        <v>23.383284173438945</v>
      </c>
      <c r="W59" s="402">
        <f t="shared" si="10"/>
        <v>11.561254168158209</v>
      </c>
      <c r="X59" s="157">
        <f t="shared" si="11"/>
        <v>46432</v>
      </c>
      <c r="Y59" s="385">
        <f t="shared" si="12"/>
        <v>10.952573920533981</v>
      </c>
      <c r="Z59" s="385">
        <f t="shared" si="22"/>
        <v>12.05067983678493</v>
      </c>
      <c r="AA59" s="386">
        <f t="shared" si="13"/>
        <v>14.28700037809525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0.15652834619778089</v>
      </c>
      <c r="AD59" s="231">
        <f>(INDEX(Models!$BJ59:$BT59,,AH59)*(1-AF59)+INDEX(Models!$BJ59:$BT59,,AH59+1)*AF59-ERP_i)*AE59*Ramure*Pc/MaxiM</f>
        <v>5.5421355799579707E-2</v>
      </c>
      <c r="AE59" s="305">
        <f t="shared" si="15"/>
        <v>0.8</v>
      </c>
      <c r="AF59" s="177">
        <f t="shared" si="23"/>
        <v>0.20429872556043094</v>
      </c>
      <c r="AG59" s="809">
        <f t="shared" si="24"/>
        <v>4</v>
      </c>
      <c r="AH59" s="176">
        <f t="shared" si="16"/>
        <v>10</v>
      </c>
      <c r="AI59" s="225">
        <f t="shared" si="17"/>
        <v>4.2042987255604309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IF(t&gt;Tmaj,'2026'!Wh/'2026'!Env_an*'2027'!Env_an,0.001*'[4]mon-tableau'!$B$142)</f>
        <v>14.668797723851608</v>
      </c>
      <c r="C60" s="839"/>
      <c r="D60" s="393">
        <f t="shared" si="0"/>
        <v>16.139876851526051</v>
      </c>
      <c r="E60" s="385">
        <f t="shared" si="1"/>
        <v>18.238412448515529</v>
      </c>
      <c r="F60" s="385">
        <f t="shared" si="2"/>
        <v>18.524975533216271</v>
      </c>
      <c r="G60" s="110">
        <f t="shared" si="21"/>
        <v>0.60844887111234269</v>
      </c>
      <c r="H60" s="414" t="b">
        <f>Wh_hp&gt;='2026'!Maxi_hp</f>
        <v>0</v>
      </c>
      <c r="I60" s="390">
        <f>IF(H60,Wh_hp,'2026'!Maxi_hp)</f>
        <v>31.193309368180032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9.1145622807856236E-2</v>
      </c>
      <c r="M60" s="843"/>
      <c r="N60" s="843"/>
      <c r="O60" s="48">
        <f>IF(t&lt;Tnet,'2026'!Resal+('2026'!Salim-'2026'!Resal)*(1-EXP(('2026'!Tnet-t)/('2026'!Tau_j))),Resal+(Salim-Resal)*(1-EXP((Tnet-t)/(Tau_j))))*Salcycl</f>
        <v>0.11506130826426637</v>
      </c>
      <c r="P60" s="169">
        <f>(INDEX(Models!$BJ60:$BT60,,T60)*(1-R60)+INDEX(Models!$BJ60:$BT60,,T60+1)*R60-ERP_i)*Q60*Ramure*Pc/MaxiM</f>
        <v>3.3836762632077806E-2</v>
      </c>
      <c r="Q60" s="305">
        <f t="shared" si="4"/>
        <v>0.8</v>
      </c>
      <c r="R60" s="177">
        <f t="shared" si="5"/>
        <v>3.792747555123821E-3</v>
      </c>
      <c r="S60" s="809">
        <f t="shared" si="6"/>
        <v>3</v>
      </c>
      <c r="T60" s="176">
        <f t="shared" si="7"/>
        <v>9</v>
      </c>
      <c r="U60" s="251">
        <f t="shared" si="8"/>
        <v>3.0037927475551238</v>
      </c>
      <c r="V60" s="383">
        <f t="shared" si="9"/>
        <v>23.658736593972794</v>
      </c>
      <c r="W60" s="402">
        <f t="shared" si="10"/>
        <v>14.668797723851608</v>
      </c>
      <c r="X60" s="157">
        <f t="shared" si="11"/>
        <v>46433</v>
      </c>
      <c r="Y60" s="385">
        <f t="shared" si="12"/>
        <v>13.843773623684834</v>
      </c>
      <c r="Z60" s="385">
        <f t="shared" si="22"/>
        <v>15.232114155024945</v>
      </c>
      <c r="AA60" s="386">
        <f t="shared" si="13"/>
        <v>18.059586426003374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0.15656351171515481</v>
      </c>
      <c r="AD60" s="231">
        <f>(INDEX(Models!$BJ60:$BT60,,AH60)*(1-AF60)+INDEX(Models!$BJ60:$BT60,,AH60+1)*AF60-ERP_i)*AE60*Ramure*Pc/MaxiM</f>
        <v>5.4952160948302887E-2</v>
      </c>
      <c r="AE60" s="305">
        <f t="shared" si="15"/>
        <v>0.8</v>
      </c>
      <c r="AF60" s="177">
        <f t="shared" si="23"/>
        <v>0.20450949472002744</v>
      </c>
      <c r="AG60" s="809">
        <f t="shared" si="24"/>
        <v>4</v>
      </c>
      <c r="AH60" s="176">
        <f t="shared" si="16"/>
        <v>10</v>
      </c>
      <c r="AI60" s="225">
        <f t="shared" si="17"/>
        <v>4.2045094947200274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IF(t&gt;Tmaj,'2026'!Wh/'2026'!Env_an*'2027'!Env_an,0.001*'[4]mon-tableau'!$B$143)</f>
        <v>8.9846492776245039</v>
      </c>
      <c r="C61" s="839"/>
      <c r="D61" s="393">
        <f t="shared" si="0"/>
        <v>9.8859217172886442</v>
      </c>
      <c r="E61" s="385">
        <f t="shared" si="1"/>
        <v>11.172471721209655</v>
      </c>
      <c r="F61" s="385">
        <f t="shared" si="2"/>
        <v>11.212992731542514</v>
      </c>
      <c r="G61" s="110">
        <f t="shared" si="21"/>
        <v>0.36404705436092683</v>
      </c>
      <c r="H61" s="414" t="b">
        <f>Wh_hp&gt;='2026'!Maxi_hp</f>
        <v>0</v>
      </c>
      <c r="I61" s="390">
        <f>IF(H61,Wh_hp,'2026'!Maxi_hp)</f>
        <v>31.828917483030121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9.1167264463361236E-2</v>
      </c>
      <c r="M61" s="843"/>
      <c r="N61" s="843"/>
      <c r="O61" s="48">
        <f>IF(t&lt;Tnet,'2026'!Resal+('2026'!Salim-'2026'!Resal)*(1-EXP(('2026'!Tnet-t)/('2026'!Tau_j))),Resal+(Salim-Resal)*(1-EXP((Tnet-t)/(Tau_j))))*Salcycl</f>
        <v>0.11515356995521792</v>
      </c>
      <c r="P61" s="169">
        <f>(INDEX(Models!$BJ61:$BT61,,T61)*(1-R61)+INDEX(Models!$BJ61:$BT61,,T61+1)*R61-ERP_i)*Q61*Ramure*Pc/MaxiM</f>
        <v>3.357854523176821E-2</v>
      </c>
      <c r="Q61" s="305">
        <f t="shared" si="4"/>
        <v>0.8</v>
      </c>
      <c r="R61" s="177">
        <f t="shared" si="5"/>
        <v>4.0122003700693298E-3</v>
      </c>
      <c r="S61" s="809">
        <f t="shared" si="6"/>
        <v>3</v>
      </c>
      <c r="T61" s="176">
        <f t="shared" si="7"/>
        <v>9</v>
      </c>
      <c r="U61" s="251">
        <f t="shared" si="8"/>
        <v>3.0040122003700693</v>
      </c>
      <c r="V61" s="383">
        <f t="shared" si="9"/>
        <v>23.937701483045174</v>
      </c>
      <c r="W61" s="402">
        <f t="shared" si="10"/>
        <v>8.9846492776245039</v>
      </c>
      <c r="X61" s="157">
        <f t="shared" si="11"/>
        <v>46434</v>
      </c>
      <c r="Y61" s="385">
        <f t="shared" si="12"/>
        <v>8.5444855502667565</v>
      </c>
      <c r="Z61" s="385">
        <f t="shared" si="22"/>
        <v>9.4016040753874162</v>
      </c>
      <c r="AA61" s="386">
        <f t="shared" si="13"/>
        <v>11.147248104909979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0.15659865224975705</v>
      </c>
      <c r="AD61" s="231">
        <f>(INDEX(Models!$BJ61:$BT61,,AH61)*(1-AF61)+INDEX(Models!$BJ61:$BT61,,AH61+1)*AF61-ERP_i)*AE61*Ramure*Pc/MaxiM</f>
        <v>5.4480599101352833E-2</v>
      </c>
      <c r="AE61" s="305">
        <f t="shared" si="15"/>
        <v>0.8</v>
      </c>
      <c r="AF61" s="177">
        <f t="shared" si="23"/>
        <v>0.20472894753497339</v>
      </c>
      <c r="AG61" s="809">
        <f t="shared" si="24"/>
        <v>4</v>
      </c>
      <c r="AH61" s="176">
        <f t="shared" si="16"/>
        <v>10</v>
      </c>
      <c r="AI61" s="225">
        <f t="shared" si="17"/>
        <v>4.2047289475349734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IF(t&gt;Tmaj,'2026'!Wh/'2026'!Env_an*'2027'!Env_an,0.001*'[4]mon-tableau'!$B$144)</f>
        <v>9.6563407808731334</v>
      </c>
      <c r="C62" s="839"/>
      <c r="D62" s="393">
        <f t="shared" si="0"/>
        <v>10.625245268831293</v>
      </c>
      <c r="E62" s="385">
        <f t="shared" si="1"/>
        <v>12.009261114500632</v>
      </c>
      <c r="F62" s="385">
        <f t="shared" si="2"/>
        <v>12.065995302804208</v>
      </c>
      <c r="G62" s="110">
        <f t="shared" si="21"/>
        <v>0.38720744219559716</v>
      </c>
      <c r="H62" s="414" t="b">
        <f>Wh_hp&gt;='2026'!Maxi_hp</f>
        <v>0</v>
      </c>
      <c r="I62" s="390">
        <f>IF(H62,Wh_hp,'2026'!Maxi_hp)</f>
        <v>32.141014438582829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9.1188905615233212E-2</v>
      </c>
      <c r="M62" s="843"/>
      <c r="N62" s="843"/>
      <c r="O62" s="48">
        <f>IF(t&lt;Tnet,'2026'!Resal+('2026'!Salim-'2026'!Resal)*(1-EXP(('2026'!Tnet-t)/('2026'!Tau_j))),Resal+(Salim-Resal)*(1-EXP((Tnet-t)/(Tau_j))))*Salcycl</f>
        <v>0.11524571182803266</v>
      </c>
      <c r="P62" s="169">
        <f>(INDEX(Models!$BJ62:$BT62,,T62)*(1-R62)+INDEX(Models!$BJ62:$BT62,,T62+1)*R62-ERP_i)*Q62*Ramure*Pc/MaxiM</f>
        <v>3.3352839017124027E-2</v>
      </c>
      <c r="Q62" s="305">
        <f t="shared" si="4"/>
        <v>0.8</v>
      </c>
      <c r="R62" s="177">
        <f t="shared" si="5"/>
        <v>4.2406877466572013E-3</v>
      </c>
      <c r="S62" s="809">
        <f t="shared" si="6"/>
        <v>3</v>
      </c>
      <c r="T62" s="176">
        <f t="shared" si="7"/>
        <v>9</v>
      </c>
      <c r="U62" s="251">
        <f t="shared" si="8"/>
        <v>3.0042406877466572</v>
      </c>
      <c r="V62" s="383">
        <f t="shared" si="9"/>
        <v>24.220535008261198</v>
      </c>
      <c r="W62" s="402">
        <f t="shared" si="10"/>
        <v>9.6563407808731334</v>
      </c>
      <c r="X62" s="157">
        <f t="shared" si="11"/>
        <v>46435</v>
      </c>
      <c r="Y62" s="385">
        <f t="shared" si="12"/>
        <v>9.1776982113888028</v>
      </c>
      <c r="Z62" s="385">
        <f t="shared" si="22"/>
        <v>10.098576335714499</v>
      </c>
      <c r="AA62" s="386">
        <f t="shared" si="13"/>
        <v>11.974129114697309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0.15663375273619815</v>
      </c>
      <c r="AD62" s="231">
        <f>(INDEX(Models!$BJ62:$BT62,,AH62)*(1-AF62)+INDEX(Models!$BJ62:$BT62,,AH62+1)*AF62-ERP_i)*AE62*Ramure*Pc/MaxiM</f>
        <v>5.4006204630111375E-2</v>
      </c>
      <c r="AE62" s="305">
        <f t="shared" si="15"/>
        <v>0.8</v>
      </c>
      <c r="AF62" s="177">
        <f t="shared" si="23"/>
        <v>0.20495743491156038</v>
      </c>
      <c r="AG62" s="809">
        <f t="shared" si="24"/>
        <v>4</v>
      </c>
      <c r="AH62" s="176">
        <f t="shared" si="16"/>
        <v>10</v>
      </c>
      <c r="AI62" s="225">
        <f t="shared" si="17"/>
        <v>4.2049574349115604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IF(t&gt;Tmaj,'2026'!Wh/'2026'!Env_an*'2027'!Env_an,0.001*'[4]mon-tableau'!$B$145)</f>
        <v>19.061831981534922</v>
      </c>
      <c r="C63" s="839"/>
      <c r="D63" s="393">
        <f t="shared" si="0"/>
        <v>20.974970498569949</v>
      </c>
      <c r="E63" s="385">
        <f t="shared" si="1"/>
        <v>23.70957942158941</v>
      </c>
      <c r="F63" s="385">
        <f t="shared" si="2"/>
        <v>24.258612514381149</v>
      </c>
      <c r="G63" s="110">
        <f t="shared" si="21"/>
        <v>0.7694165146572105</v>
      </c>
      <c r="H63" s="414" t="b">
        <f>Wh_hp&gt;='2026'!Maxi_hp</f>
        <v>0</v>
      </c>
      <c r="I63" s="390">
        <f>IF(H63,Wh_hp,'2026'!Maxi_hp)</f>
        <v>31.856589753625187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9.1210546263484044E-2</v>
      </c>
      <c r="M63" s="843"/>
      <c r="N63" s="843"/>
      <c r="O63" s="48">
        <f>IF(t&lt;Tnet,'2026'!Resal+('2026'!Salim-'2026'!Resal)*(1-EXP(('2026'!Tnet-t)/('2026'!Tau_j))),Resal+(Salim-Resal)*(1-EXP((Tnet-t)/(Tau_j))))*Salcycl</f>
        <v>0.11533772381172605</v>
      </c>
      <c r="P63" s="169">
        <f>(INDEX(Models!$BJ63:$BT63,,T63)*(1-R63)+INDEX(Models!$BJ63:$BT63,,T63+1)*R63-ERP_i)*Q63*Ramure*Pc/MaxiM</f>
        <v>3.3158197107144502E-2</v>
      </c>
      <c r="Q63" s="305">
        <f t="shared" si="4"/>
        <v>0.8</v>
      </c>
      <c r="R63" s="177">
        <f t="shared" si="5"/>
        <v>4.4785741899548981E-3</v>
      </c>
      <c r="S63" s="809">
        <f t="shared" si="6"/>
        <v>3</v>
      </c>
      <c r="T63" s="176">
        <f t="shared" si="7"/>
        <v>9</v>
      </c>
      <c r="U63" s="251">
        <f t="shared" si="8"/>
        <v>3.0044785741899549</v>
      </c>
      <c r="V63" s="383">
        <f t="shared" si="9"/>
        <v>24.507593054509663</v>
      </c>
      <c r="W63" s="402">
        <f t="shared" si="10"/>
        <v>19.061831981534922</v>
      </c>
      <c r="X63" s="157">
        <f t="shared" si="11"/>
        <v>46436</v>
      </c>
      <c r="Y63" s="385">
        <f t="shared" si="12"/>
        <v>17.912766243268671</v>
      </c>
      <c r="Z63" s="385">
        <f t="shared" si="22"/>
        <v>19.710578913102236</v>
      </c>
      <c r="AA63" s="386">
        <f t="shared" si="13"/>
        <v>23.37228706487566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0.15666879931815975</v>
      </c>
      <c r="AD63" s="231">
        <f>(INDEX(Models!$BJ63:$BT63,,AH63)*(1-AF63)+INDEX(Models!$BJ63:$BT63,,AH63+1)*AF63-ERP_i)*AE63*Ramure*Pc/MaxiM</f>
        <v>5.3528565657752651E-2</v>
      </c>
      <c r="AE63" s="305">
        <f t="shared" si="15"/>
        <v>0.8</v>
      </c>
      <c r="AF63" s="177">
        <f t="shared" si="23"/>
        <v>0.20519532135485896</v>
      </c>
      <c r="AG63" s="809">
        <f t="shared" si="24"/>
        <v>4</v>
      </c>
      <c r="AH63" s="176">
        <f t="shared" si="16"/>
        <v>10</v>
      </c>
      <c r="AI63" s="225">
        <f t="shared" si="17"/>
        <v>4.205195321354859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IF(t&gt;Tmaj,'2026'!Wh/'2026'!Env_an*'2027'!Env_an,0.001*'[4]mon-tableau'!$B$146)</f>
        <v>16.987064549990464</v>
      </c>
      <c r="C64" s="839"/>
      <c r="D64" s="393">
        <f t="shared" si="0"/>
        <v>18.692414383438223</v>
      </c>
      <c r="E64" s="385">
        <f t="shared" si="1"/>
        <v>21.131629904658183</v>
      </c>
      <c r="F64" s="385">
        <f t="shared" si="2"/>
        <v>21.522160104778614</v>
      </c>
      <c r="G64" s="110">
        <f t="shared" si="21"/>
        <v>0.67462510985108393</v>
      </c>
      <c r="H64" s="414" t="b">
        <f>Wh_hp&gt;='2026'!Maxi_hp</f>
        <v>0</v>
      </c>
      <c r="I64" s="390">
        <f>IF(H64,Wh_hp,'2026'!Maxi_hp)</f>
        <v>31.674857385546339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9.1232186408125387E-2</v>
      </c>
      <c r="M64" s="843"/>
      <c r="N64" s="843"/>
      <c r="O64" s="48">
        <f>IF(t&lt;Tnet,'2026'!Resal+('2026'!Salim-'2026'!Resal)*(1-EXP(('2026'!Tnet-t)/('2026'!Tau_j))),Resal+(Salim-Resal)*(1-EXP((Tnet-t)/(Tau_j))))*Salcycl</f>
        <v>0.11542959687564226</v>
      </c>
      <c r="P64" s="169">
        <f>(INDEX(Models!$BJ64:$BT64,,T64)*(1-R64)+INDEX(Models!$BJ64:$BT64,,T64+1)*R64-ERP_i)*Q64*Ramure*Pc/MaxiM</f>
        <v>3.2993217703413798E-2</v>
      </c>
      <c r="Q64" s="305">
        <f t="shared" si="4"/>
        <v>0.8</v>
      </c>
      <c r="R64" s="177">
        <f t="shared" si="5"/>
        <v>4.7262382813260118E-3</v>
      </c>
      <c r="S64" s="809">
        <f t="shared" si="6"/>
        <v>3</v>
      </c>
      <c r="T64" s="176">
        <f t="shared" si="7"/>
        <v>9</v>
      </c>
      <c r="U64" s="251">
        <f t="shared" si="8"/>
        <v>3.004726238281326</v>
      </c>
      <c r="V64" s="383">
        <f t="shared" si="9"/>
        <v>24.799231188530534</v>
      </c>
      <c r="W64" s="402">
        <f t="shared" si="10"/>
        <v>16.987064549990464</v>
      </c>
      <c r="X64" s="157">
        <f t="shared" si="11"/>
        <v>46437</v>
      </c>
      <c r="Y64" s="385">
        <f t="shared" si="12"/>
        <v>16.012531576336073</v>
      </c>
      <c r="Z64" s="385">
        <f t="shared" si="22"/>
        <v>17.620046987631607</v>
      </c>
      <c r="AA64" s="386">
        <f t="shared" si="13"/>
        <v>20.894255851087813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0.1567037795837912</v>
      </c>
      <c r="AD64" s="231">
        <f>(INDEX(Models!$BJ64:$BT64,,AH64)*(1-AF64)+INDEX(Models!$BJ64:$BT64,,AH64+1)*AF64-ERP_i)*AE64*Ramure*Pc/MaxiM</f>
        <v>5.3047323184050345E-2</v>
      </c>
      <c r="AE64" s="305">
        <f t="shared" si="15"/>
        <v>0.8</v>
      </c>
      <c r="AF64" s="177">
        <f t="shared" si="23"/>
        <v>0.20544298544622919</v>
      </c>
      <c r="AG64" s="809">
        <f t="shared" si="24"/>
        <v>4</v>
      </c>
      <c r="AH64" s="176">
        <f t="shared" si="16"/>
        <v>10</v>
      </c>
      <c r="AI64" s="225">
        <f t="shared" si="17"/>
        <v>4.2054429854462292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IF(t&gt;Tmaj,'2026'!Wh/'2026'!Env_an*'2027'!Env_an,0.001*'[4]mon-tableau'!$B$147)</f>
        <v>15.45397715060539</v>
      </c>
      <c r="C65" s="839"/>
      <c r="D65" s="393">
        <f t="shared" si="0"/>
        <v>17.005823621152924</v>
      </c>
      <c r="E65" s="385">
        <f t="shared" si="1"/>
        <v>19.226945846424112</v>
      </c>
      <c r="F65" s="385">
        <f t="shared" si="2"/>
        <v>19.516238219986185</v>
      </c>
      <c r="G65" s="110">
        <f t="shared" si="21"/>
        <v>0.60452997473306991</v>
      </c>
      <c r="H65" s="414" t="b">
        <f>Wh_hp&gt;='2026'!Maxi_hp</f>
        <v>0</v>
      </c>
      <c r="I65" s="390">
        <f>IF(H65,Wh_hp,'2026'!Maxi_hp)</f>
        <v>32.961384862018924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9.1253826049168901E-2</v>
      </c>
      <c r="M65" s="843"/>
      <c r="N65" s="843"/>
      <c r="O65" s="48">
        <f>IF(t&lt;Tnet,'2026'!Resal+('2026'!Salim-'2026'!Resal)*(1-EXP(('2026'!Tnet-t)/('2026'!Tau_j))),Resal+(Salim-Resal)*(1-EXP((Tnet-t)/(Tau_j))))*Salcycl</f>
        <v>0.11552132319987161</v>
      </c>
      <c r="P65" s="169">
        <f>(INDEX(Models!$BJ65:$BT65,,T65)*(1-R65)+INDEX(Models!$BJ65:$BT65,,T65+1)*R65-ERP_i)*Q65*Ramure*Pc/MaxiM</f>
        <v>3.2856691637576034E-2</v>
      </c>
      <c r="Q65" s="305">
        <f t="shared" si="4"/>
        <v>0.8</v>
      </c>
      <c r="R65" s="177">
        <f t="shared" si="5"/>
        <v>4.9840731684183126E-3</v>
      </c>
      <c r="S65" s="809">
        <f t="shared" si="6"/>
        <v>3</v>
      </c>
      <c r="T65" s="176">
        <f t="shared" si="7"/>
        <v>9</v>
      </c>
      <c r="U65" s="251">
        <f t="shared" si="8"/>
        <v>3.0049840731684183</v>
      </c>
      <c r="V65" s="383">
        <f t="shared" si="9"/>
        <v>25.095685606441812</v>
      </c>
      <c r="W65" s="402">
        <f t="shared" si="10"/>
        <v>15.45397715060539</v>
      </c>
      <c r="X65" s="157">
        <f t="shared" si="11"/>
        <v>46438</v>
      </c>
      <c r="Y65" s="385">
        <f t="shared" si="12"/>
        <v>14.600853701890241</v>
      </c>
      <c r="Z65" s="385">
        <f t="shared" si="22"/>
        <v>16.067031829594519</v>
      </c>
      <c r="AA65" s="386">
        <f t="shared" si="13"/>
        <v>19.053443460212659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0.15673868279265921</v>
      </c>
      <c r="AD65" s="231">
        <f>(INDEX(Models!$BJ65:$BT65,,AH65)*(1-AF65)+INDEX(Models!$BJ65:$BT65,,AH65+1)*AF65-ERP_i)*AE65*Ramure*Pc/MaxiM</f>
        <v>5.256241125935588E-2</v>
      </c>
      <c r="AE65" s="305">
        <f t="shared" si="15"/>
        <v>0.8</v>
      </c>
      <c r="AF65" s="177">
        <f t="shared" si="23"/>
        <v>0.20570082033332149</v>
      </c>
      <c r="AG65" s="809">
        <f t="shared" si="24"/>
        <v>4</v>
      </c>
      <c r="AH65" s="176">
        <f t="shared" si="16"/>
        <v>10</v>
      </c>
      <c r="AI65" s="225">
        <f t="shared" si="17"/>
        <v>4.2057008203333215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IF(t&gt;Tmaj,'2026'!Wh/'2026'!Env_an*'2027'!Env_an,0.001*'[4]mon-tableau'!$B$148)</f>
        <v>16.689583097534467</v>
      </c>
      <c r="C66" s="839"/>
      <c r="D66" s="393">
        <f t="shared" si="0"/>
        <v>18.36594309733481</v>
      </c>
      <c r="E66" s="385">
        <f t="shared" si="1"/>
        <v>20.766859920610219</v>
      </c>
      <c r="F66" s="385">
        <f t="shared" si="2"/>
        <v>21.120127119704829</v>
      </c>
      <c r="G66" s="110">
        <f t="shared" si="21"/>
        <v>0.64644746958824117</v>
      </c>
      <c r="H66" s="414" t="b">
        <f>Wh_hp&gt;='2026'!Maxi_hp</f>
        <v>0</v>
      </c>
      <c r="I66" s="390">
        <f>IF(H66,Wh_hp,'2026'!Maxi_hp)</f>
        <v>32.315694426247191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9.1275465186626353E-2</v>
      </c>
      <c r="M66" s="843"/>
      <c r="N66" s="843"/>
      <c r="O66" s="48">
        <f>IF(t&lt;Tnet,'2026'!Resal+('2026'!Salim-'2026'!Resal)*(1-EXP(('2026'!Tnet-t)/('2026'!Tau_j))),Resal+(Salim-Resal)*(1-EXP((Tnet-t)/(Tau_j))))*Salcycl</f>
        <v>0.11561289633839171</v>
      </c>
      <c r="P66" s="169">
        <f>(INDEX(Models!$BJ66:$BT66,,T66)*(1-R66)+INDEX(Models!$BJ66:$BT66,,T66+1)*R66-ERP_i)*Q66*Ramure*Pc/MaxiM</f>
        <v>3.2780890728608264E-2</v>
      </c>
      <c r="Q66" s="305">
        <f t="shared" si="4"/>
        <v>0.8</v>
      </c>
      <c r="R66" s="177">
        <f t="shared" si="5"/>
        <v>5.252487067562317E-3</v>
      </c>
      <c r="S66" s="809">
        <f t="shared" si="6"/>
        <v>3</v>
      </c>
      <c r="T66" s="176">
        <f t="shared" si="7"/>
        <v>9</v>
      </c>
      <c r="U66" s="251">
        <f t="shared" si="8"/>
        <v>3.0052524870675623</v>
      </c>
      <c r="V66" s="383">
        <f t="shared" si="9"/>
        <v>25.39585337952586</v>
      </c>
      <c r="W66" s="402">
        <f t="shared" si="10"/>
        <v>16.689583097534467</v>
      </c>
      <c r="X66" s="157">
        <f t="shared" si="11"/>
        <v>46439</v>
      </c>
      <c r="Y66" s="385">
        <f t="shared" si="12"/>
        <v>15.753334120250024</v>
      </c>
      <c r="Z66" s="385">
        <f t="shared" si="22"/>
        <v>17.33565400375738</v>
      </c>
      <c r="AA66" s="386">
        <f t="shared" si="13"/>
        <v>20.558715844023371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0.15677350009207741</v>
      </c>
      <c r="AD66" s="231">
        <f>(INDEX(Models!$BJ66:$BT66,,AH66)*(1-AF66)+INDEX(Models!$BJ66:$BT66,,AH66+1)*AF66-ERP_i)*AE66*Ramure*Pc/MaxiM</f>
        <v>5.2095302731442521E-2</v>
      </c>
      <c r="AE66" s="305">
        <f t="shared" si="15"/>
        <v>0.8</v>
      </c>
      <c r="AF66" s="177">
        <f t="shared" si="23"/>
        <v>0.20596923423246594</v>
      </c>
      <c r="AG66" s="809">
        <f t="shared" si="24"/>
        <v>4</v>
      </c>
      <c r="AH66" s="176">
        <f t="shared" si="16"/>
        <v>10</v>
      </c>
      <c r="AI66" s="225">
        <f t="shared" si="17"/>
        <v>4.2059692342324659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IF(t&gt;Tmaj,'2026'!Wh/'2026'!Env_an*'2027'!Env_an,0.001*'[4]mon-tableau'!$B$149)</f>
        <v>24.298541287014199</v>
      </c>
      <c r="C67" s="839"/>
      <c r="D67" s="393">
        <f t="shared" si="0"/>
        <v>26.739808345691301</v>
      </c>
      <c r="E67" s="385">
        <f t="shared" si="1"/>
        <v>30.238537504600135</v>
      </c>
      <c r="F67" s="385">
        <f t="shared" si="2"/>
        <v>31.180337421969234</v>
      </c>
      <c r="G67" s="110">
        <f t="shared" si="21"/>
        <v>0.94299637729882291</v>
      </c>
      <c r="H67" s="414" t="b">
        <f>Wh_hp&gt;='2026'!Maxi_hp</f>
        <v>0</v>
      </c>
      <c r="I67" s="390">
        <f>IF(H67,Wh_hp,'2026'!Maxi_hp)</f>
        <v>32.908275792453587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9.1297103820509401E-2</v>
      </c>
      <c r="M67" s="843"/>
      <c r="N67" s="843"/>
      <c r="O67" s="48">
        <f>IF(t&lt;Tnet,'2026'!Resal+('2026'!Salim-'2026'!Resal)*(1-EXP(('2026'!Tnet-t)/('2026'!Tau_j))),Resal+(Salim-Resal)*(1-EXP((Tnet-t)/(Tau_j))))*Salcycl</f>
        <v>0.11570431137341143</v>
      </c>
      <c r="P67" s="169">
        <f>(INDEX(Models!$BJ67:$BT67,,T67)*(1-R67)+INDEX(Models!$BJ67:$BT67,,T67+1)*R67-ERP_i)*Q67*Ramure*Pc/MaxiM</f>
        <v>3.2755990887385678E-2</v>
      </c>
      <c r="Q67" s="305">
        <f t="shared" si="4"/>
        <v>0.8</v>
      </c>
      <c r="R67" s="177">
        <f t="shared" si="5"/>
        <v>5.5319037784453684E-3</v>
      </c>
      <c r="S67" s="809">
        <f t="shared" si="6"/>
        <v>3</v>
      </c>
      <c r="T67" s="176">
        <f t="shared" si="7"/>
        <v>9</v>
      </c>
      <c r="U67" s="251">
        <f t="shared" si="8"/>
        <v>3.0055319037784454</v>
      </c>
      <c r="V67" s="383">
        <f t="shared" si="9"/>
        <v>25.699593539688916</v>
      </c>
      <c r="W67" s="402">
        <f t="shared" si="10"/>
        <v>24.298541287014199</v>
      </c>
      <c r="X67" s="157">
        <f t="shared" si="11"/>
        <v>46440</v>
      </c>
      <c r="Y67" s="385">
        <f t="shared" si="12"/>
        <v>22.752924813655149</v>
      </c>
      <c r="Z67" s="385">
        <f t="shared" si="22"/>
        <v>25.038904254973232</v>
      </c>
      <c r="AA67" s="386">
        <f t="shared" si="13"/>
        <v>29.695384833043843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0.15680822472080122</v>
      </c>
      <c r="AD67" s="231">
        <f>(INDEX(Models!$BJ67:$BT67,,AH67)*(1-AF67)+INDEX(Models!$BJ67:$BT67,,AH67+1)*AF67-ERP_i)*AE67*Ramure*Pc/MaxiM</f>
        <v>5.1646950242805113E-2</v>
      </c>
      <c r="AE67" s="305">
        <f t="shared" si="15"/>
        <v>0.8</v>
      </c>
      <c r="AF67" s="177">
        <f t="shared" si="23"/>
        <v>0.20624865094334854</v>
      </c>
      <c r="AG67" s="809">
        <f t="shared" si="24"/>
        <v>4</v>
      </c>
      <c r="AH67" s="176">
        <f t="shared" si="16"/>
        <v>10</v>
      </c>
      <c r="AI67" s="225">
        <f t="shared" si="17"/>
        <v>4.2062486509433485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IF(t&gt;Tmaj,'2026'!Wh/'2026'!Env_an*'2027'!Env_an,0.001*'[4]mon-tableau'!$B$150)</f>
        <v>24.301884308159472</v>
      </c>
      <c r="C68" s="839"/>
      <c r="D68" s="393">
        <f t="shared" si="0"/>
        <v>26.744124073091051</v>
      </c>
      <c r="E68" s="385">
        <f t="shared" si="1"/>
        <v>30.246539167032434</v>
      </c>
      <c r="F68" s="385">
        <f t="shared" si="2"/>
        <v>31.172709287108095</v>
      </c>
      <c r="G68" s="110">
        <f t="shared" si="21"/>
        <v>0.93149618192216477</v>
      </c>
      <c r="H68" s="414" t="b">
        <f>Wh_hp&gt;='2026'!Maxi_hp</f>
        <v>0</v>
      </c>
      <c r="I68" s="390">
        <f>IF(H68,Wh_hp,'2026'!Maxi_hp)</f>
        <v>33.900366462796477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9.1318741950829924E-2</v>
      </c>
      <c r="M68" s="843"/>
      <c r="N68" s="843"/>
      <c r="O68" s="48">
        <f>IF(t&lt;Tnet,'2026'!Resal+('2026'!Salim-'2026'!Resal)*(1-EXP(('2026'!Tnet-t)/('2026'!Tau_j))),Resal+(Salim-Resal)*(1-EXP((Tnet-t)/(Tau_j))))*Salcycl</f>
        <v>0.1157955650595187</v>
      </c>
      <c r="P68" s="169">
        <f>(INDEX(Models!$BJ68:$BT68,,T68)*(1-R68)+INDEX(Models!$BJ68:$BT68,,T68+1)*R68-ERP_i)*Q68*Ramure*Pc/MaxiM</f>
        <v>3.2780474865830085E-2</v>
      </c>
      <c r="Q68" s="305">
        <f t="shared" si="4"/>
        <v>0.8</v>
      </c>
      <c r="R68" s="177">
        <f t="shared" si="5"/>
        <v>5.822763210898696E-3</v>
      </c>
      <c r="S68" s="809">
        <f t="shared" si="6"/>
        <v>3</v>
      </c>
      <c r="T68" s="176">
        <f t="shared" si="7"/>
        <v>9</v>
      </c>
      <c r="U68" s="251">
        <f t="shared" si="8"/>
        <v>3.0058227632108987</v>
      </c>
      <c r="V68" s="383">
        <f t="shared" si="9"/>
        <v>26.006552501247192</v>
      </c>
      <c r="W68" s="402">
        <f t="shared" si="10"/>
        <v>24.301884308159472</v>
      </c>
      <c r="X68" s="157">
        <f t="shared" si="11"/>
        <v>46441</v>
      </c>
      <c r="Y68" s="385">
        <f t="shared" si="12"/>
        <v>22.774621948433992</v>
      </c>
      <c r="Z68" s="385">
        <f t="shared" si="22"/>
        <v>25.063378106123132</v>
      </c>
      <c r="AA68" s="386">
        <f t="shared" si="13"/>
        <v>29.725630828686512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0.15684285219824862</v>
      </c>
      <c r="AD68" s="231">
        <f>(INDEX(Models!$BJ68:$BT68,,AH68)*(1-AF68)+INDEX(Models!$BJ68:$BT68,,AH68+1)*AF68-ERP_i)*AE68*Ramure*Pc/MaxiM</f>
        <v>5.1217285039705081E-2</v>
      </c>
      <c r="AE68" s="305">
        <f t="shared" si="15"/>
        <v>0.8</v>
      </c>
      <c r="AF68" s="177">
        <f t="shared" si="23"/>
        <v>0.20653951037580232</v>
      </c>
      <c r="AG68" s="809">
        <f t="shared" si="24"/>
        <v>4</v>
      </c>
      <c r="AH68" s="176">
        <f t="shared" si="16"/>
        <v>10</v>
      </c>
      <c r="AI68" s="225">
        <f t="shared" si="17"/>
        <v>4.2065395103758023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IF(t&gt;Tmaj,'2026'!Wh/'2026'!Env_an*'2027'!Env_an,0.001*'[4]mon-tableau'!$B$151)</f>
        <v>13.856758406642484</v>
      </c>
      <c r="C69" s="839"/>
      <c r="D69" s="393">
        <f t="shared" si="0"/>
        <v>15.249668957668677</v>
      </c>
      <c r="E69" s="385">
        <f t="shared" si="1"/>
        <v>17.248545178519649</v>
      </c>
      <c r="F69" s="385">
        <f t="shared" si="2"/>
        <v>17.433909698706117</v>
      </c>
      <c r="G69" s="110">
        <f t="shared" si="21"/>
        <v>0.51471927197958511</v>
      </c>
      <c r="H69" s="414" t="b">
        <f>Wh_hp&gt;='2026'!Maxi_hp</f>
        <v>0</v>
      </c>
      <c r="I69" s="390">
        <f>IF(H69,Wh_hp,'2026'!Maxi_hp)</f>
        <v>34.946187395768554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9.1340379577599468E-2</v>
      </c>
      <c r="M69" s="843"/>
      <c r="N69" s="843"/>
      <c r="O69" s="48">
        <f>IF(t&lt;Tnet,'2026'!Resal+('2026'!Salim-'2026'!Resal)*(1-EXP(('2026'!Tnet-t)/('2026'!Tau_j))),Resal+(Salim-Resal)*(1-EXP((Tnet-t)/(Tau_j))))*Salcycl</f>
        <v>0.11588665595636773</v>
      </c>
      <c r="P69" s="169">
        <f>(INDEX(Models!$BJ69:$BT69,,T69)*(1-R69)+INDEX(Models!$BJ69:$BT69,,T69+1)*R69-ERP_i)*Q69*Ramure*Pc/MaxiM</f>
        <v>3.2853003663540332E-2</v>
      </c>
      <c r="Q69" s="305">
        <f t="shared" si="4"/>
        <v>0.8</v>
      </c>
      <c r="R69" s="177">
        <f t="shared" si="5"/>
        <v>6.1255219235607505E-3</v>
      </c>
      <c r="S69" s="809">
        <f t="shared" si="6"/>
        <v>3</v>
      </c>
      <c r="T69" s="176">
        <f t="shared" si="7"/>
        <v>9</v>
      </c>
      <c r="U69" s="251">
        <f t="shared" si="8"/>
        <v>3.0061255219235608</v>
      </c>
      <c r="V69" s="383">
        <f t="shared" si="9"/>
        <v>26.316372481455613</v>
      </c>
      <c r="W69" s="402">
        <f t="shared" si="10"/>
        <v>13.856758406642484</v>
      </c>
      <c r="X69" s="157">
        <f t="shared" si="11"/>
        <v>46442</v>
      </c>
      <c r="Y69" s="385">
        <f t="shared" si="12"/>
        <v>13.136703166284738</v>
      </c>
      <c r="Z69" s="385">
        <f t="shared" si="22"/>
        <v>14.457232247404143</v>
      </c>
      <c r="AA69" s="386">
        <f t="shared" si="13"/>
        <v>17.14724752128765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0.15687738049759628</v>
      </c>
      <c r="AD69" s="231">
        <f>(INDEX(Models!$BJ69:$BT69,,AH69)*(1-AF69)+INDEX(Models!$BJ69:$BT69,,AH69+1)*AF69-ERP_i)*AE69*Ramure*Pc/MaxiM</f>
        <v>5.0806451825050822E-2</v>
      </c>
      <c r="AE69" s="305">
        <f t="shared" si="15"/>
        <v>0.8</v>
      </c>
      <c r="AF69" s="177">
        <f t="shared" si="23"/>
        <v>0.20684226908846437</v>
      </c>
      <c r="AG69" s="809">
        <f t="shared" si="24"/>
        <v>4</v>
      </c>
      <c r="AH69" s="176">
        <f t="shared" si="16"/>
        <v>10</v>
      </c>
      <c r="AI69" s="225">
        <f t="shared" si="17"/>
        <v>4.2068422690884644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IF(t&gt;Tmaj,'2026'!Wh/'2026'!Env_an*'2027'!Env_an,0.001*'[4]mon-tableau'!$B$152)</f>
        <v>24.753097627953746</v>
      </c>
      <c r="C70" s="839"/>
      <c r="D70" s="393">
        <f t="shared" si="0"/>
        <v>27.24197984556822</v>
      </c>
      <c r="E70" s="385">
        <f t="shared" si="1"/>
        <v>30.815937887348323</v>
      </c>
      <c r="F70" s="385">
        <f t="shared" si="2"/>
        <v>31.757697651209451</v>
      </c>
      <c r="G70" s="110">
        <f t="shared" si="21"/>
        <v>0.92638648568788029</v>
      </c>
      <c r="H70" s="414" t="b">
        <f>Wh_hp&gt;='2026'!Maxi_hp</f>
        <v>0</v>
      </c>
      <c r="I70" s="390">
        <f>IF(H70,Wh_hp,'2026'!Maxi_hp)</f>
        <v>34.047177423693249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9.1362016700829912E-2</v>
      </c>
      <c r="M70" s="843"/>
      <c r="N70" s="843"/>
      <c r="O70" s="48">
        <f>IF(t&lt;Tnet,'2026'!Resal+('2026'!Salim-'2026'!Resal)*(1-EXP(('2026'!Tnet-t)/('2026'!Tau_j))),Resal+(Salim-Resal)*(1-EXP((Tnet-t)/(Tau_j))))*Salcycl</f>
        <v>0.1159775845487868</v>
      </c>
      <c r="P70" s="169">
        <f>(INDEX(Models!$BJ70:$BT70,,T70)*(1-R70)+INDEX(Models!$BJ70:$BT70,,T70+1)*R70-ERP_i)*Q70*Ramure*Pc/MaxiM</f>
        <v>3.297226176028397E-2</v>
      </c>
      <c r="Q70" s="305">
        <f t="shared" si="4"/>
        <v>0.8</v>
      </c>
      <c r="R70" s="177">
        <f t="shared" si="5"/>
        <v>6.4406536741237197E-3</v>
      </c>
      <c r="S70" s="809">
        <f t="shared" si="6"/>
        <v>3</v>
      </c>
      <c r="T70" s="176">
        <f t="shared" si="7"/>
        <v>9</v>
      </c>
      <c r="U70" s="251">
        <f t="shared" si="8"/>
        <v>3.0064406536741237</v>
      </c>
      <c r="V70" s="383">
        <f t="shared" si="9"/>
        <v>26.628695717019948</v>
      </c>
      <c r="W70" s="402">
        <f t="shared" si="10"/>
        <v>24.753097627953746</v>
      </c>
      <c r="X70" s="157">
        <f t="shared" si="11"/>
        <v>46443</v>
      </c>
      <c r="Y70" s="385">
        <f t="shared" si="12"/>
        <v>23.225273200778027</v>
      </c>
      <c r="Z70" s="385">
        <f t="shared" si="22"/>
        <v>25.560535249087291</v>
      </c>
      <c r="AA70" s="386">
        <f t="shared" si="13"/>
        <v>30.317747963223653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0.15691181020130526</v>
      </c>
      <c r="AD70" s="231">
        <f>(INDEX(Models!$BJ70:$BT70,,AH70)*(1-AF70)+INDEX(Models!$BJ70:$BT70,,AH70+1)*AF70-ERP_i)*AE70*Ramure*Pc/MaxiM</f>
        <v>5.0414553536721418E-2</v>
      </c>
      <c r="AE70" s="305">
        <f t="shared" si="15"/>
        <v>0.8</v>
      </c>
      <c r="AF70" s="177">
        <f t="shared" si="23"/>
        <v>0.20715740083902734</v>
      </c>
      <c r="AG70" s="809">
        <f t="shared" si="24"/>
        <v>4</v>
      </c>
      <c r="AH70" s="176">
        <f t="shared" si="16"/>
        <v>10</v>
      </c>
      <c r="AI70" s="225">
        <f t="shared" si="17"/>
        <v>4.2071574008390273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IF(t&gt;Tmaj,'2026'!Wh/'2026'!Env_an*'2027'!Env_an,0.001*'[4]mon-tableau'!$B$153)</f>
        <v>27.786240216321364</v>
      </c>
      <c r="C71" s="839"/>
      <c r="D71" s="393">
        <f t="shared" si="0"/>
        <v>30.580828000581331</v>
      </c>
      <c r="E71" s="385">
        <f t="shared" si="1"/>
        <v>34.596371921510809</v>
      </c>
      <c r="F71" s="385">
        <f t="shared" si="2"/>
        <v>35.782081482153082</v>
      </c>
      <c r="G71" s="110">
        <f t="shared" si="21"/>
        <v>1.0312908970846852</v>
      </c>
      <c r="H71" s="414" t="b">
        <f>Wh_hp&gt;='2026'!Maxi_hp</f>
        <v>1</v>
      </c>
      <c r="I71" s="390">
        <f>IF(H71,Wh_hp,'2026'!Maxi_hp)</f>
        <v>35.782081482153082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9.1383653320532804E-2</v>
      </c>
      <c r="M71" s="843"/>
      <c r="N71" s="843"/>
      <c r="O71" s="48">
        <f>IF(t&lt;Tnet,'2026'!Resal+('2026'!Salim-'2026'!Resal)*(1-EXP(('2026'!Tnet-t)/('2026'!Tau_j))),Resal+(Salim-Resal)*(1-EXP((Tnet-t)/(Tau_j))))*Salcycl</f>
        <v>0.1160683533533398</v>
      </c>
      <c r="P71" s="169">
        <f>(INDEX(Models!$BJ71:$BT71,,T71)*(1-R71)+INDEX(Models!$BJ71:$BT71,,T71+1)*R71-ERP_i)*Q71*Ramure*Pc/MaxiM</f>
        <v>3.3136964411465575E-2</v>
      </c>
      <c r="Q71" s="305">
        <f t="shared" si="4"/>
        <v>0.8</v>
      </c>
      <c r="R71" s="177">
        <f t="shared" si="5"/>
        <v>6.7686499808021772E-3</v>
      </c>
      <c r="S71" s="809">
        <f t="shared" si="6"/>
        <v>3</v>
      </c>
      <c r="T71" s="176">
        <f t="shared" si="7"/>
        <v>9</v>
      </c>
      <c r="U71" s="251">
        <f t="shared" si="8"/>
        <v>3.0067686499808022</v>
      </c>
      <c r="V71" s="383">
        <f t="shared" si="9"/>
        <v>26.943164430975948</v>
      </c>
      <c r="W71" s="402">
        <f t="shared" si="10"/>
        <v>27.786240216321364</v>
      </c>
      <c r="X71" s="157">
        <f t="shared" si="11"/>
        <v>46444</v>
      </c>
      <c r="Y71" s="385">
        <f t="shared" si="12"/>
        <v>26.037904304203231</v>
      </c>
      <c r="Z71" s="385">
        <f t="shared" si="22"/>
        <v>28.656654042554472</v>
      </c>
      <c r="AA71" s="386">
        <f t="shared" si="13"/>
        <v>33.991486854946118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0.15694614463784107</v>
      </c>
      <c r="AD71" s="231">
        <f>(INDEX(Models!$BJ71:$BT71,,AH71)*(1-AF71)+INDEX(Models!$BJ71:$BT71,,AH71+1)*AF71-ERP_i)*AE71*Ramure*Pc/MaxiM</f>
        <v>5.0041656411186013E-2</v>
      </c>
      <c r="AE71" s="305">
        <f t="shared" si="15"/>
        <v>0.8</v>
      </c>
      <c r="AF71" s="177">
        <f t="shared" si="23"/>
        <v>0.2074853971457058</v>
      </c>
      <c r="AG71" s="809">
        <f t="shared" si="24"/>
        <v>4</v>
      </c>
      <c r="AH71" s="176">
        <f t="shared" si="16"/>
        <v>10</v>
      </c>
      <c r="AI71" s="225">
        <f t="shared" si="17"/>
        <v>4.2074853971457058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IF(t&gt;Tmaj,'2026'!Wh/'2026'!Env_an*'2027'!Env_an,0.001*'[4]mon-tableau'!$B$154)</f>
        <v>22.67496484082579</v>
      </c>
      <c r="C72" s="839"/>
      <c r="D72" s="393">
        <f t="shared" si="0"/>
        <v>24.956082813610625</v>
      </c>
      <c r="E72" s="385">
        <f t="shared" si="1"/>
        <v>28.23594049395993</v>
      </c>
      <c r="F72" s="385">
        <f t="shared" si="2"/>
        <v>28.970370492165035</v>
      </c>
      <c r="G72" s="110">
        <f t="shared" si="21"/>
        <v>0.82499801396007011</v>
      </c>
      <c r="H72" s="414" t="b">
        <f>Wh_hp&gt;='2026'!Maxi_hp</f>
        <v>0</v>
      </c>
      <c r="I72" s="390">
        <f>IF(H72,Wh_hp,'2026'!Maxi_hp)</f>
        <v>35.119765108958404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9.1405289436720022E-2</v>
      </c>
      <c r="M72" s="843"/>
      <c r="N72" s="843"/>
      <c r="O72" s="48">
        <f>IF(t&lt;Tnet,'2026'!Resal+('2026'!Salim-'2026'!Resal)*(1-EXP(('2026'!Tnet-t)/('2026'!Tau_j))),Resal+(Salim-Resal)*(1-EXP((Tnet-t)/(Tau_j))))*Salcycl</f>
        <v>0.11615896701053439</v>
      </c>
      <c r="P72" s="169">
        <f>(INDEX(Models!$BJ72:$BT72,,T72)*(1-R72)+INDEX(Models!$BJ72:$BT72,,T72+1)*R72-ERP_i)*Q72*Ramure*Pc/MaxiM</f>
        <v>3.336676072512882E-2</v>
      </c>
      <c r="Q72" s="305">
        <f t="shared" si="4"/>
        <v>0.8</v>
      </c>
      <c r="R72" s="177">
        <f t="shared" si="5"/>
        <v>7.1100206945744482E-3</v>
      </c>
      <c r="S72" s="809">
        <f t="shared" si="6"/>
        <v>3</v>
      </c>
      <c r="T72" s="176">
        <f t="shared" si="7"/>
        <v>9</v>
      </c>
      <c r="U72" s="251">
        <f t="shared" si="8"/>
        <v>3.0071100206945744</v>
      </c>
      <c r="V72" s="383">
        <f t="shared" si="9"/>
        <v>27.258831531744061</v>
      </c>
      <c r="W72" s="402">
        <f t="shared" si="10"/>
        <v>22.67496484082579</v>
      </c>
      <c r="X72" s="157">
        <f t="shared" si="11"/>
        <v>46445</v>
      </c>
      <c r="Y72" s="385">
        <f t="shared" si="12"/>
        <v>21.351659638221768</v>
      </c>
      <c r="Z72" s="385">
        <f t="shared" si="22"/>
        <v>23.499652144117022</v>
      </c>
      <c r="AA72" s="386">
        <f t="shared" si="13"/>
        <v>27.875569993060196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0.1569803899985753</v>
      </c>
      <c r="AD72" s="231">
        <f>(INDEX(Models!$BJ72:$BT72,,AH72)*(1-AF72)+INDEX(Models!$BJ72:$BT72,,AH72+1)*AF72-ERP_i)*AE72*Ramure*Pc/MaxiM</f>
        <v>4.9739180568140473E-2</v>
      </c>
      <c r="AE72" s="305">
        <f t="shared" si="15"/>
        <v>0.8</v>
      </c>
      <c r="AF72" s="177">
        <f t="shared" si="23"/>
        <v>0.20782676785947807</v>
      </c>
      <c r="AG72" s="809">
        <f t="shared" si="24"/>
        <v>4</v>
      </c>
      <c r="AH72" s="176">
        <f t="shared" si="16"/>
        <v>10</v>
      </c>
      <c r="AI72" s="225">
        <f t="shared" si="17"/>
        <v>4.2078267678594781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IF(t&gt;Tmaj,'2026'!Wh/'2026'!Env_an*'2027'!Env_an,0.001*'[4]mon-tableau'!$B$155)</f>
        <v>22.844337489410719</v>
      </c>
      <c r="C73" s="839"/>
      <c r="D73" s="393">
        <f t="shared" si="0"/>
        <v>25.143093185600804</v>
      </c>
      <c r="E73" s="385">
        <f t="shared" si="1"/>
        <v>28.45044077629473</v>
      </c>
      <c r="F73" s="385">
        <f t="shared" si="2"/>
        <v>29.191710823854486</v>
      </c>
      <c r="G73" s="110">
        <f t="shared" si="21"/>
        <v>0.82140689151266821</v>
      </c>
      <c r="H73" s="414" t="b">
        <f>Wh_hp&gt;='2026'!Maxi_hp</f>
        <v>0</v>
      </c>
      <c r="I73" s="390">
        <f>IF(H73,Wh_hp,'2026'!Maxi_hp)</f>
        <v>30.515146112920245</v>
      </c>
      <c r="J73" s="85">
        <f>IF(H73,An,'2026'!An_max)</f>
        <v>2021</v>
      </c>
      <c r="K73" s="197">
        <f t="shared" si="3"/>
        <v>46446</v>
      </c>
      <c r="L73" s="147">
        <f>IF(t&lt;Tvie,1-EXP((T0-t)*PertePVj)+'2026'!Pspv,1-EXP((T0-t)*PertePVj)+Pspv)</f>
        <v>9.1426925049403224E-2</v>
      </c>
      <c r="M73" s="843"/>
      <c r="N73" s="843"/>
      <c r="O73" s="48">
        <f>IF(t&lt;Tnet,'2026'!Resal+('2026'!Salim-'2026'!Resal)*(1-EXP(('2026'!Tnet-t)/('2026'!Tau_j))),Resal+(Salim-Resal)*(1-EXP((Tnet-t)/(Tau_j))))*Salcycl</f>
        <v>0.11624943236203389</v>
      </c>
      <c r="P73" s="169">
        <f>(INDEX(Models!$BJ73:$BT73,,T73)*(1-R73)+INDEX(Models!$BJ73:$BT73,,T73+1)*R73-ERP_i)*Q73*Ramure*Pc/MaxiM</f>
        <v>3.3638708591902898E-2</v>
      </c>
      <c r="Q73" s="305">
        <f t="shared" si="4"/>
        <v>0.8</v>
      </c>
      <c r="R73" s="177">
        <f t="shared" si="5"/>
        <v>7.4652945816797711E-3</v>
      </c>
      <c r="S73" s="809">
        <f t="shared" si="6"/>
        <v>3</v>
      </c>
      <c r="T73" s="176">
        <f t="shared" si="7"/>
        <v>9</v>
      </c>
      <c r="U73" s="251">
        <f t="shared" si="8"/>
        <v>3.0074652945816798</v>
      </c>
      <c r="V73" s="383">
        <f t="shared" si="9"/>
        <v>27.575938374802195</v>
      </c>
      <c r="W73" s="402">
        <f t="shared" si="10"/>
        <v>22.844337489410719</v>
      </c>
      <c r="X73" s="157">
        <f t="shared" si="11"/>
        <v>46446</v>
      </c>
      <c r="Y73" s="385">
        <f t="shared" si="12"/>
        <v>21.522743529078191</v>
      </c>
      <c r="Z73" s="385">
        <f t="shared" si="22"/>
        <v>23.688511273843854</v>
      </c>
      <c r="AA73" s="386">
        <f t="shared" si="13"/>
        <v>28.100735815245116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0.15701455543408072</v>
      </c>
      <c r="AD73" s="231">
        <f>(INDEX(Models!$BJ73:$BT73,,AH73)*(1-AF73)+INDEX(Models!$BJ73:$BT73,,AH73+1)*AF73-ERP_i)*AE73*Ramure*Pc/MaxiM</f>
        <v>4.950826020351376E-2</v>
      </c>
      <c r="AE73" s="305">
        <f t="shared" si="15"/>
        <v>0.8</v>
      </c>
      <c r="AF73" s="177">
        <f t="shared" si="23"/>
        <v>0.20818204174658295</v>
      </c>
      <c r="AG73" s="809">
        <f t="shared" si="24"/>
        <v>4</v>
      </c>
      <c r="AH73" s="176">
        <f t="shared" si="16"/>
        <v>10</v>
      </c>
      <c r="AI73" s="225">
        <f t="shared" si="17"/>
        <v>4.2081820417465829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IF(t&gt;Tmaj,'2026'!Wh/'2026'!Env_an*'2027'!Env_an,0.001*'[5]mon-tableau'!$B$140)</f>
        <v>28.005720718300068</v>
      </c>
      <c r="C74" s="839"/>
      <c r="D74" s="393">
        <f t="shared" si="0"/>
        <v>30.824584597200865</v>
      </c>
      <c r="E74" s="385">
        <f t="shared" si="1"/>
        <v>34.882846539874862</v>
      </c>
      <c r="F74" s="385">
        <f t="shared" si="2"/>
        <v>36.108802524436257</v>
      </c>
      <c r="G74" s="110">
        <f t="shared" si="21"/>
        <v>1.0040006644989006</v>
      </c>
      <c r="H74" s="414" t="b">
        <f>Wh_hp&gt;='2026'!Maxi_hp</f>
        <v>1</v>
      </c>
      <c r="I74" s="390">
        <f>IF(H74,Wh_hp,'2026'!Maxi_hp)</f>
        <v>36.108802524436257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9.1448560158594067E-2</v>
      </c>
      <c r="M74" s="843"/>
      <c r="N74" s="843"/>
      <c r="O74" s="48">
        <f>IF(t&lt;Tnet,'2026'!Resal+('2026'!Salim-'2026'!Resal)*(1-EXP(('2026'!Tnet-t)/('2026'!Tau_j))),Resal+(Salim-Resal)*(1-EXP((Tnet-t)/(Tau_j))))*Salcycl</f>
        <v>0.11633975851239563</v>
      </c>
      <c r="P74" s="169">
        <f>(INDEX(Models!$BJ74:$BT74,,T74)*(1-R74)+INDEX(Models!$BJ74:$BT74,,T74+1)*R74-ERP_i)*Q74*Ramure*Pc/MaxiM</f>
        <v>3.3951720878357634E-2</v>
      </c>
      <c r="Q74" s="305">
        <f t="shared" si="4"/>
        <v>0.8</v>
      </c>
      <c r="R74" s="177">
        <f t="shared" si="5"/>
        <v>7.8350199157499745E-3</v>
      </c>
      <c r="S74" s="809">
        <f t="shared" si="6"/>
        <v>3</v>
      </c>
      <c r="T74" s="176">
        <f t="shared" si="7"/>
        <v>9</v>
      </c>
      <c r="U74" s="251">
        <f t="shared" si="8"/>
        <v>3.00783501991575</v>
      </c>
      <c r="V74" s="383">
        <f t="shared" si="9"/>
        <v>27.894125679964365</v>
      </c>
      <c r="W74" s="402">
        <f t="shared" si="10"/>
        <v>28.005720718300068</v>
      </c>
      <c r="X74" s="157">
        <f t="shared" si="11"/>
        <v>46447</v>
      </c>
      <c r="Y74" s="385">
        <f t="shared" si="12"/>
        <v>26.28978849351266</v>
      </c>
      <c r="Z74" s="385">
        <f t="shared" si="22"/>
        <v>28.935938396731533</v>
      </c>
      <c r="AA74" s="386">
        <f t="shared" si="13"/>
        <v>34.326937733891015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0.15704865312925786</v>
      </c>
      <c r="AD74" s="231">
        <f>(INDEX(Models!$BJ74:$BT74,,AH74)*(1-AF74)+INDEX(Models!$BJ74:$BT74,,AH74+1)*AF74-ERP_i)*AE74*Ramure*Pc/MaxiM</f>
        <v>4.9347102810717261E-2</v>
      </c>
      <c r="AE74" s="305">
        <f t="shared" si="15"/>
        <v>0.8</v>
      </c>
      <c r="AF74" s="177">
        <f t="shared" si="23"/>
        <v>0.20855176708065404</v>
      </c>
      <c r="AG74" s="809">
        <f t="shared" si="24"/>
        <v>4</v>
      </c>
      <c r="AH74" s="176">
        <f t="shared" si="16"/>
        <v>10</v>
      </c>
      <c r="AI74" s="225">
        <f t="shared" si="17"/>
        <v>4.208551767080654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IF(t&gt;Tmaj,'2026'!Wh/'2026'!Env_an*'2027'!Env_an,0.001*'[5]mon-tableau'!$B$141)</f>
        <v>8.0559618343751733</v>
      </c>
      <c r="C75" s="839"/>
      <c r="D75" s="393">
        <f t="shared" si="0"/>
        <v>8.8670308755421079</v>
      </c>
      <c r="E75" s="385">
        <f t="shared" si="1"/>
        <v>10.03545892545379</v>
      </c>
      <c r="F75" s="385">
        <f t="shared" si="2"/>
        <v>10.03545892545379</v>
      </c>
      <c r="G75" s="110">
        <f t="shared" si="21"/>
        <v>0.27574503252957999</v>
      </c>
      <c r="H75" s="414" t="b">
        <f>Wh_hp&gt;='2026'!Maxi_hp</f>
        <v>0</v>
      </c>
      <c r="I75" s="390">
        <f>IF(H75,Wh_hp,'2026'!Maxi_hp)</f>
        <v>24.299923659656329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9.1470194764304208E-2</v>
      </c>
      <c r="M75" s="843"/>
      <c r="N75" s="843"/>
      <c r="O75" s="48">
        <f>IF(t&lt;Tnet,'2026'!Resal+('2026'!Salim-'2026'!Resal)*(1-EXP(('2026'!Tnet-t)/('2026'!Tau_j))),Resal+(Salim-Resal)*(1-EXP((Tnet-t)/(Tau_j))))*Salcycl</f>
        <v>0.11642995687502629</v>
      </c>
      <c r="P75" s="169">
        <f>(INDEX(Models!$BJ75:$BT75,,T75)*(1-R75)+INDEX(Models!$BJ75:$BT75,,T75+1)*R75-ERP_i)*Q75*Ramure*Pc/MaxiM</f>
        <v>3.4304765267030891E-2</v>
      </c>
      <c r="Q75" s="305">
        <f t="shared" si="4"/>
        <v>0.8</v>
      </c>
      <c r="R75" s="177">
        <f t="shared" si="5"/>
        <v>8.2197650788637944E-3</v>
      </c>
      <c r="S75" s="809">
        <f t="shared" si="6"/>
        <v>3</v>
      </c>
      <c r="T75" s="176">
        <f t="shared" si="7"/>
        <v>9</v>
      </c>
      <c r="U75" s="251">
        <f t="shared" si="8"/>
        <v>3.0082197650788638</v>
      </c>
      <c r="V75" s="383">
        <f t="shared" si="9"/>
        <v>28.213033914988959</v>
      </c>
      <c r="W75" s="402">
        <f t="shared" si="10"/>
        <v>8.0559618343751733</v>
      </c>
      <c r="X75" s="157">
        <f t="shared" si="11"/>
        <v>46448</v>
      </c>
      <c r="Y75" s="385">
        <f t="shared" si="12"/>
        <v>7.6853099133538221</v>
      </c>
      <c r="Z75" s="385">
        <f t="shared" si="22"/>
        <v>8.4590619581930575</v>
      </c>
      <c r="AA75" s="386">
        <f t="shared" si="13"/>
        <v>10.03545892545379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0.15708269835696129</v>
      </c>
      <c r="AD75" s="231">
        <f>(INDEX(Models!$BJ75:$BT75,,AH75)*(1-AF75)+INDEX(Models!$BJ75:$BT75,,AH75+1)*AF75-ERP_i)*AE75*Ramure*Pc/MaxiM</f>
        <v>4.9253964707595722E-2</v>
      </c>
      <c r="AE75" s="305">
        <f t="shared" si="15"/>
        <v>0.8</v>
      </c>
      <c r="AF75" s="177">
        <f t="shared" si="23"/>
        <v>0.20893651224376786</v>
      </c>
      <c r="AG75" s="809">
        <f t="shared" si="24"/>
        <v>4</v>
      </c>
      <c r="AH75" s="176">
        <f t="shared" si="16"/>
        <v>10</v>
      </c>
      <c r="AI75" s="225">
        <f t="shared" si="17"/>
        <v>4.2089365122437679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IF(t&gt;Tmaj,'2026'!Wh/'2026'!Env_an*'2027'!Env_an,0.001*'[5]mon-tableau'!$B$142)</f>
        <v>27.25704558600756</v>
      </c>
      <c r="C76" s="839"/>
      <c r="D76" s="393">
        <f t="shared" si="0"/>
        <v>30.001981767540606</v>
      </c>
      <c r="E76" s="385">
        <f t="shared" si="1"/>
        <v>33.958870791326454</v>
      </c>
      <c r="F76" s="385">
        <f t="shared" si="2"/>
        <v>35.098935541343813</v>
      </c>
      <c r="G76" s="110">
        <f t="shared" si="21"/>
        <v>0.95311733762263862</v>
      </c>
      <c r="H76" s="414" t="b">
        <f>Wh_hp&gt;='2026'!Maxi_hp</f>
        <v>0</v>
      </c>
      <c r="I76" s="390">
        <f>IF(H76,Wh_hp,'2026'!Maxi_hp)</f>
        <v>35.179291593929499</v>
      </c>
      <c r="J76" s="85">
        <f>IF(H76,An,'2026'!An_max)</f>
        <v>2022</v>
      </c>
      <c r="K76" s="197">
        <f t="shared" si="3"/>
        <v>46449</v>
      </c>
      <c r="L76" s="147">
        <f>IF(t&lt;Tvie,1-EXP((T0-t)*PertePVj)+'2026'!Pspv,1-EXP((T0-t)*PertePVj)+Pspv)</f>
        <v>9.1491828866545638E-2</v>
      </c>
      <c r="M76" s="843"/>
      <c r="N76" s="843"/>
      <c r="O76" s="48">
        <f>IF(t&lt;Tnet,'2026'!Resal+('2026'!Salim-'2026'!Resal)*(1-EXP(('2026'!Tnet-t)/('2026'!Tau_j))),Resal+(Salim-Resal)*(1-EXP((Tnet-t)/(Tau_j))))*Salcycl</f>
        <v>0.11652004120220893</v>
      </c>
      <c r="P76" s="169">
        <f>(INDEX(Models!$BJ76:$BT76,,T76)*(1-R76)+INDEX(Models!$BJ76:$BT76,,T76+1)*R76-ERP_i)*Q76*Ramure*Pc/MaxiM</f>
        <v>3.4696868360217577E-2</v>
      </c>
      <c r="Q76" s="305">
        <f t="shared" si="4"/>
        <v>0.8</v>
      </c>
      <c r="R76" s="177">
        <f t="shared" si="5"/>
        <v>8.6201191706933855E-3</v>
      </c>
      <c r="S76" s="809">
        <f t="shared" si="6"/>
        <v>3</v>
      </c>
      <c r="T76" s="176">
        <f t="shared" si="7"/>
        <v>9</v>
      </c>
      <c r="U76" s="251">
        <f t="shared" si="8"/>
        <v>3.0086201191706934</v>
      </c>
      <c r="V76" s="383">
        <f t="shared" si="9"/>
        <v>28.532303245631933</v>
      </c>
      <c r="W76" s="402">
        <f t="shared" si="10"/>
        <v>27.25704558600756</v>
      </c>
      <c r="X76" s="157">
        <f t="shared" si="11"/>
        <v>46449</v>
      </c>
      <c r="Y76" s="385">
        <f t="shared" si="12"/>
        <v>25.638957699484106</v>
      </c>
      <c r="Z76" s="385">
        <f t="shared" si="22"/>
        <v>28.220943425854887</v>
      </c>
      <c r="AA76" s="386">
        <f t="shared" si="13"/>
        <v>33.481436569289961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0.15711670951001355</v>
      </c>
      <c r="AD76" s="231">
        <f>(INDEX(Models!$BJ76:$BT76,,AH76)*(1-AF76)+INDEX(Models!$BJ76:$BT76,,AH76+1)*AF76-ERP_i)*AE76*Ramure*Pc/MaxiM</f>
        <v>4.9227159163797739E-2</v>
      </c>
      <c r="AE76" s="305">
        <f t="shared" si="15"/>
        <v>0.8</v>
      </c>
      <c r="AF76" s="177">
        <f t="shared" si="23"/>
        <v>0.20933686633559745</v>
      </c>
      <c r="AG76" s="809">
        <f t="shared" si="24"/>
        <v>4</v>
      </c>
      <c r="AH76" s="176">
        <f t="shared" si="16"/>
        <v>10</v>
      </c>
      <c r="AI76" s="225">
        <f t="shared" si="17"/>
        <v>4.2093368663355974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IF(t&gt;Tmaj,'2026'!Wh/'2026'!Env_an*'2027'!Env_an,0.001*'[5]mon-tableau'!$B$143)</f>
        <v>3.6364451764022196</v>
      </c>
      <c r="C77" s="839"/>
      <c r="D77" s="393">
        <f t="shared" si="0"/>
        <v>4.0027507576175205</v>
      </c>
      <c r="E77" s="385">
        <f t="shared" si="1"/>
        <v>4.5311254176219435</v>
      </c>
      <c r="F77" s="385">
        <f t="shared" si="2"/>
        <v>4.5311254176219435</v>
      </c>
      <c r="G77" s="110">
        <f t="shared" si="21"/>
        <v>0.12161233894098449</v>
      </c>
      <c r="H77" s="414" t="b">
        <f>Wh_hp&gt;='2026'!Maxi_hp</f>
        <v>0</v>
      </c>
      <c r="I77" s="390">
        <f>IF(H77,Wh_hp,'2026'!Maxi_hp)</f>
        <v>28.821969075833852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9.1513462465329792E-2</v>
      </c>
      <c r="M77" s="843"/>
      <c r="N77" s="843"/>
      <c r="O77" s="48">
        <f>IF(t&lt;Tnet,'2026'!Resal+('2026'!Salim-'2026'!Resal)*(1-EXP(('2026'!Tnet-t)/('2026'!Tau_j))),Resal+(Salim-Resal)*(1-EXP((Tnet-t)/(Tau_j))))*Salcycl</f>
        <v>0.11661002759922019</v>
      </c>
      <c r="P77" s="169">
        <f>(INDEX(Models!$BJ77:$BT77,,T77)*(1-R77)+INDEX(Models!$BJ77:$BT77,,T77+1)*R77-ERP_i)*Q77*Ramure*Pc/MaxiM</f>
        <v>3.5127119344415973E-2</v>
      </c>
      <c r="Q77" s="305">
        <f t="shared" si="4"/>
        <v>0.8</v>
      </c>
      <c r="R77" s="177">
        <f t="shared" si="5"/>
        <v>9.0366926248113266E-3</v>
      </c>
      <c r="S77" s="809">
        <f t="shared" si="6"/>
        <v>3</v>
      </c>
      <c r="T77" s="176">
        <f t="shared" si="7"/>
        <v>9</v>
      </c>
      <c r="U77" s="251">
        <f t="shared" si="8"/>
        <v>3.0090366926248113</v>
      </c>
      <c r="V77" s="383">
        <f t="shared" si="9"/>
        <v>28.851573477293311</v>
      </c>
      <c r="W77" s="402">
        <f t="shared" si="10"/>
        <v>3.6364451764022196</v>
      </c>
      <c r="X77" s="157">
        <f t="shared" si="11"/>
        <v>46450</v>
      </c>
      <c r="Y77" s="385">
        <f t="shared" si="12"/>
        <v>3.469560825545166</v>
      </c>
      <c r="Z77" s="385">
        <f t="shared" si="22"/>
        <v>3.8190558496996534</v>
      </c>
      <c r="AA77" s="386">
        <f t="shared" si="13"/>
        <v>4.5311254176219435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0.15715070811171747</v>
      </c>
      <c r="AD77" s="231">
        <f>(INDEX(Models!$BJ77:$BT77,,AH77)*(1-AF77)+INDEX(Models!$BJ77:$BT77,,AH77+1)*AF77-ERP_i)*AE77*Ramure*Pc/MaxiM</f>
        <v>4.9265063677347801E-2</v>
      </c>
      <c r="AE77" s="305">
        <f t="shared" si="15"/>
        <v>0.8</v>
      </c>
      <c r="AF77" s="177">
        <f t="shared" si="23"/>
        <v>0.20975343978971495</v>
      </c>
      <c r="AG77" s="809">
        <f t="shared" si="24"/>
        <v>4</v>
      </c>
      <c r="AH77" s="176">
        <f t="shared" si="16"/>
        <v>10</v>
      </c>
      <c r="AI77" s="225">
        <f t="shared" si="17"/>
        <v>4.2097534397897149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IF(t&gt;Tmaj,'2026'!Wh/'2026'!Env_an*'2027'!Env_an,0.001*'[5]mon-tableau'!$B$144)</f>
        <v>11.668307471531296</v>
      </c>
      <c r="C78" s="839"/>
      <c r="D78" s="393">
        <f t="shared" si="0"/>
        <v>12.843982650857066</v>
      </c>
      <c r="E78" s="385">
        <f t="shared" si="1"/>
        <v>14.540905353512974</v>
      </c>
      <c r="F78" s="385">
        <f t="shared" si="2"/>
        <v>14.615225996558285</v>
      </c>
      <c r="G78" s="110">
        <f t="shared" si="21"/>
        <v>0.38773759992879825</v>
      </c>
      <c r="H78" s="414" t="b">
        <f>Wh_hp&gt;='2026'!Maxi_hp</f>
        <v>0</v>
      </c>
      <c r="I78" s="390">
        <f>IF(H78,Wh_hp,'2026'!Maxi_hp)</f>
        <v>37.277702445333496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9.153509556066855E-2</v>
      </c>
      <c r="M78" s="843"/>
      <c r="N78" s="843"/>
      <c r="O78" s="48">
        <f>IF(t&lt;Tnet,'2026'!Resal+('2026'!Salim-'2026'!Resal)*(1-EXP(('2026'!Tnet-t)/('2026'!Tau_j))),Resal+(Salim-Resal)*(1-EXP((Tnet-t)/(Tau_j))))*Salcycl</f>
        <v>0.11669993452271148</v>
      </c>
      <c r="P78" s="169">
        <f>(INDEX(Models!$BJ78:$BT78,,T78)*(1-R78)+INDEX(Models!$BJ78:$BT78,,T78+1)*R78-ERP_i)*Q78*Ramure*Pc/MaxiM</f>
        <v>3.5594673246549455E-2</v>
      </c>
      <c r="Q78" s="305">
        <f t="shared" si="4"/>
        <v>0.8</v>
      </c>
      <c r="R78" s="177">
        <f t="shared" si="5"/>
        <v>9.470117831086089E-3</v>
      </c>
      <c r="S78" s="809">
        <f t="shared" si="6"/>
        <v>3</v>
      </c>
      <c r="T78" s="176">
        <f t="shared" si="7"/>
        <v>9</v>
      </c>
      <c r="U78" s="251">
        <f t="shared" si="8"/>
        <v>3.0094701178310861</v>
      </c>
      <c r="V78" s="383">
        <f t="shared" si="9"/>
        <v>29.170484003043335</v>
      </c>
      <c r="W78" s="402">
        <f t="shared" si="10"/>
        <v>11.668307471531296</v>
      </c>
      <c r="X78" s="157">
        <f t="shared" si="11"/>
        <v>46451</v>
      </c>
      <c r="Y78" s="385">
        <f t="shared" si="12"/>
        <v>11.11149110856039</v>
      </c>
      <c r="Z78" s="385">
        <f t="shared" si="22"/>
        <v>12.231062591700184</v>
      </c>
      <c r="AA78" s="386">
        <f t="shared" si="13"/>
        <v>14.512150959532725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0.15718471880518456</v>
      </c>
      <c r="AD78" s="231">
        <f>(INDEX(Models!$BJ78:$BT78,,AH78)*(1-AF78)+INDEX(Models!$BJ78:$BT78,,AH78+1)*AF78-ERP_i)*AE78*Ramure*Pc/MaxiM</f>
        <v>4.9366126455121444E-2</v>
      </c>
      <c r="AE78" s="305">
        <f t="shared" si="15"/>
        <v>0.8</v>
      </c>
      <c r="AF78" s="177">
        <f t="shared" si="23"/>
        <v>0.21018686499598971</v>
      </c>
      <c r="AG78" s="809">
        <f t="shared" si="24"/>
        <v>4</v>
      </c>
      <c r="AH78" s="176">
        <f t="shared" si="16"/>
        <v>10</v>
      </c>
      <c r="AI78" s="225">
        <f t="shared" si="17"/>
        <v>4.2101868649959897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IF(t&gt;Tmaj,'2026'!Wh/'2026'!Env_an*'2027'!Env_an,0.001*'[5]mon-tableau'!$B$145)</f>
        <v>13.447903035696054</v>
      </c>
      <c r="C79" s="839"/>
      <c r="D79" s="393">
        <f t="shared" ref="D79:D142" si="25">Wh/(1-Ppv)</f>
        <v>14.803239181185369</v>
      </c>
      <c r="E79" s="385">
        <f t="shared" si="1"/>
        <v>16.760720032776156</v>
      </c>
      <c r="F79" s="385">
        <f t="shared" ref="F79:F142" si="26">Wh_sa/(1-Pvg*MEDIAN((-Sdif+Wh/Env_an)/Csdif,0,1))</f>
        <v>16.896639121773227</v>
      </c>
      <c r="G79" s="110">
        <f t="shared" si="21"/>
        <v>0.44310326145031548</v>
      </c>
      <c r="H79" s="414" t="b">
        <f>Wh_hp&gt;='2026'!Maxi_hp</f>
        <v>0</v>
      </c>
      <c r="I79" s="390">
        <f>IF(H79,Wh_hp,'2026'!Maxi_hp)</f>
        <v>22.684826096802258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9.1556728152573569E-2</v>
      </c>
      <c r="M79" s="843"/>
      <c r="N79" s="843"/>
      <c r="O79" s="48">
        <f>IF(t&lt;Tnet,'2026'!Resal+('2026'!Salim-'2026'!Resal)*(1-EXP(('2026'!Tnet-t)/('2026'!Tau_j))),Resal+(Salim-Resal)*(1-EXP((Tnet-t)/(Tau_j))))*Salcycl</f>
        <v>0.11678978276368017</v>
      </c>
      <c r="P79" s="169">
        <f>(INDEX(Models!$BJ79:$BT79,,T79)*(1-R79)+INDEX(Models!$BJ79:$BT79,,T79+1)*R79-ERP_i)*Q79*Ramure*Pc/MaxiM</f>
        <v>3.6095879629398392E-2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9.9210497629638184E-3</v>
      </c>
      <c r="S79" s="809">
        <f t="shared" ref="S79:S142" si="30">INDEX(Echel_vg,T79)</f>
        <v>3</v>
      </c>
      <c r="T79" s="176">
        <f t="shared" ref="T79:T142" si="31">MIN(MATCH(Hp_vg,Echel_vg),10)</f>
        <v>9</v>
      </c>
      <c r="U79" s="251">
        <f t="shared" ref="U79:U142" si="32">IF(OR(t&lt;Ttai,Notai),Hdd+PousH*Croivg,Hdtf+PousH*(Croivg-Croi_tai))</f>
        <v>3.0099210497629638</v>
      </c>
      <c r="V79" s="383">
        <f t="shared" ref="V79:V142" si="33">MaxiM*(1-Ppv)*(1-Pvg)*(1-Psa)</f>
        <v>29.491109782764813</v>
      </c>
      <c r="W79" s="402">
        <f t="shared" ref="W79:W142" si="34">Wh*(A79&gt;Tmaj)</f>
        <v>13.447903035696054</v>
      </c>
      <c r="X79" s="157">
        <f t="shared" ref="X79:X142" si="35">t</f>
        <v>46452</v>
      </c>
      <c r="Y79" s="385">
        <f t="shared" ref="Y79:Y142" si="36">Wh_pvt_s*(1-Ppv)</f>
        <v>12.793609549738163</v>
      </c>
      <c r="Z79" s="385">
        <f t="shared" ref="Z79:Z142" si="37">Wh_sa_s*(1-Psa_s)</f>
        <v>14.083003249857143</v>
      </c>
      <c r="AA79" s="386">
        <f t="shared" ref="AA79:AA142" si="38">Wh_hp*(1-Pvg_s*MEDIAN((-Sdif+Wh/Env_an)/Csdif,0,1))</f>
        <v>16.710152928450558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0.15721876932200027</v>
      </c>
      <c r="AD79" s="231">
        <f>(INDEX(Models!$BJ79:$BT79,,AH79)*(1-AF79)+INDEX(Models!$BJ79:$BT79,,AH79+1)*AF79-ERP_i)*AE79*Ramure*Pc/MaxiM</f>
        <v>4.9524928664470017E-2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0.21063779692786788</v>
      </c>
      <c r="AG79" s="809">
        <f t="shared" si="24"/>
        <v>4</v>
      </c>
      <c r="AH79" s="176">
        <f t="shared" ref="AH79:AH142" si="42">MIN(MATCH(Hp_vg_s,Echel_vg),10)</f>
        <v>10</v>
      </c>
      <c r="AI79" s="225">
        <f t="shared" ref="AI79:AI142" si="43">IF(OR(t&lt;Ttai,Notai),Hdd_s+PousH*Croivg,Hdtai_s+PousH*(Croivg-Croi_tai))</f>
        <v>4.2106377969278679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IF(t&gt;Tmaj,'2026'!Wh/'2026'!Env_an*'2027'!Env_an,0.001*'[5]mon-tableau'!$B$146)</f>
        <v>28.600290137293953</v>
      </c>
      <c r="C80" s="839"/>
      <c r="D80" s="393">
        <f t="shared" si="25"/>
        <v>31.483497184064504</v>
      </c>
      <c r="E80" s="385">
        <f t="shared" ref="E80:E143" si="47">Wh_pvt/(1-Psa)</f>
        <v>35.65028847779493</v>
      </c>
      <c r="F80" s="385">
        <f t="shared" si="26"/>
        <v>36.924044399507679</v>
      </c>
      <c r="G80" s="110">
        <f t="shared" ref="G80:G143" si="48">+Wh_hp/MaxiM</f>
        <v>0.95713226870823898</v>
      </c>
      <c r="H80" s="414" t="b">
        <f>Wh_hp&gt;='2026'!Maxi_hp</f>
        <v>0</v>
      </c>
      <c r="I80" s="390">
        <f>IF(H80,Wh_hp,'2026'!Maxi_hp)</f>
        <v>37.005534165316867</v>
      </c>
      <c r="J80" s="85">
        <f>IF(H80,An,'2026'!An_max)</f>
        <v>2022</v>
      </c>
      <c r="K80" s="197">
        <f t="shared" si="27"/>
        <v>46453</v>
      </c>
      <c r="L80" s="147">
        <f>IF(t&lt;Tvie,1-EXP((T0-t)*PertePVj)+'2026'!Pspv,1-EXP((T0-t)*PertePVj)+Pspv)</f>
        <v>9.1578360241056617E-2</v>
      </c>
      <c r="M80" s="843"/>
      <c r="N80" s="843"/>
      <c r="O80" s="48">
        <f>IF(t&lt;Tnet,'2026'!Resal+('2026'!Salim-'2026'!Resal)*(1-EXP(('2026'!Tnet-t)/('2026'!Tau_j))),Resal+(Salim-Resal)*(1-EXP((Tnet-t)/(Tau_j))))*Salcycl</f>
        <v>0.11687959541549707</v>
      </c>
      <c r="P80" s="169">
        <f>(INDEX(Models!$BJ80:$BT80,,T80)*(1-R80)+INDEX(Models!$BJ80:$BT80,,T80+1)*R80-ERP_i)*Q80*Ramure*Pc/MaxiM</f>
        <v>3.6628940773467282E-2</v>
      </c>
      <c r="Q80" s="305">
        <f t="shared" si="28"/>
        <v>0.8</v>
      </c>
      <c r="R80" s="177">
        <f t="shared" si="29"/>
        <v>1.03901666082864E-2</v>
      </c>
      <c r="S80" s="809">
        <f t="shared" si="30"/>
        <v>3</v>
      </c>
      <c r="T80" s="176">
        <f t="shared" si="31"/>
        <v>9</v>
      </c>
      <c r="U80" s="251">
        <f t="shared" si="32"/>
        <v>3.0103901666082864</v>
      </c>
      <c r="V80" s="383">
        <f t="shared" si="33"/>
        <v>29.815238802763702</v>
      </c>
      <c r="W80" s="402">
        <f t="shared" si="34"/>
        <v>28.600290137293953</v>
      </c>
      <c r="X80" s="157">
        <f t="shared" si="35"/>
        <v>46453</v>
      </c>
      <c r="Y80" s="385">
        <f t="shared" si="36"/>
        <v>26.942857083916937</v>
      </c>
      <c r="Z80" s="385">
        <f t="shared" si="37"/>
        <v>29.658977620861641</v>
      </c>
      <c r="AA80" s="386">
        <f t="shared" si="38"/>
        <v>35.193211918611681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0.15725289043093271</v>
      </c>
      <c r="AD80" s="231">
        <f>(INDEX(Models!$BJ80:$BT80,,AH80)*(1-AF80)+INDEX(Models!$BJ80:$BT80,,AH80+1)*AF80-ERP_i)*AE80*Ramure*Pc/MaxiM</f>
        <v>4.9772926940574502E-2</v>
      </c>
      <c r="AE80" s="305">
        <f t="shared" si="40"/>
        <v>0.8</v>
      </c>
      <c r="AF80" s="177">
        <f t="shared" si="41"/>
        <v>0.21110691377319046</v>
      </c>
      <c r="AG80" s="809">
        <f t="shared" ref="AG80:AG143" si="49">INDEX(Echel_vg,AH80)</f>
        <v>4</v>
      </c>
      <c r="AH80" s="176">
        <f t="shared" si="42"/>
        <v>10</v>
      </c>
      <c r="AI80" s="225">
        <f t="shared" si="43"/>
        <v>4.2111069137731905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IF(t&gt;Tmaj,'2026'!Wh/'2026'!Env_an*'2027'!Env_an,0.001*'[5]mon-tableau'!$B$147)</f>
        <v>22.113631512237582</v>
      </c>
      <c r="C81" s="839"/>
      <c r="D81" s="393">
        <f t="shared" si="25"/>
        <v>24.343495501163581</v>
      </c>
      <c r="E81" s="385">
        <f t="shared" si="47"/>
        <v>27.568122148059533</v>
      </c>
      <c r="F81" s="385">
        <f t="shared" si="26"/>
        <v>28.217778720041558</v>
      </c>
      <c r="G81" s="110">
        <f t="shared" si="48"/>
        <v>0.72300362277313823</v>
      </c>
      <c r="H81" s="414" t="b">
        <f>Wh_hp&gt;='2026'!Maxi_hp</f>
        <v>0</v>
      </c>
      <c r="I81" s="390">
        <f>IF(H81,Wh_hp,'2026'!Maxi_hp)</f>
        <v>28.631009499082833</v>
      </c>
      <c r="J81" s="85">
        <f>IF(H81,An,'2026'!An_max)</f>
        <v>2022</v>
      </c>
      <c r="K81" s="197">
        <f t="shared" si="27"/>
        <v>46454</v>
      </c>
      <c r="L81" s="147">
        <f>IF(t&lt;Tvie,1-EXP((T0-t)*PertePVj)+'2026'!Pspv,1-EXP((T0-t)*PertePVj)+Pspv)</f>
        <v>9.159999182612924E-2</v>
      </c>
      <c r="M81" s="843"/>
      <c r="N81" s="843"/>
      <c r="O81" s="48">
        <f>IF(t&lt;Tnet,'2026'!Resal+('2026'!Salim-'2026'!Resal)*(1-EXP(('2026'!Tnet-t)/('2026'!Tau_j))),Resal+(Salim-Resal)*(1-EXP((Tnet-t)/(Tau_j))))*Salcycl</f>
        <v>0.11696939782758933</v>
      </c>
      <c r="P81" s="169">
        <f>(INDEX(Models!$BJ81:$BT81,,T81)*(1-R81)+INDEX(Models!$BJ81:$BT81,,T81+1)*R81-ERP_i)*Q81*Ramure*Pc/MaxiM</f>
        <v>3.7166008984037428E-2</v>
      </c>
      <c r="Q81" s="305">
        <f t="shared" si="28"/>
        <v>0.8</v>
      </c>
      <c r="R81" s="177">
        <f t="shared" si="29"/>
        <v>1.0878170402138565E-2</v>
      </c>
      <c r="S81" s="809">
        <f t="shared" si="30"/>
        <v>3</v>
      </c>
      <c r="T81" s="176">
        <f t="shared" si="31"/>
        <v>9</v>
      </c>
      <c r="U81" s="251">
        <f t="shared" si="32"/>
        <v>3.0108781704021386</v>
      </c>
      <c r="V81" s="383">
        <f t="shared" si="33"/>
        <v>30.143012107050453</v>
      </c>
      <c r="W81" s="402">
        <f t="shared" si="34"/>
        <v>22.113631512237582</v>
      </c>
      <c r="X81" s="157">
        <f t="shared" si="35"/>
        <v>46454</v>
      </c>
      <c r="Y81" s="385">
        <f t="shared" si="36"/>
        <v>20.931005001584065</v>
      </c>
      <c r="Z81" s="385">
        <f t="shared" si="37"/>
        <v>23.04161692343116</v>
      </c>
      <c r="AA81" s="386">
        <f t="shared" si="38"/>
        <v>27.34219134094803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0.15728711586756655</v>
      </c>
      <c r="AD81" s="231">
        <f>(INDEX(Models!$BJ81:$BT81,,AH81)*(1-AF81)+INDEX(Models!$BJ81:$BT81,,AH81+1)*AF81-ERP_i)*AE81*Ramure*Pc/MaxiM</f>
        <v>5.009121711555662E-2</v>
      </c>
      <c r="AE81" s="305">
        <f t="shared" si="40"/>
        <v>0.8</v>
      </c>
      <c r="AF81" s="177">
        <f t="shared" si="41"/>
        <v>0.21159491756704263</v>
      </c>
      <c r="AG81" s="809">
        <f t="shared" si="49"/>
        <v>4</v>
      </c>
      <c r="AH81" s="176">
        <f t="shared" si="42"/>
        <v>10</v>
      </c>
      <c r="AI81" s="225">
        <f t="shared" si="43"/>
        <v>4.2115949175670426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IF(t&gt;Tmaj,'2026'!Wh/'2026'!Env_an*'2027'!Env_an,0.001*'[5]mon-tableau'!$B$148)</f>
        <v>23.067164451761109</v>
      </c>
      <c r="C82" s="839"/>
      <c r="D82" s="393">
        <f t="shared" si="25"/>
        <v>25.393784169104993</v>
      </c>
      <c r="E82" s="385">
        <f t="shared" si="47"/>
        <v>28.760461260507654</v>
      </c>
      <c r="F82" s="385">
        <f t="shared" si="26"/>
        <v>29.486273980852747</v>
      </c>
      <c r="G82" s="110">
        <f t="shared" si="48"/>
        <v>0.74679247551924099</v>
      </c>
      <c r="H82" s="414" t="b">
        <f>Wh_hp&gt;='2026'!Maxi_hp</f>
        <v>0</v>
      </c>
      <c r="I82" s="390">
        <f>IF(H82,Wh_hp,'2026'!Maxi_hp)</f>
        <v>38.36219098507231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9.1621622907803429E-2</v>
      </c>
      <c r="M82" s="843"/>
      <c r="N82" s="843"/>
      <c r="O82" s="48">
        <f>IF(t&lt;Tnet,'2026'!Resal+('2026'!Salim-'2026'!Resal)*(1-EXP(('2026'!Tnet-t)/('2026'!Tau_j))),Resal+(Salim-Resal)*(1-EXP((Tnet-t)/(Tau_j))))*Salcycl</f>
        <v>0.11705921754549897</v>
      </c>
      <c r="P82" s="169">
        <f>(INDEX(Models!$BJ82:$BT82,,T82)*(1-R82)+INDEX(Models!$BJ82:$BT82,,T82+1)*R82-ERP_i)*Q82*Ramure*Pc/MaxiM</f>
        <v>3.7707798743931674E-2</v>
      </c>
      <c r="Q82" s="305">
        <f t="shared" si="28"/>
        <v>0.8</v>
      </c>
      <c r="R82" s="177">
        <f t="shared" si="29"/>
        <v>1.1385787660043167E-2</v>
      </c>
      <c r="S82" s="809">
        <f t="shared" si="30"/>
        <v>3</v>
      </c>
      <c r="T82" s="176">
        <f t="shared" si="31"/>
        <v>9</v>
      </c>
      <c r="U82" s="251">
        <f t="shared" si="32"/>
        <v>3.0113857876600432</v>
      </c>
      <c r="V82" s="383">
        <f t="shared" si="33"/>
        <v>30.473707460554319</v>
      </c>
      <c r="W82" s="402">
        <f t="shared" si="34"/>
        <v>23.067164451761109</v>
      </c>
      <c r="X82" s="157">
        <f t="shared" si="35"/>
        <v>46455</v>
      </c>
      <c r="Y82" s="385">
        <f t="shared" si="36"/>
        <v>21.827130656716967</v>
      </c>
      <c r="Z82" s="385">
        <f t="shared" si="37"/>
        <v>24.028677043797142</v>
      </c>
      <c r="AA82" s="386">
        <f t="shared" si="38"/>
        <v>28.514642936238896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0.15732148224590239</v>
      </c>
      <c r="AD82" s="231">
        <f>(INDEX(Models!$BJ82:$BT82,,AH82)*(1-AF82)+INDEX(Models!$BJ82:$BT82,,AH82+1)*AF82-ERP_i)*AE82*Ramure*Pc/MaxiM</f>
        <v>5.0478679770499524E-2</v>
      </c>
      <c r="AE82" s="305">
        <f t="shared" si="40"/>
        <v>0.8</v>
      </c>
      <c r="AF82" s="177">
        <f t="shared" si="41"/>
        <v>0.21210253482494679</v>
      </c>
      <c r="AG82" s="809">
        <f t="shared" si="49"/>
        <v>4</v>
      </c>
      <c r="AH82" s="176">
        <f t="shared" si="42"/>
        <v>10</v>
      </c>
      <c r="AI82" s="225">
        <f t="shared" si="43"/>
        <v>4.2121025348249468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IF(t&gt;Tmaj,'2026'!Wh/'2026'!Env_an*'2027'!Env_an,0.001*'[5]mon-tableau'!$B$149)</f>
        <v>18.286794267092933</v>
      </c>
      <c r="C83" s="839"/>
      <c r="D83" s="393">
        <f t="shared" si="25"/>
        <v>20.131731654192006</v>
      </c>
      <c r="E83" s="385">
        <f t="shared" si="47"/>
        <v>22.803093132456389</v>
      </c>
      <c r="F83" s="385">
        <f t="shared" si="26"/>
        <v>23.174941050884399</v>
      </c>
      <c r="G83" s="110">
        <f t="shared" si="48"/>
        <v>0.58020112482313779</v>
      </c>
      <c r="H83" s="414" t="b">
        <f>Wh_hp&gt;='2026'!Maxi_hp</f>
        <v>0</v>
      </c>
      <c r="I83" s="390">
        <f>IF(H83,Wh_hp,'2026'!Maxi_hp)</f>
        <v>38.414933458593104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9.164325348609062E-2</v>
      </c>
      <c r="M83" s="843"/>
      <c r="N83" s="843"/>
      <c r="O83" s="48">
        <f>IF(t&lt;Tnet,'2026'!Resal+('2026'!Salim-'2026'!Resal)*(1-EXP(('2026'!Tnet-t)/('2026'!Tau_j))),Resal+(Salim-Resal)*(1-EXP((Tnet-t)/(Tau_j))))*Salcycl</f>
        <v>0.1171490842381443</v>
      </c>
      <c r="P83" s="169">
        <f>(INDEX(Models!$BJ83:$BT83,,T83)*(1-R83)+INDEX(Models!$BJ83:$BT83,,T83+1)*R83-ERP_i)*Q83*Ramure*Pc/MaxiM</f>
        <v>3.825506377990813E-2</v>
      </c>
      <c r="Q83" s="305">
        <f t="shared" si="28"/>
        <v>0.8</v>
      </c>
      <c r="R83" s="177">
        <f t="shared" si="29"/>
        <v>1.1913770009646996E-2</v>
      </c>
      <c r="S83" s="809">
        <f t="shared" si="30"/>
        <v>3</v>
      </c>
      <c r="T83" s="176">
        <f t="shared" si="31"/>
        <v>9</v>
      </c>
      <c r="U83" s="251">
        <f t="shared" si="32"/>
        <v>3.011913770009647</v>
      </c>
      <c r="V83" s="383">
        <f t="shared" si="33"/>
        <v>30.806602010962315</v>
      </c>
      <c r="W83" s="402">
        <f t="shared" si="34"/>
        <v>18.286794267092933</v>
      </c>
      <c r="X83" s="157">
        <f t="shared" si="35"/>
        <v>46456</v>
      </c>
      <c r="Y83" s="385">
        <f t="shared" si="36"/>
        <v>17.359639882050065</v>
      </c>
      <c r="Z83" s="385">
        <f t="shared" si="37"/>
        <v>19.11103753968127</v>
      </c>
      <c r="AA83" s="386">
        <f t="shared" si="38"/>
        <v>22.679848425115683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0.15735602895309958</v>
      </c>
      <c r="AD83" s="231">
        <f>(INDEX(Models!$BJ83:$BT83,,AH83)*(1-AF83)+INDEX(Models!$BJ83:$BT83,,AH83+1)*AF83-ERP_i)*AE83*Ramure*Pc/MaxiM</f>
        <v>5.0934263813583958E-2</v>
      </c>
      <c r="AE83" s="305">
        <f t="shared" si="40"/>
        <v>0.8</v>
      </c>
      <c r="AF83" s="177">
        <f t="shared" si="41"/>
        <v>0.21263051717455106</v>
      </c>
      <c r="AG83" s="809">
        <f t="shared" si="49"/>
        <v>4</v>
      </c>
      <c r="AH83" s="176">
        <f t="shared" si="42"/>
        <v>10</v>
      </c>
      <c r="AI83" s="225">
        <f t="shared" si="43"/>
        <v>4.2126305171745511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IF(t&gt;Tmaj,'2026'!Wh/'2026'!Env_an*'2027'!Env_an,0.001*'[5]mon-tableau'!$B$150)</f>
        <v>11.919267774863989</v>
      </c>
      <c r="C84" s="839"/>
      <c r="D84" s="393">
        <f t="shared" si="25"/>
        <v>13.122103901027009</v>
      </c>
      <c r="E84" s="385">
        <f t="shared" si="47"/>
        <v>14.864843758642174</v>
      </c>
      <c r="F84" s="385">
        <f t="shared" si="26"/>
        <v>14.933355582863301</v>
      </c>
      <c r="G84" s="110">
        <f t="shared" si="48"/>
        <v>0.36959351698134318</v>
      </c>
      <c r="H84" s="414" t="b">
        <f>Wh_hp&gt;='2026'!Maxi_hp</f>
        <v>0</v>
      </c>
      <c r="I84" s="390">
        <f>IF(H84,Wh_hp,'2026'!Maxi_hp)</f>
        <v>32.677588662609999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9.1664883561002691E-2</v>
      </c>
      <c r="M84" s="843"/>
      <c r="N84" s="843"/>
      <c r="O84" s="48">
        <f>IF(t&lt;Tnet,'2026'!Resal+('2026'!Salim-'2026'!Resal)*(1-EXP(('2026'!Tnet-t)/('2026'!Tau_j))),Resal+(Salim-Resal)*(1-EXP((Tnet-t)/(Tau_j))))*Salcycl</f>
        <v>0.1172390296132083</v>
      </c>
      <c r="P84" s="169">
        <f>(INDEX(Models!$BJ84:$BT84,,T84)*(1-R84)+INDEX(Models!$BJ84:$BT84,,T84+1)*R84-ERP_i)*Q84*Ramure*Pc/MaxiM</f>
        <v>3.8808596863757823E-2</v>
      </c>
      <c r="Q84" s="305">
        <f t="shared" si="28"/>
        <v>0.8</v>
      </c>
      <c r="R84" s="177">
        <f t="shared" si="29"/>
        <v>1.2462894818844994E-2</v>
      </c>
      <c r="S84" s="809">
        <f t="shared" si="30"/>
        <v>3</v>
      </c>
      <c r="T84" s="176">
        <f t="shared" si="31"/>
        <v>9</v>
      </c>
      <c r="U84" s="251">
        <f t="shared" si="32"/>
        <v>3.012462894818845</v>
      </c>
      <c r="V84" s="383">
        <f t="shared" si="33"/>
        <v>31.140972236674191</v>
      </c>
      <c r="W84" s="402">
        <f t="shared" si="34"/>
        <v>11.919267774863989</v>
      </c>
      <c r="X84" s="157">
        <f t="shared" si="35"/>
        <v>46457</v>
      </c>
      <c r="Y84" s="385">
        <f t="shared" si="36"/>
        <v>11.360038033204017</v>
      </c>
      <c r="Z84" s="385">
        <f t="shared" si="37"/>
        <v>12.506439338973792</v>
      </c>
      <c r="AA84" s="386">
        <f t="shared" si="38"/>
        <v>14.842514548516958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0.15739079802866585</v>
      </c>
      <c r="AD84" s="231">
        <f>(INDEX(Models!$BJ84:$BT84,,AH84)*(1-AF84)+INDEX(Models!$BJ84:$BT84,,AH84+1)*AF84-ERP_i)*AE84*Ramure*Pc/MaxiM</f>
        <v>5.1457002068072653E-2</v>
      </c>
      <c r="AE84" s="305">
        <f t="shared" si="40"/>
        <v>0.8</v>
      </c>
      <c r="AF84" s="177">
        <f t="shared" si="41"/>
        <v>0.21317964198374817</v>
      </c>
      <c r="AG84" s="809">
        <f t="shared" si="49"/>
        <v>4</v>
      </c>
      <c r="AH84" s="176">
        <f t="shared" si="42"/>
        <v>10</v>
      </c>
      <c r="AI84" s="225">
        <f t="shared" si="43"/>
        <v>4.2131796419837482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IF(t&gt;Tmaj,'2026'!Wh/'2026'!Env_an*'2027'!Env_an,0.001*'[5]mon-tableau'!$B$151)</f>
        <v>12.504794864778258</v>
      </c>
      <c r="C85" s="839"/>
      <c r="D85" s="393">
        <f t="shared" si="25"/>
        <v>13.767047440751144</v>
      </c>
      <c r="E85" s="385">
        <f t="shared" si="47"/>
        <v>15.597033099206751</v>
      </c>
      <c r="F85" s="385">
        <f t="shared" si="26"/>
        <v>15.682836226615233</v>
      </c>
      <c r="G85" s="110">
        <f t="shared" si="48"/>
        <v>0.38373803425533592</v>
      </c>
      <c r="H85" s="414" t="b">
        <f>Wh_hp&gt;='2026'!Maxi_hp</f>
        <v>0</v>
      </c>
      <c r="I85" s="390">
        <f>IF(H85,Wh_hp,'2026'!Maxi_hp)</f>
        <v>39.534128612030948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9.1686513132551301E-2</v>
      </c>
      <c r="M85" s="843"/>
      <c r="N85" s="843"/>
      <c r="O85" s="48">
        <f>IF(t&lt;Tnet,'2026'!Resal+('2026'!Salim-'2026'!Resal)*(1-EXP(('2026'!Tnet-t)/('2026'!Tau_j))),Resal+(Salim-Resal)*(1-EXP((Tnet-t)/(Tau_j))))*Salcycl</f>
        <v>0.11732908732165723</v>
      </c>
      <c r="P85" s="169">
        <f>(INDEX(Models!$BJ85:$BT85,,T85)*(1-R85)+INDEX(Models!$BJ85:$BT85,,T85+1)*R85-ERP_i)*Q85*Ramure*Pc/MaxiM</f>
        <v>3.9369229899513122E-2</v>
      </c>
      <c r="Q85" s="305">
        <f t="shared" si="28"/>
        <v>0.8</v>
      </c>
      <c r="R85" s="177">
        <f t="shared" si="29"/>
        <v>1.3033965818071369E-2</v>
      </c>
      <c r="S85" s="809">
        <f t="shared" si="30"/>
        <v>3</v>
      </c>
      <c r="T85" s="176">
        <f t="shared" si="31"/>
        <v>9</v>
      </c>
      <c r="U85" s="251">
        <f t="shared" si="32"/>
        <v>3.0130339658180714</v>
      </c>
      <c r="V85" s="383">
        <f t="shared" si="33"/>
        <v>31.476093892266881</v>
      </c>
      <c r="W85" s="402">
        <f t="shared" si="34"/>
        <v>12.504794864778258</v>
      </c>
      <c r="X85" s="157">
        <f t="shared" si="35"/>
        <v>46458</v>
      </c>
      <c r="Y85" s="385">
        <f t="shared" si="36"/>
        <v>11.915599828406476</v>
      </c>
      <c r="Z85" s="385">
        <f t="shared" si="37"/>
        <v>13.118378181854888</v>
      </c>
      <c r="AA85" s="386">
        <f t="shared" si="38"/>
        <v>15.569404702486615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0.15742583402949697</v>
      </c>
      <c r="AD85" s="231">
        <f>(INDEX(Models!$BJ85:$BT85,,AH85)*(1-AF85)+INDEX(Models!$BJ85:$BT85,,AH85+1)*AF85-ERP_i)*AE85*Ramure*Pc/MaxiM</f>
        <v>5.2046025432287708E-2</v>
      </c>
      <c r="AE85" s="305">
        <f t="shared" si="40"/>
        <v>0.8</v>
      </c>
      <c r="AF85" s="177">
        <f t="shared" si="41"/>
        <v>0.21375071298297499</v>
      </c>
      <c r="AG85" s="809">
        <f t="shared" si="49"/>
        <v>4</v>
      </c>
      <c r="AH85" s="176">
        <f t="shared" si="42"/>
        <v>10</v>
      </c>
      <c r="AI85" s="225">
        <f t="shared" si="43"/>
        <v>4.213750712982975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IF(t&gt;Tmaj,'2026'!Wh/'2026'!Env_an*'2027'!Env_an,0.001*'[5]mon-tableau'!$B$152)</f>
        <v>9.0065228199538261</v>
      </c>
      <c r="C86" s="839"/>
      <c r="D86" s="393">
        <f t="shared" si="25"/>
        <v>9.9158907377813605</v>
      </c>
      <c r="E86" s="385">
        <f t="shared" si="47"/>
        <v>11.235109330487234</v>
      </c>
      <c r="F86" s="385">
        <f t="shared" si="26"/>
        <v>11.235109330487234</v>
      </c>
      <c r="G86" s="110">
        <f t="shared" si="48"/>
        <v>0.27181654258789273</v>
      </c>
      <c r="H86" s="414" t="b">
        <f>Wh_hp&gt;='2026'!Maxi_hp</f>
        <v>0</v>
      </c>
      <c r="I86" s="390">
        <f>IF(H86,Wh_hp,'2026'!Maxi_hp)</f>
        <v>38.291818478565958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9.1708142200748216E-2</v>
      </c>
      <c r="M86" s="843"/>
      <c r="N86" s="843"/>
      <c r="O86" s="48">
        <f>IF(t&lt;Tnet,'2026'!Resal+('2026'!Salim-'2026'!Resal)*(1-EXP(('2026'!Tnet-t)/('2026'!Tau_j))),Resal+(Salim-Resal)*(1-EXP((Tnet-t)/(Tau_j))))*Salcycl</f>
        <v>0.11741929285245886</v>
      </c>
      <c r="P86" s="169">
        <f>(INDEX(Models!$BJ86:$BT86,,T86)*(1-R86)+INDEX(Models!$BJ86:$BT86,,T86+1)*R86-ERP_i)*Q86*Ramure*Pc/MaxiM</f>
        <v>3.9901950787036872E-2</v>
      </c>
      <c r="Q86" s="305">
        <f t="shared" si="28"/>
        <v>0.8</v>
      </c>
      <c r="R86" s="177">
        <f t="shared" si="29"/>
        <v>1.362781371428623E-2</v>
      </c>
      <c r="S86" s="809">
        <f t="shared" si="30"/>
        <v>3</v>
      </c>
      <c r="T86" s="176">
        <f t="shared" si="31"/>
        <v>9</v>
      </c>
      <c r="U86" s="251">
        <f t="shared" si="32"/>
        <v>3.0136278137142862</v>
      </c>
      <c r="V86" s="383">
        <f t="shared" si="33"/>
        <v>31.812430940746083</v>
      </c>
      <c r="W86" s="402">
        <f t="shared" si="34"/>
        <v>9.0065228199538261</v>
      </c>
      <c r="X86" s="157">
        <f t="shared" si="35"/>
        <v>46459</v>
      </c>
      <c r="Y86" s="385">
        <f t="shared" si="36"/>
        <v>8.5979049990641112</v>
      </c>
      <c r="Z86" s="385">
        <f t="shared" si="37"/>
        <v>9.4660157142621841</v>
      </c>
      <c r="AA86" s="386">
        <f t="shared" si="38"/>
        <v>11.235109330487234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0.15746118388225155</v>
      </c>
      <c r="AD86" s="231">
        <f>(INDEX(Models!$BJ86:$BT86,,AH86)*(1-AF86)+INDEX(Models!$BJ86:$BT86,,AH86+1)*AF86-ERP_i)*AE86*Ramure*Pc/MaxiM</f>
        <v>5.269354279969711E-2</v>
      </c>
      <c r="AE86" s="305">
        <f t="shared" si="40"/>
        <v>0.8</v>
      </c>
      <c r="AF86" s="177">
        <f t="shared" si="41"/>
        <v>0.21434456087918985</v>
      </c>
      <c r="AG86" s="809">
        <f t="shared" si="49"/>
        <v>4</v>
      </c>
      <c r="AH86" s="176">
        <f t="shared" si="42"/>
        <v>10</v>
      </c>
      <c r="AI86" s="225">
        <f t="shared" si="43"/>
        <v>4.2143445608791898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IF(t&gt;Tmaj,'2026'!Wh/'2026'!Env_an*'2027'!Env_an,0.001*'[5]mon-tableau'!$B$153)</f>
        <v>12.005395905914204</v>
      </c>
      <c r="C87" s="839"/>
      <c r="D87" s="393">
        <f t="shared" si="25"/>
        <v>13.21786789822878</v>
      </c>
      <c r="E87" s="385">
        <f t="shared" si="47"/>
        <v>14.977918340716311</v>
      </c>
      <c r="F87" s="385">
        <f t="shared" si="26"/>
        <v>15.041641459519475</v>
      </c>
      <c r="G87" s="110">
        <f t="shared" si="48"/>
        <v>0.35986163131412796</v>
      </c>
      <c r="H87" s="414" t="b">
        <f>Wh_hp&gt;='2026'!Maxi_hp</f>
        <v>0</v>
      </c>
      <c r="I87" s="390">
        <f>IF(H87,Wh_hp,'2026'!Maxi_hp)</f>
        <v>37.562812339887081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9.1729770765605095E-2</v>
      </c>
      <c r="M87" s="843"/>
      <c r="N87" s="843"/>
      <c r="O87" s="48">
        <f>IF(t&lt;Tnet,'2026'!Resal+('2026'!Salim-'2026'!Resal)*(1-EXP(('2026'!Tnet-t)/('2026'!Tau_j))),Resal+(Salim-Resal)*(1-EXP((Tnet-t)/(Tau_j))))*Salcycl</f>
        <v>0.11750968341862099</v>
      </c>
      <c r="P87" s="169">
        <f>(INDEX(Models!$BJ87:$BT87,,T87)*(1-R87)+INDEX(Models!$BJ87:$BT87,,T87+1)*R87-ERP_i)*Q87*Ramure*Pc/MaxiM</f>
        <v>4.0391110194108501E-2</v>
      </c>
      <c r="Q87" s="305">
        <f t="shared" si="28"/>
        <v>0.8</v>
      </c>
      <c r="R87" s="177">
        <f t="shared" si="29"/>
        <v>1.4245296793931495E-2</v>
      </c>
      <c r="S87" s="809">
        <f t="shared" si="30"/>
        <v>3</v>
      </c>
      <c r="T87" s="176">
        <f t="shared" si="31"/>
        <v>9</v>
      </c>
      <c r="U87" s="251">
        <f t="shared" si="32"/>
        <v>3.0142452967939315</v>
      </c>
      <c r="V87" s="383">
        <f t="shared" si="33"/>
        <v>32.149852047794127</v>
      </c>
      <c r="W87" s="402">
        <f t="shared" si="34"/>
        <v>12.005395905914204</v>
      </c>
      <c r="X87" s="157">
        <f t="shared" si="35"/>
        <v>46460</v>
      </c>
      <c r="Y87" s="385">
        <f t="shared" si="36"/>
        <v>11.445758413719135</v>
      </c>
      <c r="Z87" s="385">
        <f t="shared" si="37"/>
        <v>12.601710421982089</v>
      </c>
      <c r="AA87" s="386">
        <f t="shared" si="38"/>
        <v>14.957464694183949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0.15749689672460801</v>
      </c>
      <c r="AD87" s="231">
        <f>(INDEX(Models!$BJ87:$BT87,,AH87)*(1-AF87)+INDEX(Models!$BJ87:$BT87,,AH87+1)*AF87-ERP_i)*AE87*Ramure*Pc/MaxiM</f>
        <v>5.335572188412812E-2</v>
      </c>
      <c r="AE87" s="305">
        <f t="shared" si="40"/>
        <v>0.8</v>
      </c>
      <c r="AF87" s="177">
        <f t="shared" si="41"/>
        <v>0.21496204395883467</v>
      </c>
      <c r="AG87" s="809">
        <f t="shared" si="49"/>
        <v>4</v>
      </c>
      <c r="AH87" s="176">
        <f t="shared" si="42"/>
        <v>10</v>
      </c>
      <c r="AI87" s="225">
        <f t="shared" si="43"/>
        <v>4.2149620439588347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IF(t&gt;Tmaj,'2026'!Wh/'2026'!Env_an*'2027'!Env_an,0.001*'[5]mon-tableau'!$B$154)</f>
        <v>12.068325820717844</v>
      </c>
      <c r="C88" s="839"/>
      <c r="D88" s="393">
        <f t="shared" si="25"/>
        <v>13.287469757876222</v>
      </c>
      <c r="E88" s="385">
        <f t="shared" si="47"/>
        <v>15.058334363991214</v>
      </c>
      <c r="F88" s="385">
        <f t="shared" si="26"/>
        <v>15.121389898493508</v>
      </c>
      <c r="G88" s="110">
        <f t="shared" si="48"/>
        <v>0.35779569495685504</v>
      </c>
      <c r="H88" s="414" t="b">
        <f>Wh_hp&gt;='2026'!Maxi_hp</f>
        <v>0</v>
      </c>
      <c r="I88" s="390">
        <f>IF(H88,Wh_hp,'2026'!Maxi_hp)</f>
        <v>29.969159838266769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9.1751398827133707E-2</v>
      </c>
      <c r="M88" s="843"/>
      <c r="N88" s="843"/>
      <c r="O88" s="48">
        <f>IF(t&lt;Tnet,'2026'!Resal+('2026'!Salim-'2026'!Resal)*(1-EXP(('2026'!Tnet-t)/('2026'!Tau_j))),Resal+(Salim-Resal)*(1-EXP((Tnet-t)/(Tau_j))))*Salcycl</f>
        <v>0.11760029783570457</v>
      </c>
      <c r="P88" s="169">
        <f>(INDEX(Models!$BJ88:$BT88,,T88)*(1-R88)+INDEX(Models!$BJ88:$BT88,,T88+1)*R88-ERP_i)*Q88*Ramure*Pc/MaxiM</f>
        <v>4.083932854604827E-2</v>
      </c>
      <c r="Q88" s="305">
        <f t="shared" si="28"/>
        <v>0.8</v>
      </c>
      <c r="R88" s="177">
        <f t="shared" si="29"/>
        <v>1.4887301511889106E-2</v>
      </c>
      <c r="S88" s="809">
        <f t="shared" si="30"/>
        <v>3</v>
      </c>
      <c r="T88" s="176">
        <f t="shared" si="31"/>
        <v>9</v>
      </c>
      <c r="U88" s="251">
        <f t="shared" si="32"/>
        <v>3.0148873015118891</v>
      </c>
      <c r="V88" s="383">
        <f t="shared" si="33"/>
        <v>32.487631799558194</v>
      </c>
      <c r="W88" s="402">
        <f t="shared" si="34"/>
        <v>12.068325820717844</v>
      </c>
      <c r="X88" s="157">
        <f t="shared" si="35"/>
        <v>46461</v>
      </c>
      <c r="Y88" s="385">
        <f t="shared" si="36"/>
        <v>11.506589472904498</v>
      </c>
      <c r="Z88" s="385">
        <f t="shared" si="37"/>
        <v>12.668986726811877</v>
      </c>
      <c r="AA88" s="386">
        <f t="shared" si="38"/>
        <v>15.037962417243437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0.1575330237369891</v>
      </c>
      <c r="AD88" s="231">
        <f>(INDEX(Models!$BJ88:$BT88,,AH88)*(1-AF88)+INDEX(Models!$BJ88:$BT88,,AH88+1)*AF88-ERP_i)*AE88*Ramure*Pc/MaxiM</f>
        <v>5.4033675924466402E-2</v>
      </c>
      <c r="AE88" s="305">
        <f t="shared" si="40"/>
        <v>0.8</v>
      </c>
      <c r="AF88" s="177">
        <f t="shared" si="41"/>
        <v>0.21560404867679317</v>
      </c>
      <c r="AG88" s="809">
        <f t="shared" si="49"/>
        <v>4</v>
      </c>
      <c r="AH88" s="176">
        <f t="shared" si="42"/>
        <v>10</v>
      </c>
      <c r="AI88" s="225">
        <f t="shared" si="43"/>
        <v>4.2156040486767932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IF(t&gt;Tmaj,'2026'!Wh/'2026'!Env_an*'2027'!Env_an,0.001*'[5]mon-tableau'!$B$155)</f>
        <v>10.987548387815567</v>
      </c>
      <c r="C89" s="839"/>
      <c r="D89" s="393">
        <f t="shared" si="25"/>
        <v>12.097800117173575</v>
      </c>
      <c r="E89" s="385">
        <f t="shared" si="47"/>
        <v>13.711525707891727</v>
      </c>
      <c r="F89" s="385">
        <f t="shared" si="26"/>
        <v>13.73964507767983</v>
      </c>
      <c r="G89" s="110">
        <f t="shared" si="48"/>
        <v>0.32158143237116799</v>
      </c>
      <c r="H89" s="414" t="b">
        <f>Wh_hp&gt;='2026'!Maxi_hp</f>
        <v>0</v>
      </c>
      <c r="I89" s="390">
        <f>IF(H89,Wh_hp,'2026'!Maxi_hp)</f>
        <v>42.898084527524084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9.1773026385345707E-2</v>
      </c>
      <c r="M89" s="843"/>
      <c r="N89" s="843"/>
      <c r="O89" s="48">
        <f>IF(t&lt;Tnet,'2026'!Resal+('2026'!Salim-'2026'!Resal)*(1-EXP(('2026'!Tnet-t)/('2026'!Tau_j))),Resal+(Salim-Resal)*(1-EXP((Tnet-t)/(Tau_j))))*Salcycl</f>
        <v>0.11769117639398548</v>
      </c>
      <c r="P89" s="169">
        <f>(INDEX(Models!$BJ89:$BT89,,T89)*(1-R89)+INDEX(Models!$BJ89:$BT89,,T89+1)*R89-ERP_i)*Q89*Ramure*Pc/MaxiM</f>
        <v>4.1249169140182042E-2</v>
      </c>
      <c r="Q89" s="305">
        <f t="shared" si="28"/>
        <v>0.8</v>
      </c>
      <c r="R89" s="177">
        <f t="shared" si="29"/>
        <v>1.5554743063215692E-2</v>
      </c>
      <c r="S89" s="809">
        <f t="shared" si="30"/>
        <v>3</v>
      </c>
      <c r="T89" s="176">
        <f t="shared" si="31"/>
        <v>9</v>
      </c>
      <c r="U89" s="251">
        <f t="shared" si="32"/>
        <v>3.0155547430632157</v>
      </c>
      <c r="V89" s="383">
        <f t="shared" si="33"/>
        <v>32.825044280076348</v>
      </c>
      <c r="W89" s="402">
        <f t="shared" si="34"/>
        <v>10.987548387815567</v>
      </c>
      <c r="X89" s="157">
        <f t="shared" si="35"/>
        <v>46462</v>
      </c>
      <c r="Y89" s="385">
        <f t="shared" si="36"/>
        <v>10.483904525696182</v>
      </c>
      <c r="Z89" s="385">
        <f t="shared" si="37"/>
        <v>11.543264877909616</v>
      </c>
      <c r="AA89" s="386">
        <f t="shared" si="38"/>
        <v>13.702336862595077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0.15756961796635888</v>
      </c>
      <c r="AD89" s="231">
        <f>(INDEX(Models!$BJ89:$BT89,,AH89)*(1-AF89)+INDEX(Models!$BJ89:$BT89,,AH89+1)*AF89-ERP_i)*AE89*Ramure*Pc/MaxiM</f>
        <v>5.4728569165882937E-2</v>
      </c>
      <c r="AE89" s="305">
        <f t="shared" si="40"/>
        <v>0.8</v>
      </c>
      <c r="AF89" s="177">
        <f t="shared" si="41"/>
        <v>0.21627149022811931</v>
      </c>
      <c r="AG89" s="809">
        <f t="shared" si="49"/>
        <v>4</v>
      </c>
      <c r="AH89" s="176">
        <f t="shared" si="42"/>
        <v>10</v>
      </c>
      <c r="AI89" s="225">
        <f t="shared" si="43"/>
        <v>4.2162714902281193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IF(t&gt;Tmaj,'2026'!Wh/'2026'!Env_an*'2027'!Env_an,0.001*'[5]mon-tableau'!$B$156)</f>
        <v>9.0776139190453442</v>
      </c>
      <c r="C90" s="839"/>
      <c r="D90" s="393">
        <f t="shared" si="25"/>
        <v>9.9951117370438922</v>
      </c>
      <c r="E90" s="385">
        <f t="shared" si="47"/>
        <v>11.329530596625586</v>
      </c>
      <c r="F90" s="385">
        <f t="shared" si="26"/>
        <v>11.329530596625586</v>
      </c>
      <c r="G90" s="110">
        <f t="shared" si="48"/>
        <v>0.26234673047702367</v>
      </c>
      <c r="H90" s="414" t="b">
        <f>Wh_hp&gt;='2026'!Maxi_hp</f>
        <v>0</v>
      </c>
      <c r="I90" s="390">
        <f>IF(H90,Wh_hp,'2026'!Maxi_hp)</f>
        <v>25.162053403230466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9.1794653440252866E-2</v>
      </c>
      <c r="M90" s="843"/>
      <c r="N90" s="843"/>
      <c r="O90" s="48">
        <f>IF(t&lt;Tnet,'2026'!Resal+('2026'!Salim-'2026'!Resal)*(1-EXP(('2026'!Tnet-t)/('2026'!Tau_j))),Resal+(Salim-Resal)*(1-EXP((Tnet-t)/(Tau_j))))*Salcycl</f>
        <v>0.11778236072544265</v>
      </c>
      <c r="P90" s="169">
        <f>(INDEX(Models!$BJ90:$BT90,,T90)*(1-R90)+INDEX(Models!$BJ90:$BT90,,T90+1)*R90-ERP_i)*Q90*Ramure*Pc/MaxiM</f>
        <v>4.1623132993743747E-2</v>
      </c>
      <c r="Q90" s="305">
        <f t="shared" si="28"/>
        <v>0.8</v>
      </c>
      <c r="R90" s="177">
        <f t="shared" si="29"/>
        <v>1.6248565934132486E-2</v>
      </c>
      <c r="S90" s="809">
        <f t="shared" si="30"/>
        <v>3</v>
      </c>
      <c r="T90" s="176">
        <f t="shared" si="31"/>
        <v>9</v>
      </c>
      <c r="U90" s="251">
        <f t="shared" si="32"/>
        <v>3.0162485659341325</v>
      </c>
      <c r="V90" s="383">
        <f t="shared" si="33"/>
        <v>33.161363100688561</v>
      </c>
      <c r="W90" s="402">
        <f t="shared" si="34"/>
        <v>9.0776139190453442</v>
      </c>
      <c r="X90" s="157">
        <f t="shared" si="35"/>
        <v>46463</v>
      </c>
      <c r="Y90" s="385">
        <f t="shared" si="36"/>
        <v>8.6678394253546056</v>
      </c>
      <c r="Z90" s="385">
        <f t="shared" si="37"/>
        <v>9.5439202799103793</v>
      </c>
      <c r="AA90" s="386">
        <f t="shared" si="38"/>
        <v>11.329530596625586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0.15760673414369328</v>
      </c>
      <c r="AD90" s="231">
        <f>(INDEX(Models!$BJ90:$BT90,,AH90)*(1-AF90)+INDEX(Models!$BJ90:$BT90,,AH90+1)*AF90-ERP_i)*AE90*Ramure*Pc/MaxiM</f>
        <v>5.544161953445554E-2</v>
      </c>
      <c r="AE90" s="305">
        <f t="shared" si="40"/>
        <v>0.8</v>
      </c>
      <c r="AF90" s="177">
        <f t="shared" si="41"/>
        <v>0.21696531309903655</v>
      </c>
      <c r="AG90" s="809">
        <f t="shared" si="49"/>
        <v>4</v>
      </c>
      <c r="AH90" s="176">
        <f t="shared" si="42"/>
        <v>10</v>
      </c>
      <c r="AI90" s="225">
        <f t="shared" si="43"/>
        <v>4.2169653130990365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IF(t&gt;Tmaj,'2026'!Wh/'2026'!Env_an*'2027'!Env_an,0.001*'[5]mon-tableau'!$B$157)</f>
        <v>12.184285207449689</v>
      </c>
      <c r="C91" s="839"/>
      <c r="D91" s="393">
        <f t="shared" si="25"/>
        <v>13.416101763353094</v>
      </c>
      <c r="E91" s="385">
        <f t="shared" si="47"/>
        <v>15.2088252088127</v>
      </c>
      <c r="F91" s="385">
        <f t="shared" si="26"/>
        <v>15.267176148318548</v>
      </c>
      <c r="G91" s="110">
        <f t="shared" si="48"/>
        <v>0.34982749316449974</v>
      </c>
      <c r="H91" s="414" t="b">
        <f>Wh_hp&gt;='2026'!Maxi_hp</f>
        <v>0</v>
      </c>
      <c r="I91" s="390">
        <f>IF(H91,Wh_hp,'2026'!Maxi_hp)</f>
        <v>31.721839412381989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9.1816279991866839E-2</v>
      </c>
      <c r="M91" s="843"/>
      <c r="N91" s="843"/>
      <c r="O91" s="48">
        <f>IF(t&lt;Tnet,'2026'!Resal+('2026'!Salim-'2026'!Resal)*(1-EXP(('2026'!Tnet-t)/('2026'!Tau_j))),Resal+(Salim-Resal)*(1-EXP((Tnet-t)/(Tau_j))))*Salcycl</f>
        <v>0.11787389366673887</v>
      </c>
      <c r="P91" s="169">
        <f>(INDEX(Models!$BJ91:$BT91,,T91)*(1-R91)+INDEX(Models!$BJ91:$BT91,,T91+1)*R91-ERP_i)*Q91*Ramure*Pc/MaxiM</f>
        <v>4.1963654890061833E-2</v>
      </c>
      <c r="Q91" s="305">
        <f t="shared" si="28"/>
        <v>0.8</v>
      </c>
      <c r="R91" s="177">
        <f t="shared" si="29"/>
        <v>1.6969744428483313E-2</v>
      </c>
      <c r="S91" s="809">
        <f t="shared" si="30"/>
        <v>3</v>
      </c>
      <c r="T91" s="176">
        <f t="shared" si="31"/>
        <v>9</v>
      </c>
      <c r="U91" s="251">
        <f t="shared" si="32"/>
        <v>3.0169697444284833</v>
      </c>
      <c r="V91" s="383">
        <f t="shared" si="33"/>
        <v>33.495861436736654</v>
      </c>
      <c r="W91" s="402">
        <f t="shared" si="34"/>
        <v>12.184285207449689</v>
      </c>
      <c r="X91" s="157">
        <f t="shared" si="35"/>
        <v>46464</v>
      </c>
      <c r="Y91" s="385">
        <f t="shared" si="36"/>
        <v>11.619841868926695</v>
      </c>
      <c r="Z91" s="385">
        <f t="shared" si="37"/>
        <v>12.794593883297791</v>
      </c>
      <c r="AA91" s="386">
        <f t="shared" si="38"/>
        <v>15.18906542098861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0.15764442849670537</v>
      </c>
      <c r="AD91" s="231">
        <f>(INDEX(Models!$BJ91:$BT91,,AH91)*(1-AF91)+INDEX(Models!$BJ91:$BT91,,AH91+1)*AF91-ERP_i)*AE91*Ramure*Pc/MaxiM</f>
        <v>5.6174101610767073E-2</v>
      </c>
      <c r="AE91" s="305">
        <f t="shared" si="40"/>
        <v>0.8</v>
      </c>
      <c r="AF91" s="177">
        <f t="shared" si="41"/>
        <v>0.21768649159338693</v>
      </c>
      <c r="AG91" s="809">
        <f t="shared" si="49"/>
        <v>4</v>
      </c>
      <c r="AH91" s="176">
        <f t="shared" si="42"/>
        <v>10</v>
      </c>
      <c r="AI91" s="225">
        <f t="shared" si="43"/>
        <v>4.2176864915933869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IF(t&gt;Tmaj,'2026'!Wh/'2026'!Env_an*'2027'!Env_an,0.001*'[5]mon-tableau'!$B$158)</f>
        <v>22.39587597417697</v>
      </c>
      <c r="C92" s="839"/>
      <c r="D92" s="393">
        <f t="shared" si="25"/>
        <v>24.660659284429805</v>
      </c>
      <c r="E92" s="385">
        <f t="shared" si="47"/>
        <v>27.958847648973606</v>
      </c>
      <c r="F92" s="385">
        <f t="shared" si="26"/>
        <v>28.583820312289419</v>
      </c>
      <c r="G92" s="110">
        <f t="shared" si="48"/>
        <v>0.64824150713652362</v>
      </c>
      <c r="H92" s="414" t="b">
        <f>Wh_hp&gt;='2026'!Maxi_hp</f>
        <v>0</v>
      </c>
      <c r="I92" s="390">
        <f>IF(H92,Wh_hp,'2026'!Maxi_hp)</f>
        <v>41.177223902410979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9.1837906040199396E-2</v>
      </c>
      <c r="M92" s="843"/>
      <c r="N92" s="843"/>
      <c r="O92" s="48">
        <f>IF(t&lt;Tnet,'2026'!Resal+('2026'!Salim-'2026'!Resal)*(1-EXP(('2026'!Tnet-t)/('2026'!Tau_j))),Resal+(Salim-Resal)*(1-EXP((Tnet-t)/(Tau_j))))*Salcycl</f>
        <v>0.11796581911933271</v>
      </c>
      <c r="P92" s="169">
        <f>(INDEX(Models!$BJ92:$BT92,,T92)*(1-R92)+INDEX(Models!$BJ92:$BT92,,T92+1)*R92-ERP_i)*Q92*Ramure*Pc/MaxiM</f>
        <v>4.2273100506539568E-2</v>
      </c>
      <c r="Q92" s="305">
        <f t="shared" si="28"/>
        <v>0.8</v>
      </c>
      <c r="R92" s="177">
        <f t="shared" si="29"/>
        <v>1.7719283165531063E-2</v>
      </c>
      <c r="S92" s="809">
        <f t="shared" si="30"/>
        <v>3</v>
      </c>
      <c r="T92" s="176">
        <f t="shared" si="31"/>
        <v>9</v>
      </c>
      <c r="U92" s="251">
        <f t="shared" si="32"/>
        <v>3.0177192831655311</v>
      </c>
      <c r="V92" s="383">
        <f t="shared" si="33"/>
        <v>33.827812067823885</v>
      </c>
      <c r="W92" s="402">
        <f t="shared" si="34"/>
        <v>22.39587597417697</v>
      </c>
      <c r="X92" s="157">
        <f t="shared" si="35"/>
        <v>46465</v>
      </c>
      <c r="Y92" s="385">
        <f t="shared" si="36"/>
        <v>21.221687186153456</v>
      </c>
      <c r="Z92" s="385">
        <f t="shared" si="37"/>
        <v>23.367730636743381</v>
      </c>
      <c r="AA92" s="386">
        <f t="shared" si="38"/>
        <v>27.742196748551514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0.1576827585593607</v>
      </c>
      <c r="AD92" s="231">
        <f>(INDEX(Models!$BJ92:$BT92,,AH92)*(1-AF92)+INDEX(Models!$BJ92:$BT92,,AH92+1)*AF92-ERP_i)*AE92*Ramure*Pc/MaxiM</f>
        <v>5.6927349925681672E-2</v>
      </c>
      <c r="AE92" s="305">
        <f t="shared" si="40"/>
        <v>0.8</v>
      </c>
      <c r="AF92" s="177">
        <f t="shared" si="41"/>
        <v>0.21843603033043468</v>
      </c>
      <c r="AG92" s="809">
        <f t="shared" si="49"/>
        <v>4</v>
      </c>
      <c r="AH92" s="176">
        <f t="shared" si="42"/>
        <v>10</v>
      </c>
      <c r="AI92" s="225">
        <f t="shared" si="43"/>
        <v>4.2184360303304347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IF(t&gt;Tmaj,'2026'!Wh/'2026'!Env_an*'2027'!Env_an,0.001*'[5]mon-tableau'!$B$159)</f>
        <v>23.305010326500391</v>
      </c>
      <c r="C93" s="839"/>
      <c r="D93" s="393">
        <f t="shared" si="25"/>
        <v>25.662340945098421</v>
      </c>
      <c r="E93" s="385">
        <f t="shared" si="47"/>
        <v>29.097544099463818</v>
      </c>
      <c r="F93" s="385">
        <f t="shared" si="26"/>
        <v>29.789653982017395</v>
      </c>
      <c r="G93" s="110">
        <f t="shared" si="48"/>
        <v>0.66873206191832946</v>
      </c>
      <c r="H93" s="414" t="b">
        <f>Wh_hp&gt;='2026'!Maxi_hp</f>
        <v>0</v>
      </c>
      <c r="I93" s="390">
        <f>IF(H93,Wh_hp,'2026'!Maxi_hp)</f>
        <v>44.675068559280305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9.1859531585262083E-2</v>
      </c>
      <c r="M93" s="843"/>
      <c r="N93" s="843"/>
      <c r="O93" s="48">
        <f>IF(t&lt;Tnet,'2026'!Resal+('2026'!Salim-'2026'!Resal)*(1-EXP(('2026'!Tnet-t)/('2026'!Tau_j))),Resal+(Salim-Resal)*(1-EXP((Tnet-t)/(Tau_j))))*Salcycl</f>
        <v>0.11805818190782276</v>
      </c>
      <c r="P93" s="169">
        <f>(INDEX(Models!$BJ93:$BT93,,T93)*(1-R93)+INDEX(Models!$BJ93:$BT93,,T93+1)*R93-ERP_i)*Q93*Ramure*Pc/MaxiM</f>
        <v>4.2549114773699215E-2</v>
      </c>
      <c r="Q93" s="305">
        <f t="shared" si="28"/>
        <v>0.8</v>
      </c>
      <c r="R93" s="177">
        <f t="shared" si="29"/>
        <v>1.8498217544677065E-2</v>
      </c>
      <c r="S93" s="809">
        <f t="shared" si="30"/>
        <v>3</v>
      </c>
      <c r="T93" s="176">
        <f t="shared" si="31"/>
        <v>9</v>
      </c>
      <c r="U93" s="251">
        <f t="shared" si="32"/>
        <v>3.0184982175446771</v>
      </c>
      <c r="V93" s="383">
        <f t="shared" si="33"/>
        <v>34.160387048723045</v>
      </c>
      <c r="W93" s="402">
        <f t="shared" si="34"/>
        <v>23.305010326500391</v>
      </c>
      <c r="X93" s="157">
        <f t="shared" si="35"/>
        <v>46466</v>
      </c>
      <c r="Y93" s="385">
        <f t="shared" si="36"/>
        <v>22.06844875243462</v>
      </c>
      <c r="Z93" s="385">
        <f t="shared" si="37"/>
        <v>24.300699638413423</v>
      </c>
      <c r="AA93" s="386">
        <f t="shared" si="38"/>
        <v>28.851155292107752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0.15772178297966141</v>
      </c>
      <c r="AD93" s="231">
        <f>(INDEX(Models!$BJ93:$BT93,,AH93)*(1-AF93)+INDEX(Models!$BJ93:$BT93,,AH93+1)*AF93-ERP_i)*AE93*Ramure*Pc/MaxiM</f>
        <v>5.7696457569135502E-2</v>
      </c>
      <c r="AE93" s="305">
        <f t="shared" si="40"/>
        <v>0.8</v>
      </c>
      <c r="AF93" s="177">
        <f t="shared" si="41"/>
        <v>0.21921496470958068</v>
      </c>
      <c r="AG93" s="809">
        <f t="shared" si="49"/>
        <v>4</v>
      </c>
      <c r="AH93" s="176">
        <f t="shared" si="42"/>
        <v>10</v>
      </c>
      <c r="AI93" s="225">
        <f t="shared" si="43"/>
        <v>4.2192149647095807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IF(t&gt;Tmaj,'2026'!Wh/'2026'!Env_an*'2027'!Env_an,0.001*'[5]mon-tableau'!$B$160)</f>
        <v>32.271539757812178</v>
      </c>
      <c r="C94" s="839"/>
      <c r="D94" s="393">
        <f t="shared" si="25"/>
        <v>35.536692133762244</v>
      </c>
      <c r="E94" s="385">
        <f t="shared" si="47"/>
        <v>40.297934507494105</v>
      </c>
      <c r="F94" s="385">
        <f t="shared" si="26"/>
        <v>41.924922529001691</v>
      </c>
      <c r="G94" s="110">
        <f t="shared" si="48"/>
        <v>0.93162380516416354</v>
      </c>
      <c r="H94" s="414" t="b">
        <f>Wh_hp&gt;='2026'!Maxi_hp</f>
        <v>0</v>
      </c>
      <c r="I94" s="390">
        <f>IF(H94,Wh_hp,'2026'!Maxi_hp)</f>
        <v>46.027750309068139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9.188115662706689E-2</v>
      </c>
      <c r="M94" s="843"/>
      <c r="N94" s="843"/>
      <c r="O94" s="48">
        <f>IF(t&lt;Tnet,'2026'!Resal+('2026'!Salim-'2026'!Resal)*(1-EXP(('2026'!Tnet-t)/('2026'!Tau_j))),Resal+(Salim-Resal)*(1-EXP((Tnet-t)/(Tau_j))))*Salcycl</f>
        <v>0.11815102763756843</v>
      </c>
      <c r="P94" s="169">
        <f>(INDEX(Models!$BJ94:$BT94,,T94)*(1-R94)+INDEX(Models!$BJ94:$BT94,,T94+1)*R94-ERP_i)*Q94*Ramure*Pc/MaxiM</f>
        <v>4.2748619726306121E-2</v>
      </c>
      <c r="Q94" s="305">
        <f t="shared" si="28"/>
        <v>0.8</v>
      </c>
      <c r="R94" s="177">
        <f t="shared" si="29"/>
        <v>1.9307614172316967E-2</v>
      </c>
      <c r="S94" s="809">
        <f t="shared" si="30"/>
        <v>3</v>
      </c>
      <c r="T94" s="176">
        <f t="shared" si="31"/>
        <v>9</v>
      </c>
      <c r="U94" s="251">
        <f t="shared" si="32"/>
        <v>3.019307614172317</v>
      </c>
      <c r="V94" s="383">
        <f t="shared" si="33"/>
        <v>34.498053649859415</v>
      </c>
      <c r="W94" s="402">
        <f t="shared" si="34"/>
        <v>32.271539757812178</v>
      </c>
      <c r="X94" s="157">
        <f t="shared" si="35"/>
        <v>46467</v>
      </c>
      <c r="Y94" s="385">
        <f t="shared" si="36"/>
        <v>30.365204760334983</v>
      </c>
      <c r="Z94" s="385">
        <f t="shared" si="37"/>
        <v>33.437479006109598</v>
      </c>
      <c r="AA94" s="386">
        <f t="shared" si="38"/>
        <v>39.700727811469051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0.15776156132709684</v>
      </c>
      <c r="AD94" s="231">
        <f>(INDEX(Models!$BJ94:$BT94,,AH94)*(1-AF94)+INDEX(Models!$BJ94:$BT94,,AH94+1)*AF94-ERP_i)*AE94*Ramure*Pc/MaxiM</f>
        <v>5.8440045605841887E-2</v>
      </c>
      <c r="AE94" s="305">
        <f t="shared" si="40"/>
        <v>0.8</v>
      </c>
      <c r="AF94" s="177">
        <f t="shared" si="41"/>
        <v>0.22002436133722103</v>
      </c>
      <c r="AG94" s="809">
        <f t="shared" si="49"/>
        <v>4</v>
      </c>
      <c r="AH94" s="176">
        <f t="shared" si="42"/>
        <v>10</v>
      </c>
      <c r="AI94" s="225">
        <f t="shared" si="43"/>
        <v>4.220024361337221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IF(t&gt;Tmaj,'2026'!Wh/'2026'!Env_an*'2027'!Env_an,0.001*'[5]mon-tableau'!$B$161)</f>
        <v>30.711593282620449</v>
      </c>
      <c r="C95" s="839"/>
      <c r="D95" s="393">
        <f t="shared" si="25"/>
        <v>33.819719569278682</v>
      </c>
      <c r="E95" s="385">
        <f t="shared" si="47"/>
        <v>38.354981433837686</v>
      </c>
      <c r="F95" s="385">
        <f t="shared" si="26"/>
        <v>39.771500261842704</v>
      </c>
      <c r="G95" s="110">
        <f t="shared" si="48"/>
        <v>0.87487333217896268</v>
      </c>
      <c r="H95" s="414" t="b">
        <f>Wh_hp&gt;='2026'!Maxi_hp</f>
        <v>0</v>
      </c>
      <c r="I95" s="390">
        <f>IF(H95,Wh_hp,'2026'!Maxi_hp)</f>
        <v>44.110203483465384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9.1902781165625363E-2</v>
      </c>
      <c r="M95" s="843"/>
      <c r="N95" s="843"/>
      <c r="O95" s="48">
        <f>IF(t&lt;Tnet,'2026'!Resal+('2026'!Salim-'2026'!Resal)*(1-EXP(('2026'!Tnet-t)/('2026'!Tau_j))),Resal+(Salim-Resal)*(1-EXP((Tnet-t)/(Tau_j))))*Salcycl</f>
        <v>0.11824440255256874</v>
      </c>
      <c r="P95" s="169">
        <f>(INDEX(Models!$BJ95:$BT95,,T95)*(1-R95)+INDEX(Models!$BJ95:$BT95,,T95+1)*R95-ERP_i)*Q95*Ramure*Pc/MaxiM</f>
        <v>4.2873936371558265E-2</v>
      </c>
      <c r="Q95" s="305">
        <f t="shared" si="28"/>
        <v>0.8</v>
      </c>
      <c r="R95" s="177">
        <f t="shared" si="29"/>
        <v>2.0148571245726554E-2</v>
      </c>
      <c r="S95" s="809">
        <f t="shared" si="30"/>
        <v>3</v>
      </c>
      <c r="T95" s="176">
        <f t="shared" si="31"/>
        <v>9</v>
      </c>
      <c r="U95" s="251">
        <f t="shared" si="32"/>
        <v>3.0201485712457266</v>
      </c>
      <c r="V95" s="383">
        <f t="shared" si="33"/>
        <v>34.839868630675447</v>
      </c>
      <c r="W95" s="402">
        <f t="shared" si="34"/>
        <v>30.711593282620449</v>
      </c>
      <c r="X95" s="157">
        <f t="shared" si="35"/>
        <v>46468</v>
      </c>
      <c r="Y95" s="385">
        <f t="shared" si="36"/>
        <v>28.923033493023091</v>
      </c>
      <c r="Z95" s="385">
        <f t="shared" si="37"/>
        <v>31.850150945455415</v>
      </c>
      <c r="AA95" s="386">
        <f t="shared" si="38"/>
        <v>37.817896463385154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0.15780215390106742</v>
      </c>
      <c r="AD95" s="231">
        <f>(INDEX(Models!$BJ95:$BT95,,AH95)*(1-AF95)+INDEX(Models!$BJ95:$BT95,,AH95+1)*AF95-ERP_i)*AE95*Ramure*Pc/MaxiM</f>
        <v>5.9129948218384534E-2</v>
      </c>
      <c r="AE95" s="305">
        <f t="shared" si="40"/>
        <v>0.8</v>
      </c>
      <c r="AF95" s="177">
        <f t="shared" si="41"/>
        <v>0.22086531841063017</v>
      </c>
      <c r="AG95" s="809">
        <f t="shared" si="49"/>
        <v>4</v>
      </c>
      <c r="AH95" s="176">
        <f t="shared" si="42"/>
        <v>10</v>
      </c>
      <c r="AI95" s="225">
        <f t="shared" si="43"/>
        <v>4.2208653184106302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IF(t&gt;Tmaj,'2026'!Wh/'2026'!Env_an*'2027'!Env_an,0.001*'[5]mon-tableau'!$B$162)</f>
        <v>34.909100333332646</v>
      </c>
      <c r="C96" s="839"/>
      <c r="D96" s="393">
        <f t="shared" si="25"/>
        <v>38.442945205523031</v>
      </c>
      <c r="E96" s="385">
        <f t="shared" si="47"/>
        <v>43.602832621258905</v>
      </c>
      <c r="F96" s="385">
        <f t="shared" si="26"/>
        <v>45.535737011002304</v>
      </c>
      <c r="G96" s="110">
        <f t="shared" si="48"/>
        <v>0.99166514676459983</v>
      </c>
      <c r="H96" s="414" t="b">
        <f>Wh_hp&gt;='2026'!Maxi_hp</f>
        <v>0</v>
      </c>
      <c r="I96" s="390">
        <f>IF(H96,Wh_hp,'2026'!Maxi_hp)</f>
        <v>47.127501005079935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9.1924405200949161E-2</v>
      </c>
      <c r="M96" s="843"/>
      <c r="N96" s="843"/>
      <c r="O96" s="48">
        <f>IF(t&lt;Tnet,'2026'!Resal+('2026'!Salim-'2026'!Resal)*(1-EXP(('2026'!Tnet-t)/('2026'!Tau_j))),Resal+(Salim-Resal)*(1-EXP((Tnet-t)/(Tau_j))))*Salcycl</f>
        <v>0.11833835339450234</v>
      </c>
      <c r="P96" s="169">
        <f>(INDEX(Models!$BJ96:$BT96,,T96)*(1-R96)+INDEX(Models!$BJ96:$BT96,,T96+1)*R96-ERP_i)*Q96*Ramure*Pc/MaxiM</f>
        <v>4.292868465165417E-2</v>
      </c>
      <c r="Q96" s="305">
        <f t="shared" si="28"/>
        <v>0.8</v>
      </c>
      <c r="R96" s="177">
        <f t="shared" si="29"/>
        <v>2.1022218888480548E-2</v>
      </c>
      <c r="S96" s="809">
        <f t="shared" si="30"/>
        <v>3</v>
      </c>
      <c r="T96" s="176">
        <f t="shared" si="31"/>
        <v>9</v>
      </c>
      <c r="U96" s="251">
        <f t="shared" si="32"/>
        <v>3.0210222188884805</v>
      </c>
      <c r="V96" s="383">
        <f t="shared" si="33"/>
        <v>35.184839413631344</v>
      </c>
      <c r="W96" s="402">
        <f t="shared" si="34"/>
        <v>34.909100333332646</v>
      </c>
      <c r="X96" s="157">
        <f t="shared" si="35"/>
        <v>46469</v>
      </c>
      <c r="Y96" s="385">
        <f t="shared" si="36"/>
        <v>32.765005113535025</v>
      </c>
      <c r="Z96" s="385">
        <f t="shared" si="37"/>
        <v>36.081803432659846</v>
      </c>
      <c r="AA96" s="386">
        <f t="shared" si="38"/>
        <v>42.844540937520172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0.15784362154147868</v>
      </c>
      <c r="AD96" s="231">
        <f>(INDEX(Models!$BJ96:$BT96,,AH96)*(1-AF96)+INDEX(Models!$BJ96:$BT96,,AH96+1)*AF96-ERP_i)*AE96*Ramure*Pc/MaxiM</f>
        <v>5.9769902840161322E-2</v>
      </c>
      <c r="AE96" s="305">
        <f t="shared" si="40"/>
        <v>0.8</v>
      </c>
      <c r="AF96" s="177">
        <f t="shared" si="41"/>
        <v>0.22173896605338417</v>
      </c>
      <c r="AG96" s="809">
        <f t="shared" si="49"/>
        <v>4</v>
      </c>
      <c r="AH96" s="176">
        <f t="shared" si="42"/>
        <v>10</v>
      </c>
      <c r="AI96" s="225">
        <f t="shared" si="43"/>
        <v>4.2217389660533842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IF(t&gt;Tmaj,'2026'!Wh/'2026'!Env_an*'2027'!Env_an,0.001*'[5]mon-tableau'!$B$163)</f>
        <v>34.019777579726622</v>
      </c>
      <c r="C97" s="839"/>
      <c r="D97" s="393">
        <f t="shared" si="25"/>
        <v>37.464488517418175</v>
      </c>
      <c r="E97" s="385">
        <f t="shared" si="47"/>
        <v>42.497604182440689</v>
      </c>
      <c r="F97" s="385">
        <f t="shared" si="26"/>
        <v>44.282503833010587</v>
      </c>
      <c r="G97" s="110">
        <f t="shared" si="48"/>
        <v>0.9548381230950943</v>
      </c>
      <c r="H97" s="414" t="b">
        <f>Wh_hp&gt;='2026'!Maxi_hp</f>
        <v>0</v>
      </c>
      <c r="I97" s="390">
        <f>IF(H97,Wh_hp,'2026'!Maxi_hp)</f>
        <v>46.384617938296579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9.194602873305005E-2</v>
      </c>
      <c r="M97" s="843"/>
      <c r="N97" s="843"/>
      <c r="O97" s="48">
        <f>IF(t&lt;Tnet,'2026'!Resal+('2026'!Salim-'2026'!Resal)*(1-EXP(('2026'!Tnet-t)/('2026'!Tau_j))),Resal+(Salim-Resal)*(1-EXP((Tnet-t)/(Tau_j))))*Salcycl</f>
        <v>0.11843292726374706</v>
      </c>
      <c r="P97" s="169">
        <f>(INDEX(Models!$BJ97:$BT97,,T97)*(1-R97)+INDEX(Models!$BJ97:$BT97,,T97+1)*R97-ERP_i)*Q97*Ramure*Pc/MaxiM</f>
        <v>4.2916345526226279E-2</v>
      </c>
      <c r="Q97" s="305">
        <f t="shared" si="28"/>
        <v>0.8</v>
      </c>
      <c r="R97" s="177">
        <f t="shared" si="29"/>
        <v>2.1929719431552197E-2</v>
      </c>
      <c r="S97" s="809">
        <f t="shared" si="30"/>
        <v>3</v>
      </c>
      <c r="T97" s="176">
        <f t="shared" si="31"/>
        <v>9</v>
      </c>
      <c r="U97" s="251">
        <f t="shared" si="32"/>
        <v>3.0219297194315522</v>
      </c>
      <c r="V97" s="383">
        <f t="shared" si="33"/>
        <v>35.531974382372873</v>
      </c>
      <c r="W97" s="402">
        <f t="shared" si="34"/>
        <v>34.019777579726622</v>
      </c>
      <c r="X97" s="157">
        <f t="shared" si="35"/>
        <v>46470</v>
      </c>
      <c r="Y97" s="385">
        <f t="shared" si="36"/>
        <v>31.942395940477663</v>
      </c>
      <c r="Z97" s="385">
        <f t="shared" si="37"/>
        <v>35.176759257944184</v>
      </c>
      <c r="AA97" s="386">
        <f t="shared" si="38"/>
        <v>41.771969496684619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0.15788602544258518</v>
      </c>
      <c r="AD97" s="231">
        <f>(INDEX(Models!$BJ97:$BT97,,AH97)*(1-AF97)+INDEX(Models!$BJ97:$BT97,,AH97+1)*AF97-ERP_i)*AE97*Ramure*Pc/MaxiM</f>
        <v>6.0363594669772661E-2</v>
      </c>
      <c r="AE97" s="305">
        <f t="shared" si="40"/>
        <v>0.8</v>
      </c>
      <c r="AF97" s="177">
        <f t="shared" si="41"/>
        <v>0.22264646659645582</v>
      </c>
      <c r="AG97" s="809">
        <f t="shared" si="49"/>
        <v>4</v>
      </c>
      <c r="AH97" s="176">
        <f t="shared" si="42"/>
        <v>10</v>
      </c>
      <c r="AI97" s="225">
        <f t="shared" si="43"/>
        <v>4.2226464665964558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IF(t&gt;Tmaj,'2026'!Wh/'2026'!Env_an*'2027'!Env_an,0.001*'[5]mon-tableau'!$B$164)</f>
        <v>32.441875070069351</v>
      </c>
      <c r="C98" s="839"/>
      <c r="D98" s="393">
        <f t="shared" si="25"/>
        <v>35.727664474750647</v>
      </c>
      <c r="E98" s="385">
        <f t="shared" si="47"/>
        <v>40.531827925645089</v>
      </c>
      <c r="F98" s="385">
        <f t="shared" si="26"/>
        <v>42.088051109144551</v>
      </c>
      <c r="G98" s="110">
        <f t="shared" si="48"/>
        <v>0.89866358280486347</v>
      </c>
      <c r="H98" s="414" t="b">
        <f>Wh_hp&gt;='2026'!Maxi_hp</f>
        <v>0</v>
      </c>
      <c r="I98" s="390">
        <f>IF(H98,Wh_hp,'2026'!Maxi_hp)</f>
        <v>42.344777516113844</v>
      </c>
      <c r="J98" s="85">
        <f>IF(H98,An,'2026'!An_max)</f>
        <v>2022</v>
      </c>
      <c r="K98" s="197">
        <f t="shared" si="27"/>
        <v>46471</v>
      </c>
      <c r="L98" s="147">
        <f>IF(t&lt;Tvie,1-EXP((T0-t)*PertePVj)+'2026'!Pspv,1-EXP((T0-t)*PertePVj)+Pspv)</f>
        <v>9.19676517619398E-2</v>
      </c>
      <c r="M98" s="843"/>
      <c r="N98" s="843"/>
      <c r="O98" s="48">
        <f>IF(t&lt;Tnet,'2026'!Resal+('2026'!Salim-'2026'!Resal)*(1-EXP(('2026'!Tnet-t)/('2026'!Tau_j))),Resal+(Salim-Resal)*(1-EXP((Tnet-t)/(Tau_j))))*Salcycl</f>
        <v>0.11852817148310189</v>
      </c>
      <c r="P98" s="169">
        <f>(INDEX(Models!$BJ98:$BT98,,T98)*(1-R98)+INDEX(Models!$BJ98:$BT98,,T98+1)*R98-ERP_i)*Q98*Ramure*Pc/MaxiM</f>
        <v>4.2840246061863971E-2</v>
      </c>
      <c r="Q98" s="305">
        <f t="shared" si="28"/>
        <v>0.8</v>
      </c>
      <c r="R98" s="177">
        <f t="shared" si="29"/>
        <v>2.2872267633848864E-2</v>
      </c>
      <c r="S98" s="809">
        <f t="shared" si="30"/>
        <v>3</v>
      </c>
      <c r="T98" s="176">
        <f t="shared" si="31"/>
        <v>9</v>
      </c>
      <c r="U98" s="251">
        <f t="shared" si="32"/>
        <v>3.0228722676338489</v>
      </c>
      <c r="V98" s="383">
        <f t="shared" si="33"/>
        <v>35.880283019703874</v>
      </c>
      <c r="W98" s="402">
        <f t="shared" si="34"/>
        <v>32.441875070069351</v>
      </c>
      <c r="X98" s="157">
        <f t="shared" si="35"/>
        <v>46471</v>
      </c>
      <c r="Y98" s="385">
        <f t="shared" si="36"/>
        <v>30.489708424298161</v>
      </c>
      <c r="Z98" s="385">
        <f t="shared" si="37"/>
        <v>33.577777799943121</v>
      </c>
      <c r="AA98" s="386">
        <f t="shared" si="38"/>
        <v>39.875253779694731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0.1579294269710306</v>
      </c>
      <c r="AD98" s="231">
        <f>(INDEX(Models!$BJ98:$BT98,,AH98)*(1-AF98)+INDEX(Models!$BJ98:$BT98,,AH98+1)*AF98-ERP_i)*AE98*Ramure*Pc/MaxiM</f>
        <v>6.0914644559848373E-2</v>
      </c>
      <c r="AE98" s="305">
        <f t="shared" si="40"/>
        <v>0.8</v>
      </c>
      <c r="AF98" s="177">
        <f t="shared" si="41"/>
        <v>0.22358901479875204</v>
      </c>
      <c r="AG98" s="809">
        <f t="shared" si="49"/>
        <v>4</v>
      </c>
      <c r="AH98" s="176">
        <f t="shared" si="42"/>
        <v>10</v>
      </c>
      <c r="AI98" s="225">
        <f t="shared" si="43"/>
        <v>4.223589014798752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IF(t&gt;Tmaj,'2026'!Wh/'2026'!Env_an*'2027'!Env_an,0.001*'[5]mon-tableau'!$B$165)</f>
        <v>34.432032879543584</v>
      </c>
      <c r="C99" s="839"/>
      <c r="D99" s="393">
        <f t="shared" si="25"/>
        <v>37.920293124875052</v>
      </c>
      <c r="E99" s="385">
        <f t="shared" si="47"/>
        <v>43.023974860970448</v>
      </c>
      <c r="F99" s="385">
        <f t="shared" si="26"/>
        <v>44.80161511619081</v>
      </c>
      <c r="G99" s="110">
        <f t="shared" si="48"/>
        <v>0.94741136825194872</v>
      </c>
      <c r="H99" s="414" t="b">
        <f>Wh_hp&gt;='2026'!Maxi_hp</f>
        <v>0</v>
      </c>
      <c r="I99" s="390">
        <f>IF(H99,Wh_hp,'2026'!Maxi_hp)</f>
        <v>48.874468185394626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9.1989274287630179E-2</v>
      </c>
      <c r="M99" s="843"/>
      <c r="N99" s="843"/>
      <c r="O99" s="48">
        <f>IF(t&lt;Tnet,'2026'!Resal+('2026'!Salim-'2026'!Resal)*(1-EXP(('2026'!Tnet-t)/('2026'!Tau_j))),Resal+(Salim-Resal)*(1-EXP((Tnet-t)/(Tau_j))))*Salcycl</f>
        <v>0.11862413346483341</v>
      </c>
      <c r="P99" s="169">
        <f>(INDEX(Models!$BJ99:$BT99,,T99)*(1-R99)+INDEX(Models!$BJ99:$BT99,,T99+1)*R99-ERP_i)*Q99*Ramure*Pc/MaxiM</f>
        <v>4.2703547138229381E-2</v>
      </c>
      <c r="Q99" s="305">
        <f t="shared" si="28"/>
        <v>0.8</v>
      </c>
      <c r="R99" s="177">
        <f t="shared" si="29"/>
        <v>2.385109083553294E-2</v>
      </c>
      <c r="S99" s="809">
        <f t="shared" si="30"/>
        <v>3</v>
      </c>
      <c r="T99" s="176">
        <f t="shared" si="31"/>
        <v>9</v>
      </c>
      <c r="U99" s="251">
        <f t="shared" si="32"/>
        <v>3.0238510908355329</v>
      </c>
      <c r="V99" s="383">
        <f t="shared" si="33"/>
        <v>36.228776045972538</v>
      </c>
      <c r="W99" s="402">
        <f t="shared" si="34"/>
        <v>34.432032879543584</v>
      </c>
      <c r="X99" s="157">
        <f t="shared" si="35"/>
        <v>46472</v>
      </c>
      <c r="Y99" s="385">
        <f t="shared" si="36"/>
        <v>32.298886684110172</v>
      </c>
      <c r="Z99" s="385">
        <f t="shared" si="37"/>
        <v>35.571040924401451</v>
      </c>
      <c r="AA99" s="386">
        <f t="shared" si="38"/>
        <v>42.24458172481237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0.15797388748889446</v>
      </c>
      <c r="AD99" s="231">
        <f>(INDEX(Models!$BJ99:$BT99,,AH99)*(1-AF99)+INDEX(Models!$BJ99:$BT99,,AH99+1)*AF99-ERP_i)*AE99*Ramure*Pc/MaxiM</f>
        <v>6.1426599472017243E-2</v>
      </c>
      <c r="AE99" s="305">
        <f t="shared" si="40"/>
        <v>0.8</v>
      </c>
      <c r="AF99" s="177">
        <f t="shared" si="41"/>
        <v>0.22456783800043656</v>
      </c>
      <c r="AG99" s="809">
        <f t="shared" si="49"/>
        <v>4</v>
      </c>
      <c r="AH99" s="176">
        <f t="shared" si="42"/>
        <v>10</v>
      </c>
      <c r="AI99" s="225">
        <f t="shared" si="43"/>
        <v>4.2245678380004366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IF(t&gt;Tmaj,'2026'!Wh/'2026'!Env_an*'2027'!Env_an,0.001*'[5]mon-tableau'!$B$166)</f>
        <v>33.2297924033996</v>
      </c>
      <c r="C100" s="839"/>
      <c r="D100" s="393">
        <f t="shared" si="25"/>
        <v>36.597126846964414</v>
      </c>
      <c r="E100" s="385">
        <f t="shared" si="47"/>
        <v>41.527281436747892</v>
      </c>
      <c r="F100" s="385">
        <f t="shared" si="26"/>
        <v>43.119626987505221</v>
      </c>
      <c r="G100" s="110">
        <f t="shared" si="48"/>
        <v>0.90323754180543203</v>
      </c>
      <c r="H100" s="414" t="b">
        <f>Wh_hp&gt;='2026'!Maxi_hp</f>
        <v>0</v>
      </c>
      <c r="I100" s="390">
        <f>IF(H100,Wh_hp,'2026'!Maxi_hp)</f>
        <v>48.250977884589958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9.2010896310132623E-2</v>
      </c>
      <c r="M100" s="843"/>
      <c r="N100" s="843"/>
      <c r="O100" s="48">
        <f>IF(t&lt;Tnet,'2026'!Resal+('2026'!Salim-'2026'!Resal)*(1-EXP(('2026'!Tnet-t)/('2026'!Tau_j))),Resal+(Salim-Resal)*(1-EXP((Tnet-t)/(Tau_j))))*Salcycl</f>
        <v>0.1187208605815631</v>
      </c>
      <c r="P100" s="169">
        <f>(INDEX(Models!$BJ100:$BT100,,T100)*(1-R100)+INDEX(Models!$BJ100:$BT100,,T100+1)*R100-ERP_i)*Q100*Ramure*Pc/MaxiM</f>
        <v>4.2483085822690336E-2</v>
      </c>
      <c r="Q100" s="305">
        <f t="shared" si="28"/>
        <v>0.8</v>
      </c>
      <c r="R100" s="177">
        <f t="shared" si="29"/>
        <v>2.4867449037090594E-2</v>
      </c>
      <c r="S100" s="809">
        <f t="shared" si="30"/>
        <v>3</v>
      </c>
      <c r="T100" s="176">
        <f t="shared" si="31"/>
        <v>9</v>
      </c>
      <c r="U100" s="251">
        <f t="shared" si="32"/>
        <v>3.0248674490370906</v>
      </c>
      <c r="V100" s="383">
        <f t="shared" si="33"/>
        <v>36.577464412672398</v>
      </c>
      <c r="W100" s="402">
        <f t="shared" si="34"/>
        <v>33.2297924033996</v>
      </c>
      <c r="X100" s="157">
        <f t="shared" si="35"/>
        <v>46473</v>
      </c>
      <c r="Y100" s="385">
        <f t="shared" si="36"/>
        <v>31.192886693372426</v>
      </c>
      <c r="Z100" s="385">
        <f t="shared" si="37"/>
        <v>34.353811699514253</v>
      </c>
      <c r="AA100" s="386">
        <f t="shared" si="38"/>
        <v>40.801194803583392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0.15801946818240956</v>
      </c>
      <c r="AD100" s="231">
        <f>(INDEX(Models!$BJ100:$BT100,,AH100)*(1-AF100)+INDEX(Models!$BJ100:$BT100,,AH100+1)*AF100-ERP_i)*AE100*Ramure*Pc/MaxiM</f>
        <v>6.1854760982497592E-2</v>
      </c>
      <c r="AE100" s="305">
        <f t="shared" si="40"/>
        <v>0.8</v>
      </c>
      <c r="AF100" s="177">
        <f t="shared" si="41"/>
        <v>0.22558419620199466</v>
      </c>
      <c r="AG100" s="809">
        <f t="shared" si="49"/>
        <v>4</v>
      </c>
      <c r="AH100" s="176">
        <f t="shared" si="42"/>
        <v>10</v>
      </c>
      <c r="AI100" s="225">
        <f t="shared" si="43"/>
        <v>4.2255841962019947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IF(t&gt;Tmaj,'2026'!Wh/'2026'!Env_an*'2027'!Env_an,0.001*'[5]mon-tableau'!$B$167)</f>
        <v>25.198742607039804</v>
      </c>
      <c r="C101" s="839"/>
      <c r="D101" s="393">
        <f t="shared" si="25"/>
        <v>27.752913074376817</v>
      </c>
      <c r="E101" s="385">
        <f t="shared" si="47"/>
        <v>31.495111876690039</v>
      </c>
      <c r="F101" s="385">
        <f t="shared" si="26"/>
        <v>32.238636851446152</v>
      </c>
      <c r="G101" s="110">
        <f t="shared" si="48"/>
        <v>0.66906829408958335</v>
      </c>
      <c r="H101" s="414" t="b">
        <f>Wh_hp&gt;='2026'!Maxi_hp</f>
        <v>0</v>
      </c>
      <c r="I101" s="390">
        <f>IF(H101,Wh_hp,'2026'!Maxi_hp)</f>
        <v>47.544172268799947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9.2032517829459121E-2</v>
      </c>
      <c r="M101" s="843"/>
      <c r="N101" s="843"/>
      <c r="O101" s="48">
        <f>IF(t&lt;Tnet,'2026'!Resal+('2026'!Salim-'2026'!Resal)*(1-EXP(('2026'!Tnet-t)/('2026'!Tau_j))),Resal+(Salim-Resal)*(1-EXP((Tnet-t)/(Tau_j))))*Salcycl</f>
        <v>0.11881840004140053</v>
      </c>
      <c r="P101" s="169">
        <f>(INDEX(Models!$BJ101:$BT101,,T101)*(1-R101)+INDEX(Models!$BJ101:$BT101,,T101+1)*R101-ERP_i)*Q101*Ramure*Pc/MaxiM</f>
        <v>4.2213100686626419E-2</v>
      </c>
      <c r="Q101" s="305">
        <f t="shared" si="28"/>
        <v>0.8</v>
      </c>
      <c r="R101" s="177">
        <f t="shared" si="29"/>
        <v>2.5922634896687669E-2</v>
      </c>
      <c r="S101" s="809">
        <f t="shared" si="30"/>
        <v>3</v>
      </c>
      <c r="T101" s="176">
        <f t="shared" si="31"/>
        <v>9</v>
      </c>
      <c r="U101" s="251">
        <f t="shared" si="32"/>
        <v>3.0259226348966877</v>
      </c>
      <c r="V101" s="383">
        <f t="shared" si="33"/>
        <v>36.924177307638779</v>
      </c>
      <c r="W101" s="402">
        <f t="shared" si="34"/>
        <v>25.198742607039804</v>
      </c>
      <c r="X101" s="157">
        <f t="shared" si="35"/>
        <v>46474</v>
      </c>
      <c r="Y101" s="385">
        <f t="shared" si="36"/>
        <v>23.807146381139464</v>
      </c>
      <c r="Z101" s="385">
        <f t="shared" si="37"/>
        <v>26.220263223774612</v>
      </c>
      <c r="AA101" s="386">
        <f t="shared" si="38"/>
        <v>31.142904768581381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0.15806622989686539</v>
      </c>
      <c r="AD101" s="231">
        <f>(INDEX(Models!$BJ101:$BT101,,AH101)*(1-AF101)+INDEX(Models!$BJ101:$BT101,,AH101+1)*AF101-ERP_i)*AE101*Ramure*Pc/MaxiM</f>
        <v>6.2209408304959496E-2</v>
      </c>
      <c r="AE101" s="305">
        <f t="shared" si="40"/>
        <v>0.8</v>
      </c>
      <c r="AF101" s="177">
        <f t="shared" si="41"/>
        <v>0.22663938206159173</v>
      </c>
      <c r="AG101" s="809">
        <f t="shared" si="49"/>
        <v>4</v>
      </c>
      <c r="AH101" s="176">
        <f t="shared" si="42"/>
        <v>10</v>
      </c>
      <c r="AI101" s="225">
        <f t="shared" si="43"/>
        <v>4.2266393820615917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IF(t&gt;Tmaj,'2026'!Wh/'2026'!Env_an*'2027'!Env_an,0.001*'[5]mon-tableau'!$B$168)</f>
        <v>21.645567519983409</v>
      </c>
      <c r="C102" s="839"/>
      <c r="D102" s="393">
        <f t="shared" si="25"/>
        <v>23.84015220077422</v>
      </c>
      <c r="E102" s="385">
        <f t="shared" si="47"/>
        <v>27.05777634555815</v>
      </c>
      <c r="F102" s="385">
        <f t="shared" si="26"/>
        <v>27.52030501607172</v>
      </c>
      <c r="G102" s="110">
        <f t="shared" si="48"/>
        <v>0.5659883299967241</v>
      </c>
      <c r="H102" s="414" t="b">
        <f>Wh_hp&gt;='2026'!Maxi_hp</f>
        <v>0</v>
      </c>
      <c r="I102" s="390">
        <f>IF(H102,Wh_hp,'2026'!Maxi_hp)</f>
        <v>49.462573168637149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9.205413884562122E-2</v>
      </c>
      <c r="M102" s="843"/>
      <c r="N102" s="843"/>
      <c r="O102" s="48">
        <f>IF(t&lt;Tnet,'2026'!Resal+('2026'!Salim-'2026'!Resal)*(1-EXP(('2026'!Tnet-t)/('2026'!Tau_j))),Resal+(Salim-Resal)*(1-EXP((Tnet-t)/(Tau_j))))*Salcycl</f>
        <v>0.11891679876761717</v>
      </c>
      <c r="P102" s="169">
        <f>(INDEX(Models!$BJ102:$BT102,,T102)*(1-R102)+INDEX(Models!$BJ102:$BT102,,T102+1)*R102-ERP_i)*Q102*Ramure*Pc/MaxiM</f>
        <v>4.1895925394469256E-2</v>
      </c>
      <c r="Q102" s="305">
        <f t="shared" si="28"/>
        <v>0.8</v>
      </c>
      <c r="R102" s="177">
        <f t="shared" si="29"/>
        <v>2.7017973637951442E-2</v>
      </c>
      <c r="S102" s="809">
        <f t="shared" si="30"/>
        <v>3</v>
      </c>
      <c r="T102" s="176">
        <f t="shared" si="31"/>
        <v>9</v>
      </c>
      <c r="U102" s="251">
        <f t="shared" si="32"/>
        <v>3.0270179736379514</v>
      </c>
      <c r="V102" s="383">
        <f t="shared" si="33"/>
        <v>37.26793486595799</v>
      </c>
      <c r="W102" s="402">
        <f t="shared" si="34"/>
        <v>21.645567519983409</v>
      </c>
      <c r="X102" s="157">
        <f t="shared" si="35"/>
        <v>46475</v>
      </c>
      <c r="Y102" s="385">
        <f t="shared" si="36"/>
        <v>20.508776167591918</v>
      </c>
      <c r="Z102" s="385">
        <f t="shared" si="37"/>
        <v>22.588104693287207</v>
      </c>
      <c r="AA102" s="386">
        <f t="shared" si="38"/>
        <v>26.830367703197716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0.15811423297806329</v>
      </c>
      <c r="AD102" s="231">
        <f>(INDEX(Models!$BJ102:$BT102,,AH102)*(1-AF102)+INDEX(Models!$BJ102:$BT102,,AH102+1)*AF102-ERP_i)*AE102*Ramure*Pc/MaxiM</f>
        <v>6.2494638775439239E-2</v>
      </c>
      <c r="AE102" s="305">
        <f t="shared" si="40"/>
        <v>0.8</v>
      </c>
      <c r="AF102" s="177">
        <f t="shared" si="41"/>
        <v>0.22773472080285462</v>
      </c>
      <c r="AG102" s="809">
        <f t="shared" si="49"/>
        <v>4</v>
      </c>
      <c r="AH102" s="176">
        <f t="shared" si="42"/>
        <v>10</v>
      </c>
      <c r="AI102" s="225">
        <f t="shared" si="43"/>
        <v>4.2277347208028546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IF(t&gt;Tmaj,'2026'!Wh/'2026'!Env_an*'2027'!Env_an,0.001*'[5]mon-tableau'!$B$169)</f>
        <v>6.6795289914186453</v>
      </c>
      <c r="C103" s="839"/>
      <c r="D103" s="393">
        <f t="shared" si="25"/>
        <v>7.3569232898772929</v>
      </c>
      <c r="E103" s="385">
        <f t="shared" si="47"/>
        <v>8.350803365752018</v>
      </c>
      <c r="F103" s="385">
        <f t="shared" si="26"/>
        <v>8.350803365752018</v>
      </c>
      <c r="G103" s="110">
        <f t="shared" si="48"/>
        <v>0.17023357772324646</v>
      </c>
      <c r="H103" s="414" t="b">
        <f>Wh_hp&gt;='2026'!Maxi_hp</f>
        <v>0</v>
      </c>
      <c r="I103" s="390">
        <f>IF(H103,Wh_hp,'2026'!Maxi_hp)</f>
        <v>48.853038467776038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9.2075759358630799E-2</v>
      </c>
      <c r="M103" s="843"/>
      <c r="N103" s="843"/>
      <c r="O103" s="48">
        <f>IF(t&lt;Tnet,'2026'!Resal+('2026'!Salim-'2026'!Resal)*(1-EXP(('2026'!Tnet-t)/('2026'!Tau_j))),Resal+(Salim-Resal)*(1-EXP((Tnet-t)/(Tau_j))))*Salcycl</f>
        <v>0.11901610328304289</v>
      </c>
      <c r="P103" s="169">
        <f>(INDEX(Models!$BJ103:$BT103,,T103)*(1-R103)+INDEX(Models!$BJ103:$BT103,,T103+1)*R103-ERP_i)*Q103*Ramure*Pc/MaxiM</f>
        <v>4.1533702394251346E-2</v>
      </c>
      <c r="Q103" s="305">
        <f t="shared" si="28"/>
        <v>0.8</v>
      </c>
      <c r="R103" s="177">
        <f t="shared" si="29"/>
        <v>2.8154822859893347E-2</v>
      </c>
      <c r="S103" s="809">
        <f t="shared" si="30"/>
        <v>3</v>
      </c>
      <c r="T103" s="176">
        <f t="shared" si="31"/>
        <v>9</v>
      </c>
      <c r="U103" s="251">
        <f t="shared" si="32"/>
        <v>3.0281548228598933</v>
      </c>
      <c r="V103" s="383">
        <f t="shared" si="33"/>
        <v>37.607759337369799</v>
      </c>
      <c r="W103" s="402">
        <f t="shared" si="34"/>
        <v>6.6795289914186453</v>
      </c>
      <c r="X103" s="157">
        <f t="shared" si="35"/>
        <v>46476</v>
      </c>
      <c r="Y103" s="385">
        <f t="shared" si="36"/>
        <v>6.382717187898022</v>
      </c>
      <c r="Z103" s="385">
        <f t="shared" si="37"/>
        <v>7.0300107676265915</v>
      </c>
      <c r="AA103" s="386">
        <f t="shared" si="38"/>
        <v>8.350803365752018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0.15816353712053718</v>
      </c>
      <c r="AD103" s="231">
        <f>(INDEX(Models!$BJ103:$BT103,,AH103)*(1-AF103)+INDEX(Models!$BJ103:$BT103,,AH103+1)*AF103-ERP_i)*AE103*Ramure*Pc/MaxiM</f>
        <v>6.2714351494400231E-2</v>
      </c>
      <c r="AE103" s="305">
        <f t="shared" si="40"/>
        <v>0.8</v>
      </c>
      <c r="AF103" s="177">
        <f t="shared" si="41"/>
        <v>0.22887157002479697</v>
      </c>
      <c r="AG103" s="809">
        <f t="shared" si="49"/>
        <v>4</v>
      </c>
      <c r="AH103" s="176">
        <f t="shared" si="42"/>
        <v>10</v>
      </c>
      <c r="AI103" s="225">
        <f t="shared" si="43"/>
        <v>4.228871570024797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IF(t&gt;Tmaj,'2026'!Wh/'2026'!Env_an*'2027'!Env_an,0.001*'[5]mon-tableau'!$B$170)</f>
        <v>24.215516403043065</v>
      </c>
      <c r="C104" s="839"/>
      <c r="D104" s="393">
        <f t="shared" si="25"/>
        <v>26.671931386429659</v>
      </c>
      <c r="E104" s="385">
        <f t="shared" si="47"/>
        <v>30.278609072925544</v>
      </c>
      <c r="F104" s="385">
        <f t="shared" si="26"/>
        <v>30.892494174113207</v>
      </c>
      <c r="G104" s="110">
        <f t="shared" si="48"/>
        <v>0.62437183504909211</v>
      </c>
      <c r="H104" s="414" t="b">
        <f>Wh_hp&gt;='2026'!Maxi_hp</f>
        <v>0</v>
      </c>
      <c r="I104" s="390">
        <f>IF(H104,Wh_hp,'2026'!Maxi_hp)</f>
        <v>44.47420567428135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9.2097379368499294E-2</v>
      </c>
      <c r="M104" s="843"/>
      <c r="N104" s="843"/>
      <c r="O104" s="48">
        <f>IF(t&lt;Tnet,'2026'!Resal+('2026'!Salim-'2026'!Resal)*(1-EXP(('2026'!Tnet-t)/('2026'!Tau_j))),Resal+(Salim-Resal)*(1-EXP((Tnet-t)/(Tau_j))))*Salcycl</f>
        <v>0.11911635959925568</v>
      </c>
      <c r="P104" s="169">
        <f>(INDEX(Models!$BJ104:$BT104,,T104)*(1-R104)+INDEX(Models!$BJ104:$BT104,,T104+1)*R104-ERP_i)*Q104*Ramure*Pc/MaxiM</f>
        <v>4.1128379543672704E-2</v>
      </c>
      <c r="Q104" s="305">
        <f t="shared" si="28"/>
        <v>0.8</v>
      </c>
      <c r="R104" s="177">
        <f t="shared" si="29"/>
        <v>2.9334572240290679E-2</v>
      </c>
      <c r="S104" s="809">
        <f t="shared" si="30"/>
        <v>3</v>
      </c>
      <c r="T104" s="176">
        <f t="shared" si="31"/>
        <v>9</v>
      </c>
      <c r="U104" s="251">
        <f t="shared" si="32"/>
        <v>3.0293345722402907</v>
      </c>
      <c r="V104" s="383">
        <f t="shared" si="33"/>
        <v>37.942675230713043</v>
      </c>
      <c r="W104" s="402">
        <f t="shared" si="34"/>
        <v>24.215516403043065</v>
      </c>
      <c r="X104" s="157">
        <f t="shared" si="35"/>
        <v>46477</v>
      </c>
      <c r="Y104" s="385">
        <f t="shared" si="36"/>
        <v>22.892674874519212</v>
      </c>
      <c r="Z104" s="385">
        <f t="shared" si="37"/>
        <v>25.214901195676674</v>
      </c>
      <c r="AA104" s="386">
        <f t="shared" si="38"/>
        <v>29.954058659933121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0.15821420122260749</v>
      </c>
      <c r="AD104" s="231">
        <f>(INDEX(Models!$BJ104:$BT104,,AH104)*(1-AF104)+INDEX(Models!$BJ104:$BT104,,AH104+1)*AF104-ERP_i)*AE104*Ramure*Pc/MaxiM</f>
        <v>6.2872240961361014E-2</v>
      </c>
      <c r="AE104" s="305">
        <f t="shared" si="40"/>
        <v>0.8</v>
      </c>
      <c r="AF104" s="177">
        <f t="shared" si="41"/>
        <v>0.2300513194051943</v>
      </c>
      <c r="AG104" s="809">
        <f t="shared" si="49"/>
        <v>4</v>
      </c>
      <c r="AH104" s="176">
        <f t="shared" si="42"/>
        <v>10</v>
      </c>
      <c r="AI104" s="225">
        <f t="shared" si="43"/>
        <v>4.2300513194051943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IF(t&gt;Tmaj,'2026'!Wh/'2026'!Env_an*'2027'!Env_an,0.001*'[6]mon-tableau'!$B$136)</f>
        <v>26.006897812568553</v>
      </c>
      <c r="C105" s="839"/>
      <c r="D105" s="393">
        <f t="shared" si="25"/>
        <v>28.64571213666655</v>
      </c>
      <c r="E105" s="385">
        <f t="shared" si="47"/>
        <v>32.523030163932319</v>
      </c>
      <c r="F105" s="385">
        <f t="shared" si="26"/>
        <v>33.256578073890708</v>
      </c>
      <c r="G105" s="110">
        <f t="shared" si="48"/>
        <v>0.666591811509743</v>
      </c>
      <c r="H105" s="414" t="b">
        <f>Wh_hp&gt;='2026'!Maxi_hp</f>
        <v>0</v>
      </c>
      <c r="I105" s="390">
        <f>IF(H105,Wh_hp,'2026'!Maxi_hp)</f>
        <v>45.531723733193161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9.2118998875238695E-2</v>
      </c>
      <c r="M105" s="843"/>
      <c r="N105" s="843"/>
      <c r="O105" s="48">
        <f>IF(t&lt;Tnet,'2026'!Resal+('2026'!Salim-'2026'!Resal)*(1-EXP(('2026'!Tnet-t)/('2026'!Tau_j))),Resal+(Salim-Resal)*(1-EXP((Tnet-t)/(Tau_j))))*Salcycl</f>
        <v>0.11921761311052967</v>
      </c>
      <c r="P105" s="169">
        <f>(INDEX(Models!$BJ105:$BT105,,T105)*(1-R105)+INDEX(Models!$BJ105:$BT105,,T105+1)*R105-ERP_i)*Q105*Ramure*Pc/MaxiM</f>
        <v>4.0681707528352005E-2</v>
      </c>
      <c r="Q105" s="305">
        <f t="shared" si="28"/>
        <v>0.8</v>
      </c>
      <c r="R105" s="177">
        <f t="shared" si="29"/>
        <v>3.0558643123432816E-2</v>
      </c>
      <c r="S105" s="809">
        <f t="shared" si="30"/>
        <v>3</v>
      </c>
      <c r="T105" s="176">
        <f t="shared" si="31"/>
        <v>9</v>
      </c>
      <c r="U105" s="251">
        <f t="shared" si="32"/>
        <v>3.0305586431234328</v>
      </c>
      <c r="V105" s="383">
        <f t="shared" si="33"/>
        <v>38.271709474240467</v>
      </c>
      <c r="W105" s="402">
        <f t="shared" si="34"/>
        <v>26.006897812568553</v>
      </c>
      <c r="X105" s="157">
        <f t="shared" si="35"/>
        <v>46478</v>
      </c>
      <c r="Y105" s="385">
        <f t="shared" si="36"/>
        <v>24.546760246413807</v>
      </c>
      <c r="Z105" s="385">
        <f t="shared" si="37"/>
        <v>27.037420340334428</v>
      </c>
      <c r="AA105" s="386">
        <f t="shared" si="38"/>
        <v>32.121108852179489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0.15826628324819247</v>
      </c>
      <c r="AD105" s="231">
        <f>(INDEX(Models!$BJ105:$BT105,,AH105)*(1-AF105)+INDEX(Models!$BJ105:$BT105,,AH105+1)*AF105-ERP_i)*AE105*Ramure*Pc/MaxiM</f>
        <v>6.2971792514168096E-2</v>
      </c>
      <c r="AE105" s="305">
        <f t="shared" si="40"/>
        <v>0.8</v>
      </c>
      <c r="AF105" s="177">
        <f t="shared" si="41"/>
        <v>0.23127539028833599</v>
      </c>
      <c r="AG105" s="809">
        <f t="shared" si="49"/>
        <v>4</v>
      </c>
      <c r="AH105" s="176">
        <f t="shared" si="42"/>
        <v>10</v>
      </c>
      <c r="AI105" s="225">
        <f t="shared" si="43"/>
        <v>4.231275390288336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IF(t&gt;Tmaj,'2026'!Wh/'2026'!Env_an*'2027'!Env_an,0.001*'[6]mon-tableau'!$B$137)</f>
        <v>17.420627033547717</v>
      </c>
      <c r="C106" s="839"/>
      <c r="D106" s="393">
        <f t="shared" si="25"/>
        <v>19.188684257297471</v>
      </c>
      <c r="E106" s="385">
        <f t="shared" si="47"/>
        <v>21.788484197989746</v>
      </c>
      <c r="F106" s="385">
        <f t="shared" si="26"/>
        <v>21.979545358629668</v>
      </c>
      <c r="G106" s="110">
        <f t="shared" si="48"/>
        <v>0.43703860174336157</v>
      </c>
      <c r="H106" s="414" t="b">
        <f>Wh_hp&gt;='2026'!Maxi_hp</f>
        <v>0</v>
      </c>
      <c r="I106" s="390">
        <f>IF(H106,Wh_hp,'2026'!Maxi_hp)</f>
        <v>41.845132643511377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9.2140617878860548E-2</v>
      </c>
      <c r="M106" s="843"/>
      <c r="N106" s="843"/>
      <c r="O106" s="48">
        <f>IF(t&lt;Tnet,'2026'!Resal+('2026'!Salim-'2026'!Resal)*(1-EXP(('2026'!Tnet-t)/('2026'!Tau_j))),Resal+(Salim-Resal)*(1-EXP((Tnet-t)/(Tau_j))))*Salcycl</f>
        <v>0.11931990849240157</v>
      </c>
      <c r="P106" s="169">
        <f>(INDEX(Models!$BJ106:$BT106,,T106)*(1-R106)+INDEX(Models!$BJ106:$BT106,,T106+1)*R106-ERP_i)*Q106*Ramure*Pc/MaxiM</f>
        <v>4.0195237899322452E-2</v>
      </c>
      <c r="Q106" s="305">
        <f t="shared" si="28"/>
        <v>0.8</v>
      </c>
      <c r="R106" s="177">
        <f t="shared" si="29"/>
        <v>3.1828487982759945E-2</v>
      </c>
      <c r="S106" s="809">
        <f t="shared" si="30"/>
        <v>3</v>
      </c>
      <c r="T106" s="176">
        <f t="shared" si="31"/>
        <v>9</v>
      </c>
      <c r="U106" s="251">
        <f t="shared" si="32"/>
        <v>3.0318284879827599</v>
      </c>
      <c r="V106" s="383">
        <f t="shared" si="33"/>
        <v>38.593891555634222</v>
      </c>
      <c r="W106" s="402">
        <f t="shared" si="34"/>
        <v>17.420627033547717</v>
      </c>
      <c r="X106" s="157">
        <f t="shared" si="35"/>
        <v>46479</v>
      </c>
      <c r="Y106" s="385">
        <f t="shared" si="36"/>
        <v>16.566284684134821</v>
      </c>
      <c r="Z106" s="385">
        <f t="shared" si="37"/>
        <v>18.2476328497361</v>
      </c>
      <c r="AA106" s="386">
        <f t="shared" si="38"/>
        <v>21.680008296499796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0.15831984009516484</v>
      </c>
      <c r="AD106" s="231">
        <f>(INDEX(Models!$BJ106:$BT106,,AH106)*(1-AF106)+INDEX(Models!$BJ106:$BT106,,AH106+1)*AF106-ERP_i)*AE106*Ramure*Pc/MaxiM</f>
        <v>6.3016279350805282E-2</v>
      </c>
      <c r="AE106" s="305">
        <f t="shared" si="40"/>
        <v>0.8</v>
      </c>
      <c r="AF106" s="177">
        <f t="shared" si="41"/>
        <v>0.23254523514766401</v>
      </c>
      <c r="AG106" s="809">
        <f t="shared" si="49"/>
        <v>4</v>
      </c>
      <c r="AH106" s="176">
        <f t="shared" si="42"/>
        <v>10</v>
      </c>
      <c r="AI106" s="225">
        <f t="shared" si="43"/>
        <v>4.232545235147664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IF(t&gt;Tmaj,'2026'!Wh/'2026'!Env_an*'2027'!Env_an,0.001*'[6]mon-tableau'!$B$138)</f>
        <v>17.425338431406832</v>
      </c>
      <c r="C107" s="839"/>
      <c r="D107" s="393">
        <f t="shared" si="25"/>
        <v>19.19433089224157</v>
      </c>
      <c r="E107" s="385">
        <f t="shared" si="47"/>
        <v>21.7974546290502</v>
      </c>
      <c r="F107" s="385">
        <f t="shared" si="26"/>
        <v>21.981603525673737</v>
      </c>
      <c r="G107" s="110">
        <f t="shared" si="48"/>
        <v>0.43369988680072896</v>
      </c>
      <c r="H107" s="414" t="b">
        <f>Wh_hp&gt;='2026'!Maxi_hp</f>
        <v>0</v>
      </c>
      <c r="I107" s="390">
        <f>IF(H107,Wh_hp,'2026'!Maxi_hp)</f>
        <v>50.711672503234396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9.2162236379376622E-2</v>
      </c>
      <c r="M107" s="843"/>
      <c r="N107" s="843"/>
      <c r="O107" s="48">
        <f>IF(t&lt;Tnet,'2026'!Resal+('2026'!Salim-'2026'!Resal)*(1-EXP(('2026'!Tnet-t)/('2026'!Tau_j))),Resal+(Salim-Resal)*(1-EXP((Tnet-t)/(Tau_j))))*Salcycl</f>
        <v>0.11942328960462016</v>
      </c>
      <c r="P107" s="169">
        <f>(INDEX(Models!$BJ107:$BT107,,T107)*(1-R107)+INDEX(Models!$BJ107:$BT107,,T107+1)*R107-ERP_i)*Q107*Ramure*Pc/MaxiM</f>
        <v>3.9668118985383631E-2</v>
      </c>
      <c r="Q107" s="305">
        <f t="shared" si="28"/>
        <v>0.8</v>
      </c>
      <c r="R107" s="177">
        <f t="shared" si="29"/>
        <v>3.314558974853643E-2</v>
      </c>
      <c r="S107" s="809">
        <f t="shared" si="30"/>
        <v>3</v>
      </c>
      <c r="T107" s="176">
        <f t="shared" si="31"/>
        <v>9</v>
      </c>
      <c r="U107" s="251">
        <f t="shared" si="32"/>
        <v>3.0331455897485364</v>
      </c>
      <c r="V107" s="383">
        <f t="shared" si="33"/>
        <v>38.910503235479531</v>
      </c>
      <c r="W107" s="402">
        <f t="shared" si="34"/>
        <v>17.425338431406832</v>
      </c>
      <c r="X107" s="157">
        <f t="shared" si="35"/>
        <v>46480</v>
      </c>
      <c r="Y107" s="385">
        <f t="shared" si="36"/>
        <v>16.571766343265491</v>
      </c>
      <c r="Z107" s="385">
        <f t="shared" si="37"/>
        <v>18.254105532220041</v>
      </c>
      <c r="AA107" s="386">
        <f t="shared" si="38"/>
        <v>21.689118026563463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0.1583749274699153</v>
      </c>
      <c r="AD107" s="231">
        <f>(INDEX(Models!$BJ107:$BT107,,AH107)*(1-AF107)+INDEX(Models!$BJ107:$BT107,,AH107+1)*AF107-ERP_i)*AE107*Ramure*Pc/MaxiM</f>
        <v>6.3005262550798219E-2</v>
      </c>
      <c r="AE107" s="305">
        <f t="shared" si="40"/>
        <v>0.8</v>
      </c>
      <c r="AF107" s="177">
        <f t="shared" si="41"/>
        <v>0.23386233691343961</v>
      </c>
      <c r="AG107" s="809">
        <f t="shared" si="49"/>
        <v>4</v>
      </c>
      <c r="AH107" s="176">
        <f t="shared" si="42"/>
        <v>10</v>
      </c>
      <c r="AI107" s="225">
        <f t="shared" si="43"/>
        <v>4.2338623369134396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IF(t&gt;Tmaj,'2026'!Wh/'2026'!Env_an*'2027'!Env_an,0.001*'[6]mon-tableau'!$B$139)</f>
        <v>38.323749043574281</v>
      </c>
      <c r="C108" s="839"/>
      <c r="D108" s="393">
        <f t="shared" si="25"/>
        <v>42.21531995034703</v>
      </c>
      <c r="E108" s="385">
        <f t="shared" si="47"/>
        <v>47.946226946734683</v>
      </c>
      <c r="F108" s="385">
        <f t="shared" si="26"/>
        <v>49.829400865988205</v>
      </c>
      <c r="G108" s="110">
        <f t="shared" si="48"/>
        <v>0.97573342503545868</v>
      </c>
      <c r="H108" s="414" t="b">
        <f>Wh_hp&gt;='2026'!Maxi_hp</f>
        <v>0</v>
      </c>
      <c r="I108" s="390">
        <f>IF(H108,Wh_hp,'2026'!Maxi_hp)</f>
        <v>52.742592428937442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9.2183854376798574E-2</v>
      </c>
      <c r="M108" s="843"/>
      <c r="N108" s="843"/>
      <c r="O108" s="48">
        <f>IF(t&lt;Tnet,'2026'!Resal+('2026'!Salim-'2026'!Resal)*(1-EXP(('2026'!Tnet-t)/('2026'!Tau_j))),Resal+(Salim-Resal)*(1-EXP((Tnet-t)/(Tau_j))))*Salcycl</f>
        <v>0.11952779939815367</v>
      </c>
      <c r="P108" s="169">
        <f>(INDEX(Models!$BJ108:$BT108,,T108)*(1-R108)+INDEX(Models!$BJ108:$BT108,,T108+1)*R108-ERP_i)*Q108*Ramure*Pc/MaxiM</f>
        <v>3.9074337762826483E-2</v>
      </c>
      <c r="Q108" s="305">
        <f t="shared" si="28"/>
        <v>0.8</v>
      </c>
      <c r="R108" s="177">
        <f t="shared" si="29"/>
        <v>3.4511460990359399E-2</v>
      </c>
      <c r="S108" s="809">
        <f t="shared" si="30"/>
        <v>3</v>
      </c>
      <c r="T108" s="176">
        <f t="shared" si="31"/>
        <v>9</v>
      </c>
      <c r="U108" s="251">
        <f t="shared" si="32"/>
        <v>3.0345114609903594</v>
      </c>
      <c r="V108" s="383">
        <f t="shared" si="33"/>
        <v>39.224536947707115</v>
      </c>
      <c r="W108" s="402">
        <f t="shared" si="34"/>
        <v>38.323749043574281</v>
      </c>
      <c r="X108" s="157">
        <f t="shared" si="35"/>
        <v>46481</v>
      </c>
      <c r="Y108" s="385">
        <f t="shared" si="36"/>
        <v>35.753308788366361</v>
      </c>
      <c r="Z108" s="385">
        <f t="shared" si="37"/>
        <v>39.383865291162316</v>
      </c>
      <c r="AA108" s="386">
        <f t="shared" si="38"/>
        <v>46.798175026877821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0.15843159976766644</v>
      </c>
      <c r="AD108" s="231">
        <f>(INDEX(Models!$BJ108:$BT108,,AH108)*(1-AF108)+INDEX(Models!$BJ108:$BT108,,AH108+1)*AF108-ERP_i)*AE108*Ramure*Pc/MaxiM</f>
        <v>6.2895487804842068E-2</v>
      </c>
      <c r="AE108" s="305">
        <f t="shared" si="40"/>
        <v>0.8</v>
      </c>
      <c r="AF108" s="177">
        <f t="shared" si="41"/>
        <v>0.23522820815526302</v>
      </c>
      <c r="AG108" s="809">
        <f t="shared" si="49"/>
        <v>4</v>
      </c>
      <c r="AH108" s="176">
        <f t="shared" si="42"/>
        <v>10</v>
      </c>
      <c r="AI108" s="225">
        <f t="shared" si="43"/>
        <v>4.235228208155263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IF(t&gt;Tmaj,'2026'!Wh/'2026'!Env_an*'2027'!Env_an,0.001*'[6]mon-tableau'!$B$140)</f>
        <v>39.452297144025451</v>
      </c>
      <c r="C109" s="839"/>
      <c r="D109" s="393">
        <f t="shared" si="25"/>
        <v>43.459500935023456</v>
      </c>
      <c r="E109" s="385">
        <f t="shared" si="47"/>
        <v>49.365235886556121</v>
      </c>
      <c r="F109" s="385">
        <f t="shared" si="26"/>
        <v>51.333191367501882</v>
      </c>
      <c r="G109" s="110">
        <f t="shared" si="48"/>
        <v>0.99779976380446223</v>
      </c>
      <c r="H109" s="414" t="b">
        <f>Wh_hp&gt;='2026'!Maxi_hp</f>
        <v>0</v>
      </c>
      <c r="I109" s="390">
        <f>IF(H109,Wh_hp,'2026'!Maxi_hp)</f>
        <v>53.625563554782609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9.2205471871138173E-2</v>
      </c>
      <c r="M109" s="843"/>
      <c r="N109" s="843"/>
      <c r="O109" s="48">
        <f>IF(t&lt;Tnet,'2026'!Resal+('2026'!Salim-'2026'!Resal)*(1-EXP(('2026'!Tnet-t)/('2026'!Tau_j))),Resal+(Salim-Resal)*(1-EXP((Tnet-t)/(Tau_j))))*Salcycl</f>
        <v>0.11963347982585046</v>
      </c>
      <c r="P109" s="169">
        <f>(INDEX(Models!$BJ109:$BT109,,T109)*(1-R109)+INDEX(Models!$BJ109:$BT109,,T109+1)*R109-ERP_i)*Q109*Ramure*Pc/MaxiM</f>
        <v>3.8451243202166037E-2</v>
      </c>
      <c r="Q109" s="305">
        <f t="shared" si="28"/>
        <v>0.8</v>
      </c>
      <c r="R109" s="177">
        <f t="shared" si="29"/>
        <v>3.5927642943982097E-2</v>
      </c>
      <c r="S109" s="809">
        <f t="shared" si="30"/>
        <v>3</v>
      </c>
      <c r="T109" s="176">
        <f t="shared" si="31"/>
        <v>9</v>
      </c>
      <c r="U109" s="251">
        <f t="shared" si="32"/>
        <v>3.0359276429439821</v>
      </c>
      <c r="V109" s="383">
        <f t="shared" si="33"/>
        <v>39.534591691026094</v>
      </c>
      <c r="W109" s="402">
        <f t="shared" si="34"/>
        <v>39.452297144025451</v>
      </c>
      <c r="X109" s="157">
        <f t="shared" si="35"/>
        <v>46482</v>
      </c>
      <c r="Y109" s="385">
        <f t="shared" si="36"/>
        <v>36.762095861400489</v>
      </c>
      <c r="Z109" s="385">
        <f t="shared" si="37"/>
        <v>40.49605359174636</v>
      </c>
      <c r="AA109" s="386">
        <f t="shared" si="38"/>
        <v>48.123075493633301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0.15848990995797851</v>
      </c>
      <c r="AD109" s="231">
        <f>(INDEX(Models!$BJ109:$BT109,,AH109)*(1-AF109)+INDEX(Models!$BJ109:$BT109,,AH109+1)*AF109-ERP_i)*AE109*Ramure*Pc/MaxiM</f>
        <v>6.272141182479149E-2</v>
      </c>
      <c r="AE109" s="305">
        <f t="shared" si="40"/>
        <v>0.8</v>
      </c>
      <c r="AF109" s="177">
        <f t="shared" si="41"/>
        <v>0.23664439010888572</v>
      </c>
      <c r="AG109" s="809">
        <f t="shared" si="49"/>
        <v>4</v>
      </c>
      <c r="AH109" s="176">
        <f t="shared" si="42"/>
        <v>10</v>
      </c>
      <c r="AI109" s="225">
        <f t="shared" si="43"/>
        <v>4.2366443901088857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IF(t&gt;Tmaj,'2026'!Wh/'2026'!Env_an*'2027'!Env_an,0.001*'[6]mon-tableau'!$B$141)</f>
        <v>9.6117768224147326</v>
      </c>
      <c r="C110" s="839"/>
      <c r="D110" s="393">
        <f t="shared" si="25"/>
        <v>10.588305405995813</v>
      </c>
      <c r="E110" s="385">
        <f t="shared" si="47"/>
        <v>12.028616406186202</v>
      </c>
      <c r="F110" s="385">
        <f t="shared" si="26"/>
        <v>12.028616406186202</v>
      </c>
      <c r="G110" s="110">
        <f t="shared" si="48"/>
        <v>0.23213566008343922</v>
      </c>
      <c r="H110" s="414" t="b">
        <f>Wh_hp&gt;='2026'!Maxi_hp</f>
        <v>0</v>
      </c>
      <c r="I110" s="390">
        <f>IF(H110,Wh_hp,'2026'!Maxi_hp)</f>
        <v>54.126950024967606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9.2227088862407075E-2</v>
      </c>
      <c r="M110" s="843"/>
      <c r="N110" s="843"/>
      <c r="O110" s="48">
        <f>IF(t&lt;Tnet,'2026'!Resal+('2026'!Salim-'2026'!Resal)*(1-EXP(('2026'!Tnet-t)/('2026'!Tau_j))),Resal+(Salim-Resal)*(1-EXP((Tnet-t)/(Tau_j))))*Salcycl</f>
        <v>0.11974037175627703</v>
      </c>
      <c r="P110" s="169">
        <f>(INDEX(Models!$BJ110:$BT110,,T110)*(1-R110)+INDEX(Models!$BJ110:$BT110,,T110+1)*R110-ERP_i)*Q110*Ramure*Pc/MaxiM</f>
        <v>3.7798762572989121E-2</v>
      </c>
      <c r="Q110" s="305">
        <f t="shared" si="28"/>
        <v>0.8</v>
      </c>
      <c r="R110" s="177">
        <f t="shared" si="29"/>
        <v>3.7395704371630423E-2</v>
      </c>
      <c r="S110" s="809">
        <f t="shared" si="30"/>
        <v>3</v>
      </c>
      <c r="T110" s="176">
        <f t="shared" si="31"/>
        <v>9</v>
      </c>
      <c r="U110" s="251">
        <f t="shared" si="32"/>
        <v>3.0373957043716304</v>
      </c>
      <c r="V110" s="383">
        <f t="shared" si="33"/>
        <v>39.840770474796663</v>
      </c>
      <c r="W110" s="402">
        <f t="shared" si="34"/>
        <v>9.6117768224147326</v>
      </c>
      <c r="X110" s="157">
        <f t="shared" si="35"/>
        <v>46483</v>
      </c>
      <c r="Y110" s="385">
        <f t="shared" si="36"/>
        <v>9.1880056949398234</v>
      </c>
      <c r="Z110" s="385">
        <f t="shared" si="37"/>
        <v>10.121480363878339</v>
      </c>
      <c r="AA110" s="386">
        <f t="shared" si="38"/>
        <v>12.028616406186202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0.15854990947479555</v>
      </c>
      <c r="AD110" s="231">
        <f>(INDEX(Models!$BJ110:$BT110,,AH110)*(1-AF110)+INDEX(Models!$BJ110:$BT110,,AH110+1)*AF110-ERP_i)*AE110*Ramure*Pc/MaxiM</f>
        <v>6.2484044758565338E-2</v>
      </c>
      <c r="AE110" s="305">
        <f t="shared" si="40"/>
        <v>0.8</v>
      </c>
      <c r="AF110" s="177">
        <f t="shared" si="41"/>
        <v>0.2381124515365336</v>
      </c>
      <c r="AG110" s="809">
        <f t="shared" si="49"/>
        <v>4</v>
      </c>
      <c r="AH110" s="176">
        <f t="shared" si="42"/>
        <v>10</v>
      </c>
      <c r="AI110" s="225">
        <f t="shared" si="43"/>
        <v>4.2381124515365336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IF(t&gt;Tmaj,'2026'!Wh/'2026'!Env_an*'2027'!Env_an,0.001*'[6]mon-tableau'!$B$142)</f>
        <v>28.69917697109631</v>
      </c>
      <c r="C111" s="839"/>
      <c r="D111" s="393">
        <f t="shared" si="25"/>
        <v>31.615682775953854</v>
      </c>
      <c r="E111" s="385">
        <f t="shared" si="47"/>
        <v>35.920728773194931</v>
      </c>
      <c r="F111" s="385">
        <f t="shared" si="26"/>
        <v>36.728788154990298</v>
      </c>
      <c r="G111" s="110">
        <f t="shared" si="48"/>
        <v>0.70387051980959692</v>
      </c>
      <c r="H111" s="414" t="b">
        <f>Wh_hp&gt;='2026'!Maxi_hp</f>
        <v>0</v>
      </c>
      <c r="I111" s="390">
        <f>IF(H111,Wh_hp,'2026'!Maxi_hp)</f>
        <v>53.441018311123912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9.224870535061705E-2</v>
      </c>
      <c r="M111" s="843"/>
      <c r="N111" s="843"/>
      <c r="O111" s="48">
        <f>IF(t&lt;Tnet,'2026'!Resal+('2026'!Salim-'2026'!Resal)*(1-EXP(('2026'!Tnet-t)/('2026'!Tau_j))),Resal+(Salim-Resal)*(1-EXP((Tnet-t)/(Tau_j))))*Salcycl</f>
        <v>0.11984851489019964</v>
      </c>
      <c r="P111" s="169">
        <f>(INDEX(Models!$BJ111:$BT111,,T111)*(1-R111)+INDEX(Models!$BJ111:$BT111,,T111+1)*R111-ERP_i)*Q111*Ramure*Pc/MaxiM</f>
        <v>3.7116749819330372E-2</v>
      </c>
      <c r="Q111" s="305">
        <f t="shared" si="28"/>
        <v>0.8</v>
      </c>
      <c r="R111" s="177">
        <f t="shared" si="29"/>
        <v>3.8917240244769058E-2</v>
      </c>
      <c r="S111" s="809">
        <f t="shared" si="30"/>
        <v>3</v>
      </c>
      <c r="T111" s="176">
        <f t="shared" si="31"/>
        <v>9</v>
      </c>
      <c r="U111" s="251">
        <f t="shared" si="32"/>
        <v>3.0389172402447691</v>
      </c>
      <c r="V111" s="383">
        <f t="shared" si="33"/>
        <v>40.143178666376492</v>
      </c>
      <c r="W111" s="402">
        <f t="shared" si="34"/>
        <v>28.69917697109631</v>
      </c>
      <c r="X111" s="157">
        <f t="shared" si="35"/>
        <v>46484</v>
      </c>
      <c r="Y111" s="385">
        <f t="shared" si="36"/>
        <v>27.018404947038462</v>
      </c>
      <c r="Z111" s="385">
        <f t="shared" si="37"/>
        <v>29.764105109290167</v>
      </c>
      <c r="AA111" s="386">
        <f t="shared" si="38"/>
        <v>35.374990683484405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0.15861164811030756</v>
      </c>
      <c r="AD111" s="231">
        <f>(INDEX(Models!$BJ111:$BT111,,AH111)*(1-AF111)+INDEX(Models!$BJ111:$BT111,,AH111+1)*AF111-ERP_i)*AE111*Ramure*Pc/MaxiM</f>
        <v>6.2184244361204004E-2</v>
      </c>
      <c r="AE111" s="305">
        <f t="shared" si="40"/>
        <v>0.8</v>
      </c>
      <c r="AF111" s="177">
        <f t="shared" si="41"/>
        <v>0.23963398740967268</v>
      </c>
      <c r="AG111" s="809">
        <f t="shared" si="49"/>
        <v>4</v>
      </c>
      <c r="AH111" s="176">
        <f t="shared" si="42"/>
        <v>10</v>
      </c>
      <c r="AI111" s="225">
        <f t="shared" si="43"/>
        <v>4.2396339874096727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IF(t&gt;Tmaj,'2026'!Wh/'2026'!Env_an*'2027'!Env_an,0.001*'[6]mon-tableau'!$B$143)</f>
        <v>22.535477353199937</v>
      </c>
      <c r="C112" s="839"/>
      <c r="D112" s="393">
        <f t="shared" si="25"/>
        <v>24.826198683249256</v>
      </c>
      <c r="E112" s="385">
        <f t="shared" si="47"/>
        <v>28.210241337646199</v>
      </c>
      <c r="F112" s="385">
        <f t="shared" si="26"/>
        <v>28.592750091989185</v>
      </c>
      <c r="G112" s="110">
        <f t="shared" si="48"/>
        <v>0.54422516918857644</v>
      </c>
      <c r="H112" s="414" t="b">
        <f>Wh_hp&gt;='2026'!Maxi_hp</f>
        <v>0</v>
      </c>
      <c r="I112" s="390">
        <f>IF(H112,Wh_hp,'2026'!Maxi_hp)</f>
        <v>51.207037958344102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9.2270321335779754E-2</v>
      </c>
      <c r="M112" s="843"/>
      <c r="N112" s="843"/>
      <c r="O112" s="48">
        <f>IF(t&lt;Tnet,'2026'!Resal+('2026'!Salim-'2026'!Resal)*(1-EXP(('2026'!Tnet-t)/('2026'!Tau_j))),Resal+(Salim-Resal)*(1-EXP((Tnet-t)/(Tau_j))))*Salcycl</f>
        <v>0.11995794767912824</v>
      </c>
      <c r="P112" s="169">
        <f>(INDEX(Models!$BJ112:$BT112,,T112)*(1-R112)+INDEX(Models!$BJ112:$BT112,,T112+1)*R112-ERP_i)*Q112*Ramure*Pc/MaxiM</f>
        <v>3.6404986258416989E-2</v>
      </c>
      <c r="Q112" s="305">
        <f t="shared" si="28"/>
        <v>0.8</v>
      </c>
      <c r="R112" s="177">
        <f t="shared" si="29"/>
        <v>4.049387023806128E-2</v>
      </c>
      <c r="S112" s="809">
        <f t="shared" si="30"/>
        <v>3</v>
      </c>
      <c r="T112" s="176">
        <f t="shared" si="31"/>
        <v>9</v>
      </c>
      <c r="U112" s="251">
        <f t="shared" si="32"/>
        <v>3.0404938702380613</v>
      </c>
      <c r="V112" s="383">
        <f t="shared" si="33"/>
        <v>40.441924093891551</v>
      </c>
      <c r="W112" s="402">
        <f t="shared" si="34"/>
        <v>22.535477353199937</v>
      </c>
      <c r="X112" s="157">
        <f t="shared" si="35"/>
        <v>46485</v>
      </c>
      <c r="Y112" s="385">
        <f t="shared" si="36"/>
        <v>21.340078247970606</v>
      </c>
      <c r="Z112" s="385">
        <f t="shared" si="37"/>
        <v>23.509287786396754</v>
      </c>
      <c r="AA112" s="386">
        <f t="shared" si="38"/>
        <v>27.943176116299906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0.15867517391184333</v>
      </c>
      <c r="AD112" s="231">
        <f>(INDEX(Models!$BJ112:$BT112,,AH112)*(1-AF112)+INDEX(Models!$BJ112:$BT112,,AH112+1)*AF112-ERP_i)*AE112*Ramure*Pc/MaxiM</f>
        <v>6.1822720108489895E-2</v>
      </c>
      <c r="AE112" s="305">
        <f t="shared" si="40"/>
        <v>0.8</v>
      </c>
      <c r="AF112" s="177">
        <f t="shared" si="41"/>
        <v>0.2412106174029649</v>
      </c>
      <c r="AG112" s="809">
        <f t="shared" si="49"/>
        <v>4</v>
      </c>
      <c r="AH112" s="176">
        <f t="shared" si="42"/>
        <v>10</v>
      </c>
      <c r="AI112" s="225">
        <f t="shared" si="43"/>
        <v>4.2412106174029649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IF(t&gt;Tmaj,'2026'!Wh/'2026'!Env_an*'2027'!Env_an,0.001*'[6]mon-tableau'!$B$144)</f>
        <v>30.281755882410266</v>
      </c>
      <c r="C113" s="839"/>
      <c r="D113" s="393">
        <f t="shared" si="25"/>
        <v>33.360677414557145</v>
      </c>
      <c r="E113" s="385">
        <f t="shared" si="47"/>
        <v>37.912820795495264</v>
      </c>
      <c r="F113" s="385">
        <f t="shared" si="26"/>
        <v>38.788958849204988</v>
      </c>
      <c r="G113" s="110">
        <f t="shared" si="48"/>
        <v>0.7334010633463528</v>
      </c>
      <c r="H113" s="414" t="b">
        <f>Wh_hp&gt;='2026'!Maxi_hp</f>
        <v>0</v>
      </c>
      <c r="I113" s="390">
        <f>IF(H113,Wh_hp,'2026'!Maxi_hp)</f>
        <v>43.332487476984227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9.2291936817906844E-2</v>
      </c>
      <c r="M113" s="843"/>
      <c r="N113" s="843"/>
      <c r="O113" s="48">
        <f>IF(t&lt;Tnet,'2026'!Resal+('2026'!Salim-'2026'!Resal)*(1-EXP(('2026'!Tnet-t)/('2026'!Tau_j))),Resal+(Salim-Resal)*(1-EXP((Tnet-t)/(Tau_j))))*Salcycl</f>
        <v>0.12006870724530729</v>
      </c>
      <c r="P113" s="169">
        <f>(INDEX(Models!$BJ113:$BT113,,T113)*(1-R113)+INDEX(Models!$BJ113:$BT113,,T113+1)*R113-ERP_i)*Q113*Ramure*Pc/MaxiM</f>
        <v>3.5663181201902448E-2</v>
      </c>
      <c r="Q113" s="305">
        <f t="shared" si="28"/>
        <v>0.8</v>
      </c>
      <c r="R113" s="177">
        <f t="shared" si="29"/>
        <v>4.2127237023140474E-2</v>
      </c>
      <c r="S113" s="809">
        <f t="shared" si="30"/>
        <v>3</v>
      </c>
      <c r="T113" s="176">
        <f t="shared" si="31"/>
        <v>9</v>
      </c>
      <c r="U113" s="251">
        <f t="shared" si="32"/>
        <v>3.0421272370231405</v>
      </c>
      <c r="V113" s="383">
        <f t="shared" si="33"/>
        <v>40.737117151308702</v>
      </c>
      <c r="W113" s="402">
        <f t="shared" si="34"/>
        <v>30.281755882410266</v>
      </c>
      <c r="X113" s="157">
        <f t="shared" si="35"/>
        <v>46486</v>
      </c>
      <c r="Y113" s="385">
        <f t="shared" si="36"/>
        <v>28.468093710403647</v>
      </c>
      <c r="Z113" s="385">
        <f t="shared" si="37"/>
        <v>31.362609703614289</v>
      </c>
      <c r="AA113" s="386">
        <f t="shared" si="38"/>
        <v>37.280542967884173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0.15874053308096847</v>
      </c>
      <c r="AD113" s="231">
        <f>(INDEX(Models!$BJ113:$BT113,,AH113)*(1-AF113)+INDEX(Models!$BJ113:$BT113,,AH113+1)*AF113-ERP_i)*AE113*Ramure*Pc/MaxiM</f>
        <v>6.140003698685878E-2</v>
      </c>
      <c r="AE113" s="305">
        <f t="shared" si="40"/>
        <v>0.8</v>
      </c>
      <c r="AF113" s="177">
        <f t="shared" si="41"/>
        <v>0.24284398418804454</v>
      </c>
      <c r="AG113" s="809">
        <f t="shared" si="49"/>
        <v>4</v>
      </c>
      <c r="AH113" s="176">
        <f t="shared" si="42"/>
        <v>10</v>
      </c>
      <c r="AI113" s="225">
        <f t="shared" si="43"/>
        <v>4.2428439841880445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IF(t&gt;Tmaj,'2026'!Wh/'2026'!Env_an*'2027'!Env_an,0.001*'[6]mon-tableau'!$B$145)</f>
        <v>39.89008237954846</v>
      </c>
      <c r="C114" s="839"/>
      <c r="D114" s="393">
        <f t="shared" si="25"/>
        <v>43.946984620649161</v>
      </c>
      <c r="E114" s="385">
        <f t="shared" si="47"/>
        <v>49.950019372514831</v>
      </c>
      <c r="F114" s="385">
        <f t="shared" si="26"/>
        <v>51.681326475490323</v>
      </c>
      <c r="G114" s="110">
        <f t="shared" si="48"/>
        <v>0.97084463904346252</v>
      </c>
      <c r="H114" s="414" t="b">
        <f>Wh_hp&gt;='2026'!Maxi_hp</f>
        <v>0</v>
      </c>
      <c r="I114" s="390">
        <f>IF(H114,Wh_hp,'2026'!Maxi_hp)</f>
        <v>53.455243179157556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9.2313551797010091E-2</v>
      </c>
      <c r="M114" s="843"/>
      <c r="N114" s="843"/>
      <c r="O114" s="48">
        <f>IF(t&lt;Tnet,'2026'!Resal+('2026'!Salim-'2026'!Resal)*(1-EXP(('2026'!Tnet-t)/('2026'!Tau_j))),Resal+(Salim-Resal)*(1-EXP((Tnet-t)/(Tau_j))))*Salcycl</f>
        <v>0.1201808293025179</v>
      </c>
      <c r="P114" s="169">
        <f>(INDEX(Models!$BJ114:$BT114,,T114)*(1-R114)+INDEX(Models!$BJ114:$BT114,,T114+1)*R114-ERP_i)*Q114*Ramure*Pc/MaxiM</f>
        <v>3.4883212631709772E-2</v>
      </c>
      <c r="Q114" s="305">
        <f t="shared" si="28"/>
        <v>0.8</v>
      </c>
      <c r="R114" s="177">
        <f t="shared" si="29"/>
        <v>4.3819004350751811E-2</v>
      </c>
      <c r="S114" s="809">
        <f t="shared" si="30"/>
        <v>3</v>
      </c>
      <c r="T114" s="176">
        <f t="shared" si="31"/>
        <v>9</v>
      </c>
      <c r="U114" s="251">
        <f t="shared" si="32"/>
        <v>3.0438190043507518</v>
      </c>
      <c r="V114" s="383">
        <f t="shared" si="33"/>
        <v>41.029200769146748</v>
      </c>
      <c r="W114" s="402">
        <f t="shared" si="34"/>
        <v>39.89008237954846</v>
      </c>
      <c r="X114" s="157">
        <f t="shared" si="35"/>
        <v>46487</v>
      </c>
      <c r="Y114" s="385">
        <f t="shared" si="36"/>
        <v>37.153644356880498</v>
      </c>
      <c r="Z114" s="385">
        <f t="shared" si="37"/>
        <v>40.93224530391101</v>
      </c>
      <c r="AA114" s="386">
        <f t="shared" si="38"/>
        <v>48.659799553518077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0.15880776987393841</v>
      </c>
      <c r="AD114" s="231">
        <f>(INDEX(Models!$BJ114:$BT114,,AH114)*(1-AF114)+INDEX(Models!$BJ114:$BT114,,AH114+1)*AF114-ERP_i)*AE114*Ramure*Pc/MaxiM</f>
        <v>6.087918539145825E-2</v>
      </c>
      <c r="AE114" s="305">
        <f t="shared" si="40"/>
        <v>0.8</v>
      </c>
      <c r="AF114" s="177">
        <f t="shared" si="41"/>
        <v>0.24453575151565499</v>
      </c>
      <c r="AG114" s="809">
        <f t="shared" si="49"/>
        <v>4</v>
      </c>
      <c r="AH114" s="176">
        <f t="shared" si="42"/>
        <v>10</v>
      </c>
      <c r="AI114" s="225">
        <f t="shared" si="43"/>
        <v>4.244535751515655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IF(t&gt;Tmaj,'2026'!Wh/'2026'!Env_an*'2027'!Env_an,0.001*'[6]mon-tableau'!$B$146)</f>
        <v>33.697768461180118</v>
      </c>
      <c r="C115" s="839"/>
      <c r="D115" s="393">
        <f t="shared" si="25"/>
        <v>37.125783889650194</v>
      </c>
      <c r="E115" s="385">
        <f t="shared" si="47"/>
        <v>42.202506950474621</v>
      </c>
      <c r="F115" s="385">
        <f t="shared" si="26"/>
        <v>43.289432672140869</v>
      </c>
      <c r="G115" s="110">
        <f t="shared" si="48"/>
        <v>0.80807270155820243</v>
      </c>
      <c r="H115" s="414" t="b">
        <f>Wh_hp&gt;='2026'!Maxi_hp</f>
        <v>0</v>
      </c>
      <c r="I115" s="390">
        <f>IF(H115,Wh_hp,'2026'!Maxi_hp)</f>
        <v>54.340445908416534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9.233516627310126E-2</v>
      </c>
      <c r="M115" s="843"/>
      <c r="N115" s="843"/>
      <c r="O115" s="48">
        <f>IF(t&lt;Tnet,'2026'!Resal+('2026'!Salim-'2026'!Resal)*(1-EXP(('2026'!Tnet-t)/('2026'!Tau_j))),Resal+(Salim-Resal)*(1-EXP((Tnet-t)/(Tau_j))))*Salcycl</f>
        <v>0.12029434807704782</v>
      </c>
      <c r="P115" s="169">
        <f>(INDEX(Models!$BJ115:$BT115,,T115)*(1-R115)+INDEX(Models!$BJ115:$BT115,,T115+1)*R115-ERP_i)*Q115*Ramure*Pc/MaxiM</f>
        <v>3.4089056898394518E-2</v>
      </c>
      <c r="Q115" s="305">
        <f t="shared" si="28"/>
        <v>0.8</v>
      </c>
      <c r="R115" s="177">
        <f t="shared" si="29"/>
        <v>4.5570854909827929E-2</v>
      </c>
      <c r="S115" s="809">
        <f t="shared" si="30"/>
        <v>3</v>
      </c>
      <c r="T115" s="176">
        <f t="shared" si="31"/>
        <v>9</v>
      </c>
      <c r="U115" s="251">
        <f t="shared" si="32"/>
        <v>3.0455708549098279</v>
      </c>
      <c r="V115" s="383">
        <f t="shared" si="33"/>
        <v>41.317252742995727</v>
      </c>
      <c r="W115" s="402">
        <f t="shared" si="34"/>
        <v>33.697768461180118</v>
      </c>
      <c r="X115" s="157">
        <f t="shared" si="35"/>
        <v>46488</v>
      </c>
      <c r="Y115" s="385">
        <f t="shared" si="36"/>
        <v>31.581665538526995</v>
      </c>
      <c r="Z115" s="385">
        <f t="shared" si="37"/>
        <v>34.794413493857348</v>
      </c>
      <c r="AA115" s="386">
        <f t="shared" si="38"/>
        <v>41.36661398335422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0.15887692650265012</v>
      </c>
      <c r="AD115" s="231">
        <f>(INDEX(Models!$BJ115:$BT115,,AH115)*(1-AF115)+INDEX(Models!$BJ115:$BT115,,AH115+1)*AF115-ERP_i)*AE115*Ramure*Pc/MaxiM</f>
        <v>6.030501843940296E-2</v>
      </c>
      <c r="AE115" s="305">
        <f t="shared" si="40"/>
        <v>0.8</v>
      </c>
      <c r="AF115" s="177">
        <f t="shared" si="41"/>
        <v>0.24628760207473199</v>
      </c>
      <c r="AG115" s="809">
        <f t="shared" si="49"/>
        <v>4</v>
      </c>
      <c r="AH115" s="176">
        <f t="shared" si="42"/>
        <v>10</v>
      </c>
      <c r="AI115" s="225">
        <f t="shared" si="43"/>
        <v>4.246287602074732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IF(t&gt;Tmaj,'2026'!Wh/'2026'!Env_an*'2027'!Env_an,0.001*'[6]mon-tableau'!$B$147)</f>
        <v>28.132987775560434</v>
      </c>
      <c r="C116" s="839"/>
      <c r="D116" s="393">
        <f t="shared" si="25"/>
        <v>30.995645825670699</v>
      </c>
      <c r="E116" s="385">
        <f t="shared" si="47"/>
        <v>35.2387146575755</v>
      </c>
      <c r="F116" s="385">
        <f t="shared" si="26"/>
        <v>35.880548696168027</v>
      </c>
      <c r="G116" s="110">
        <f t="shared" si="48"/>
        <v>0.66565279489229112</v>
      </c>
      <c r="H116" s="414" t="b">
        <f>Wh_hp&gt;='2026'!Maxi_hp</f>
        <v>0</v>
      </c>
      <c r="I116" s="390">
        <f>IF(H116,Wh_hp,'2026'!Maxi_hp)</f>
        <v>55.077370568801221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9.2356780246192011E-2</v>
      </c>
      <c r="M116" s="843"/>
      <c r="N116" s="843"/>
      <c r="O116" s="48">
        <f>IF(t&lt;Tnet,'2026'!Resal+('2026'!Salim-'2026'!Resal)*(1-EXP(('2026'!Tnet-t)/('2026'!Tau_j))),Resal+(Salim-Resal)*(1-EXP((Tnet-t)/(Tau_j))))*Salcycl</f>
        <v>0.1204092962281937</v>
      </c>
      <c r="P116" s="169">
        <f>(INDEX(Models!$BJ116:$BT116,,T116)*(1-R116)+INDEX(Models!$BJ116:$BT116,,T116+1)*R116-ERP_i)*Q116*Ramure*Pc/MaxiM</f>
        <v>3.3280037169206932E-2</v>
      </c>
      <c r="Q116" s="305">
        <f t="shared" si="28"/>
        <v>0.8</v>
      </c>
      <c r="R116" s="177">
        <f t="shared" si="29"/>
        <v>4.7384487952182308E-2</v>
      </c>
      <c r="S116" s="809">
        <f t="shared" si="30"/>
        <v>3</v>
      </c>
      <c r="T116" s="176">
        <f t="shared" si="31"/>
        <v>9</v>
      </c>
      <c r="U116" s="251">
        <f t="shared" si="32"/>
        <v>3.0473844879521823</v>
      </c>
      <c r="V116" s="383">
        <f t="shared" si="33"/>
        <v>41.601386136721146</v>
      </c>
      <c r="W116" s="402">
        <f t="shared" si="34"/>
        <v>28.132987775560434</v>
      </c>
      <c r="X116" s="157">
        <f t="shared" si="35"/>
        <v>46489</v>
      </c>
      <c r="Y116" s="385">
        <f t="shared" si="36"/>
        <v>26.511726279981151</v>
      </c>
      <c r="Z116" s="385">
        <f t="shared" si="37"/>
        <v>29.209413680380131</v>
      </c>
      <c r="AA116" s="386">
        <f t="shared" si="38"/>
        <v>34.729618590738689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0.1589480430352502</v>
      </c>
      <c r="AD116" s="231">
        <f>(INDEX(Models!$BJ116:$BT116,,AH116)*(1-AF116)+INDEX(Models!$BJ116:$BT116,,AH116+1)*AF116-ERP_i)*AE116*Ramure*Pc/MaxiM</f>
        <v>5.9677415631994732E-2</v>
      </c>
      <c r="AE116" s="305">
        <f t="shared" si="40"/>
        <v>0.8</v>
      </c>
      <c r="AF116" s="177">
        <f t="shared" si="41"/>
        <v>0.24810123511708593</v>
      </c>
      <c r="AG116" s="809">
        <f t="shared" si="49"/>
        <v>4</v>
      </c>
      <c r="AH116" s="176">
        <f t="shared" si="42"/>
        <v>10</v>
      </c>
      <c r="AI116" s="225">
        <f t="shared" si="43"/>
        <v>4.2481012351170859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IF(t&gt;Tmaj,'2026'!Wh/'2026'!Env_an*'2027'!Env_an,0.001*'[6]mon-tableau'!$B$148)</f>
        <v>6.0823876916620305</v>
      </c>
      <c r="C117" s="839"/>
      <c r="D117" s="393">
        <f t="shared" si="25"/>
        <v>6.7014575783036028</v>
      </c>
      <c r="E117" s="385">
        <f t="shared" si="47"/>
        <v>7.6198447352385275</v>
      </c>
      <c r="F117" s="385">
        <f t="shared" si="26"/>
        <v>7.6198447352385275</v>
      </c>
      <c r="G117" s="110">
        <f t="shared" si="48"/>
        <v>0.14051432611790363</v>
      </c>
      <c r="H117" s="414" t="b">
        <f>Wh_hp&gt;='2026'!Maxi_hp</f>
        <v>0</v>
      </c>
      <c r="I117" s="390">
        <f>IF(H117,Wh_hp,'2026'!Maxi_hp)</f>
        <v>54.846872874129055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9.2378393716293999E-2</v>
      </c>
      <c r="M117" s="843"/>
      <c r="N117" s="843"/>
      <c r="O117" s="48">
        <f>IF(t&lt;Tnet,'2026'!Resal+('2026'!Salim-'2026'!Resal)*(1-EXP(('2026'!Tnet-t)/('2026'!Tau_j))),Resal+(Salim-Resal)*(1-EXP((Tnet-t)/(Tau_j))))*Salcycl</f>
        <v>0.12052570476768062</v>
      </c>
      <c r="P117" s="169">
        <f>(INDEX(Models!$BJ117:$BT117,,T117)*(1-R117)+INDEX(Models!$BJ117:$BT117,,T117+1)*R117-ERP_i)*Q117*Ramure*Pc/MaxiM</f>
        <v>3.245543616410531E-2</v>
      </c>
      <c r="Q117" s="305">
        <f t="shared" si="28"/>
        <v>0.8</v>
      </c>
      <c r="R117" s="177">
        <f t="shared" si="29"/>
        <v>4.9261616671687936E-2</v>
      </c>
      <c r="S117" s="809">
        <f t="shared" si="30"/>
        <v>3</v>
      </c>
      <c r="T117" s="176">
        <f t="shared" si="31"/>
        <v>9</v>
      </c>
      <c r="U117" s="251">
        <f t="shared" si="32"/>
        <v>3.0492616166716879</v>
      </c>
      <c r="V117" s="383">
        <f t="shared" si="33"/>
        <v>41.881716326006135</v>
      </c>
      <c r="W117" s="402">
        <f t="shared" si="34"/>
        <v>6.0823876916620305</v>
      </c>
      <c r="X117" s="157">
        <f t="shared" si="35"/>
        <v>46490</v>
      </c>
      <c r="Y117" s="385">
        <f t="shared" si="36"/>
        <v>5.8161556165348705</v>
      </c>
      <c r="Z117" s="385">
        <f t="shared" si="37"/>
        <v>6.4081282070282111</v>
      </c>
      <c r="AA117" s="386">
        <f t="shared" si="38"/>
        <v>7.6198447352385275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0.15902115729558697</v>
      </c>
      <c r="AD117" s="231">
        <f>(INDEX(Models!$BJ117:$BT117,,AH117)*(1-AF117)+INDEX(Models!$BJ117:$BT117,,AH117+1)*AF117-ERP_i)*AE117*Ramure*Pc/MaxiM</f>
        <v>5.899612819671822E-2</v>
      </c>
      <c r="AE117" s="305">
        <f t="shared" si="40"/>
        <v>0.8</v>
      </c>
      <c r="AF117" s="177">
        <f t="shared" si="41"/>
        <v>0.24997836383659156</v>
      </c>
      <c r="AG117" s="809">
        <f t="shared" si="49"/>
        <v>4</v>
      </c>
      <c r="AH117" s="176">
        <f t="shared" si="42"/>
        <v>10</v>
      </c>
      <c r="AI117" s="225">
        <f t="shared" si="43"/>
        <v>4.2499783638365916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IF(t&gt;Tmaj,'2026'!Wh/'2026'!Env_an*'2027'!Env_an,0.001*'[6]mon-tableau'!$B$149)</f>
        <v>31.197697210129004</v>
      </c>
      <c r="C118" s="839"/>
      <c r="D118" s="393">
        <f t="shared" si="25"/>
        <v>34.373840281912493</v>
      </c>
      <c r="E118" s="385">
        <f t="shared" si="47"/>
        <v>39.089771107936542</v>
      </c>
      <c r="F118" s="385">
        <f t="shared" si="26"/>
        <v>39.882333375683558</v>
      </c>
      <c r="G118" s="110">
        <f t="shared" si="48"/>
        <v>0.73114671253534147</v>
      </c>
      <c r="H118" s="414" t="b">
        <f>Wh_hp&gt;='2026'!Maxi_hp</f>
        <v>0</v>
      </c>
      <c r="I118" s="390">
        <f>IF(H118,Wh_hp,'2026'!Maxi_hp)</f>
        <v>54.86097401033841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9.2400006683418884E-2</v>
      </c>
      <c r="M118" s="843"/>
      <c r="N118" s="843"/>
      <c r="O118" s="48">
        <f>IF(t&lt;Tnet,'2026'!Resal+('2026'!Salim-'2026'!Resal)*(1-EXP(('2026'!Tnet-t)/('2026'!Tau_j))),Resal+(Salim-Resal)*(1-EXP((Tnet-t)/(Tau_j))))*Salcycl</f>
        <v>0.12064360297741826</v>
      </c>
      <c r="P118" s="169">
        <f>(INDEX(Models!$BJ118:$BT118,,T118)*(1-R118)+INDEX(Models!$BJ118:$BT118,,T118+1)*R118-ERP_i)*Q118*Ramure*Pc/MaxiM</f>
        <v>3.1614495521001512E-2</v>
      </c>
      <c r="Q118" s="305">
        <f t="shared" si="28"/>
        <v>0.8</v>
      </c>
      <c r="R118" s="177">
        <f t="shared" si="29"/>
        <v>5.1203965327164092E-2</v>
      </c>
      <c r="S118" s="809">
        <f t="shared" si="30"/>
        <v>3</v>
      </c>
      <c r="T118" s="176">
        <f t="shared" si="31"/>
        <v>9</v>
      </c>
      <c r="U118" s="251">
        <f t="shared" si="32"/>
        <v>3.0512039653271641</v>
      </c>
      <c r="V118" s="383">
        <f t="shared" si="33"/>
        <v>42.158361069957721</v>
      </c>
      <c r="W118" s="402">
        <f t="shared" si="34"/>
        <v>31.197697210129004</v>
      </c>
      <c r="X118" s="157">
        <f t="shared" si="35"/>
        <v>46491</v>
      </c>
      <c r="Y118" s="385">
        <f t="shared" si="36"/>
        <v>29.323648006729396</v>
      </c>
      <c r="Z118" s="385">
        <f t="shared" si="37"/>
        <v>32.308999804609932</v>
      </c>
      <c r="AA118" s="386">
        <f t="shared" si="38"/>
        <v>38.42175981331286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0.15909630476074385</v>
      </c>
      <c r="AD118" s="231">
        <f>(INDEX(Models!$BJ118:$BT118,,AH118)*(1-AF118)+INDEX(Models!$BJ118:$BT118,,AH118+1)*AF118-ERP_i)*AE118*Ramure*Pc/MaxiM</f>
        <v>5.8260780540212026E-2</v>
      </c>
      <c r="AE118" s="305">
        <f t="shared" si="40"/>
        <v>0.8</v>
      </c>
      <c r="AF118" s="177">
        <f t="shared" si="41"/>
        <v>0.25192071249206816</v>
      </c>
      <c r="AG118" s="809">
        <f t="shared" si="49"/>
        <v>4</v>
      </c>
      <c r="AH118" s="176">
        <f t="shared" si="42"/>
        <v>10</v>
      </c>
      <c r="AI118" s="225">
        <f t="shared" si="43"/>
        <v>4.2519207124920682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IF(t&gt;Tmaj,'2026'!Wh/'2026'!Env_an*'2027'!Env_an,0.001*'[6]mon-tableau'!$B$150)</f>
        <v>36.548027827892888</v>
      </c>
      <c r="C119" s="839"/>
      <c r="D119" s="393">
        <f t="shared" si="25"/>
        <v>40.269830792538293</v>
      </c>
      <c r="E119" s="385">
        <f t="shared" si="47"/>
        <v>45.800883756987432</v>
      </c>
      <c r="F119" s="385">
        <f t="shared" si="26"/>
        <v>46.959089512362269</v>
      </c>
      <c r="G119" s="110">
        <f t="shared" si="48"/>
        <v>0.85596284863486094</v>
      </c>
      <c r="H119" s="414" t="b">
        <f>Wh_hp&gt;='2026'!Maxi_hp</f>
        <v>0</v>
      </c>
      <c r="I119" s="390">
        <f>IF(H119,Wh_hp,'2026'!Maxi_hp)</f>
        <v>55.982036059106356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9.2421619147578543E-2</v>
      </c>
      <c r="M119" s="843"/>
      <c r="N119" s="843"/>
      <c r="O119" s="48">
        <f>IF(t&lt;Tnet,'2026'!Resal+('2026'!Salim-'2026'!Resal)*(1-EXP(('2026'!Tnet-t)/('2026'!Tau_j))),Resal+(Salim-Resal)*(1-EXP((Tnet-t)/(Tau_j))))*Salcycl</f>
        <v>0.12076301832506268</v>
      </c>
      <c r="P119" s="169">
        <f>(INDEX(Models!$BJ119:$BT119,,T119)*(1-R119)+INDEX(Models!$BJ119:$BT119,,T119+1)*R119-ERP_i)*Q119*Ramure*Pc/MaxiM</f>
        <v>3.0756415220208121E-2</v>
      </c>
      <c r="Q119" s="305">
        <f t="shared" si="28"/>
        <v>0.8</v>
      </c>
      <c r="R119" s="177">
        <f t="shared" si="29"/>
        <v>5.3213266098602219E-2</v>
      </c>
      <c r="S119" s="809">
        <f t="shared" si="30"/>
        <v>3</v>
      </c>
      <c r="T119" s="176">
        <f t="shared" si="31"/>
        <v>9</v>
      </c>
      <c r="U119" s="251">
        <f t="shared" si="32"/>
        <v>3.0532132660986022</v>
      </c>
      <c r="V119" s="383">
        <f t="shared" si="33"/>
        <v>42.431440559195565</v>
      </c>
      <c r="W119" s="402">
        <f t="shared" si="34"/>
        <v>36.548027827892888</v>
      </c>
      <c r="X119" s="157">
        <f t="shared" si="35"/>
        <v>46492</v>
      </c>
      <c r="Y119" s="385">
        <f t="shared" si="36"/>
        <v>34.183692569153976</v>
      </c>
      <c r="Z119" s="385">
        <f t="shared" si="37"/>
        <v>37.664727686712581</v>
      </c>
      <c r="AA119" s="386">
        <f t="shared" si="38"/>
        <v>44.794887546295406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0.15917351845595823</v>
      </c>
      <c r="AD119" s="231">
        <f>(INDEX(Models!$BJ119:$BT119,,AH119)*(1-AF119)+INDEX(Models!$BJ119:$BT119,,AH119+1)*AF119-ERP_i)*AE119*Ramure*Pc/MaxiM</f>
        <v>5.7470871630404936E-2</v>
      </c>
      <c r="AE119" s="305">
        <f t="shared" si="40"/>
        <v>0.8</v>
      </c>
      <c r="AF119" s="177">
        <f t="shared" si="41"/>
        <v>0.25393001326350539</v>
      </c>
      <c r="AG119" s="809">
        <f t="shared" si="49"/>
        <v>4</v>
      </c>
      <c r="AH119" s="176">
        <f t="shared" si="42"/>
        <v>10</v>
      </c>
      <c r="AI119" s="225">
        <f t="shared" si="43"/>
        <v>4.2539300132635054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IF(t&gt;Tmaj,'2026'!Wh/'2026'!Env_an*'2027'!Env_an,0.001*'[6]mon-tableau'!$B$151)</f>
        <v>38.155164037848472</v>
      </c>
      <c r="C120" s="839"/>
      <c r="D120" s="393">
        <f t="shared" si="25"/>
        <v>42.041627968312753</v>
      </c>
      <c r="E120" s="385">
        <f t="shared" si="47"/>
        <v>47.822615944420157</v>
      </c>
      <c r="F120" s="385">
        <f t="shared" si="26"/>
        <v>49.065746756344801</v>
      </c>
      <c r="G120" s="110">
        <f t="shared" si="48"/>
        <v>0.88937491401398405</v>
      </c>
      <c r="H120" s="414" t="b">
        <f>Wh_hp&gt;='2026'!Maxi_hp</f>
        <v>0</v>
      </c>
      <c r="I120" s="390">
        <f>IF(H120,Wh_hp,'2026'!Maxi_hp)</f>
        <v>49.294140738939028</v>
      </c>
      <c r="J120" s="85">
        <f>IF(H120,An,'2026'!An_max)</f>
        <v>2022</v>
      </c>
      <c r="K120" s="197">
        <f t="shared" si="27"/>
        <v>46493</v>
      </c>
      <c r="L120" s="147">
        <f>IF(t&lt;Tvie,1-EXP((T0-t)*PertePVj)+'2026'!Pspv,1-EXP((T0-t)*PertePVj)+Pspv)</f>
        <v>9.2443231108784635E-2</v>
      </c>
      <c r="M120" s="843"/>
      <c r="N120" s="843"/>
      <c r="O120" s="48">
        <f>IF(t&lt;Tnet,'2026'!Resal+('2026'!Salim-'2026'!Resal)*(1-EXP(('2026'!Tnet-t)/('2026'!Tau_j))),Resal+(Salim-Resal)*(1-EXP((Tnet-t)/(Tau_j))))*Salcycl</f>
        <v>0.12088397637691164</v>
      </c>
      <c r="P120" s="169">
        <f>(INDEX(Models!$BJ120:$BT120,,T120)*(1-R120)+INDEX(Models!$BJ120:$BT120,,T120+1)*R120-ERP_i)*Q120*Ramure*Pc/MaxiM</f>
        <v>2.9880353034151437E-2</v>
      </c>
      <c r="Q120" s="305">
        <f t="shared" si="28"/>
        <v>0.8</v>
      </c>
      <c r="R120" s="177">
        <f t="shared" si="29"/>
        <v>5.5291255666972905E-2</v>
      </c>
      <c r="S120" s="809">
        <f t="shared" si="30"/>
        <v>3</v>
      </c>
      <c r="T120" s="176">
        <f t="shared" si="31"/>
        <v>9</v>
      </c>
      <c r="U120" s="251">
        <f t="shared" si="32"/>
        <v>3.0552912556669729</v>
      </c>
      <c r="V120" s="383">
        <f t="shared" si="33"/>
        <v>42.701077489381035</v>
      </c>
      <c r="W120" s="402">
        <f t="shared" si="34"/>
        <v>38.155164037848472</v>
      </c>
      <c r="X120" s="157">
        <f t="shared" si="35"/>
        <v>46493</v>
      </c>
      <c r="Y120" s="385">
        <f t="shared" si="36"/>
        <v>35.640865458279862</v>
      </c>
      <c r="Z120" s="385">
        <f t="shared" si="37"/>
        <v>39.27122432442787</v>
      </c>
      <c r="AA120" s="386">
        <f t="shared" si="38"/>
        <v>46.709909556447535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0.15925282884631231</v>
      </c>
      <c r="AD120" s="231">
        <f>(INDEX(Models!$BJ120:$BT120,,AH120)*(1-AF120)+INDEX(Models!$BJ120:$BT120,,AH120+1)*AF120-ERP_i)*AE120*Ramure*Pc/MaxiM</f>
        <v>5.6625776264794578E-2</v>
      </c>
      <c r="AE120" s="305">
        <f t="shared" si="40"/>
        <v>0.8</v>
      </c>
      <c r="AF120" s="177">
        <f t="shared" si="41"/>
        <v>0.25600800283187652</v>
      </c>
      <c r="AG120" s="809">
        <f t="shared" si="49"/>
        <v>4</v>
      </c>
      <c r="AH120" s="176">
        <f t="shared" si="42"/>
        <v>10</v>
      </c>
      <c r="AI120" s="225">
        <f t="shared" si="43"/>
        <v>4.2560080028318765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IF(t&gt;Tmaj,'2026'!Wh/'2026'!Env_an*'2027'!Env_an,0.001*'[6]mon-tableau'!$B$152)</f>
        <v>41.581332859039442</v>
      </c>
      <c r="C121" s="839"/>
      <c r="D121" s="393">
        <f t="shared" si="25"/>
        <v>45.817875504301298</v>
      </c>
      <c r="E121" s="385">
        <f t="shared" si="47"/>
        <v>52.125386070764286</v>
      </c>
      <c r="F121" s="385">
        <f t="shared" si="26"/>
        <v>53.607638164968577</v>
      </c>
      <c r="G121" s="110">
        <f t="shared" si="48"/>
        <v>0.9664172492895533</v>
      </c>
      <c r="H121" s="414" t="b">
        <f>Wh_hp&gt;='2026'!Maxi_hp</f>
        <v>0</v>
      </c>
      <c r="I121" s="390">
        <f>IF(H121,Wh_hp,'2026'!Maxi_hp)</f>
        <v>53.680903826965675</v>
      </c>
      <c r="J121" s="85">
        <f>IF(H121,An,'2026'!An_max)</f>
        <v>2022</v>
      </c>
      <c r="K121" s="197">
        <f t="shared" si="27"/>
        <v>46494</v>
      </c>
      <c r="L121" s="147">
        <f>IF(t&lt;Tvie,1-EXP((T0-t)*PertePVj)+'2026'!Pspv,1-EXP((T0-t)*PertePVj)+Pspv)</f>
        <v>9.2464842567048705E-2</v>
      </c>
      <c r="M121" s="843"/>
      <c r="N121" s="843"/>
      <c r="O121" s="48">
        <f>IF(t&lt;Tnet,'2026'!Resal+('2026'!Salim-'2026'!Resal)*(1-EXP(('2026'!Tnet-t)/('2026'!Tau_j))),Resal+(Salim-Resal)*(1-EXP((Tnet-t)/(Tau_j))))*Salcycl</f>
        <v>0.12100650070773669</v>
      </c>
      <c r="P121" s="169">
        <f>(INDEX(Models!$BJ121:$BT121,,T121)*(1-R121)+INDEX(Models!$BJ121:$BT121,,T121+1)*R121-ERP_i)*Q121*Ramure*Pc/MaxiM</f>
        <v>2.8985569160974462E-2</v>
      </c>
      <c r="Q121" s="305">
        <f t="shared" si="28"/>
        <v>0.8</v>
      </c>
      <c r="R121" s="177">
        <f t="shared" si="29"/>
        <v>5.7439671508585199E-2</v>
      </c>
      <c r="S121" s="809">
        <f t="shared" si="30"/>
        <v>3</v>
      </c>
      <c r="T121" s="176">
        <f t="shared" si="31"/>
        <v>9</v>
      </c>
      <c r="U121" s="251">
        <f t="shared" si="32"/>
        <v>3.0574396715085852</v>
      </c>
      <c r="V121" s="383">
        <f t="shared" si="33"/>
        <v>42.967175574757725</v>
      </c>
      <c r="W121" s="402">
        <f t="shared" si="34"/>
        <v>41.581332859039442</v>
      </c>
      <c r="X121" s="157">
        <f t="shared" si="35"/>
        <v>46494</v>
      </c>
      <c r="Y121" s="385">
        <f t="shared" si="36"/>
        <v>38.724985335571525</v>
      </c>
      <c r="Z121" s="385">
        <f t="shared" si="37"/>
        <v>42.670507052430665</v>
      </c>
      <c r="AA121" s="386">
        <f t="shared" si="38"/>
        <v>50.757994778623996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0.15933426372468243</v>
      </c>
      <c r="AD121" s="231">
        <f>(INDEX(Models!$BJ121:$BT121,,AH121)*(1-AF121)+INDEX(Models!$BJ121:$BT121,,AH121+1)*AF121-ERP_i)*AE121*Ramure*Pc/MaxiM</f>
        <v>5.5725025305729321E-2</v>
      </c>
      <c r="AE121" s="305">
        <f t="shared" si="40"/>
        <v>0.8</v>
      </c>
      <c r="AF121" s="177">
        <f t="shared" si="41"/>
        <v>0.25815641867348837</v>
      </c>
      <c r="AG121" s="809">
        <f t="shared" si="49"/>
        <v>4</v>
      </c>
      <c r="AH121" s="176">
        <f t="shared" si="42"/>
        <v>10</v>
      </c>
      <c r="AI121" s="225">
        <f t="shared" si="43"/>
        <v>4.2581564186734884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IF(t&gt;Tmaj,'2026'!Wh/'2026'!Env_an*'2027'!Env_an,0.001*'[6]mon-tableau'!$B$153)</f>
        <v>32.546193096523687</v>
      </c>
      <c r="C122" s="839"/>
      <c r="D122" s="393">
        <f t="shared" si="25"/>
        <v>35.863038323611839</v>
      </c>
      <c r="E122" s="385">
        <f t="shared" si="47"/>
        <v>40.805879515457562</v>
      </c>
      <c r="F122" s="385">
        <f t="shared" si="26"/>
        <v>41.560901717016662</v>
      </c>
      <c r="G122" s="110">
        <f t="shared" si="48"/>
        <v>0.74527368176226971</v>
      </c>
      <c r="H122" s="414" t="b">
        <f>Wh_hp&gt;='2026'!Maxi_hp</f>
        <v>0</v>
      </c>
      <c r="I122" s="390">
        <f>IF(H122,Wh_hp,'2026'!Maxi_hp)</f>
        <v>41.982059519389949</v>
      </c>
      <c r="J122" s="85">
        <f>IF(H122,An,'2026'!An_max)</f>
        <v>2022</v>
      </c>
      <c r="K122" s="197">
        <f t="shared" si="27"/>
        <v>46495</v>
      </c>
      <c r="L122" s="147">
        <f>IF(t&lt;Tvie,1-EXP((T0-t)*PertePVj)+'2026'!Pspv,1-EXP((T0-t)*PertePVj)+Pspv)</f>
        <v>9.2486453522382633E-2</v>
      </c>
      <c r="M122" s="843"/>
      <c r="N122" s="843"/>
      <c r="O122" s="48">
        <f>IF(t&lt;Tnet,'2026'!Resal+('2026'!Salim-'2026'!Resal)*(1-EXP(('2026'!Tnet-t)/('2026'!Tau_j))),Resal+(Salim-Resal)*(1-EXP((Tnet-t)/(Tau_j))))*Salcycl</f>
        <v>0.12113061280723875</v>
      </c>
      <c r="P122" s="169">
        <f>(INDEX(Models!$BJ122:$BT122,,T122)*(1-R122)+INDEX(Models!$BJ122:$BT122,,T122+1)*R122-ERP_i)*Q122*Ramure*Pc/MaxiM</f>
        <v>2.8079818975201787E-2</v>
      </c>
      <c r="Q122" s="305">
        <f t="shared" si="28"/>
        <v>0.8</v>
      </c>
      <c r="R122" s="177">
        <f t="shared" si="29"/>
        <v>5.966024789585278E-2</v>
      </c>
      <c r="S122" s="809">
        <f t="shared" si="30"/>
        <v>3</v>
      </c>
      <c r="T122" s="176">
        <f t="shared" si="31"/>
        <v>9</v>
      </c>
      <c r="U122" s="251">
        <f t="shared" si="32"/>
        <v>3.0596602478958528</v>
      </c>
      <c r="V122" s="383">
        <f t="shared" si="33"/>
        <v>43.229203163241962</v>
      </c>
      <c r="W122" s="402">
        <f t="shared" si="34"/>
        <v>32.546193096523687</v>
      </c>
      <c r="X122" s="157">
        <f t="shared" si="35"/>
        <v>46495</v>
      </c>
      <c r="Y122" s="385">
        <f t="shared" si="36"/>
        <v>30.581401106036914</v>
      </c>
      <c r="Z122" s="385">
        <f t="shared" si="37"/>
        <v>33.698010596904254</v>
      </c>
      <c r="AA122" s="386">
        <f t="shared" si="38"/>
        <v>40.088896154357791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0.15941784809554613</v>
      </c>
      <c r="AD122" s="231">
        <f>(INDEX(Models!$BJ122:$BT122,,AH122)*(1-AF122)+INDEX(Models!$BJ122:$BT122,,AH122+1)*AF122-ERP_i)*AE122*Ramure*Pc/MaxiM</f>
        <v>5.4744946101714841E-2</v>
      </c>
      <c r="AE122" s="305">
        <f t="shared" si="40"/>
        <v>0.8</v>
      </c>
      <c r="AF122" s="177">
        <f t="shared" si="41"/>
        <v>0.2603769950607564</v>
      </c>
      <c r="AG122" s="809">
        <f t="shared" si="49"/>
        <v>4</v>
      </c>
      <c r="AH122" s="176">
        <f t="shared" si="42"/>
        <v>10</v>
      </c>
      <c r="AI122" s="225">
        <f t="shared" si="43"/>
        <v>4.2603769950607564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IF(t&gt;Tmaj,'2026'!Wh/'2026'!Env_an*'2027'!Env_an,0.001*'[6]mon-tableau'!$B$154)</f>
        <v>7.4839554728034141</v>
      </c>
      <c r="C123" s="839"/>
      <c r="D123" s="393">
        <f t="shared" si="25"/>
        <v>8.2468561710674813</v>
      </c>
      <c r="E123" s="385">
        <f t="shared" si="47"/>
        <v>9.3848257133695547</v>
      </c>
      <c r="F123" s="385">
        <f t="shared" si="26"/>
        <v>9.3848257133695547</v>
      </c>
      <c r="G123" s="110">
        <f t="shared" si="48"/>
        <v>0.16742111965993581</v>
      </c>
      <c r="H123" s="414" t="b">
        <f>Wh_hp&gt;='2026'!Maxi_hp</f>
        <v>0</v>
      </c>
      <c r="I123" s="390">
        <f>IF(H123,Wh_hp,'2026'!Maxi_hp)</f>
        <v>56.249835170849416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9.2508063974797966E-2</v>
      </c>
      <c r="M123" s="843"/>
      <c r="N123" s="843"/>
      <c r="O123" s="48">
        <f>IF(t&lt;Tnet,'2026'!Resal+('2026'!Salim-'2026'!Resal)*(1-EXP(('2026'!Tnet-t)/('2026'!Tau_j))),Resal+(Salim-Resal)*(1-EXP((Tnet-t)/(Tau_j))))*Salcycl</f>
        <v>0.12125633198290831</v>
      </c>
      <c r="P123" s="169">
        <f>(INDEX(Models!$BJ123:$BT123,,T123)*(1-R123)+INDEX(Models!$BJ123:$BT123,,T123+1)*R123-ERP_i)*Q123*Ramure*Pc/MaxiM</f>
        <v>2.7185685645367184E-2</v>
      </c>
      <c r="Q123" s="305">
        <f t="shared" si="28"/>
        <v>0.8</v>
      </c>
      <c r="R123" s="177">
        <f t="shared" si="29"/>
        <v>6.1954711597416612E-2</v>
      </c>
      <c r="S123" s="809">
        <f t="shared" si="30"/>
        <v>3</v>
      </c>
      <c r="T123" s="176">
        <f t="shared" si="31"/>
        <v>9</v>
      </c>
      <c r="U123" s="251">
        <f t="shared" si="32"/>
        <v>3.0619547115974166</v>
      </c>
      <c r="V123" s="383">
        <f t="shared" si="33"/>
        <v>43.486144560040785</v>
      </c>
      <c r="W123" s="402">
        <f t="shared" si="34"/>
        <v>7.4839554728034141</v>
      </c>
      <c r="X123" s="157">
        <f t="shared" si="35"/>
        <v>46496</v>
      </c>
      <c r="Y123" s="385">
        <f t="shared" si="36"/>
        <v>7.1582167032883692</v>
      </c>
      <c r="Z123" s="385">
        <f t="shared" si="37"/>
        <v>7.887912188664977</v>
      </c>
      <c r="AA123" s="386">
        <f t="shared" si="38"/>
        <v>9.3848257133695547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0.15950360405437103</v>
      </c>
      <c r="AD123" s="231">
        <f>(INDEX(Models!$BJ123:$BT123,,AH123)*(1-AF123)+INDEX(Models!$BJ123:$BT123,,AH123+1)*AF123-ERP_i)*AE123*Ramure*Pc/MaxiM</f>
        <v>5.3724631237593759E-2</v>
      </c>
      <c r="AE123" s="305">
        <f t="shared" si="40"/>
        <v>0.8</v>
      </c>
      <c r="AF123" s="177">
        <f t="shared" si="41"/>
        <v>0.26267145876232068</v>
      </c>
      <c r="AG123" s="809">
        <f t="shared" si="49"/>
        <v>4</v>
      </c>
      <c r="AH123" s="176">
        <f t="shared" si="42"/>
        <v>10</v>
      </c>
      <c r="AI123" s="225">
        <f t="shared" si="43"/>
        <v>4.2626714587623207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IF(t&gt;Tmaj,'2026'!Wh/'2026'!Env_an*'2027'!Env_an,0.001*'[6]mon-tableau'!$B$155)</f>
        <v>8.7168435493037641</v>
      </c>
      <c r="C124" s="839"/>
      <c r="D124" s="393">
        <f t="shared" si="25"/>
        <v>9.6056513351784023</v>
      </c>
      <c r="E124" s="385">
        <f t="shared" si="47"/>
        <v>10.932703006641608</v>
      </c>
      <c r="F124" s="385">
        <f t="shared" si="26"/>
        <v>10.932703006641608</v>
      </c>
      <c r="G124" s="110">
        <f t="shared" si="48"/>
        <v>0.19405475996923649</v>
      </c>
      <c r="H124" s="414" t="b">
        <f>Wh_hp&gt;='2026'!Maxi_hp</f>
        <v>0</v>
      </c>
      <c r="I124" s="390">
        <f>IF(H124,Wh_hp,'2026'!Maxi_hp)</f>
        <v>47.97247568092412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9.2529673924306582E-2</v>
      </c>
      <c r="M124" s="843"/>
      <c r="N124" s="843"/>
      <c r="O124" s="48">
        <f>IF(t&lt;Tnet,'2026'!Resal+('2026'!Salim-'2026'!Resal)*(1-EXP(('2026'!Tnet-t)/('2026'!Tau_j))),Resal+(Salim-Resal)*(1-EXP((Tnet-t)/(Tau_j))))*Salcycl</f>
        <v>0.12138367525917633</v>
      </c>
      <c r="P124" s="169">
        <f>(INDEX(Models!$BJ124:$BT124,,T124)*(1-R124)+INDEX(Models!$BJ124:$BT124,,T124+1)*R124-ERP_i)*Q124*Ramure*Pc/MaxiM</f>
        <v>2.6302008590550006E-2</v>
      </c>
      <c r="Q124" s="305">
        <f t="shared" si="28"/>
        <v>0.8</v>
      </c>
      <c r="R124" s="177">
        <f t="shared" si="29"/>
        <v>6.4324777271819844E-2</v>
      </c>
      <c r="S124" s="809">
        <f t="shared" si="30"/>
        <v>3</v>
      </c>
      <c r="T124" s="176">
        <f t="shared" si="31"/>
        <v>9</v>
      </c>
      <c r="U124" s="251">
        <f t="shared" si="32"/>
        <v>3.0643247772718198</v>
      </c>
      <c r="V124" s="383">
        <f t="shared" si="33"/>
        <v>43.738030732835576</v>
      </c>
      <c r="W124" s="402">
        <f t="shared" si="34"/>
        <v>8.7168435493037641</v>
      </c>
      <c r="X124" s="157">
        <f t="shared" si="35"/>
        <v>46497</v>
      </c>
      <c r="Y124" s="385">
        <f t="shared" si="36"/>
        <v>8.3377792605314465</v>
      </c>
      <c r="Z124" s="385">
        <f t="shared" si="37"/>
        <v>9.1879359808796437</v>
      </c>
      <c r="AA124" s="386">
        <f t="shared" si="38"/>
        <v>10.932703006641608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0.15959155066245009</v>
      </c>
      <c r="AD124" s="231">
        <f>(INDEX(Models!$BJ124:$BT124,,AH124)*(1-AF124)+INDEX(Models!$BJ124:$BT124,,AH124+1)*AF124-ERP_i)*AE124*Ramure*Pc/MaxiM</f>
        <v>5.266284157150642E-2</v>
      </c>
      <c r="AE124" s="305">
        <f t="shared" si="40"/>
        <v>0.8</v>
      </c>
      <c r="AF124" s="177">
        <f t="shared" si="41"/>
        <v>0.26504152443672346</v>
      </c>
      <c r="AG124" s="809">
        <f t="shared" si="49"/>
        <v>4</v>
      </c>
      <c r="AH124" s="176">
        <f t="shared" si="42"/>
        <v>10</v>
      </c>
      <c r="AI124" s="225">
        <f t="shared" si="43"/>
        <v>4.2650415244367235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IF(t&gt;Tmaj,'2026'!Wh/'2026'!Env_an*'2027'!Env_an,0.001*'[6]mon-tableau'!$B$156)</f>
        <v>8.2207173873771531</v>
      </c>
      <c r="C125" s="839"/>
      <c r="D125" s="393">
        <f t="shared" si="25"/>
        <v>9.0591536874004692</v>
      </c>
      <c r="E125" s="385">
        <f t="shared" si="47"/>
        <v>10.312218795637413</v>
      </c>
      <c r="F125" s="385">
        <f t="shared" si="26"/>
        <v>10.312218795637413</v>
      </c>
      <c r="G125" s="110">
        <f t="shared" si="48"/>
        <v>0.18214626190273728</v>
      </c>
      <c r="H125" s="414" t="b">
        <f>Wh_hp&gt;='2026'!Maxi_hp</f>
        <v>0</v>
      </c>
      <c r="I125" s="390">
        <f>IF(H125,Wh_hp,'2026'!Maxi_hp)</f>
        <v>54.505282357520926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9.255128337092014E-2</v>
      </c>
      <c r="M125" s="843"/>
      <c r="N125" s="843"/>
      <c r="O125" s="48">
        <f>IF(t&lt;Tnet,'2026'!Resal+('2026'!Salim-'2026'!Resal)*(1-EXP(('2026'!Tnet-t)/('2026'!Tau_j))),Resal+(Salim-Resal)*(1-EXP((Tnet-t)/(Tau_j))))*Salcycl</f>
        <v>0.12151265727285133</v>
      </c>
      <c r="P125" s="169">
        <f>(INDEX(Models!$BJ125:$BT125,,T125)*(1-R125)+INDEX(Models!$BJ125:$BT125,,T125+1)*R125-ERP_i)*Q125*Ramure*Pc/MaxiM</f>
        <v>2.5427693912945238E-2</v>
      </c>
      <c r="Q125" s="305">
        <f t="shared" si="28"/>
        <v>0.8</v>
      </c>
      <c r="R125" s="177">
        <f t="shared" si="29"/>
        <v>6.677214255038777E-2</v>
      </c>
      <c r="S125" s="809">
        <f t="shared" si="30"/>
        <v>3</v>
      </c>
      <c r="T125" s="176">
        <f t="shared" si="31"/>
        <v>9</v>
      </c>
      <c r="U125" s="251">
        <f t="shared" si="32"/>
        <v>3.0667721425503878</v>
      </c>
      <c r="V125" s="383">
        <f t="shared" si="33"/>
        <v>43.984891143053986</v>
      </c>
      <c r="W125" s="402">
        <f t="shared" si="34"/>
        <v>8.2207173873771531</v>
      </c>
      <c r="X125" s="157">
        <f t="shared" si="35"/>
        <v>46498</v>
      </c>
      <c r="Y125" s="385">
        <f t="shared" si="36"/>
        <v>7.863538712938225</v>
      </c>
      <c r="Z125" s="385">
        <f t="shared" si="37"/>
        <v>8.6655461282143733</v>
      </c>
      <c r="AA125" s="386">
        <f t="shared" si="38"/>
        <v>10.312218795637413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0.15968170381719057</v>
      </c>
      <c r="AD125" s="231">
        <f>(INDEX(Models!$BJ125:$BT125,,AH125)*(1-AF125)+INDEX(Models!$BJ125:$BT125,,AH125+1)*AF125-ERP_i)*AE125*Ramure*Pc/MaxiM</f>
        <v>5.1558373599157235E-2</v>
      </c>
      <c r="AE125" s="305">
        <f t="shared" si="40"/>
        <v>0.8</v>
      </c>
      <c r="AF125" s="177">
        <f t="shared" si="41"/>
        <v>0.26748888971529095</v>
      </c>
      <c r="AG125" s="809">
        <f t="shared" si="49"/>
        <v>4</v>
      </c>
      <c r="AH125" s="176">
        <f t="shared" si="42"/>
        <v>10</v>
      </c>
      <c r="AI125" s="225">
        <f t="shared" si="43"/>
        <v>4.2674888897152909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IF(t&gt;Tmaj,'2026'!Wh/'2026'!Env_an*'2027'!Env_an,0.001*'[6]mon-tableau'!$B$157)</f>
        <v>23.601451423731945</v>
      </c>
      <c r="C126" s="839"/>
      <c r="D126" s="393">
        <f t="shared" si="25"/>
        <v>26.009198120534595</v>
      </c>
      <c r="E126" s="385">
        <f t="shared" si="47"/>
        <v>29.611202179373329</v>
      </c>
      <c r="F126" s="385">
        <f t="shared" si="26"/>
        <v>29.855967271883785</v>
      </c>
      <c r="G126" s="110">
        <f t="shared" si="48"/>
        <v>0.52484196588214749</v>
      </c>
      <c r="H126" s="414" t="b">
        <f>Wh_hp&gt;='2026'!Maxi_hp</f>
        <v>0</v>
      </c>
      <c r="I126" s="390">
        <f>IF(H126,Wh_hp,'2026'!Maxi_hp)</f>
        <v>57.608125541806146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9.2572892314650185E-2</v>
      </c>
      <c r="M126" s="843"/>
      <c r="N126" s="843"/>
      <c r="O126" s="48">
        <f>IF(t&lt;Tnet,'2026'!Resal+('2026'!Salim-'2026'!Resal)*(1-EXP(('2026'!Tnet-t)/('2026'!Tau_j))),Resal+(Salim-Resal)*(1-EXP((Tnet-t)/(Tau_j))))*Salcycl</f>
        <v>0.12164329016495756</v>
      </c>
      <c r="P126" s="169">
        <f>(INDEX(Models!$BJ126:$BT126,,T126)*(1-R126)+INDEX(Models!$BJ126:$BT126,,T126+1)*R126-ERP_i)*Q126*Ramure*Pc/MaxiM</f>
        <v>2.456163169533716E-2</v>
      </c>
      <c r="Q126" s="305">
        <f t="shared" si="28"/>
        <v>0.8</v>
      </c>
      <c r="R126" s="177">
        <f t="shared" si="29"/>
        <v>6.9298482806646522E-2</v>
      </c>
      <c r="S126" s="809">
        <f t="shared" si="30"/>
        <v>3</v>
      </c>
      <c r="T126" s="176">
        <f t="shared" si="31"/>
        <v>9</v>
      </c>
      <c r="U126" s="251">
        <f t="shared" si="32"/>
        <v>3.0692984828066465</v>
      </c>
      <c r="V126" s="383">
        <f t="shared" si="33"/>
        <v>44.226757376628811</v>
      </c>
      <c r="W126" s="402">
        <f t="shared" si="34"/>
        <v>23.601451423731945</v>
      </c>
      <c r="X126" s="157">
        <f t="shared" si="35"/>
        <v>46499</v>
      </c>
      <c r="Y126" s="385">
        <f t="shared" si="36"/>
        <v>22.380481394616233</v>
      </c>
      <c r="Z126" s="385">
        <f t="shared" si="37"/>
        <v>24.663668525071945</v>
      </c>
      <c r="AA126" s="386">
        <f t="shared" si="38"/>
        <v>29.353615288518863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0.15977407611802108</v>
      </c>
      <c r="AD126" s="231">
        <f>(INDEX(Models!$BJ126:$BT126,,AH126)*(1-AF126)+INDEX(Models!$BJ126:$BT126,,AH126+1)*AF126-ERP_i)*AE126*Ramure*Pc/MaxiM</f>
        <v>5.0409902287452638E-2</v>
      </c>
      <c r="AE126" s="305">
        <f t="shared" si="40"/>
        <v>0.8</v>
      </c>
      <c r="AF126" s="177">
        <f t="shared" si="41"/>
        <v>0.27001522997155014</v>
      </c>
      <c r="AG126" s="809">
        <f t="shared" si="49"/>
        <v>4</v>
      </c>
      <c r="AH126" s="176">
        <f t="shared" si="42"/>
        <v>10</v>
      </c>
      <c r="AI126" s="225">
        <f t="shared" si="43"/>
        <v>4.2700152299715501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IF(t&gt;Tmaj,'2026'!Wh/'2026'!Env_an*'2027'!Env_an,0.001*'[6]mon-tableau'!$B$158)</f>
        <v>8.095800851753852</v>
      </c>
      <c r="C127" s="839"/>
      <c r="D127" s="393">
        <f t="shared" si="25"/>
        <v>8.9219217411559004</v>
      </c>
      <c r="E127" s="385">
        <f t="shared" si="47"/>
        <v>10.159045425313684</v>
      </c>
      <c r="F127" s="385">
        <f t="shared" si="26"/>
        <v>10.159045425313684</v>
      </c>
      <c r="G127" s="110">
        <f t="shared" si="48"/>
        <v>0.17776107480747966</v>
      </c>
      <c r="H127" s="414" t="b">
        <f>Wh_hp&gt;='2026'!Maxi_hp</f>
        <v>0</v>
      </c>
      <c r="I127" s="390">
        <f>IF(H127,Wh_hp,'2026'!Maxi_hp)</f>
        <v>57.772460785382194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9.2594500755508596E-2</v>
      </c>
      <c r="M127" s="843"/>
      <c r="N127" s="843"/>
      <c r="O127" s="48">
        <f>IF(t&lt;Tnet,'2026'!Resal+('2026'!Salim-'2026'!Resal)*(1-EXP(('2026'!Tnet-t)/('2026'!Tau_j))),Resal+(Salim-Resal)*(1-EXP((Tnet-t)/(Tau_j))))*Salcycl</f>
        <v>0.12177558346921004</v>
      </c>
      <c r="P127" s="169">
        <f>(INDEX(Models!$BJ127:$BT127,,T127)*(1-R127)+INDEX(Models!$BJ127:$BT127,,T127+1)*R127-ERP_i)*Q127*Ramure*Pc/MaxiM</f>
        <v>2.3702625427787762E-2</v>
      </c>
      <c r="Q127" s="305">
        <f t="shared" si="28"/>
        <v>0.8</v>
      </c>
      <c r="R127" s="177">
        <f t="shared" si="29"/>
        <v>7.1905445611486485E-2</v>
      </c>
      <c r="S127" s="809">
        <f t="shared" si="30"/>
        <v>3</v>
      </c>
      <c r="T127" s="176">
        <f t="shared" si="31"/>
        <v>9</v>
      </c>
      <c r="U127" s="251">
        <f t="shared" si="32"/>
        <v>3.0719054456114865</v>
      </c>
      <c r="V127" s="383">
        <f t="shared" si="33"/>
        <v>44.46366632957708</v>
      </c>
      <c r="W127" s="402">
        <f t="shared" si="34"/>
        <v>8.095800851753852</v>
      </c>
      <c r="X127" s="157">
        <f t="shared" si="35"/>
        <v>46500</v>
      </c>
      <c r="Y127" s="385">
        <f t="shared" si="36"/>
        <v>7.7446444832363071</v>
      </c>
      <c r="Z127" s="385">
        <f t="shared" si="37"/>
        <v>8.5349322763467068</v>
      </c>
      <c r="AA127" s="386">
        <f t="shared" si="38"/>
        <v>10.159045425313684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0.15986867672823976</v>
      </c>
      <c r="AD127" s="231">
        <f>(INDEX(Models!$BJ127:$BT127,,AH127)*(1-AF127)+INDEX(Models!$BJ127:$BT127,,AH127+1)*AF127-ERP_i)*AE127*Ramure*Pc/MaxiM</f>
        <v>4.9215836668970121E-2</v>
      </c>
      <c r="AE127" s="305">
        <f t="shared" si="40"/>
        <v>0.8</v>
      </c>
      <c r="AF127" s="177">
        <f t="shared" si="41"/>
        <v>0.27262219277639055</v>
      </c>
      <c r="AG127" s="809">
        <f t="shared" si="49"/>
        <v>4</v>
      </c>
      <c r="AH127" s="176">
        <f t="shared" si="42"/>
        <v>10</v>
      </c>
      <c r="AI127" s="225">
        <f t="shared" si="43"/>
        <v>4.2726221927763905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IF(t&gt;Tmaj,'2026'!Wh/'2026'!Env_an*'2027'!Env_an,0.001*'[6]mon-tableau'!$B$159)</f>
        <v>25.828067635753648</v>
      </c>
      <c r="C128" s="839"/>
      <c r="D128" s="393">
        <f t="shared" si="25"/>
        <v>28.464322414369967</v>
      </c>
      <c r="E128" s="385">
        <f t="shared" si="47"/>
        <v>32.416161933877703</v>
      </c>
      <c r="F128" s="385">
        <f t="shared" si="26"/>
        <v>32.713184032406893</v>
      </c>
      <c r="G128" s="110">
        <f t="shared" si="48"/>
        <v>0.56983521985312768</v>
      </c>
      <c r="H128" s="414" t="b">
        <f>Wh_hp&gt;='2026'!Maxi_hp</f>
        <v>0</v>
      </c>
      <c r="I128" s="390">
        <f>IF(H128,Wh_hp,'2026'!Maxi_hp)</f>
        <v>52.820731246679635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9.2616108693507143E-2</v>
      </c>
      <c r="M128" s="843"/>
      <c r="N128" s="843"/>
      <c r="O128" s="48">
        <f>IF(t&lt;Tnet,'2026'!Resal+('2026'!Salim-'2026'!Resal)*(1-EXP(('2026'!Tnet-t)/('2026'!Tau_j))),Resal+(Salim-Resal)*(1-EXP((Tnet-t)/(Tau_j))))*Salcycl</f>
        <v>0.12190954399748727</v>
      </c>
      <c r="P128" s="169">
        <f>(INDEX(Models!$BJ128:$BT128,,T128)*(1-R128)+INDEX(Models!$BJ128:$BT128,,T128+1)*R128-ERP_i)*Q128*Ramure*Pc/MaxiM</f>
        <v>2.2872238687138155E-2</v>
      </c>
      <c r="Q128" s="305">
        <f t="shared" si="28"/>
        <v>0.8</v>
      </c>
      <c r="R128" s="177">
        <f t="shared" si="29"/>
        <v>7.4594644875384475E-2</v>
      </c>
      <c r="S128" s="809">
        <f t="shared" si="30"/>
        <v>3</v>
      </c>
      <c r="T128" s="176">
        <f t="shared" si="31"/>
        <v>9</v>
      </c>
      <c r="U128" s="251">
        <f t="shared" si="32"/>
        <v>3.0745946448753845</v>
      </c>
      <c r="V128" s="383">
        <f t="shared" si="33"/>
        <v>44.694615216850679</v>
      </c>
      <c r="W128" s="402">
        <f t="shared" si="34"/>
        <v>25.828067635753648</v>
      </c>
      <c r="X128" s="157">
        <f t="shared" si="35"/>
        <v>46501</v>
      </c>
      <c r="Y128" s="385">
        <f t="shared" si="36"/>
        <v>24.460056818198556</v>
      </c>
      <c r="Z128" s="385">
        <f t="shared" si="37"/>
        <v>26.956679584624151</v>
      </c>
      <c r="AA128" s="386">
        <f t="shared" si="38"/>
        <v>32.089967668113651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0.15996551123328845</v>
      </c>
      <c r="AD128" s="231">
        <f>(INDEX(Models!$BJ128:$BT128,,AH128)*(1-AF128)+INDEX(Models!$BJ128:$BT128,,AH128+1)*AF128-ERP_i)*AE128*Ramure*Pc/MaxiM</f>
        <v>4.7990885218409648E-2</v>
      </c>
      <c r="AE128" s="305">
        <f t="shared" si="40"/>
        <v>0.8</v>
      </c>
      <c r="AF128" s="177">
        <f t="shared" si="41"/>
        <v>0.27531139204028765</v>
      </c>
      <c r="AG128" s="809">
        <f t="shared" si="49"/>
        <v>4</v>
      </c>
      <c r="AH128" s="176">
        <f t="shared" si="42"/>
        <v>10</v>
      </c>
      <c r="AI128" s="225">
        <f t="shared" si="43"/>
        <v>4.2753113920402877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IF(t&gt;Tmaj,'2026'!Wh/'2026'!Env_an*'2027'!Env_an,0.001*'[6]mon-tableau'!$B$160)</f>
        <v>41.356863051595688</v>
      </c>
      <c r="C129" s="839"/>
      <c r="D129" s="393">
        <f t="shared" si="25"/>
        <v>45.579217680442824</v>
      </c>
      <c r="E129" s="385">
        <f t="shared" si="47"/>
        <v>51.915219804124419</v>
      </c>
      <c r="F129" s="385">
        <f t="shared" si="26"/>
        <v>52.951821160544569</v>
      </c>
      <c r="G129" s="110">
        <f t="shared" si="48"/>
        <v>0.91834467031551215</v>
      </c>
      <c r="H129" s="414" t="b">
        <f>Wh_hp&gt;='2026'!Maxi_hp</f>
        <v>0</v>
      </c>
      <c r="I129" s="390">
        <f>IF(H129,Wh_hp,'2026'!Maxi_hp)</f>
        <v>55.359840587650929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9.263771612865726E-2</v>
      </c>
      <c r="M129" s="843"/>
      <c r="N129" s="843"/>
      <c r="O129" s="48">
        <f>IF(t&lt;Tnet,'2026'!Resal+('2026'!Salim-'2026'!Resal)*(1-EXP(('2026'!Tnet-t)/('2026'!Tau_j))),Resal+(Salim-Resal)*(1-EXP((Tnet-t)/(Tau_j))))*Salcycl</f>
        <v>0.12204517572278924</v>
      </c>
      <c r="P129" s="169">
        <f>(INDEX(Models!$BJ129:$BT129,,T129)*(1-R129)+INDEX(Models!$BJ129:$BT129,,T129+1)*R129-ERP_i)*Q129*Ramure*Pc/MaxiM</f>
        <v>2.2077590275036457E-2</v>
      </c>
      <c r="Q129" s="305">
        <f t="shared" si="28"/>
        <v>0.8</v>
      </c>
      <c r="R129" s="177">
        <f t="shared" si="29"/>
        <v>7.7367654681343545E-2</v>
      </c>
      <c r="S129" s="809">
        <f t="shared" si="30"/>
        <v>3</v>
      </c>
      <c r="T129" s="176">
        <f t="shared" si="31"/>
        <v>9</v>
      </c>
      <c r="U129" s="251">
        <f t="shared" si="32"/>
        <v>3.0773676546813435</v>
      </c>
      <c r="V129" s="383">
        <f t="shared" si="33"/>
        <v>44.919248559373877</v>
      </c>
      <c r="W129" s="402">
        <f t="shared" si="34"/>
        <v>41.356863051595688</v>
      </c>
      <c r="X129" s="157">
        <f t="shared" si="35"/>
        <v>46502</v>
      </c>
      <c r="Y129" s="385">
        <f t="shared" si="36"/>
        <v>38.682298484372758</v>
      </c>
      <c r="Z129" s="385">
        <f t="shared" si="37"/>
        <v>42.631591781985087</v>
      </c>
      <c r="AA129" s="386">
        <f t="shared" si="38"/>
        <v>50.755797222982899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0.16006458149610284</v>
      </c>
      <c r="AD129" s="231">
        <f>(INDEX(Models!$BJ129:$BT129,,AH129)*(1-AF129)+INDEX(Models!$BJ129:$BT129,,AH129+1)*AF129-ERP_i)*AE129*Ramure*Pc/MaxiM</f>
        <v>4.6771033461785294E-2</v>
      </c>
      <c r="AE129" s="305">
        <f t="shared" si="40"/>
        <v>0.8</v>
      </c>
      <c r="AF129" s="177">
        <f t="shared" si="41"/>
        <v>0.27808440184624672</v>
      </c>
      <c r="AG129" s="809">
        <f t="shared" si="49"/>
        <v>4</v>
      </c>
      <c r="AH129" s="176">
        <f t="shared" si="42"/>
        <v>10</v>
      </c>
      <c r="AI129" s="225">
        <f t="shared" si="43"/>
        <v>4.2780844018462467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IF(t&gt;Tmaj,'2026'!Wh/'2026'!Env_an*'2027'!Env_an,0.001*'[6]mon-tableau'!$B$161)</f>
        <v>43.293828984658006</v>
      </c>
      <c r="C130" s="839"/>
      <c r="D130" s="393">
        <f t="shared" si="25"/>
        <v>47.715075588490599</v>
      </c>
      <c r="E130" s="385">
        <f t="shared" si="47"/>
        <v>54.356485810428289</v>
      </c>
      <c r="F130" s="385">
        <f t="shared" si="26"/>
        <v>55.469975575805584</v>
      </c>
      <c r="G130" s="110">
        <f t="shared" si="48"/>
        <v>0.95793504494537518</v>
      </c>
      <c r="H130" s="414" t="b">
        <f>Wh_hp&gt;='2026'!Maxi_hp</f>
        <v>0</v>
      </c>
      <c r="I130" s="390">
        <f>IF(H130,Wh_hp,'2026'!Maxi_hp)</f>
        <v>55.539931860605101</v>
      </c>
      <c r="J130" s="85">
        <f>IF(H130,An,'2026'!An_max)</f>
        <v>2022</v>
      </c>
      <c r="K130" s="197">
        <f t="shared" si="27"/>
        <v>46503</v>
      </c>
      <c r="L130" s="147">
        <f>IF(t&lt;Tvie,1-EXP((T0-t)*PertePVj)+'2026'!Pspv,1-EXP((T0-t)*PertePVj)+Pspv)</f>
        <v>9.2659323060970827E-2</v>
      </c>
      <c r="M130" s="843"/>
      <c r="N130" s="843"/>
      <c r="O130" s="48">
        <f>IF(t&lt;Tnet,'2026'!Resal+('2026'!Salim-'2026'!Resal)*(1-EXP(('2026'!Tnet-t)/('2026'!Tau_j))),Resal+(Salim-Resal)*(1-EXP((Tnet-t)/(Tau_j))))*Salcycl</f>
        <v>0.12218247966029359</v>
      </c>
      <c r="P130" s="169">
        <f>(INDEX(Models!$BJ130:$BT130,,T130)*(1-R130)+INDEX(Models!$BJ130:$BT130,,T130+1)*R130-ERP_i)*Q130*Ramure*Pc/MaxiM</f>
        <v>2.1317697891838464E-2</v>
      </c>
      <c r="Q130" s="305">
        <f t="shared" si="28"/>
        <v>0.8</v>
      </c>
      <c r="R130" s="177">
        <f t="shared" si="29"/>
        <v>8.0226002814774322E-2</v>
      </c>
      <c r="S130" s="809">
        <f t="shared" si="30"/>
        <v>3</v>
      </c>
      <c r="T130" s="176">
        <f t="shared" si="31"/>
        <v>9</v>
      </c>
      <c r="U130" s="251">
        <f t="shared" si="32"/>
        <v>3.0802260028147743</v>
      </c>
      <c r="V130" s="383">
        <f t="shared" si="33"/>
        <v>45.137580256645236</v>
      </c>
      <c r="W130" s="402">
        <f t="shared" si="34"/>
        <v>43.293828984658006</v>
      </c>
      <c r="X130" s="157">
        <f t="shared" si="35"/>
        <v>46503</v>
      </c>
      <c r="Y130" s="385">
        <f t="shared" si="36"/>
        <v>40.45580143229266</v>
      </c>
      <c r="Z130" s="385">
        <f t="shared" si="37"/>
        <v>44.587223366611148</v>
      </c>
      <c r="AA130" s="386">
        <f t="shared" si="38"/>
        <v>53.090512277779773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0.16016588551034852</v>
      </c>
      <c r="AD130" s="231">
        <f>(INDEX(Models!$BJ130:$BT130,,AH130)*(1-AF130)+INDEX(Models!$BJ130:$BT130,,AH130+1)*AF130-ERP_i)*AE130*Ramure*Pc/MaxiM</f>
        <v>4.5554688789478118E-2</v>
      </c>
      <c r="AE130" s="305">
        <f t="shared" si="40"/>
        <v>0.8</v>
      </c>
      <c r="AF130" s="177">
        <f t="shared" si="41"/>
        <v>0.28094274997967794</v>
      </c>
      <c r="AG130" s="809">
        <f t="shared" si="49"/>
        <v>4</v>
      </c>
      <c r="AH130" s="176">
        <f t="shared" si="42"/>
        <v>10</v>
      </c>
      <c r="AI130" s="225">
        <f t="shared" si="43"/>
        <v>4.2809427499796779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IF(t&gt;Tmaj,'2026'!Wh/'2026'!Env_an*'2027'!Env_an,0.001*'[6]mon-tableau'!$B$162)</f>
        <v>31.529230127425325</v>
      </c>
      <c r="C131" s="839"/>
      <c r="D131" s="393">
        <f t="shared" si="25"/>
        <v>34.749881438862353</v>
      </c>
      <c r="E131" s="385">
        <f t="shared" si="47"/>
        <v>39.592948451602112</v>
      </c>
      <c r="F131" s="385">
        <f t="shared" si="26"/>
        <v>40.058704930501015</v>
      </c>
      <c r="G131" s="110">
        <f t="shared" si="48"/>
        <v>0.68894182043928642</v>
      </c>
      <c r="H131" s="414" t="b">
        <f>Wh_hp&gt;='2026'!Maxi_hp</f>
        <v>0</v>
      </c>
      <c r="I131" s="390">
        <f>IF(H131,Wh_hp,'2026'!Maxi_hp)</f>
        <v>40.422363464574303</v>
      </c>
      <c r="J131" s="85">
        <f>IF(H131,An,'2026'!An_max)</f>
        <v>2022</v>
      </c>
      <c r="K131" s="197">
        <f t="shared" si="27"/>
        <v>46504</v>
      </c>
      <c r="L131" s="147">
        <f>IF(t&lt;Tvie,1-EXP((T0-t)*PertePVj)+'2026'!Pspv,1-EXP((T0-t)*PertePVj)+Pspv)</f>
        <v>9.2680929490459502E-2</v>
      </c>
      <c r="M131" s="843"/>
      <c r="N131" s="843"/>
      <c r="O131" s="48">
        <f>IF(t&lt;Tnet,'2026'!Resal+('2026'!Salim-'2026'!Resal)*(1-EXP(('2026'!Tnet-t)/('2026'!Tau_j))),Resal+(Salim-Resal)*(1-EXP((Tnet-t)/(Tau_j))))*Salcycl</f>
        <v>0.12232145374724629</v>
      </c>
      <c r="P131" s="169">
        <f>(INDEX(Models!$BJ131:$BT131,,T131)*(1-R131)+INDEX(Models!$BJ131:$BT131,,T131+1)*R131-ERP_i)*Q131*Ramure*Pc/MaxiM</f>
        <v>2.0591618963163288E-2</v>
      </c>
      <c r="Q131" s="305">
        <f t="shared" si="28"/>
        <v>0.8</v>
      </c>
      <c r="R131" s="177">
        <f t="shared" si="29"/>
        <v>8.3171163999335995E-2</v>
      </c>
      <c r="S131" s="809">
        <f t="shared" si="30"/>
        <v>3</v>
      </c>
      <c r="T131" s="176">
        <f t="shared" si="31"/>
        <v>9</v>
      </c>
      <c r="U131" s="251">
        <f t="shared" si="32"/>
        <v>3.083171163999336</v>
      </c>
      <c r="V131" s="383">
        <f t="shared" si="33"/>
        <v>45.3496243994841</v>
      </c>
      <c r="W131" s="402">
        <f t="shared" si="34"/>
        <v>31.529230127425325</v>
      </c>
      <c r="X131" s="157">
        <f t="shared" si="35"/>
        <v>46504</v>
      </c>
      <c r="Y131" s="385">
        <f t="shared" si="36"/>
        <v>29.756741803161351</v>
      </c>
      <c r="Z131" s="385">
        <f t="shared" si="37"/>
        <v>32.796336779794885</v>
      </c>
      <c r="AA131" s="386">
        <f t="shared" si="38"/>
        <v>39.055784621407597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0.16026941725251453</v>
      </c>
      <c r="AD131" s="231">
        <f>(INDEX(Models!$BJ131:$BT131,,AH131)*(1-AF131)+INDEX(Models!$BJ131:$BT131,,AH131+1)*AF131-ERP_i)*AE131*Ramure*Pc/MaxiM</f>
        <v>4.4340237422123674E-2</v>
      </c>
      <c r="AE131" s="305">
        <f t="shared" si="40"/>
        <v>0.8</v>
      </c>
      <c r="AF131" s="177">
        <f t="shared" si="41"/>
        <v>0.28388791116424006</v>
      </c>
      <c r="AG131" s="809">
        <f t="shared" si="49"/>
        <v>4</v>
      </c>
      <c r="AH131" s="176">
        <f t="shared" si="42"/>
        <v>10</v>
      </c>
      <c r="AI131" s="225">
        <f t="shared" si="43"/>
        <v>4.2838879111642401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IF(t&gt;Tmaj,'2026'!Wh/'2026'!Env_an*'2027'!Env_an,0.001*'[6]mon-tableau'!$B$163)</f>
        <v>17.653773400820587</v>
      </c>
      <c r="C132" s="839"/>
      <c r="D132" s="393">
        <f t="shared" si="25"/>
        <v>19.457536353787791</v>
      </c>
      <c r="E132" s="385">
        <f t="shared" si="47"/>
        <v>22.172872752761627</v>
      </c>
      <c r="F132" s="385">
        <f t="shared" si="26"/>
        <v>22.228175698661129</v>
      </c>
      <c r="G132" s="110">
        <f t="shared" si="48"/>
        <v>0.38075942414462766</v>
      </c>
      <c r="H132" s="414" t="b">
        <f>Wh_hp&gt;='2026'!Maxi_hp</f>
        <v>0</v>
      </c>
      <c r="I132" s="390">
        <f>IF(H132,Wh_hp,'2026'!Maxi_hp)</f>
        <v>43.833448045184817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9.2702535417135051E-2</v>
      </c>
      <c r="M132" s="843"/>
      <c r="N132" s="843"/>
      <c r="O132" s="48">
        <f>IF(t&lt;Tnet,'2026'!Resal+('2026'!Salim-'2026'!Resal)*(1-EXP(('2026'!Tnet-t)/('2026'!Tau_j))),Resal+(Salim-Resal)*(1-EXP((Tnet-t)/(Tau_j))))*Salcycl</f>
        <v>0.12246209272254276</v>
      </c>
      <c r="P132" s="169">
        <f>(INDEX(Models!$BJ132:$BT132,,T132)*(1-R132)+INDEX(Models!$BJ132:$BT132,,T132+1)*R132-ERP_i)*Q132*Ramure*Pc/MaxiM</f>
        <v>1.9898448098380084E-2</v>
      </c>
      <c r="Q132" s="305">
        <f t="shared" si="28"/>
        <v>0.8</v>
      </c>
      <c r="R132" s="177">
        <f t="shared" si="29"/>
        <v>8.6204552850788652E-2</v>
      </c>
      <c r="S132" s="809">
        <f t="shared" si="30"/>
        <v>3</v>
      </c>
      <c r="T132" s="176">
        <f t="shared" si="31"/>
        <v>9</v>
      </c>
      <c r="U132" s="251">
        <f t="shared" si="32"/>
        <v>3.0862045528507887</v>
      </c>
      <c r="V132" s="383">
        <f t="shared" si="33"/>
        <v>45.555395310683991</v>
      </c>
      <c r="W132" s="402">
        <f t="shared" si="34"/>
        <v>17.653773400820587</v>
      </c>
      <c r="X132" s="157">
        <f t="shared" si="35"/>
        <v>46505</v>
      </c>
      <c r="Y132" s="385">
        <f t="shared" si="36"/>
        <v>16.841883555974952</v>
      </c>
      <c r="Z132" s="385">
        <f t="shared" si="37"/>
        <v>18.562692185763023</v>
      </c>
      <c r="AA132" s="386">
        <f t="shared" si="38"/>
        <v>22.108317245852835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0.16037516653398468</v>
      </c>
      <c r="AD132" s="231">
        <f>(INDEX(Models!$BJ132:$BT132,,AH132)*(1-AF132)+INDEX(Models!$BJ132:$BT132,,AH132+1)*AF132-ERP_i)*AE132*Ramure*Pc/MaxiM</f>
        <v>4.3126042628759256E-2</v>
      </c>
      <c r="AE132" s="305">
        <f t="shared" si="40"/>
        <v>0.8</v>
      </c>
      <c r="AF132" s="177">
        <f t="shared" si="41"/>
        <v>0.28692130001569272</v>
      </c>
      <c r="AG132" s="809">
        <f t="shared" si="49"/>
        <v>4</v>
      </c>
      <c r="AH132" s="176">
        <f t="shared" si="42"/>
        <v>10</v>
      </c>
      <c r="AI132" s="225">
        <f t="shared" si="43"/>
        <v>4.2869213000156927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IF(t&gt;Tmaj,'2026'!Wh/'2026'!Env_an*'2027'!Env_an,0.001*'[6]mon-tableau'!$B$164)</f>
        <v>32.874831730018485</v>
      </c>
      <c r="C133" s="839"/>
      <c r="D133" s="393">
        <f t="shared" si="25"/>
        <v>36.234659390686488</v>
      </c>
      <c r="E133" s="385">
        <f t="shared" si="47"/>
        <v>41.297971969996858</v>
      </c>
      <c r="F133" s="385">
        <f t="shared" si="26"/>
        <v>41.778471360273784</v>
      </c>
      <c r="G133" s="110">
        <f t="shared" si="48"/>
        <v>0.71287537058827088</v>
      </c>
      <c r="H133" s="414" t="b">
        <f>Wh_hp&gt;='2026'!Maxi_hp</f>
        <v>0</v>
      </c>
      <c r="I133" s="390">
        <f>IF(H133,Wh_hp,'2026'!Maxi_hp)</f>
        <v>53.521315436728898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9.2724140841009023E-2</v>
      </c>
      <c r="M133" s="843"/>
      <c r="N133" s="843"/>
      <c r="O133" s="48">
        <f>IF(t&lt;Tnet,'2026'!Resal+('2026'!Salim-'2026'!Resal)*(1-EXP(('2026'!Tnet-t)/('2026'!Tau_j))),Resal+(Salim-Resal)*(1-EXP((Tnet-t)/(Tau_j))))*Salcycl</f>
        <v>0.12260438800696773</v>
      </c>
      <c r="P133" s="169">
        <f>(INDEX(Models!$BJ133:$BT133,,T133)*(1-R133)+INDEX(Models!$BJ133:$BT133,,T133+1)*R133-ERP_i)*Q133*Ramure*Pc/MaxiM</f>
        <v>1.9237314569304411E-2</v>
      </c>
      <c r="Q133" s="305">
        <f t="shared" si="28"/>
        <v>0.8</v>
      </c>
      <c r="R133" s="177">
        <f t="shared" si="29"/>
        <v>8.9327516564147391E-2</v>
      </c>
      <c r="S133" s="809">
        <f t="shared" si="30"/>
        <v>3</v>
      </c>
      <c r="T133" s="176">
        <f t="shared" si="31"/>
        <v>9</v>
      </c>
      <c r="U133" s="251">
        <f t="shared" si="32"/>
        <v>3.0893275165641474</v>
      </c>
      <c r="V133" s="383">
        <f t="shared" si="33"/>
        <v>45.754907595231039</v>
      </c>
      <c r="W133" s="402">
        <f t="shared" si="34"/>
        <v>32.874831730018485</v>
      </c>
      <c r="X133" s="157">
        <f t="shared" si="35"/>
        <v>46506</v>
      </c>
      <c r="Y133" s="385">
        <f t="shared" si="36"/>
        <v>31.024217870348913</v>
      </c>
      <c r="Z133" s="385">
        <f t="shared" si="37"/>
        <v>34.19491167670563</v>
      </c>
      <c r="AA133" s="386">
        <f t="shared" si="38"/>
        <v>40.731654651234109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0.16048311885435343</v>
      </c>
      <c r="AD133" s="231">
        <f>(INDEX(Models!$BJ133:$BT133,,AH133)*(1-AF133)+INDEX(Models!$BJ133:$BT133,,AH133+1)*AF133-ERP_i)*AE133*Ramure*Pc/MaxiM</f>
        <v>4.1910443042589986E-2</v>
      </c>
      <c r="AE133" s="305">
        <f t="shared" si="40"/>
        <v>0.8</v>
      </c>
      <c r="AF133" s="177">
        <f t="shared" si="41"/>
        <v>0.29004426372905101</v>
      </c>
      <c r="AG133" s="809">
        <f t="shared" si="49"/>
        <v>4</v>
      </c>
      <c r="AH133" s="176">
        <f t="shared" si="42"/>
        <v>10</v>
      </c>
      <c r="AI133" s="225">
        <f t="shared" si="43"/>
        <v>4.290044263729051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IF(t&gt;Tmaj,'2026'!Wh/'2026'!Env_an*'2027'!Env_an,0.001*'[6]mon-tableau'!$B$165)</f>
        <v>41.611232830579333</v>
      </c>
      <c r="C134" s="839"/>
      <c r="D134" s="393">
        <f t="shared" si="25"/>
        <v>45.86501814260739</v>
      </c>
      <c r="E134" s="385">
        <f t="shared" si="47"/>
        <v>46.715194889194741</v>
      </c>
      <c r="F134" s="385">
        <f t="shared" si="26"/>
        <v>47.356156072033428</v>
      </c>
      <c r="G134" s="110">
        <f t="shared" si="48"/>
        <v>0.80501536847654431</v>
      </c>
      <c r="H134" s="414" t="b">
        <f>Wh_hp&gt;='2026'!Maxi_hp</f>
        <v>0</v>
      </c>
      <c r="I134" s="390">
        <f>IF(H134,Wh_hp,'2026'!Maxi_hp)</f>
        <v>59.130369018521904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9.2745745762093296E-2</v>
      </c>
      <c r="M134" s="843"/>
      <c r="N134" s="843"/>
      <c r="O134" s="48">
        <f>IF(t&lt;Tnet,'2026'!Resal+('2026'!Salim-'2026'!Resal)*(1-EXP(('2026'!Tnet-t)/('2026'!Tau_j))),Resal+(Salim-Resal)*(1-EXP((Tnet-t)/(Tau_j))))*Salcycl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1.8607379811962935E-2</v>
      </c>
      <c r="Q134" s="305">
        <f t="shared" si="28"/>
        <v>0.8</v>
      </c>
      <c r="R134" s="177">
        <f t="shared" si="29"/>
        <v>9.2541327352882341E-2</v>
      </c>
      <c r="S134" s="809">
        <f t="shared" si="30"/>
        <v>3</v>
      </c>
      <c r="T134" s="176">
        <f t="shared" si="31"/>
        <v>9</v>
      </c>
      <c r="U134" s="251">
        <f t="shared" si="32"/>
        <v>3.0925413273528823</v>
      </c>
      <c r="V134" s="383">
        <f t="shared" si="33"/>
        <v>51.424192111011614</v>
      </c>
      <c r="W134" s="402">
        <f t="shared" si="34"/>
        <v>41.611232830579333</v>
      </c>
      <c r="X134" s="157">
        <f t="shared" si="35"/>
        <v>46507</v>
      </c>
      <c r="Y134" s="385">
        <f t="shared" si="36"/>
        <v>36.574711992433329</v>
      </c>
      <c r="Z134" s="385">
        <f t="shared" si="37"/>
        <v>40.313629637544189</v>
      </c>
      <c r="AA134" s="386">
        <f t="shared" si="38"/>
        <v>45.95446313208155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0.12274832758516996</v>
      </c>
      <c r="AD134" s="231">
        <f>(INDEX(Models!$BJ134:$BT134,,AH134)*(1-AF134)+INDEX(Models!$BJ134:$BT134,,AH134+1)*AF134-ERP_i)*AE134*Ramure*Pc/MaxiM</f>
        <v>4.069175109469219E-2</v>
      </c>
      <c r="AE134" s="305">
        <f t="shared" si="40"/>
        <v>0.8</v>
      </c>
      <c r="AF134" s="177">
        <f t="shared" si="41"/>
        <v>0.29325807451778552</v>
      </c>
      <c r="AG134" s="809">
        <f t="shared" si="49"/>
        <v>4</v>
      </c>
      <c r="AH134" s="176">
        <f t="shared" si="42"/>
        <v>10</v>
      </c>
      <c r="AI134" s="225">
        <f t="shared" si="43"/>
        <v>4.2932580745177855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IF(t&gt;Tmaj,'2026'!Wh/'2026'!Env_an*'2027'!Env_an,0.001*[7]mois!$B$140)</f>
        <v>42.444105562637681</v>
      </c>
      <c r="C135" s="839"/>
      <c r="D135" s="393">
        <f t="shared" si="25"/>
        <v>46.784146901103611</v>
      </c>
      <c r="E135" s="385">
        <f t="shared" si="47"/>
        <v>47.662890004424099</v>
      </c>
      <c r="F135" s="385">
        <f t="shared" si="26"/>
        <v>48.311750311898471</v>
      </c>
      <c r="G135" s="110">
        <f t="shared" si="48"/>
        <v>0.8182678664888684</v>
      </c>
      <c r="H135" s="414" t="b">
        <f>Wh_hp&gt;='2026'!Maxi_hp</f>
        <v>0</v>
      </c>
      <c r="I135" s="390">
        <f>IF(H135,Wh_hp,'2026'!Maxi_hp)</f>
        <v>53.619994148118579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9.2767350180399527E-2</v>
      </c>
      <c r="M135" s="843"/>
      <c r="N135" s="843"/>
      <c r="O135" s="48">
        <f>IF(t&lt;Tnet,'2026'!Resal+('2026'!Salim-'2026'!Resal)*(1-EXP(('2026'!Tnet-t)/('2026'!Tau_j))),Resal+(Salim-Resal)*(1-EXP((Tnet-t)/(Tau_j))))*Salcycl</f>
        <v>1.8436630746455355E-2</v>
      </c>
      <c r="P135" s="169">
        <f>(INDEX(Models!$BJ135:$BT135,,T135)*(1-R135)+INDEX(Models!$BJ135:$BT135,,T135+1)*R135-ERP_i)*Q135*Ramure*Pc/MaxiM</f>
        <v>1.8007688140775382E-2</v>
      </c>
      <c r="Q135" s="305">
        <f t="shared" si="28"/>
        <v>0.8</v>
      </c>
      <c r="R135" s="177">
        <f t="shared" si="29"/>
        <v>9.5847174662554213E-2</v>
      </c>
      <c r="S135" s="809">
        <f t="shared" si="30"/>
        <v>3</v>
      </c>
      <c r="T135" s="176">
        <f t="shared" si="31"/>
        <v>9</v>
      </c>
      <c r="U135" s="251">
        <f t="shared" si="32"/>
        <v>3.0958471746625542</v>
      </c>
      <c r="V135" s="383">
        <f t="shared" si="33"/>
        <v>51.630029961482634</v>
      </c>
      <c r="W135" s="402">
        <f t="shared" si="34"/>
        <v>42.444105562637681</v>
      </c>
      <c r="X135" s="157">
        <f t="shared" si="35"/>
        <v>46508</v>
      </c>
      <c r="Y135" s="385">
        <f t="shared" si="36"/>
        <v>37.31191784938693</v>
      </c>
      <c r="Z135" s="385">
        <f t="shared" si="37"/>
        <v>41.127177088265341</v>
      </c>
      <c r="AA135" s="386">
        <f t="shared" si="38"/>
        <v>46.889625890840819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0.12289389589054242</v>
      </c>
      <c r="AD135" s="231">
        <f>(INDEX(Models!$BJ135:$BT135,,AH135)*(1-AF135)+INDEX(Models!$BJ135:$BT135,,AH135+1)*AF135-ERP_i)*AE135*Ramure*Pc/MaxiM</f>
        <v>3.9467929809835815E-2</v>
      </c>
      <c r="AE135" s="305">
        <f t="shared" si="40"/>
        <v>0.8</v>
      </c>
      <c r="AF135" s="177">
        <f t="shared" si="41"/>
        <v>0.29656392182745783</v>
      </c>
      <c r="AG135" s="809">
        <f t="shared" si="49"/>
        <v>4</v>
      </c>
      <c r="AH135" s="176">
        <f t="shared" si="42"/>
        <v>10</v>
      </c>
      <c r="AI135" s="225">
        <f t="shared" si="43"/>
        <v>4.2965639218274578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IF(t&gt;Tmaj,'2026'!Wh/'2026'!Env_an*'2027'!Env_an,0.001*[7]mois!$B$141)</f>
        <v>27.696438216382337</v>
      </c>
      <c r="C136" s="839"/>
      <c r="D136" s="393">
        <f t="shared" si="25"/>
        <v>30.52921185365647</v>
      </c>
      <c r="E136" s="385">
        <f t="shared" si="47"/>
        <v>31.110171877966206</v>
      </c>
      <c r="F136" s="385">
        <f t="shared" si="26"/>
        <v>31.293095533840123</v>
      </c>
      <c r="G136" s="110">
        <f t="shared" si="48"/>
        <v>0.52814312639830652</v>
      </c>
      <c r="H136" s="414" t="b">
        <f>Wh_hp&gt;='2026'!Maxi_hp</f>
        <v>0</v>
      </c>
      <c r="I136" s="390">
        <f>IF(H136,Wh_hp,'2026'!Maxi_hp)</f>
        <v>49.269090767711724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9.2788954095939263E-2</v>
      </c>
      <c r="M136" s="843"/>
      <c r="N136" s="843"/>
      <c r="O136" s="48">
        <f>IF(t&lt;Tnet,'2026'!Resal+('2026'!Salim-'2026'!Resal)*(1-EXP(('2026'!Tnet-t)/('2026'!Tau_j))),Resal+(Salim-Resal)*(1-EXP((Tnet-t)/(Tau_j))))*Salcycl</f>
        <v>1.8674278836794338E-2</v>
      </c>
      <c r="P136" s="169">
        <f>(INDEX(Models!$BJ136:$BT136,,T136)*(1-R136)+INDEX(Models!$BJ136:$BT136,,T136+1)*R136-ERP_i)*Q136*Ramure*Pc/MaxiM</f>
        <v>1.7457798278613153E-2</v>
      </c>
      <c r="Q136" s="305">
        <f t="shared" si="28"/>
        <v>0.8</v>
      </c>
      <c r="R136" s="177">
        <f t="shared" si="29"/>
        <v>9.9246157185076456E-2</v>
      </c>
      <c r="S136" s="809">
        <f t="shared" si="30"/>
        <v>3</v>
      </c>
      <c r="T136" s="176">
        <f t="shared" si="31"/>
        <v>9</v>
      </c>
      <c r="U136" s="251">
        <f t="shared" si="32"/>
        <v>3.0992461571850765</v>
      </c>
      <c r="V136" s="383">
        <f t="shared" si="33"/>
        <v>51.828616805692846</v>
      </c>
      <c r="W136" s="402">
        <f t="shared" si="34"/>
        <v>27.696438216382337</v>
      </c>
      <c r="X136" s="157">
        <f t="shared" si="35"/>
        <v>46509</v>
      </c>
      <c r="Y136" s="385">
        <f t="shared" si="36"/>
        <v>24.577358334042714</v>
      </c>
      <c r="Z136" s="385">
        <f t="shared" si="37"/>
        <v>27.091114515201586</v>
      </c>
      <c r="AA136" s="386">
        <f t="shared" si="38"/>
        <v>30.89211330492439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0.12304107369426558</v>
      </c>
      <c r="AD136" s="231">
        <f>(INDEX(Models!$BJ136:$BT136,,AH136)*(1-AF136)+INDEX(Models!$BJ136:$BT136,,AH136+1)*AF136-ERP_i)*AE136*Ramure*Pc/MaxiM</f>
        <v>3.8268789415320609E-2</v>
      </c>
      <c r="AE136" s="305">
        <f t="shared" si="40"/>
        <v>0.8</v>
      </c>
      <c r="AF136" s="177">
        <f t="shared" si="41"/>
        <v>0.29996290434997963</v>
      </c>
      <c r="AG136" s="809">
        <f t="shared" si="49"/>
        <v>4</v>
      </c>
      <c r="AH136" s="176">
        <f t="shared" si="42"/>
        <v>10</v>
      </c>
      <c r="AI136" s="225">
        <f t="shared" si="43"/>
        <v>4.2999629043499796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IF(t&gt;Tmaj,'2026'!Wh/'2026'!Env_an*'2027'!Env_an,0.001*[7]mois!$B$142)</f>
        <v>33.813990486997049</v>
      </c>
      <c r="C137" s="839"/>
      <c r="D137" s="393">
        <f t="shared" si="25"/>
        <v>37.273350970816921</v>
      </c>
      <c r="E137" s="385">
        <f t="shared" si="47"/>
        <v>37.991856661042362</v>
      </c>
      <c r="F137" s="385">
        <f t="shared" si="26"/>
        <v>38.316601580802065</v>
      </c>
      <c r="G137" s="110">
        <f t="shared" si="48"/>
        <v>0.64446155880987632</v>
      </c>
      <c r="H137" s="414" t="b">
        <f>Wh_hp&gt;='2026'!Maxi_hp</f>
        <v>0</v>
      </c>
      <c r="I137" s="390">
        <f>IF(H137,Wh_hp,'2026'!Maxi_hp)</f>
        <v>58.038935188367326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9.2810557508724384E-2</v>
      </c>
      <c r="M137" s="843"/>
      <c r="N137" s="843"/>
      <c r="O137" s="48">
        <f>IF(t&lt;Tnet,'2026'!Resal+('2026'!Salim-'2026'!Resal)*(1-EXP(('2026'!Tnet-t)/('2026'!Tau_j))),Resal+(Salim-Resal)*(1-EXP((Tnet-t)/(Tau_j))))*Salcycl</f>
        <v>1.891209731169078E-2</v>
      </c>
      <c r="P137" s="169">
        <f>(INDEX(Models!$BJ137:$BT137,,T137)*(1-R137)+INDEX(Models!$BJ137:$BT137,,T137+1)*R137-ERP_i)*Q137*Ramure*Pc/MaxiM</f>
        <v>1.6949778963445999E-2</v>
      </c>
      <c r="Q137" s="305">
        <f t="shared" si="28"/>
        <v>0.8</v>
      </c>
      <c r="R137" s="177">
        <f t="shared" si="29"/>
        <v>0.10273927470375277</v>
      </c>
      <c r="S137" s="809">
        <f t="shared" si="30"/>
        <v>3</v>
      </c>
      <c r="T137" s="176">
        <f t="shared" si="31"/>
        <v>9</v>
      </c>
      <c r="U137" s="251">
        <f t="shared" si="32"/>
        <v>3.1027392747037528</v>
      </c>
      <c r="V137" s="383">
        <f t="shared" si="33"/>
        <v>52.020147470872267</v>
      </c>
      <c r="W137" s="402">
        <f t="shared" si="34"/>
        <v>33.813990486997049</v>
      </c>
      <c r="X137" s="157">
        <f t="shared" si="35"/>
        <v>46510</v>
      </c>
      <c r="Y137" s="385">
        <f t="shared" si="36"/>
        <v>29.912614958756336</v>
      </c>
      <c r="Z137" s="385">
        <f t="shared" si="37"/>
        <v>32.972842890027351</v>
      </c>
      <c r="AA137" s="386">
        <f t="shared" si="38"/>
        <v>37.60545249020678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0.12318983799984469</v>
      </c>
      <c r="AD137" s="231">
        <f>(INDEX(Models!$BJ137:$BT137,,AH137)*(1-AF137)+INDEX(Models!$BJ137:$BT137,,AH137+1)*AF137-ERP_i)*AE137*Ramure*Pc/MaxiM</f>
        <v>3.7117808970083044E-2</v>
      </c>
      <c r="AE137" s="305">
        <f t="shared" si="40"/>
        <v>0.8</v>
      </c>
      <c r="AF137" s="177">
        <f t="shared" si="41"/>
        <v>0.30345602186865683</v>
      </c>
      <c r="AG137" s="809">
        <f t="shared" si="49"/>
        <v>4</v>
      </c>
      <c r="AH137" s="176">
        <f t="shared" si="42"/>
        <v>10</v>
      </c>
      <c r="AI137" s="225">
        <f t="shared" si="43"/>
        <v>4.3034560218686568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IF(t&gt;Tmaj,'2026'!Wh/'2026'!Env_an*'2027'!Env_an,0.001*[7]mois!$B$143)</f>
        <v>19.907029898719571</v>
      </c>
      <c r="C138" s="839"/>
      <c r="D138" s="393">
        <f t="shared" si="25"/>
        <v>21.944153033367066</v>
      </c>
      <c r="E138" s="385">
        <f t="shared" si="47"/>
        <v>22.372590157008108</v>
      </c>
      <c r="F138" s="385">
        <f t="shared" si="26"/>
        <v>22.415518372844176</v>
      </c>
      <c r="G138" s="110">
        <f t="shared" si="48"/>
        <v>0.37576251447371828</v>
      </c>
      <c r="H138" s="414" t="b">
        <f>Wh_hp&gt;='2026'!Maxi_hp</f>
        <v>0</v>
      </c>
      <c r="I138" s="390">
        <f>IF(H138,Wh_hp,'2026'!Maxi_hp)</f>
        <v>56.165663952413723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9.2832160418766546E-2</v>
      </c>
      <c r="M138" s="843"/>
      <c r="N138" s="843"/>
      <c r="O138" s="48">
        <f>IF(t&lt;Tnet,'2026'!Resal+('2026'!Salim-'2026'!Resal)*(1-EXP(('2026'!Tnet-t)/('2026'!Tau_j))),Resal+(Salim-Resal)*(1-EXP((Tnet-t)/(Tau_j))))*Salcycl</f>
        <v>1.9150090384453679E-2</v>
      </c>
      <c r="P138" s="169">
        <f>(INDEX(Models!$BJ138:$BT138,,T138)*(1-R138)+INDEX(Models!$BJ138:$BT138,,T138+1)*R138-ERP_i)*Q138*Ramure*Pc/MaxiM</f>
        <v>1.6483493389746303E-2</v>
      </c>
      <c r="Q138" s="305">
        <f t="shared" si="28"/>
        <v>0.8</v>
      </c>
      <c r="R138" s="177">
        <f t="shared" si="29"/>
        <v>0.10632741980330129</v>
      </c>
      <c r="S138" s="809">
        <f t="shared" si="30"/>
        <v>3</v>
      </c>
      <c r="T138" s="176">
        <f t="shared" si="31"/>
        <v>9</v>
      </c>
      <c r="U138" s="251">
        <f t="shared" si="32"/>
        <v>3.1063274198033013</v>
      </c>
      <c r="V138" s="383">
        <f t="shared" si="33"/>
        <v>52.204409580226638</v>
      </c>
      <c r="W138" s="402">
        <f t="shared" si="34"/>
        <v>19.907029898719571</v>
      </c>
      <c r="X138" s="157">
        <f t="shared" si="35"/>
        <v>46511</v>
      </c>
      <c r="Y138" s="385">
        <f t="shared" si="36"/>
        <v>17.751968906668289</v>
      </c>
      <c r="Z138" s="385">
        <f t="shared" si="37"/>
        <v>19.568560669944986</v>
      </c>
      <c r="AA138" s="386">
        <f t="shared" si="38"/>
        <v>22.321725965398741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0.12334016194453232</v>
      </c>
      <c r="AD138" s="231">
        <f>(INDEX(Models!$BJ138:$BT138,,AH138)*(1-AF138)+INDEX(Models!$BJ138:$BT138,,AH138+1)*AF138-ERP_i)*AE138*Ramure*Pc/MaxiM</f>
        <v>3.6014227426529349E-2</v>
      </c>
      <c r="AE138" s="305">
        <f t="shared" si="40"/>
        <v>0.8</v>
      </c>
      <c r="AF138" s="177">
        <f t="shared" si="41"/>
        <v>0.30704416696820491</v>
      </c>
      <c r="AG138" s="809">
        <f t="shared" si="49"/>
        <v>4</v>
      </c>
      <c r="AH138" s="176">
        <f t="shared" si="42"/>
        <v>10</v>
      </c>
      <c r="AI138" s="225">
        <f t="shared" si="43"/>
        <v>4.3070441669682049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IF(t&gt;Tmaj,'2026'!Wh/'2026'!Env_an*'2027'!Env_an,0.001*[7]mois!$B$144)</f>
        <v>39.605007284096502</v>
      </c>
      <c r="C139" s="839"/>
      <c r="D139" s="393">
        <f t="shared" si="25"/>
        <v>43.658900473952173</v>
      </c>
      <c r="E139" s="385">
        <f t="shared" si="47"/>
        <v>44.522106717741458</v>
      </c>
      <c r="F139" s="385">
        <f t="shared" si="26"/>
        <v>44.992881339967191</v>
      </c>
      <c r="G139" s="110">
        <f t="shared" si="48"/>
        <v>0.75181669182975297</v>
      </c>
      <c r="H139" s="414" t="b">
        <f>Wh_hp&gt;='2026'!Maxi_hp</f>
        <v>0</v>
      </c>
      <c r="I139" s="390">
        <f>IF(H139,Wh_hp,'2026'!Maxi_hp)</f>
        <v>56.298681599981336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9.2853762826077407E-2</v>
      </c>
      <c r="M139" s="843"/>
      <c r="N139" s="843"/>
      <c r="O139" s="48">
        <f>IF(t&lt;Tnet,'2026'!Resal+('2026'!Salim-'2026'!Resal)*(1-EXP(('2026'!Tnet-t)/('2026'!Tau_j))),Resal+(Salim-Resal)*(1-EXP((Tnet-t)/(Tau_j))))*Salcycl</f>
        <v>1.9388261414981681E-2</v>
      </c>
      <c r="P139" s="169">
        <f>(INDEX(Models!$BJ139:$BT139,,T139)*(1-R139)+INDEX(Models!$BJ139:$BT139,,T139+1)*R139-ERP_i)*Q139*Ramure*Pc/MaxiM</f>
        <v>1.6058857934738494E-2</v>
      </c>
      <c r="Q139" s="305">
        <f t="shared" si="28"/>
        <v>0.8</v>
      </c>
      <c r="R139" s="177">
        <f t="shared" si="29"/>
        <v>0.11001136948319301</v>
      </c>
      <c r="S139" s="809">
        <f t="shared" si="30"/>
        <v>3</v>
      </c>
      <c r="T139" s="176">
        <f t="shared" si="31"/>
        <v>9</v>
      </c>
      <c r="U139" s="251">
        <f t="shared" si="32"/>
        <v>3.110011369483193</v>
      </c>
      <c r="V139" s="383">
        <f t="shared" si="33"/>
        <v>52.381189222474951</v>
      </c>
      <c r="W139" s="402">
        <f t="shared" si="34"/>
        <v>39.605007284096502</v>
      </c>
      <c r="X139" s="157">
        <f t="shared" si="35"/>
        <v>46512</v>
      </c>
      <c r="Y139" s="385">
        <f t="shared" si="36"/>
        <v>34.959945956285793</v>
      </c>
      <c r="Z139" s="385">
        <f t="shared" si="37"/>
        <v>38.538379506702512</v>
      </c>
      <c r="AA139" s="386">
        <f t="shared" si="38"/>
        <v>43.968087174825826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0.12349201470907123</v>
      </c>
      <c r="AD139" s="231">
        <f>(INDEX(Models!$BJ139:$BT139,,AH139)*(1-AF139)+INDEX(Models!$BJ139:$BT139,,AH139+1)*AF139-ERP_i)*AE139*Ramure*Pc/MaxiM</f>
        <v>3.4957330181793769E-2</v>
      </c>
      <c r="AE139" s="305">
        <f t="shared" si="40"/>
        <v>0.8</v>
      </c>
      <c r="AF139" s="177">
        <f t="shared" si="41"/>
        <v>0.31072811664809663</v>
      </c>
      <c r="AG139" s="809">
        <f t="shared" si="49"/>
        <v>4</v>
      </c>
      <c r="AH139" s="176">
        <f t="shared" si="42"/>
        <v>10</v>
      </c>
      <c r="AI139" s="225">
        <f t="shared" si="43"/>
        <v>4.3107281166480966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IF(t&gt;Tmaj,'2026'!Wh/'2026'!Env_an*'2027'!Env_an,0.001*[7]mois!$B$145)</f>
        <v>33.373773761078503</v>
      </c>
      <c r="C140" s="839"/>
      <c r="D140" s="393">
        <f t="shared" si="25"/>
        <v>36.79072584239718</v>
      </c>
      <c r="E140" s="385">
        <f t="shared" si="47"/>
        <v>37.527258823176517</v>
      </c>
      <c r="F140" s="385">
        <f t="shared" si="26"/>
        <v>37.810987357118336</v>
      </c>
      <c r="G140" s="110">
        <f t="shared" si="48"/>
        <v>0.62985368893728833</v>
      </c>
      <c r="H140" s="414" t="b">
        <f>Wh_hp&gt;='2026'!Maxi_hp</f>
        <v>0</v>
      </c>
      <c r="I140" s="390">
        <f>IF(H140,Wh_hp,'2026'!Maxi_hp)</f>
        <v>61.556815865324921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9.2875364730668736E-2</v>
      </c>
      <c r="M140" s="843"/>
      <c r="N140" s="843"/>
      <c r="O140" s="48">
        <f>IF(t&lt;Tnet,'2026'!Resal+('2026'!Salim-'2026'!Resal)*(1-EXP(('2026'!Tnet-t)/('2026'!Tau_j))),Resal+(Salim-Resal)*(1-EXP((Tnet-t)/(Tau_j))))*Salcycl</f>
        <v>1.962661286425918E-2</v>
      </c>
      <c r="P140" s="169">
        <f>(INDEX(Models!$BJ140:$BT140,,T140)*(1-R140)+INDEX(Models!$BJ140:$BT140,,T140+1)*R140-ERP_i)*Q140*Ramure*Pc/MaxiM</f>
        <v>1.567584234115045E-2</v>
      </c>
      <c r="Q140" s="305">
        <f t="shared" si="28"/>
        <v>0.8</v>
      </c>
      <c r="R140" s="177">
        <f t="shared" si="29"/>
        <v>0.11379177671680285</v>
      </c>
      <c r="S140" s="809">
        <f t="shared" si="30"/>
        <v>3</v>
      </c>
      <c r="T140" s="176">
        <f t="shared" si="31"/>
        <v>9</v>
      </c>
      <c r="U140" s="251">
        <f t="shared" si="32"/>
        <v>3.1137917767168029</v>
      </c>
      <c r="V140" s="383">
        <f t="shared" si="33"/>
        <v>52.550270975673918</v>
      </c>
      <c r="W140" s="402">
        <f t="shared" si="34"/>
        <v>33.373773761078503</v>
      </c>
      <c r="X140" s="157">
        <f t="shared" si="35"/>
        <v>46513</v>
      </c>
      <c r="Y140" s="385">
        <f t="shared" si="36"/>
        <v>29.569889103644435</v>
      </c>
      <c r="Z140" s="385">
        <f t="shared" si="37"/>
        <v>32.597382932792847</v>
      </c>
      <c r="AA140" s="386">
        <f t="shared" si="38"/>
        <v>37.196565749058664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0.12364536143722368</v>
      </c>
      <c r="AD140" s="231">
        <f>(INDEX(Models!$BJ140:$BT140,,AH140)*(1-AF140)+INDEX(Models!$BJ140:$BT140,,AH140+1)*AF140-ERP_i)*AE140*Ramure*Pc/MaxiM</f>
        <v>3.3946449182000529E-2</v>
      </c>
      <c r="AE140" s="305">
        <f t="shared" si="40"/>
        <v>0.8</v>
      </c>
      <c r="AF140" s="177">
        <f t="shared" si="41"/>
        <v>0.31450852388170603</v>
      </c>
      <c r="AG140" s="809">
        <f t="shared" si="49"/>
        <v>4</v>
      </c>
      <c r="AH140" s="176">
        <f t="shared" si="42"/>
        <v>10</v>
      </c>
      <c r="AI140" s="225">
        <f t="shared" si="43"/>
        <v>4.314508523881706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IF(t&gt;Tmaj,'2026'!Wh/'2026'!Env_an*'2027'!Env_an,0.001*[7]mois!$B$146)</f>
        <v>48.857812625717436</v>
      </c>
      <c r="C141" s="839"/>
      <c r="D141" s="393">
        <f t="shared" si="25"/>
        <v>53.861370540688633</v>
      </c>
      <c r="E141" s="385">
        <f t="shared" si="47"/>
        <v>54.953020326356054</v>
      </c>
      <c r="F141" s="385">
        <f t="shared" si="26"/>
        <v>55.718194887393416</v>
      </c>
      <c r="G141" s="110">
        <f t="shared" si="48"/>
        <v>0.92538693101021874</v>
      </c>
      <c r="H141" s="414" t="b">
        <f>Wh_hp&gt;='2026'!Maxi_hp</f>
        <v>0</v>
      </c>
      <c r="I141" s="390">
        <f>IF(H141,Wh_hp,'2026'!Maxi_hp)</f>
        <v>58.403819725398094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9.2896966132552189E-2</v>
      </c>
      <c r="M141" s="843"/>
      <c r="N141" s="843"/>
      <c r="O141" s="48">
        <f>IF(t&lt;Tnet,'2026'!Resal+('2026'!Salim-'2026'!Resal)*(1-EXP(('2026'!Tnet-t)/('2026'!Tau_j))),Resal+(Salim-Resal)*(1-EXP((Tnet-t)/(Tau_j))))*Salcycl</f>
        <v>1.9865146250093457E-2</v>
      </c>
      <c r="P141" s="169">
        <f>(INDEX(Models!$BJ141:$BT141,,T141)*(1-R141)+INDEX(Models!$BJ141:$BT141,,T141+1)*R141-ERP_i)*Q141*Ramure*Pc/MaxiM</f>
        <v>1.5334469807459948E-2</v>
      </c>
      <c r="Q141" s="305">
        <f t="shared" si="28"/>
        <v>0.8</v>
      </c>
      <c r="R141" s="177">
        <f t="shared" si="29"/>
        <v>0.11766916200298549</v>
      </c>
      <c r="S141" s="809">
        <f t="shared" si="30"/>
        <v>3</v>
      </c>
      <c r="T141" s="176">
        <f t="shared" si="31"/>
        <v>9</v>
      </c>
      <c r="U141" s="251">
        <f t="shared" si="32"/>
        <v>3.1176691620029855</v>
      </c>
      <c r="V141" s="383">
        <f t="shared" si="33"/>
        <v>52.711437953093132</v>
      </c>
      <c r="W141" s="402">
        <f t="shared" si="34"/>
        <v>48.857812625717436</v>
      </c>
      <c r="X141" s="157">
        <f t="shared" si="35"/>
        <v>46514</v>
      </c>
      <c r="Y141" s="385">
        <f t="shared" si="36"/>
        <v>42.976996513542723</v>
      </c>
      <c r="Z141" s="385">
        <f t="shared" si="37"/>
        <v>47.378296520858974</v>
      </c>
      <c r="AA141" s="386">
        <f t="shared" si="38"/>
        <v>54.072478137045721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0.12380016316656434</v>
      </c>
      <c r="AD141" s="231">
        <f>(INDEX(Models!$BJ141:$BT141,,AH141)*(1-AF141)+INDEX(Models!$BJ141:$BT141,,AH141+1)*AF141-ERP_i)*AE141*Ramure*Pc/MaxiM</f>
        <v>3.2980962913383503E-2</v>
      </c>
      <c r="AE141" s="305">
        <f t="shared" si="40"/>
        <v>0.8</v>
      </c>
      <c r="AF141" s="177">
        <f t="shared" si="41"/>
        <v>0.31838590916788956</v>
      </c>
      <c r="AG141" s="809">
        <f t="shared" si="49"/>
        <v>4</v>
      </c>
      <c r="AH141" s="176">
        <f t="shared" si="42"/>
        <v>10</v>
      </c>
      <c r="AI141" s="225">
        <f t="shared" si="43"/>
        <v>4.3183859091678896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IF(t&gt;Tmaj,'2026'!Wh/'2026'!Env_an*'2027'!Env_an,0.001*[7]mois!$B$147)</f>
        <v>44.53955438944778</v>
      </c>
      <c r="C142" s="839"/>
      <c r="D142" s="393">
        <f t="shared" si="25"/>
        <v>49.102046156650026</v>
      </c>
      <c r="E142" s="385">
        <f t="shared" si="47"/>
        <v>50.109439416818184</v>
      </c>
      <c r="F142" s="385">
        <f t="shared" si="26"/>
        <v>50.700618392975635</v>
      </c>
      <c r="G142" s="110">
        <f t="shared" si="48"/>
        <v>0.83964665352643875</v>
      </c>
      <c r="H142" s="414" t="b">
        <f>Wh_hp&gt;='2026'!Maxi_hp</f>
        <v>0</v>
      </c>
      <c r="I142" s="390">
        <f>IF(H142,Wh_hp,'2026'!Maxi_hp)</f>
        <v>55.761522255902449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9.2918567031739424E-2</v>
      </c>
      <c r="M142" s="843"/>
      <c r="N142" s="843"/>
      <c r="O142" s="48">
        <f>IF(t&lt;Tnet,'2026'!Resal+('2026'!Salim-'2026'!Resal)*(1-EXP(('2026'!Tnet-t)/('2026'!Tau_j))),Resal+(Salim-Resal)*(1-EXP((Tnet-t)/(Tau_j))))*Salcycl</f>
        <v>2.0103862104473048E-2</v>
      </c>
      <c r="P142" s="169">
        <f>(INDEX(Models!$BJ142:$BT142,,T142)*(1-R142)+INDEX(Models!$BJ142:$BT142,,T142+1)*R142-ERP_i)*Q142*Ramure*Pc/MaxiM</f>
        <v>1.5044530564604868E-2</v>
      </c>
      <c r="Q142" s="305">
        <f t="shared" si="28"/>
        <v>0.8</v>
      </c>
      <c r="R142" s="177">
        <f t="shared" si="29"/>
        <v>0.12164390496074518</v>
      </c>
      <c r="S142" s="809">
        <f t="shared" si="30"/>
        <v>3</v>
      </c>
      <c r="T142" s="176">
        <f t="shared" si="31"/>
        <v>9</v>
      </c>
      <c r="U142" s="251">
        <f t="shared" si="32"/>
        <v>3.1216439049607452</v>
      </c>
      <c r="V142" s="383">
        <f t="shared" si="33"/>
        <v>52.863950498126748</v>
      </c>
      <c r="W142" s="402">
        <f t="shared" si="34"/>
        <v>44.53955438944778</v>
      </c>
      <c r="X142" s="157">
        <f t="shared" si="35"/>
        <v>46515</v>
      </c>
      <c r="Y142" s="385">
        <f t="shared" si="36"/>
        <v>39.286891833597736</v>
      </c>
      <c r="Z142" s="385">
        <f t="shared" si="37"/>
        <v>43.311317380886585</v>
      </c>
      <c r="AA142" s="386">
        <f t="shared" si="38"/>
        <v>49.439681121467217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0.12395637677201016</v>
      </c>
      <c r="AD142" s="231">
        <f>(INDEX(Models!$BJ142:$BT142,,AH142)*(1-AF142)+INDEX(Models!$BJ142:$BT142,,AH142+1)*AF142-ERP_i)*AE142*Ramure*Pc/MaxiM</f>
        <v>3.208877528859469E-2</v>
      </c>
      <c r="AE142" s="305">
        <f t="shared" si="40"/>
        <v>0.8</v>
      </c>
      <c r="AF142" s="177">
        <f t="shared" si="41"/>
        <v>0.32236065212564835</v>
      </c>
      <c r="AG142" s="809">
        <f t="shared" si="49"/>
        <v>4</v>
      </c>
      <c r="AH142" s="176">
        <f t="shared" si="42"/>
        <v>10</v>
      </c>
      <c r="AI142" s="225">
        <f t="shared" si="43"/>
        <v>4.3223606521256484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IF(t&gt;Tmaj,'2026'!Wh/'2026'!Env_an*'2027'!Env_an,0.001*[7]mois!$B$148)</f>
        <v>49.289857818711035</v>
      </c>
      <c r="C143" s="839"/>
      <c r="D143" s="393">
        <f t="shared" ref="D143:D206" si="50">Wh/(1-Ppv)</f>
        <v>54.340249726372598</v>
      </c>
      <c r="E143" s="385">
        <f t="shared" si="47"/>
        <v>55.468634848912082</v>
      </c>
      <c r="F143" s="385">
        <f t="shared" ref="F143:F206" si="51">Wh_sa/(1-Pvg*MEDIAN((-Sdif+Wh/Env_an)/Csdif,0,1))</f>
        <v>56.216391659511849</v>
      </c>
      <c r="G143" s="110">
        <f t="shared" si="48"/>
        <v>0.92844616210814512</v>
      </c>
      <c r="H143" s="414" t="b">
        <f>Wh_hp&gt;='2026'!Maxi_hp</f>
        <v>0</v>
      </c>
      <c r="I143" s="390">
        <f>IF(H143,Wh_hp,'2026'!Maxi_hp)</f>
        <v>56.299279898719327</v>
      </c>
      <c r="J143" s="85">
        <f>IF(H143,An,'2026'!An_max)</f>
        <v>2022</v>
      </c>
      <c r="K143" s="197">
        <f t="shared" ref="K143:K206" si="52">t</f>
        <v>46516</v>
      </c>
      <c r="L143" s="147">
        <f>IF(t&lt;Tvie,1-EXP((T0-t)*PertePVj)+'2026'!Pspv,1-EXP((T0-t)*PertePVj)+Pspv)</f>
        <v>9.294016742824221E-2</v>
      </c>
      <c r="M143" s="843"/>
      <c r="N143" s="843"/>
      <c r="O143" s="48">
        <f>IF(t&lt;Tnet,'2026'!Resal+('2026'!Salim-'2026'!Resal)*(1-EXP(('2026'!Tnet-t)/('2026'!Tau_j))),Resal+(Salim-Resal)*(1-EXP((Tnet-t)/(Tau_j))))*Salcycl</f>
        <v>2.0342759932942787E-2</v>
      </c>
      <c r="P143" s="169">
        <f>(INDEX(Models!$BJ143:$BT143,,T143)*(1-R143)+INDEX(Models!$BJ143:$BT143,,T143+1)*R143-ERP_i)*Q143*Ramure*Pc/MaxiM</f>
        <v>1.4783032968423012E-2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0.12571623602155935</v>
      </c>
      <c r="S143" s="809">
        <f t="shared" ref="S143:S206" si="55">INDEX(Echel_vg,T143)</f>
        <v>3</v>
      </c>
      <c r="T143" s="176">
        <f t="shared" ref="T143:T206" si="56">MIN(MATCH(Hp_vg,Echel_vg),10)</f>
        <v>9</v>
      </c>
      <c r="U143" s="251">
        <f t="shared" ref="U143:U206" si="57">IF(OR(t&lt;Ttai,Notai),Hdd+PousH*Croivg,Hdtf+PousH*(Croivg-Croi_tai))</f>
        <v>3.1257162360215593</v>
      </c>
      <c r="V143" s="383">
        <f t="shared" ref="V143:V206" si="58">MaxiM*(1-Ppv)*(1-Pvg)*(1-Psa)</f>
        <v>53.008829102900762</v>
      </c>
      <c r="W143" s="402">
        <f t="shared" ref="W143:W206" si="59">Wh*(A143&gt;Tmaj)</f>
        <v>49.289857818711035</v>
      </c>
      <c r="X143" s="157">
        <f t="shared" ref="X143:X206" si="60">t</f>
        <v>46516</v>
      </c>
      <c r="Y143" s="385">
        <f t="shared" ref="Y143:Y206" si="61">Wh_pvt_s*(1-Ppv)</f>
        <v>43.406883824819303</v>
      </c>
      <c r="Z143" s="385">
        <f t="shared" ref="Z143:Z206" si="62">Wh_sa_s*(1-Psa_s)</f>
        <v>47.854487946786428</v>
      </c>
      <c r="AA143" s="386">
        <f t="shared" ref="AA143:AA206" si="63">Wh_hp*(1-Pvg_s*MEDIAN((-Sdif+Wh/Env_an)/Csdif,0,1))</f>
        <v>54.635518188452025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0.12411395492353657</v>
      </c>
      <c r="AD143" s="231">
        <f>(INDEX(Models!$BJ143:$BT143,,AH143)*(1-AF143)+INDEX(Models!$BJ143:$BT143,,AH143+1)*AF143-ERP_i)*AE143*Ramure*Pc/MaxiM</f>
        <v>3.125361656397032E-2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0.32643298318646341</v>
      </c>
      <c r="AG143" s="809">
        <f t="shared" si="49"/>
        <v>4</v>
      </c>
      <c r="AH143" s="176">
        <f t="shared" ref="AH143:AH206" si="67">MIN(MATCH(Hp_vg_s,Echel_vg),10)</f>
        <v>10</v>
      </c>
      <c r="AI143" s="225">
        <f t="shared" ref="AI143:AI206" si="68">IF(OR(t&lt;Ttai,Notai),Hdd_s+PousH*Croivg,Hdtai_s+PousH*(Croivg-Croi_tai))</f>
        <v>4.3264329831864634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IF(t&gt;Tmaj,'2026'!Wh/'2026'!Env_an*'2027'!Env_an,0.001*[7]mois!$B$149)</f>
        <v>45.751307151821756</v>
      </c>
      <c r="C144" s="839"/>
      <c r="D144" s="393">
        <f t="shared" si="50"/>
        <v>50.440329308662321</v>
      </c>
      <c r="E144" s="385">
        <f t="shared" ref="E144:E169" si="72">Wh_pvt/(1-Psa)</f>
        <v>51.500300152435905</v>
      </c>
      <c r="F144" s="385">
        <f t="shared" si="51"/>
        <v>52.107779027036592</v>
      </c>
      <c r="G144" s="110">
        <f t="shared" ref="G144:G169" si="73">+Wh_hp/MaxiM</f>
        <v>0.8583440665246812</v>
      </c>
      <c r="H144" s="414" t="b">
        <f>Wh_hp&gt;='2026'!Maxi_hp</f>
        <v>0</v>
      </c>
      <c r="I144" s="390">
        <f>IF(H144,Wh_hp,'2026'!Maxi_hp)</f>
        <v>52.257479209340723</v>
      </c>
      <c r="J144" s="85">
        <f>IF(H144,An,'2026'!An_max)</f>
        <v>2022</v>
      </c>
      <c r="K144" s="197">
        <f t="shared" si="52"/>
        <v>46517</v>
      </c>
      <c r="L144" s="147">
        <f>IF(t&lt;Tvie,1-EXP((T0-t)*PertePVj)+'2026'!Pspv,1-EXP((T0-t)*PertePVj)+Pspv)</f>
        <v>9.2961767322072203E-2</v>
      </c>
      <c r="M144" s="843"/>
      <c r="N144" s="843"/>
      <c r="O144" s="48">
        <f>IF(t&lt;Tnet,'2026'!Resal+('2026'!Salim-'2026'!Resal)*(1-EXP(('2026'!Tnet-t)/('2026'!Tau_j))),Resal+(Salim-Resal)*(1-EXP((Tnet-t)/(Tau_j))))*Salcycl</f>
        <v>2.0581838176402318E-2</v>
      </c>
      <c r="P144" s="169">
        <f>(INDEX(Models!$BJ144:$BT144,,T144)*(1-R144)+INDEX(Models!$BJ144:$BT144,,T144+1)*R144-ERP_i)*Q144*Ramure*Pc/MaxiM</f>
        <v>1.4550226633409293E-2</v>
      </c>
      <c r="Q144" s="305">
        <f t="shared" si="53"/>
        <v>0.8</v>
      </c>
      <c r="R144" s="177">
        <f t="shared" si="54"/>
        <v>0.12988622827762164</v>
      </c>
      <c r="S144" s="809">
        <f t="shared" si="55"/>
        <v>3</v>
      </c>
      <c r="T144" s="176">
        <f t="shared" si="56"/>
        <v>9</v>
      </c>
      <c r="U144" s="251">
        <f t="shared" si="57"/>
        <v>3.1298862282776216</v>
      </c>
      <c r="V144" s="383">
        <f t="shared" si="58"/>
        <v>53.145854465226556</v>
      </c>
      <c r="W144" s="402">
        <f t="shared" si="59"/>
        <v>45.751307151821756</v>
      </c>
      <c r="X144" s="157">
        <f t="shared" si="60"/>
        <v>46517</v>
      </c>
      <c r="Y144" s="385">
        <f t="shared" si="61"/>
        <v>40.37948048654571</v>
      </c>
      <c r="Z144" s="385">
        <f t="shared" si="62"/>
        <v>44.517947570225189</v>
      </c>
      <c r="AA144" s="386">
        <f t="shared" si="63"/>
        <v>50.835408460166811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0.12427284605949027</v>
      </c>
      <c r="AD144" s="231">
        <f>(INDEX(Models!$BJ144:$BT144,,AH144)*(1-AF144)+INDEX(Models!$BJ144:$BT144,,AH144+1)*AF144-ERP_i)*AE144*Ramure*Pc/MaxiM</f>
        <v>3.0475594927978671E-2</v>
      </c>
      <c r="AE144" s="305">
        <f t="shared" si="65"/>
        <v>0.8</v>
      </c>
      <c r="AF144" s="177">
        <f t="shared" si="66"/>
        <v>0.33060297544252482</v>
      </c>
      <c r="AG144" s="809">
        <f t="shared" ref="AG144:AG207" si="74">INDEX(Echel_vg,AH144)</f>
        <v>4</v>
      </c>
      <c r="AH144" s="176">
        <f t="shared" si="67"/>
        <v>10</v>
      </c>
      <c r="AI144" s="225">
        <f t="shared" si="68"/>
        <v>4.3306029754425248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IF(t&gt;Tmaj,'2026'!Wh/'2026'!Env_an*'2027'!Env_an,0.001*[7]mois!$B$150)</f>
        <v>49.460048944182439</v>
      </c>
      <c r="C145" s="839"/>
      <c r="D145" s="393">
        <f t="shared" si="50"/>
        <v>54.530476210732658</v>
      </c>
      <c r="E145" s="385">
        <f t="shared" si="72"/>
        <v>55.690003008009803</v>
      </c>
      <c r="F145" s="385">
        <f t="shared" si="51"/>
        <v>56.416584910139171</v>
      </c>
      <c r="G145" s="110">
        <f t="shared" si="73"/>
        <v>0.92701449978420003</v>
      </c>
      <c r="H145" s="414" t="b">
        <f>Wh_hp&gt;='2026'!Maxi_hp</f>
        <v>0</v>
      </c>
      <c r="I145" s="390">
        <f>IF(H145,Wh_hp,'2026'!Maxi_hp)</f>
        <v>56.498682503617381</v>
      </c>
      <c r="J145" s="85">
        <f>IF(H145,An,'2026'!An_max)</f>
        <v>2022</v>
      </c>
      <c r="K145" s="197">
        <f t="shared" si="52"/>
        <v>46518</v>
      </c>
      <c r="L145" s="147">
        <f>IF(t&lt;Tvie,1-EXP((T0-t)*PertePVj)+'2026'!Pspv,1-EXP((T0-t)*PertePVj)+Pspv)</f>
        <v>9.2983366713241061E-2</v>
      </c>
      <c r="M145" s="843"/>
      <c r="N145" s="843"/>
      <c r="O145" s="48">
        <f>IF(t&lt;Tnet,'2026'!Resal+('2026'!Salim-'2026'!Resal)*(1-EXP(('2026'!Tnet-t)/('2026'!Tau_j))),Resal+(Salim-Resal)*(1-EXP((Tnet-t)/(Tau_j))))*Salcycl</f>
        <v>2.0821094175742266E-2</v>
      </c>
      <c r="P145" s="169">
        <f>(INDEX(Models!$BJ145:$BT145,,T145)*(1-R145)+INDEX(Models!$BJ145:$BT145,,T145+1)*R145-ERP_i)*Q145*Ramure*Pc/MaxiM</f>
        <v>1.4346411602562982E-2</v>
      </c>
      <c r="Q145" s="305">
        <f t="shared" si="53"/>
        <v>0.8</v>
      </c>
      <c r="R145" s="177">
        <f t="shared" si="54"/>
        <v>0.13415378954765833</v>
      </c>
      <c r="S145" s="809">
        <f t="shared" si="55"/>
        <v>3</v>
      </c>
      <c r="T145" s="176">
        <f t="shared" si="56"/>
        <v>9</v>
      </c>
      <c r="U145" s="251">
        <f t="shared" si="57"/>
        <v>3.1341537895476583</v>
      </c>
      <c r="V145" s="383">
        <f t="shared" si="58"/>
        <v>53.274805632458637</v>
      </c>
      <c r="W145" s="402">
        <f t="shared" si="59"/>
        <v>49.460048944182439</v>
      </c>
      <c r="X145" s="157">
        <f t="shared" si="60"/>
        <v>46518</v>
      </c>
      <c r="Y145" s="385">
        <f t="shared" si="61"/>
        <v>43.606694456138754</v>
      </c>
      <c r="Z145" s="385">
        <f t="shared" si="62"/>
        <v>48.077061495687282</v>
      </c>
      <c r="AA145" s="386">
        <f t="shared" si="63"/>
        <v>54.909631343942863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0.12443299437684693</v>
      </c>
      <c r="AD145" s="231">
        <f>(INDEX(Models!$BJ145:$BT145,,AH145)*(1-AF145)+INDEX(Models!$BJ145:$BT145,,AH145+1)*AF145-ERP_i)*AE145*Ramure*Pc/MaxiM</f>
        <v>2.9754905900137699E-2</v>
      </c>
      <c r="AE145" s="305">
        <f t="shared" si="65"/>
        <v>0.8</v>
      </c>
      <c r="AF145" s="177">
        <f t="shared" si="66"/>
        <v>0.33487053671256195</v>
      </c>
      <c r="AG145" s="809">
        <f t="shared" si="74"/>
        <v>4</v>
      </c>
      <c r="AH145" s="176">
        <f t="shared" si="67"/>
        <v>10</v>
      </c>
      <c r="AI145" s="225">
        <f t="shared" si="68"/>
        <v>4.334870536712562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IF(t&gt;Tmaj,'2026'!Wh/'2026'!Env_an*'2027'!Env_an,0.001*[7]mois!$B$151)</f>
        <v>37.818264336233334</v>
      </c>
      <c r="C146" s="839"/>
      <c r="D146" s="393">
        <f t="shared" si="50"/>
        <v>41.696219826963521</v>
      </c>
      <c r="E146" s="385">
        <f t="shared" si="72"/>
        <v>42.593256125790674</v>
      </c>
      <c r="F146" s="385">
        <f t="shared" si="51"/>
        <v>42.948250465457789</v>
      </c>
      <c r="G146" s="110">
        <f t="shared" si="73"/>
        <v>0.70404930160274293</v>
      </c>
      <c r="H146" s="414" t="b">
        <f>Wh_hp&gt;='2026'!Maxi_hp</f>
        <v>0</v>
      </c>
      <c r="I146" s="390">
        <f>IF(H146,Wh_hp,'2026'!Maxi_hp)</f>
        <v>59.943333681324077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9.3004965601760553E-2</v>
      </c>
      <c r="M146" s="843"/>
      <c r="N146" s="843"/>
      <c r="O146" s="48">
        <f>IF(t&lt;Tnet,'2026'!Resal+('2026'!Salim-'2026'!Resal)*(1-EXP(('2026'!Tnet-t)/('2026'!Tau_j))),Resal+(Salim-Resal)*(1-EXP((Tnet-t)/(Tau_j))))*Salcycl</f>
        <v>2.106052413973554E-2</v>
      </c>
      <c r="P146" s="169">
        <f>(INDEX(Models!$BJ146:$BT146,,T146)*(1-R146)+INDEX(Models!$BJ146:$BT146,,T146+1)*R146-ERP_i)*Q146*Ramure*Pc/MaxiM</f>
        <v>1.4171938989824688E-2</v>
      </c>
      <c r="Q146" s="305">
        <f t="shared" si="53"/>
        <v>0.8</v>
      </c>
      <c r="R146" s="177">
        <f t="shared" si="54"/>
        <v>0.1385186547250532</v>
      </c>
      <c r="S146" s="809">
        <f t="shared" si="55"/>
        <v>3</v>
      </c>
      <c r="T146" s="176">
        <f t="shared" si="56"/>
        <v>9</v>
      </c>
      <c r="U146" s="251">
        <f t="shared" si="57"/>
        <v>3.1385186547250532</v>
      </c>
      <c r="V146" s="383">
        <f t="shared" si="58"/>
        <v>53.39546000223784</v>
      </c>
      <c r="W146" s="402">
        <f t="shared" si="59"/>
        <v>37.818264336233334</v>
      </c>
      <c r="X146" s="157">
        <f t="shared" si="60"/>
        <v>46519</v>
      </c>
      <c r="Y146" s="385">
        <f t="shared" si="61"/>
        <v>33.521821936879007</v>
      </c>
      <c r="Z146" s="385">
        <f t="shared" si="62"/>
        <v>36.959212195819354</v>
      </c>
      <c r="AA146" s="386">
        <f t="shared" si="63"/>
        <v>42.219526189779309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0.12459433983968761</v>
      </c>
      <c r="AD146" s="231">
        <f>(INDEX(Models!$BJ146:$BT146,,AH146)*(1-AF146)+INDEX(Models!$BJ146:$BT146,,AH146+1)*AF146-ERP_i)*AE146*Ramure*Pc/MaxiM</f>
        <v>2.9091832802190364E-2</v>
      </c>
      <c r="AE146" s="305">
        <f t="shared" si="65"/>
        <v>0.8</v>
      </c>
      <c r="AF146" s="177">
        <f t="shared" si="66"/>
        <v>0.33923540188995638</v>
      </c>
      <c r="AG146" s="809">
        <f t="shared" si="74"/>
        <v>4</v>
      </c>
      <c r="AH146" s="176">
        <f t="shared" si="67"/>
        <v>10</v>
      </c>
      <c r="AI146" s="225">
        <f t="shared" si="68"/>
        <v>4.3392354018899564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IF(t&gt;Tmaj,'2026'!Wh/'2026'!Env_an*'2027'!Env_an,0.001*[7]mois!$B$152)</f>
        <v>40.395554518026401</v>
      </c>
      <c r="C147" s="839"/>
      <c r="D147" s="393">
        <f t="shared" si="50"/>
        <v>44.538850769027377</v>
      </c>
      <c r="E147" s="385">
        <f t="shared" si="72"/>
        <v>45.508180619025097</v>
      </c>
      <c r="F147" s="385">
        <f t="shared" si="51"/>
        <v>45.926881503806946</v>
      </c>
      <c r="G147" s="110">
        <f t="shared" si="73"/>
        <v>0.75120863182728093</v>
      </c>
      <c r="H147" s="414" t="b">
        <f>Wh_hp&gt;='2026'!Maxi_hp</f>
        <v>0</v>
      </c>
      <c r="I147" s="390">
        <f>IF(H147,Wh_hp,'2026'!Maxi_hp)</f>
        <v>63.165410025979916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9.3026563987642336E-2</v>
      </c>
      <c r="M147" s="843"/>
      <c r="N147" s="843"/>
      <c r="O147" s="48">
        <f>IF(t&lt;Tnet,'2026'!Resal+('2026'!Salim-'2026'!Resal)*(1-EXP(('2026'!Tnet-t)/('2026'!Tau_j))),Resal+(Salim-Resal)*(1-EXP((Tnet-t)/(Tau_j))))*Salcycl</f>
        <v>2.1300123116600369E-2</v>
      </c>
      <c r="P147" s="169">
        <f>(INDEX(Models!$BJ147:$BT147,,T147)*(1-R147)+INDEX(Models!$BJ147:$BT147,,T147+1)*R147-ERP_i)*Q147*Ramure*Pc/MaxiM</f>
        <v>1.4027211557814634E-2</v>
      </c>
      <c r="Q147" s="305">
        <f t="shared" si="53"/>
        <v>0.8</v>
      </c>
      <c r="R147" s="177">
        <f t="shared" si="54"/>
        <v>0.14298037847559542</v>
      </c>
      <c r="S147" s="809">
        <f t="shared" si="55"/>
        <v>3</v>
      </c>
      <c r="T147" s="176">
        <f t="shared" si="56"/>
        <v>9</v>
      </c>
      <c r="U147" s="251">
        <f t="shared" si="57"/>
        <v>3.1429803784755954</v>
      </c>
      <c r="V147" s="383">
        <f t="shared" si="58"/>
        <v>53.507593353543989</v>
      </c>
      <c r="W147" s="402">
        <f t="shared" si="59"/>
        <v>40.395554518026401</v>
      </c>
      <c r="X147" s="157">
        <f t="shared" si="60"/>
        <v>46520</v>
      </c>
      <c r="Y147" s="385">
        <f t="shared" si="61"/>
        <v>35.782791331172746</v>
      </c>
      <c r="Z147" s="385">
        <f t="shared" si="62"/>
        <v>39.452965114939921</v>
      </c>
      <c r="AA147" s="386">
        <f t="shared" si="63"/>
        <v>45.076575214354449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0.12475681820706989</v>
      </c>
      <c r="AD147" s="231">
        <f>(INDEX(Models!$BJ147:$BT147,,AH147)*(1-AF147)+INDEX(Models!$BJ147:$BT147,,AH147+1)*AF147-ERP_i)*AE147*Ramure*Pc/MaxiM</f>
        <v>2.8486747089882643E-2</v>
      </c>
      <c r="AE147" s="305">
        <f t="shared" si="65"/>
        <v>0.8</v>
      </c>
      <c r="AF147" s="177">
        <f t="shared" si="66"/>
        <v>0.34369712564049948</v>
      </c>
      <c r="AG147" s="809">
        <f t="shared" si="74"/>
        <v>4</v>
      </c>
      <c r="AH147" s="176">
        <f t="shared" si="67"/>
        <v>10</v>
      </c>
      <c r="AI147" s="225">
        <f t="shared" si="68"/>
        <v>4.3436971256404995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IF(t&gt;Tmaj,'2026'!Wh/'2026'!Env_an*'2027'!Env_an,0.001*[7]mois!$B$153)</f>
        <v>44.094341131179952</v>
      </c>
      <c r="C148" s="839"/>
      <c r="D148" s="393">
        <f t="shared" si="50"/>
        <v>48.618172737969857</v>
      </c>
      <c r="E148" s="385">
        <f t="shared" si="72"/>
        <v>49.688456372553915</v>
      </c>
      <c r="F148" s="385">
        <f t="shared" si="51"/>
        <v>50.209864186212947</v>
      </c>
      <c r="G148" s="110">
        <f t="shared" si="73"/>
        <v>0.819554853476676</v>
      </c>
      <c r="H148" s="414" t="b">
        <f>Wh_hp&gt;='2026'!Maxi_hp</f>
        <v>0</v>
      </c>
      <c r="I148" s="390">
        <f>IF(H148,Wh_hp,'2026'!Maxi_hp)</f>
        <v>61.55883645461271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9.3048161870898177E-2</v>
      </c>
      <c r="M148" s="843"/>
      <c r="N148" s="843"/>
      <c r="O148" s="48">
        <f>IF(t&lt;Tnet,'2026'!Resal+('2026'!Salim-'2026'!Resal)*(1-EXP(('2026'!Tnet-t)/('2026'!Tau_j))),Resal+(Salim-Resal)*(1-EXP((Tnet-t)/(Tau_j))))*Salcycl</f>
        <v>2.1539884969645436E-2</v>
      </c>
      <c r="P148" s="169">
        <f>(INDEX(Models!$BJ148:$BT148,,T148)*(1-R148)+INDEX(Models!$BJ148:$BT148,,T148+1)*R148-ERP_i)*Q148*Ramure*Pc/MaxiM</f>
        <v>1.3912684241015308E-2</v>
      </c>
      <c r="Q148" s="305">
        <f t="shared" si="53"/>
        <v>0.8</v>
      </c>
      <c r="R148" s="177">
        <f t="shared" si="54"/>
        <v>0.14753832835431835</v>
      </c>
      <c r="S148" s="809">
        <f t="shared" si="55"/>
        <v>3</v>
      </c>
      <c r="T148" s="176">
        <f t="shared" si="56"/>
        <v>9</v>
      </c>
      <c r="U148" s="251">
        <f t="shared" si="57"/>
        <v>3.1475383283543183</v>
      </c>
      <c r="V148" s="383">
        <f t="shared" si="58"/>
        <v>53.610979864897566</v>
      </c>
      <c r="W148" s="402">
        <f t="shared" si="59"/>
        <v>44.094341131179952</v>
      </c>
      <c r="X148" s="157">
        <f t="shared" si="60"/>
        <v>46521</v>
      </c>
      <c r="Y148" s="385">
        <f t="shared" si="61"/>
        <v>39.0182653811694</v>
      </c>
      <c r="Z148" s="385">
        <f t="shared" si="62"/>
        <v>43.021320141605216</v>
      </c>
      <c r="AA148" s="386">
        <f t="shared" si="63"/>
        <v>49.162748426837823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0.1249203610813593</v>
      </c>
      <c r="AD148" s="231">
        <f>(INDEX(Models!$BJ148:$BT148,,AH148)*(1-AF148)+INDEX(Models!$BJ148:$BT148,,AH148+1)*AF148-ERP_i)*AE148*Ramure*Pc/MaxiM</f>
        <v>2.7940108572104948E-2</v>
      </c>
      <c r="AE148" s="305">
        <f t="shared" si="65"/>
        <v>0.8</v>
      </c>
      <c r="AF148" s="177">
        <f t="shared" si="66"/>
        <v>0.34825507551922197</v>
      </c>
      <c r="AG148" s="809">
        <f t="shared" si="74"/>
        <v>4</v>
      </c>
      <c r="AH148" s="176">
        <f t="shared" si="67"/>
        <v>10</v>
      </c>
      <c r="AI148" s="225">
        <f t="shared" si="68"/>
        <v>4.348255075519222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IF(t&gt;Tmaj,'2026'!Wh/'2026'!Env_an*'2027'!Env_an,0.001*[7]mois!$B$154)</f>
        <v>46.383273123097496</v>
      </c>
      <c r="C149" s="839"/>
      <c r="D149" s="393">
        <f t="shared" si="50"/>
        <v>51.143154168967698</v>
      </c>
      <c r="E149" s="385">
        <f t="shared" si="72"/>
        <v>52.281842362503632</v>
      </c>
      <c r="F149" s="385">
        <f t="shared" si="51"/>
        <v>52.870588769423378</v>
      </c>
      <c r="G149" s="110">
        <f t="shared" si="73"/>
        <v>0.86131484378637824</v>
      </c>
      <c r="H149" s="414" t="b">
        <f>Wh_hp&gt;='2026'!Maxi_hp</f>
        <v>0</v>
      </c>
      <c r="I149" s="390">
        <f>IF(H149,Wh_hp,'2026'!Maxi_hp)</f>
        <v>62.517859934391758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9.3069759251539735E-2</v>
      </c>
      <c r="M149" s="843"/>
      <c r="N149" s="843"/>
      <c r="O149" s="48">
        <f>IF(t&lt;Tnet,'2026'!Resal+('2026'!Salim-'2026'!Resal)*(1-EXP(('2026'!Tnet-t)/('2026'!Tau_j))),Resal+(Salim-Resal)*(1-EXP((Tnet-t)/(Tau_j))))*Salcycl</f>
        <v>2.1779802357397397E-2</v>
      </c>
      <c r="P149" s="169">
        <f>(INDEX(Models!$BJ149:$BT149,,T149)*(1-R149)+INDEX(Models!$BJ149:$BT149,,T149+1)*R149-ERP_i)*Q149*Ramure*Pc/MaxiM</f>
        <v>1.3828956356909039E-2</v>
      </c>
      <c r="Q149" s="305">
        <f t="shared" si="53"/>
        <v>0.8</v>
      </c>
      <c r="R149" s="177">
        <f t="shared" si="54"/>
        <v>0.15219167841236603</v>
      </c>
      <c r="S149" s="809">
        <f t="shared" si="55"/>
        <v>3</v>
      </c>
      <c r="T149" s="176">
        <f t="shared" si="56"/>
        <v>9</v>
      </c>
      <c r="U149" s="251">
        <f t="shared" si="57"/>
        <v>3.152191678412366</v>
      </c>
      <c r="V149" s="383">
        <f t="shared" si="58"/>
        <v>53.705030831137009</v>
      </c>
      <c r="W149" s="402">
        <f t="shared" si="59"/>
        <v>46.383273123097496</v>
      </c>
      <c r="X149" s="157">
        <f t="shared" si="60"/>
        <v>46522</v>
      </c>
      <c r="Y149" s="385">
        <f t="shared" si="61"/>
        <v>41.024732026691751</v>
      </c>
      <c r="Z149" s="385">
        <f t="shared" si="62"/>
        <v>45.23471617049109</v>
      </c>
      <c r="AA149" s="386">
        <f t="shared" si="63"/>
        <v>51.701834798078153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0.12508489597795577</v>
      </c>
      <c r="AD149" s="231">
        <f>(INDEX(Models!$BJ149:$BT149,,AH149)*(1-AF149)+INDEX(Models!$BJ149:$BT149,,AH149+1)*AF149-ERP_i)*AE149*Ramure*Pc/MaxiM</f>
        <v>2.745264764545826E-2</v>
      </c>
      <c r="AE149" s="305">
        <f t="shared" si="65"/>
        <v>0.8</v>
      </c>
      <c r="AF149" s="177">
        <f t="shared" si="66"/>
        <v>0.35290842557726965</v>
      </c>
      <c r="AG149" s="809">
        <f t="shared" si="74"/>
        <v>4</v>
      </c>
      <c r="AH149" s="176">
        <f t="shared" si="67"/>
        <v>10</v>
      </c>
      <c r="AI149" s="225">
        <f t="shared" si="68"/>
        <v>4.3529084255772696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IF(t&gt;Tmaj,'2026'!Wh/'2026'!Env_an*'2027'!Env_an,0.001*[7]mois!$B$155)</f>
        <v>44.972443588676093</v>
      </c>
      <c r="C150" s="839"/>
      <c r="D150" s="393">
        <f t="shared" si="50"/>
        <v>49.588725273084655</v>
      </c>
      <c r="E150" s="385">
        <f t="shared" si="72"/>
        <v>50.705248077688687</v>
      </c>
      <c r="F150" s="385">
        <f t="shared" si="51"/>
        <v>51.246351434608378</v>
      </c>
      <c r="G150" s="110">
        <f t="shared" si="73"/>
        <v>0.83336243764642992</v>
      </c>
      <c r="H150" s="414" t="b">
        <f>Wh_hp&gt;='2026'!Maxi_hp</f>
        <v>0</v>
      </c>
      <c r="I150" s="390">
        <f>IF(H150,Wh_hp,'2026'!Maxi_hp)</f>
        <v>52.342496301263523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9.3091356129578667E-2</v>
      </c>
      <c r="M150" s="843"/>
      <c r="N150" s="843"/>
      <c r="O150" s="48">
        <f>IF(t&lt;Tnet,'2026'!Resal+('2026'!Salim-'2026'!Resal)*(1-EXP(('2026'!Tnet-t)/('2026'!Tau_j))),Resal+(Salim-Resal)*(1-EXP((Tnet-t)/(Tau_j))))*Salcycl</f>
        <v>2.2019866718595609E-2</v>
      </c>
      <c r="P150" s="169">
        <f>(INDEX(Models!$BJ150:$BT150,,T150)*(1-R150)+INDEX(Models!$BJ150:$BT150,,T150+1)*R150-ERP_i)*Q150*Ramure*Pc/MaxiM</f>
        <v>1.3787237118777652E-2</v>
      </c>
      <c r="Q150" s="305">
        <f t="shared" si="53"/>
        <v>0.8</v>
      </c>
      <c r="R150" s="177">
        <f t="shared" si="54"/>
        <v>0.15693940336571721</v>
      </c>
      <c r="S150" s="809">
        <f t="shared" si="55"/>
        <v>3</v>
      </c>
      <c r="T150" s="176">
        <f t="shared" si="56"/>
        <v>9</v>
      </c>
      <c r="U150" s="251">
        <f t="shared" si="57"/>
        <v>3.1569394033657172</v>
      </c>
      <c r="V150" s="383">
        <f t="shared" si="58"/>
        <v>53.788969177615598</v>
      </c>
      <c r="W150" s="402">
        <f t="shared" si="59"/>
        <v>44.972443588676093</v>
      </c>
      <c r="X150" s="157">
        <f t="shared" si="60"/>
        <v>46523</v>
      </c>
      <c r="Y150" s="385">
        <f t="shared" si="61"/>
        <v>39.812643430329388</v>
      </c>
      <c r="Z150" s="385">
        <f t="shared" si="62"/>
        <v>43.899287650871479</v>
      </c>
      <c r="AA150" s="386">
        <f t="shared" si="63"/>
        <v>50.184972890322527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0.12525034641720723</v>
      </c>
      <c r="AD150" s="231">
        <f>(INDEX(Models!$BJ150:$BT150,,AH150)*(1-AF150)+INDEX(Models!$BJ150:$BT150,,AH150+1)*AF150-ERP_i)*AE150*Ramure*Pc/MaxiM</f>
        <v>2.7043775418720963E-2</v>
      </c>
      <c r="AE150" s="305">
        <f t="shared" si="65"/>
        <v>0.8</v>
      </c>
      <c r="AF150" s="177">
        <f t="shared" si="66"/>
        <v>0.35765615053062128</v>
      </c>
      <c r="AG150" s="809">
        <f t="shared" si="74"/>
        <v>4</v>
      </c>
      <c r="AH150" s="176">
        <f t="shared" si="67"/>
        <v>10</v>
      </c>
      <c r="AI150" s="225">
        <f t="shared" si="68"/>
        <v>4.3576561505306213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IF(t&gt;Tmaj,'2026'!Wh/'2026'!Env_an*'2027'!Env_an,0.001*[7]mois!$B$156)</f>
        <v>47.939944561770425</v>
      </c>
      <c r="C151" s="839"/>
      <c r="D151" s="393">
        <f t="shared" si="50"/>
        <v>52.862089820547517</v>
      </c>
      <c r="E151" s="385">
        <f t="shared" si="72"/>
        <v>54.065593625294753</v>
      </c>
      <c r="F151" s="385">
        <f t="shared" si="51"/>
        <v>54.700275098173485</v>
      </c>
      <c r="G151" s="110">
        <f t="shared" si="73"/>
        <v>0.88806462960396837</v>
      </c>
      <c r="H151" s="414" t="b">
        <f>Wh_hp&gt;='2026'!Maxi_hp</f>
        <v>0</v>
      </c>
      <c r="I151" s="390">
        <f>IF(H151,Wh_hp,'2026'!Maxi_hp)</f>
        <v>59.99498381286103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9.311295250502663E-2</v>
      </c>
      <c r="M151" s="843"/>
      <c r="N151" s="843"/>
      <c r="O151" s="48">
        <f>IF(t&lt;Tnet,'2026'!Resal+('2026'!Salim-'2026'!Resal)*(1-EXP(('2026'!Tnet-t)/('2026'!Tau_j))),Resal+(Salim-Resal)*(1-EXP((Tnet-t)/(Tau_j))))*Salcycl</f>
        <v>2.2260068262418432E-2</v>
      </c>
      <c r="P151" s="169">
        <f>(INDEX(Models!$BJ151:$BT151,,T151)*(1-R151)+INDEX(Models!$BJ151:$BT151,,T151+1)*R151-ERP_i)*Q151*Ramure*Pc/MaxiM</f>
        <v>1.3765858147863075E-2</v>
      </c>
      <c r="Q151" s="305">
        <f t="shared" si="53"/>
        <v>0.8</v>
      </c>
      <c r="R151" s="177">
        <f t="shared" si="54"/>
        <v>0.16178027339768608</v>
      </c>
      <c r="S151" s="809">
        <f t="shared" si="55"/>
        <v>3</v>
      </c>
      <c r="T151" s="176">
        <f t="shared" si="56"/>
        <v>9</v>
      </c>
      <c r="U151" s="251">
        <f t="shared" si="57"/>
        <v>3.1617802733976861</v>
      </c>
      <c r="V151" s="383">
        <f t="shared" si="58"/>
        <v>53.864362245704413</v>
      </c>
      <c r="W151" s="402">
        <f t="shared" si="59"/>
        <v>47.939944561770425</v>
      </c>
      <c r="X151" s="157">
        <f t="shared" si="60"/>
        <v>46524</v>
      </c>
      <c r="Y151" s="385">
        <f t="shared" si="61"/>
        <v>42.409770738129943</v>
      </c>
      <c r="Z151" s="385">
        <f t="shared" si="62"/>
        <v>46.76411561426012</v>
      </c>
      <c r="AA151" s="386">
        <f t="shared" si="63"/>
        <v>53.470163425693038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0.1254166320391418</v>
      </c>
      <c r="AD151" s="231">
        <f>(INDEX(Models!$BJ151:$BT151,,AH151)*(1-AF151)+INDEX(Models!$BJ151:$BT151,,AH151+1)*AF151-ERP_i)*AE151*Ramure*Pc/MaxiM</f>
        <v>2.6680379864549804E-2</v>
      </c>
      <c r="AE151" s="305">
        <f t="shared" si="65"/>
        <v>0.8</v>
      </c>
      <c r="AF151" s="177">
        <f t="shared" si="66"/>
        <v>0.36249702056258926</v>
      </c>
      <c r="AG151" s="809">
        <f t="shared" si="74"/>
        <v>4</v>
      </c>
      <c r="AH151" s="176">
        <f t="shared" si="67"/>
        <v>10</v>
      </c>
      <c r="AI151" s="225">
        <f t="shared" si="68"/>
        <v>4.3624970205625893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IF(t&gt;Tmaj,'2026'!Wh/'2026'!Env_an*'2027'!Env_an,0.001*[7]mois!$B$157)</f>
        <v>46.81058565274224</v>
      </c>
      <c r="C152" s="839"/>
      <c r="D152" s="393">
        <f t="shared" si="50"/>
        <v>51.618005260882349</v>
      </c>
      <c r="E152" s="385">
        <f t="shared" si="72"/>
        <v>52.806164880038317</v>
      </c>
      <c r="F152" s="385">
        <f t="shared" si="51"/>
        <v>53.402600112773314</v>
      </c>
      <c r="G152" s="110">
        <f t="shared" si="73"/>
        <v>0.86568329337983652</v>
      </c>
      <c r="H152" s="414" t="b">
        <f>Wh_hp&gt;='2026'!Maxi_hp</f>
        <v>0</v>
      </c>
      <c r="I152" s="390">
        <f>IF(H152,Wh_hp,'2026'!Maxi_hp)</f>
        <v>63.269617508467668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9.3134548377895504E-2</v>
      </c>
      <c r="M152" s="843"/>
      <c r="N152" s="843"/>
      <c r="O152" s="48">
        <f>IF(t&lt;Tnet,'2026'!Resal+('2026'!Salim-'2026'!Resal)*(1-EXP(('2026'!Tnet-t)/('2026'!Tau_j))),Resal+(Salim-Resal)*(1-EXP((Tnet-t)/(Tau_j))))*Salcycl</f>
        <v>2.2500395964281036E-2</v>
      </c>
      <c r="P152" s="169">
        <f>(INDEX(Models!$BJ152:$BT152,,T152)*(1-R152)+INDEX(Models!$BJ152:$BT152,,T152+1)*R152-ERP_i)*Q152*Ramure*Pc/MaxiM</f>
        <v>1.3765099957347397E-2</v>
      </c>
      <c r="Q152" s="305">
        <f t="shared" si="53"/>
        <v>0.8</v>
      </c>
      <c r="R152" s="177">
        <f t="shared" si="54"/>
        <v>0.16671284966643451</v>
      </c>
      <c r="S152" s="809">
        <f t="shared" si="55"/>
        <v>3</v>
      </c>
      <c r="T152" s="176">
        <f t="shared" si="56"/>
        <v>9</v>
      </c>
      <c r="U152" s="251">
        <f t="shared" si="57"/>
        <v>3.1667128496664345</v>
      </c>
      <c r="V152" s="383">
        <f t="shared" si="58"/>
        <v>53.931584601410009</v>
      </c>
      <c r="W152" s="402">
        <f t="shared" si="59"/>
        <v>46.81058565274224</v>
      </c>
      <c r="X152" s="157">
        <f t="shared" si="60"/>
        <v>46525</v>
      </c>
      <c r="Y152" s="385">
        <f t="shared" si="61"/>
        <v>41.441276835027466</v>
      </c>
      <c r="Z152" s="385">
        <f t="shared" si="62"/>
        <v>45.697271586321563</v>
      </c>
      <c r="AA152" s="386">
        <f t="shared" si="63"/>
        <v>52.260313483110394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0.12558366874147994</v>
      </c>
      <c r="AD152" s="231">
        <f>(INDEX(Models!$BJ152:$BT152,,AH152)*(1-AF152)+INDEX(Models!$BJ152:$BT152,,AH152+1)*AF152-ERP_i)*AE152*Ramure*Pc/MaxiM</f>
        <v>2.6362778008853369E-2</v>
      </c>
      <c r="AE152" s="305">
        <f t="shared" si="65"/>
        <v>0.8</v>
      </c>
      <c r="AF152" s="177">
        <f t="shared" si="66"/>
        <v>0.36742959683133769</v>
      </c>
      <c r="AG152" s="809">
        <f t="shared" si="74"/>
        <v>4</v>
      </c>
      <c r="AH152" s="176">
        <f t="shared" si="67"/>
        <v>10</v>
      </c>
      <c r="AI152" s="225">
        <f t="shared" si="68"/>
        <v>4.3674295968313377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IF(t&gt;Tmaj,'2026'!Wh/'2026'!Env_an*'2027'!Env_an,0.001*[7]mois!$B$158)</f>
        <v>49.23095465082875</v>
      </c>
      <c r="C153" s="839"/>
      <c r="D153" s="393">
        <f t="shared" si="50"/>
        <v>54.288237507956161</v>
      </c>
      <c r="E153" s="385">
        <f t="shared" si="72"/>
        <v>55.551525731237824</v>
      </c>
      <c r="F153" s="385">
        <f t="shared" si="51"/>
        <v>56.229031986750122</v>
      </c>
      <c r="G153" s="110">
        <f t="shared" si="73"/>
        <v>0.91023369322186309</v>
      </c>
      <c r="H153" s="414" t="b">
        <f>Wh_hp&gt;='2026'!Maxi_hp</f>
        <v>0</v>
      </c>
      <c r="I153" s="390">
        <f>IF(H153,Wh_hp,'2026'!Maxi_hp)</f>
        <v>62.475898424686022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9.3156143748196835E-2</v>
      </c>
      <c r="M153" s="843"/>
      <c r="N153" s="843"/>
      <c r="O153" s="48">
        <f>IF(t&lt;Tnet,'2026'!Resal+('2026'!Salim-'2026'!Resal)*(1-EXP(('2026'!Tnet-t)/('2026'!Tau_j))),Resal+(Salim-Resal)*(1-EXP((Tnet-t)/(Tau_j))))*Salcycl</f>
        <v>2.2740837567514161E-2</v>
      </c>
      <c r="P153" s="169">
        <f>(INDEX(Models!$BJ153:$BT153,,T153)*(1-R153)+INDEX(Models!$BJ153:$BT153,,T153+1)*R153-ERP_i)*Q153*Ramure*Pc/MaxiM</f>
        <v>1.3785280288750448E-2</v>
      </c>
      <c r="Q153" s="305">
        <f t="shared" si="53"/>
        <v>0.8</v>
      </c>
      <c r="R153" s="177">
        <f t="shared" si="54"/>
        <v>0.17173548058719001</v>
      </c>
      <c r="S153" s="809">
        <f t="shared" si="55"/>
        <v>3</v>
      </c>
      <c r="T153" s="176">
        <f t="shared" si="56"/>
        <v>9</v>
      </c>
      <c r="U153" s="251">
        <f t="shared" si="57"/>
        <v>3.17173548058719</v>
      </c>
      <c r="V153" s="383">
        <f t="shared" si="58"/>
        <v>53.991009264864147</v>
      </c>
      <c r="W153" s="402">
        <f t="shared" si="59"/>
        <v>49.23095465082875</v>
      </c>
      <c r="X153" s="157">
        <f t="shared" si="60"/>
        <v>46526</v>
      </c>
      <c r="Y153" s="385">
        <f t="shared" si="61"/>
        <v>43.562142118092439</v>
      </c>
      <c r="Z153" s="385">
        <f t="shared" si="62"/>
        <v>48.037092403255521</v>
      </c>
      <c r="AA153" s="386">
        <f t="shared" si="63"/>
        <v>54.94671731951518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0.12575136884120289</v>
      </c>
      <c r="AD153" s="231">
        <f>(INDEX(Models!$BJ153:$BT153,,AH153)*(1-AF153)+INDEX(Models!$BJ153:$BT153,,AH153+1)*AF153-ERP_i)*AE153*Ramure*Pc/MaxiM</f>
        <v>2.6091371057294314E-2</v>
      </c>
      <c r="AE153" s="305">
        <f t="shared" si="65"/>
        <v>0.8</v>
      </c>
      <c r="AF153" s="177">
        <f t="shared" si="66"/>
        <v>0.37245222775209363</v>
      </c>
      <c r="AG153" s="809">
        <f t="shared" si="74"/>
        <v>4</v>
      </c>
      <c r="AH153" s="176">
        <f t="shared" si="67"/>
        <v>10</v>
      </c>
      <c r="AI153" s="225">
        <f t="shared" si="68"/>
        <v>4.3724522277520936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IF(t&gt;Tmaj,'2026'!Wh/'2026'!Env_an*'2027'!Env_an,0.001*[7]mois!$B$159)</f>
        <v>43.779025782352569</v>
      </c>
      <c r="C154" s="839"/>
      <c r="D154" s="393">
        <f t="shared" si="50"/>
        <v>48.277405227716677</v>
      </c>
      <c r="E154" s="385">
        <f t="shared" si="72"/>
        <v>49.412983764338726</v>
      </c>
      <c r="F154" s="385">
        <f t="shared" si="51"/>
        <v>49.915901834259095</v>
      </c>
      <c r="G154" s="110">
        <f t="shared" si="73"/>
        <v>0.8070076312370964</v>
      </c>
      <c r="H154" s="414" t="b">
        <f>Wh_hp&gt;='2026'!Maxi_hp</f>
        <v>0</v>
      </c>
      <c r="I154" s="390">
        <f>IF(H154,Wh_hp,'2026'!Maxi_hp)</f>
        <v>61.584962409087645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9.3177738615942279E-2</v>
      </c>
      <c r="M154" s="843"/>
      <c r="N154" s="843"/>
      <c r="O154" s="48">
        <f>IF(t&lt;Tnet,'2026'!Resal+('2026'!Salim-'2026'!Resal)*(1-EXP(('2026'!Tnet-t)/('2026'!Tau_j))),Resal+(Salim-Resal)*(1-EXP((Tnet-t)/(Tau_j))))*Salcycl</f>
        <v>2.2981379591199544E-2</v>
      </c>
      <c r="P154" s="169">
        <f>(INDEX(Models!$BJ154:$BT154,,T154)*(1-R154)+INDEX(Models!$BJ154:$BT154,,T154+1)*R154-ERP_i)*Q154*Ramure*Pc/MaxiM</f>
        <v>1.382675197977808E-2</v>
      </c>
      <c r="Q154" s="305">
        <f t="shared" si="53"/>
        <v>0.8</v>
      </c>
      <c r="R154" s="177">
        <f t="shared" si="54"/>
        <v>0.17684629895638304</v>
      </c>
      <c r="S154" s="809">
        <f t="shared" si="55"/>
        <v>3</v>
      </c>
      <c r="T154" s="176">
        <f t="shared" si="56"/>
        <v>9</v>
      </c>
      <c r="U154" s="251">
        <f t="shared" si="57"/>
        <v>3.176846298956383</v>
      </c>
      <c r="V154" s="383">
        <f t="shared" si="58"/>
        <v>54.043007727409652</v>
      </c>
      <c r="W154" s="402">
        <f t="shared" si="59"/>
        <v>43.779025782352569</v>
      </c>
      <c r="X154" s="157">
        <f t="shared" si="60"/>
        <v>46527</v>
      </c>
      <c r="Y154" s="385">
        <f t="shared" si="61"/>
        <v>38.819371750874353</v>
      </c>
      <c r="Z154" s="385">
        <f t="shared" si="62"/>
        <v>42.808137166400634</v>
      </c>
      <c r="AA154" s="386">
        <f t="shared" si="63"/>
        <v>48.975059030153211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0.12591964125976224</v>
      </c>
      <c r="AD154" s="231">
        <f>(INDEX(Models!$BJ154:$BT154,,AH154)*(1-AF154)+INDEX(Models!$BJ154:$BT154,,AH154+1)*AF154-ERP_i)*AE154*Ramure*Pc/MaxiM</f>
        <v>2.586663888690811E-2</v>
      </c>
      <c r="AE154" s="305">
        <f t="shared" si="65"/>
        <v>0.8</v>
      </c>
      <c r="AF154" s="177">
        <f t="shared" si="66"/>
        <v>0.37756304612128666</v>
      </c>
      <c r="AG154" s="809">
        <f t="shared" si="74"/>
        <v>4</v>
      </c>
      <c r="AH154" s="176">
        <f t="shared" si="67"/>
        <v>10</v>
      </c>
      <c r="AI154" s="225">
        <f t="shared" si="68"/>
        <v>4.3775630461212867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IF(t&gt;Tmaj,'2026'!Wh/'2026'!Env_an*'2027'!Env_an,0.001*[7]mois!$B$160)</f>
        <v>42.656085910650162</v>
      </c>
      <c r="C155" s="839"/>
      <c r="D155" s="393">
        <f t="shared" si="50"/>
        <v>47.040201294606192</v>
      </c>
      <c r="E155" s="385">
        <f t="shared" si="72"/>
        <v>48.158539246688299</v>
      </c>
      <c r="F155" s="385">
        <f t="shared" si="51"/>
        <v>48.630056514460861</v>
      </c>
      <c r="G155" s="110">
        <f t="shared" si="73"/>
        <v>0.78530318050268588</v>
      </c>
      <c r="H155" s="414" t="b">
        <f>Wh_hp&gt;='2026'!Maxi_hp</f>
        <v>0</v>
      </c>
      <c r="I155" s="390">
        <f>IF(H155,Wh_hp,'2026'!Maxi_hp)</f>
        <v>60.33184776738014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9.3199332981143718E-2</v>
      </c>
      <c r="M155" s="843"/>
      <c r="N155" s="843"/>
      <c r="O155" s="48">
        <f>IF(t&lt;Tnet,'2026'!Resal+('2026'!Salim-'2026'!Resal)*(1-EXP(('2026'!Tnet-t)/('2026'!Tau_j))),Resal+(Salim-Resal)*(1-EXP((Tnet-t)/(Tau_j))))*Salcycl</f>
        <v>2.3222007344398745E-2</v>
      </c>
      <c r="P155" s="169">
        <f>(INDEX(Models!$BJ155:$BT155,,T155)*(1-R155)+INDEX(Models!$BJ155:$BT155,,T155+1)*R155-ERP_i)*Q155*Ramure*Pc/MaxiM</f>
        <v>1.3889900701151486E-2</v>
      </c>
      <c r="Q155" s="305">
        <f t="shared" si="53"/>
        <v>0.8</v>
      </c>
      <c r="R155" s="177">
        <f t="shared" si="54"/>
        <v>0.18204321998151451</v>
      </c>
      <c r="S155" s="809">
        <f t="shared" si="55"/>
        <v>3</v>
      </c>
      <c r="T155" s="176">
        <f t="shared" si="56"/>
        <v>9</v>
      </c>
      <c r="U155" s="251">
        <f t="shared" si="57"/>
        <v>3.1820432199815145</v>
      </c>
      <c r="V155" s="383">
        <f t="shared" si="58"/>
        <v>54.087950024113638</v>
      </c>
      <c r="W155" s="402">
        <f t="shared" si="59"/>
        <v>42.656085910650162</v>
      </c>
      <c r="X155" s="157">
        <f t="shared" si="60"/>
        <v>46528</v>
      </c>
      <c r="Y155" s="385">
        <f t="shared" si="61"/>
        <v>37.846472755747158</v>
      </c>
      <c r="Z155" s="385">
        <f t="shared" si="62"/>
        <v>41.736264795844228</v>
      </c>
      <c r="AA155" s="386">
        <f t="shared" si="63"/>
        <v>47.757993372524453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0.12608839173181358</v>
      </c>
      <c r="AD155" s="231">
        <f>(INDEX(Models!$BJ155:$BT155,,AH155)*(1-AF155)+INDEX(Models!$BJ155:$BT155,,AH155+1)*AF155-ERP_i)*AE155*Ramure*Pc/MaxiM</f>
        <v>2.5689134363735613E-2</v>
      </c>
      <c r="AE155" s="305">
        <f t="shared" si="65"/>
        <v>0.8</v>
      </c>
      <c r="AF155" s="177">
        <f t="shared" si="66"/>
        <v>0.38275996714641813</v>
      </c>
      <c r="AG155" s="809">
        <f t="shared" si="74"/>
        <v>4</v>
      </c>
      <c r="AH155" s="176">
        <f t="shared" si="67"/>
        <v>10</v>
      </c>
      <c r="AI155" s="225">
        <f t="shared" si="68"/>
        <v>4.3827599671464181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IF(t&gt;Tmaj,'2026'!Wh/'2026'!Env_an*'2027'!Env_an,0.001*[7]mois!$B$161)</f>
        <v>31.524006350431929</v>
      </c>
      <c r="C156" s="839"/>
      <c r="D156" s="393">
        <f t="shared" si="50"/>
        <v>34.764814587866105</v>
      </c>
      <c r="E156" s="385">
        <f t="shared" si="72"/>
        <v>35.600088971490031</v>
      </c>
      <c r="F156" s="385">
        <f t="shared" si="51"/>
        <v>35.802000800017247</v>
      </c>
      <c r="G156" s="110">
        <f t="shared" si="73"/>
        <v>0.57753446747911552</v>
      </c>
      <c r="H156" s="414" t="b">
        <f>Wh_hp&gt;='2026'!Maxi_hp</f>
        <v>0</v>
      </c>
      <c r="I156" s="390">
        <f>IF(H156,Wh_hp,'2026'!Maxi_hp)</f>
        <v>60.101475651272665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9.3220926843812585E-2</v>
      </c>
      <c r="M156" s="843"/>
      <c r="N156" s="843"/>
      <c r="O156" s="48">
        <f>IF(t&lt;Tnet,'2026'!Resal+('2026'!Salim-'2026'!Resal)*(1-EXP(('2026'!Tnet-t)/('2026'!Tau_j))),Resal+(Salim-Resal)*(1-EXP((Tnet-t)/(Tau_j))))*Salcycl</f>
        <v>2.3462704946969243E-2</v>
      </c>
      <c r="P156" s="169">
        <f>(INDEX(Models!$BJ156:$BT156,,T156)*(1-R156)+INDEX(Models!$BJ156:$BT156,,T156+1)*R156-ERP_i)*Q156*Ramure*Pc/MaxiM</f>
        <v>1.3978452688606282E-2</v>
      </c>
      <c r="Q156" s="305">
        <f t="shared" si="53"/>
        <v>0.8</v>
      </c>
      <c r="R156" s="177">
        <f t="shared" si="54"/>
        <v>0.18732394027618104</v>
      </c>
      <c r="S156" s="809">
        <f t="shared" si="55"/>
        <v>3</v>
      </c>
      <c r="T156" s="176">
        <f t="shared" si="56"/>
        <v>9</v>
      </c>
      <c r="U156" s="251">
        <f t="shared" si="57"/>
        <v>3.187323940276181</v>
      </c>
      <c r="V156" s="383">
        <f t="shared" si="58"/>
        <v>54.126023066088457</v>
      </c>
      <c r="W156" s="402">
        <f t="shared" si="59"/>
        <v>31.524006350431929</v>
      </c>
      <c r="X156" s="157">
        <f t="shared" si="60"/>
        <v>46529</v>
      </c>
      <c r="Y156" s="385">
        <f t="shared" si="61"/>
        <v>28.073051957404701</v>
      </c>
      <c r="Z156" s="385">
        <f t="shared" si="62"/>
        <v>30.959086715237063</v>
      </c>
      <c r="AA156" s="386">
        <f t="shared" si="63"/>
        <v>35.432736225497003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0.12625752303714977</v>
      </c>
      <c r="AD156" s="231">
        <f>(INDEX(Models!$BJ156:$BT156,,AH156)*(1-AF156)+INDEX(Models!$BJ156:$BT156,,AH156+1)*AF156-ERP_i)*AE156*Ramure*Pc/MaxiM</f>
        <v>2.5564363525209181E-2</v>
      </c>
      <c r="AE156" s="305">
        <f t="shared" si="65"/>
        <v>0.8</v>
      </c>
      <c r="AF156" s="177">
        <f t="shared" si="66"/>
        <v>0.38804068744108466</v>
      </c>
      <c r="AG156" s="809">
        <f t="shared" si="74"/>
        <v>4</v>
      </c>
      <c r="AH156" s="176">
        <f t="shared" si="67"/>
        <v>10</v>
      </c>
      <c r="AI156" s="225">
        <f t="shared" si="68"/>
        <v>4.3880406874410847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IF(t&gt;Tmaj,'2026'!Wh/'2026'!Env_an*'2027'!Env_an,0.001*[7]mois!$B$162)</f>
        <v>18.458838136916729</v>
      </c>
      <c r="C157" s="839"/>
      <c r="D157" s="393">
        <f t="shared" si="50"/>
        <v>20.35697366518416</v>
      </c>
      <c r="E157" s="385">
        <f t="shared" si="72"/>
        <v>20.851219618553959</v>
      </c>
      <c r="F157" s="385">
        <f t="shared" si="51"/>
        <v>20.868360431920426</v>
      </c>
      <c r="G157" s="110">
        <f t="shared" si="73"/>
        <v>0.33630853040047065</v>
      </c>
      <c r="H157" s="414" t="b">
        <f>Wh_hp&gt;='2026'!Maxi_hp</f>
        <v>0</v>
      </c>
      <c r="I157" s="390">
        <f>IF(H157,Wh_hp,'2026'!Maxi_hp)</f>
        <v>57.387775282609631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9.3242520203960871E-2</v>
      </c>
      <c r="M157" s="843"/>
      <c r="N157" s="843"/>
      <c r="O157" s="48">
        <f>IF(t&lt;Tnet,'2026'!Resal+('2026'!Salim-'2026'!Resal)*(1-EXP(('2026'!Tnet-t)/('2026'!Tau_j))),Resal+(Salim-Resal)*(1-EXP((Tnet-t)/(Tau_j))))*Salcycl</f>
        <v>2.3703455357115259E-2</v>
      </c>
      <c r="P157" s="169">
        <f>(INDEX(Models!$BJ157:$BT157,,T157)*(1-R157)+INDEX(Models!$BJ157:$BT157,,T157+1)*R157-ERP_i)*Q157*Ramure*Pc/MaxiM</f>
        <v>1.4081343219550142E-2</v>
      </c>
      <c r="Q157" s="305">
        <f t="shared" si="53"/>
        <v>0.8</v>
      </c>
      <c r="R157" s="177">
        <f t="shared" si="54"/>
        <v>0.19268593787430799</v>
      </c>
      <c r="S157" s="809">
        <f t="shared" si="55"/>
        <v>3</v>
      </c>
      <c r="T157" s="176">
        <f t="shared" si="56"/>
        <v>9</v>
      </c>
      <c r="U157" s="251">
        <f t="shared" si="57"/>
        <v>3.192685937874308</v>
      </c>
      <c r="V157" s="383">
        <f t="shared" si="58"/>
        <v>54.158225947859727</v>
      </c>
      <c r="W157" s="402">
        <f t="shared" si="59"/>
        <v>18.458838136916729</v>
      </c>
      <c r="X157" s="157">
        <f t="shared" si="60"/>
        <v>46530</v>
      </c>
      <c r="Y157" s="385">
        <f t="shared" si="61"/>
        <v>16.505673075841216</v>
      </c>
      <c r="Z157" s="385">
        <f t="shared" si="62"/>
        <v>18.202963243880721</v>
      </c>
      <c r="AA157" s="386">
        <f t="shared" si="63"/>
        <v>20.837367792699158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0.12642693525529941</v>
      </c>
      <c r="AD157" s="231">
        <f>(INDEX(Models!$BJ157:$BT157,,AH157)*(1-AF157)+INDEX(Models!$BJ157:$BT157,,AH157+1)*AF157-ERP_i)*AE157*Ramure*Pc/MaxiM</f>
        <v>2.5460751530506896E-2</v>
      </c>
      <c r="AE157" s="305">
        <f t="shared" si="65"/>
        <v>0.8</v>
      </c>
      <c r="AF157" s="177">
        <f t="shared" si="66"/>
        <v>0.39340268503921116</v>
      </c>
      <c r="AG157" s="809">
        <f t="shared" si="74"/>
        <v>4</v>
      </c>
      <c r="AH157" s="176">
        <f t="shared" si="67"/>
        <v>10</v>
      </c>
      <c r="AI157" s="225">
        <f t="shared" si="68"/>
        <v>4.3934026850392112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IF(t&gt;Tmaj,'2026'!Wh/'2026'!Env_an*'2027'!Env_an,0.001*[7]mois!$B$163)</f>
        <v>15.846228212802641</v>
      </c>
      <c r="C158" s="839"/>
      <c r="D158" s="393">
        <f t="shared" si="50"/>
        <v>17.476123357494473</v>
      </c>
      <c r="E158" s="385">
        <f t="shared" si="72"/>
        <v>17.904841179114328</v>
      </c>
      <c r="F158" s="385">
        <f t="shared" si="51"/>
        <v>17.904841179114328</v>
      </c>
      <c r="G158" s="110">
        <f t="shared" si="73"/>
        <v>0.28829470191296819</v>
      </c>
      <c r="H158" s="414" t="b">
        <f>Wh_hp&gt;='2026'!Maxi_hp</f>
        <v>0</v>
      </c>
      <c r="I158" s="390">
        <f>IF(H158,Wh_hp,'2026'!Maxi_hp)</f>
        <v>32.282065944533301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9.3264113061600012E-2</v>
      </c>
      <c r="M158" s="843"/>
      <c r="N158" s="843"/>
      <c r="O158" s="48">
        <f>IF(t&lt;Tnet,'2026'!Resal+('2026'!Salim-'2026'!Resal)*(1-EXP(('2026'!Tnet-t)/('2026'!Tau_j))),Resal+(Salim-Resal)*(1-EXP((Tnet-t)/(Tau_j))))*Salcycl</f>
        <v>2.3944240405770534E-2</v>
      </c>
      <c r="P158" s="169">
        <f>(INDEX(Models!$BJ158:$BT158,,T158)*(1-R158)+INDEX(Models!$BJ158:$BT158,,T158+1)*R158-ERP_i)*Q158*Ramure*Pc/MaxiM</f>
        <v>1.4198628885142152E-2</v>
      </c>
      <c r="Q158" s="305">
        <f t="shared" si="53"/>
        <v>0.8</v>
      </c>
      <c r="R158" s="177">
        <f t="shared" si="54"/>
        <v>0.19812647331130329</v>
      </c>
      <c r="S158" s="809">
        <f t="shared" si="55"/>
        <v>3</v>
      </c>
      <c r="T158" s="176">
        <f t="shared" si="56"/>
        <v>9</v>
      </c>
      <c r="U158" s="251">
        <f t="shared" si="57"/>
        <v>3.1981264733113033</v>
      </c>
      <c r="V158" s="383">
        <f t="shared" si="58"/>
        <v>54.184948233615486</v>
      </c>
      <c r="W158" s="402">
        <f t="shared" si="59"/>
        <v>15.846228212802641</v>
      </c>
      <c r="X158" s="157">
        <f t="shared" si="60"/>
        <v>46531</v>
      </c>
      <c r="Y158" s="385">
        <f t="shared" si="61"/>
        <v>14.179672251456335</v>
      </c>
      <c r="Z158" s="385">
        <f t="shared" si="62"/>
        <v>15.638150486503955</v>
      </c>
      <c r="AA158" s="386">
        <f t="shared" si="63"/>
        <v>17.904841179114328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0.126596526042042</v>
      </c>
      <c r="AD158" s="231">
        <f>(INDEX(Models!$BJ158:$BT158,,AH158)*(1-AF158)+INDEX(Models!$BJ158:$BT158,,AH158+1)*AF158-ERP_i)*AE158*Ramure*Pc/MaxiM</f>
        <v>2.537807813018254E-2</v>
      </c>
      <c r="AE158" s="305">
        <f t="shared" si="65"/>
        <v>0.8</v>
      </c>
      <c r="AF158" s="177">
        <f t="shared" si="66"/>
        <v>0.39884322047620735</v>
      </c>
      <c r="AG158" s="809">
        <f t="shared" si="74"/>
        <v>4</v>
      </c>
      <c r="AH158" s="176">
        <f t="shared" si="67"/>
        <v>10</v>
      </c>
      <c r="AI158" s="225">
        <f t="shared" si="68"/>
        <v>4.3988432204762073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IF(t&gt;Tmaj,'2026'!Wh/'2026'!Env_an*'2027'!Env_an,0.001*[7]mois!$B$164)</f>
        <v>36.939484571573509</v>
      </c>
      <c r="C159" s="839"/>
      <c r="D159" s="393">
        <f t="shared" si="50"/>
        <v>40.739938470421428</v>
      </c>
      <c r="E159" s="385">
        <f t="shared" si="72"/>
        <v>41.749655595976613</v>
      </c>
      <c r="F159" s="385">
        <f t="shared" si="51"/>
        <v>42.078254481414405</v>
      </c>
      <c r="G159" s="110">
        <f t="shared" si="73"/>
        <v>0.67697873106084916</v>
      </c>
      <c r="H159" s="414" t="b">
        <f>Wh_hp&gt;='2026'!Maxi_hp</f>
        <v>0</v>
      </c>
      <c r="I159" s="390">
        <f>IF(H159,Wh_hp,'2026'!Maxi_hp)</f>
        <v>58.648188470902781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9.3285705416741888E-2</v>
      </c>
      <c r="M159" s="843"/>
      <c r="N159" s="843"/>
      <c r="O159" s="48">
        <f>IF(t&lt;Tnet,'2026'!Resal+('2026'!Salim-'2026'!Resal)*(1-EXP(('2026'!Tnet-t)/('2026'!Tau_j))),Resal+(Salim-Resal)*(1-EXP((Tnet-t)/(Tau_j))))*Salcycl</f>
        <v>2.4185040837857538E-2</v>
      </c>
      <c r="P159" s="169">
        <f>(INDEX(Models!$BJ159:$BT159,,T159)*(1-R159)+INDEX(Models!$BJ159:$BT159,,T159+1)*R159-ERP_i)*Q159*Ramure*Pc/MaxiM</f>
        <v>1.4330458462515863E-2</v>
      </c>
      <c r="Q159" s="305">
        <f t="shared" si="53"/>
        <v>0.8</v>
      </c>
      <c r="R159" s="177">
        <f t="shared" si="54"/>
        <v>0.20364259181256372</v>
      </c>
      <c r="S159" s="809">
        <f t="shared" si="55"/>
        <v>3</v>
      </c>
      <c r="T159" s="176">
        <f t="shared" si="56"/>
        <v>9</v>
      </c>
      <c r="U159" s="251">
        <f t="shared" si="57"/>
        <v>3.2036425918125637</v>
      </c>
      <c r="V159" s="383">
        <f t="shared" si="58"/>
        <v>54.206574291997036</v>
      </c>
      <c r="W159" s="402">
        <f t="shared" si="59"/>
        <v>36.939484571573509</v>
      </c>
      <c r="X159" s="157">
        <f t="shared" si="60"/>
        <v>46532</v>
      </c>
      <c r="Y159" s="385">
        <f t="shared" si="61"/>
        <v>32.856821346907367</v>
      </c>
      <c r="Z159" s="385">
        <f t="shared" si="62"/>
        <v>36.23723762070933</v>
      </c>
      <c r="AA159" s="386">
        <f t="shared" si="63"/>
        <v>41.497749221566167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0.12676619092687985</v>
      </c>
      <c r="AD159" s="231">
        <f>(INDEX(Models!$BJ159:$BT159,,AH159)*(1-AF159)+INDEX(Models!$BJ159:$BT159,,AH159+1)*AF159-ERP_i)*AE159*Ramure*Pc/MaxiM</f>
        <v>2.5316295587685309E-2</v>
      </c>
      <c r="AE159" s="305">
        <f t="shared" si="65"/>
        <v>0.8</v>
      </c>
      <c r="AF159" s="177">
        <f t="shared" si="66"/>
        <v>0.40435933897746779</v>
      </c>
      <c r="AG159" s="809">
        <f t="shared" si="74"/>
        <v>4</v>
      </c>
      <c r="AH159" s="176">
        <f t="shared" si="67"/>
        <v>10</v>
      </c>
      <c r="AI159" s="225">
        <f t="shared" si="68"/>
        <v>4.4043593389774678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IF(t&gt;Tmaj,'2026'!Wh/'2026'!Env_an*'2027'!Env_an,0.001*[7]mois!$B$165)</f>
        <v>20.053739930346381</v>
      </c>
      <c r="C160" s="839"/>
      <c r="D160" s="393">
        <f t="shared" si="50"/>
        <v>22.117460380956416</v>
      </c>
      <c r="E160" s="385">
        <f t="shared" si="72"/>
        <v>22.671223988181996</v>
      </c>
      <c r="F160" s="385">
        <f t="shared" si="51"/>
        <v>22.704015054971066</v>
      </c>
      <c r="G160" s="110">
        <f t="shared" si="73"/>
        <v>0.36500801121065968</v>
      </c>
      <c r="H160" s="414" t="b">
        <f>Wh_hp&gt;='2026'!Maxi_hp</f>
        <v>0</v>
      </c>
      <c r="I160" s="390">
        <f>IF(H160,Wh_hp,'2026'!Maxi_hp)</f>
        <v>61.484504066070642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9.3307297269398043E-2</v>
      </c>
      <c r="M160" s="843"/>
      <c r="N160" s="843"/>
      <c r="O160" s="48">
        <f>IF(t&lt;Tnet,'2026'!Resal+('2026'!Salim-'2026'!Resal)*(1-EXP(('2026'!Tnet-t)/('2026'!Tau_j))),Resal+(Salim-Resal)*(1-EXP((Tnet-t)/(Tau_j))))*Salcycl</f>
        <v>2.4425836360412002E-2</v>
      </c>
      <c r="P160" s="169">
        <f>(INDEX(Models!$BJ160:$BT160,,T160)*(1-R160)+INDEX(Models!$BJ160:$BT160,,T160+1)*R160-ERP_i)*Q160*Ramure*Pc/MaxiM</f>
        <v>1.4476987806552226E-2</v>
      </c>
      <c r="Q160" s="305">
        <f t="shared" si="53"/>
        <v>0.8</v>
      </c>
      <c r="R160" s="177">
        <f t="shared" si="54"/>
        <v>0.20923112662156251</v>
      </c>
      <c r="S160" s="809">
        <f t="shared" si="55"/>
        <v>3</v>
      </c>
      <c r="T160" s="176">
        <f t="shared" si="56"/>
        <v>9</v>
      </c>
      <c r="U160" s="251">
        <f t="shared" si="57"/>
        <v>3.2092311266215625</v>
      </c>
      <c r="V160" s="383">
        <f t="shared" si="58"/>
        <v>54.223487902049108</v>
      </c>
      <c r="W160" s="402">
        <f t="shared" si="59"/>
        <v>20.053739930346381</v>
      </c>
      <c r="X160" s="157">
        <f t="shared" si="60"/>
        <v>46533</v>
      </c>
      <c r="Y160" s="385">
        <f t="shared" si="61"/>
        <v>17.927200063643827</v>
      </c>
      <c r="Z160" s="385">
        <f t="shared" si="62"/>
        <v>19.772079349104882</v>
      </c>
      <c r="AA160" s="386">
        <f t="shared" si="63"/>
        <v>22.646765133943919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0.12693582363029576</v>
      </c>
      <c r="AD160" s="231">
        <f>(INDEX(Models!$BJ160:$BT160,,AH160)*(1-AF160)+INDEX(Models!$BJ160:$BT160,,AH160+1)*AF160-ERP_i)*AE160*Ramure*Pc/MaxiM</f>
        <v>2.5275371916608766E-2</v>
      </c>
      <c r="AE160" s="305">
        <f t="shared" si="65"/>
        <v>0.8</v>
      </c>
      <c r="AF160" s="177">
        <f t="shared" si="66"/>
        <v>0.40994787378646613</v>
      </c>
      <c r="AG160" s="809">
        <f t="shared" si="74"/>
        <v>4</v>
      </c>
      <c r="AH160" s="176">
        <f t="shared" si="67"/>
        <v>10</v>
      </c>
      <c r="AI160" s="225">
        <f t="shared" si="68"/>
        <v>4.4099478737864661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IF(t&gt;Tmaj,'2026'!Wh/'2026'!Env_an*'2027'!Env_an,0.001*[7]mois!$B$166)</f>
        <v>43.348884259037533</v>
      </c>
      <c r="C161" s="839"/>
      <c r="D161" s="393">
        <f t="shared" si="50"/>
        <v>47.811035021330099</v>
      </c>
      <c r="E161" s="385">
        <f t="shared" si="72"/>
        <v>49.020196889210268</v>
      </c>
      <c r="F161" s="385">
        <f t="shared" si="51"/>
        <v>49.537395624223088</v>
      </c>
      <c r="G161" s="110">
        <f t="shared" si="73"/>
        <v>0.79587242010917747</v>
      </c>
      <c r="H161" s="414" t="b">
        <f>Wh_hp&gt;='2026'!Maxi_hp</f>
        <v>0</v>
      </c>
      <c r="I161" s="390">
        <f>IF(H161,Wh_hp,'2026'!Maxi_hp)</f>
        <v>61.220926609696406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9.3328888619580247E-2</v>
      </c>
      <c r="M161" s="843"/>
      <c r="N161" s="843"/>
      <c r="O161" s="48">
        <f>IF(t&lt;Tnet,'2026'!Resal+('2026'!Salim-'2026'!Resal)*(1-EXP(('2026'!Tnet-t)/('2026'!Tau_j))),Resal+(Salim-Resal)*(1-EXP((Tnet-t)/(Tau_j))))*Salcycl</f>
        <v>2.4666605697504142E-2</v>
      </c>
      <c r="P161" s="169">
        <f>(INDEX(Models!$BJ161:$BT161,,T161)*(1-R161)+INDEX(Models!$BJ161:$BT161,,T161+1)*R161-ERP_i)*Q161*Ramure*Pc/MaxiM</f>
        <v>1.4638378324568454E-2</v>
      </c>
      <c r="Q161" s="305">
        <f t="shared" si="53"/>
        <v>0.8</v>
      </c>
      <c r="R161" s="177">
        <f t="shared" si="54"/>
        <v>0.21488870349073341</v>
      </c>
      <c r="S161" s="809">
        <f t="shared" si="55"/>
        <v>3</v>
      </c>
      <c r="T161" s="176">
        <f t="shared" si="56"/>
        <v>9</v>
      </c>
      <c r="U161" s="251">
        <f t="shared" si="57"/>
        <v>3.2148887034907334</v>
      </c>
      <c r="V161" s="383">
        <f t="shared" si="58"/>
        <v>54.236072290279921</v>
      </c>
      <c r="W161" s="402">
        <f t="shared" si="59"/>
        <v>43.348884259037533</v>
      </c>
      <c r="X161" s="157">
        <f t="shared" si="60"/>
        <v>46534</v>
      </c>
      <c r="Y161" s="385">
        <f t="shared" si="61"/>
        <v>38.499100204669766</v>
      </c>
      <c r="Z161" s="385">
        <f t="shared" si="62"/>
        <v>42.462034712955983</v>
      </c>
      <c r="AA161" s="386">
        <f t="shared" si="63"/>
        <v>48.64508343412691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0.12710531639942077</v>
      </c>
      <c r="AD161" s="231">
        <f>(INDEX(Models!$BJ161:$BT161,,AH161)*(1-AF161)+INDEX(Models!$BJ161:$BT161,,AH161+1)*AF161-ERP_i)*AE161*Ramure*Pc/MaxiM</f>
        <v>2.5255288804850499E-2</v>
      </c>
      <c r="AE161" s="305">
        <f t="shared" si="65"/>
        <v>0.8</v>
      </c>
      <c r="AF161" s="177">
        <f t="shared" si="66"/>
        <v>0.41560545065563748</v>
      </c>
      <c r="AG161" s="809">
        <f t="shared" si="74"/>
        <v>4</v>
      </c>
      <c r="AH161" s="176">
        <f t="shared" si="67"/>
        <v>10</v>
      </c>
      <c r="AI161" s="225">
        <f t="shared" si="68"/>
        <v>4.4156054506556375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IF(t&gt;Tmaj,'2026'!Wh/'2026'!Env_an*'2027'!Env_an,0.001*[7]mois!$B$167)</f>
        <v>49.666297287433643</v>
      </c>
      <c r="C162" s="839"/>
      <c r="D162" s="393">
        <f t="shared" si="50"/>
        <v>54.780040316187815</v>
      </c>
      <c r="E162" s="385">
        <f t="shared" si="72"/>
        <v>56.179316913632277</v>
      </c>
      <c r="F162" s="385">
        <f t="shared" si="51"/>
        <v>56.920910552722717</v>
      </c>
      <c r="G162" s="110">
        <f t="shared" si="73"/>
        <v>0.91393993898913162</v>
      </c>
      <c r="H162" s="414" t="b">
        <f>Wh_hp&gt;='2026'!Maxi_hp</f>
        <v>0</v>
      </c>
      <c r="I162" s="390">
        <f>IF(H162,Wh_hp,'2026'!Maxi_hp)</f>
        <v>59.964902917287468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9.3350479467300268E-2</v>
      </c>
      <c r="M162" s="843"/>
      <c r="N162" s="843"/>
      <c r="O162" s="48">
        <f>IF(t&lt;Tnet,'2026'!Resal+('2026'!Salim-'2026'!Resal)*(1-EXP(('2026'!Tnet-t)/('2026'!Tau_j))),Resal+(Salim-Resal)*(1-EXP((Tnet-t)/(Tau_j))))*Salcycl</f>
        <v>2.4907326651829046E-2</v>
      </c>
      <c r="P162" s="169">
        <f>(INDEX(Models!$BJ162:$BT162,,T162)*(1-R162)+INDEX(Models!$BJ162:$BT162,,T162+1)*R162-ERP_i)*Q162*Ramure*Pc/MaxiM</f>
        <v>1.4814795408482183E-2</v>
      </c>
      <c r="Q162" s="305">
        <f t="shared" si="53"/>
        <v>0.8</v>
      </c>
      <c r="R162" s="177">
        <f t="shared" si="54"/>
        <v>0.2206117463485846</v>
      </c>
      <c r="S162" s="809">
        <f t="shared" si="55"/>
        <v>3</v>
      </c>
      <c r="T162" s="176">
        <f t="shared" si="56"/>
        <v>9</v>
      </c>
      <c r="U162" s="251">
        <f t="shared" si="57"/>
        <v>3.2206117463485846</v>
      </c>
      <c r="V162" s="383">
        <f t="shared" si="58"/>
        <v>54.244710152666663</v>
      </c>
      <c r="W162" s="402">
        <f t="shared" si="59"/>
        <v>49.666297287433643</v>
      </c>
      <c r="X162" s="157">
        <f t="shared" si="60"/>
        <v>46535</v>
      </c>
      <c r="Y162" s="385">
        <f t="shared" si="61"/>
        <v>44.038666200680403</v>
      </c>
      <c r="Z162" s="385">
        <f t="shared" si="62"/>
        <v>48.572976881745433</v>
      </c>
      <c r="AA162" s="386">
        <f t="shared" si="63"/>
        <v>55.656652912297133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0.12727456036053839</v>
      </c>
      <c r="AD162" s="231">
        <f>(INDEX(Models!$BJ162:$BT162,,AH162)*(1-AF162)+INDEX(Models!$BJ162:$BT162,,AH162+1)*AF162-ERP_i)*AE162*Ramure*Pc/MaxiM</f>
        <v>2.5256039560273613E-2</v>
      </c>
      <c r="AE162" s="305">
        <f t="shared" si="65"/>
        <v>0.8</v>
      </c>
      <c r="AF162" s="177">
        <f t="shared" si="66"/>
        <v>0.42132849351348778</v>
      </c>
      <c r="AG162" s="809">
        <f t="shared" si="74"/>
        <v>4</v>
      </c>
      <c r="AH162" s="176">
        <f t="shared" si="67"/>
        <v>10</v>
      </c>
      <c r="AI162" s="225">
        <f t="shared" si="68"/>
        <v>4.4213284935134878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IF(t&gt;Tmaj,'2026'!Wh/'2026'!Env_an*'2027'!Env_an,0.001*[7]mois!$B$168)</f>
        <v>53.178766465649701</v>
      </c>
      <c r="C163" s="839"/>
      <c r="D163" s="393">
        <f t="shared" si="50"/>
        <v>58.655557252307318</v>
      </c>
      <c r="E163" s="385">
        <f t="shared" si="72"/>
        <v>60.168677726111184</v>
      </c>
      <c r="F163" s="385">
        <f t="shared" si="51"/>
        <v>61.059178995399186</v>
      </c>
      <c r="G163" s="110">
        <f t="shared" si="73"/>
        <v>0.9798665233454954</v>
      </c>
      <c r="H163" s="414" t="b">
        <f>Wh_hp&gt;='2026'!Maxi_hp</f>
        <v>0</v>
      </c>
      <c r="I163" s="390">
        <f>IF(H163,Wh_hp,'2026'!Maxi_hp)</f>
        <v>61.083995775588619</v>
      </c>
      <c r="J163" s="85">
        <f>IF(H163,An,'2026'!An_max)</f>
        <v>2022</v>
      </c>
      <c r="K163" s="197">
        <f t="shared" si="52"/>
        <v>46536</v>
      </c>
      <c r="L163" s="147">
        <f>IF(t&lt;Tvie,1-EXP((T0-t)*PertePVj)+'2026'!Pspv,1-EXP((T0-t)*PertePVj)+Pspv)</f>
        <v>9.3372069812569652E-2</v>
      </c>
      <c r="M163" s="843"/>
      <c r="N163" s="843"/>
      <c r="O163" s="48">
        <f>IF(t&lt;Tnet,'2026'!Resal+('2026'!Salim-'2026'!Resal)*(1-EXP(('2026'!Tnet-t)/('2026'!Tau_j))),Resal+(Salim-Resal)*(1-EXP((Tnet-t)/(Tau_j))))*Salcycl</f>
        <v>2.5147976172779116E-2</v>
      </c>
      <c r="P163" s="169">
        <f>(INDEX(Models!$BJ163:$BT163,,T163)*(1-R163)+INDEX(Models!$BJ163:$BT163,,T163+1)*R163-ERP_i)*Q163*Ramure*Pc/MaxiM</f>
        <v>1.5006848191585346E-2</v>
      </c>
      <c r="Q163" s="305">
        <f t="shared" si="53"/>
        <v>0.8</v>
      </c>
      <c r="R163" s="177">
        <f t="shared" si="54"/>
        <v>0.22639648414605107</v>
      </c>
      <c r="S163" s="809">
        <f t="shared" si="55"/>
        <v>3</v>
      </c>
      <c r="T163" s="176">
        <f t="shared" si="56"/>
        <v>9</v>
      </c>
      <c r="U163" s="251">
        <f t="shared" si="57"/>
        <v>3.2263964841460511</v>
      </c>
      <c r="V163" s="383">
        <f t="shared" si="58"/>
        <v>54.248163810214031</v>
      </c>
      <c r="W163" s="402">
        <f t="shared" si="59"/>
        <v>53.178766465649701</v>
      </c>
      <c r="X163" s="157">
        <f t="shared" si="60"/>
        <v>46536</v>
      </c>
      <c r="Y163" s="385">
        <f t="shared" si="61"/>
        <v>47.116314209141073</v>
      </c>
      <c r="Z163" s="385">
        <f t="shared" si="62"/>
        <v>51.968743340391633</v>
      </c>
      <c r="AA163" s="386">
        <f t="shared" si="63"/>
        <v>59.559169082398881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0.12744344588666193</v>
      </c>
      <c r="AD163" s="231">
        <f>(INDEX(Models!$BJ163:$BT163,,AH163)*(1-AF163)+INDEX(Models!$BJ163:$BT163,,AH163+1)*AF163-ERP_i)*AE163*Ramure*Pc/MaxiM</f>
        <v>2.5278370538726991E-2</v>
      </c>
      <c r="AE163" s="305">
        <f t="shared" si="65"/>
        <v>0.8</v>
      </c>
      <c r="AF163" s="177">
        <f t="shared" si="66"/>
        <v>0.42711323131095469</v>
      </c>
      <c r="AG163" s="809">
        <f t="shared" si="74"/>
        <v>4</v>
      </c>
      <c r="AH163" s="176">
        <f t="shared" si="67"/>
        <v>10</v>
      </c>
      <c r="AI163" s="225">
        <f t="shared" si="68"/>
        <v>4.4271132313109547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IF(t&gt;Tmaj,'2026'!Wh/'2026'!Env_an*'2027'!Env_an,0.001*[7]mois!$B$169)</f>
        <v>47.802278627719637</v>
      </c>
      <c r="C164" s="839"/>
      <c r="D164" s="393">
        <f t="shared" si="50"/>
        <v>52.726609665613033</v>
      </c>
      <c r="E164" s="385">
        <f t="shared" si="72"/>
        <v>54.100132526571571</v>
      </c>
      <c r="F164" s="385">
        <f t="shared" si="51"/>
        <v>54.792261895706233</v>
      </c>
      <c r="G164" s="110">
        <f t="shared" si="73"/>
        <v>0.87892147338190851</v>
      </c>
      <c r="H164" s="414" t="b">
        <f>Wh_hp&gt;='2026'!Maxi_hp</f>
        <v>0</v>
      </c>
      <c r="I164" s="390">
        <f>IF(H164,Wh_hp,'2026'!Maxi_hp)</f>
        <v>56.346398541738836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9.3393659655400169E-2</v>
      </c>
      <c r="M164" s="843"/>
      <c r="N164" s="843"/>
      <c r="O164" s="48">
        <f>IF(t&lt;Tnet,'2026'!Resal+('2026'!Salim-'2026'!Resal)*(1-EXP(('2026'!Tnet-t)/('2026'!Tau_j))),Resal+(Salim-Resal)*(1-EXP((Tnet-t)/(Tau_j))))*Salcycl</f>
        <v>2.538853043075125E-2</v>
      </c>
      <c r="P164" s="169">
        <f>(INDEX(Models!$BJ164:$BT164,,T164)*(1-R164)+INDEX(Models!$BJ164:$BT164,,T164+1)*R164-ERP_i)*Q164*Ramure*Pc/MaxiM</f>
        <v>1.5213234413678204E-2</v>
      </c>
      <c r="Q164" s="305">
        <f t="shared" si="53"/>
        <v>0.8</v>
      </c>
      <c r="R164" s="177">
        <f t="shared" si="54"/>
        <v>0.2322389588741558</v>
      </c>
      <c r="S164" s="809">
        <f t="shared" si="55"/>
        <v>3</v>
      </c>
      <c r="T164" s="176">
        <f t="shared" si="56"/>
        <v>9</v>
      </c>
      <c r="U164" s="251">
        <f t="shared" si="57"/>
        <v>3.2322389588741558</v>
      </c>
      <c r="V164" s="383">
        <f t="shared" si="58"/>
        <v>54.245239059888632</v>
      </c>
      <c r="W164" s="402">
        <f t="shared" si="59"/>
        <v>47.802278627719637</v>
      </c>
      <c r="X164" s="157">
        <f t="shared" si="60"/>
        <v>46537</v>
      </c>
      <c r="Y164" s="385">
        <f t="shared" si="61"/>
        <v>42.424606196679569</v>
      </c>
      <c r="Z164" s="385">
        <f t="shared" si="62"/>
        <v>46.794958637233918</v>
      </c>
      <c r="AA164" s="386">
        <f t="shared" si="63"/>
        <v>53.640067593063726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0.1276118629782442</v>
      </c>
      <c r="AD164" s="231">
        <f>(INDEX(Models!$BJ164:$BT164,,AH164)*(1-AF164)+INDEX(Models!$BJ164:$BT164,,AH164+1)*AF164-ERP_i)*AE164*Ramure*Pc/MaxiM</f>
        <v>2.5325615120364249E-2</v>
      </c>
      <c r="AE164" s="305">
        <f t="shared" si="65"/>
        <v>0.8</v>
      </c>
      <c r="AF164" s="177">
        <f t="shared" si="66"/>
        <v>0.43295570603905986</v>
      </c>
      <c r="AG164" s="809">
        <f t="shared" si="74"/>
        <v>4</v>
      </c>
      <c r="AH164" s="176">
        <f t="shared" si="67"/>
        <v>10</v>
      </c>
      <c r="AI164" s="225">
        <f t="shared" si="68"/>
        <v>4.4329557060390599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IF(t&gt;Tmaj,'2026'!Wh/'2026'!Env_an*'2027'!Env_an,0.001*[7]mois!$B$170)</f>
        <v>49.031244520008478</v>
      </c>
      <c r="C165" s="839"/>
      <c r="D165" s="393">
        <f t="shared" si="50"/>
        <v>54.083464856096519</v>
      </c>
      <c r="E165" s="385">
        <f t="shared" si="72"/>
        <v>55.506026870349842</v>
      </c>
      <c r="F165" s="385">
        <f t="shared" si="51"/>
        <v>56.254627159971832</v>
      </c>
      <c r="G165" s="110">
        <f t="shared" si="73"/>
        <v>0.90208268811931602</v>
      </c>
      <c r="H165" s="414" t="b">
        <f>Wh_hp&gt;='2026'!Maxi_hp</f>
        <v>0</v>
      </c>
      <c r="I165" s="390">
        <f>IF(H165,Wh_hp,'2026'!Maxi_hp)</f>
        <v>62.468341792037805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9.3415248995803474E-2</v>
      </c>
      <c r="M165" s="843"/>
      <c r="N165" s="843"/>
      <c r="O165" s="48">
        <f>IF(t&lt;Tnet,'2026'!Resal+('2026'!Salim-'2026'!Resal)*(1-EXP(('2026'!Tnet-t)/('2026'!Tau_j))),Resal+(Salim-Resal)*(1-EXP((Tnet-t)/(Tau_j))))*Salcycl</f>
        <v>2.5628964897381704E-2</v>
      </c>
      <c r="P165" s="169">
        <f>(INDEX(Models!$BJ165:$BT165,,T165)*(1-R165)+INDEX(Models!$BJ165:$BT165,,T165+1)*R165-ERP_i)*Q165*Ramure*Pc/MaxiM</f>
        <v>1.5421918559233503E-2</v>
      </c>
      <c r="Q165" s="305">
        <f t="shared" si="53"/>
        <v>0.8</v>
      </c>
      <c r="R165" s="177">
        <f t="shared" si="54"/>
        <v>0.23813503473370812</v>
      </c>
      <c r="S165" s="809">
        <f t="shared" si="55"/>
        <v>3</v>
      </c>
      <c r="T165" s="176">
        <f t="shared" si="56"/>
        <v>9</v>
      </c>
      <c r="U165" s="251">
        <f t="shared" si="57"/>
        <v>3.2381350347337081</v>
      </c>
      <c r="V165" s="383">
        <f t="shared" si="58"/>
        <v>54.236897756080701</v>
      </c>
      <c r="W165" s="402">
        <f t="shared" si="59"/>
        <v>49.031244520008478</v>
      </c>
      <c r="X165" s="157">
        <f t="shared" si="60"/>
        <v>46538</v>
      </c>
      <c r="Y165" s="385">
        <f t="shared" si="61"/>
        <v>43.508807649855775</v>
      </c>
      <c r="Z165" s="385">
        <f t="shared" si="62"/>
        <v>47.991991484152344</v>
      </c>
      <c r="AA165" s="386">
        <f t="shared" si="63"/>
        <v>55.02278676065022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0.12777970165491476</v>
      </c>
      <c r="AD165" s="231">
        <f>(INDEX(Models!$BJ165:$BT165,,AH165)*(1-AF165)+INDEX(Models!$BJ165:$BT165,,AH165+1)*AF165-ERP_i)*AE165*Ramure*Pc/MaxiM</f>
        <v>2.5377150636562679E-2</v>
      </c>
      <c r="AE165" s="305">
        <f t="shared" si="65"/>
        <v>0.8</v>
      </c>
      <c r="AF165" s="177">
        <f t="shared" si="66"/>
        <v>0.43885178189861129</v>
      </c>
      <c r="AG165" s="809">
        <f t="shared" si="74"/>
        <v>4</v>
      </c>
      <c r="AH165" s="176">
        <f t="shared" si="67"/>
        <v>10</v>
      </c>
      <c r="AI165" s="225">
        <f t="shared" si="68"/>
        <v>4.4388517818986113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IF(t&gt;Tmaj,'2026'!Wh/'2026'!Env_an*'2027'!Env_an,0.001*'[8]mon-tableau'!$B$136)</f>
        <v>50.250535140213735</v>
      </c>
      <c r="C166" s="839"/>
      <c r="D166" s="393">
        <f t="shared" si="50"/>
        <v>55.429712167149404</v>
      </c>
      <c r="E166" s="385">
        <f t="shared" si="72"/>
        <v>56.90171716609958</v>
      </c>
      <c r="F166" s="385">
        <f t="shared" si="51"/>
        <v>57.709447630081904</v>
      </c>
      <c r="G166" s="110">
        <f t="shared" si="73"/>
        <v>0.92519285581885358</v>
      </c>
      <c r="H166" s="414" t="b">
        <f>Wh_hp&gt;='2026'!Maxi_hp</f>
        <v>0</v>
      </c>
      <c r="I166" s="390">
        <f>IF(H166,Wh_hp,'2026'!Maxi_hp)</f>
        <v>62.676293728135057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9.3436837833791336E-2</v>
      </c>
      <c r="M166" s="843"/>
      <c r="N166" s="843"/>
      <c r="O166" s="48">
        <f>IF(t&lt;Tnet,'2026'!Resal+('2026'!Salim-'2026'!Resal)*(1-EXP(('2026'!Tnet-t)/('2026'!Tau_j))),Resal+(Salim-Resal)*(1-EXP((Tnet-t)/(Tau_j))))*Salcycl</f>
        <v>2.5869254431343455E-2</v>
      </c>
      <c r="P166" s="169">
        <f>(INDEX(Models!$BJ166:$BT166,,T166)*(1-R166)+INDEX(Models!$BJ166:$BT166,,T166+1)*R166-ERP_i)*Q166*Ramure*Pc/MaxiM</f>
        <v>1.5632792393027919E-2</v>
      </c>
      <c r="Q166" s="305">
        <f t="shared" si="53"/>
        <v>0.8</v>
      </c>
      <c r="R166" s="177">
        <f t="shared" si="54"/>
        <v>0.24408040842620693</v>
      </c>
      <c r="S166" s="809">
        <f t="shared" si="55"/>
        <v>3</v>
      </c>
      <c r="T166" s="176">
        <f t="shared" si="56"/>
        <v>9</v>
      </c>
      <c r="U166" s="251">
        <f t="shared" si="57"/>
        <v>3.2440804084262069</v>
      </c>
      <c r="V166" s="383">
        <f t="shared" si="58"/>
        <v>54.223444574189777</v>
      </c>
      <c r="W166" s="402">
        <f t="shared" si="59"/>
        <v>50.250535140213735</v>
      </c>
      <c r="X166" s="157">
        <f t="shared" si="60"/>
        <v>46539</v>
      </c>
      <c r="Y166" s="385">
        <f t="shared" si="61"/>
        <v>44.584552572432273</v>
      </c>
      <c r="Z166" s="385">
        <f t="shared" si="62"/>
        <v>49.179753196565656</v>
      </c>
      <c r="AA166" s="386">
        <f t="shared" si="63"/>
        <v>56.395362288907016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0.12794685235599015</v>
      </c>
      <c r="AD166" s="231">
        <f>(INDEX(Models!$BJ166:$BT166,,AH166)*(1-AF166)+INDEX(Models!$BJ166:$BT166,,AH166+1)*AF166-ERP_i)*AE166*Ramure*Pc/MaxiM</f>
        <v>2.5432770263519373E-2</v>
      </c>
      <c r="AE166" s="305">
        <f t="shared" si="65"/>
        <v>0.8</v>
      </c>
      <c r="AF166" s="177">
        <f t="shared" si="66"/>
        <v>0.4447971555911101</v>
      </c>
      <c r="AG166" s="809">
        <f t="shared" si="74"/>
        <v>4</v>
      </c>
      <c r="AH166" s="176">
        <f t="shared" si="67"/>
        <v>10</v>
      </c>
      <c r="AI166" s="225">
        <f t="shared" si="68"/>
        <v>4.4447971555911101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IF(t&gt;Tmaj,'2026'!Wh/'2026'!Env_an*'2027'!Env_an,0.001*'[8]mon-tableau'!$B$137)</f>
        <v>41.318623308931222</v>
      </c>
      <c r="C167" s="839"/>
      <c r="D167" s="393">
        <f t="shared" si="50"/>
        <v>45.578299442283566</v>
      </c>
      <c r="E167" s="385">
        <f t="shared" si="72"/>
        <v>46.800223963513005</v>
      </c>
      <c r="F167" s="385">
        <f t="shared" si="51"/>
        <v>47.295127438802488</v>
      </c>
      <c r="G167" s="110">
        <f t="shared" si="73"/>
        <v>0.75811774838213597</v>
      </c>
      <c r="H167" s="414" t="b">
        <f>Wh_hp&gt;='2026'!Maxi_hp</f>
        <v>0</v>
      </c>
      <c r="I167" s="390">
        <f>IF(H167,Wh_hp,'2026'!Maxi_hp)</f>
        <v>61.321691281882586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9.3458426169375414E-2</v>
      </c>
      <c r="M167" s="843"/>
      <c r="N167" s="843"/>
      <c r="O167" s="48">
        <f>IF(t&lt;Tnet,'2026'!Resal+('2026'!Salim-'2026'!Resal)*(1-EXP(('2026'!Tnet-t)/('2026'!Tau_j))),Resal+(Salim-Resal)*(1-EXP((Tnet-t)/(Tau_j))))*Salcycl</f>
        <v>2.6109373369283196E-2</v>
      </c>
      <c r="P167" s="169">
        <f>(INDEX(Models!$BJ167:$BT167,,T167)*(1-R167)+INDEX(Models!$BJ167:$BT167,,T167+1)*R167-ERP_i)*Q167*Ramure*Pc/MaxiM</f>
        <v>1.5845746725716685E-2</v>
      </c>
      <c r="Q167" s="305">
        <f t="shared" si="53"/>
        <v>0.8</v>
      </c>
      <c r="R167" s="177">
        <f t="shared" si="54"/>
        <v>0.25007062052350193</v>
      </c>
      <c r="S167" s="809">
        <f t="shared" si="55"/>
        <v>3</v>
      </c>
      <c r="T167" s="176">
        <f t="shared" si="56"/>
        <v>9</v>
      </c>
      <c r="U167" s="251">
        <f t="shared" si="57"/>
        <v>3.2500706205235019</v>
      </c>
      <c r="V167" s="383">
        <f t="shared" si="58"/>
        <v>54.205183772675241</v>
      </c>
      <c r="W167" s="402">
        <f t="shared" si="59"/>
        <v>41.318623308931222</v>
      </c>
      <c r="X167" s="157">
        <f t="shared" si="60"/>
        <v>46540</v>
      </c>
      <c r="Y167" s="385">
        <f t="shared" si="61"/>
        <v>36.7528361790133</v>
      </c>
      <c r="Z167" s="385">
        <f t="shared" si="62"/>
        <v>40.541809929039268</v>
      </c>
      <c r="AA167" s="386">
        <f t="shared" si="63"/>
        <v>46.498937963259998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0.12811320634737103</v>
      </c>
      <c r="AD167" s="231">
        <f>(INDEX(Models!$BJ167:$BT167,,AH167)*(1-AF167)+INDEX(Models!$BJ167:$BT167,,AH167+1)*AF167-ERP_i)*AE167*Ramure*Pc/MaxiM</f>
        <v>2.5492277595641905E-2</v>
      </c>
      <c r="AE167" s="305">
        <f t="shared" si="65"/>
        <v>0.8</v>
      </c>
      <c r="AF167" s="177">
        <f t="shared" si="66"/>
        <v>0.45078736768840511</v>
      </c>
      <c r="AG167" s="809">
        <f t="shared" si="74"/>
        <v>4</v>
      </c>
      <c r="AH167" s="176">
        <f t="shared" si="67"/>
        <v>10</v>
      </c>
      <c r="AI167" s="225">
        <f t="shared" si="68"/>
        <v>4.4507873676884051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IF(t&gt;Tmaj,'2026'!Wh/'2026'!Env_an*'2027'!Env_an,0.001*'[8]mon-tableau'!$B$138)</f>
        <v>48.131606589505935</v>
      </c>
      <c r="C168" s="839"/>
      <c r="D168" s="393">
        <f t="shared" si="50"/>
        <v>53.094920501446339</v>
      </c>
      <c r="E168" s="385">
        <f t="shared" si="72"/>
        <v>54.531794885655167</v>
      </c>
      <c r="F168" s="385">
        <f t="shared" si="51"/>
        <v>55.277960278177531</v>
      </c>
      <c r="G168" s="110">
        <f t="shared" si="73"/>
        <v>0.88601791514651762</v>
      </c>
      <c r="H168" s="414" t="b">
        <f>Wh_hp&gt;='2026'!Maxi_hp</f>
        <v>0</v>
      </c>
      <c r="I168" s="390">
        <f>IF(H168,Wh_hp,'2026'!Maxi_hp)</f>
        <v>55.413341824549725</v>
      </c>
      <c r="J168" s="85">
        <f>IF(H168,An,'2026'!An_max)</f>
        <v>2022</v>
      </c>
      <c r="K168" s="197">
        <f t="shared" si="52"/>
        <v>46541</v>
      </c>
      <c r="L168" s="147">
        <f>IF(t&lt;Tvie,1-EXP((T0-t)*PertePVj)+'2026'!Pspv,1-EXP((T0-t)*PertePVj)+Pspv)</f>
        <v>9.3480014002567363E-2</v>
      </c>
      <c r="M168" s="843"/>
      <c r="N168" s="843"/>
      <c r="O168" s="48">
        <f>IF(t&lt;Tnet,'2026'!Resal+('2026'!Salim-'2026'!Resal)*(1-EXP(('2026'!Tnet-t)/('2026'!Tau_j))),Resal+(Salim-Resal)*(1-EXP((Tnet-t)/(Tau_j))))*Salcycl</f>
        <v>2.6349295621421086E-2</v>
      </c>
      <c r="P168" s="169">
        <f>(INDEX(Models!$BJ168:$BT168,,T168)*(1-R168)+INDEX(Models!$BJ168:$BT168,,T168+1)*R168-ERP_i)*Q168*Ramure*Pc/MaxiM</f>
        <v>1.6060671733766751E-2</v>
      </c>
      <c r="Q168" s="305">
        <f t="shared" si="53"/>
        <v>0.8</v>
      </c>
      <c r="R168" s="177">
        <f t="shared" si="54"/>
        <v>0.25610106786222797</v>
      </c>
      <c r="S168" s="809">
        <f t="shared" si="55"/>
        <v>3</v>
      </c>
      <c r="T168" s="176">
        <f t="shared" si="56"/>
        <v>9</v>
      </c>
      <c r="U168" s="251">
        <f t="shared" si="57"/>
        <v>3.256101067862228</v>
      </c>
      <c r="V168" s="383">
        <f t="shared" si="58"/>
        <v>54.182419155913671</v>
      </c>
      <c r="W168" s="402">
        <f t="shared" si="59"/>
        <v>48.131606589505935</v>
      </c>
      <c r="X168" s="157">
        <f t="shared" si="60"/>
        <v>46541</v>
      </c>
      <c r="Y168" s="385">
        <f t="shared" si="61"/>
        <v>42.744225640280078</v>
      </c>
      <c r="Z168" s="385">
        <f t="shared" si="62"/>
        <v>47.151994771796609</v>
      </c>
      <c r="AA168" s="386">
        <f t="shared" si="63"/>
        <v>54.090673703814019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0.12827865613232606</v>
      </c>
      <c r="AD168" s="231">
        <f>(INDEX(Models!$BJ168:$BT168,,AH168)*(1-AF168)+INDEX(Models!$BJ168:$BT168,,AH168+1)*AF168-ERP_i)*AE168*Ramure*Pc/MaxiM</f>
        <v>2.5555486914637916E-2</v>
      </c>
      <c r="AE168" s="305">
        <f t="shared" si="65"/>
        <v>0.8</v>
      </c>
      <c r="AF168" s="177">
        <f t="shared" si="66"/>
        <v>0.45681781502713203</v>
      </c>
      <c r="AG168" s="809">
        <f t="shared" si="74"/>
        <v>4</v>
      </c>
      <c r="AH168" s="176">
        <f t="shared" si="67"/>
        <v>10</v>
      </c>
      <c r="AI168" s="225">
        <f t="shared" si="68"/>
        <v>4.456817815027132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IF(t&gt;Tmaj,'2026'!Wh/'2026'!Env_an*'2027'!Env_an,0.001*'[8]mon-tableau'!$B$139)</f>
        <v>22.786317940881329</v>
      </c>
      <c r="C169" s="839"/>
      <c r="D169" s="393">
        <f t="shared" si="50"/>
        <v>25.13663341755262</v>
      </c>
      <c r="E169" s="385">
        <f t="shared" si="72"/>
        <v>25.823247613320781</v>
      </c>
      <c r="F169" s="385">
        <f t="shared" si="51"/>
        <v>25.895964458078872</v>
      </c>
      <c r="G169" s="110">
        <f t="shared" si="73"/>
        <v>0.41507426351386334</v>
      </c>
      <c r="H169" s="414" t="b">
        <f>Wh_hp&gt;='2026'!Maxi_hp</f>
        <v>0</v>
      </c>
      <c r="I169" s="390">
        <f>IF(H169,Wh_hp,'2026'!Maxi_hp)</f>
        <v>56.408226720952712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9.3501601333378842E-2</v>
      </c>
      <c r="M169" s="843"/>
      <c r="N169" s="843"/>
      <c r="O169" s="48">
        <f>IF(t&lt;Tnet,'2026'!Resal+('2026'!Salim-'2026'!Resal)*(1-EXP(('2026'!Tnet-t)/('2026'!Tau_j))),Resal+(Salim-Resal)*(1-EXP((Tnet-t)/(Tau_j))))*Salcycl</f>
        <v>2.6588994771284125E-2</v>
      </c>
      <c r="P169" s="169">
        <f>(INDEX(Models!$BJ169:$BT169,,T169)*(1-R169)+INDEX(Models!$BJ169:$BT169,,T169+1)*R169-ERP_i)*Q169*Ramure*Pc/MaxiM</f>
        <v>1.6277457284425815E-2</v>
      </c>
      <c r="Q169" s="305">
        <f t="shared" si="53"/>
        <v>0.8</v>
      </c>
      <c r="R169" s="177">
        <f t="shared" si="54"/>
        <v>0.26216701689781985</v>
      </c>
      <c r="S169" s="809">
        <f t="shared" si="55"/>
        <v>3</v>
      </c>
      <c r="T169" s="176">
        <f t="shared" si="56"/>
        <v>9</v>
      </c>
      <c r="U169" s="251">
        <f t="shared" si="57"/>
        <v>3.2621670168978198</v>
      </c>
      <c r="V169" s="383">
        <f t="shared" si="58"/>
        <v>54.155454034073777</v>
      </c>
      <c r="W169" s="402">
        <f t="shared" si="59"/>
        <v>22.786317940881329</v>
      </c>
      <c r="X169" s="157">
        <f t="shared" si="60"/>
        <v>46542</v>
      </c>
      <c r="Y169" s="385">
        <f t="shared" si="61"/>
        <v>20.36906031798566</v>
      </c>
      <c r="Z169" s="385">
        <f t="shared" si="62"/>
        <v>22.470045559867224</v>
      </c>
      <c r="AA169" s="386">
        <f t="shared" si="63"/>
        <v>25.781501418007085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0.12844309586357044</v>
      </c>
      <c r="AD169" s="231">
        <f>(INDEX(Models!$BJ169:$BT169,,AH169)*(1-AF169)+INDEX(Models!$BJ169:$BT169,,AH169+1)*AF169-ERP_i)*AE169*Ramure*Pc/MaxiM</f>
        <v>2.5622223456095845E-2</v>
      </c>
      <c r="AE169" s="305">
        <f t="shared" si="65"/>
        <v>0.8</v>
      </c>
      <c r="AF169" s="177">
        <f t="shared" si="66"/>
        <v>0.46288376406272391</v>
      </c>
      <c r="AG169" s="809">
        <f t="shared" si="74"/>
        <v>4</v>
      </c>
      <c r="AH169" s="176">
        <f t="shared" si="67"/>
        <v>10</v>
      </c>
      <c r="AI169" s="225">
        <f t="shared" si="68"/>
        <v>4.4628837640627239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IF(t&gt;Tmaj,'2026'!Wh/'2026'!Env_an*'2027'!Env_an,0.001*'[8]mon-tableau'!$B$140)</f>
        <v>32.20672512712958</v>
      </c>
      <c r="C170" s="839"/>
      <c r="D170" s="393">
        <f t="shared" si="50"/>
        <v>35.529563146596004</v>
      </c>
      <c r="E170" s="385">
        <f t="shared" ref="E170:E232" si="75">Wh_pvt/(1-Psa)</f>
        <v>36.509043995456622</v>
      </c>
      <c r="F170" s="385">
        <f t="shared" si="51"/>
        <v>36.764633516759197</v>
      </c>
      <c r="G170" s="110">
        <f t="shared" ref="G170:G232" si="76">+Wh_hp/MaxiM</f>
        <v>0.58932905259552615</v>
      </c>
      <c r="H170" s="414" t="b">
        <f>Wh_hp&gt;='2026'!Maxi_hp</f>
        <v>0</v>
      </c>
      <c r="I170" s="390">
        <f>IF(H170,Wh_hp,'2026'!Maxi_hp)</f>
        <v>45.470659595237684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9.352318816182173E-2</v>
      </c>
      <c r="M170" s="843"/>
      <c r="N170" s="843"/>
      <c r="O170" s="48">
        <f>IF(t&lt;Tnet,'2026'!Resal+('2026'!Salim-'2026'!Resal)*(1-EXP(('2026'!Tnet-t)/('2026'!Tau_j))),Resal+(Salim-Resal)*(1-EXP((Tnet-t)/(Tau_j))))*Salcycl</f>
        <v>2.6828444178995998E-2</v>
      </c>
      <c r="P170" s="169">
        <f>(INDEX(Models!$BJ170:$BT170,,T170)*(1-R170)+INDEX(Models!$BJ170:$BT170,,T170+1)*R170-ERP_i)*Q170*Ramure*Pc/MaxiM</f>
        <v>1.6493782478041636E-2</v>
      </c>
      <c r="Q170" s="305">
        <f t="shared" si="53"/>
        <v>0.8</v>
      </c>
      <c r="R170" s="177">
        <f t="shared" si="54"/>
        <v>0.26826361794214604</v>
      </c>
      <c r="S170" s="809">
        <f t="shared" si="55"/>
        <v>3</v>
      </c>
      <c r="T170" s="176">
        <f t="shared" si="56"/>
        <v>9</v>
      </c>
      <c r="U170" s="251">
        <f t="shared" si="57"/>
        <v>3.268263617942146</v>
      </c>
      <c r="V170" s="383">
        <f t="shared" si="58"/>
        <v>54.124712860856938</v>
      </c>
      <c r="W170" s="402">
        <f t="shared" si="59"/>
        <v>32.20672512712958</v>
      </c>
      <c r="X170" s="157">
        <f t="shared" si="60"/>
        <v>46543</v>
      </c>
      <c r="Y170" s="385">
        <f t="shared" si="61"/>
        <v>28.725788018911757</v>
      </c>
      <c r="Z170" s="385">
        <f t="shared" si="62"/>
        <v>31.689490170918795</v>
      </c>
      <c r="AA170" s="386">
        <f t="shared" si="63"/>
        <v>36.3664490558957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0.1286064217539733</v>
      </c>
      <c r="AD170" s="231">
        <f>(INDEX(Models!$BJ170:$BT170,,AH170)*(1-AF170)+INDEX(Models!$BJ170:$BT170,,AH170+1)*AF170-ERP_i)*AE170*Ramure*Pc/MaxiM</f>
        <v>2.5695763465372647E-2</v>
      </c>
      <c r="AE170" s="305">
        <f t="shared" si="65"/>
        <v>0.8</v>
      </c>
      <c r="AF170" s="177">
        <f t="shared" si="66"/>
        <v>0.46898036510704966</v>
      </c>
      <c r="AG170" s="809">
        <f t="shared" si="74"/>
        <v>4</v>
      </c>
      <c r="AH170" s="176">
        <f t="shared" si="67"/>
        <v>10</v>
      </c>
      <c r="AI170" s="225">
        <f t="shared" si="68"/>
        <v>4.4689803651070497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IF(t&gt;Tmaj,'2026'!Wh/'2026'!Env_an*'2027'!Env_an,0.001*'[8]mon-tableau'!$B$141)</f>
        <v>40.940277065219057</v>
      </c>
      <c r="C171" s="839"/>
      <c r="D171" s="393">
        <f t="shared" si="50"/>
        <v>45.165250210886335</v>
      </c>
      <c r="E171" s="385">
        <f t="shared" si="75"/>
        <v>46.421777097893489</v>
      </c>
      <c r="F171" s="385">
        <f t="shared" si="51"/>
        <v>46.933522637774075</v>
      </c>
      <c r="G171" s="110">
        <f t="shared" si="76"/>
        <v>0.75244197797745072</v>
      </c>
      <c r="H171" s="414" t="b">
        <f>Wh_hp&gt;='2026'!Maxi_hp</f>
        <v>0</v>
      </c>
      <c r="I171" s="390">
        <f>IF(H171,Wh_hp,'2026'!Maxi_hp)</f>
        <v>63.6888163743956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9.3544774487907462E-2</v>
      </c>
      <c r="M171" s="843"/>
      <c r="N171" s="843"/>
      <c r="O171" s="48">
        <f>IF(t&lt;Tnet,'2026'!Resal+('2026'!Salim-'2026'!Resal)*(1-EXP(('2026'!Tnet-t)/('2026'!Tau_j))),Resal+(Salim-Resal)*(1-EXP((Tnet-t)/(Tau_j))))*Salcycl</f>
        <v>2.7067617087502122E-2</v>
      </c>
      <c r="P171" s="169">
        <f>(INDEX(Models!$BJ171:$BT171,,T171)*(1-R171)+INDEX(Models!$BJ171:$BT171,,T171+1)*R171-ERP_i)*Q171*Ramure*Pc/MaxiM</f>
        <v>1.6705713007430224E-2</v>
      </c>
      <c r="Q171" s="305">
        <f t="shared" si="53"/>
        <v>0.8</v>
      </c>
      <c r="R171" s="177">
        <f t="shared" si="54"/>
        <v>0.27438592019871422</v>
      </c>
      <c r="S171" s="809">
        <f t="shared" si="55"/>
        <v>3</v>
      </c>
      <c r="T171" s="176">
        <f t="shared" si="56"/>
        <v>9</v>
      </c>
      <c r="U171" s="251">
        <f t="shared" si="57"/>
        <v>3.2743859201987142</v>
      </c>
      <c r="V171" s="383">
        <f t="shared" si="58"/>
        <v>54.090708100501836</v>
      </c>
      <c r="W171" s="402">
        <f t="shared" si="59"/>
        <v>40.940277065219057</v>
      </c>
      <c r="X171" s="157">
        <f t="shared" si="60"/>
        <v>46544</v>
      </c>
      <c r="Y171" s="385">
        <f t="shared" si="61"/>
        <v>36.441473023353844</v>
      </c>
      <c r="Z171" s="385">
        <f t="shared" si="62"/>
        <v>40.202176563951745</v>
      </c>
      <c r="AA171" s="386">
        <f t="shared" si="63"/>
        <v>46.144082328127858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0.12876853248318113</v>
      </c>
      <c r="AD171" s="231">
        <f>(INDEX(Models!$BJ171:$BT171,,AH171)*(1-AF171)+INDEX(Models!$BJ171:$BT171,,AH171+1)*AF171-ERP_i)*AE171*Ramure*Pc/MaxiM</f>
        <v>2.577093930808665E-2</v>
      </c>
      <c r="AE171" s="305">
        <f t="shared" si="65"/>
        <v>0.8</v>
      </c>
      <c r="AF171" s="177">
        <f t="shared" si="66"/>
        <v>0.47510266736361739</v>
      </c>
      <c r="AG171" s="809">
        <f t="shared" si="74"/>
        <v>4</v>
      </c>
      <c r="AH171" s="176">
        <f t="shared" si="67"/>
        <v>10</v>
      </c>
      <c r="AI171" s="225">
        <f t="shared" si="68"/>
        <v>4.4751026673636174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IF(t&gt;Tmaj,'2026'!Wh/'2026'!Env_an*'2027'!Env_an,0.001*'[8]mon-tableau'!$B$142)</f>
        <v>27.620038773976724</v>
      </c>
      <c r="C172" s="839"/>
      <c r="D172" s="393">
        <f t="shared" si="50"/>
        <v>30.471109593276989</v>
      </c>
      <c r="E172" s="385">
        <f t="shared" si="75"/>
        <v>31.326526986771736</v>
      </c>
      <c r="F172" s="385">
        <f t="shared" si="51"/>
        <v>31.48703016069252</v>
      </c>
      <c r="G172" s="110">
        <f t="shared" si="76"/>
        <v>0.50490523128077602</v>
      </c>
      <c r="H172" s="414" t="b">
        <f>Wh_hp&gt;='2026'!Maxi_hp</f>
        <v>0</v>
      </c>
      <c r="I172" s="390">
        <f>IF(H172,Wh_hp,'2026'!Maxi_hp)</f>
        <v>51.75274626686349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9.3566360311647917E-2</v>
      </c>
      <c r="M172" s="843"/>
      <c r="N172" s="843"/>
      <c r="O172" s="48">
        <f>IF(t&lt;Tnet,'2026'!Resal+('2026'!Salim-'2026'!Resal)*(1-EXP(('2026'!Tnet-t)/('2026'!Tau_j))),Resal+(Salim-Resal)*(1-EXP((Tnet-t)/(Tau_j))))*Salcycl</f>
        <v>2.7306486731068766E-2</v>
      </c>
      <c r="P172" s="169">
        <f>(INDEX(Models!$BJ172:$BT172,,T172)*(1-R172)+INDEX(Models!$BJ172:$BT172,,T172+1)*R172-ERP_i)*Q172*Ramure*Pc/MaxiM</f>
        <v>1.6913044570446515E-2</v>
      </c>
      <c r="Q172" s="305">
        <f t="shared" si="53"/>
        <v>0.8</v>
      </c>
      <c r="R172" s="177">
        <f t="shared" si="54"/>
        <v>0.2805288875001053</v>
      </c>
      <c r="S172" s="809">
        <f t="shared" si="55"/>
        <v>3</v>
      </c>
      <c r="T172" s="176">
        <f t="shared" si="56"/>
        <v>9</v>
      </c>
      <c r="U172" s="251">
        <f t="shared" si="57"/>
        <v>3.2805288875001053</v>
      </c>
      <c r="V172" s="383">
        <f t="shared" si="58"/>
        <v>54.0537461354537</v>
      </c>
      <c r="W172" s="402">
        <f t="shared" si="59"/>
        <v>27.620038773976724</v>
      </c>
      <c r="X172" s="157">
        <f t="shared" si="60"/>
        <v>46545</v>
      </c>
      <c r="Y172" s="385">
        <f t="shared" si="61"/>
        <v>24.667468629642268</v>
      </c>
      <c r="Z172" s="385">
        <f t="shared" si="62"/>
        <v>27.213761217118311</v>
      </c>
      <c r="AA172" s="386">
        <f t="shared" si="63"/>
        <v>31.241737486742505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0.12892932959741674</v>
      </c>
      <c r="AD172" s="231">
        <f>(INDEX(Models!$BJ172:$BT172,,AH172)*(1-AF172)+INDEX(Models!$BJ172:$BT172,,AH172+1)*AF172-ERP_i)*AE172*Ramure*Pc/MaxiM</f>
        <v>2.5847750084794053E-2</v>
      </c>
      <c r="AE172" s="305">
        <f t="shared" si="65"/>
        <v>0.8</v>
      </c>
      <c r="AF172" s="177">
        <f t="shared" si="66"/>
        <v>0.48124563466500891</v>
      </c>
      <c r="AG172" s="809">
        <f t="shared" si="74"/>
        <v>4</v>
      </c>
      <c r="AH172" s="176">
        <f t="shared" si="67"/>
        <v>10</v>
      </c>
      <c r="AI172" s="225">
        <f t="shared" si="68"/>
        <v>4.4812456346650089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IF(t&gt;Tmaj,'2026'!Wh/'2026'!Env_an*'2027'!Env_an,0.001*'[8]mon-tableau'!$B$143)</f>
        <v>18.809839568815462</v>
      </c>
      <c r="C173" s="839"/>
      <c r="D173" s="393">
        <f t="shared" si="50"/>
        <v>20.751974202232553</v>
      </c>
      <c r="E173" s="385">
        <f t="shared" si="75"/>
        <v>21.339778978534451</v>
      </c>
      <c r="F173" s="385">
        <f t="shared" si="51"/>
        <v>21.364978729523422</v>
      </c>
      <c r="G173" s="110">
        <f t="shared" si="76"/>
        <v>0.34268309968562016</v>
      </c>
      <c r="H173" s="414" t="b">
        <f>Wh_hp&gt;='2026'!Maxi_hp</f>
        <v>0</v>
      </c>
      <c r="I173" s="390">
        <f>IF(H173,Wh_hp,'2026'!Maxi_hp)</f>
        <v>63.160398004063062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9.3587945633054642E-2</v>
      </c>
      <c r="M173" s="843"/>
      <c r="N173" s="843"/>
      <c r="O173" s="48">
        <f>IF(t&lt;Tnet,'2026'!Resal+('2026'!Salim-'2026'!Resal)*(1-EXP(('2026'!Tnet-t)/('2026'!Tau_j))),Resal+(Salim-Resal)*(1-EXP((Tnet-t)/(Tau_j))))*Salcycl</f>
        <v>2.7545026445361408E-2</v>
      </c>
      <c r="P173" s="169">
        <f>(INDEX(Models!$BJ173:$BT173,,T173)*(1-R173)+INDEX(Models!$BJ173:$BT173,,T173+1)*R173-ERP_i)*Q173*Ramure*Pc/MaxiM</f>
        <v>1.7115575814391878E-2</v>
      </c>
      <c r="Q173" s="305">
        <f t="shared" si="53"/>
        <v>0.8</v>
      </c>
      <c r="R173" s="177">
        <f t="shared" si="54"/>
        <v>0.28668741464402503</v>
      </c>
      <c r="S173" s="809">
        <f t="shared" si="55"/>
        <v>3</v>
      </c>
      <c r="T173" s="176">
        <f t="shared" si="56"/>
        <v>9</v>
      </c>
      <c r="U173" s="251">
        <f t="shared" si="57"/>
        <v>3.286687414644025</v>
      </c>
      <c r="V173" s="383">
        <f t="shared" si="58"/>
        <v>54.014132498482894</v>
      </c>
      <c r="W173" s="402">
        <f t="shared" si="59"/>
        <v>18.809839568815462</v>
      </c>
      <c r="X173" s="157">
        <f t="shared" si="60"/>
        <v>46546</v>
      </c>
      <c r="Y173" s="385">
        <f t="shared" si="61"/>
        <v>16.835476947738318</v>
      </c>
      <c r="Z173" s="385">
        <f t="shared" si="62"/>
        <v>18.573756677912364</v>
      </c>
      <c r="AA173" s="386">
        <f t="shared" si="63"/>
        <v>21.326806828268371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0.12908871789971293</v>
      </c>
      <c r="AD173" s="231">
        <f>(INDEX(Models!$BJ173:$BT173,,AH173)*(1-AF173)+INDEX(Models!$BJ173:$BT173,,AH173+1)*AF173-ERP_i)*AE173*Ramure*Pc/MaxiM</f>
        <v>2.592621134217939E-2</v>
      </c>
      <c r="AE173" s="305">
        <f t="shared" si="65"/>
        <v>0.8</v>
      </c>
      <c r="AF173" s="177">
        <f t="shared" si="66"/>
        <v>0.48740416180892865</v>
      </c>
      <c r="AG173" s="809">
        <f t="shared" si="74"/>
        <v>4</v>
      </c>
      <c r="AH173" s="176">
        <f t="shared" si="67"/>
        <v>10</v>
      </c>
      <c r="AI173" s="225">
        <f t="shared" si="68"/>
        <v>4.4874041618089286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IF(t&gt;Tmaj,'2026'!Wh/'2026'!Env_an*'2027'!Env_an,0.001*'[8]mon-tableau'!$B$144)</f>
        <v>40.259891361259079</v>
      </c>
      <c r="C174" s="839"/>
      <c r="D174" s="393">
        <f t="shared" si="50"/>
        <v>44.417822907319547</v>
      </c>
      <c r="E174" s="385">
        <f t="shared" si="75"/>
        <v>45.687158825136393</v>
      </c>
      <c r="F174" s="385">
        <f t="shared" si="51"/>
        <v>46.196679990337685</v>
      </c>
      <c r="G174" s="110">
        <f t="shared" si="76"/>
        <v>0.74119841331126712</v>
      </c>
      <c r="H174" s="414" t="b">
        <f>Wh_hp&gt;='2026'!Maxi_hp</f>
        <v>0</v>
      </c>
      <c r="I174" s="390">
        <f>IF(H174,Wh_hp,'2026'!Maxi_hp)</f>
        <v>59.632877338436153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9.3609530452139517E-2</v>
      </c>
      <c r="M174" s="843"/>
      <c r="N174" s="843"/>
      <c r="O174" s="48">
        <f>IF(t&lt;Tnet,'2026'!Resal+('2026'!Salim-'2026'!Resal)*(1-EXP(('2026'!Tnet-t)/('2026'!Tau_j))),Resal+(Salim-Resal)*(1-EXP((Tnet-t)/(Tau_j))))*Salcycl</f>
        <v>2.7783209778378233E-2</v>
      </c>
      <c r="P174" s="169">
        <f>(INDEX(Models!$BJ174:$BT174,,T174)*(1-R174)+INDEX(Models!$BJ174:$BT174,,T174+1)*R174-ERP_i)*Q174*Ramure*Pc/MaxiM</f>
        <v>1.7313109190599238E-2</v>
      </c>
      <c r="Q174" s="305">
        <f t="shared" si="53"/>
        <v>0.8</v>
      </c>
      <c r="R174" s="177">
        <f t="shared" si="54"/>
        <v>0.29285634421719209</v>
      </c>
      <c r="S174" s="809">
        <f t="shared" si="55"/>
        <v>3</v>
      </c>
      <c r="T174" s="176">
        <f t="shared" si="56"/>
        <v>9</v>
      </c>
      <c r="U174" s="251">
        <f t="shared" si="57"/>
        <v>3.2928563442171921</v>
      </c>
      <c r="V174" s="383">
        <f t="shared" si="58"/>
        <v>53.972171832534507</v>
      </c>
      <c r="W174" s="402">
        <f t="shared" si="59"/>
        <v>40.259891361259079</v>
      </c>
      <c r="X174" s="157">
        <f t="shared" si="60"/>
        <v>46547</v>
      </c>
      <c r="Y174" s="385">
        <f t="shared" si="61"/>
        <v>35.856330873302667</v>
      </c>
      <c r="Z174" s="385">
        <f t="shared" si="62"/>
        <v>39.559474727474871</v>
      </c>
      <c r="AA174" s="386">
        <f t="shared" si="63"/>
        <v>45.431318433258241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0.12924660582786104</v>
      </c>
      <c r="AD174" s="231">
        <f>(INDEX(Models!$BJ174:$BT174,,AH174)*(1-AF174)+INDEX(Models!$BJ174:$BT174,,AH174+1)*AF174-ERP_i)*AE174*Ramure*Pc/MaxiM</f>
        <v>2.600635481505165E-2</v>
      </c>
      <c r="AE174" s="305">
        <f t="shared" si="65"/>
        <v>0.8</v>
      </c>
      <c r="AF174" s="177">
        <f t="shared" si="66"/>
        <v>0.49357309138209615</v>
      </c>
      <c r="AG174" s="809">
        <f t="shared" si="74"/>
        <v>4</v>
      </c>
      <c r="AH174" s="176">
        <f t="shared" si="67"/>
        <v>10</v>
      </c>
      <c r="AI174" s="225">
        <f t="shared" si="68"/>
        <v>4.4935730913820962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IF(t&gt;Tmaj,'2026'!Wh/'2026'!Env_an*'2027'!Env_an,0.001*'[8]mon-tableau'!$B$145)</f>
        <v>51.11832012932777</v>
      </c>
      <c r="C175" s="839"/>
      <c r="D175" s="393">
        <f t="shared" si="50"/>
        <v>56.39902357889828</v>
      </c>
      <c r="E175" s="385">
        <f t="shared" si="75"/>
        <v>58.024941067707459</v>
      </c>
      <c r="F175" s="385">
        <f t="shared" si="51"/>
        <v>58.980571286368175</v>
      </c>
      <c r="G175" s="110">
        <f t="shared" si="76"/>
        <v>0.94664102894662505</v>
      </c>
      <c r="H175" s="414" t="b">
        <f>Wh_hp&gt;='2026'!Maxi_hp</f>
        <v>0</v>
      </c>
      <c r="I175" s="390">
        <f>IF(H175,Wh_hp,'2026'!Maxi_hp)</f>
        <v>59.456159779115154</v>
      </c>
      <c r="J175" s="85">
        <f>IF(H175,An,'2026'!An_max)</f>
        <v>2021</v>
      </c>
      <c r="K175" s="197">
        <f t="shared" si="52"/>
        <v>46548</v>
      </c>
      <c r="L175" s="147">
        <f>IF(t&lt;Tvie,1-EXP((T0-t)*PertePVj)+'2026'!Pspv,1-EXP((T0-t)*PertePVj)+Pspv)</f>
        <v>9.3631114768913976E-2</v>
      </c>
      <c r="M175" s="843"/>
      <c r="N175" s="843"/>
      <c r="O175" s="48">
        <f>IF(t&lt;Tnet,'2026'!Resal+('2026'!Salim-'2026'!Resal)*(1-EXP(('2026'!Tnet-t)/('2026'!Tau_j))),Resal+(Salim-Resal)*(1-EXP((Tnet-t)/(Tau_j))))*Salcycl</f>
        <v>2.8021010601492001E-2</v>
      </c>
      <c r="P175" s="169">
        <f>(INDEX(Models!$BJ175:$BT175,,T175)*(1-R175)+INDEX(Models!$BJ175:$BT175,,T175+1)*R175-ERP_i)*Q175*Ramure*Pc/MaxiM</f>
        <v>1.7505451778560943E-2</v>
      </c>
      <c r="Q175" s="305">
        <f t="shared" si="53"/>
        <v>0.8</v>
      </c>
      <c r="R175" s="177">
        <f t="shared" si="54"/>
        <v>0.29903048379040609</v>
      </c>
      <c r="S175" s="809">
        <f t="shared" si="55"/>
        <v>3</v>
      </c>
      <c r="T175" s="176">
        <f t="shared" si="56"/>
        <v>9</v>
      </c>
      <c r="U175" s="251">
        <f t="shared" si="57"/>
        <v>3.2990304837904061</v>
      </c>
      <c r="V175" s="383">
        <f t="shared" si="58"/>
        <v>53.928167845780372</v>
      </c>
      <c r="W175" s="402">
        <f t="shared" si="59"/>
        <v>51.11832012932777</v>
      </c>
      <c r="X175" s="157">
        <f t="shared" si="60"/>
        <v>46548</v>
      </c>
      <c r="Y175" s="385">
        <f t="shared" si="61"/>
        <v>45.416728826711264</v>
      </c>
      <c r="Z175" s="385">
        <f t="shared" si="62"/>
        <v>50.108437708706099</v>
      </c>
      <c r="AA175" s="386">
        <f t="shared" si="63"/>
        <v>57.556403580410432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0.12940290581740377</v>
      </c>
      <c r="AD175" s="231">
        <f>(INDEX(Models!$BJ175:$BT175,,AH175)*(1-AF175)+INDEX(Models!$BJ175:$BT175,,AH175+1)*AF175-ERP_i)*AE175*Ramure*Pc/MaxiM</f>
        <v>2.6088228076511198E-2</v>
      </c>
      <c r="AE175" s="305">
        <f t="shared" si="65"/>
        <v>0.8</v>
      </c>
      <c r="AF175" s="177">
        <f t="shared" si="66"/>
        <v>0.49974723095530926</v>
      </c>
      <c r="AG175" s="809">
        <f t="shared" si="74"/>
        <v>4</v>
      </c>
      <c r="AH175" s="176">
        <f t="shared" si="67"/>
        <v>10</v>
      </c>
      <c r="AI175" s="225">
        <f t="shared" si="68"/>
        <v>4.4997472309553093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IF(t&gt;Tmaj,'2026'!Wh/'2026'!Env_an*'2027'!Env_an,0.001*'[8]mon-tableau'!$B$146)</f>
        <v>50.147492225191094</v>
      </c>
      <c r="C176" s="839"/>
      <c r="D176" s="393">
        <f t="shared" si="50"/>
        <v>55.329223297527513</v>
      </c>
      <c r="E176" s="385">
        <f t="shared" si="75"/>
        <v>56.938206083653625</v>
      </c>
      <c r="F176" s="385">
        <f t="shared" si="51"/>
        <v>57.860529217149406</v>
      </c>
      <c r="G176" s="110">
        <f t="shared" si="76"/>
        <v>0.92902675008368985</v>
      </c>
      <c r="H176" s="414" t="b">
        <f>Wh_hp&gt;='2026'!Maxi_hp</f>
        <v>0</v>
      </c>
      <c r="I176" s="390">
        <f>IF(H176,Wh_hp,'2026'!Maxi_hp)</f>
        <v>57.956580464308153</v>
      </c>
      <c r="J176" s="85">
        <f>IF(H176,An,'2026'!An_max)</f>
        <v>2022</v>
      </c>
      <c r="K176" s="197">
        <f t="shared" si="52"/>
        <v>46549</v>
      </c>
      <c r="L176" s="147">
        <f>IF(t&lt;Tvie,1-EXP((T0-t)*PertePVj)+'2026'!Pspv,1-EXP((T0-t)*PertePVj)+Pspv)</f>
        <v>9.3652698583389898E-2</v>
      </c>
      <c r="M176" s="843"/>
      <c r="N176" s="843"/>
      <c r="O176" s="48">
        <f>IF(t&lt;Tnet,'2026'!Resal+('2026'!Salim-'2026'!Resal)*(1-EXP(('2026'!Tnet-t)/('2026'!Tau_j))),Resal+(Salim-Resal)*(1-EXP((Tnet-t)/(Tau_j))))*Salcycl</f>
        <v>2.8258403219837979E-2</v>
      </c>
      <c r="P176" s="169">
        <f>(INDEX(Models!$BJ176:$BT176,,T176)*(1-R176)+INDEX(Models!$BJ176:$BT176,,T176+1)*R176-ERP_i)*Q176*Ramure*Pc/MaxiM</f>
        <v>1.7692416068036339E-2</v>
      </c>
      <c r="Q176" s="305">
        <f t="shared" si="53"/>
        <v>0.8</v>
      </c>
      <c r="R176" s="177">
        <f t="shared" si="54"/>
        <v>0.30520462336362009</v>
      </c>
      <c r="S176" s="809">
        <f t="shared" si="55"/>
        <v>3</v>
      </c>
      <c r="T176" s="176">
        <f t="shared" si="56"/>
        <v>9</v>
      </c>
      <c r="U176" s="251">
        <f t="shared" si="57"/>
        <v>3.3052046233636201</v>
      </c>
      <c r="V176" s="383">
        <f t="shared" si="58"/>
        <v>53.88242328191388</v>
      </c>
      <c r="W176" s="402">
        <f t="shared" si="59"/>
        <v>50.147492225191094</v>
      </c>
      <c r="X176" s="157">
        <f t="shared" si="60"/>
        <v>46549</v>
      </c>
      <c r="Y176" s="385">
        <f t="shared" si="61"/>
        <v>44.571132161539296</v>
      </c>
      <c r="Z176" s="385">
        <f t="shared" si="62"/>
        <v>49.176658982572292</v>
      </c>
      <c r="AA176" s="386">
        <f t="shared" si="63"/>
        <v>56.496162515041341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0.12955753464707151</v>
      </c>
      <c r="AD176" s="231">
        <f>(INDEX(Models!$BJ176:$BT176,,AH176)*(1-AF176)+INDEX(Models!$BJ176:$BT176,,AH176+1)*AF176-ERP_i)*AE176*Ramure*Pc/MaxiM</f>
        <v>2.6171894086164087E-2</v>
      </c>
      <c r="AE176" s="305">
        <f t="shared" si="65"/>
        <v>0.8</v>
      </c>
      <c r="AF176" s="177">
        <f t="shared" si="66"/>
        <v>0.50592137052852326</v>
      </c>
      <c r="AG176" s="809">
        <f t="shared" si="74"/>
        <v>4</v>
      </c>
      <c r="AH176" s="176">
        <f t="shared" si="67"/>
        <v>10</v>
      </c>
      <c r="AI176" s="225">
        <f t="shared" si="68"/>
        <v>4.5059213705285233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IF(t&gt;Tmaj,'2026'!Wh/'2026'!Env_an*'2027'!Env_an,0.001*'[8]mon-tableau'!$B$147)</f>
        <v>37.762845539028127</v>
      </c>
      <c r="C177" s="839"/>
      <c r="D177" s="393">
        <f t="shared" si="50"/>
        <v>41.665865576460824</v>
      </c>
      <c r="E177" s="385">
        <f t="shared" si="75"/>
        <v>42.887973939967672</v>
      </c>
      <c r="F177" s="385">
        <f t="shared" si="51"/>
        <v>43.332175217175497</v>
      </c>
      <c r="G177" s="110">
        <f t="shared" si="76"/>
        <v>0.69605910598008647</v>
      </c>
      <c r="H177" s="414" t="b">
        <f>Wh_hp&gt;='2026'!Maxi_hp</f>
        <v>0</v>
      </c>
      <c r="I177" s="390">
        <f>IF(H177,Wh_hp,'2026'!Maxi_hp)</f>
        <v>57.157834054855876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9.3674281895579053E-2</v>
      </c>
      <c r="M177" s="843"/>
      <c r="N177" s="843"/>
      <c r="O177" s="48">
        <f>IF(t&lt;Tnet,'2026'!Resal+('2026'!Salim-'2026'!Resal)*(1-EXP(('2026'!Tnet-t)/('2026'!Tau_j))),Resal+(Salim-Resal)*(1-EXP((Tnet-t)/(Tau_j))))*Salcycl</f>
        <v>2.849536248127478E-2</v>
      </c>
      <c r="P177" s="169">
        <f>(INDEX(Models!$BJ177:$BT177,,T177)*(1-R177)+INDEX(Models!$BJ177:$BT177,,T177+1)*R177-ERP_i)*Q177*Ramure*Pc/MaxiM</f>
        <v>1.7874059895214546E-2</v>
      </c>
      <c r="Q177" s="305">
        <f t="shared" si="53"/>
        <v>0.8</v>
      </c>
      <c r="R177" s="177">
        <f t="shared" si="54"/>
        <v>0.3113735529367867</v>
      </c>
      <c r="S177" s="809">
        <f t="shared" si="55"/>
        <v>3</v>
      </c>
      <c r="T177" s="176">
        <f t="shared" si="56"/>
        <v>9</v>
      </c>
      <c r="U177" s="251">
        <f t="shared" si="57"/>
        <v>3.3113735529367867</v>
      </c>
      <c r="V177" s="383">
        <f t="shared" si="58"/>
        <v>53.834506340666145</v>
      </c>
      <c r="W177" s="402">
        <f t="shared" si="59"/>
        <v>37.762845539028127</v>
      </c>
      <c r="X177" s="157">
        <f t="shared" si="60"/>
        <v>46550</v>
      </c>
      <c r="Y177" s="385">
        <f t="shared" si="61"/>
        <v>33.664229193640246</v>
      </c>
      <c r="Z177" s="385">
        <f t="shared" si="62"/>
        <v>37.143632273890383</v>
      </c>
      <c r="AA177" s="386">
        <f t="shared" si="63"/>
        <v>42.679623956599592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0.12971041376415815</v>
      </c>
      <c r="AD177" s="231">
        <f>(INDEX(Models!$BJ177:$BT177,,AH177)*(1-AF177)+INDEX(Models!$BJ177:$BT177,,AH177+1)*AF177-ERP_i)*AE177*Ramure*Pc/MaxiM</f>
        <v>2.6257782034188982E-2</v>
      </c>
      <c r="AE177" s="305">
        <f t="shared" si="65"/>
        <v>0.8</v>
      </c>
      <c r="AF177" s="177">
        <f t="shared" si="66"/>
        <v>0.51209030010169077</v>
      </c>
      <c r="AG177" s="809">
        <f t="shared" si="74"/>
        <v>4</v>
      </c>
      <c r="AH177" s="176">
        <f t="shared" si="67"/>
        <v>10</v>
      </c>
      <c r="AI177" s="225">
        <f t="shared" si="68"/>
        <v>4.5120903001016908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IF(t&gt;Tmaj,'2026'!Wh/'2026'!Env_an*'2027'!Env_an,0.001*'[8]mon-tableau'!$B$148)</f>
        <v>49.067418914997049</v>
      </c>
      <c r="C178" s="839"/>
      <c r="D178" s="393">
        <f t="shared" si="50"/>
        <v>54.14012471547688</v>
      </c>
      <c r="E178" s="385">
        <f t="shared" si="75"/>
        <v>55.741687287230349</v>
      </c>
      <c r="F178" s="385">
        <f t="shared" si="51"/>
        <v>56.635805931545157</v>
      </c>
      <c r="G178" s="110">
        <f t="shared" si="76"/>
        <v>0.91021069354673689</v>
      </c>
      <c r="H178" s="414" t="b">
        <f>Wh_hp&gt;='2026'!Maxi_hp</f>
        <v>0</v>
      </c>
      <c r="I178" s="390">
        <f>IF(H178,Wh_hp,'2026'!Maxi_hp)</f>
        <v>63.561322397498678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9.3695864705492876E-2</v>
      </c>
      <c r="M178" s="843"/>
      <c r="N178" s="843"/>
      <c r="O178" s="48">
        <f>IF(t&lt;Tnet,'2026'!Resal+('2026'!Salim-'2026'!Resal)*(1-EXP(('2026'!Tnet-t)/('2026'!Tau_j))),Resal+(Salim-Resal)*(1-EXP((Tnet-t)/(Tau_j))))*Salcycl</f>
        <v>2.8731863883143693E-2</v>
      </c>
      <c r="P178" s="169">
        <f>(INDEX(Models!$BJ178:$BT178,,T178)*(1-R178)+INDEX(Models!$BJ178:$BT178,,T178+1)*R178-ERP_i)*Q178*Ramure*Pc/MaxiM</f>
        <v>1.8048172188068898E-2</v>
      </c>
      <c r="Q178" s="305">
        <f t="shared" si="53"/>
        <v>0.8</v>
      </c>
      <c r="R178" s="177">
        <f t="shared" si="54"/>
        <v>0.31753208008070688</v>
      </c>
      <c r="S178" s="809">
        <f t="shared" si="55"/>
        <v>3</v>
      </c>
      <c r="T178" s="176">
        <f t="shared" si="56"/>
        <v>9</v>
      </c>
      <c r="U178" s="251">
        <f t="shared" si="57"/>
        <v>3.3175320800807069</v>
      </c>
      <c r="V178" s="383">
        <f t="shared" si="58"/>
        <v>53.783918137399205</v>
      </c>
      <c r="W178" s="402">
        <f t="shared" si="59"/>
        <v>49.067418914997049</v>
      </c>
      <c r="X178" s="157">
        <f t="shared" si="60"/>
        <v>46551</v>
      </c>
      <c r="Y178" s="385">
        <f t="shared" si="61"/>
        <v>43.634102758388146</v>
      </c>
      <c r="Z178" s="385">
        <f t="shared" si="62"/>
        <v>48.145099486067188</v>
      </c>
      <c r="AA178" s="386">
        <f t="shared" si="63"/>
        <v>55.33038453456453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0.12986146958745143</v>
      </c>
      <c r="AD178" s="231">
        <f>(INDEX(Models!$BJ178:$BT178,,AH178)*(1-AF178)+INDEX(Models!$BJ178:$BT178,,AH178+1)*AF178-ERP_i)*AE178*Ramure*Pc/MaxiM</f>
        <v>2.6350496436354891E-2</v>
      </c>
      <c r="AE178" s="305">
        <f t="shared" si="65"/>
        <v>0.8</v>
      </c>
      <c r="AF178" s="177">
        <f t="shared" si="66"/>
        <v>0.5182488272456105</v>
      </c>
      <c r="AG178" s="809">
        <f t="shared" si="74"/>
        <v>4</v>
      </c>
      <c r="AH178" s="176">
        <f t="shared" si="67"/>
        <v>10</v>
      </c>
      <c r="AI178" s="225">
        <f t="shared" si="68"/>
        <v>4.5182488272456105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IF(t&gt;Tmaj,'2026'!Wh/'2026'!Env_an*'2027'!Env_an,0.001*'[8]mon-tableau'!$B$149)</f>
        <v>41.681687661286325</v>
      </c>
      <c r="C179" s="839"/>
      <c r="D179" s="393">
        <f t="shared" si="50"/>
        <v>45.991934329878696</v>
      </c>
      <c r="E179" s="385">
        <f t="shared" si="75"/>
        <v>47.363968252658076</v>
      </c>
      <c r="F179" s="385">
        <f t="shared" si="51"/>
        <v>47.957726616800741</v>
      </c>
      <c r="G179" s="110">
        <f t="shared" si="76"/>
        <v>0.77116995719686199</v>
      </c>
      <c r="H179" s="414" t="b">
        <f>Wh_hp&gt;='2026'!Maxi_hp</f>
        <v>0</v>
      </c>
      <c r="I179" s="390">
        <f>IF(H179,Wh_hp,'2026'!Maxi_hp)</f>
        <v>54.436884810261837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9.3717447013143246E-2</v>
      </c>
      <c r="M179" s="843"/>
      <c r="N179" s="843"/>
      <c r="O179" s="48">
        <f>IF(t&lt;Tnet,'2026'!Resal+('2026'!Salim-'2026'!Resal)*(1-EXP(('2026'!Tnet-t)/('2026'!Tau_j))),Resal+(Salim-Resal)*(1-EXP((Tnet-t)/(Tau_j))))*Salcycl</f>
        <v>2.8967883676055364E-2</v>
      </c>
      <c r="P179" s="169">
        <f>(INDEX(Models!$BJ179:$BT179,,T179)*(1-R179)+INDEX(Models!$BJ179:$BT179,,T179+1)*R179-ERP_i)*Q179*Ramure*Pc/MaxiM</f>
        <v>1.8216583944164907E-2</v>
      </c>
      <c r="Q179" s="305">
        <f t="shared" si="53"/>
        <v>0.8</v>
      </c>
      <c r="R179" s="177">
        <f t="shared" si="54"/>
        <v>0.32367504738209796</v>
      </c>
      <c r="S179" s="809">
        <f t="shared" si="55"/>
        <v>3</v>
      </c>
      <c r="T179" s="176">
        <f t="shared" si="56"/>
        <v>9</v>
      </c>
      <c r="U179" s="251">
        <f t="shared" si="57"/>
        <v>3.323675047382098</v>
      </c>
      <c r="V179" s="383">
        <f t="shared" si="58"/>
        <v>53.730562958608637</v>
      </c>
      <c r="W179" s="402">
        <f t="shared" si="59"/>
        <v>41.681687661286325</v>
      </c>
      <c r="X179" s="157">
        <f t="shared" si="60"/>
        <v>46552</v>
      </c>
      <c r="Y179" s="385">
        <f t="shared" si="61"/>
        <v>37.132893749618283</v>
      </c>
      <c r="Z179" s="385">
        <f t="shared" si="62"/>
        <v>40.972755822385118</v>
      </c>
      <c r="AA179" s="386">
        <f t="shared" si="63"/>
        <v>47.095697273478976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0.13001063378547487</v>
      </c>
      <c r="AD179" s="231">
        <f>(INDEX(Models!$BJ179:$BT179,,AH179)*(1-AF179)+INDEX(Models!$BJ179:$BT179,,AH179+1)*AF179-ERP_i)*AE179*Ramure*Pc/MaxiM</f>
        <v>2.6447172525524761E-2</v>
      </c>
      <c r="AE179" s="305">
        <f t="shared" si="65"/>
        <v>0.8</v>
      </c>
      <c r="AF179" s="177">
        <f t="shared" si="66"/>
        <v>0.52439179454700113</v>
      </c>
      <c r="AG179" s="809">
        <f t="shared" si="74"/>
        <v>4</v>
      </c>
      <c r="AH179" s="176">
        <f t="shared" si="67"/>
        <v>10</v>
      </c>
      <c r="AI179" s="225">
        <f t="shared" si="68"/>
        <v>4.5243917945470011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IF(t&gt;Tmaj,'2026'!Wh/'2026'!Env_an*'2027'!Env_an,0.001*'[8]mon-tableau'!$B$150)</f>
        <v>48.165342850164848</v>
      </c>
      <c r="C180" s="839"/>
      <c r="D180" s="393">
        <f t="shared" si="50"/>
        <v>53.147321115874057</v>
      </c>
      <c r="E180" s="385">
        <f t="shared" si="75"/>
        <v>54.746093114823516</v>
      </c>
      <c r="F180" s="385">
        <f t="shared" si="51"/>
        <v>55.618431998919689</v>
      </c>
      <c r="G180" s="110">
        <f t="shared" si="76"/>
        <v>0.89490391933545999</v>
      </c>
      <c r="H180" s="414" t="b">
        <f>Wh_hp&gt;='2026'!Maxi_hp</f>
        <v>0</v>
      </c>
      <c r="I180" s="390">
        <f>IF(H180,Wh_hp,'2026'!Maxi_hp)</f>
        <v>56.029931246616755</v>
      </c>
      <c r="J180" s="85">
        <f>IF(H180,An,'2026'!An_max)</f>
        <v>2020</v>
      </c>
      <c r="K180" s="197">
        <f t="shared" si="52"/>
        <v>46553</v>
      </c>
      <c r="L180" s="147">
        <f>IF(t&lt;Tvie,1-EXP((T0-t)*PertePVj)+'2026'!Pspv,1-EXP((T0-t)*PertePVj)+Pspv)</f>
        <v>9.3739028818541709E-2</v>
      </c>
      <c r="M180" s="843"/>
      <c r="N180" s="843"/>
      <c r="O180" s="48">
        <f>IF(t&lt;Tnet,'2026'!Resal+('2026'!Salim-'2026'!Resal)*(1-EXP(('2026'!Tnet-t)/('2026'!Tau_j))),Resal+(Salim-Resal)*(1-EXP((Tnet-t)/(Tau_j))))*Salcycl</f>
        <v>2.9203398963944745E-2</v>
      </c>
      <c r="P180" s="169">
        <f>(INDEX(Models!$BJ180:$BT180,,T180)*(1-R180)+INDEX(Models!$BJ180:$BT180,,T180+1)*R180-ERP_i)*Q180*Ramure*Pc/MaxiM</f>
        <v>1.8379252481821633E-2</v>
      </c>
      <c r="Q180" s="305">
        <f t="shared" si="53"/>
        <v>0.8</v>
      </c>
      <c r="R180" s="177">
        <f t="shared" si="54"/>
        <v>0.32979734963866569</v>
      </c>
      <c r="S180" s="809">
        <f t="shared" si="55"/>
        <v>3</v>
      </c>
      <c r="T180" s="176">
        <f t="shared" si="56"/>
        <v>9</v>
      </c>
      <c r="U180" s="251">
        <f t="shared" si="57"/>
        <v>3.3297973496386657</v>
      </c>
      <c r="V180" s="383">
        <f t="shared" si="58"/>
        <v>53.674447688352672</v>
      </c>
      <c r="W180" s="402">
        <f t="shared" si="59"/>
        <v>48.165342850164848</v>
      </c>
      <c r="X180" s="157">
        <f t="shared" si="60"/>
        <v>46553</v>
      </c>
      <c r="Y180" s="385">
        <f t="shared" si="61"/>
        <v>42.850921643970118</v>
      </c>
      <c r="Z180" s="385">
        <f t="shared" si="62"/>
        <v>47.283203190475014</v>
      </c>
      <c r="AA180" s="386">
        <f t="shared" si="63"/>
        <v>54.358371617960287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0.13015784352796178</v>
      </c>
      <c r="AD180" s="231">
        <f>(INDEX(Models!$BJ180:$BT180,,AH180)*(1-AF180)+INDEX(Models!$BJ180:$BT180,,AH180+1)*AF180-ERP_i)*AE180*Ramure*Pc/MaxiM</f>
        <v>2.6548132046169359E-2</v>
      </c>
      <c r="AE180" s="305">
        <f t="shared" si="65"/>
        <v>0.8</v>
      </c>
      <c r="AF180" s="177">
        <f t="shared" si="66"/>
        <v>0.53051409680356976</v>
      </c>
      <c r="AG180" s="809">
        <f t="shared" si="74"/>
        <v>4</v>
      </c>
      <c r="AH180" s="176">
        <f t="shared" si="67"/>
        <v>10</v>
      </c>
      <c r="AI180" s="225">
        <f t="shared" si="68"/>
        <v>4.5305140968035698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IF(t&gt;Tmaj,'2026'!Wh/'2026'!Env_an*'2027'!Env_an,0.001*'[8]mon-tableau'!$B$151)</f>
        <v>46.247731302087722</v>
      </c>
      <c r="C181" s="839"/>
      <c r="D181" s="393">
        <f t="shared" si="50"/>
        <v>51.032576842966833</v>
      </c>
      <c r="E181" s="385">
        <f t="shared" si="75"/>
        <v>52.580460839855007</v>
      </c>
      <c r="F181" s="385">
        <f t="shared" si="51"/>
        <v>53.375610055770757</v>
      </c>
      <c r="G181" s="110">
        <f t="shared" si="76"/>
        <v>0.85939378931383559</v>
      </c>
      <c r="H181" s="414" t="b">
        <f>Wh_hp&gt;='2026'!Maxi_hp</f>
        <v>0</v>
      </c>
      <c r="I181" s="390">
        <f>IF(H181,Wh_hp,'2026'!Maxi_hp)</f>
        <v>64.737412852018437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9.3760610121700033E-2</v>
      </c>
      <c r="M181" s="843"/>
      <c r="N181" s="843"/>
      <c r="O181" s="48">
        <f>IF(t&lt;Tnet,'2026'!Resal+('2026'!Salim-'2026'!Resal)*(1-EXP(('2026'!Tnet-t)/('2026'!Tau_j))),Resal+(Salim-Resal)*(1-EXP((Tnet-t)/(Tau_j))))*Salcycl</f>
        <v>2.9438387799654055E-2</v>
      </c>
      <c r="P181" s="169">
        <f>(INDEX(Models!$BJ181:$BT181,,T181)*(1-R181)+INDEX(Models!$BJ181:$BT181,,T181+1)*R181-ERP_i)*Q181*Ramure*Pc/MaxiM</f>
        <v>1.8536146479703162E-2</v>
      </c>
      <c r="Q181" s="305">
        <f t="shared" si="53"/>
        <v>0.8</v>
      </c>
      <c r="R181" s="177">
        <f t="shared" si="54"/>
        <v>0.33589395068299233</v>
      </c>
      <c r="S181" s="809">
        <f t="shared" si="55"/>
        <v>3</v>
      </c>
      <c r="T181" s="176">
        <f t="shared" si="56"/>
        <v>9</v>
      </c>
      <c r="U181" s="251">
        <f t="shared" si="57"/>
        <v>3.3358939506829923</v>
      </c>
      <c r="V181" s="383">
        <f t="shared" si="58"/>
        <v>53.615578409515791</v>
      </c>
      <c r="W181" s="402">
        <f t="shared" si="59"/>
        <v>46.247731302087722</v>
      </c>
      <c r="X181" s="157">
        <f t="shared" si="60"/>
        <v>46554</v>
      </c>
      <c r="Y181" s="385">
        <f t="shared" si="61"/>
        <v>41.167029996259814</v>
      </c>
      <c r="Z181" s="385">
        <f t="shared" si="62"/>
        <v>45.426220109223223</v>
      </c>
      <c r="AA181" s="386">
        <f t="shared" si="63"/>
        <v>52.232239834977328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0.13030304170866611</v>
      </c>
      <c r="AD181" s="231">
        <f>(INDEX(Models!$BJ181:$BT181,,AH181)*(1-AF181)+INDEX(Models!$BJ181:$BT181,,AH181+1)*AF181-ERP_i)*AE181*Ramure*Pc/MaxiM</f>
        <v>2.6653711616566867E-2</v>
      </c>
      <c r="AE181" s="305">
        <f t="shared" si="65"/>
        <v>0.8</v>
      </c>
      <c r="AF181" s="177">
        <f t="shared" si="66"/>
        <v>0.5366106978478955</v>
      </c>
      <c r="AG181" s="809">
        <f t="shared" si="74"/>
        <v>4</v>
      </c>
      <c r="AH181" s="176">
        <f t="shared" si="67"/>
        <v>10</v>
      </c>
      <c r="AI181" s="225">
        <f t="shared" si="68"/>
        <v>4.5366106978478955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IF(t&gt;Tmaj,'2026'!Wh/'2026'!Env_an*'2027'!Env_an,0.001*'[8]mon-tableau'!$B$152)</f>
        <v>46.640010518621231</v>
      </c>
      <c r="C182" s="839"/>
      <c r="D182" s="393">
        <f t="shared" si="50"/>
        <v>51.466667341382227</v>
      </c>
      <c r="E182" s="385">
        <f t="shared" si="75"/>
        <v>53.040529930688528</v>
      </c>
      <c r="F182" s="385">
        <f t="shared" si="51"/>
        <v>53.861416560492039</v>
      </c>
      <c r="G182" s="110">
        <f t="shared" si="76"/>
        <v>0.86784947831463011</v>
      </c>
      <c r="H182" s="414" t="b">
        <f>Wh_hp&gt;='2026'!Maxi_hp</f>
        <v>0</v>
      </c>
      <c r="I182" s="390">
        <f>IF(H182,Wh_hp,'2026'!Maxi_hp)</f>
        <v>61.823807905736835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9.3782190922629988E-2</v>
      </c>
      <c r="M182" s="843"/>
      <c r="N182" s="843"/>
      <c r="O182" s="48">
        <f>IF(t&lt;Tnet,'2026'!Resal+('2026'!Salim-'2026'!Resal)*(1-EXP(('2026'!Tnet-t)/('2026'!Tau_j))),Resal+(Salim-Resal)*(1-EXP((Tnet-t)/(Tau_j))))*Salcycl</f>
        <v>2.9672829275329087E-2</v>
      </c>
      <c r="P182" s="169">
        <f>(INDEX(Models!$BJ182:$BT182,,T182)*(1-R182)+INDEX(Models!$BJ182:$BT182,,T182+1)*R182-ERP_i)*Q182*Ramure*Pc/MaxiM</f>
        <v>1.8687246116806805E-2</v>
      </c>
      <c r="Q182" s="305">
        <f t="shared" si="53"/>
        <v>0.8</v>
      </c>
      <c r="R182" s="177">
        <f t="shared" si="54"/>
        <v>0.3419598997185842</v>
      </c>
      <c r="S182" s="809">
        <f t="shared" si="55"/>
        <v>3</v>
      </c>
      <c r="T182" s="176">
        <f t="shared" si="56"/>
        <v>9</v>
      </c>
      <c r="U182" s="251">
        <f t="shared" si="57"/>
        <v>3.3419598997185842</v>
      </c>
      <c r="V182" s="383">
        <f t="shared" si="58"/>
        <v>53.553960384979021</v>
      </c>
      <c r="W182" s="402">
        <f t="shared" si="59"/>
        <v>46.640010518621231</v>
      </c>
      <c r="X182" s="157">
        <f t="shared" si="60"/>
        <v>46555</v>
      </c>
      <c r="Y182" s="385">
        <f t="shared" si="61"/>
        <v>41.516623709415349</v>
      </c>
      <c r="Z182" s="385">
        <f t="shared" si="62"/>
        <v>45.813074178804612</v>
      </c>
      <c r="AA182" s="386">
        <f t="shared" si="63"/>
        <v>52.685725684016163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0.13044617713781592</v>
      </c>
      <c r="AD182" s="231">
        <f>(INDEX(Models!$BJ182:$BT182,,AH182)*(1-AF182)+INDEX(Models!$BJ182:$BT182,,AH182+1)*AF182-ERP_i)*AE182*Ramure*Pc/MaxiM</f>
        <v>2.6764261919149268E-2</v>
      </c>
      <c r="AE182" s="305">
        <f t="shared" si="65"/>
        <v>0.8</v>
      </c>
      <c r="AF182" s="177">
        <f t="shared" si="66"/>
        <v>0.54267664688348738</v>
      </c>
      <c r="AG182" s="809">
        <f t="shared" si="74"/>
        <v>4</v>
      </c>
      <c r="AH182" s="176">
        <f t="shared" si="67"/>
        <v>10</v>
      </c>
      <c r="AI182" s="225">
        <f t="shared" si="68"/>
        <v>4.5426766468834874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IF(t&gt;Tmaj,'2026'!Wh/'2026'!Env_an*'2027'!Env_an,0.001*'[8]mon-tableau'!$B$153)</f>
        <v>48.189800205537914</v>
      </c>
      <c r="C183" s="839"/>
      <c r="D183" s="393">
        <f t="shared" si="50"/>
        <v>53.178107208067537</v>
      </c>
      <c r="E183" s="385">
        <f t="shared" si="75"/>
        <v>54.81751848589348</v>
      </c>
      <c r="F183" s="385">
        <f t="shared" si="51"/>
        <v>55.718311230122126</v>
      </c>
      <c r="G183" s="110">
        <f t="shared" si="76"/>
        <v>0.89847810786389493</v>
      </c>
      <c r="H183" s="414" t="b">
        <f>Wh_hp&gt;='2026'!Maxi_hp</f>
        <v>0</v>
      </c>
      <c r="I183" s="390">
        <f>IF(H183,Wh_hp,'2026'!Maxi_hp)</f>
        <v>61.050936871155521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9.3803771221343119E-2</v>
      </c>
      <c r="M183" s="843"/>
      <c r="N183" s="843"/>
      <c r="O183" s="48">
        <f>IF(t&lt;Tnet,'2026'!Resal+('2026'!Salim-'2026'!Resal)*(1-EXP(('2026'!Tnet-t)/('2026'!Tau_j))),Resal+(Salim-Resal)*(1-EXP((Tnet-t)/(Tau_j))))*Salcycl</f>
        <v>2.9906703606946857E-2</v>
      </c>
      <c r="P183" s="169">
        <f>(INDEX(Models!$BJ183:$BT183,,T183)*(1-R183)+INDEX(Models!$BJ183:$BT183,,T183+1)*R183-ERP_i)*Q183*Ramure*Pc/MaxiM</f>
        <v>1.8832543135896957E-2</v>
      </c>
      <c r="Q183" s="305">
        <f t="shared" si="53"/>
        <v>0.8</v>
      </c>
      <c r="R183" s="177">
        <f t="shared" si="54"/>
        <v>0.34799034705731025</v>
      </c>
      <c r="S183" s="809">
        <f t="shared" si="55"/>
        <v>3</v>
      </c>
      <c r="T183" s="176">
        <f t="shared" si="56"/>
        <v>9</v>
      </c>
      <c r="U183" s="251">
        <f t="shared" si="57"/>
        <v>3.3479903470573102</v>
      </c>
      <c r="V183" s="383">
        <f t="shared" si="58"/>
        <v>53.489598056768912</v>
      </c>
      <c r="W183" s="402">
        <f t="shared" si="59"/>
        <v>48.189800205537914</v>
      </c>
      <c r="X183" s="157">
        <f t="shared" si="60"/>
        <v>46556</v>
      </c>
      <c r="Y183" s="385">
        <f t="shared" si="61"/>
        <v>42.885182249543796</v>
      </c>
      <c r="Z183" s="385">
        <f t="shared" si="62"/>
        <v>47.324388347260182</v>
      </c>
      <c r="AA183" s="386">
        <f t="shared" si="63"/>
        <v>54.432587837724924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0.13058720470273788</v>
      </c>
      <c r="AD183" s="231">
        <f>(INDEX(Models!$BJ183:$BT183,,AH183)*(1-AF183)+INDEX(Models!$BJ183:$BT183,,AH183+1)*AF183-ERP_i)*AE183*Ramure*Pc/MaxiM</f>
        <v>2.6880146852077451E-2</v>
      </c>
      <c r="AE183" s="305">
        <f t="shared" si="65"/>
        <v>0.8</v>
      </c>
      <c r="AF183" s="177">
        <f t="shared" si="66"/>
        <v>0.54870709422221431</v>
      </c>
      <c r="AG183" s="809">
        <f t="shared" si="74"/>
        <v>4</v>
      </c>
      <c r="AH183" s="176">
        <f t="shared" si="67"/>
        <v>10</v>
      </c>
      <c r="AI183" s="225">
        <f t="shared" si="68"/>
        <v>4.5487070942222143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IF(t&gt;Tmaj,'2026'!Wh/'2026'!Env_an*'2027'!Env_an,0.001*'[8]mon-tableau'!$B$154)</f>
        <v>49.32249000634382</v>
      </c>
      <c r="C184" s="839"/>
      <c r="D184" s="393">
        <f t="shared" si="50"/>
        <v>54.429342138124021</v>
      </c>
      <c r="E184" s="385">
        <f t="shared" si="75"/>
        <v>56.120823315812295</v>
      </c>
      <c r="F184" s="385">
        <f t="shared" si="51"/>
        <v>57.084981403934002</v>
      </c>
      <c r="G184" s="110">
        <f t="shared" si="76"/>
        <v>0.92129781501683838</v>
      </c>
      <c r="H184" s="414" t="b">
        <f>Wh_hp&gt;='2026'!Maxi_hp</f>
        <v>0</v>
      </c>
      <c r="I184" s="390">
        <f>IF(H184,Wh_hp,'2026'!Maxi_hp)</f>
        <v>57.196487657929183</v>
      </c>
      <c r="J184" s="85">
        <f>IF(H184,An,'2026'!An_max)</f>
        <v>2022</v>
      </c>
      <c r="K184" s="197">
        <f t="shared" si="52"/>
        <v>46557</v>
      </c>
      <c r="L184" s="147">
        <f>IF(t&lt;Tvie,1-EXP((T0-t)*PertePVj)+'2026'!Pspv,1-EXP((T0-t)*PertePVj)+Pspv)</f>
        <v>9.3825351017851194E-2</v>
      </c>
      <c r="M184" s="843"/>
      <c r="N184" s="843"/>
      <c r="O184" s="48">
        <f>IF(t&lt;Tnet,'2026'!Resal+('2026'!Salim-'2026'!Resal)*(1-EXP(('2026'!Tnet-t)/('2026'!Tau_j))),Resal+(Salim-Resal)*(1-EXP((Tnet-t)/(Tau_j))))*Salcycl</f>
        <v>3.0139992212332555E-2</v>
      </c>
      <c r="P184" s="169">
        <f>(INDEX(Models!$BJ184:$BT184,,T184)*(1-R184)+INDEX(Models!$BJ184:$BT184,,T184+1)*R184-ERP_i)*Q184*Ramure*Pc/MaxiM</f>
        <v>1.8969741344835259E-2</v>
      </c>
      <c r="Q184" s="305">
        <f t="shared" si="53"/>
        <v>0.8</v>
      </c>
      <c r="R184" s="177">
        <f t="shared" si="54"/>
        <v>0.35398055915460525</v>
      </c>
      <c r="S184" s="809">
        <f t="shared" si="55"/>
        <v>3</v>
      </c>
      <c r="T184" s="176">
        <f t="shared" si="56"/>
        <v>9</v>
      </c>
      <c r="U184" s="251">
        <f t="shared" si="57"/>
        <v>3.3539805591546052</v>
      </c>
      <c r="V184" s="383">
        <f t="shared" si="58"/>
        <v>53.422620262308634</v>
      </c>
      <c r="W184" s="402">
        <f t="shared" si="59"/>
        <v>49.32249000634382</v>
      </c>
      <c r="X184" s="157">
        <f t="shared" si="60"/>
        <v>46557</v>
      </c>
      <c r="Y184" s="385">
        <f t="shared" si="61"/>
        <v>43.885405074239095</v>
      </c>
      <c r="Z184" s="385">
        <f t="shared" si="62"/>
        <v>48.429301264974598</v>
      </c>
      <c r="AA184" s="386">
        <f t="shared" si="63"/>
        <v>55.712360001709207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0.13072608549541201</v>
      </c>
      <c r="AD184" s="231">
        <f>(INDEX(Models!$BJ184:$BT184,,AH184)*(1-AF184)+INDEX(Models!$BJ184:$BT184,,AH184+1)*AF184-ERP_i)*AE184*Ramure*Pc/MaxiM</f>
        <v>2.7006227801620177E-2</v>
      </c>
      <c r="AE184" s="305">
        <f t="shared" si="65"/>
        <v>0.8</v>
      </c>
      <c r="AF184" s="177">
        <f t="shared" si="66"/>
        <v>0.55469730631950931</v>
      </c>
      <c r="AG184" s="809">
        <f t="shared" si="74"/>
        <v>4</v>
      </c>
      <c r="AH184" s="176">
        <f t="shared" si="67"/>
        <v>10</v>
      </c>
      <c r="AI184" s="225">
        <f t="shared" si="68"/>
        <v>4.5546973063195093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IF(t&gt;Tmaj,'2026'!Wh/'2026'!Env_an*'2027'!Env_an,0.001*'[8]mon-tableau'!$B$155)</f>
        <v>29.918968597733844</v>
      </c>
      <c r="C185" s="839"/>
      <c r="D185" s="393">
        <f t="shared" si="50"/>
        <v>33.017565793868357</v>
      </c>
      <c r="E185" s="385">
        <f t="shared" si="75"/>
        <v>34.051810460893158</v>
      </c>
      <c r="F185" s="385">
        <f t="shared" si="51"/>
        <v>34.295852652510249</v>
      </c>
      <c r="G185" s="110">
        <f t="shared" si="76"/>
        <v>0.55400562326197378</v>
      </c>
      <c r="H185" s="414" t="b">
        <f>Wh_hp&gt;='2026'!Maxi_hp</f>
        <v>0</v>
      </c>
      <c r="I185" s="390">
        <f>IF(H185,Wh_hp,'2026'!Maxi_hp)</f>
        <v>54.149543241445002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9.3846930312165872E-2</v>
      </c>
      <c r="M185" s="843"/>
      <c r="N185" s="843"/>
      <c r="O185" s="48">
        <f>IF(t&lt;Tnet,'2026'!Resal+('2026'!Salim-'2026'!Resal)*(1-EXP(('2026'!Tnet-t)/('2026'!Tau_j))),Resal+(Salim-Resal)*(1-EXP((Tnet-t)/(Tau_j))))*Salcycl</f>
        <v>3.0372677782069254E-2</v>
      </c>
      <c r="P185" s="169">
        <f>(INDEX(Models!$BJ185:$BT185,,T185)*(1-R185)+INDEX(Models!$BJ185:$BT185,,T185+1)*R185-ERP_i)*Q185*Ramure*Pc/MaxiM</f>
        <v>1.9100984704212915E-2</v>
      </c>
      <c r="Q185" s="305">
        <f t="shared" si="53"/>
        <v>0.8</v>
      </c>
      <c r="R185" s="177">
        <f t="shared" si="54"/>
        <v>0.35992593284710406</v>
      </c>
      <c r="S185" s="809">
        <f t="shared" si="55"/>
        <v>3</v>
      </c>
      <c r="T185" s="176">
        <f t="shared" si="56"/>
        <v>9</v>
      </c>
      <c r="U185" s="251">
        <f t="shared" si="57"/>
        <v>3.3599259328471041</v>
      </c>
      <c r="V185" s="383">
        <f t="shared" si="58"/>
        <v>53.352913553323809</v>
      </c>
      <c r="W185" s="402">
        <f t="shared" si="59"/>
        <v>29.918968597733844</v>
      </c>
      <c r="X185" s="157">
        <f t="shared" si="60"/>
        <v>46558</v>
      </c>
      <c r="Y185" s="385">
        <f t="shared" si="61"/>
        <v>26.737352764568524</v>
      </c>
      <c r="Z185" s="385">
        <f t="shared" si="62"/>
        <v>29.506441746954991</v>
      </c>
      <c r="AA185" s="386">
        <f t="shared" si="63"/>
        <v>33.949117932616517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0.1308627869059667</v>
      </c>
      <c r="AD185" s="231">
        <f>(INDEX(Models!$BJ185:$BT185,,AH185)*(1-AF185)+INDEX(Models!$BJ185:$BT185,,AH185+1)*AF185-ERP_i)*AE185*Ramure*Pc/MaxiM</f>
        <v>2.7138645728528116E-2</v>
      </c>
      <c r="AE185" s="305">
        <f t="shared" si="65"/>
        <v>0.8</v>
      </c>
      <c r="AF185" s="177">
        <f t="shared" si="66"/>
        <v>0.56064268001200812</v>
      </c>
      <c r="AG185" s="809">
        <f t="shared" si="74"/>
        <v>4</v>
      </c>
      <c r="AH185" s="176">
        <f t="shared" si="67"/>
        <v>10</v>
      </c>
      <c r="AI185" s="225">
        <f t="shared" si="68"/>
        <v>4.5606426800120081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IF(t&gt;Tmaj,'2026'!Wh/'2026'!Env_an*'2027'!Env_an,0.001*'[8]mon-tableau'!$B$156)</f>
        <v>21.671386995033398</v>
      </c>
      <c r="C186" s="839"/>
      <c r="D186" s="393">
        <f t="shared" si="50"/>
        <v>23.916382128615204</v>
      </c>
      <c r="E186" s="385">
        <f t="shared" si="75"/>
        <v>24.671445407889937</v>
      </c>
      <c r="F186" s="385">
        <f t="shared" si="51"/>
        <v>24.743989335567807</v>
      </c>
      <c r="G186" s="110">
        <f t="shared" si="76"/>
        <v>0.40009444140760814</v>
      </c>
      <c r="H186" s="414" t="b">
        <f>Wh_hp&gt;='2026'!Maxi_hp</f>
        <v>0</v>
      </c>
      <c r="I186" s="390">
        <f>IF(H186,Wh_hp,'2026'!Maxi_hp)</f>
        <v>52.018835844669908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9.3868509104298808E-2</v>
      </c>
      <c r="M186" s="843"/>
      <c r="N186" s="843"/>
      <c r="O186" s="48">
        <f>IF(t&lt;Tnet,'2026'!Resal+('2026'!Salim-'2026'!Resal)*(1-EXP(('2026'!Tnet-t)/('2026'!Tau_j))),Resal+(Salim-Resal)*(1-EXP((Tnet-t)/(Tau_j))))*Salcycl</f>
        <v>3.0604744342755955E-2</v>
      </c>
      <c r="P186" s="169">
        <f>(INDEX(Models!$BJ186:$BT186,,T186)*(1-R186)+INDEX(Models!$BJ186:$BT186,,T186+1)*R186-ERP_i)*Q186*Ramure*Pc/MaxiM</f>
        <v>1.9226300405978173E-2</v>
      </c>
      <c r="Q186" s="305">
        <f t="shared" si="53"/>
        <v>0.8</v>
      </c>
      <c r="R186" s="177">
        <f t="shared" si="54"/>
        <v>0.36582200870665593</v>
      </c>
      <c r="S186" s="809">
        <f t="shared" si="55"/>
        <v>3</v>
      </c>
      <c r="T186" s="176">
        <f t="shared" si="56"/>
        <v>9</v>
      </c>
      <c r="U186" s="251">
        <f t="shared" si="57"/>
        <v>3.3658220087066559</v>
      </c>
      <c r="V186" s="383">
        <f t="shared" si="58"/>
        <v>53.280479801787806</v>
      </c>
      <c r="W186" s="402">
        <f t="shared" si="59"/>
        <v>21.671386995033398</v>
      </c>
      <c r="X186" s="157">
        <f t="shared" si="60"/>
        <v>46559</v>
      </c>
      <c r="Y186" s="385">
        <f t="shared" si="61"/>
        <v>19.403132365447689</v>
      </c>
      <c r="Z186" s="385">
        <f t="shared" si="62"/>
        <v>21.413153124463097</v>
      </c>
      <c r="AA186" s="386">
        <f t="shared" si="63"/>
        <v>24.64106578462167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0.13099728268138036</v>
      </c>
      <c r="AD186" s="231">
        <f>(INDEX(Models!$BJ186:$BT186,,AH186)*(1-AF186)+INDEX(Models!$BJ186:$BT186,,AH186+1)*AF186-ERP_i)*AE186*Ramure*Pc/MaxiM</f>
        <v>2.7277804947746953E-2</v>
      </c>
      <c r="AE186" s="305">
        <f t="shared" si="65"/>
        <v>0.8</v>
      </c>
      <c r="AF186" s="177">
        <f t="shared" si="66"/>
        <v>0.56653875587155955</v>
      </c>
      <c r="AG186" s="809">
        <f t="shared" si="74"/>
        <v>4</v>
      </c>
      <c r="AH186" s="176">
        <f t="shared" si="67"/>
        <v>10</v>
      </c>
      <c r="AI186" s="225">
        <f t="shared" si="68"/>
        <v>4.5665387558715596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IF(t&gt;Tmaj,'2026'!Wh/'2026'!Env_an*'2027'!Env_an,0.001*'[8]mon-tableau'!$B$157)</f>
        <v>37.972173060929471</v>
      </c>
      <c r="C187" s="839"/>
      <c r="D187" s="393">
        <f t="shared" si="50"/>
        <v>41.90680681522543</v>
      </c>
      <c r="E187" s="385">
        <f t="shared" si="75"/>
        <v>43.240168312310047</v>
      </c>
      <c r="F187" s="385">
        <f t="shared" si="51"/>
        <v>43.740254293841211</v>
      </c>
      <c r="G187" s="110">
        <f t="shared" si="76"/>
        <v>0.70797878539393178</v>
      </c>
      <c r="H187" s="414" t="b">
        <f>Wh_hp&gt;='2026'!Maxi_hp</f>
        <v>0</v>
      </c>
      <c r="I187" s="390">
        <f>IF(H187,Wh_hp,'2026'!Maxi_hp)</f>
        <v>63.102397192098245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9.3890087394261773E-2</v>
      </c>
      <c r="M187" s="843"/>
      <c r="N187" s="843"/>
      <c r="O187" s="48">
        <f>IF(t&lt;Tnet,'2026'!Resal+('2026'!Salim-'2026'!Resal)*(1-EXP(('2026'!Tnet-t)/('2026'!Tau_j))),Resal+(Salim-Resal)*(1-EXP((Tnet-t)/(Tau_j))))*Salcycl</f>
        <v>3.083617731212733E-2</v>
      </c>
      <c r="P187" s="169">
        <f>(INDEX(Models!$BJ187:$BT187,,T187)*(1-R187)+INDEX(Models!$BJ187:$BT187,,T187+1)*R187-ERP_i)*Q187*Ramure*Pc/MaxiM</f>
        <v>1.9345726733777824E-2</v>
      </c>
      <c r="Q187" s="305">
        <f t="shared" si="53"/>
        <v>0.8</v>
      </c>
      <c r="R187" s="177">
        <f t="shared" si="54"/>
        <v>0.37166448343476111</v>
      </c>
      <c r="S187" s="809">
        <f t="shared" si="55"/>
        <v>3</v>
      </c>
      <c r="T187" s="176">
        <f t="shared" si="56"/>
        <v>9</v>
      </c>
      <c r="U187" s="251">
        <f t="shared" si="57"/>
        <v>3.3716644834347611</v>
      </c>
      <c r="V187" s="383">
        <f t="shared" si="58"/>
        <v>53.205320081922892</v>
      </c>
      <c r="W187" s="402">
        <f t="shared" si="59"/>
        <v>37.972173060929471</v>
      </c>
      <c r="X187" s="157">
        <f t="shared" si="60"/>
        <v>46560</v>
      </c>
      <c r="Y187" s="385">
        <f t="shared" si="61"/>
        <v>33.878236919065301</v>
      </c>
      <c r="Z187" s="385">
        <f t="shared" si="62"/>
        <v>37.388661626755891</v>
      </c>
      <c r="AA187" s="386">
        <f t="shared" si="63"/>
        <v>43.031342306153981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0.13112955294892392</v>
      </c>
      <c r="AD187" s="231">
        <f>(INDEX(Models!$BJ187:$BT187,,AH187)*(1-AF187)+INDEX(Models!$BJ187:$BT187,,AH187+1)*AF187-ERP_i)*AE187*Ramure*Pc/MaxiM</f>
        <v>2.7424119248665248E-2</v>
      </c>
      <c r="AE187" s="305">
        <f t="shared" si="65"/>
        <v>0.8</v>
      </c>
      <c r="AF187" s="177">
        <f t="shared" si="66"/>
        <v>0.57238123059966473</v>
      </c>
      <c r="AG187" s="809">
        <f t="shared" si="74"/>
        <v>4</v>
      </c>
      <c r="AH187" s="176">
        <f t="shared" si="67"/>
        <v>10</v>
      </c>
      <c r="AI187" s="225">
        <f t="shared" si="68"/>
        <v>4.5723812305996647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IF(t&gt;Tmaj,'2026'!Wh/'2026'!Env_an*'2027'!Env_an,0.001*'[8]mon-tableau'!$B$158)</f>
        <v>37.461349020249031</v>
      </c>
      <c r="C188" s="839"/>
      <c r="D188" s="393">
        <f t="shared" si="50"/>
        <v>41.344036316035776</v>
      </c>
      <c r="E188" s="385">
        <f t="shared" si="75"/>
        <v>42.66965286613177</v>
      </c>
      <c r="F188" s="385">
        <f t="shared" si="51"/>
        <v>43.155667170982603</v>
      </c>
      <c r="G188" s="110">
        <f t="shared" si="76"/>
        <v>0.6992764641477458</v>
      </c>
      <c r="H188" s="414" t="b">
        <f>Wh_hp&gt;='2026'!Maxi_hp</f>
        <v>0</v>
      </c>
      <c r="I188" s="390">
        <f>IF(H188,Wh_hp,'2026'!Maxi_hp)</f>
        <v>54.439058781268628</v>
      </c>
      <c r="J188" s="85">
        <f>IF(H188,An,'2026'!An_max)</f>
        <v>2020</v>
      </c>
      <c r="K188" s="197">
        <f t="shared" si="52"/>
        <v>46561</v>
      </c>
      <c r="L188" s="147">
        <f>IF(t&lt;Tvie,1-EXP((T0-t)*PertePVj)+'2026'!Pspv,1-EXP((T0-t)*PertePVj)+Pspv)</f>
        <v>9.3911665182066423E-2</v>
      </c>
      <c r="M188" s="843"/>
      <c r="N188" s="843"/>
      <c r="O188" s="48">
        <f>IF(t&lt;Tnet,'2026'!Resal+('2026'!Salim-'2026'!Resal)*(1-EXP(('2026'!Tnet-t)/('2026'!Tau_j))),Resal+(Salim-Resal)*(1-EXP((Tnet-t)/(Tau_j))))*Salcycl</f>
        <v>3.1066963545611007E-2</v>
      </c>
      <c r="P188" s="169">
        <f>(INDEX(Models!$BJ188:$BT188,,T188)*(1-R188)+INDEX(Models!$BJ188:$BT188,,T188+1)*R188-ERP_i)*Q188*Ramure*Pc/MaxiM</f>
        <v>1.9459113776113066E-2</v>
      </c>
      <c r="Q188" s="305">
        <f t="shared" si="53"/>
        <v>0.8</v>
      </c>
      <c r="R188" s="177">
        <f t="shared" si="54"/>
        <v>0.37744922123222757</v>
      </c>
      <c r="S188" s="809">
        <f t="shared" si="55"/>
        <v>3</v>
      </c>
      <c r="T188" s="176">
        <f t="shared" si="56"/>
        <v>9</v>
      </c>
      <c r="U188" s="251">
        <f t="shared" si="57"/>
        <v>3.3774492212322276</v>
      </c>
      <c r="V188" s="383">
        <f t="shared" si="58"/>
        <v>53.127445467676814</v>
      </c>
      <c r="W188" s="402">
        <f t="shared" si="59"/>
        <v>37.461349020249031</v>
      </c>
      <c r="X188" s="157">
        <f t="shared" si="60"/>
        <v>46561</v>
      </c>
      <c r="Y188" s="385">
        <f t="shared" si="61"/>
        <v>33.428041262011533</v>
      </c>
      <c r="Z188" s="385">
        <f t="shared" si="62"/>
        <v>36.892695753255069</v>
      </c>
      <c r="AA188" s="386">
        <f t="shared" si="63"/>
        <v>42.46688088001271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0.13125958420415013</v>
      </c>
      <c r="AD188" s="231">
        <f>(INDEX(Models!$BJ188:$BT188,,AH188)*(1-AF188)+INDEX(Models!$BJ188:$BT188,,AH188+1)*AF188-ERP_i)*AE188*Ramure*Pc/MaxiM</f>
        <v>2.7577729029032539E-2</v>
      </c>
      <c r="AE188" s="305">
        <f t="shared" si="65"/>
        <v>0.8</v>
      </c>
      <c r="AF188" s="177">
        <f t="shared" si="66"/>
        <v>0.57816596839713164</v>
      </c>
      <c r="AG188" s="809">
        <f t="shared" si="74"/>
        <v>4</v>
      </c>
      <c r="AH188" s="176">
        <f t="shared" si="67"/>
        <v>10</v>
      </c>
      <c r="AI188" s="225">
        <f t="shared" si="68"/>
        <v>4.5781659683971316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IF(t&gt;Tmaj,'2026'!Wh/'2026'!Env_an*'2027'!Env_an,0.001*'[8]mon-tableau'!$B$159)</f>
        <v>36.59950239318232</v>
      </c>
      <c r="C189" s="839"/>
      <c r="D189" s="393">
        <f t="shared" si="50"/>
        <v>40.393825387505828</v>
      </c>
      <c r="E189" s="385">
        <f t="shared" si="75"/>
        <v>41.69887901420536</v>
      </c>
      <c r="F189" s="385">
        <f t="shared" si="51"/>
        <v>42.158394294824731</v>
      </c>
      <c r="G189" s="110">
        <f t="shared" si="76"/>
        <v>0.6839011755323281</v>
      </c>
      <c r="H189" s="414" t="b">
        <f>Wh_hp&gt;='2026'!Maxi_hp</f>
        <v>0</v>
      </c>
      <c r="I189" s="390">
        <f>IF(H189,Wh_hp,'2026'!Maxi_hp)</f>
        <v>61.680272578542535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9.3933242467724415E-2</v>
      </c>
      <c r="M189" s="843"/>
      <c r="N189" s="843"/>
      <c r="O189" s="48">
        <f>IF(t&lt;Tnet,'2026'!Resal+('2026'!Salim-'2026'!Resal)*(1-EXP(('2026'!Tnet-t)/('2026'!Tau_j))),Resal+(Salim-Resal)*(1-EXP((Tnet-t)/(Tau_j))))*Salcycl</f>
        <v>3.1297091373965871E-2</v>
      </c>
      <c r="P189" s="169">
        <f>(INDEX(Models!$BJ189:$BT189,,T189)*(1-R189)+INDEX(Models!$BJ189:$BT189,,T189+1)*R189-ERP_i)*Q189*Ramure*Pc/MaxiM</f>
        <v>1.9566307059276207E-2</v>
      </c>
      <c r="Q189" s="305">
        <f t="shared" si="53"/>
        <v>0.8</v>
      </c>
      <c r="R189" s="177">
        <f t="shared" si="54"/>
        <v>0.38317226409007832</v>
      </c>
      <c r="S189" s="809">
        <f t="shared" si="55"/>
        <v>3</v>
      </c>
      <c r="T189" s="176">
        <f t="shared" si="56"/>
        <v>9</v>
      </c>
      <c r="U189" s="251">
        <f t="shared" si="57"/>
        <v>3.3831722640900783</v>
      </c>
      <c r="V189" s="383">
        <f t="shared" si="58"/>
        <v>53.046867028029041</v>
      </c>
      <c r="W189" s="402">
        <f t="shared" si="59"/>
        <v>36.59950239318232</v>
      </c>
      <c r="X189" s="157">
        <f t="shared" si="60"/>
        <v>46562</v>
      </c>
      <c r="Y189" s="385">
        <f t="shared" si="61"/>
        <v>32.666841515774038</v>
      </c>
      <c r="Z189" s="385">
        <f t="shared" si="62"/>
        <v>36.053459907020581</v>
      </c>
      <c r="AA189" s="386">
        <f t="shared" si="63"/>
        <v>41.506948703303152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0.13138736926351266</v>
      </c>
      <c r="AD189" s="231">
        <f>(INDEX(Models!$BJ189:$BT189,,AH189)*(1-AF189)+INDEX(Models!$BJ189:$BT189,,AH189+1)*AF189-ERP_i)*AE189*Ramure*Pc/MaxiM</f>
        <v>2.773876085022137E-2</v>
      </c>
      <c r="AE189" s="305">
        <f t="shared" si="65"/>
        <v>0.8</v>
      </c>
      <c r="AF189" s="177">
        <f t="shared" si="66"/>
        <v>0.58388901125498194</v>
      </c>
      <c r="AG189" s="809">
        <f t="shared" si="74"/>
        <v>4</v>
      </c>
      <c r="AH189" s="176">
        <f t="shared" si="67"/>
        <v>10</v>
      </c>
      <c r="AI189" s="225">
        <f t="shared" si="68"/>
        <v>4.5838890112549819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IF(t&gt;Tmaj,'2026'!Wh/'2026'!Env_an*'2027'!Env_an,0.001*'[8]mon-tableau'!$B$160)</f>
        <v>29.698128115195118</v>
      </c>
      <c r="C190" s="839"/>
      <c r="D190" s="393">
        <f t="shared" si="50"/>
        <v>32.777756282145539</v>
      </c>
      <c r="E190" s="385">
        <f t="shared" si="75"/>
        <v>33.844764978870415</v>
      </c>
      <c r="F190" s="385">
        <f t="shared" si="51"/>
        <v>34.09452275867303</v>
      </c>
      <c r="G190" s="110">
        <f t="shared" si="76"/>
        <v>0.55375579439438138</v>
      </c>
      <c r="H190" s="414" t="b">
        <f>Wh_hp&gt;='2026'!Maxi_hp</f>
        <v>0</v>
      </c>
      <c r="I190" s="390">
        <f>IF(H190,Wh_hp,'2026'!Maxi_hp)</f>
        <v>58.487024218685626</v>
      </c>
      <c r="J190" s="85">
        <f>IF(H190,An,'2026'!An_max)</f>
        <v>2021</v>
      </c>
      <c r="K190" s="197">
        <f t="shared" si="52"/>
        <v>46563</v>
      </c>
      <c r="L190" s="147">
        <f>IF(t&lt;Tvie,1-EXP((T0-t)*PertePVj)+'2026'!Pspv,1-EXP((T0-t)*PertePVj)+Pspv)</f>
        <v>9.3954819251247407E-2</v>
      </c>
      <c r="M190" s="843"/>
      <c r="N190" s="843"/>
      <c r="O190" s="48">
        <f>IF(t&lt;Tnet,'2026'!Resal+('2026'!Salim-'2026'!Resal)*(1-EXP(('2026'!Tnet-t)/('2026'!Tau_j))),Resal+(Salim-Resal)*(1-EXP((Tnet-t)/(Tau_j))))*Salcycl</f>
        <v>3.1526550631715632E-2</v>
      </c>
      <c r="P190" s="169">
        <f>(INDEX(Models!$BJ190:$BT190,,T190)*(1-R190)+INDEX(Models!$BJ190:$BT190,,T190+1)*R190-ERP_i)*Q190*Ramure*Pc/MaxiM</f>
        <v>1.9667353917882366E-2</v>
      </c>
      <c r="Q190" s="305">
        <f t="shared" si="53"/>
        <v>0.8</v>
      </c>
      <c r="R190" s="177">
        <f t="shared" si="54"/>
        <v>0.38882984095924966</v>
      </c>
      <c r="S190" s="809">
        <f t="shared" si="55"/>
        <v>3</v>
      </c>
      <c r="T190" s="176">
        <f t="shared" si="56"/>
        <v>9</v>
      </c>
      <c r="U190" s="251">
        <f t="shared" si="57"/>
        <v>3.3888298409592497</v>
      </c>
      <c r="V190" s="383">
        <f t="shared" si="58"/>
        <v>52.963584664687701</v>
      </c>
      <c r="W190" s="402">
        <f t="shared" si="59"/>
        <v>29.698128115195118</v>
      </c>
      <c r="X190" s="157">
        <f t="shared" si="60"/>
        <v>46563</v>
      </c>
      <c r="Y190" s="385">
        <f t="shared" si="61"/>
        <v>26.549714722491295</v>
      </c>
      <c r="Z190" s="385">
        <f t="shared" si="62"/>
        <v>29.30285959972846</v>
      </c>
      <c r="AA190" s="386">
        <f t="shared" si="63"/>
        <v>33.740121001278098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0.13151290718197339</v>
      </c>
      <c r="AD190" s="231">
        <f>(INDEX(Models!$BJ190:$BT190,,AH190)*(1-AF190)+INDEX(Models!$BJ190:$BT190,,AH190+1)*AF190-ERP_i)*AE190*Ramure*Pc/MaxiM</f>
        <v>2.7907618322497139E-2</v>
      </c>
      <c r="AE190" s="305">
        <f t="shared" si="65"/>
        <v>0.8</v>
      </c>
      <c r="AF190" s="177">
        <f t="shared" si="66"/>
        <v>0.58954658812415328</v>
      </c>
      <c r="AG190" s="809">
        <f t="shared" si="74"/>
        <v>4</v>
      </c>
      <c r="AH190" s="176">
        <f t="shared" si="67"/>
        <v>10</v>
      </c>
      <c r="AI190" s="225">
        <f t="shared" si="68"/>
        <v>4.5895465881241533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IF(t&gt;Tmaj,'2026'!Wh/'2026'!Env_an*'2027'!Env_an,0.001*'[8]mon-tableau'!$B$161)</f>
        <v>10.936243437799407</v>
      </c>
      <c r="C191" s="839"/>
      <c r="D191" s="393">
        <f t="shared" si="50"/>
        <v>12.070594390560911</v>
      </c>
      <c r="E191" s="385">
        <f t="shared" si="75"/>
        <v>12.466471335105073</v>
      </c>
      <c r="F191" s="385">
        <f t="shared" si="51"/>
        <v>12.466471335105073</v>
      </c>
      <c r="G191" s="110">
        <f t="shared" si="76"/>
        <v>0.20273458864571617</v>
      </c>
      <c r="H191" s="414" t="b">
        <f>Wh_hp&gt;='2026'!Maxi_hp</f>
        <v>0</v>
      </c>
      <c r="I191" s="390">
        <f>IF(H191,Wh_hp,'2026'!Maxi_hp)</f>
        <v>59.355416952943592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9.3976395532647167E-2</v>
      </c>
      <c r="M191" s="843"/>
      <c r="N191" s="843"/>
      <c r="O191" s="48">
        <f>IF(t&lt;Tnet,'2026'!Resal+('2026'!Salim-'2026'!Resal)*(1-EXP(('2026'!Tnet-t)/('2026'!Tau_j))),Resal+(Salim-Resal)*(1-EXP((Tnet-t)/(Tau_j))))*Salcycl</f>
        <v>3.1755332676167015E-2</v>
      </c>
      <c r="P191" s="169">
        <f>(INDEX(Models!$BJ191:$BT191,,T191)*(1-R191)+INDEX(Models!$BJ191:$BT191,,T191+1)*R191-ERP_i)*Q191*Ramure*Pc/MaxiM</f>
        <v>1.9762311659767884E-2</v>
      </c>
      <c r="Q191" s="305">
        <f t="shared" si="53"/>
        <v>0.8</v>
      </c>
      <c r="R191" s="177">
        <f t="shared" si="54"/>
        <v>0.39441837576824801</v>
      </c>
      <c r="S191" s="809">
        <f t="shared" si="55"/>
        <v>3</v>
      </c>
      <c r="T191" s="176">
        <f t="shared" si="56"/>
        <v>9</v>
      </c>
      <c r="U191" s="251">
        <f t="shared" si="57"/>
        <v>3.394418375768248</v>
      </c>
      <c r="V191" s="383">
        <f t="shared" si="58"/>
        <v>52.877597543693952</v>
      </c>
      <c r="W191" s="402">
        <f t="shared" si="59"/>
        <v>10.936243437799407</v>
      </c>
      <c r="X191" s="157">
        <f t="shared" si="60"/>
        <v>46564</v>
      </c>
      <c r="Y191" s="385">
        <f t="shared" si="61"/>
        <v>9.8080972666981641</v>
      </c>
      <c r="Z191" s="385">
        <f t="shared" si="62"/>
        <v>10.825432382045166</v>
      </c>
      <c r="AA191" s="386">
        <f t="shared" si="63"/>
        <v>12.466471335105073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0.13163620313623214</v>
      </c>
      <c r="AD191" s="231">
        <f>(INDEX(Models!$BJ191:$BT191,,AH191)*(1-AF191)+INDEX(Models!$BJ191:$BT191,,AH191+1)*AF191-ERP_i)*AE191*Ramure*Pc/MaxiM</f>
        <v>2.8084709666986438E-2</v>
      </c>
      <c r="AE191" s="305">
        <f t="shared" si="65"/>
        <v>0.8</v>
      </c>
      <c r="AF191" s="177">
        <f t="shared" si="66"/>
        <v>0.59513512293315163</v>
      </c>
      <c r="AG191" s="809">
        <f t="shared" si="74"/>
        <v>4</v>
      </c>
      <c r="AH191" s="176">
        <f t="shared" si="67"/>
        <v>10</v>
      </c>
      <c r="AI191" s="225">
        <f t="shared" si="68"/>
        <v>4.5951351229331516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IF(t&gt;Tmaj,'2026'!Wh/'2026'!Env_an*'2027'!Env_an,0.001*'[8]mon-tableau'!$B$162)</f>
        <v>11.620433208607398</v>
      </c>
      <c r="C192" s="839"/>
      <c r="D192" s="393">
        <f t="shared" si="50"/>
        <v>12.8260564994919</v>
      </c>
      <c r="E192" s="385">
        <f t="shared" si="75"/>
        <v>13.249831565125453</v>
      </c>
      <c r="F192" s="385">
        <f t="shared" si="51"/>
        <v>13.249831565125453</v>
      </c>
      <c r="G192" s="110">
        <f t="shared" si="76"/>
        <v>0.21576036304217033</v>
      </c>
      <c r="H192" s="414" t="b">
        <f>Wh_hp&gt;='2026'!Maxi_hp</f>
        <v>0</v>
      </c>
      <c r="I192" s="390">
        <f>IF(H192,Wh_hp,'2026'!Maxi_hp)</f>
        <v>59.191456400170118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9.3997971311935352E-2</v>
      </c>
      <c r="M192" s="843"/>
      <c r="N192" s="843"/>
      <c r="O192" s="48">
        <f>IF(t&lt;Tnet,'2026'!Resal+('2026'!Salim-'2026'!Resal)*(1-EXP(('2026'!Tnet-t)/('2026'!Tau_j))),Resal+(Salim-Resal)*(1-EXP((Tnet-t)/(Tau_j))))*Salcycl</f>
        <v>3.198343039687844E-2</v>
      </c>
      <c r="P192" s="169">
        <f>(INDEX(Models!$BJ192:$BT192,,T192)*(1-R192)+INDEX(Models!$BJ192:$BT192,,T192+1)*R192-ERP_i)*Q192*Ramure*Pc/MaxiM</f>
        <v>1.9849211481691605E-2</v>
      </c>
      <c r="Q192" s="305">
        <f t="shared" si="53"/>
        <v>0.8</v>
      </c>
      <c r="R192" s="177">
        <f t="shared" si="54"/>
        <v>0.39993449426950889</v>
      </c>
      <c r="S192" s="809">
        <f t="shared" si="55"/>
        <v>3</v>
      </c>
      <c r="T192" s="176">
        <f t="shared" si="56"/>
        <v>9</v>
      </c>
      <c r="U192" s="251">
        <f t="shared" si="57"/>
        <v>3.3999344942695089</v>
      </c>
      <c r="V192" s="383">
        <f t="shared" si="58"/>
        <v>52.789013754647542</v>
      </c>
      <c r="W192" s="402">
        <f t="shared" si="59"/>
        <v>11.620433208607398</v>
      </c>
      <c r="X192" s="157">
        <f t="shared" si="60"/>
        <v>46565</v>
      </c>
      <c r="Y192" s="385">
        <f t="shared" si="61"/>
        <v>10.422710715594206</v>
      </c>
      <c r="Z192" s="385">
        <f t="shared" si="62"/>
        <v>11.504069953007503</v>
      </c>
      <c r="AA192" s="386">
        <f t="shared" si="63"/>
        <v>13.249831565125453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0.13175726827448317</v>
      </c>
      <c r="AD192" s="231">
        <f>(INDEX(Models!$BJ192:$BT192,,AH192)*(1-AF192)+INDEX(Models!$BJ192:$BT192,,AH192+1)*AF192-ERP_i)*AE192*Ramure*Pc/MaxiM</f>
        <v>2.8275365739824344E-2</v>
      </c>
      <c r="AE192" s="305">
        <f t="shared" si="65"/>
        <v>0.8</v>
      </c>
      <c r="AF192" s="177">
        <f t="shared" si="66"/>
        <v>0.60065124143441206</v>
      </c>
      <c r="AG192" s="809">
        <f t="shared" si="74"/>
        <v>4</v>
      </c>
      <c r="AH192" s="176">
        <f t="shared" si="67"/>
        <v>10</v>
      </c>
      <c r="AI192" s="225">
        <f t="shared" si="68"/>
        <v>4.6006512414344121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IF(t&gt;Tmaj,'2026'!Wh/'2026'!Env_an*'2027'!Env_an,0.001*'[8]mon-tableau'!$B$163)</f>
        <v>53.198566522782563</v>
      </c>
      <c r="C193" s="839"/>
      <c r="D193" s="393">
        <f t="shared" si="50"/>
        <v>58.719331440869588</v>
      </c>
      <c r="E193" s="385">
        <f t="shared" si="75"/>
        <v>60.673681582255853</v>
      </c>
      <c r="F193" s="385">
        <f t="shared" si="51"/>
        <v>61.907521444604455</v>
      </c>
      <c r="G193" s="110">
        <f t="shared" si="76"/>
        <v>1.0095043316533834</v>
      </c>
      <c r="H193" s="414" t="b">
        <f>Wh_hp&gt;='2026'!Maxi_hp</f>
        <v>1</v>
      </c>
      <c r="I193" s="390">
        <f>IF(H193,Wh_hp,'2026'!Maxi_hp)</f>
        <v>61.907521444604455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9.401954658912362E-2</v>
      </c>
      <c r="M193" s="843"/>
      <c r="N193" s="843"/>
      <c r="O193" s="48">
        <f>IF(t&lt;Tnet,'2026'!Resal+('2026'!Salim-'2026'!Resal)*(1-EXP(('2026'!Tnet-t)/('2026'!Tau_j))),Resal+(Salim-Resal)*(1-EXP((Tnet-t)/(Tau_j))))*Salcycl</f>
        <v>3.2210838215524042E-2</v>
      </c>
      <c r="P193" s="169">
        <f>(INDEX(Models!$BJ193:$BT193,,T193)*(1-R193)+INDEX(Models!$BJ193:$BT193,,T193+1)*R193-ERP_i)*Q193*Ramure*Pc/MaxiM</f>
        <v>1.9930370875090791E-2</v>
      </c>
      <c r="Q193" s="305">
        <f t="shared" si="53"/>
        <v>0.8</v>
      </c>
      <c r="R193" s="177">
        <f t="shared" si="54"/>
        <v>0.40537502970650419</v>
      </c>
      <c r="S193" s="809">
        <f t="shared" si="55"/>
        <v>3</v>
      </c>
      <c r="T193" s="176">
        <f t="shared" si="56"/>
        <v>9</v>
      </c>
      <c r="U193" s="251">
        <f t="shared" si="57"/>
        <v>3.4053750297065042</v>
      </c>
      <c r="V193" s="383">
        <f t="shared" si="58"/>
        <v>52.697710009478655</v>
      </c>
      <c r="W193" s="402">
        <f t="shared" si="59"/>
        <v>53.198566522782563</v>
      </c>
      <c r="X193" s="157">
        <f t="shared" si="60"/>
        <v>46566</v>
      </c>
      <c r="Y193" s="385">
        <f t="shared" si="61"/>
        <v>47.304002231649868</v>
      </c>
      <c r="Z193" s="385">
        <f t="shared" si="62"/>
        <v>52.213049468735896</v>
      </c>
      <c r="AA193" s="386">
        <f t="shared" si="63"/>
        <v>60.144698980864788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0.13187611953386566</v>
      </c>
      <c r="AD193" s="231">
        <f>(INDEX(Models!$BJ193:$BT193,,AH193)*(1-AF193)+INDEX(Models!$BJ193:$BT193,,AH193+1)*AF193-ERP_i)*AE193*Ramure*Pc/MaxiM</f>
        <v>2.8475093536365594E-2</v>
      </c>
      <c r="AE193" s="305">
        <f t="shared" si="65"/>
        <v>0.8</v>
      </c>
      <c r="AF193" s="177">
        <f t="shared" si="66"/>
        <v>0.60609177687140736</v>
      </c>
      <c r="AG193" s="809">
        <f t="shared" si="74"/>
        <v>4</v>
      </c>
      <c r="AH193" s="176">
        <f t="shared" si="67"/>
        <v>10</v>
      </c>
      <c r="AI193" s="225">
        <f t="shared" si="68"/>
        <v>4.6060917768714074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IF(t&gt;Tmaj,'2026'!Wh/'2026'!Env_an*'2027'!Env_an,0.001*'[8]mon-tableau'!$B$164)</f>
        <v>50.082879936518779</v>
      </c>
      <c r="C194" s="839"/>
      <c r="D194" s="393">
        <f t="shared" si="50"/>
        <v>55.281626040174451</v>
      </c>
      <c r="E194" s="385">
        <f t="shared" si="75"/>
        <v>57.134943753549727</v>
      </c>
      <c r="F194" s="385">
        <f t="shared" si="51"/>
        <v>58.21994871749181</v>
      </c>
      <c r="G194" s="110">
        <f t="shared" si="76"/>
        <v>0.95075063740143551</v>
      </c>
      <c r="H194" s="414" t="b">
        <f>Wh_hp&gt;='2026'!Maxi_hp</f>
        <v>0</v>
      </c>
      <c r="I194" s="390">
        <f>IF(H194,Wh_hp,'2026'!Maxi_hp)</f>
        <v>58.29404049517651</v>
      </c>
      <c r="J194" s="85">
        <f>IF(H194,An,'2026'!An_max)</f>
        <v>2022</v>
      </c>
      <c r="K194" s="197">
        <f t="shared" si="52"/>
        <v>46567</v>
      </c>
      <c r="L194" s="147">
        <f>IF(t&lt;Tvie,1-EXP((T0-t)*PertePVj)+'2026'!Pspv,1-EXP((T0-t)*PertePVj)+Pspv)</f>
        <v>9.4041121364223629E-2</v>
      </c>
      <c r="M194" s="843"/>
      <c r="N194" s="843"/>
      <c r="O194" s="48">
        <f>IF(t&lt;Tnet,'2026'!Resal+('2026'!Salim-'2026'!Resal)*(1-EXP(('2026'!Tnet-t)/('2026'!Tau_j))),Resal+(Salim-Resal)*(1-EXP((Tnet-t)/(Tau_j))))*Salcycl</f>
        <v>3.2437552076178149E-2</v>
      </c>
      <c r="P194" s="169">
        <f>(INDEX(Models!$BJ194:$BT194,,T194)*(1-R194)+INDEX(Models!$BJ194:$BT194,,T194+1)*R194-ERP_i)*Q194*Ramure*Pc/MaxiM</f>
        <v>2.0005873146585779E-2</v>
      </c>
      <c r="Q194" s="305">
        <f t="shared" si="53"/>
        <v>0.8</v>
      </c>
      <c r="R194" s="177">
        <f t="shared" si="54"/>
        <v>0.41073702730463113</v>
      </c>
      <c r="S194" s="809">
        <f t="shared" si="55"/>
        <v>3</v>
      </c>
      <c r="T194" s="176">
        <f t="shared" si="56"/>
        <v>9</v>
      </c>
      <c r="U194" s="251">
        <f t="shared" si="57"/>
        <v>3.4107370273046311</v>
      </c>
      <c r="V194" s="383">
        <f t="shared" si="58"/>
        <v>52.603683541472797</v>
      </c>
      <c r="W194" s="402">
        <f t="shared" si="59"/>
        <v>50.082879936518779</v>
      </c>
      <c r="X194" s="157">
        <f t="shared" si="60"/>
        <v>46567</v>
      </c>
      <c r="Y194" s="385">
        <f t="shared" si="61"/>
        <v>44.559587359121245</v>
      </c>
      <c r="Z194" s="385">
        <f t="shared" si="62"/>
        <v>49.18499990443339</v>
      </c>
      <c r="AA194" s="386">
        <f t="shared" si="63"/>
        <v>56.664275064401444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0.13199277942702925</v>
      </c>
      <c r="AD194" s="231">
        <f>(INDEX(Models!$BJ194:$BT194,,AH194)*(1-AF194)+INDEX(Models!$BJ194:$BT194,,AH194+1)*AF194-ERP_i)*AE194*Ramure*Pc/MaxiM</f>
        <v>2.8684301727188052E-2</v>
      </c>
      <c r="AE194" s="305">
        <f t="shared" si="65"/>
        <v>0.8</v>
      </c>
      <c r="AF194" s="177">
        <f t="shared" si="66"/>
        <v>0.61145377446953475</v>
      </c>
      <c r="AG194" s="809">
        <f t="shared" si="74"/>
        <v>4</v>
      </c>
      <c r="AH194" s="176">
        <f t="shared" si="67"/>
        <v>10</v>
      </c>
      <c r="AI194" s="225">
        <f t="shared" si="68"/>
        <v>4.6114537744695347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IF(t&gt;Tmaj,'2026'!Wh/'2026'!Env_an*'2027'!Env_an,0.001*'[8]mon-tableau'!$B$165)</f>
        <v>12.645366190059086</v>
      </c>
      <c r="C195" s="839"/>
      <c r="D195" s="393">
        <f t="shared" si="50"/>
        <v>13.958323748412134</v>
      </c>
      <c r="E195" s="385">
        <f t="shared" si="75"/>
        <v>14.429647542718222</v>
      </c>
      <c r="F195" s="385">
        <f t="shared" si="51"/>
        <v>14.429647542718222</v>
      </c>
      <c r="G195" s="110">
        <f t="shared" si="76"/>
        <v>0.23599741963941656</v>
      </c>
      <c r="H195" s="414" t="b">
        <f>Wh_hp&gt;='2026'!Maxi_hp</f>
        <v>0</v>
      </c>
      <c r="I195" s="390">
        <f>IF(H195,Wh_hp,'2026'!Maxi_hp)</f>
        <v>53.913631634693168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9.4062695637247146E-2</v>
      </c>
      <c r="M195" s="843"/>
      <c r="N195" s="843"/>
      <c r="O195" s="48">
        <f>IF(t&lt;Tnet,'2026'!Resal+('2026'!Salim-'2026'!Resal)*(1-EXP(('2026'!Tnet-t)/('2026'!Tau_j))),Resal+(Salim-Resal)*(1-EXP((Tnet-t)/(Tau_j))))*Salcycl</f>
        <v>3.2663569426124792E-2</v>
      </c>
      <c r="P195" s="169">
        <f>(INDEX(Models!$BJ195:$BT195,,T195)*(1-R195)+INDEX(Models!$BJ195:$BT195,,T195+1)*R195-ERP_i)*Q195*Ramure*Pc/MaxiM</f>
        <v>2.0075809244301458E-2</v>
      </c>
      <c r="Q195" s="305">
        <f t="shared" si="53"/>
        <v>0.8</v>
      </c>
      <c r="R195" s="177">
        <f t="shared" si="54"/>
        <v>0.41601774759929766</v>
      </c>
      <c r="S195" s="809">
        <f t="shared" si="55"/>
        <v>3</v>
      </c>
      <c r="T195" s="176">
        <f t="shared" si="56"/>
        <v>9</v>
      </c>
      <c r="U195" s="251">
        <f t="shared" si="57"/>
        <v>3.4160177475992977</v>
      </c>
      <c r="V195" s="383">
        <f t="shared" si="58"/>
        <v>52.506931006009516</v>
      </c>
      <c r="W195" s="402">
        <f t="shared" si="59"/>
        <v>12.645366190059086</v>
      </c>
      <c r="X195" s="157">
        <f t="shared" si="60"/>
        <v>46568</v>
      </c>
      <c r="Y195" s="385">
        <f t="shared" si="61"/>
        <v>11.345402658610427</v>
      </c>
      <c r="Z195" s="385">
        <f t="shared" si="62"/>
        <v>12.523386115103095</v>
      </c>
      <c r="AA195" s="386">
        <f t="shared" si="63"/>
        <v>14.429647542718222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0.13210727579947737</v>
      </c>
      <c r="AD195" s="231">
        <f>(INDEX(Models!$BJ195:$BT195,,AH195)*(1-AF195)+INDEX(Models!$BJ195:$BT195,,AH195+1)*AF195-ERP_i)*AE195*Ramure*Pc/MaxiM</f>
        <v>2.8903400666169289E-2</v>
      </c>
      <c r="AE195" s="305">
        <f t="shared" si="65"/>
        <v>0.8</v>
      </c>
      <c r="AF195" s="177">
        <f t="shared" si="66"/>
        <v>0.61673449476420128</v>
      </c>
      <c r="AG195" s="809">
        <f t="shared" si="74"/>
        <v>4</v>
      </c>
      <c r="AH195" s="176">
        <f t="shared" si="67"/>
        <v>10</v>
      </c>
      <c r="AI195" s="225">
        <f t="shared" si="68"/>
        <v>4.6167344947642013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IF(t&gt;Tmaj,'2026'!Wh/'2026'!Env_an*'2027'!Env_an,0.001*[9]mois!$B$140)</f>
        <v>47.771375763620824</v>
      </c>
      <c r="C196" s="839"/>
      <c r="D196" s="393">
        <f t="shared" si="50"/>
        <v>52.732692622981517</v>
      </c>
      <c r="E196" s="385">
        <f t="shared" si="75"/>
        <v>54.525991929378655</v>
      </c>
      <c r="F196" s="385">
        <f t="shared" si="51"/>
        <v>55.502562921660449</v>
      </c>
      <c r="G196" s="110">
        <f t="shared" si="76"/>
        <v>0.90917629026057312</v>
      </c>
      <c r="H196" s="414" t="b">
        <f>Wh_hp&gt;='2026'!Maxi_hp</f>
        <v>0</v>
      </c>
      <c r="I196" s="390">
        <f>IF(H196,Wh_hp,'2026'!Maxi_hp)</f>
        <v>59.241632276839347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9.4084269408205717E-2</v>
      </c>
      <c r="M196" s="843"/>
      <c r="N196" s="843"/>
      <c r="O196" s="48">
        <f>IF(t&lt;Tnet,'2026'!Resal+('2026'!Salim-'2026'!Resal)*(1-EXP(('2026'!Tnet-t)/('2026'!Tau_j))),Resal+(Salim-Resal)*(1-EXP((Tnet-t)/(Tau_j))))*Salcycl</f>
        <v>3.2888889187376841E-2</v>
      </c>
      <c r="P196" s="169">
        <f>(INDEX(Models!$BJ196:$BT196,,T196)*(1-R196)+INDEX(Models!$BJ196:$BT196,,T196+1)*R196-ERP_i)*Q196*Ramure*Pc/MaxiM</f>
        <v>2.0140277120620657E-2</v>
      </c>
      <c r="Q196" s="305">
        <f t="shared" si="53"/>
        <v>0.8</v>
      </c>
      <c r="R196" s="177">
        <f t="shared" si="54"/>
        <v>0.42121466862442913</v>
      </c>
      <c r="S196" s="809">
        <f t="shared" si="55"/>
        <v>3</v>
      </c>
      <c r="T196" s="176">
        <f t="shared" si="56"/>
        <v>9</v>
      </c>
      <c r="U196" s="251">
        <f t="shared" si="57"/>
        <v>3.4212146686244291</v>
      </c>
      <c r="V196" s="383">
        <f t="shared" si="58"/>
        <v>52.407448517860942</v>
      </c>
      <c r="W196" s="402">
        <f t="shared" si="59"/>
        <v>47.771375763620824</v>
      </c>
      <c r="X196" s="157">
        <f t="shared" si="60"/>
        <v>46569</v>
      </c>
      <c r="Y196" s="385">
        <f t="shared" si="61"/>
        <v>42.522056801361494</v>
      </c>
      <c r="Z196" s="385">
        <f t="shared" si="62"/>
        <v>46.938203373048545</v>
      </c>
      <c r="AA196" s="386">
        <f t="shared" si="63"/>
        <v>54.089958267096591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0.13221964155957794</v>
      </c>
      <c r="AD196" s="231">
        <f>(INDEX(Models!$BJ196:$BT196,,AH196)*(1-AF196)+INDEX(Models!$BJ196:$BT196,,AH196+1)*AF196-ERP_i)*AE196*Ramure*Pc/MaxiM</f>
        <v>2.9132801844051863E-2</v>
      </c>
      <c r="AE196" s="305">
        <f t="shared" si="65"/>
        <v>0.8</v>
      </c>
      <c r="AF196" s="177">
        <f t="shared" si="66"/>
        <v>0.62193141578933275</v>
      </c>
      <c r="AG196" s="809">
        <f t="shared" si="74"/>
        <v>4</v>
      </c>
      <c r="AH196" s="176">
        <f t="shared" si="67"/>
        <v>10</v>
      </c>
      <c r="AI196" s="225">
        <f t="shared" si="68"/>
        <v>4.6219314157893328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IF(t&gt;Tmaj,'2026'!Wh/'2026'!Env_an*'2027'!Env_an,0.001*[9]mois!$B$141)</f>
        <v>50.220214676502898</v>
      </c>
      <c r="C197" s="839"/>
      <c r="D197" s="393">
        <f t="shared" si="50"/>
        <v>55.437176926843627</v>
      </c>
      <c r="E197" s="385">
        <f t="shared" si="75"/>
        <v>57.335765468616074</v>
      </c>
      <c r="F197" s="385">
        <f t="shared" si="51"/>
        <v>58.449169461183331</v>
      </c>
      <c r="G197" s="110">
        <f t="shared" si="76"/>
        <v>0.95901162908072823</v>
      </c>
      <c r="H197" s="414" t="b">
        <f>Wh_hp&gt;='2026'!Maxi_hp</f>
        <v>0</v>
      </c>
      <c r="I197" s="390">
        <f>IF(H197,Wh_hp,'2026'!Maxi_hp)</f>
        <v>58.511459605426658</v>
      </c>
      <c r="J197" s="85">
        <f>IF(H197,An,'2026'!An_max)</f>
        <v>2022</v>
      </c>
      <c r="K197" s="197">
        <f t="shared" si="52"/>
        <v>46570</v>
      </c>
      <c r="L197" s="147">
        <f>IF(t&lt;Tvie,1-EXP((T0-t)*PertePVj)+'2026'!Pspv,1-EXP((T0-t)*PertePVj)+Pspv)</f>
        <v>9.4105842677111223E-2</v>
      </c>
      <c r="M197" s="843"/>
      <c r="N197" s="843"/>
      <c r="O197" s="48">
        <f>IF(t&lt;Tnet,'2026'!Resal+('2026'!Salim-'2026'!Resal)*(1-EXP(('2026'!Tnet-t)/('2026'!Tau_j))),Resal+(Salim-Resal)*(1-EXP((Tnet-t)/(Tau_j))))*Salcycl</f>
        <v>3.311351171916728E-2</v>
      </c>
      <c r="P197" s="169">
        <f>(INDEX(Models!$BJ197:$BT197,,T197)*(1-R197)+INDEX(Models!$BJ197:$BT197,,T197+1)*R197-ERP_i)*Q197*Ramure*Pc/MaxiM</f>
        <v>2.0199381064003957E-2</v>
      </c>
      <c r="Q197" s="305">
        <f t="shared" si="53"/>
        <v>0.8</v>
      </c>
      <c r="R197" s="177">
        <f t="shared" si="54"/>
        <v>0.42632548699362172</v>
      </c>
      <c r="S197" s="809">
        <f t="shared" si="55"/>
        <v>3</v>
      </c>
      <c r="T197" s="176">
        <f t="shared" si="56"/>
        <v>9</v>
      </c>
      <c r="U197" s="251">
        <f t="shared" si="57"/>
        <v>3.4263254869936217</v>
      </c>
      <c r="V197" s="383">
        <f t="shared" si="58"/>
        <v>52.30523169581415</v>
      </c>
      <c r="W197" s="402">
        <f t="shared" si="59"/>
        <v>50.220214676502898</v>
      </c>
      <c r="X197" s="157">
        <f t="shared" si="60"/>
        <v>46570</v>
      </c>
      <c r="Y197" s="385">
        <f t="shared" si="61"/>
        <v>44.669450345155347</v>
      </c>
      <c r="Z197" s="385">
        <f t="shared" si="62"/>
        <v>49.309789652648981</v>
      </c>
      <c r="AA197" s="386">
        <f t="shared" si="63"/>
        <v>56.830113737993145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0.13232991438334091</v>
      </c>
      <c r="AD197" s="231">
        <f>(INDEX(Models!$BJ197:$BT197,,AH197)*(1-AF197)+INDEX(Models!$BJ197:$BT197,,AH197+1)*AF197-ERP_i)*AE197*Ramure*Pc/MaxiM</f>
        <v>2.9372917409041573E-2</v>
      </c>
      <c r="AE197" s="305">
        <f t="shared" si="65"/>
        <v>0.8</v>
      </c>
      <c r="AF197" s="177">
        <f t="shared" si="66"/>
        <v>0.62704223415852578</v>
      </c>
      <c r="AG197" s="809">
        <f t="shared" si="74"/>
        <v>4</v>
      </c>
      <c r="AH197" s="176">
        <f t="shared" si="67"/>
        <v>10</v>
      </c>
      <c r="AI197" s="225">
        <f t="shared" si="68"/>
        <v>4.6270422341585258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IF(t&gt;Tmaj,'2026'!Wh/'2026'!Env_an*'2027'!Env_an,0.001*[9]mois!$B$142)</f>
        <v>38.871512653301188</v>
      </c>
      <c r="C198" s="839"/>
      <c r="D198" s="393">
        <f t="shared" si="50"/>
        <v>42.910574087361766</v>
      </c>
      <c r="E198" s="385">
        <f t="shared" si="75"/>
        <v>44.390437582313389</v>
      </c>
      <c r="F198" s="385">
        <f t="shared" si="51"/>
        <v>44.968934063457482</v>
      </c>
      <c r="G198" s="110">
        <f t="shared" si="76"/>
        <v>0.73908714960672695</v>
      </c>
      <c r="H198" s="414" t="b">
        <f>Wh_hp&gt;='2026'!Maxi_hp</f>
        <v>0</v>
      </c>
      <c r="I198" s="390">
        <f>IF(H198,Wh_hp,'2026'!Maxi_hp)</f>
        <v>51.855426044960964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9.412741544397521E-2</v>
      </c>
      <c r="M198" s="843"/>
      <c r="N198" s="843"/>
      <c r="O198" s="48">
        <f>IF(t&lt;Tnet,'2026'!Resal+('2026'!Salim-'2026'!Resal)*(1-EXP(('2026'!Tnet-t)/('2026'!Tau_j))),Resal+(Salim-Resal)*(1-EXP((Tnet-t)/(Tau_j))))*Salcycl</f>
        <v>3.333743877175132E-2</v>
      </c>
      <c r="P198" s="169">
        <f>(INDEX(Models!$BJ198:$BT198,,T198)*(1-R198)+INDEX(Models!$BJ198:$BT198,,T198+1)*R198-ERP_i)*Q198*Ramure*Pc/MaxiM</f>
        <v>2.0251552188839915E-2</v>
      </c>
      <c r="Q198" s="305">
        <f t="shared" si="53"/>
        <v>0.8</v>
      </c>
      <c r="R198" s="177">
        <f t="shared" si="54"/>
        <v>0.43134811791437766</v>
      </c>
      <c r="S198" s="809">
        <f t="shared" si="55"/>
        <v>3</v>
      </c>
      <c r="T198" s="176">
        <f t="shared" si="56"/>
        <v>9</v>
      </c>
      <c r="U198" s="251">
        <f t="shared" si="57"/>
        <v>3.4313481179143777</v>
      </c>
      <c r="V198" s="383">
        <f t="shared" si="58"/>
        <v>52.200365159890389</v>
      </c>
      <c r="W198" s="402">
        <f t="shared" si="59"/>
        <v>38.871512653301188</v>
      </c>
      <c r="X198" s="157">
        <f t="shared" si="60"/>
        <v>46571</v>
      </c>
      <c r="Y198" s="385">
        <f t="shared" si="61"/>
        <v>34.675958522999665</v>
      </c>
      <c r="Z198" s="385">
        <f t="shared" si="62"/>
        <v>38.279068286402136</v>
      </c>
      <c r="AA198" s="386">
        <f t="shared" si="63"/>
        <v>44.122580639259112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0.13243813639625537</v>
      </c>
      <c r="AD198" s="231">
        <f>(INDEX(Models!$BJ198:$BT198,,AH198)*(1-AF198)+INDEX(Models!$BJ198:$BT198,,AH198+1)*AF198-ERP_i)*AE198*Ramure*Pc/MaxiM</f>
        <v>2.9628478476583037E-2</v>
      </c>
      <c r="AE198" s="305">
        <f t="shared" si="65"/>
        <v>0.8</v>
      </c>
      <c r="AF198" s="177">
        <f t="shared" si="66"/>
        <v>0.63206486507928084</v>
      </c>
      <c r="AG198" s="809">
        <f t="shared" si="74"/>
        <v>4</v>
      </c>
      <c r="AH198" s="176">
        <f t="shared" si="67"/>
        <v>10</v>
      </c>
      <c r="AI198" s="225">
        <f t="shared" si="68"/>
        <v>4.6320648650792808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IF(t&gt;Tmaj,'2026'!Wh/'2026'!Env_an*'2027'!Env_an,0.001*[9]mois!$B$143)</f>
        <v>39.833097911126998</v>
      </c>
      <c r="C199" s="839"/>
      <c r="D199" s="393">
        <f t="shared" si="50"/>
        <v>43.973122920485778</v>
      </c>
      <c r="E199" s="385">
        <f t="shared" si="75"/>
        <v>45.50013819971408</v>
      </c>
      <c r="F199" s="385">
        <f t="shared" si="51"/>
        <v>46.121602044080156</v>
      </c>
      <c r="G199" s="110">
        <f t="shared" si="76"/>
        <v>0.75936778855036968</v>
      </c>
      <c r="H199" s="414" t="b">
        <f>Wh_hp&gt;='2026'!Maxi_hp</f>
        <v>0</v>
      </c>
      <c r="I199" s="390">
        <f>IF(H199,Wh_hp,'2026'!Maxi_hp)</f>
        <v>57.973124882145292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9.4148987708809445E-2</v>
      </c>
      <c r="M199" s="843"/>
      <c r="N199" s="843"/>
      <c r="O199" s="48">
        <f>IF(t&lt;Tnet,'2026'!Resal+('2026'!Salim-'2026'!Resal)*(1-EXP(('2026'!Tnet-t)/('2026'!Tau_j))),Resal+(Salim-Resal)*(1-EXP((Tnet-t)/(Tau_j))))*Salcycl</f>
        <v>3.3560673431930324E-2</v>
      </c>
      <c r="P199" s="169">
        <f>(INDEX(Models!$BJ199:$BT199,,T199)*(1-R199)+INDEX(Models!$BJ199:$BT199,,T199+1)*R199-ERP_i)*Q199*Ramure*Pc/MaxiM</f>
        <v>2.029908725028836E-2</v>
      </c>
      <c r="Q199" s="305">
        <f t="shared" si="53"/>
        <v>0.8</v>
      </c>
      <c r="R199" s="177">
        <f t="shared" si="54"/>
        <v>0.43628069418312609</v>
      </c>
      <c r="S199" s="809">
        <f t="shared" si="55"/>
        <v>3</v>
      </c>
      <c r="T199" s="176">
        <f t="shared" si="56"/>
        <v>9</v>
      </c>
      <c r="U199" s="251">
        <f t="shared" si="57"/>
        <v>3.4362806941831261</v>
      </c>
      <c r="V199" s="383">
        <f t="shared" si="58"/>
        <v>52.092727126306698</v>
      </c>
      <c r="W199" s="402">
        <f t="shared" si="59"/>
        <v>39.833097911126998</v>
      </c>
      <c r="X199" s="157">
        <f t="shared" si="60"/>
        <v>46572</v>
      </c>
      <c r="Y199" s="385">
        <f t="shared" si="61"/>
        <v>35.522512950964334</v>
      </c>
      <c r="Z199" s="385">
        <f t="shared" si="62"/>
        <v>39.214520344925589</v>
      </c>
      <c r="AA199" s="386">
        <f t="shared" si="63"/>
        <v>45.206369361103469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0.13254435383464783</v>
      </c>
      <c r="AD199" s="231">
        <f>(INDEX(Models!$BJ199:$BT199,,AH199)*(1-AF199)+INDEX(Models!$BJ199:$BT199,,AH199+1)*AF199-ERP_i)*AE199*Ramure*Pc/MaxiM</f>
        <v>2.9894559843638337E-2</v>
      </c>
      <c r="AE199" s="305">
        <f t="shared" si="65"/>
        <v>0.8</v>
      </c>
      <c r="AF199" s="177">
        <f t="shared" si="66"/>
        <v>0.63699744134803016</v>
      </c>
      <c r="AG199" s="809">
        <f t="shared" si="74"/>
        <v>4</v>
      </c>
      <c r="AH199" s="176">
        <f t="shared" si="67"/>
        <v>10</v>
      </c>
      <c r="AI199" s="225">
        <f t="shared" si="68"/>
        <v>4.6369974413480302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IF(t&gt;Tmaj,'2026'!Wh/'2026'!Env_an*'2027'!Env_an,0.001*[9]mois!$B$144)</f>
        <v>49.189730473344206</v>
      </c>
      <c r="C200" s="839"/>
      <c r="D200" s="393">
        <f t="shared" si="50"/>
        <v>54.30352367952581</v>
      </c>
      <c r="E200" s="385">
        <f t="shared" si="75"/>
        <v>56.20221549344415</v>
      </c>
      <c r="F200" s="385">
        <f t="shared" si="51"/>
        <v>57.277949342098005</v>
      </c>
      <c r="G200" s="110">
        <f t="shared" si="76"/>
        <v>0.94477266157651951</v>
      </c>
      <c r="H200" s="414" t="b">
        <f>Wh_hp&gt;='2026'!Maxi_hp</f>
        <v>0</v>
      </c>
      <c r="I200" s="390">
        <f>IF(H200,Wh_hp,'2026'!Maxi_hp)</f>
        <v>60.257495392536157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9.4170559471625476E-2</v>
      </c>
      <c r="M200" s="843"/>
      <c r="N200" s="843"/>
      <c r="O200" s="48">
        <f>IF(t&lt;Tnet,'2026'!Resal+('2026'!Salim-'2026'!Resal)*(1-EXP(('2026'!Tnet-t)/('2026'!Tau_j))),Resal+(Salim-Resal)*(1-EXP((Tnet-t)/(Tau_j))))*Salcycl</f>
        <v>3.3783220060778982E-2</v>
      </c>
      <c r="P200" s="169">
        <f>(INDEX(Models!$BJ200:$BT200,,T200)*(1-R200)+INDEX(Models!$BJ200:$BT200,,T200+1)*R200-ERP_i)*Q200*Ramure*Pc/MaxiM</f>
        <v>2.0342104691291611E-2</v>
      </c>
      <c r="Q200" s="305">
        <f t="shared" si="53"/>
        <v>0.8</v>
      </c>
      <c r="R200" s="177">
        <f t="shared" si="54"/>
        <v>0.44112156421509496</v>
      </c>
      <c r="S200" s="809">
        <f t="shared" si="55"/>
        <v>3</v>
      </c>
      <c r="T200" s="176">
        <f t="shared" si="56"/>
        <v>9</v>
      </c>
      <c r="U200" s="251">
        <f t="shared" si="57"/>
        <v>3.441121564215095</v>
      </c>
      <c r="V200" s="383">
        <f t="shared" si="58"/>
        <v>51.98231219952644</v>
      </c>
      <c r="W200" s="402">
        <f t="shared" si="59"/>
        <v>49.189730473344206</v>
      </c>
      <c r="X200" s="157">
        <f t="shared" si="60"/>
        <v>46573</v>
      </c>
      <c r="Y200" s="385">
        <f t="shared" si="61"/>
        <v>43.74813732008969</v>
      </c>
      <c r="Z200" s="385">
        <f t="shared" si="62"/>
        <v>48.296219313175776</v>
      </c>
      <c r="AA200" s="386">
        <f t="shared" si="63"/>
        <v>55.68241458129804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0.13264861668917383</v>
      </c>
      <c r="AD200" s="231">
        <f>(INDEX(Models!$BJ200:$BT200,,AH200)*(1-AF200)+INDEX(Models!$BJ200:$BT200,,AH200+1)*AF200-ERP_i)*AE200*Ramure*Pc/MaxiM</f>
        <v>3.0171529122564173E-2</v>
      </c>
      <c r="AE200" s="305">
        <f t="shared" si="65"/>
        <v>0.8</v>
      </c>
      <c r="AF200" s="177">
        <f t="shared" si="66"/>
        <v>0.64183831137999814</v>
      </c>
      <c r="AG200" s="809">
        <f t="shared" si="74"/>
        <v>4</v>
      </c>
      <c r="AH200" s="176">
        <f t="shared" si="67"/>
        <v>10</v>
      </c>
      <c r="AI200" s="225">
        <f t="shared" si="68"/>
        <v>4.6418383113799981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IF(t&gt;Tmaj,'2026'!Wh/'2026'!Env_an*'2027'!Env_an,0.001*[9]mois!$B$145)</f>
        <v>44.286358301992081</v>
      </c>
      <c r="C201" s="839"/>
      <c r="D201" s="393">
        <f t="shared" si="50"/>
        <v>48.891558358619669</v>
      </c>
      <c r="E201" s="385">
        <f t="shared" si="75"/>
        <v>50.612645636287183</v>
      </c>
      <c r="F201" s="385">
        <f t="shared" si="51"/>
        <v>51.442116394688227</v>
      </c>
      <c r="G201" s="110">
        <f t="shared" si="76"/>
        <v>0.85011610415759509</v>
      </c>
      <c r="H201" s="414" t="b">
        <f>Wh_hp&gt;='2026'!Maxi_hp</f>
        <v>0</v>
      </c>
      <c r="I201" s="390">
        <f>IF(H201,Wh_hp,'2026'!Maxi_hp)</f>
        <v>59.845160048198764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9.4192130732435181E-2</v>
      </c>
      <c r="M201" s="843"/>
      <c r="N201" s="843"/>
      <c r="O201" s="48">
        <f>IF(t&lt;Tnet,'2026'!Resal+('2026'!Salim-'2026'!Resal)*(1-EXP(('2026'!Tnet-t)/('2026'!Tau_j))),Resal+(Salim-Resal)*(1-EXP((Tnet-t)/(Tau_j))))*Salcycl</f>
        <v>3.4005084224120623E-2</v>
      </c>
      <c r="P201" s="169">
        <f>(INDEX(Models!$BJ201:$BT201,,T201)*(1-R201)+INDEX(Models!$BJ201:$BT201,,T201+1)*R201-ERP_i)*Q201*Ramure*Pc/MaxiM</f>
        <v>2.0380726367634928E-2</v>
      </c>
      <c r="Q201" s="305">
        <f t="shared" si="53"/>
        <v>0.8</v>
      </c>
      <c r="R201" s="177">
        <f t="shared" si="54"/>
        <v>0.44586928916844615</v>
      </c>
      <c r="S201" s="809">
        <f t="shared" si="55"/>
        <v>3</v>
      </c>
      <c r="T201" s="176">
        <f t="shared" si="56"/>
        <v>9</v>
      </c>
      <c r="U201" s="251">
        <f t="shared" si="57"/>
        <v>3.4458692891684461</v>
      </c>
      <c r="V201" s="383">
        <f t="shared" si="58"/>
        <v>51.869114695067481</v>
      </c>
      <c r="W201" s="402">
        <f t="shared" si="59"/>
        <v>44.286358301992081</v>
      </c>
      <c r="X201" s="157">
        <f t="shared" si="60"/>
        <v>46574</v>
      </c>
      <c r="Y201" s="385">
        <f t="shared" si="61"/>
        <v>39.437079533806056</v>
      </c>
      <c r="Z201" s="385">
        <f t="shared" si="62"/>
        <v>43.538018239668013</v>
      </c>
      <c r="AA201" s="386">
        <f t="shared" si="63"/>
        <v>50.202441457921225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0.13275097833317956</v>
      </c>
      <c r="AD201" s="231">
        <f>(INDEX(Models!$BJ201:$BT201,,AH201)*(1-AF201)+INDEX(Models!$BJ201:$BT201,,AH201+1)*AF201-ERP_i)*AE201*Ramure*Pc/MaxiM</f>
        <v>3.0459754506315707E-2</v>
      </c>
      <c r="AE201" s="305">
        <f t="shared" si="65"/>
        <v>0.8</v>
      </c>
      <c r="AF201" s="177">
        <f t="shared" si="66"/>
        <v>0.64658603633334977</v>
      </c>
      <c r="AG201" s="809">
        <f t="shared" si="74"/>
        <v>4</v>
      </c>
      <c r="AH201" s="176">
        <f t="shared" si="67"/>
        <v>10</v>
      </c>
      <c r="AI201" s="225">
        <f t="shared" si="68"/>
        <v>4.6465860363333498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IF(t&gt;Tmaj,'2026'!Wh/'2026'!Env_an*'2027'!Env_an,0.001*[9]mois!$B$146)</f>
        <v>48.685063806813133</v>
      </c>
      <c r="C202" s="839"/>
      <c r="D202" s="393">
        <f t="shared" si="50"/>
        <v>53.748951476707319</v>
      </c>
      <c r="E202" s="385">
        <f t="shared" si="75"/>
        <v>55.653772672318809</v>
      </c>
      <c r="F202" s="385">
        <f t="shared" si="51"/>
        <v>56.71352921764958</v>
      </c>
      <c r="G202" s="110">
        <f t="shared" si="76"/>
        <v>0.93905988804264162</v>
      </c>
      <c r="H202" s="414" t="b">
        <f>Wh_hp&gt;='2026'!Maxi_hp</f>
        <v>0</v>
      </c>
      <c r="I202" s="390">
        <f>IF(H202,Wh_hp,'2026'!Maxi_hp)</f>
        <v>56.803975288408445</v>
      </c>
      <c r="J202" s="85">
        <f>IF(H202,An,'2026'!An_max)</f>
        <v>2022</v>
      </c>
      <c r="K202" s="197">
        <f t="shared" si="52"/>
        <v>46575</v>
      </c>
      <c r="L202" s="147">
        <f>IF(t&lt;Tvie,1-EXP((T0-t)*PertePVj)+'2026'!Pspv,1-EXP((T0-t)*PertePVj)+Pspv)</f>
        <v>9.4213701491249996E-2</v>
      </c>
      <c r="M202" s="843"/>
      <c r="N202" s="843"/>
      <c r="O202" s="48">
        <f>IF(t&lt;Tnet,'2026'!Resal+('2026'!Salim-'2026'!Resal)*(1-EXP(('2026'!Tnet-t)/('2026'!Tau_j))),Resal+(Salim-Resal)*(1-EXP((Tnet-t)/(Tau_j))))*Salcycl</f>
        <v>3.4226272616356045E-2</v>
      </c>
      <c r="P202" s="169">
        <f>(INDEX(Models!$BJ202:$BT202,,T202)*(1-R202)+INDEX(Models!$BJ202:$BT202,,T202+1)*R202-ERP_i)*Q202*Ramure*Pc/MaxiM</f>
        <v>2.0415076846592238E-2</v>
      </c>
      <c r="Q202" s="305">
        <f t="shared" si="53"/>
        <v>0.8</v>
      </c>
      <c r="R202" s="177">
        <f t="shared" si="54"/>
        <v>0.45052263922649383</v>
      </c>
      <c r="S202" s="809">
        <f t="shared" si="55"/>
        <v>3</v>
      </c>
      <c r="T202" s="176">
        <f t="shared" si="56"/>
        <v>9</v>
      </c>
      <c r="U202" s="251">
        <f t="shared" si="57"/>
        <v>3.4505226392264938</v>
      </c>
      <c r="V202" s="383">
        <f t="shared" si="58"/>
        <v>51.753128685113012</v>
      </c>
      <c r="W202" s="402">
        <f t="shared" si="59"/>
        <v>48.685063806813133</v>
      </c>
      <c r="X202" s="157">
        <f t="shared" si="60"/>
        <v>46575</v>
      </c>
      <c r="Y202" s="385">
        <f t="shared" si="61"/>
        <v>43.291545415912857</v>
      </c>
      <c r="Z202" s="385">
        <f t="shared" si="62"/>
        <v>47.79443615694597</v>
      </c>
      <c r="AA202" s="386">
        <f t="shared" si="63"/>
        <v>55.116783214190633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0.13285149513876954</v>
      </c>
      <c r="AD202" s="231">
        <f>(INDEX(Models!$BJ202:$BT202,,AH202)*(1-AF202)+INDEX(Models!$BJ202:$BT202,,AH202+1)*AF202-ERP_i)*AE202*Ramure*Pc/MaxiM</f>
        <v>3.0759604655170168E-2</v>
      </c>
      <c r="AE202" s="305">
        <f t="shared" si="65"/>
        <v>0.8</v>
      </c>
      <c r="AF202" s="177">
        <f t="shared" si="66"/>
        <v>0.65123938639139745</v>
      </c>
      <c r="AG202" s="809">
        <f t="shared" si="74"/>
        <v>4</v>
      </c>
      <c r="AH202" s="176">
        <f t="shared" si="67"/>
        <v>10</v>
      </c>
      <c r="AI202" s="225">
        <f t="shared" si="68"/>
        <v>4.6512393863913974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IF(t&gt;Tmaj,'2026'!Wh/'2026'!Env_an*'2027'!Env_an,0.001*[9]mois!$B$147)</f>
        <v>51.572443294128156</v>
      </c>
      <c r="C203" s="839"/>
      <c r="D203" s="393">
        <f t="shared" si="50"/>
        <v>56.938012361841977</v>
      </c>
      <c r="E203" s="385">
        <f t="shared" si="75"/>
        <v>58.969316188665118</v>
      </c>
      <c r="F203" s="385">
        <f t="shared" si="51"/>
        <v>60.19797280129157</v>
      </c>
      <c r="G203" s="110">
        <f t="shared" si="76"/>
        <v>0.99876538962108541</v>
      </c>
      <c r="H203" s="414" t="b">
        <f>Wh_hp&gt;='2026'!Maxi_hp</f>
        <v>0</v>
      </c>
      <c r="I203" s="390">
        <f>IF(H203,Wh_hp,'2026'!Maxi_hp)</f>
        <v>61.470681296854167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9.42352717480818E-2</v>
      </c>
      <c r="M203" s="843"/>
      <c r="N203" s="843"/>
      <c r="O203" s="48">
        <f>IF(t&lt;Tnet,'2026'!Resal+('2026'!Salim-'2026'!Resal)*(1-EXP(('2026'!Tnet-t)/('2026'!Tau_j))),Resal+(Salim-Resal)*(1-EXP((Tnet-t)/(Tau_j))))*Salcycl</f>
        <v>3.4446792978304816E-2</v>
      </c>
      <c r="P203" s="169">
        <f>(INDEX(Models!$BJ203:$BT203,,T203)*(1-R203)+INDEX(Models!$BJ203:$BT203,,T203+1)*R203-ERP_i)*Q203*Ramure*Pc/MaxiM</f>
        <v>2.0445282704351357E-2</v>
      </c>
      <c r="Q203" s="305">
        <f t="shared" si="53"/>
        <v>0.8</v>
      </c>
      <c r="R203" s="177">
        <f t="shared" si="54"/>
        <v>0.45508058910521676</v>
      </c>
      <c r="S203" s="809">
        <f t="shared" si="55"/>
        <v>3</v>
      </c>
      <c r="T203" s="176">
        <f t="shared" si="56"/>
        <v>9</v>
      </c>
      <c r="U203" s="251">
        <f t="shared" si="57"/>
        <v>3.4550805891052168</v>
      </c>
      <c r="V203" s="383">
        <f t="shared" si="58"/>
        <v>51.63434805054554</v>
      </c>
      <c r="W203" s="402">
        <f t="shared" si="59"/>
        <v>51.572443294128156</v>
      </c>
      <c r="X203" s="157">
        <f t="shared" si="60"/>
        <v>46576</v>
      </c>
      <c r="Y203" s="385">
        <f t="shared" si="61"/>
        <v>45.809642871106497</v>
      </c>
      <c r="Z203" s="385">
        <f t="shared" si="62"/>
        <v>50.575653304050462</v>
      </c>
      <c r="AA203" s="386">
        <f t="shared" si="63"/>
        <v>58.330738125445414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0.13295022608349227</v>
      </c>
      <c r="AD203" s="231">
        <f>(INDEX(Models!$BJ203:$BT203,,AH203)*(1-AF203)+INDEX(Models!$BJ203:$BT203,,AH203+1)*AF203-ERP_i)*AE203*Ramure*Pc/MaxiM</f>
        <v>3.1071448629926574E-2</v>
      </c>
      <c r="AE203" s="305">
        <f t="shared" si="65"/>
        <v>0.8</v>
      </c>
      <c r="AF203" s="177">
        <f t="shared" si="66"/>
        <v>0.65579733627011993</v>
      </c>
      <c r="AG203" s="809">
        <f t="shared" si="74"/>
        <v>4</v>
      </c>
      <c r="AH203" s="176">
        <f t="shared" si="67"/>
        <v>10</v>
      </c>
      <c r="AI203" s="225">
        <f t="shared" si="68"/>
        <v>4.6557973362701199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IF(t&gt;Tmaj,'2026'!Wh/'2026'!Env_an*'2027'!Env_an,0.001*[9]mois!$B$148)</f>
        <v>50.642576915099674</v>
      </c>
      <c r="C204" s="839"/>
      <c r="D204" s="393">
        <f t="shared" si="50"/>
        <v>55.912734686435044</v>
      </c>
      <c r="E204" s="385">
        <f t="shared" si="75"/>
        <v>57.920649813541871</v>
      </c>
      <c r="F204" s="385">
        <f t="shared" si="51"/>
        <v>59.101343689611298</v>
      </c>
      <c r="G204" s="110">
        <f t="shared" si="76"/>
        <v>0.98261172073396874</v>
      </c>
      <c r="H204" s="414" t="b">
        <f>Wh_hp&gt;='2026'!Maxi_hp</f>
        <v>0</v>
      </c>
      <c r="I204" s="390">
        <f>IF(H204,Wh_hp,'2026'!Maxi_hp)</f>
        <v>60.783742606554995</v>
      </c>
      <c r="J204" s="85">
        <f>IF(H204,An,'2026'!An_max)</f>
        <v>2021</v>
      </c>
      <c r="K204" s="197">
        <f t="shared" si="52"/>
        <v>46577</v>
      </c>
      <c r="L204" s="147">
        <f>IF(t&lt;Tvie,1-EXP((T0-t)*PertePVj)+'2026'!Pspv,1-EXP((T0-t)*PertePVj)+Pspv)</f>
        <v>9.4256841502942251E-2</v>
      </c>
      <c r="M204" s="843"/>
      <c r="N204" s="843"/>
      <c r="O204" s="48">
        <f>IF(t&lt;Tnet,'2026'!Resal+('2026'!Salim-'2026'!Resal)*(1-EXP(('2026'!Tnet-t)/('2026'!Tau_j))),Resal+(Salim-Resal)*(1-EXP((Tnet-t)/(Tau_j))))*Salcycl</f>
        <v>3.4666654009765242E-2</v>
      </c>
      <c r="P204" s="169">
        <f>(INDEX(Models!$BJ204:$BT204,,T204)*(1-R204)+INDEX(Models!$BJ204:$BT204,,T204+1)*R204-ERP_i)*Q204*Ramure*Pc/MaxiM</f>
        <v>2.0471471832514177E-2</v>
      </c>
      <c r="Q204" s="305">
        <f t="shared" si="53"/>
        <v>0.8</v>
      </c>
      <c r="R204" s="177">
        <f t="shared" si="54"/>
        <v>0.45954231285575897</v>
      </c>
      <c r="S204" s="809">
        <f t="shared" si="55"/>
        <v>3</v>
      </c>
      <c r="T204" s="176">
        <f t="shared" si="56"/>
        <v>9</v>
      </c>
      <c r="U204" s="251">
        <f t="shared" si="57"/>
        <v>3.459542312855759</v>
      </c>
      <c r="V204" s="383">
        <f t="shared" si="58"/>
        <v>51.512766522165457</v>
      </c>
      <c r="W204" s="402">
        <f t="shared" si="59"/>
        <v>50.642576915099674</v>
      </c>
      <c r="X204" s="157">
        <f t="shared" si="60"/>
        <v>46577</v>
      </c>
      <c r="Y204" s="385">
        <f t="shared" si="61"/>
        <v>44.986669713756704</v>
      </c>
      <c r="Z204" s="385">
        <f t="shared" si="62"/>
        <v>49.668241257715046</v>
      </c>
      <c r="AA204" s="386">
        <f t="shared" si="63"/>
        <v>57.290596571232328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0.13304723235060079</v>
      </c>
      <c r="AD204" s="231">
        <f>(INDEX(Models!$BJ204:$BT204,,AH204)*(1-AF204)+INDEX(Models!$BJ204:$BT204,,AH204+1)*AF204-ERP_i)*AE204*Ramure*Pc/MaxiM</f>
        <v>3.139565587746089E-2</v>
      </c>
      <c r="AE204" s="305">
        <f t="shared" si="65"/>
        <v>0.8</v>
      </c>
      <c r="AF204" s="177">
        <f t="shared" si="66"/>
        <v>0.66025906002066304</v>
      </c>
      <c r="AG204" s="809">
        <f t="shared" si="74"/>
        <v>4</v>
      </c>
      <c r="AH204" s="176">
        <f t="shared" si="67"/>
        <v>10</v>
      </c>
      <c r="AI204" s="225">
        <f t="shared" si="68"/>
        <v>4.660259060020663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IF(t&gt;Tmaj,'2026'!Wh/'2026'!Env_an*'2027'!Env_an,0.001*[9]mois!$B$149)</f>
        <v>50.053228688974052</v>
      </c>
      <c r="C205" s="839"/>
      <c r="D205" s="393">
        <f t="shared" si="50"/>
        <v>55.263371529814677</v>
      </c>
      <c r="E205" s="385">
        <f t="shared" si="75"/>
        <v>57.260970015434388</v>
      </c>
      <c r="F205" s="385">
        <f t="shared" si="51"/>
        <v>58.413688431128435</v>
      </c>
      <c r="G205" s="110">
        <f t="shared" si="76"/>
        <v>0.97327494654316671</v>
      </c>
      <c r="H205" s="414" t="b">
        <f>Wh_hp&gt;='2026'!Maxi_hp</f>
        <v>0</v>
      </c>
      <c r="I205" s="390">
        <f>IF(H205,Wh_hp,'2026'!Maxi_hp)</f>
        <v>60.976537805718309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9.4278410755843006E-2</v>
      </c>
      <c r="M205" s="843"/>
      <c r="N205" s="843"/>
      <c r="O205" s="48">
        <f>IF(t&lt;Tnet,'2026'!Resal+('2026'!Salim-'2026'!Resal)*(1-EXP(('2026'!Tnet-t)/('2026'!Tau_j))),Resal+(Salim-Resal)*(1-EXP((Tnet-t)/(Tau_j))))*Salcycl</f>
        <v>3.4885865277540271E-2</v>
      </c>
      <c r="P205" s="169">
        <f>(INDEX(Models!$BJ205:$BT205,,T205)*(1-R205)+INDEX(Models!$BJ205:$BT205,,T205+1)*R205-ERP_i)*Q205*Ramure*Pc/MaxiM</f>
        <v>2.0494019292000037E-2</v>
      </c>
      <c r="Q205" s="305">
        <f t="shared" si="53"/>
        <v>0.8</v>
      </c>
      <c r="R205" s="177">
        <f t="shared" si="54"/>
        <v>0.4639071780331534</v>
      </c>
      <c r="S205" s="809">
        <f t="shared" si="55"/>
        <v>3</v>
      </c>
      <c r="T205" s="176">
        <f t="shared" si="56"/>
        <v>9</v>
      </c>
      <c r="U205" s="251">
        <f t="shared" si="57"/>
        <v>3.4639071780331534</v>
      </c>
      <c r="V205" s="383">
        <f t="shared" si="58"/>
        <v>51.38774660144432</v>
      </c>
      <c r="W205" s="402">
        <f t="shared" si="59"/>
        <v>50.053228688974052</v>
      </c>
      <c r="X205" s="157">
        <f t="shared" si="60"/>
        <v>46578</v>
      </c>
      <c r="Y205" s="385">
        <f t="shared" si="61"/>
        <v>44.461067118993483</v>
      </c>
      <c r="Z205" s="385">
        <f t="shared" si="62"/>
        <v>49.089110436350694</v>
      </c>
      <c r="AA205" s="386">
        <f t="shared" si="63"/>
        <v>56.628817069208715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0.13314257692586789</v>
      </c>
      <c r="AD205" s="231">
        <f>(INDEX(Models!$BJ205:$BT205,,AH205)*(1-AF205)+INDEX(Models!$BJ205:$BT205,,AH205+1)*AF205-ERP_i)*AE205*Ramure*Pc/MaxiM</f>
        <v>3.1732977999572497E-2</v>
      </c>
      <c r="AE205" s="305">
        <f t="shared" si="65"/>
        <v>0.8</v>
      </c>
      <c r="AF205" s="177">
        <f t="shared" si="66"/>
        <v>0.66462392519805746</v>
      </c>
      <c r="AG205" s="809">
        <f t="shared" si="74"/>
        <v>4</v>
      </c>
      <c r="AH205" s="176">
        <f t="shared" si="67"/>
        <v>10</v>
      </c>
      <c r="AI205" s="225">
        <f t="shared" si="68"/>
        <v>4.6646239251980575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IF(t&gt;Tmaj,'2026'!Wh/'2026'!Env_an*'2027'!Env_an,0.001*[9]mois!$B$150)</f>
        <v>48.682555652558733</v>
      </c>
      <c r="C206" s="839"/>
      <c r="D206" s="393">
        <f t="shared" si="50"/>
        <v>53.751302363942045</v>
      </c>
      <c r="E206" s="385">
        <f t="shared" si="75"/>
        <v>55.706860339879775</v>
      </c>
      <c r="F206" s="385">
        <f t="shared" si="51"/>
        <v>56.788404419067604</v>
      </c>
      <c r="G206" s="110">
        <f t="shared" si="76"/>
        <v>0.94831825001233228</v>
      </c>
      <c r="H206" s="414" t="b">
        <f>Wh_hp&gt;='2026'!Maxi_hp</f>
        <v>0</v>
      </c>
      <c r="I206" s="390">
        <f>IF(H206,Wh_hp,'2026'!Maxi_hp)</f>
        <v>60.655127137032757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9.4299979506795722E-2</v>
      </c>
      <c r="M206" s="843"/>
      <c r="N206" s="843"/>
      <c r="O206" s="48">
        <f>IF(t&lt;Tnet,'2026'!Resal+('2026'!Salim-'2026'!Resal)*(1-EXP(('2026'!Tnet-t)/('2026'!Tau_j))),Resal+(Salim-Resal)*(1-EXP((Tnet-t)/(Tau_j))))*Salcycl</f>
        <v>3.5104437119709161E-2</v>
      </c>
      <c r="P206" s="169">
        <f>(INDEX(Models!$BJ206:$BT206,,T206)*(1-R206)+INDEX(Models!$BJ206:$BT206,,T206+1)*R206-ERP_i)*Q206*Ramure*Pc/MaxiM</f>
        <v>2.0518235588388341E-2</v>
      </c>
      <c r="Q206" s="305">
        <f t="shared" si="53"/>
        <v>0.8</v>
      </c>
      <c r="R206" s="177">
        <f t="shared" si="54"/>
        <v>0.46817473930319053</v>
      </c>
      <c r="S206" s="809">
        <f t="shared" si="55"/>
        <v>3</v>
      </c>
      <c r="T206" s="176">
        <f t="shared" si="56"/>
        <v>9</v>
      </c>
      <c r="U206" s="251">
        <f t="shared" si="57"/>
        <v>3.4681747393031905</v>
      </c>
      <c r="V206" s="383">
        <f t="shared" si="58"/>
        <v>51.25858340934537</v>
      </c>
      <c r="W206" s="402">
        <f t="shared" si="59"/>
        <v>48.682555652558733</v>
      </c>
      <c r="X206" s="157">
        <f t="shared" si="60"/>
        <v>46579</v>
      </c>
      <c r="Y206" s="385">
        <f t="shared" si="61"/>
        <v>43.252609202956222</v>
      </c>
      <c r="Z206" s="385">
        <f t="shared" si="62"/>
        <v>47.755998922692704</v>
      </c>
      <c r="AA206" s="386">
        <f t="shared" si="63"/>
        <v>55.096908483480931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0.13323632419392756</v>
      </c>
      <c r="AD206" s="231">
        <f>(INDEX(Models!$BJ206:$BT206,,AH206)*(1-AF206)+INDEX(Models!$BJ206:$BT206,,AH206+1)*AF206-ERP_i)*AE206*Ramure*Pc/MaxiM</f>
        <v>3.2089780500884485E-2</v>
      </c>
      <c r="AE206" s="305">
        <f t="shared" si="65"/>
        <v>0.8</v>
      </c>
      <c r="AF206" s="177">
        <f t="shared" si="66"/>
        <v>0.6688914864680946</v>
      </c>
      <c r="AG206" s="809">
        <f t="shared" si="74"/>
        <v>4</v>
      </c>
      <c r="AH206" s="176">
        <f t="shared" si="67"/>
        <v>10</v>
      </c>
      <c r="AI206" s="225">
        <f t="shared" si="68"/>
        <v>4.6688914864680946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IF(t&gt;Tmaj,'2026'!Wh/'2026'!Env_an*'2027'!Env_an,0.001*[9]mois!$B$151)</f>
        <v>48.356973350455156</v>
      </c>
      <c r="C207" s="839"/>
      <c r="D207" s="393">
        <f t="shared" ref="D207:D270" si="77">Wh/(1-Ppv)</f>
        <v>53.393092471871249</v>
      </c>
      <c r="E207" s="385">
        <f t="shared" si="75"/>
        <v>55.348119822810823</v>
      </c>
      <c r="F207" s="385">
        <f t="shared" ref="F207:F270" si="78">Wh_sa/(1-Pvg*MEDIAN((-Sdif+Wh/Env_an)/Csdif,0,1))</f>
        <v>56.417611701728333</v>
      </c>
      <c r="G207" s="110">
        <f t="shared" si="76"/>
        <v>0.94431674211535566</v>
      </c>
      <c r="H207" s="414" t="b">
        <f>Wh_hp&gt;='2026'!Maxi_hp</f>
        <v>0</v>
      </c>
      <c r="I207" s="390">
        <f>IF(H207,Wh_hp,'2026'!Maxi_hp)</f>
        <v>61.032000698200029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9.4321547755812057E-2</v>
      </c>
      <c r="M207" s="843"/>
      <c r="N207" s="843"/>
      <c r="O207" s="48">
        <f>IF(t&lt;Tnet,'2026'!Resal+('2026'!Salim-'2026'!Resal)*(1-EXP(('2026'!Tnet-t)/('2026'!Tau_j))),Resal+(Salim-Resal)*(1-EXP((Tnet-t)/(Tau_j))))*Salcycl</f>
        <v>3.5322380546951082E-2</v>
      </c>
      <c r="P207" s="169">
        <f>(INDEX(Models!$BJ207:$BT207,,T207)*(1-R207)+INDEX(Models!$BJ207:$BT207,,T207+1)*R207-ERP_i)*Q207*Ramure*Pc/MaxiM</f>
        <v>2.054611666999449E-2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0.47234473155925238</v>
      </c>
      <c r="S207" s="809">
        <f t="shared" ref="S207:S270" si="82">INDEX(Echel_vg,T207)</f>
        <v>3</v>
      </c>
      <c r="T207" s="176">
        <f t="shared" ref="T207:T270" si="83">MIN(MATCH(Hp_vg,Echel_vg),10)</f>
        <v>9</v>
      </c>
      <c r="U207" s="251">
        <f t="shared" ref="U207:U270" si="84">IF(OR(t&lt;Ttai,Notai),Hdd+PousH*Croivg,Hdtf+PousH*(Croivg-Croi_tai))</f>
        <v>3.4723447315592524</v>
      </c>
      <c r="V207" s="383">
        <f t="shared" ref="V207:V270" si="85">MaxiM*(1-Ppv)*(1-Pvg)*(1-Psa)</f>
        <v>51.125461177710896</v>
      </c>
      <c r="W207" s="402">
        <f t="shared" ref="W207:W270" si="86">Wh*(A207&gt;Tmaj)</f>
        <v>48.356973350455156</v>
      </c>
      <c r="X207" s="157">
        <f t="shared" ref="X207:X270" si="87">t</f>
        <v>46580</v>
      </c>
      <c r="Y207" s="385">
        <f t="shared" ref="Y207:Y270" si="88">Wh_pvt_s*(1-Ppv)</f>
        <v>42.957362245277594</v>
      </c>
      <c r="Z207" s="385">
        <f t="shared" ref="Z207:Z270" si="89">Wh_sa_s*(1-Psa_s)</f>
        <v>47.43114086333091</v>
      </c>
      <c r="AA207" s="386">
        <f t="shared" ref="AA207:AA270" si="90">Wh_hp*(1-Pvg_s*MEDIAN((-Sdif+Wh/Env_an)/Csdif,0,1))</f>
        <v>54.727936740868572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0.1333285395370791</v>
      </c>
      <c r="AD207" s="231">
        <f>(INDEX(Models!$BJ207:$BT207,,AH207)*(1-AF207)+INDEX(Models!$BJ207:$BT207,,AH207+1)*AF207-ERP_i)*AE207*Ramure*Pc/MaxiM</f>
        <v>3.2460516591608986E-2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0.673061478724156</v>
      </c>
      <c r="AG207" s="809">
        <f t="shared" si="74"/>
        <v>4</v>
      </c>
      <c r="AH207" s="176">
        <f t="shared" ref="AH207:AH270" si="94">MIN(MATCH(Hp_vg_s,Echel_vg),10)</f>
        <v>10</v>
      </c>
      <c r="AI207" s="225">
        <f t="shared" ref="AI207:AI270" si="95">IF(OR(t&lt;Ttai,Notai),Hdd_s+PousH*Croivg,Hdtai_s+PousH*(Croivg-Croi_tai))</f>
        <v>4.673061478724156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IF(t&gt;Tmaj,'2026'!Wh/'2026'!Env_an*'2027'!Env_an,0.001*[9]mois!$B$152)</f>
        <v>48.030111522795529</v>
      </c>
      <c r="C208" s="839"/>
      <c r="D208" s="393">
        <f t="shared" si="77"/>
        <v>53.033452673929872</v>
      </c>
      <c r="E208" s="385">
        <f t="shared" si="75"/>
        <v>54.987699407262191</v>
      </c>
      <c r="F208" s="385">
        <f t="shared" si="78"/>
        <v>56.045389298796074</v>
      </c>
      <c r="G208" s="110">
        <f t="shared" si="76"/>
        <v>0.94033860469706732</v>
      </c>
      <c r="H208" s="414" t="b">
        <f>Wh_hp&gt;='2026'!Maxi_hp</f>
        <v>0</v>
      </c>
      <c r="I208" s="390">
        <f>IF(H208,Wh_hp,'2026'!Maxi_hp)</f>
        <v>56.133262205738227</v>
      </c>
      <c r="J208" s="85">
        <f>IF(H208,An,'2026'!An_max)</f>
        <v>2022</v>
      </c>
      <c r="K208" s="197">
        <f t="shared" si="79"/>
        <v>46581</v>
      </c>
      <c r="L208" s="147">
        <f>IF(t&lt;Tvie,1-EXP((T0-t)*PertePVj)+'2026'!Pspv,1-EXP((T0-t)*PertePVj)+Pspv)</f>
        <v>9.4343115502903779E-2</v>
      </c>
      <c r="M208" s="843"/>
      <c r="N208" s="843"/>
      <c r="O208" s="48">
        <f>IF(t&lt;Tnet,'2026'!Resal+('2026'!Salim-'2026'!Resal)*(1-EXP(('2026'!Tnet-t)/('2026'!Tau_j))),Resal+(Salim-Resal)*(1-EXP((Tnet-t)/(Tau_j))))*Salcycl</f>
        <v>3.5539707141743496E-2</v>
      </c>
      <c r="P208" s="169">
        <f>(INDEX(Models!$BJ208:$BT208,,T208)*(1-R208)+INDEX(Models!$BJ208:$BT208,,T208+1)*R208-ERP_i)*Q208*Ramure*Pc/MaxiM</f>
        <v>2.0577733700630457E-2</v>
      </c>
      <c r="Q208" s="305">
        <f t="shared" si="80"/>
        <v>0.8</v>
      </c>
      <c r="R208" s="177">
        <f t="shared" si="81"/>
        <v>0.476417062620067</v>
      </c>
      <c r="S208" s="809">
        <f t="shared" si="82"/>
        <v>3</v>
      </c>
      <c r="T208" s="176">
        <f t="shared" si="83"/>
        <v>9</v>
      </c>
      <c r="U208" s="251">
        <f t="shared" si="84"/>
        <v>3.476417062620067</v>
      </c>
      <c r="V208" s="383">
        <f t="shared" si="85"/>
        <v>50.988665128757965</v>
      </c>
      <c r="W208" s="402">
        <f t="shared" si="86"/>
        <v>48.030111522795529</v>
      </c>
      <c r="X208" s="157">
        <f t="shared" si="87"/>
        <v>46581</v>
      </c>
      <c r="Y208" s="385">
        <f t="shared" si="88"/>
        <v>42.660839755047256</v>
      </c>
      <c r="Z208" s="385">
        <f t="shared" si="89"/>
        <v>47.104858898893553</v>
      </c>
      <c r="AA208" s="386">
        <f t="shared" si="90"/>
        <v>54.357151385523125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0.13341928893943225</v>
      </c>
      <c r="AD208" s="231">
        <f>(INDEX(Models!$BJ208:$BT208,,AH208)*(1-AF208)+INDEX(Models!$BJ208:$BT208,,AH208+1)*AF208-ERP_i)*AE208*Ramure*Pc/MaxiM</f>
        <v>3.2845270131359579E-2</v>
      </c>
      <c r="AE208" s="305">
        <f t="shared" si="92"/>
        <v>0.8</v>
      </c>
      <c r="AF208" s="177">
        <f t="shared" si="93"/>
        <v>0.67713380978497106</v>
      </c>
      <c r="AG208" s="809">
        <f t="shared" ref="AG208:AG271" si="99">INDEX(Echel_vg,AH208)</f>
        <v>4</v>
      </c>
      <c r="AH208" s="176">
        <f t="shared" si="94"/>
        <v>10</v>
      </c>
      <c r="AI208" s="225">
        <f t="shared" si="95"/>
        <v>4.6771338097849711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IF(t&gt;Tmaj,'2026'!Wh/'2026'!Env_an*'2027'!Env_an,0.001*[9]mois!$B$153)</f>
        <v>47.333316889504069</v>
      </c>
      <c r="C209" s="839"/>
      <c r="D209" s="393">
        <f t="shared" si="77"/>
        <v>52.26531694140801</v>
      </c>
      <c r="E209" s="385">
        <f t="shared" si="75"/>
        <v>54.203438333360282</v>
      </c>
      <c r="F209" s="385">
        <f t="shared" si="78"/>
        <v>55.229461096930045</v>
      </c>
      <c r="G209" s="110">
        <f t="shared" si="76"/>
        <v>0.92893899853056028</v>
      </c>
      <c r="H209" s="414" t="b">
        <f>Wh_hp&gt;='2026'!Maxi_hp</f>
        <v>0</v>
      </c>
      <c r="I209" s="390">
        <f>IF(H209,Wh_hp,'2026'!Maxi_hp)</f>
        <v>60.641960912358456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9.4364682748082435E-2</v>
      </c>
      <c r="M209" s="843"/>
      <c r="N209" s="843"/>
      <c r="O209" s="48">
        <f>IF(t&lt;Tnet,'2026'!Resal+('2026'!Salim-'2026'!Resal)*(1-EXP(('2026'!Tnet-t)/('2026'!Tau_j))),Resal+(Salim-Resal)*(1-EXP((Tnet-t)/(Tau_j))))*Salcycl</f>
        <v>3.5756428956268418E-2</v>
      </c>
      <c r="P209" s="169">
        <f>(INDEX(Models!$BJ209:$BT209,,T209)*(1-R209)+INDEX(Models!$BJ209:$BT209,,T209+1)*R209-ERP_i)*Q209*Ramure*Pc/MaxiM</f>
        <v>2.0613154774167541E-2</v>
      </c>
      <c r="Q209" s="305">
        <f t="shared" si="80"/>
        <v>0.8</v>
      </c>
      <c r="R209" s="177">
        <f t="shared" si="81"/>
        <v>0.48039180557782668</v>
      </c>
      <c r="S209" s="809">
        <f t="shared" si="82"/>
        <v>3</v>
      </c>
      <c r="T209" s="176">
        <f t="shared" si="83"/>
        <v>9</v>
      </c>
      <c r="U209" s="251">
        <f t="shared" si="84"/>
        <v>3.4803918055778267</v>
      </c>
      <c r="V209" s="383">
        <f t="shared" si="85"/>
        <v>50.848480410561287</v>
      </c>
      <c r="W209" s="402">
        <f t="shared" si="86"/>
        <v>47.333316889504069</v>
      </c>
      <c r="X209" s="157">
        <f t="shared" si="87"/>
        <v>46582</v>
      </c>
      <c r="Y209" s="385">
        <f t="shared" si="88"/>
        <v>42.041439689365937</v>
      </c>
      <c r="Z209" s="385">
        <f t="shared" si="89"/>
        <v>46.422040846350306</v>
      </c>
      <c r="AA209" s="386">
        <f t="shared" si="90"/>
        <v>53.574730129221152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0.13350863859918119</v>
      </c>
      <c r="AD209" s="231">
        <f>(INDEX(Models!$BJ209:$BT209,,AH209)*(1-AF209)+INDEX(Models!$BJ209:$BT209,,AH209+1)*AF209-ERP_i)*AE209*Ramure*Pc/MaxiM</f>
        <v>3.3244121629736362E-2</v>
      </c>
      <c r="AE209" s="305">
        <f t="shared" si="92"/>
        <v>0.8</v>
      </c>
      <c r="AF209" s="177">
        <f t="shared" si="93"/>
        <v>0.68110855274272986</v>
      </c>
      <c r="AG209" s="809">
        <f t="shared" si="99"/>
        <v>4</v>
      </c>
      <c r="AH209" s="176">
        <f t="shared" si="94"/>
        <v>10</v>
      </c>
      <c r="AI209" s="225">
        <f t="shared" si="95"/>
        <v>4.6811085527427299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IF(t&gt;Tmaj,'2026'!Wh/'2026'!Env_an*'2027'!Env_an,0.001*[9]mois!$B$154)</f>
        <v>45.750828272416669</v>
      </c>
      <c r="C210" s="839"/>
      <c r="D210" s="393">
        <f t="shared" si="77"/>
        <v>50.519140468793246</v>
      </c>
      <c r="E210" s="385">
        <f t="shared" si="75"/>
        <v>52.404255614822681</v>
      </c>
      <c r="F210" s="385">
        <f t="shared" si="78"/>
        <v>53.352309170881057</v>
      </c>
      <c r="G210" s="110">
        <f t="shared" si="76"/>
        <v>0.89964265126582577</v>
      </c>
      <c r="H210" s="414" t="b">
        <f>Wh_hp&gt;='2026'!Maxi_hp</f>
        <v>0</v>
      </c>
      <c r="I210" s="390">
        <f>IF(H210,Wh_hp,'2026'!Maxi_hp)</f>
        <v>61.822480130513313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9.4386249491359903E-2</v>
      </c>
      <c r="M210" s="843"/>
      <c r="N210" s="843"/>
      <c r="O210" s="48">
        <f>IF(t&lt;Tnet,'2026'!Resal+('2026'!Salim-'2026'!Resal)*(1-EXP(('2026'!Tnet-t)/('2026'!Tau_j))),Resal+(Salim-Resal)*(1-EXP((Tnet-t)/(Tau_j))))*Salcycl</f>
        <v>3.5972558409859801E-2</v>
      </c>
      <c r="P210" s="169">
        <f>(INDEX(Models!$BJ210:$BT210,,T210)*(1-R210)+INDEX(Models!$BJ210:$BT210,,T210+1)*R210-ERP_i)*Q210*Ramure*Pc/MaxiM</f>
        <v>2.0652444435627623E-2</v>
      </c>
      <c r="Q210" s="305">
        <f t="shared" si="80"/>
        <v>0.8</v>
      </c>
      <c r="R210" s="177">
        <f t="shared" si="81"/>
        <v>0.48426919086400932</v>
      </c>
      <c r="S210" s="809">
        <f t="shared" si="82"/>
        <v>3</v>
      </c>
      <c r="T210" s="176">
        <f t="shared" si="83"/>
        <v>9</v>
      </c>
      <c r="U210" s="251">
        <f t="shared" si="84"/>
        <v>3.4842691908640093</v>
      </c>
      <c r="V210" s="383">
        <f t="shared" si="85"/>
        <v>50.705192120943899</v>
      </c>
      <c r="W210" s="402">
        <f t="shared" si="86"/>
        <v>45.750828272416669</v>
      </c>
      <c r="X210" s="157">
        <f t="shared" si="87"/>
        <v>46583</v>
      </c>
      <c r="Y210" s="385">
        <f t="shared" si="88"/>
        <v>40.649373777985438</v>
      </c>
      <c r="Z210" s="385">
        <f t="shared" si="89"/>
        <v>44.885994448687008</v>
      </c>
      <c r="AA210" s="386">
        <f t="shared" si="90"/>
        <v>51.807272772545701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0.13359665455168476</v>
      </c>
      <c r="AD210" s="231">
        <f>(INDEX(Models!$BJ210:$BT210,,AH210)*(1-AF210)+INDEX(Models!$BJ210:$BT210,,AH210+1)*AF210-ERP_i)*AE210*Ramure*Pc/MaxiM</f>
        <v>3.3657147493129973E-2</v>
      </c>
      <c r="AE210" s="305">
        <f t="shared" si="92"/>
        <v>0.8</v>
      </c>
      <c r="AF210" s="177">
        <f t="shared" si="93"/>
        <v>0.68498593802891339</v>
      </c>
      <c r="AG210" s="809">
        <f t="shared" si="99"/>
        <v>4</v>
      </c>
      <c r="AH210" s="176">
        <f t="shared" si="94"/>
        <v>10</v>
      </c>
      <c r="AI210" s="225">
        <f t="shared" si="95"/>
        <v>4.6849859380289134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IF(t&gt;Tmaj,'2026'!Wh/'2026'!Env_an*'2027'!Env_an,0.001*[9]mois!$B$155)</f>
        <v>47.418596032092303</v>
      </c>
      <c r="C211" s="839"/>
      <c r="D211" s="393">
        <f t="shared" si="77"/>
        <v>52.361975794281413</v>
      </c>
      <c r="E211" s="385">
        <f t="shared" si="75"/>
        <v>54.32800346110578</v>
      </c>
      <c r="F211" s="385">
        <f t="shared" si="78"/>
        <v>55.372281043668337</v>
      </c>
      <c r="G211" s="110">
        <f t="shared" si="76"/>
        <v>0.93612928167747045</v>
      </c>
      <c r="H211" s="414" t="b">
        <f>Wh_hp&gt;='2026'!Maxi_hp</f>
        <v>0</v>
      </c>
      <c r="I211" s="390">
        <f>IF(H211,Wh_hp,'2026'!Maxi_hp)</f>
        <v>59.884372222442117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9.4407815732747619E-2</v>
      </c>
      <c r="M211" s="843"/>
      <c r="N211" s="843"/>
      <c r="O211" s="48">
        <f>IF(t&lt;Tnet,'2026'!Resal+('2026'!Salim-'2026'!Resal)*(1-EXP(('2026'!Tnet-t)/('2026'!Tau_j))),Resal+(Salim-Resal)*(1-EXP((Tnet-t)/(Tau_j))))*Salcycl</f>
        <v>3.618810818681889E-2</v>
      </c>
      <c r="P211" s="169">
        <f>(INDEX(Models!$BJ211:$BT211,,T211)*(1-R211)+INDEX(Models!$BJ211:$BT211,,T211+1)*R211-ERP_i)*Q211*Ramure*Pc/MaxiM</f>
        <v>2.0695663221042479E-2</v>
      </c>
      <c r="Q211" s="305">
        <f t="shared" si="80"/>
        <v>0.8</v>
      </c>
      <c r="R211" s="177">
        <f t="shared" si="81"/>
        <v>0.48804959809761916</v>
      </c>
      <c r="S211" s="809">
        <f t="shared" si="82"/>
        <v>3</v>
      </c>
      <c r="T211" s="176">
        <f t="shared" si="83"/>
        <v>9</v>
      </c>
      <c r="U211" s="251">
        <f t="shared" si="84"/>
        <v>3.4880495980976192</v>
      </c>
      <c r="V211" s="383">
        <f t="shared" si="85"/>
        <v>50.559085322291445</v>
      </c>
      <c r="W211" s="402">
        <f t="shared" si="86"/>
        <v>47.418596032092303</v>
      </c>
      <c r="X211" s="157">
        <f t="shared" si="87"/>
        <v>46584</v>
      </c>
      <c r="Y211" s="385">
        <f t="shared" si="88"/>
        <v>42.091911035740907</v>
      </c>
      <c r="Z211" s="385">
        <f t="shared" si="89"/>
        <v>46.479984883923223</v>
      </c>
      <c r="AA211" s="386">
        <f t="shared" si="90"/>
        <v>53.652423383829891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0.13368340230589365</v>
      </c>
      <c r="AD211" s="231">
        <f>(INDEX(Models!$BJ211:$BT211,,AH211)*(1-AF211)+INDEX(Models!$BJ211:$BT211,,AH211+1)*AF211-ERP_i)*AE211*Ramure*Pc/MaxiM</f>
        <v>3.4084419229610717E-2</v>
      </c>
      <c r="AE211" s="305">
        <f t="shared" si="92"/>
        <v>0.8</v>
      </c>
      <c r="AF211" s="177">
        <f t="shared" si="93"/>
        <v>0.68876634526252278</v>
      </c>
      <c r="AG211" s="809">
        <f t="shared" si="99"/>
        <v>4</v>
      </c>
      <c r="AH211" s="176">
        <f t="shared" si="94"/>
        <v>10</v>
      </c>
      <c r="AI211" s="225">
        <f t="shared" si="95"/>
        <v>4.6887663452625228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IF(t&gt;Tmaj,'2026'!Wh/'2026'!Env_an*'2027'!Env_an,0.001*[9]mois!$B$156)</f>
        <v>46.824836199808196</v>
      </c>
      <c r="C212" s="839"/>
      <c r="D212" s="393">
        <f t="shared" si="77"/>
        <v>51.707547972277432</v>
      </c>
      <c r="E212" s="385">
        <f t="shared" si="75"/>
        <v>53.660973272739668</v>
      </c>
      <c r="F212" s="385">
        <f t="shared" si="78"/>
        <v>54.680841775831432</v>
      </c>
      <c r="G212" s="110">
        <f t="shared" si="76"/>
        <v>0.92689198099255632</v>
      </c>
      <c r="H212" s="414" t="b">
        <f>Wh_hp&gt;='2026'!Maxi_hp</f>
        <v>0</v>
      </c>
      <c r="I212" s="390">
        <f>IF(H212,Wh_hp,'2026'!Maxi_hp)</f>
        <v>59.284108427339568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9.4429381472257462E-2</v>
      </c>
      <c r="M212" s="843"/>
      <c r="N212" s="843"/>
      <c r="O212" s="48">
        <f>IF(t&lt;Tnet,'2026'!Resal+('2026'!Salim-'2026'!Resal)*(1-EXP(('2026'!Tnet-t)/('2026'!Tau_j))),Resal+(Salim-Resal)*(1-EXP((Tnet-t)/(Tau_j))))*Salcycl</f>
        <v>3.640309113540794E-2</v>
      </c>
      <c r="P212" s="169">
        <f>(INDEX(Models!$BJ212:$BT212,,T212)*(1-R212)+INDEX(Models!$BJ212:$BT212,,T212+1)*R212-ERP_i)*Q212*Ramure*Pc/MaxiM</f>
        <v>2.076029659262147E-2</v>
      </c>
      <c r="Q212" s="305">
        <f t="shared" si="80"/>
        <v>0.8</v>
      </c>
      <c r="R212" s="177">
        <f t="shared" si="81"/>
        <v>0.49173354777751088</v>
      </c>
      <c r="S212" s="809">
        <f t="shared" si="82"/>
        <v>3</v>
      </c>
      <c r="T212" s="176">
        <f t="shared" si="83"/>
        <v>9</v>
      </c>
      <c r="U212" s="251">
        <f t="shared" si="84"/>
        <v>3.4917335477775109</v>
      </c>
      <c r="V212" s="383">
        <f t="shared" si="85"/>
        <v>50.409547829910665</v>
      </c>
      <c r="W212" s="402">
        <f t="shared" si="86"/>
        <v>46.824836199808196</v>
      </c>
      <c r="X212" s="157">
        <f t="shared" si="87"/>
        <v>46585</v>
      </c>
      <c r="Y212" s="385">
        <f t="shared" si="88"/>
        <v>41.561957206422491</v>
      </c>
      <c r="Z212" s="385">
        <f t="shared" si="89"/>
        <v>45.895876429817299</v>
      </c>
      <c r="AA212" s="386">
        <f t="shared" si="90"/>
        <v>52.983411578458409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0.13376894649650506</v>
      </c>
      <c r="AD212" s="231">
        <f>(INDEX(Models!$BJ212:$BT212,,AH212)*(1-AF212)+INDEX(Models!$BJ212:$BT212,,AH212+1)*AF212-ERP_i)*AE212*Ramure*Pc/MaxiM</f>
        <v>3.4552645008554712E-2</v>
      </c>
      <c r="AE212" s="305">
        <f t="shared" si="92"/>
        <v>0.8</v>
      </c>
      <c r="AF212" s="177">
        <f t="shared" si="93"/>
        <v>0.6924502949424145</v>
      </c>
      <c r="AG212" s="809">
        <f t="shared" si="99"/>
        <v>4</v>
      </c>
      <c r="AH212" s="176">
        <f t="shared" si="94"/>
        <v>10</v>
      </c>
      <c r="AI212" s="225">
        <f t="shared" si="95"/>
        <v>4.6924502949424145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IF(t&gt;Tmaj,'2026'!Wh/'2026'!Env_an*'2027'!Env_an,0.001*[9]mois!$B$157)</f>
        <v>46.904037486144276</v>
      </c>
      <c r="C213" s="839"/>
      <c r="D213" s="393">
        <f t="shared" si="77"/>
        <v>51.796241535154302</v>
      </c>
      <c r="E213" s="385">
        <f t="shared" si="75"/>
        <v>53.764981842134347</v>
      </c>
      <c r="F213" s="385">
        <f t="shared" si="78"/>
        <v>54.798554140745679</v>
      </c>
      <c r="G213" s="110">
        <f t="shared" si="76"/>
        <v>0.93139776550030151</v>
      </c>
      <c r="H213" s="414" t="b">
        <f>Wh_hp&gt;='2026'!Maxi_hp</f>
        <v>0</v>
      </c>
      <c r="I213" s="390">
        <f>IF(H213,Wh_hp,'2026'!Maxi_hp)</f>
        <v>54.898695193030804</v>
      </c>
      <c r="J213" s="85">
        <f>IF(H213,An,'2026'!An_max)</f>
        <v>2022</v>
      </c>
      <c r="K213" s="197">
        <f t="shared" si="79"/>
        <v>46586</v>
      </c>
      <c r="L213" s="147">
        <f>IF(t&lt;Tvie,1-EXP((T0-t)*PertePVj)+'2026'!Pspv,1-EXP((T0-t)*PertePVj)+Pspv)</f>
        <v>9.445094670990109E-2</v>
      </c>
      <c r="M213" s="843"/>
      <c r="N213" s="843"/>
      <c r="O213" s="48">
        <f>IF(t&lt;Tnet,'2026'!Resal+('2026'!Salim-'2026'!Resal)*(1-EXP(('2026'!Tnet-t)/('2026'!Tau_j))),Resal+(Salim-Resal)*(1-EXP((Tnet-t)/(Tau_j))))*Salcycl</f>
        <v>3.6617520168809682E-2</v>
      </c>
      <c r="P213" s="169">
        <f>(INDEX(Models!$BJ213:$BT213,,T213)*(1-R213)+INDEX(Models!$BJ213:$BT213,,T213+1)*R213-ERP_i)*Q213*Ramure*Pc/MaxiM</f>
        <v>2.0848206723219471E-2</v>
      </c>
      <c r="Q213" s="305">
        <f t="shared" si="80"/>
        <v>0.8</v>
      </c>
      <c r="R213" s="177">
        <f t="shared" si="81"/>
        <v>0.49532169287705941</v>
      </c>
      <c r="S213" s="809">
        <f t="shared" si="82"/>
        <v>3</v>
      </c>
      <c r="T213" s="176">
        <f t="shared" si="83"/>
        <v>9</v>
      </c>
      <c r="U213" s="251">
        <f t="shared" si="84"/>
        <v>3.4953216928770594</v>
      </c>
      <c r="V213" s="383">
        <f t="shared" si="85"/>
        <v>50.256779658894459</v>
      </c>
      <c r="W213" s="402">
        <f t="shared" si="86"/>
        <v>46.904037486144276</v>
      </c>
      <c r="X213" s="157">
        <f t="shared" si="87"/>
        <v>46586</v>
      </c>
      <c r="Y213" s="385">
        <f t="shared" si="88"/>
        <v>41.617424501523516</v>
      </c>
      <c r="Z213" s="385">
        <f t="shared" si="89"/>
        <v>45.95822208671791</v>
      </c>
      <c r="AA213" s="386">
        <f t="shared" si="90"/>
        <v>53.06055517979074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0.13385335055404601</v>
      </c>
      <c r="AD213" s="231">
        <f>(INDEX(Models!$BJ213:$BT213,,AH213)*(1-AF213)+INDEX(Models!$BJ213:$BT213,,AH213+1)*AF213-ERP_i)*AE213*Ramure*Pc/MaxiM</f>
        <v>3.505721048388382E-2</v>
      </c>
      <c r="AE213" s="305">
        <f t="shared" si="92"/>
        <v>0.8</v>
      </c>
      <c r="AF213" s="177">
        <f t="shared" si="93"/>
        <v>0.69603844004196258</v>
      </c>
      <c r="AG213" s="809">
        <f t="shared" si="99"/>
        <v>4</v>
      </c>
      <c r="AH213" s="176">
        <f t="shared" si="94"/>
        <v>10</v>
      </c>
      <c r="AI213" s="225">
        <f t="shared" si="95"/>
        <v>4.6960384400419626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IF(t&gt;Tmaj,'2026'!Wh/'2026'!Env_an*'2027'!Env_an,0.001*[9]mois!$B$158)</f>
        <v>39.875447772381563</v>
      </c>
      <c r="C214" s="839"/>
      <c r="D214" s="393">
        <f t="shared" si="77"/>
        <v>44.035601653621129</v>
      </c>
      <c r="E214" s="385">
        <f t="shared" si="75"/>
        <v>45.719515801382109</v>
      </c>
      <c r="F214" s="385">
        <f t="shared" si="78"/>
        <v>46.408611255498798</v>
      </c>
      <c r="G214" s="110">
        <f t="shared" si="76"/>
        <v>0.79096299369064405</v>
      </c>
      <c r="H214" s="414" t="b">
        <f>Wh_hp&gt;='2026'!Maxi_hp</f>
        <v>0</v>
      </c>
      <c r="I214" s="390">
        <f>IF(H214,Wh_hp,'2026'!Maxi_hp)</f>
        <v>58.756624023834831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9.4472511445690049E-2</v>
      </c>
      <c r="M214" s="843"/>
      <c r="N214" s="843"/>
      <c r="O214" s="48">
        <f>IF(t&lt;Tnet,'2026'!Resal+('2026'!Salim-'2026'!Resal)*(1-EXP(('2026'!Tnet-t)/('2026'!Tau_j))),Resal+(Salim-Resal)*(1-EXP((Tnet-t)/(Tau_j))))*Salcycl</f>
        <v>3.6831408168808089E-2</v>
      </c>
      <c r="P214" s="169">
        <f>(INDEX(Models!$BJ214:$BT214,,T214)*(1-R214)+INDEX(Models!$BJ214:$BT214,,T214+1)*R214-ERP_i)*Q214*Ramure*Pc/MaxiM</f>
        <v>2.0959674600984426E-2</v>
      </c>
      <c r="Q214" s="305">
        <f t="shared" si="80"/>
        <v>0.8</v>
      </c>
      <c r="R214" s="177">
        <f t="shared" si="81"/>
        <v>0.49881481039573572</v>
      </c>
      <c r="S214" s="809">
        <f t="shared" si="82"/>
        <v>3</v>
      </c>
      <c r="T214" s="176">
        <f t="shared" si="83"/>
        <v>9</v>
      </c>
      <c r="U214" s="251">
        <f t="shared" si="84"/>
        <v>3.4988148103957357</v>
      </c>
      <c r="V214" s="383">
        <f t="shared" si="85"/>
        <v>50.10106278429317</v>
      </c>
      <c r="W214" s="402">
        <f t="shared" si="86"/>
        <v>39.875447772381563</v>
      </c>
      <c r="X214" s="157">
        <f t="shared" si="87"/>
        <v>46587</v>
      </c>
      <c r="Y214" s="385">
        <f t="shared" si="88"/>
        <v>35.477822946000018</v>
      </c>
      <c r="Z214" s="385">
        <f t="shared" si="89"/>
        <v>39.179178318088347</v>
      </c>
      <c r="AA214" s="386">
        <f t="shared" si="90"/>
        <v>45.238237493996813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0.13393667639488632</v>
      </c>
      <c r="AD214" s="231">
        <f>(INDEX(Models!$BJ214:$BT214,,AH214)*(1-AF214)+INDEX(Models!$BJ214:$BT214,,AH214+1)*AF214-ERP_i)*AE214*Ramure*Pc/MaxiM</f>
        <v>3.5598338453786599E-2</v>
      </c>
      <c r="AE214" s="305">
        <f t="shared" si="92"/>
        <v>0.8</v>
      </c>
      <c r="AF214" s="177">
        <f t="shared" si="93"/>
        <v>0.69953155756063889</v>
      </c>
      <c r="AG214" s="809">
        <f t="shared" si="99"/>
        <v>4</v>
      </c>
      <c r="AH214" s="176">
        <f t="shared" si="94"/>
        <v>10</v>
      </c>
      <c r="AI214" s="225">
        <f t="shared" si="95"/>
        <v>4.6995315575606389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IF(t&gt;Tmaj,'2026'!Wh/'2026'!Env_an*'2027'!Env_an,0.001*[9]mois!$B$159)</f>
        <v>38.456823936891702</v>
      </c>
      <c r="C215" s="839"/>
      <c r="D215" s="393">
        <f t="shared" si="77"/>
        <v>42.469986008932892</v>
      </c>
      <c r="E215" s="385">
        <f t="shared" si="75"/>
        <v>44.103801083257075</v>
      </c>
      <c r="F215" s="385">
        <f t="shared" si="78"/>
        <v>44.737478252741212</v>
      </c>
      <c r="G215" s="110">
        <f t="shared" si="76"/>
        <v>0.76460584196325676</v>
      </c>
      <c r="H215" s="414" t="b">
        <f>Wh_hp&gt;='2026'!Maxi_hp</f>
        <v>0</v>
      </c>
      <c r="I215" s="390">
        <f>IF(H215,Wh_hp,'2026'!Maxi_hp)</f>
        <v>56.850317250869089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9.4494075679636108E-2</v>
      </c>
      <c r="M215" s="843"/>
      <c r="N215" s="843"/>
      <c r="O215" s="48">
        <f>IF(t&lt;Tnet,'2026'!Resal+('2026'!Salim-'2026'!Resal)*(1-EXP(('2026'!Tnet-t)/('2026'!Tau_j))),Resal+(Salim-Resal)*(1-EXP((Tnet-t)/(Tau_j))))*Salcycl</f>
        <v>3.7044767892906699E-2</v>
      </c>
      <c r="P215" s="169">
        <f>(INDEX(Models!$BJ215:$BT215,,T215)*(1-R215)+INDEX(Models!$BJ215:$BT215,,T215+1)*R215-ERP_i)*Q215*Ramure*Pc/MaxiM</f>
        <v>2.1094972789073959E-2</v>
      </c>
      <c r="Q215" s="305">
        <f t="shared" si="80"/>
        <v>0.8</v>
      </c>
      <c r="R215" s="177">
        <f t="shared" si="81"/>
        <v>0.50221379291825796</v>
      </c>
      <c r="S215" s="809">
        <f t="shared" si="82"/>
        <v>3</v>
      </c>
      <c r="T215" s="176">
        <f t="shared" si="83"/>
        <v>9</v>
      </c>
      <c r="U215" s="251">
        <f t="shared" si="84"/>
        <v>3.502213792918258</v>
      </c>
      <c r="V215" s="383">
        <f t="shared" si="85"/>
        <v>49.942679646566077</v>
      </c>
      <c r="W215" s="402">
        <f t="shared" si="86"/>
        <v>38.456823936891702</v>
      </c>
      <c r="X215" s="157">
        <f t="shared" si="87"/>
        <v>46588</v>
      </c>
      <c r="Y215" s="385">
        <f t="shared" si="88"/>
        <v>34.228793116417634</v>
      </c>
      <c r="Z215" s="385">
        <f t="shared" si="89"/>
        <v>37.800739009088623</v>
      </c>
      <c r="AA215" s="386">
        <f t="shared" si="90"/>
        <v>43.650770994375605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0.13401898413296662</v>
      </c>
      <c r="AD215" s="231">
        <f>(INDEX(Models!$BJ215:$BT215,,AH215)*(1-AF215)+INDEX(Models!$BJ215:$BT215,,AH215+1)*AF215-ERP_i)*AE215*Ramure*Pc/MaxiM</f>
        <v>3.6176244227914156E-2</v>
      </c>
      <c r="AE215" s="305">
        <f t="shared" si="92"/>
        <v>0.8</v>
      </c>
      <c r="AF215" s="177">
        <f t="shared" si="93"/>
        <v>0.70293054008316158</v>
      </c>
      <c r="AG215" s="809">
        <f t="shared" si="99"/>
        <v>4</v>
      </c>
      <c r="AH215" s="176">
        <f t="shared" si="94"/>
        <v>10</v>
      </c>
      <c r="AI215" s="225">
        <f t="shared" si="95"/>
        <v>4.7029305400831616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IF(t&gt;Tmaj,'2026'!Wh/'2026'!Env_an*'2027'!Env_an,0.001*[9]mois!$B$160)</f>
        <v>45.555376015442341</v>
      </c>
      <c r="C216" s="839"/>
      <c r="D216" s="393">
        <f t="shared" si="77"/>
        <v>50.310505623583857</v>
      </c>
      <c r="E216" s="385">
        <f t="shared" si="75"/>
        <v>52.257495093903806</v>
      </c>
      <c r="F216" s="385">
        <f t="shared" si="78"/>
        <v>53.252056156837511</v>
      </c>
      <c r="G216" s="110">
        <f t="shared" si="76"/>
        <v>0.91269502713832595</v>
      </c>
      <c r="H216" s="414" t="b">
        <f>Wh_hp&gt;='2026'!Maxi_hp</f>
        <v>0</v>
      </c>
      <c r="I216" s="390">
        <f>IF(H216,Wh_hp,'2026'!Maxi_hp)</f>
        <v>53.378703386572745</v>
      </c>
      <c r="J216" s="85">
        <f>IF(H216,An,'2026'!An_max)</f>
        <v>2022</v>
      </c>
      <c r="K216" s="197">
        <f t="shared" si="79"/>
        <v>46589</v>
      </c>
      <c r="L216" s="147">
        <f>IF(t&lt;Tvie,1-EXP((T0-t)*PertePVj)+'2026'!Pspv,1-EXP((T0-t)*PertePVj)+Pspv)</f>
        <v>9.4515639411750924E-2</v>
      </c>
      <c r="M216" s="843"/>
      <c r="N216" s="843"/>
      <c r="O216" s="48">
        <f>IF(t&lt;Tnet,'2026'!Resal+('2026'!Salim-'2026'!Resal)*(1-EXP(('2026'!Tnet-t)/('2026'!Tau_j))),Resal+(Salim-Resal)*(1-EXP((Tnet-t)/(Tau_j))))*Salcycl</f>
        <v>3.7257611885554813E-2</v>
      </c>
      <c r="P216" s="169">
        <f>(INDEX(Models!$BJ216:$BT216,,T216)*(1-R216)+INDEX(Models!$BJ216:$BT216,,T216+1)*R216-ERP_i)*Q216*Ramure*Pc/MaxiM</f>
        <v>2.1254364854134736E-2</v>
      </c>
      <c r="Q216" s="305">
        <f t="shared" si="80"/>
        <v>0.8</v>
      </c>
      <c r="R216" s="177">
        <f t="shared" si="81"/>
        <v>0.50551964022792983</v>
      </c>
      <c r="S216" s="809">
        <f t="shared" si="82"/>
        <v>3</v>
      </c>
      <c r="T216" s="176">
        <f t="shared" si="83"/>
        <v>9</v>
      </c>
      <c r="U216" s="251">
        <f t="shared" si="84"/>
        <v>3.5055196402279298</v>
      </c>
      <c r="V216" s="383">
        <f t="shared" si="85"/>
        <v>49.781913120044756</v>
      </c>
      <c r="W216" s="402">
        <f t="shared" si="86"/>
        <v>45.555376015442341</v>
      </c>
      <c r="X216" s="157">
        <f t="shared" si="87"/>
        <v>46589</v>
      </c>
      <c r="Y216" s="385">
        <f t="shared" si="88"/>
        <v>40.402915577814298</v>
      </c>
      <c r="Z216" s="385">
        <f t="shared" si="89"/>
        <v>44.620224640397424</v>
      </c>
      <c r="AA216" s="386">
        <f t="shared" si="90"/>
        <v>51.530478968671545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0.13410033181479405</v>
      </c>
      <c r="AD216" s="231">
        <f>(INDEX(Models!$BJ216:$BT216,,AH216)*(1-AF216)+INDEX(Models!$BJ216:$BT216,,AH216+1)*AF216-ERP_i)*AE216*Ramure*Pc/MaxiM</f>
        <v>3.6791134346141119E-2</v>
      </c>
      <c r="AE216" s="305">
        <f t="shared" si="92"/>
        <v>0.8</v>
      </c>
      <c r="AF216" s="177">
        <f t="shared" si="93"/>
        <v>0.70623638739283301</v>
      </c>
      <c r="AG216" s="809">
        <f t="shared" si="99"/>
        <v>4</v>
      </c>
      <c r="AH216" s="176">
        <f t="shared" si="94"/>
        <v>10</v>
      </c>
      <c r="AI216" s="225">
        <f t="shared" si="95"/>
        <v>4.706236387392833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IF(t&gt;Tmaj,'2026'!Wh/'2026'!Env_an*'2027'!Env_an,0.001*[9]mois!$B$161)</f>
        <v>34.534201377725545</v>
      </c>
      <c r="C217" s="839"/>
      <c r="D217" s="393">
        <f t="shared" si="77"/>
        <v>38.139834655264416</v>
      </c>
      <c r="E217" s="385">
        <f t="shared" si="75"/>
        <v>39.624565227994225</v>
      </c>
      <c r="F217" s="385">
        <f t="shared" si="78"/>
        <v>40.111008997015333</v>
      </c>
      <c r="G217" s="110">
        <f t="shared" si="76"/>
        <v>0.68942714700889052</v>
      </c>
      <c r="H217" s="414" t="b">
        <f>Wh_hp&gt;='2026'!Maxi_hp</f>
        <v>0</v>
      </c>
      <c r="I217" s="390">
        <f>IF(H217,Wh_hp,'2026'!Maxi_hp)</f>
        <v>52.403107161067176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9.4537202642046264E-2</v>
      </c>
      <c r="M217" s="843"/>
      <c r="N217" s="843"/>
      <c r="O217" s="48">
        <f>IF(t&lt;Tnet,'2026'!Resal+('2026'!Salim-'2026'!Resal)*(1-EXP(('2026'!Tnet-t)/('2026'!Tau_j))),Resal+(Salim-Resal)*(1-EXP((Tnet-t)/(Tau_j))))*Salcycl</f>
        <v>3.7469952394098914E-2</v>
      </c>
      <c r="P217" s="169">
        <f>(INDEX(Models!$BJ217:$BT217,,T217)*(1-R217)+INDEX(Models!$BJ217:$BT217,,T217+1)*R217-ERP_i)*Q217*Ramure*Pc/MaxiM</f>
        <v>2.143810475315833E-2</v>
      </c>
      <c r="Q217" s="305">
        <f t="shared" si="80"/>
        <v>0.8</v>
      </c>
      <c r="R217" s="177">
        <f t="shared" si="81"/>
        <v>0.50873345101666478</v>
      </c>
      <c r="S217" s="809">
        <f t="shared" si="82"/>
        <v>3</v>
      </c>
      <c r="T217" s="176">
        <f t="shared" si="83"/>
        <v>9</v>
      </c>
      <c r="U217" s="251">
        <f t="shared" si="84"/>
        <v>3.5087334510166648</v>
      </c>
      <c r="V217" s="383">
        <f t="shared" si="85"/>
        <v>49.619046474907599</v>
      </c>
      <c r="W217" s="402">
        <f t="shared" si="86"/>
        <v>34.534201377725545</v>
      </c>
      <c r="X217" s="157">
        <f t="shared" si="87"/>
        <v>46590</v>
      </c>
      <c r="Y217" s="385">
        <f t="shared" si="88"/>
        <v>30.779645532110365</v>
      </c>
      <c r="Z217" s="385">
        <f t="shared" si="89"/>
        <v>33.993274623675504</v>
      </c>
      <c r="AA217" s="386">
        <f t="shared" si="90"/>
        <v>39.261399665390826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0.13418077517901644</v>
      </c>
      <c r="AD217" s="231">
        <f>(INDEX(Models!$BJ217:$BT217,,AH217)*(1-AF217)+INDEX(Models!$BJ217:$BT217,,AH217+1)*AF217-ERP_i)*AE217*Ramure*Pc/MaxiM</f>
        <v>3.7443205177198603E-2</v>
      </c>
      <c r="AE217" s="305">
        <f t="shared" si="92"/>
        <v>0.8</v>
      </c>
      <c r="AF217" s="177">
        <f t="shared" si="93"/>
        <v>0.7094501981815684</v>
      </c>
      <c r="AG217" s="809">
        <f t="shared" si="99"/>
        <v>4</v>
      </c>
      <c r="AH217" s="176">
        <f t="shared" si="94"/>
        <v>10</v>
      </c>
      <c r="AI217" s="225">
        <f t="shared" si="95"/>
        <v>4.7094501981815684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IF(t&gt;Tmaj,'2026'!Wh/'2026'!Env_an*'2027'!Env_an,0.001*[9]mois!$B$162)</f>
        <v>43.61619456051622</v>
      </c>
      <c r="C218" s="839"/>
      <c r="D218" s="393">
        <f t="shared" si="77"/>
        <v>48.171204151493356</v>
      </c>
      <c r="E218" s="385">
        <f t="shared" si="75"/>
        <v>50.057459389283451</v>
      </c>
      <c r="F218" s="385">
        <f t="shared" si="78"/>
        <v>50.974795101753088</v>
      </c>
      <c r="G218" s="110">
        <f t="shared" si="76"/>
        <v>0.8786697447052243</v>
      </c>
      <c r="H218" s="414" t="b">
        <f>Wh_hp&gt;='2026'!Maxi_hp</f>
        <v>0</v>
      </c>
      <c r="I218" s="390">
        <f>IF(H218,Wh_hp,'2026'!Maxi_hp)</f>
        <v>54.77401411835254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9.4558765370533676E-2</v>
      </c>
      <c r="M218" s="843"/>
      <c r="N218" s="843"/>
      <c r="O218" s="48">
        <f>IF(t&lt;Tnet,'2026'!Resal+('2026'!Salim-'2026'!Resal)*(1-EXP(('2026'!Tnet-t)/('2026'!Tau_j))),Resal+(Salim-Resal)*(1-EXP((Tnet-t)/(Tau_j))))*Salcycl</f>
        <v>3.7681801290017435E-2</v>
      </c>
      <c r="P218" s="169">
        <f>(INDEX(Models!$BJ218:$BT218,,T218)*(1-R218)+INDEX(Models!$BJ218:$BT218,,T218+1)*R218-ERP_i)*Q218*Ramure*Pc/MaxiM</f>
        <v>2.1646436167874625E-2</v>
      </c>
      <c r="Q218" s="305">
        <f t="shared" si="80"/>
        <v>0.8</v>
      </c>
      <c r="R218" s="177">
        <f t="shared" si="81"/>
        <v>0.51185641473002352</v>
      </c>
      <c r="S218" s="809">
        <f t="shared" si="82"/>
        <v>3</v>
      </c>
      <c r="T218" s="176">
        <f t="shared" si="83"/>
        <v>9</v>
      </c>
      <c r="U218" s="251">
        <f t="shared" si="84"/>
        <v>3.5118564147300235</v>
      </c>
      <c r="V218" s="383">
        <f t="shared" si="85"/>
        <v>49.454363341495217</v>
      </c>
      <c r="W218" s="402">
        <f t="shared" si="86"/>
        <v>43.61619456051622</v>
      </c>
      <c r="X218" s="157">
        <f t="shared" si="87"/>
        <v>46591</v>
      </c>
      <c r="Y218" s="385">
        <f t="shared" si="88"/>
        <v>38.691200225111665</v>
      </c>
      <c r="Z218" s="385">
        <f t="shared" si="89"/>
        <v>42.731873417434166</v>
      </c>
      <c r="AA218" s="386">
        <f t="shared" si="90"/>
        <v>49.358804668738642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0.13426036744162964</v>
      </c>
      <c r="AD218" s="231">
        <f>(INDEX(Models!$BJ218:$BT218,,AH218)*(1-AF218)+INDEX(Models!$BJ218:$BT218,,AH218+1)*AF218-ERP_i)*AE218*Ramure*Pc/MaxiM</f>
        <v>3.8132641388144983E-2</v>
      </c>
      <c r="AE218" s="305">
        <f t="shared" si="92"/>
        <v>0.8</v>
      </c>
      <c r="AF218" s="177">
        <f t="shared" si="93"/>
        <v>0.7125731618949267</v>
      </c>
      <c r="AG218" s="809">
        <f t="shared" si="99"/>
        <v>4</v>
      </c>
      <c r="AH218" s="176">
        <f t="shared" si="94"/>
        <v>10</v>
      </c>
      <c r="AI218" s="225">
        <f t="shared" si="95"/>
        <v>4.7125731618949267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IF(t&gt;Tmaj,'2026'!Wh/'2026'!Env_an*'2027'!Env_an,0.001*[9]mois!$B$163)</f>
        <v>45.238431040726546</v>
      </c>
      <c r="C219" s="839"/>
      <c r="D219" s="393">
        <f t="shared" si="77"/>
        <v>49.964046971361</v>
      </c>
      <c r="E219" s="385">
        <f t="shared" si="75"/>
        <v>51.931911730789615</v>
      </c>
      <c r="F219" s="385">
        <f t="shared" si="78"/>
        <v>52.954531693115698</v>
      </c>
      <c r="G219" s="110">
        <f t="shared" si="76"/>
        <v>0.91543013793432826</v>
      </c>
      <c r="H219" s="414" t="b">
        <f>Wh_hp&gt;='2026'!Maxi_hp</f>
        <v>0</v>
      </c>
      <c r="I219" s="390">
        <f>IF(H219,Wh_hp,'2026'!Maxi_hp)</f>
        <v>54.951989772892752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9.4580327597224928E-2</v>
      </c>
      <c r="M219" s="843"/>
      <c r="N219" s="843"/>
      <c r="O219" s="48">
        <f>IF(t&lt;Tnet,'2026'!Resal+('2026'!Salim-'2026'!Resal)*(1-EXP(('2026'!Tnet-t)/('2026'!Tau_j))),Resal+(Salim-Resal)*(1-EXP((Tnet-t)/(Tau_j))))*Salcycl</f>
        <v>3.7893169995933229E-2</v>
      </c>
      <c r="P219" s="169">
        <f>(INDEX(Models!$BJ219:$BT219,,T219)*(1-R219)+INDEX(Models!$BJ219:$BT219,,T219+1)*R219-ERP_i)*Q219*Ramure*Pc/MaxiM</f>
        <v>2.1879507431351534E-2</v>
      </c>
      <c r="Q219" s="305">
        <f t="shared" si="80"/>
        <v>0.8</v>
      </c>
      <c r="R219" s="177">
        <f t="shared" si="81"/>
        <v>0.51488980358147618</v>
      </c>
      <c r="S219" s="809">
        <f t="shared" si="82"/>
        <v>3</v>
      </c>
      <c r="T219" s="176">
        <f t="shared" si="83"/>
        <v>9</v>
      </c>
      <c r="U219" s="251">
        <f t="shared" si="84"/>
        <v>3.5148898035814762</v>
      </c>
      <c r="V219" s="383">
        <f t="shared" si="85"/>
        <v>49.288262344955029</v>
      </c>
      <c r="W219" s="402">
        <f t="shared" si="86"/>
        <v>45.238431040726546</v>
      </c>
      <c r="X219" s="157">
        <f t="shared" si="87"/>
        <v>46592</v>
      </c>
      <c r="Y219" s="385">
        <f t="shared" si="88"/>
        <v>40.081494259864321</v>
      </c>
      <c r="Z219" s="385">
        <f t="shared" si="89"/>
        <v>44.268415500071114</v>
      </c>
      <c r="AA219" s="386">
        <f t="shared" si="90"/>
        <v>51.138290435358044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0.13433915910761382</v>
      </c>
      <c r="AD219" s="231">
        <f>(INDEX(Models!$BJ219:$BT219,,AH219)*(1-AF219)+INDEX(Models!$BJ219:$BT219,,AH219+1)*AF219-ERP_i)*AE219*Ramure*Pc/MaxiM</f>
        <v>3.8859464473826134E-2</v>
      </c>
      <c r="AE219" s="305">
        <f t="shared" si="92"/>
        <v>0.8</v>
      </c>
      <c r="AF219" s="177">
        <f t="shared" si="93"/>
        <v>0.71560655074637936</v>
      </c>
      <c r="AG219" s="809">
        <f t="shared" si="99"/>
        <v>4</v>
      </c>
      <c r="AH219" s="176">
        <f t="shared" si="94"/>
        <v>10</v>
      </c>
      <c r="AI219" s="225">
        <f t="shared" si="95"/>
        <v>4.7156065507463794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IF(t&gt;Tmaj,'2026'!Wh/'2026'!Env_an*'2027'!Env_an,0.001*[9]mois!$B$164)</f>
        <v>24.487990114568845</v>
      </c>
      <c r="C220" s="839"/>
      <c r="D220" s="393">
        <f t="shared" si="77"/>
        <v>27.046654754155355</v>
      </c>
      <c r="E220" s="385">
        <f t="shared" si="75"/>
        <v>28.118067552083239</v>
      </c>
      <c r="F220" s="385">
        <f t="shared" si="78"/>
        <v>28.295902410883674</v>
      </c>
      <c r="G220" s="110">
        <f t="shared" si="76"/>
        <v>0.49057394534947085</v>
      </c>
      <c r="H220" s="414" t="b">
        <f>Wh_hp&gt;='2026'!Maxi_hp</f>
        <v>0</v>
      </c>
      <c r="I220" s="390">
        <f>IF(H220,Wh_hp,'2026'!Maxi_hp)</f>
        <v>56.624993980258836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9.4601889322131677E-2</v>
      </c>
      <c r="M220" s="843"/>
      <c r="N220" s="843"/>
      <c r="O220" s="48">
        <f>IF(t&lt;Tnet,'2026'!Resal+('2026'!Salim-'2026'!Resal)*(1-EXP(('2026'!Tnet-t)/('2026'!Tau_j))),Resal+(Salim-Resal)*(1-EXP((Tnet-t)/(Tau_j))))*Salcycl</f>
        <v>3.8104069418828344E-2</v>
      </c>
      <c r="P220" s="169">
        <f>(INDEX(Models!$BJ220:$BT220,,T220)*(1-R220)+INDEX(Models!$BJ220:$BT220,,T220+1)*R220-ERP_i)*Q220*Ramure*Pc/MaxiM</f>
        <v>2.2158896779848052E-2</v>
      </c>
      <c r="Q220" s="305">
        <f t="shared" si="80"/>
        <v>0.8</v>
      </c>
      <c r="R220" s="177">
        <f t="shared" si="81"/>
        <v>0.51783496476603785</v>
      </c>
      <c r="S220" s="809">
        <f t="shared" si="82"/>
        <v>3</v>
      </c>
      <c r="T220" s="176">
        <f t="shared" si="83"/>
        <v>9</v>
      </c>
      <c r="U220" s="251">
        <f t="shared" si="84"/>
        <v>3.5178349647660379</v>
      </c>
      <c r="V220" s="383">
        <f t="shared" si="85"/>
        <v>49.119623597240178</v>
      </c>
      <c r="W220" s="402">
        <f t="shared" si="86"/>
        <v>24.487990114568845</v>
      </c>
      <c r="X220" s="157">
        <f t="shared" si="87"/>
        <v>46593</v>
      </c>
      <c r="Y220" s="385">
        <f t="shared" si="88"/>
        <v>21.925880502669322</v>
      </c>
      <c r="Z220" s="385">
        <f t="shared" si="89"/>
        <v>24.216839249038738</v>
      </c>
      <c r="AA220" s="386">
        <f t="shared" si="90"/>
        <v>27.977495841824499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0.13441719780952766</v>
      </c>
      <c r="AD220" s="231">
        <f>(INDEX(Models!$BJ220:$BT220,,AH220)*(1-AF220)+INDEX(Models!$BJ220:$BT220,,AH220+1)*AF220-ERP_i)*AE220*Ramure*Pc/MaxiM</f>
        <v>3.9674664154148762E-2</v>
      </c>
      <c r="AE220" s="305">
        <f t="shared" si="92"/>
        <v>0.8</v>
      </c>
      <c r="AF220" s="177">
        <f t="shared" si="93"/>
        <v>0.71855171193094147</v>
      </c>
      <c r="AG220" s="809">
        <f t="shared" si="99"/>
        <v>4</v>
      </c>
      <c r="AH220" s="176">
        <f t="shared" si="94"/>
        <v>10</v>
      </c>
      <c r="AI220" s="225">
        <f t="shared" si="95"/>
        <v>4.7185517119309415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IF(t&gt;Tmaj,'2026'!Wh/'2026'!Env_an*'2027'!Env_an,0.001*[9]mois!$B$165)</f>
        <v>49.664903036634279</v>
      </c>
      <c r="C221" s="839"/>
      <c r="D221" s="393">
        <f t="shared" si="77"/>
        <v>54.855521789850982</v>
      </c>
      <c r="E221" s="385">
        <f t="shared" si="75"/>
        <v>57.041020535274818</v>
      </c>
      <c r="F221" s="385">
        <f t="shared" si="78"/>
        <v>58.352794111069457</v>
      </c>
      <c r="G221" s="110">
        <f t="shared" si="76"/>
        <v>1.0146396075179378</v>
      </c>
      <c r="H221" s="414" t="b">
        <f>Wh_hp&gt;='2026'!Maxi_hp</f>
        <v>1</v>
      </c>
      <c r="I221" s="390">
        <f>IF(H221,Wh_hp,'2026'!Maxi_hp)</f>
        <v>58.352794111069457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9.4623450545265581E-2</v>
      </c>
      <c r="M221" s="843"/>
      <c r="N221" s="843"/>
      <c r="O221" s="48">
        <f>IF(t&lt;Tnet,'2026'!Resal+('2026'!Salim-'2026'!Resal)*(1-EXP(('2026'!Tnet-t)/('2026'!Tau_j))),Resal+(Salim-Resal)*(1-EXP((Tnet-t)/(Tau_j))))*Salcycl</f>
        <v>3.8314509889813476E-2</v>
      </c>
      <c r="P221" s="169">
        <f>(INDEX(Models!$BJ221:$BT221,,T221)*(1-R221)+INDEX(Models!$BJ221:$BT221,,T221+1)*R221-ERP_i)*Q221*Ramure*Pc/MaxiM</f>
        <v>2.248004737010174E-2</v>
      </c>
      <c r="Q221" s="305">
        <f t="shared" si="80"/>
        <v>0.8</v>
      </c>
      <c r="R221" s="177">
        <f t="shared" si="81"/>
        <v>0.52069331289946863</v>
      </c>
      <c r="S221" s="809">
        <f t="shared" si="82"/>
        <v>3</v>
      </c>
      <c r="T221" s="176">
        <f t="shared" si="83"/>
        <v>9</v>
      </c>
      <c r="U221" s="251">
        <f t="shared" si="84"/>
        <v>3.5206933128994686</v>
      </c>
      <c r="V221" s="383">
        <f t="shared" si="85"/>
        <v>48.948318859863001</v>
      </c>
      <c r="W221" s="402">
        <f t="shared" si="86"/>
        <v>49.664903036634279</v>
      </c>
      <c r="X221" s="157">
        <f t="shared" si="87"/>
        <v>46594</v>
      </c>
      <c r="Y221" s="385">
        <f t="shared" si="88"/>
        <v>43.870476016889079</v>
      </c>
      <c r="Z221" s="385">
        <f t="shared" si="89"/>
        <v>48.455502899108879</v>
      </c>
      <c r="AA221" s="386">
        <f t="shared" si="90"/>
        <v>55.985206883605208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0.13449452817332258</v>
      </c>
      <c r="AD221" s="231">
        <f>(INDEX(Models!$BJ221:$BT221,,AH221)*(1-AF221)+INDEX(Models!$BJ221:$BT221,,AH221+1)*AF221-ERP_i)*AE221*Ramure*Pc/MaxiM</f>
        <v>4.0573673695174874E-2</v>
      </c>
      <c r="AE221" s="305">
        <f t="shared" si="92"/>
        <v>0.8</v>
      </c>
      <c r="AF221" s="177">
        <f t="shared" si="93"/>
        <v>0.72141006006437181</v>
      </c>
      <c r="AG221" s="809">
        <f t="shared" si="99"/>
        <v>4</v>
      </c>
      <c r="AH221" s="176">
        <f t="shared" si="94"/>
        <v>10</v>
      </c>
      <c r="AI221" s="225">
        <f t="shared" si="95"/>
        <v>4.7214100600643718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IF(t&gt;Tmaj,'2026'!Wh/'2026'!Env_an*'2027'!Env_an,0.001*[9]mois!$B$166)</f>
        <v>48.586415102237929</v>
      </c>
      <c r="C222" s="839"/>
      <c r="D222" s="393">
        <f t="shared" si="77"/>
        <v>53.665596044500539</v>
      </c>
      <c r="E222" s="385">
        <f t="shared" si="75"/>
        <v>55.815874774236846</v>
      </c>
      <c r="F222" s="385">
        <f t="shared" si="78"/>
        <v>57.11339088733267</v>
      </c>
      <c r="G222" s="110">
        <f t="shared" si="76"/>
        <v>0.99602706958520226</v>
      </c>
      <c r="H222" s="414" t="b">
        <f>Wh_hp&gt;='2026'!Maxi_hp</f>
        <v>0</v>
      </c>
      <c r="I222" s="390">
        <f>IF(H222,Wh_hp,'2026'!Maxi_hp)</f>
        <v>57.120088666927721</v>
      </c>
      <c r="J222" s="85">
        <f>IF(H222,An,'2026'!An_max)</f>
        <v>2022</v>
      </c>
      <c r="K222" s="197">
        <f t="shared" si="79"/>
        <v>46595</v>
      </c>
      <c r="L222" s="147">
        <f>IF(t&lt;Tvie,1-EXP((T0-t)*PertePVj)+'2026'!Pspv,1-EXP((T0-t)*PertePVj)+Pspv)</f>
        <v>9.4645011266638296E-2</v>
      </c>
      <c r="M222" s="843"/>
      <c r="N222" s="843"/>
      <c r="O222" s="48">
        <f>IF(t&lt;Tnet,'2026'!Resal+('2026'!Salim-'2026'!Resal)*(1-EXP(('2026'!Tnet-t)/('2026'!Tau_j))),Resal+(Salim-Resal)*(1-EXP((Tnet-t)/(Tau_j))))*Salcycl</f>
        <v>3.8524501110727388E-2</v>
      </c>
      <c r="P222" s="169">
        <f>(INDEX(Models!$BJ222:$BT222,,T222)*(1-R222)+INDEX(Models!$BJ222:$BT222,,T222+1)*R222-ERP_i)*Q222*Ramure*Pc/MaxiM</f>
        <v>2.2843725120890491E-2</v>
      </c>
      <c r="Q222" s="305">
        <f t="shared" si="80"/>
        <v>0.8</v>
      </c>
      <c r="R222" s="177">
        <f t="shared" si="81"/>
        <v>0.5234663227054277</v>
      </c>
      <c r="S222" s="809">
        <f t="shared" si="82"/>
        <v>3</v>
      </c>
      <c r="T222" s="176">
        <f t="shared" si="83"/>
        <v>9</v>
      </c>
      <c r="U222" s="251">
        <f t="shared" si="84"/>
        <v>3.5234663227054277</v>
      </c>
      <c r="V222" s="383">
        <f t="shared" si="85"/>
        <v>48.773952359707152</v>
      </c>
      <c r="W222" s="402">
        <f t="shared" si="86"/>
        <v>48.586415102237929</v>
      </c>
      <c r="X222" s="157">
        <f t="shared" si="87"/>
        <v>46595</v>
      </c>
      <c r="Y222" s="385">
        <f t="shared" si="88"/>
        <v>42.900025035645477</v>
      </c>
      <c r="Z222" s="385">
        <f t="shared" si="89"/>
        <v>47.384755780342935</v>
      </c>
      <c r="AA222" s="386">
        <f t="shared" si="90"/>
        <v>54.75292170368764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0.13457119171137225</v>
      </c>
      <c r="AD222" s="231">
        <f>(INDEX(Models!$BJ222:$BT222,,AH222)*(1-AF222)+INDEX(Models!$BJ222:$BT222,,AH222+1)*AF222-ERP_i)*AE222*Ramure*Pc/MaxiM</f>
        <v>4.1557795424107841E-2</v>
      </c>
      <c r="AE222" s="305">
        <f t="shared" si="92"/>
        <v>0.8</v>
      </c>
      <c r="AF222" s="177">
        <f t="shared" si="93"/>
        <v>0.72418306987033176</v>
      </c>
      <c r="AG222" s="809">
        <f t="shared" si="99"/>
        <v>4</v>
      </c>
      <c r="AH222" s="176">
        <f t="shared" si="94"/>
        <v>10</v>
      </c>
      <c r="AI222" s="225">
        <f t="shared" si="95"/>
        <v>4.7241830698703318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IF(t&gt;Tmaj,'2026'!Wh/'2026'!Env_an*'2027'!Env_an,0.001*[9]mois!$B$167)</f>
        <v>41.03992240794306</v>
      </c>
      <c r="C223" s="839"/>
      <c r="D223" s="393">
        <f t="shared" si="77"/>
        <v>45.331279189941313</v>
      </c>
      <c r="E223" s="385">
        <f t="shared" si="75"/>
        <v>47.157895574413139</v>
      </c>
      <c r="F223" s="385">
        <f t="shared" si="78"/>
        <v>48.026505821075439</v>
      </c>
      <c r="G223" s="110">
        <f t="shared" si="76"/>
        <v>0.84006817118271226</v>
      </c>
      <c r="H223" s="414" t="b">
        <f>Wh_hp&gt;='2026'!Maxi_hp</f>
        <v>0</v>
      </c>
      <c r="I223" s="390">
        <f>IF(H223,Wh_hp,'2026'!Maxi_hp)</f>
        <v>54.720346355997435</v>
      </c>
      <c r="J223" s="85">
        <f>IF(H223,An,'2026'!An_max)</f>
        <v>2019</v>
      </c>
      <c r="K223" s="197">
        <f t="shared" si="79"/>
        <v>46596</v>
      </c>
      <c r="L223" s="147">
        <f>IF(t&lt;Tvie,1-EXP((T0-t)*PertePVj)+'2026'!Pspv,1-EXP((T0-t)*PertePVj)+Pspv)</f>
        <v>9.466657148626148E-2</v>
      </c>
      <c r="M223" s="843"/>
      <c r="N223" s="843"/>
      <c r="O223" s="48">
        <f>IF(t&lt;Tnet,'2026'!Resal+('2026'!Salim-'2026'!Resal)*(1-EXP(('2026'!Tnet-t)/('2026'!Tau_j))),Resal+(Salim-Resal)*(1-EXP((Tnet-t)/(Tau_j))))*Salcycl</f>
        <v>3.8734052107764302E-2</v>
      </c>
      <c r="P223" s="169">
        <f>(INDEX(Models!$BJ223:$BT223,,T223)*(1-R223)+INDEX(Models!$BJ223:$BT223,,T223+1)*R223-ERP_i)*Q223*Ramure*Pc/MaxiM</f>
        <v>2.3250701342756565E-2</v>
      </c>
      <c r="Q223" s="305">
        <f t="shared" si="80"/>
        <v>0.8</v>
      </c>
      <c r="R223" s="177">
        <f t="shared" si="81"/>
        <v>0.52615552196932569</v>
      </c>
      <c r="S223" s="809">
        <f t="shared" si="82"/>
        <v>3</v>
      </c>
      <c r="T223" s="176">
        <f t="shared" si="83"/>
        <v>9</v>
      </c>
      <c r="U223" s="251">
        <f t="shared" si="84"/>
        <v>3.5261555219693257</v>
      </c>
      <c r="V223" s="383">
        <f t="shared" si="85"/>
        <v>48.596129748693507</v>
      </c>
      <c r="W223" s="402">
        <f t="shared" si="86"/>
        <v>41.03992240794306</v>
      </c>
      <c r="X223" s="157">
        <f t="shared" si="87"/>
        <v>46596</v>
      </c>
      <c r="Y223" s="385">
        <f t="shared" si="88"/>
        <v>36.377899583898753</v>
      </c>
      <c r="Z223" s="385">
        <f t="shared" si="89"/>
        <v>40.181769984589401</v>
      </c>
      <c r="AA223" s="386">
        <f t="shared" si="90"/>
        <v>46.433976092002808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0.13464722674245008</v>
      </c>
      <c r="AD223" s="231">
        <f>(INDEX(Models!$BJ223:$BT223,,AH223)*(1-AF223)+INDEX(Models!$BJ223:$BT223,,AH223+1)*AF223-ERP_i)*AE223*Ramure*Pc/MaxiM</f>
        <v>4.2628363241637462E-2</v>
      </c>
      <c r="AE223" s="305">
        <f t="shared" si="92"/>
        <v>0.8</v>
      </c>
      <c r="AF223" s="177">
        <f t="shared" si="93"/>
        <v>0.72687226913422887</v>
      </c>
      <c r="AG223" s="809">
        <f t="shared" si="99"/>
        <v>4</v>
      </c>
      <c r="AH223" s="176">
        <f t="shared" si="94"/>
        <v>10</v>
      </c>
      <c r="AI223" s="225">
        <f t="shared" si="95"/>
        <v>4.7268722691342289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IF(t&gt;Tmaj,'2026'!Wh/'2026'!Env_an*'2027'!Env_an,0.001*[9]mois!$B$168)</f>
        <v>28.425698773446701</v>
      </c>
      <c r="C224" s="839"/>
      <c r="D224" s="393">
        <f t="shared" si="77"/>
        <v>31.398791679662239</v>
      </c>
      <c r="E224" s="385">
        <f t="shared" si="75"/>
        <v>32.671108240929158</v>
      </c>
      <c r="F224" s="385">
        <f t="shared" si="78"/>
        <v>32.991861878823592</v>
      </c>
      <c r="G224" s="110">
        <f t="shared" si="76"/>
        <v>0.57884400703170236</v>
      </c>
      <c r="H224" s="414" t="b">
        <f>Wh_hp&gt;='2026'!Maxi_hp</f>
        <v>0</v>
      </c>
      <c r="I224" s="390">
        <f>IF(H224,Wh_hp,'2026'!Maxi_hp)</f>
        <v>57.337532868317645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9.4688131204147014E-2</v>
      </c>
      <c r="M224" s="843"/>
      <c r="N224" s="843"/>
      <c r="O224" s="48">
        <f>IF(t&lt;Tnet,'2026'!Resal+('2026'!Salim-'2026'!Resal)*(1-EXP(('2026'!Tnet-t)/('2026'!Tau_j))),Resal+(Salim-Resal)*(1-EXP((Tnet-t)/(Tau_j))))*Salcycl</f>
        <v>3.894317119224644E-2</v>
      </c>
      <c r="P224" s="169">
        <f>(INDEX(Models!$BJ224:$BT224,,T224)*(1-R224)+INDEX(Models!$BJ224:$BT224,,T224+1)*R224-ERP_i)*Q224*Ramure*Pc/MaxiM</f>
        <v>2.3701757335918495E-2</v>
      </c>
      <c r="Q224" s="305">
        <f t="shared" si="80"/>
        <v>0.8</v>
      </c>
      <c r="R224" s="177">
        <f t="shared" si="81"/>
        <v>0.52876248477416565</v>
      </c>
      <c r="S224" s="809">
        <f t="shared" si="82"/>
        <v>3</v>
      </c>
      <c r="T224" s="176">
        <f t="shared" si="83"/>
        <v>9</v>
      </c>
      <c r="U224" s="251">
        <f t="shared" si="84"/>
        <v>3.5287624847741657</v>
      </c>
      <c r="V224" s="383">
        <f t="shared" si="85"/>
        <v>48.414458055182074</v>
      </c>
      <c r="W224" s="402">
        <f t="shared" si="86"/>
        <v>28.425698773446701</v>
      </c>
      <c r="X224" s="157">
        <f t="shared" si="87"/>
        <v>46597</v>
      </c>
      <c r="Y224" s="385">
        <f t="shared" si="88"/>
        <v>25.379856750130735</v>
      </c>
      <c r="Z224" s="385">
        <f t="shared" si="89"/>
        <v>28.034379781067322</v>
      </c>
      <c r="AA224" s="386">
        <f t="shared" si="90"/>
        <v>32.399299918355609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0.13472266833813196</v>
      </c>
      <c r="AD224" s="231">
        <f>(INDEX(Models!$BJ224:$BT224,,AH224)*(1-AF224)+INDEX(Models!$BJ224:$BT224,,AH224+1)*AF224-ERP_i)*AE224*Ramure*Pc/MaxiM</f>
        <v>4.3786751370004505E-2</v>
      </c>
      <c r="AE224" s="305">
        <f t="shared" si="92"/>
        <v>0.8</v>
      </c>
      <c r="AF224" s="177">
        <f t="shared" si="93"/>
        <v>0.72947923193906927</v>
      </c>
      <c r="AG224" s="809">
        <f t="shared" si="99"/>
        <v>4</v>
      </c>
      <c r="AH224" s="176">
        <f t="shared" si="94"/>
        <v>10</v>
      </c>
      <c r="AI224" s="225">
        <f t="shared" si="95"/>
        <v>4.7294792319390693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IF(t&gt;Tmaj,'2026'!Wh/'2026'!Env_an*'2027'!Env_an,0.001*[9]mois!$B$169)</f>
        <v>45.275323991801322</v>
      </c>
      <c r="C225" s="839"/>
      <c r="D225" s="393">
        <f t="shared" si="77"/>
        <v>50.011939278154486</v>
      </c>
      <c r="E225" s="385">
        <f t="shared" si="75"/>
        <v>52.049785501729509</v>
      </c>
      <c r="F225" s="385">
        <f t="shared" si="78"/>
        <v>53.225044955979058</v>
      </c>
      <c r="G225" s="110">
        <f t="shared" si="76"/>
        <v>0.93673411303946097</v>
      </c>
      <c r="H225" s="414" t="b">
        <f>Wh_hp&gt;='2026'!Maxi_hp</f>
        <v>0</v>
      </c>
      <c r="I225" s="390">
        <f>IF(H225,Wh_hp,'2026'!Maxi_hp)</f>
        <v>53.331314939696405</v>
      </c>
      <c r="J225" s="85">
        <f>IF(H225,An,'2026'!An_max)</f>
        <v>2022</v>
      </c>
      <c r="K225" s="197">
        <f t="shared" si="79"/>
        <v>46598</v>
      </c>
      <c r="L225" s="147">
        <f>IF(t&lt;Tvie,1-EXP((T0-t)*PertePVj)+'2026'!Pspv,1-EXP((T0-t)*PertePVj)+Pspv)</f>
        <v>9.470969042030622E-2</v>
      </c>
      <c r="M225" s="843"/>
      <c r="N225" s="843"/>
      <c r="O225" s="48">
        <f>IF(t&lt;Tnet,'2026'!Resal+('2026'!Salim-'2026'!Resal)*(1-EXP(('2026'!Tnet-t)/('2026'!Tau_j))),Resal+(Salim-Resal)*(1-EXP((Tnet-t)/(Tau_j))))*Salcycl</f>
        <v>3.9151865928579263E-2</v>
      </c>
      <c r="P225" s="169">
        <f>(INDEX(Models!$BJ225:$BT225,,T225)*(1-R225)+INDEX(Models!$BJ225:$BT225,,T225+1)*R225-ERP_i)*Q225*Ramure*Pc/MaxiM</f>
        <v>2.4197689120113136E-2</v>
      </c>
      <c r="Q225" s="305">
        <f t="shared" si="80"/>
        <v>0.8</v>
      </c>
      <c r="R225" s="177">
        <f t="shared" si="81"/>
        <v>0.53128882503042441</v>
      </c>
      <c r="S225" s="809">
        <f t="shared" si="82"/>
        <v>3</v>
      </c>
      <c r="T225" s="176">
        <f t="shared" si="83"/>
        <v>9</v>
      </c>
      <c r="U225" s="251">
        <f t="shared" si="84"/>
        <v>3.5312888250304244</v>
      </c>
      <c r="V225" s="383">
        <f t="shared" si="85"/>
        <v>48.228545637519282</v>
      </c>
      <c r="W225" s="402">
        <f t="shared" si="86"/>
        <v>45.275323991801322</v>
      </c>
      <c r="X225" s="157">
        <f t="shared" si="87"/>
        <v>46598</v>
      </c>
      <c r="Y225" s="385">
        <f t="shared" si="88"/>
        <v>39.975810107757162</v>
      </c>
      <c r="Z225" s="385">
        <f t="shared" si="89"/>
        <v>44.158000681921628</v>
      </c>
      <c r="AA225" s="386">
        <f t="shared" si="90"/>
        <v>51.037766472915884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0.13479754829485205</v>
      </c>
      <c r="AD225" s="231">
        <f>(INDEX(Models!$BJ225:$BT225,,AH225)*(1-AF225)+INDEX(Models!$BJ225:$BT225,,AH225+1)*AF225-ERP_i)*AE225*Ramure*Pc/MaxiM</f>
        <v>4.5034383310765501E-2</v>
      </c>
      <c r="AE225" s="305">
        <f t="shared" si="92"/>
        <v>0.8</v>
      </c>
      <c r="AF225" s="177">
        <f t="shared" si="93"/>
        <v>0.73200557219532847</v>
      </c>
      <c r="AG225" s="809">
        <f t="shared" si="99"/>
        <v>4</v>
      </c>
      <c r="AH225" s="176">
        <f t="shared" si="94"/>
        <v>10</v>
      </c>
      <c r="AI225" s="225">
        <f t="shared" si="95"/>
        <v>4.7320055721953285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IF(t&gt;Tmaj,'2026'!Wh/'2026'!Env_an*'2027'!Env_an,0.001*[9]mois!$B$170)</f>
        <v>46.231221725279248</v>
      </c>
      <c r="C226" s="839"/>
      <c r="D226" s="393">
        <f t="shared" si="77"/>
        <v>51.069057317058387</v>
      </c>
      <c r="E226" s="385">
        <f t="shared" si="75"/>
        <v>53.161501629087027</v>
      </c>
      <c r="F226" s="385">
        <f t="shared" si="78"/>
        <v>54.437847900880236</v>
      </c>
      <c r="G226" s="110">
        <f t="shared" si="76"/>
        <v>0.96111390318040124</v>
      </c>
      <c r="H226" s="414" t="b">
        <f>Wh_hp&gt;='2026'!Maxi_hp</f>
        <v>0</v>
      </c>
      <c r="I226" s="390">
        <f>IF(H226,Wh_hp,'2026'!Maxi_hp)</f>
        <v>55.057825166695693</v>
      </c>
      <c r="J226" s="85">
        <f>IF(H226,An,'2026'!An_max)</f>
        <v>2019</v>
      </c>
      <c r="K226" s="197">
        <f t="shared" si="79"/>
        <v>46599</v>
      </c>
      <c r="L226" s="147">
        <f>IF(t&lt;Tvie,1-EXP((T0-t)*PertePVj)+'2026'!Pspv,1-EXP((T0-t)*PertePVj)+Pspv)</f>
        <v>9.4731249134751089E-2</v>
      </c>
      <c r="M226" s="843"/>
      <c r="N226" s="843"/>
      <c r="O226" s="48">
        <f>IF(t&lt;Tnet,'2026'!Resal+('2026'!Salim-'2026'!Resal)*(1-EXP(('2026'!Tnet-t)/('2026'!Tau_j))),Resal+(Salim-Resal)*(1-EXP((Tnet-t)/(Tau_j))))*Salcycl</f>
        <v>3.9360143109346775E-2</v>
      </c>
      <c r="P226" s="169">
        <f>(INDEX(Models!$BJ226:$BT226,,T226)*(1-R226)+INDEX(Models!$BJ226:$BT226,,T226+1)*R226-ERP_i)*Q226*Ramure*Pc/MaxiM</f>
        <v>2.4775883406311851E-2</v>
      </c>
      <c r="Q226" s="305">
        <f t="shared" si="80"/>
        <v>0.8</v>
      </c>
      <c r="R226" s="177">
        <f t="shared" si="81"/>
        <v>0.53373619030899233</v>
      </c>
      <c r="S226" s="809">
        <f t="shared" si="82"/>
        <v>3</v>
      </c>
      <c r="T226" s="176">
        <f t="shared" si="83"/>
        <v>9</v>
      </c>
      <c r="U226" s="251">
        <f t="shared" si="84"/>
        <v>3.5337361903089923</v>
      </c>
      <c r="V226" s="383">
        <f t="shared" si="85"/>
        <v>48.0362007773589</v>
      </c>
      <c r="W226" s="402">
        <f t="shared" si="86"/>
        <v>46.231221725279248</v>
      </c>
      <c r="X226" s="157">
        <f t="shared" si="87"/>
        <v>46599</v>
      </c>
      <c r="Y226" s="385">
        <f t="shared" si="88"/>
        <v>40.76139693720144</v>
      </c>
      <c r="Z226" s="385">
        <f t="shared" si="89"/>
        <v>45.026846335126457</v>
      </c>
      <c r="AA226" s="386">
        <f t="shared" si="90"/>
        <v>52.046449631784974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0.13487189513060679</v>
      </c>
      <c r="AD226" s="231">
        <f>(INDEX(Models!$BJ226:$BT226,,AH226)*(1-AF226)+INDEX(Models!$BJ226:$BT226,,AH226+1)*AF226-ERP_i)*AE226*Ramure*Pc/MaxiM</f>
        <v>4.6420791914029841E-2</v>
      </c>
      <c r="AE226" s="305">
        <f t="shared" si="92"/>
        <v>0.8</v>
      </c>
      <c r="AF226" s="177">
        <f t="shared" si="93"/>
        <v>0.73445293747389595</v>
      </c>
      <c r="AG226" s="809">
        <f t="shared" si="99"/>
        <v>4</v>
      </c>
      <c r="AH226" s="176">
        <f t="shared" si="94"/>
        <v>10</v>
      </c>
      <c r="AI226" s="225">
        <f t="shared" si="95"/>
        <v>4.734452937473896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IF(t&gt;Tmaj,'2026'!Wh/'2026'!Env_an*'2027'!Env_an,0.001*'[10]mon-tableau (1)'!$B$140)</f>
        <v>46.138005344516742</v>
      </c>
      <c r="C227" s="839"/>
      <c r="D227" s="393">
        <f t="shared" si="77"/>
        <v>50.967300113160945</v>
      </c>
      <c r="E227" s="385">
        <f t="shared" si="75"/>
        <v>53.06705792479886</v>
      </c>
      <c r="F227" s="385">
        <f t="shared" si="78"/>
        <v>54.379149215306555</v>
      </c>
      <c r="G227" s="110">
        <f t="shared" si="76"/>
        <v>0.9631892643151273</v>
      </c>
      <c r="H227" s="414" t="b">
        <f>Wh_hp&gt;='2026'!Maxi_hp</f>
        <v>0</v>
      </c>
      <c r="I227" s="390">
        <f>IF(H227,Wh_hp,'2026'!Maxi_hp)</f>
        <v>54.44583213474823</v>
      </c>
      <c r="J227" s="85">
        <f>IF(H227,An,'2026'!An_max)</f>
        <v>2022</v>
      </c>
      <c r="K227" s="197">
        <f t="shared" si="79"/>
        <v>46600</v>
      </c>
      <c r="L227" s="147">
        <f>IF(t&lt;Tvie,1-EXP((T0-t)*PertePVj)+'2026'!Pspv,1-EXP((T0-t)*PertePVj)+Pspv)</f>
        <v>9.4752807347493168E-2</v>
      </c>
      <c r="M227" s="843"/>
      <c r="N227" s="843"/>
      <c r="O227" s="48">
        <f>IF(t&lt;Tnet,'2026'!Resal+('2026'!Salim-'2026'!Resal)*(1-EXP(('2026'!Tnet-t)/('2026'!Tau_j))),Resal+(Salim-Resal)*(1-EXP((Tnet-t)/(Tau_j))))*Salcycl</f>
        <v>3.9568008737425601E-2</v>
      </c>
      <c r="P227" s="169">
        <f>(INDEX(Models!$BJ227:$BT227,,T227)*(1-R227)+INDEX(Models!$BJ227:$BT227,,T227+1)*R227-ERP_i)*Q227*Ramure*Pc/MaxiM</f>
        <v>2.5418964458726719E-2</v>
      </c>
      <c r="Q227" s="305">
        <f t="shared" si="80"/>
        <v>0.8</v>
      </c>
      <c r="R227" s="177">
        <f t="shared" si="81"/>
        <v>0.53610625598339556</v>
      </c>
      <c r="S227" s="809">
        <f t="shared" si="82"/>
        <v>3</v>
      </c>
      <c r="T227" s="176">
        <f t="shared" si="83"/>
        <v>9</v>
      </c>
      <c r="U227" s="251">
        <f t="shared" si="84"/>
        <v>3.5361062559833956</v>
      </c>
      <c r="V227" s="383">
        <f t="shared" si="85"/>
        <v>47.837947266469996</v>
      </c>
      <c r="W227" s="402">
        <f t="shared" si="86"/>
        <v>46.138005344516742</v>
      </c>
      <c r="X227" s="157">
        <f t="shared" si="87"/>
        <v>46600</v>
      </c>
      <c r="Y227" s="385">
        <f t="shared" si="88"/>
        <v>40.646641721794673</v>
      </c>
      <c r="Z227" s="385">
        <f t="shared" si="89"/>
        <v>44.901151919283016</v>
      </c>
      <c r="AA227" s="386">
        <f t="shared" si="90"/>
        <v>51.905589845085167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0.13494573410507893</v>
      </c>
      <c r="AD227" s="231">
        <f>(INDEX(Models!$BJ227:$BT227,,AH227)*(1-AF227)+INDEX(Models!$BJ227:$BT227,,AH227+1)*AF227-ERP_i)*AE227*Ramure*Pc/MaxiM</f>
        <v>4.7919926130962395E-2</v>
      </c>
      <c r="AE227" s="305">
        <f t="shared" si="92"/>
        <v>0.8</v>
      </c>
      <c r="AF227" s="177">
        <f t="shared" si="93"/>
        <v>0.73682300314829874</v>
      </c>
      <c r="AG227" s="809">
        <f t="shared" si="99"/>
        <v>4</v>
      </c>
      <c r="AH227" s="176">
        <f t="shared" si="94"/>
        <v>10</v>
      </c>
      <c r="AI227" s="225">
        <f t="shared" si="95"/>
        <v>4.7368230031482987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IF(t&gt;Tmaj,'2026'!Wh/'2026'!Env_an*'2027'!Env_an,0.001*'[10]mon-tableau (1)'!$B$141)</f>
        <v>46.113311261454712</v>
      </c>
      <c r="C228" s="839"/>
      <c r="D228" s="393">
        <f t="shared" si="77"/>
        <v>50.94123440774743</v>
      </c>
      <c r="E228" s="385">
        <f t="shared" si="75"/>
        <v>53.051377788105704</v>
      </c>
      <c r="F228" s="385">
        <f t="shared" si="78"/>
        <v>54.40814659461936</v>
      </c>
      <c r="G228" s="110">
        <f t="shared" si="76"/>
        <v>0.96690519498239413</v>
      </c>
      <c r="H228" s="414" t="b">
        <f>Wh_hp&gt;='2026'!Maxi_hp</f>
        <v>0</v>
      </c>
      <c r="I228" s="390">
        <f>IF(H228,Wh_hp,'2026'!Maxi_hp)</f>
        <v>54.855614137032767</v>
      </c>
      <c r="J228" s="85">
        <f>IF(H228,An,'2026'!An_max)</f>
        <v>2019</v>
      </c>
      <c r="K228" s="197">
        <f t="shared" si="79"/>
        <v>46601</v>
      </c>
      <c r="L228" s="147">
        <f>IF(t&lt;Tvie,1-EXP((T0-t)*PertePVj)+'2026'!Pspv,1-EXP((T0-t)*PertePVj)+Pspv)</f>
        <v>9.4774365058544113E-2</v>
      </c>
      <c r="M228" s="843"/>
      <c r="N228" s="843"/>
      <c r="O228" s="48">
        <f>IF(t&lt;Tnet,'2026'!Resal+('2026'!Salim-'2026'!Resal)*(1-EXP(('2026'!Tnet-t)/('2026'!Tau_j))),Resal+(Salim-Resal)*(1-EXP((Tnet-t)/(Tau_j))))*Salcycl</f>
        <v>3.9775468014920719E-2</v>
      </c>
      <c r="P228" s="169">
        <f>(INDEX(Models!$BJ228:$BT228,,T228)*(1-R228)+INDEX(Models!$BJ228:$BT228,,T228+1)*R228-ERP_i)*Q228*Ramure*Pc/MaxiM</f>
        <v>2.6128014258573549E-2</v>
      </c>
      <c r="Q228" s="305">
        <f t="shared" si="80"/>
        <v>0.8</v>
      </c>
      <c r="R228" s="177">
        <f t="shared" si="81"/>
        <v>0.53840071968495939</v>
      </c>
      <c r="S228" s="809">
        <f t="shared" si="82"/>
        <v>3</v>
      </c>
      <c r="T228" s="176">
        <f t="shared" si="83"/>
        <v>9</v>
      </c>
      <c r="U228" s="251">
        <f t="shared" si="84"/>
        <v>3.5384007196849594</v>
      </c>
      <c r="V228" s="383">
        <f t="shared" si="85"/>
        <v>47.633396820335285</v>
      </c>
      <c r="W228" s="402">
        <f t="shared" si="86"/>
        <v>46.113311261454712</v>
      </c>
      <c r="X228" s="157">
        <f t="shared" si="87"/>
        <v>46601</v>
      </c>
      <c r="Y228" s="385">
        <f t="shared" si="88"/>
        <v>40.587721142491809</v>
      </c>
      <c r="Z228" s="385">
        <f t="shared" si="89"/>
        <v>44.837131844058703</v>
      </c>
      <c r="AA228" s="386">
        <f t="shared" si="90"/>
        <v>51.835978324791853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0.13501908726174811</v>
      </c>
      <c r="AD228" s="231">
        <f>(INDEX(Models!$BJ228:$BT228,,AH228)*(1-AF228)+INDEX(Models!$BJ228:$BT228,,AH228+1)*AF228-ERP_i)*AE228*Ramure*Pc/MaxiM</f>
        <v>4.9533604330272631E-2</v>
      </c>
      <c r="AE228" s="305">
        <f t="shared" si="92"/>
        <v>0.8</v>
      </c>
      <c r="AF228" s="177">
        <f t="shared" si="93"/>
        <v>0.73911746684986301</v>
      </c>
      <c r="AG228" s="809">
        <f t="shared" si="99"/>
        <v>4</v>
      </c>
      <c r="AH228" s="176">
        <f t="shared" si="94"/>
        <v>10</v>
      </c>
      <c r="AI228" s="225">
        <f t="shared" si="95"/>
        <v>4.739117466849863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IF(t&gt;Tmaj,'2026'!Wh/'2026'!Env_an*'2027'!Env_an,0.001*'[10]mon-tableau (1)'!$B$142)</f>
        <v>42.990246813785511</v>
      </c>
      <c r="C229" s="839"/>
      <c r="D229" s="393">
        <f t="shared" si="77"/>
        <v>47.492325621747199</v>
      </c>
      <c r="E229" s="385">
        <f t="shared" si="75"/>
        <v>49.470272026559094</v>
      </c>
      <c r="F229" s="385">
        <f t="shared" si="78"/>
        <v>50.651059603262027</v>
      </c>
      <c r="G229" s="110">
        <f t="shared" si="76"/>
        <v>0.90320937539333068</v>
      </c>
      <c r="H229" s="414" t="b">
        <f>Wh_hp&gt;='2026'!Maxi_hp</f>
        <v>0</v>
      </c>
      <c r="I229" s="390">
        <f>IF(H229,Wh_hp,'2026'!Maxi_hp)</f>
        <v>54.652362848660495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9.4795922267915694E-2</v>
      </c>
      <c r="M229" s="843"/>
      <c r="N229" s="843"/>
      <c r="O229" s="48">
        <f>IF(t&lt;Tnet,'2026'!Resal+('2026'!Salim-'2026'!Resal)*(1-EXP(('2026'!Tnet-t)/('2026'!Tau_j))),Resal+(Salim-Resal)*(1-EXP((Tnet-t)/(Tau_j))))*Salcycl</f>
        <v>3.9982525338651764E-2</v>
      </c>
      <c r="P229" s="169">
        <f>(INDEX(Models!$BJ229:$BT229,,T229)*(1-R229)+INDEX(Models!$BJ229:$BT229,,T229+1)*R229-ERP_i)*Q229*Ramure*Pc/MaxiM</f>
        <v>2.6904159144214901E-2</v>
      </c>
      <c r="Q229" s="305">
        <f t="shared" si="80"/>
        <v>0.8</v>
      </c>
      <c r="R229" s="177">
        <f t="shared" si="81"/>
        <v>0.54062129607222698</v>
      </c>
      <c r="S229" s="809">
        <f t="shared" si="82"/>
        <v>3</v>
      </c>
      <c r="T229" s="176">
        <f t="shared" si="83"/>
        <v>9</v>
      </c>
      <c r="U229" s="251">
        <f t="shared" si="84"/>
        <v>3.540621296072227</v>
      </c>
      <c r="V229" s="383">
        <f t="shared" si="85"/>
        <v>47.422162510591271</v>
      </c>
      <c r="W229" s="402">
        <f t="shared" si="86"/>
        <v>42.990246813785511</v>
      </c>
      <c r="X229" s="157">
        <f t="shared" si="87"/>
        <v>46602</v>
      </c>
      <c r="Y229" s="385">
        <f t="shared" si="88"/>
        <v>37.894154401638048</v>
      </c>
      <c r="Z229" s="385">
        <f t="shared" si="89"/>
        <v>41.862553797347871</v>
      </c>
      <c r="AA229" s="386">
        <f t="shared" si="90"/>
        <v>48.401162336631138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0.13509197349037</v>
      </c>
      <c r="AD229" s="231">
        <f>(INDEX(Models!$BJ229:$BT229,,AH229)*(1-AF229)+INDEX(Models!$BJ229:$BT229,,AH229+1)*AF229-ERP_i)*AE229*Ramure*Pc/MaxiM</f>
        <v>5.1263745752298265E-2</v>
      </c>
      <c r="AE229" s="305">
        <f t="shared" si="92"/>
        <v>0.8</v>
      </c>
      <c r="AF229" s="177">
        <f t="shared" si="93"/>
        <v>0.74133804323713015</v>
      </c>
      <c r="AG229" s="809">
        <f t="shared" si="99"/>
        <v>4</v>
      </c>
      <c r="AH229" s="176">
        <f t="shared" si="94"/>
        <v>10</v>
      </c>
      <c r="AI229" s="225">
        <f t="shared" si="95"/>
        <v>4.7413380432371302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IF(t&gt;Tmaj,'2026'!Wh/'2026'!Env_an*'2027'!Env_an,0.001*'[10]mon-tableau (1)'!$B$143)</f>
        <v>42.467768572974876</v>
      </c>
      <c r="C230" s="839"/>
      <c r="D230" s="393">
        <f t="shared" si="77"/>
        <v>46.91624902888622</v>
      </c>
      <c r="E230" s="385">
        <f t="shared" si="75"/>
        <v>48.880725515434158</v>
      </c>
      <c r="F230" s="385">
        <f t="shared" si="78"/>
        <v>50.070978094716921</v>
      </c>
      <c r="G230" s="110">
        <f t="shared" si="76"/>
        <v>0.89600195870881671</v>
      </c>
      <c r="H230" s="414" t="b">
        <f>Wh_hp&gt;='2026'!Maxi_hp</f>
        <v>0</v>
      </c>
      <c r="I230" s="390">
        <f>IF(H230,Wh_hp,'2026'!Maxi_hp)</f>
        <v>51.450131759098554</v>
      </c>
      <c r="J230" s="85">
        <f>IF(H230,An,'2026'!An_max)</f>
        <v>2019</v>
      </c>
      <c r="K230" s="197">
        <f t="shared" si="79"/>
        <v>46603</v>
      </c>
      <c r="L230" s="147">
        <f>IF(t&lt;Tvie,1-EXP((T0-t)*PertePVj)+'2026'!Pspv,1-EXP((T0-t)*PertePVj)+Pspv)</f>
        <v>9.4817478975619457E-2</v>
      </c>
      <c r="M230" s="843"/>
      <c r="N230" s="843"/>
      <c r="O230" s="48">
        <f>IF(t&lt;Tnet,'2026'!Resal+('2026'!Salim-'2026'!Resal)*(1-EXP(('2026'!Tnet-t)/('2026'!Tau_j))),Resal+(Salim-Resal)*(1-EXP((Tnet-t)/(Tau_j))))*Salcycl</f>
        <v>4.0189184301850221E-2</v>
      </c>
      <c r="P230" s="169">
        <f>(INDEX(Models!$BJ230:$BT230,,T230)*(1-R230)+INDEX(Models!$BJ230:$BT230,,T230+1)*R230-ERP_i)*Q230*Ramure*Pc/MaxiM</f>
        <v>2.7748577360916626E-2</v>
      </c>
      <c r="Q230" s="305">
        <f t="shared" si="80"/>
        <v>0.8</v>
      </c>
      <c r="R230" s="177">
        <f t="shared" si="81"/>
        <v>0.54276971191383927</v>
      </c>
      <c r="S230" s="809">
        <f t="shared" si="82"/>
        <v>3</v>
      </c>
      <c r="T230" s="176">
        <f t="shared" si="83"/>
        <v>9</v>
      </c>
      <c r="U230" s="251">
        <f t="shared" si="84"/>
        <v>3.5427697119138393</v>
      </c>
      <c r="V230" s="383">
        <f t="shared" si="85"/>
        <v>47.203858734322047</v>
      </c>
      <c r="W230" s="402">
        <f t="shared" si="86"/>
        <v>42.467768572974876</v>
      </c>
      <c r="X230" s="157">
        <f t="shared" si="87"/>
        <v>46603</v>
      </c>
      <c r="Y230" s="385">
        <f t="shared" si="88"/>
        <v>37.41380490719235</v>
      </c>
      <c r="Z230" s="385">
        <f t="shared" si="89"/>
        <v>41.332884847192744</v>
      </c>
      <c r="AA230" s="386">
        <f t="shared" si="90"/>
        <v>47.79276576796174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0.13516440860803722</v>
      </c>
      <c r="AD230" s="231">
        <f>(INDEX(Models!$BJ230:$BT230,,AH230)*(1-AF230)+INDEX(Models!$BJ230:$BT230,,AH230+1)*AF230-ERP_i)*AE230*Ramure*Pc/MaxiM</f>
        <v>5.3112383114224393E-2</v>
      </c>
      <c r="AE230" s="305">
        <f t="shared" si="92"/>
        <v>0.8</v>
      </c>
      <c r="AF230" s="177">
        <f t="shared" si="93"/>
        <v>0.74348645907874289</v>
      </c>
      <c r="AG230" s="809">
        <f t="shared" si="99"/>
        <v>4</v>
      </c>
      <c r="AH230" s="176">
        <f t="shared" si="94"/>
        <v>10</v>
      </c>
      <c r="AI230" s="225">
        <f t="shared" si="95"/>
        <v>4.7434864590787429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IF(t&gt;Tmaj,'2026'!Wh/'2026'!Env_an*'2027'!Env_an,0.001*'[10]mon-tableau (1)'!$B$144)</f>
        <v>40.406748199224808</v>
      </c>
      <c r="C231" s="839"/>
      <c r="D231" s="393">
        <f t="shared" si="77"/>
        <v>44.640400735060972</v>
      </c>
      <c r="E231" s="385">
        <f t="shared" si="75"/>
        <v>46.519579995888193</v>
      </c>
      <c r="F231" s="385">
        <f t="shared" si="78"/>
        <v>47.611544586605298</v>
      </c>
      <c r="G231" s="110">
        <f t="shared" si="76"/>
        <v>0.85507671624782855</v>
      </c>
      <c r="H231" s="414" t="b">
        <f>Wh_hp&gt;='2026'!Maxi_hp</f>
        <v>0</v>
      </c>
      <c r="I231" s="390">
        <f>IF(H231,Wh_hp,'2026'!Maxi_hp)</f>
        <v>55.321706068538063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9.483903518166717E-2</v>
      </c>
      <c r="M231" s="843"/>
      <c r="N231" s="843"/>
      <c r="O231" s="48">
        <f>IF(t&lt;Tnet,'2026'!Resal+('2026'!Salim-'2026'!Resal)*(1-EXP(('2026'!Tnet-t)/('2026'!Tau_j))),Resal+(Salim-Resal)*(1-EXP((Tnet-t)/(Tau_j))))*Salcycl</f>
        <v>4.0395447701662826E-2</v>
      </c>
      <c r="P231" s="169">
        <f>(INDEX(Models!$BJ231:$BT231,,T231)*(1-R231)+INDEX(Models!$BJ231:$BT231,,T231+1)*R231-ERP_i)*Q231*Ramure*Pc/MaxiM</f>
        <v>2.8662506885252299E-2</v>
      </c>
      <c r="Q231" s="305">
        <f t="shared" si="80"/>
        <v>0.8</v>
      </c>
      <c r="R231" s="177">
        <f t="shared" si="81"/>
        <v>0.54484770148220996</v>
      </c>
      <c r="S231" s="809">
        <f t="shared" si="82"/>
        <v>3</v>
      </c>
      <c r="T231" s="176">
        <f t="shared" si="83"/>
        <v>9</v>
      </c>
      <c r="U231" s="251">
        <f t="shared" si="84"/>
        <v>3.54484770148221</v>
      </c>
      <c r="V231" s="383">
        <f t="shared" si="85"/>
        <v>46.978101179445424</v>
      </c>
      <c r="W231" s="402">
        <f t="shared" si="86"/>
        <v>40.406748199224808</v>
      </c>
      <c r="X231" s="157">
        <f t="shared" si="87"/>
        <v>46604</v>
      </c>
      <c r="Y231" s="385">
        <f t="shared" si="88"/>
        <v>35.62537517046507</v>
      </c>
      <c r="Z231" s="385">
        <f t="shared" si="89"/>
        <v>39.358055147257851</v>
      </c>
      <c r="AA231" s="386">
        <f t="shared" si="90"/>
        <v>45.51308056400368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0.13523640545689272</v>
      </c>
      <c r="AD231" s="231">
        <f>(INDEX(Models!$BJ231:$BT231,,AH231)*(1-AF231)+INDEX(Models!$BJ231:$BT231,,AH231+1)*AF231-ERP_i)*AE231*Ramure*Pc/MaxiM</f>
        <v>5.5081675731603698E-2</v>
      </c>
      <c r="AE231" s="305">
        <f t="shared" si="92"/>
        <v>0.8</v>
      </c>
      <c r="AF231" s="177">
        <f t="shared" si="93"/>
        <v>0.74556444864711402</v>
      </c>
      <c r="AG231" s="809">
        <f t="shared" si="99"/>
        <v>4</v>
      </c>
      <c r="AH231" s="176">
        <f t="shared" si="94"/>
        <v>10</v>
      </c>
      <c r="AI231" s="225">
        <f t="shared" si="95"/>
        <v>4.745564448647114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IF(t&gt;Tmaj,'2026'!Wh/'2026'!Env_an*'2027'!Env_an,0.001*'[10]mon-tableau (1)'!$B$145)</f>
        <v>41.44465500816532</v>
      </c>
      <c r="C232" s="839"/>
      <c r="D232" s="393">
        <f t="shared" si="77"/>
        <v>45.788145550680241</v>
      </c>
      <c r="E232" s="385">
        <f t="shared" si="75"/>
        <v>47.725879124460754</v>
      </c>
      <c r="F232" s="385">
        <f t="shared" si="78"/>
        <v>48.941853277487994</v>
      </c>
      <c r="G232" s="110">
        <f t="shared" si="76"/>
        <v>0.88225486136399633</v>
      </c>
      <c r="H232" s="414" t="b">
        <f>Wh_hp&gt;='2026'!Maxi_hp</f>
        <v>0</v>
      </c>
      <c r="I232" s="390">
        <f>IF(H232,Wh_hp,'2026'!Maxi_hp)</f>
        <v>54.962682458177952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9.4860590886070378E-2</v>
      </c>
      <c r="M232" s="843"/>
      <c r="N232" s="843"/>
      <c r="O232" s="48">
        <f>IF(t&lt;Tnet,'2026'!Resal+('2026'!Salim-'2026'!Resal)*(1-EXP(('2026'!Tnet-t)/('2026'!Tau_j))),Resal+(Salim-Resal)*(1-EXP((Tnet-t)/(Tau_j))))*Salcycl</f>
        <v>4.0601317551998091E-2</v>
      </c>
      <c r="P232" s="169">
        <f>(INDEX(Models!$BJ232:$BT232,,T232)*(1-R232)+INDEX(Models!$BJ232:$BT232,,T232+1)*R232-ERP_i)*Q232*Ramure*Pc/MaxiM</f>
        <v>2.9647253557420768E-2</v>
      </c>
      <c r="Q232" s="305">
        <f t="shared" si="80"/>
        <v>0.8</v>
      </c>
      <c r="R232" s="177">
        <f t="shared" si="81"/>
        <v>0.54685700225364808</v>
      </c>
      <c r="S232" s="809">
        <f t="shared" si="82"/>
        <v>3</v>
      </c>
      <c r="T232" s="176">
        <f t="shared" si="83"/>
        <v>9</v>
      </c>
      <c r="U232" s="251">
        <f t="shared" si="84"/>
        <v>3.5468570022536481</v>
      </c>
      <c r="V232" s="383">
        <f t="shared" si="85"/>
        <v>46.744506803211046</v>
      </c>
      <c r="W232" s="402">
        <f t="shared" si="86"/>
        <v>41.44465500816532</v>
      </c>
      <c r="X232" s="157">
        <f t="shared" si="87"/>
        <v>46605</v>
      </c>
      <c r="Y232" s="385">
        <f t="shared" si="88"/>
        <v>36.469832450677707</v>
      </c>
      <c r="Z232" s="385">
        <f t="shared" si="89"/>
        <v>40.291950702245096</v>
      </c>
      <c r="AA232" s="386">
        <f t="shared" si="90"/>
        <v>46.596880150958405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0.13530797401644556</v>
      </c>
      <c r="AD232" s="231">
        <f>(INDEX(Models!$BJ232:$BT232,,AH232)*(1-AF232)+INDEX(Models!$BJ232:$BT232,,AH232+1)*AF232-ERP_i)*AE232*Ramure*Pc/MaxiM</f>
        <v>5.717392322401034E-2</v>
      </c>
      <c r="AE232" s="305">
        <f t="shared" si="92"/>
        <v>0.8</v>
      </c>
      <c r="AF232" s="177">
        <f t="shared" si="93"/>
        <v>0.74757374941855126</v>
      </c>
      <c r="AG232" s="809">
        <f t="shared" si="99"/>
        <v>4</v>
      </c>
      <c r="AH232" s="176">
        <f t="shared" si="94"/>
        <v>10</v>
      </c>
      <c r="AI232" s="225">
        <f t="shared" si="95"/>
        <v>4.7475737494185513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IF(t&gt;Tmaj,'2026'!Wh/'2026'!Env_an*'2027'!Env_an,0.001*'[10]mon-tableau (1)'!$B$146)</f>
        <v>43.87847801116181</v>
      </c>
      <c r="C233" s="839"/>
      <c r="D233" s="393">
        <f t="shared" si="77"/>
        <v>48.478193001669219</v>
      </c>
      <c r="E233" s="385">
        <f t="shared" ref="E233:E296" si="100">Wh_pvt/(1-Psa)</f>
        <v>50.540592608539065</v>
      </c>
      <c r="F233" s="385">
        <f t="shared" si="78"/>
        <v>52.008651368735222</v>
      </c>
      <c r="G233" s="110">
        <f t="shared" ref="G233:G296" si="101">+Wh_hp/MaxiM</f>
        <v>0.94114039847619402</v>
      </c>
      <c r="H233" s="414" t="b">
        <f>Wh_hp&gt;='2026'!Maxi_hp</f>
        <v>0</v>
      </c>
      <c r="I233" s="390">
        <f>IF(H233,Wh_hp,'2026'!Maxi_hp)</f>
        <v>52.959519523212762</v>
      </c>
      <c r="J233" s="85">
        <f>IF(H233,An,'2026'!An_max)</f>
        <v>2020</v>
      </c>
      <c r="K233" s="197">
        <f t="shared" si="79"/>
        <v>46606</v>
      </c>
      <c r="L233" s="147">
        <f>IF(t&lt;Tvie,1-EXP((T0-t)*PertePVj)+'2026'!Pspv,1-EXP((T0-t)*PertePVj)+Pspv)</f>
        <v>9.4882146088840963E-2</v>
      </c>
      <c r="M233" s="843"/>
      <c r="N233" s="843"/>
      <c r="O233" s="48">
        <f>IF(t&lt;Tnet,'2026'!Resal+('2026'!Salim-'2026'!Resal)*(1-EXP(('2026'!Tnet-t)/('2026'!Tau_j))),Resal+(Salim-Resal)*(1-EXP((Tnet-t)/(Tau_j))))*Salcycl</f>
        <v>4.0806795101199306E-2</v>
      </c>
      <c r="P233" s="169">
        <f>(INDEX(Models!$BJ233:$BT233,,T233)*(1-R233)+INDEX(Models!$BJ233:$BT233,,T233+1)*R233-ERP_i)*Q233*Ramure*Pc/MaxiM</f>
        <v>3.0703448681196652E-2</v>
      </c>
      <c r="Q233" s="305">
        <f t="shared" si="80"/>
        <v>0.8</v>
      </c>
      <c r="R233" s="177">
        <f t="shared" si="81"/>
        <v>0.54879935090912424</v>
      </c>
      <c r="S233" s="809">
        <f t="shared" si="82"/>
        <v>3</v>
      </c>
      <c r="T233" s="176">
        <f t="shared" si="83"/>
        <v>9</v>
      </c>
      <c r="U233" s="251">
        <f t="shared" si="84"/>
        <v>3.5487993509091242</v>
      </c>
      <c r="V233" s="383">
        <f t="shared" si="85"/>
        <v>46.503867125164689</v>
      </c>
      <c r="W233" s="402">
        <f t="shared" si="86"/>
        <v>43.87847801116181</v>
      </c>
      <c r="X233" s="157">
        <f t="shared" si="87"/>
        <v>46606</v>
      </c>
      <c r="Y233" s="385">
        <f t="shared" si="88"/>
        <v>38.478834355244665</v>
      </c>
      <c r="Z233" s="385">
        <f t="shared" si="89"/>
        <v>42.512512805897558</v>
      </c>
      <c r="AA233" s="386">
        <f t="shared" si="90"/>
        <v>49.168963952205942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0.13537912152834256</v>
      </c>
      <c r="AD233" s="231">
        <f>(INDEX(Models!$BJ233:$BT233,,AH233)*(1-AF233)+INDEX(Models!$BJ233:$BT233,,AH233+1)*AF233-ERP_i)*AE233*Ramure*Pc/MaxiM</f>
        <v>5.9390127444487892E-2</v>
      </c>
      <c r="AE233" s="305">
        <f t="shared" si="92"/>
        <v>0.8</v>
      </c>
      <c r="AF233" s="177">
        <f t="shared" si="93"/>
        <v>0.74951609807402786</v>
      </c>
      <c r="AG233" s="809">
        <f t="shared" si="99"/>
        <v>4</v>
      </c>
      <c r="AH233" s="176">
        <f t="shared" si="94"/>
        <v>10</v>
      </c>
      <c r="AI233" s="225">
        <f t="shared" si="95"/>
        <v>4.7495160980740279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IF(t&gt;Tmaj,'2026'!Wh/'2026'!Env_an*'2027'!Env_an,0.001*'[10]mon-tableau (1)'!$B$147)</f>
        <v>43.48421979619993</v>
      </c>
      <c r="C234" s="839"/>
      <c r="D234" s="393">
        <f t="shared" si="77"/>
        <v>48.04374941556388</v>
      </c>
      <c r="E234" s="385">
        <f t="shared" si="100"/>
        <v>50.09837813042671</v>
      </c>
      <c r="F234" s="385">
        <f t="shared" si="78"/>
        <v>51.60186073223467</v>
      </c>
      <c r="G234" s="110">
        <f t="shared" si="101"/>
        <v>0.93744386976450544</v>
      </c>
      <c r="H234" s="414" t="b">
        <f>Wh_hp&gt;='2026'!Maxi_hp</f>
        <v>0</v>
      </c>
      <c r="I234" s="390">
        <f>IF(H234,Wh_hp,'2026'!Maxi_hp)</f>
        <v>52.507741008384137</v>
      </c>
      <c r="J234" s="85">
        <f>IF(H234,An,'2026'!An_max)</f>
        <v>2019</v>
      </c>
      <c r="K234" s="197">
        <f t="shared" si="79"/>
        <v>46607</v>
      </c>
      <c r="L234" s="147">
        <f>IF(t&lt;Tvie,1-EXP((T0-t)*PertePVj)+'2026'!Pspv,1-EXP((T0-t)*PertePVj)+Pspv)</f>
        <v>9.4903700789990469E-2</v>
      </c>
      <c r="M234" s="843"/>
      <c r="N234" s="843"/>
      <c r="O234" s="48">
        <f>IF(t&lt;Tnet,'2026'!Resal+('2026'!Salim-'2026'!Resal)*(1-EXP(('2026'!Tnet-t)/('2026'!Tau_j))),Resal+(Salim-Resal)*(1-EXP((Tnet-t)/(Tau_j))))*Salcycl</f>
        <v>4.1011880853982642E-2</v>
      </c>
      <c r="P234" s="169">
        <f>(INDEX(Models!$BJ234:$BT234,,T234)*(1-R234)+INDEX(Models!$BJ234:$BT234,,T234+1)*R234-ERP_i)*Q234*Ramure*Pc/MaxiM</f>
        <v>3.1863511270933134E-2</v>
      </c>
      <c r="Q234" s="305">
        <f t="shared" si="80"/>
        <v>0.8</v>
      </c>
      <c r="R234" s="177">
        <f t="shared" si="81"/>
        <v>0.55067647962862987</v>
      </c>
      <c r="S234" s="809">
        <f t="shared" si="82"/>
        <v>3</v>
      </c>
      <c r="T234" s="176">
        <f t="shared" si="83"/>
        <v>9</v>
      </c>
      <c r="U234" s="251">
        <f t="shared" si="84"/>
        <v>3.5506764796286299</v>
      </c>
      <c r="V234" s="383">
        <f t="shared" si="85"/>
        <v>46.255639926584472</v>
      </c>
      <c r="W234" s="402">
        <f t="shared" si="86"/>
        <v>43.48421979619993</v>
      </c>
      <c r="X234" s="157">
        <f t="shared" si="87"/>
        <v>46607</v>
      </c>
      <c r="Y234" s="385">
        <f t="shared" si="88"/>
        <v>38.098689875070406</v>
      </c>
      <c r="Z234" s="385">
        <f t="shared" si="89"/>
        <v>42.093520775992438</v>
      </c>
      <c r="AA234" s="386">
        <f t="shared" si="90"/>
        <v>48.688350703669357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0.13544985263137926</v>
      </c>
      <c r="AD234" s="231">
        <f>(INDEX(Models!$BJ234:$BT234,,AH234)*(1-AF234)+INDEX(Models!$BJ234:$BT234,,AH234+1)*AF234-ERP_i)*AE234*Ramure*Pc/MaxiM</f>
        <v>6.1746414306046937E-2</v>
      </c>
      <c r="AE234" s="305">
        <f t="shared" si="92"/>
        <v>0.8</v>
      </c>
      <c r="AF234" s="177">
        <f t="shared" si="93"/>
        <v>0.75139322679353349</v>
      </c>
      <c r="AG234" s="809">
        <f t="shared" si="99"/>
        <v>4</v>
      </c>
      <c r="AH234" s="176">
        <f t="shared" si="94"/>
        <v>10</v>
      </c>
      <c r="AI234" s="225">
        <f t="shared" si="95"/>
        <v>4.7513932267935335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IF(t&gt;Tmaj,'2026'!Wh/'2026'!Env_an*'2027'!Env_an,0.001*'[10]mon-tableau (1)'!$B$148)</f>
        <v>42.641096679753105</v>
      </c>
      <c r="C235" s="839"/>
      <c r="D235" s="393">
        <f t="shared" si="77"/>
        <v>47.113342754094695</v>
      </c>
      <c r="E235" s="385">
        <f t="shared" si="100"/>
        <v>49.138670429449419</v>
      </c>
      <c r="F235" s="385">
        <f t="shared" si="78"/>
        <v>50.64024065358619</v>
      </c>
      <c r="G235" s="110">
        <f t="shared" si="101"/>
        <v>0.92366385870660839</v>
      </c>
      <c r="H235" s="414" t="b">
        <f>Wh_hp&gt;='2026'!Maxi_hp</f>
        <v>0</v>
      </c>
      <c r="I235" s="390">
        <f>IF(H235,Wh_hp,'2026'!Maxi_hp)</f>
        <v>52.165063941951729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9.4925254989530555E-2</v>
      </c>
      <c r="M235" s="843"/>
      <c r="N235" s="843"/>
      <c r="O235" s="48">
        <f>IF(t&lt;Tnet,'2026'!Resal+('2026'!Salim-'2026'!Resal)*(1-EXP(('2026'!Tnet-t)/('2026'!Tau_j))),Resal+(Salim-Resal)*(1-EXP((Tnet-t)/(Tau_j))))*Salcycl</f>
        <v>4.121657459703916E-2</v>
      </c>
      <c r="P235" s="169">
        <f>(INDEX(Models!$BJ235:$BT235,,T235)*(1-R235)+INDEX(Models!$BJ235:$BT235,,T235+1)*R235-ERP_i)*Q235*Ramure*Pc/MaxiM</f>
        <v>3.3105914492225774E-2</v>
      </c>
      <c r="Q235" s="305">
        <f t="shared" si="80"/>
        <v>0.8</v>
      </c>
      <c r="R235" s="177">
        <f t="shared" si="81"/>
        <v>0.5524901126709838</v>
      </c>
      <c r="S235" s="809">
        <f t="shared" si="82"/>
        <v>3</v>
      </c>
      <c r="T235" s="176">
        <f t="shared" si="83"/>
        <v>9</v>
      </c>
      <c r="U235" s="251">
        <f t="shared" si="84"/>
        <v>3.5524901126709838</v>
      </c>
      <c r="V235" s="383">
        <f t="shared" si="85"/>
        <v>46.0008310896865</v>
      </c>
      <c r="W235" s="402">
        <f t="shared" si="86"/>
        <v>42.641096679753105</v>
      </c>
      <c r="X235" s="157">
        <f t="shared" si="87"/>
        <v>46608</v>
      </c>
      <c r="Y235" s="385">
        <f t="shared" si="88"/>
        <v>37.343891200092081</v>
      </c>
      <c r="Z235" s="385">
        <f t="shared" si="89"/>
        <v>41.260560418863641</v>
      </c>
      <c r="AA235" s="386">
        <f t="shared" si="90"/>
        <v>47.728771642033074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0.13552016950449033</v>
      </c>
      <c r="AD235" s="231">
        <f>(INDEX(Models!$BJ235:$BT235,,AH235)*(1-AF235)+INDEX(Models!$BJ235:$BT235,,AH235+1)*AF235-ERP_i)*AE235*Ramure*Pc/MaxiM</f>
        <v>6.4190700237582277E-2</v>
      </c>
      <c r="AE235" s="305">
        <f t="shared" si="92"/>
        <v>0.8</v>
      </c>
      <c r="AF235" s="177">
        <f t="shared" si="93"/>
        <v>0.75320685983588742</v>
      </c>
      <c r="AG235" s="809">
        <f t="shared" si="99"/>
        <v>4</v>
      </c>
      <c r="AH235" s="176">
        <f t="shared" si="94"/>
        <v>10</v>
      </c>
      <c r="AI235" s="225">
        <f t="shared" si="95"/>
        <v>4.7532068598358874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IF(t&gt;Tmaj,'2026'!Wh/'2026'!Env_an*'2027'!Env_an,0.001*'[10]mon-tableau (1)'!$B$149)</f>
        <v>39.7655480860602</v>
      </c>
      <c r="C236" s="839"/>
      <c r="D236" s="393">
        <f t="shared" si="77"/>
        <v>43.937249730473155</v>
      </c>
      <c r="E236" s="385">
        <f t="shared" si="100"/>
        <v>45.835809068005496</v>
      </c>
      <c r="F236" s="385">
        <f t="shared" si="78"/>
        <v>47.156548909506789</v>
      </c>
      <c r="G236" s="110">
        <f t="shared" si="101"/>
        <v>0.86364841264517245</v>
      </c>
      <c r="H236" s="414" t="b">
        <f>Wh_hp&gt;='2026'!Maxi_hp</f>
        <v>0</v>
      </c>
      <c r="I236" s="390">
        <f>IF(H236,Wh_hp,'2026'!Maxi_hp)</f>
        <v>48.556121526495438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9.4946808687472989E-2</v>
      </c>
      <c r="M236" s="843"/>
      <c r="N236" s="843"/>
      <c r="O236" s="48">
        <f>IF(t&lt;Tnet,'2026'!Resal+('2026'!Salim-'2026'!Resal)*(1-EXP(('2026'!Tnet-t)/('2026'!Tau_j))),Resal+(Salim-Resal)*(1-EXP((Tnet-t)/(Tau_j))))*Salcycl</f>
        <v>4.1420875427670423E-2</v>
      </c>
      <c r="P236" s="169">
        <f>(INDEX(Models!$BJ236:$BT236,,T236)*(1-R236)+INDEX(Models!$BJ236:$BT236,,T236+1)*R236-ERP_i)*Q236*Ramure*Pc/MaxiM</f>
        <v>3.443182056348075E-2</v>
      </c>
      <c r="Q236" s="305">
        <f t="shared" si="80"/>
        <v>0.8</v>
      </c>
      <c r="R236" s="177">
        <f t="shared" si="81"/>
        <v>0.55424196323006036</v>
      </c>
      <c r="S236" s="809">
        <f t="shared" si="82"/>
        <v>3</v>
      </c>
      <c r="T236" s="176">
        <f t="shared" si="83"/>
        <v>9</v>
      </c>
      <c r="U236" s="251">
        <f t="shared" si="84"/>
        <v>3.5542419632300604</v>
      </c>
      <c r="V236" s="383">
        <f t="shared" si="85"/>
        <v>45.739356596679706</v>
      </c>
      <c r="W236" s="402">
        <f t="shared" si="86"/>
        <v>39.7655480860602</v>
      </c>
      <c r="X236" s="157">
        <f t="shared" si="87"/>
        <v>46609</v>
      </c>
      <c r="Y236" s="385">
        <f t="shared" si="88"/>
        <v>34.889981962568868</v>
      </c>
      <c r="Z236" s="385">
        <f t="shared" si="89"/>
        <v>38.550200471610609</v>
      </c>
      <c r="AA236" s="386">
        <f t="shared" si="90"/>
        <v>44.597128310978015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0.13559007201544182</v>
      </c>
      <c r="AD236" s="231">
        <f>(INDEX(Models!$BJ236:$BT236,,AH236)*(1-AF236)+INDEX(Models!$BJ236:$BT236,,AH236+1)*AF236-ERP_i)*AE236*Ramure*Pc/MaxiM</f>
        <v>6.6724352537776366E-2</v>
      </c>
      <c r="AE236" s="305">
        <f t="shared" si="92"/>
        <v>0.8</v>
      </c>
      <c r="AF236" s="177">
        <f t="shared" si="93"/>
        <v>0.75495871039496443</v>
      </c>
      <c r="AG236" s="809">
        <f t="shared" si="99"/>
        <v>4</v>
      </c>
      <c r="AH236" s="176">
        <f t="shared" si="94"/>
        <v>10</v>
      </c>
      <c r="AI236" s="225">
        <f t="shared" si="95"/>
        <v>4.7549587103949644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IF(t&gt;Tmaj,'2026'!Wh/'2026'!Env_an*'2027'!Env_an,0.001*'[10]mon-tableau (1)'!$B$150)</f>
        <v>37.862741223393073</v>
      </c>
      <c r="C237" s="839"/>
      <c r="D237" s="393">
        <f t="shared" si="77"/>
        <v>41.835820571095852</v>
      </c>
      <c r="E237" s="385">
        <f t="shared" si="100"/>
        <v>43.652861401203232</v>
      </c>
      <c r="F237" s="385">
        <f t="shared" si="78"/>
        <v>44.876873498545535</v>
      </c>
      <c r="G237" s="110">
        <f t="shared" si="101"/>
        <v>0.82534240893792754</v>
      </c>
      <c r="H237" s="414" t="b">
        <f>Wh_hp&gt;='2026'!Maxi_hp</f>
        <v>0</v>
      </c>
      <c r="I237" s="390">
        <f>IF(H237,Wh_hp,'2026'!Maxi_hp)</f>
        <v>47.670695144219835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9.4968361883829316E-2</v>
      </c>
      <c r="M237" s="843"/>
      <c r="N237" s="843"/>
      <c r="O237" s="48">
        <f>IF(t&lt;Tnet,'2026'!Resal+('2026'!Salim-'2026'!Resal)*(1-EXP(('2026'!Tnet-t)/('2026'!Tau_j))),Resal+(Salim-Resal)*(1-EXP((Tnet-t)/(Tau_j))))*Salcycl</f>
        <v>4.1624781784804089E-2</v>
      </c>
      <c r="P237" s="169">
        <f>(INDEX(Models!$BJ237:$BT237,,T237)*(1-R237)+INDEX(Models!$BJ237:$BT237,,T237+1)*R237-ERP_i)*Q237*Ramure*Pc/MaxiM</f>
        <v>3.5842448269601271E-2</v>
      </c>
      <c r="Q237" s="305">
        <f t="shared" si="80"/>
        <v>0.8</v>
      </c>
      <c r="R237" s="177">
        <f t="shared" si="81"/>
        <v>0.5559337305576717</v>
      </c>
      <c r="S237" s="809">
        <f t="shared" si="82"/>
        <v>3</v>
      </c>
      <c r="T237" s="176">
        <f t="shared" si="83"/>
        <v>9</v>
      </c>
      <c r="U237" s="251">
        <f t="shared" si="84"/>
        <v>3.5559337305576717</v>
      </c>
      <c r="V237" s="383">
        <f t="shared" si="85"/>
        <v>45.471132972270645</v>
      </c>
      <c r="W237" s="402">
        <f t="shared" si="86"/>
        <v>37.862741223393073</v>
      </c>
      <c r="X237" s="157">
        <f t="shared" si="87"/>
        <v>46610</v>
      </c>
      <c r="Y237" s="385">
        <f t="shared" si="88"/>
        <v>33.252604181148435</v>
      </c>
      <c r="Z237" s="385">
        <f t="shared" si="89"/>
        <v>36.741924570022711</v>
      </c>
      <c r="AA237" s="386">
        <f t="shared" si="90"/>
        <v>42.508625975668828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0.13565955787295667</v>
      </c>
      <c r="AD237" s="231">
        <f>(INDEX(Models!$BJ237:$BT237,,AH237)*(1-AF237)+INDEX(Models!$BJ237:$BT237,,AH237+1)*AF237-ERP_i)*AE237*Ramure*Pc/MaxiM</f>
        <v>6.9348815679704606E-2</v>
      </c>
      <c r="AE237" s="305">
        <f t="shared" si="92"/>
        <v>0.8</v>
      </c>
      <c r="AF237" s="177">
        <f t="shared" si="93"/>
        <v>0.75665047772257488</v>
      </c>
      <c r="AG237" s="809">
        <f t="shared" si="99"/>
        <v>4</v>
      </c>
      <c r="AH237" s="176">
        <f t="shared" si="94"/>
        <v>10</v>
      </c>
      <c r="AI237" s="225">
        <f t="shared" si="95"/>
        <v>4.7566504777225749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IF(t&gt;Tmaj,'2026'!Wh/'2026'!Env_an*'2027'!Env_an,0.001*'[10]mon-tableau (1)'!$B$151)</f>
        <v>39.104686983686754</v>
      </c>
      <c r="C238" s="839"/>
      <c r="D238" s="393">
        <f t="shared" si="77"/>
        <v>43.209117349757399</v>
      </c>
      <c r="E238" s="385">
        <f t="shared" si="100"/>
        <v>45.095380051010096</v>
      </c>
      <c r="F238" s="385">
        <f t="shared" si="78"/>
        <v>46.497266371720492</v>
      </c>
      <c r="G238" s="110">
        <f t="shared" si="101"/>
        <v>0.85880938954476338</v>
      </c>
      <c r="H238" s="414" t="b">
        <f>Wh_hp&gt;='2026'!Maxi_hp</f>
        <v>0</v>
      </c>
      <c r="I238" s="390">
        <f>IF(H238,Wh_hp,'2026'!Maxi_hp)</f>
        <v>46.829298793552006</v>
      </c>
      <c r="J238" s="85">
        <f>IF(H238,An,'2026'!An_max)</f>
        <v>2022</v>
      </c>
      <c r="K238" s="197">
        <f t="shared" si="79"/>
        <v>46611</v>
      </c>
      <c r="L238" s="147">
        <f>IF(t&lt;Tvie,1-EXP((T0-t)*PertePVj)+'2026'!Pspv,1-EXP((T0-t)*PertePVj)+Pspv)</f>
        <v>9.4989914578611306E-2</v>
      </c>
      <c r="M238" s="843"/>
      <c r="N238" s="843"/>
      <c r="O238" s="48">
        <f>IF(t&lt;Tnet,'2026'!Resal+('2026'!Salim-'2026'!Resal)*(1-EXP(('2026'!Tnet-t)/('2026'!Tau_j))),Resal+(Salim-Resal)*(1-EXP((Tnet-t)/(Tau_j))))*Salcycl</f>
        <v>4.1828291481722395E-2</v>
      </c>
      <c r="P238" s="169">
        <f>(INDEX(Models!$BJ238:$BT238,,T238)*(1-R238)+INDEX(Models!$BJ238:$BT238,,T238+1)*R238-ERP_i)*Q238*Ramure*Pc/MaxiM</f>
        <v>3.7339076094030983E-2</v>
      </c>
      <c r="Q238" s="305">
        <f t="shared" si="80"/>
        <v>0.8</v>
      </c>
      <c r="R238" s="177">
        <f t="shared" si="81"/>
        <v>0.55756709734275089</v>
      </c>
      <c r="S238" s="809">
        <f t="shared" si="82"/>
        <v>3</v>
      </c>
      <c r="T238" s="176">
        <f t="shared" si="83"/>
        <v>9</v>
      </c>
      <c r="U238" s="251">
        <f t="shared" si="84"/>
        <v>3.5575670973427509</v>
      </c>
      <c r="V238" s="383">
        <f t="shared" si="85"/>
        <v>45.196077309503963</v>
      </c>
      <c r="W238" s="402">
        <f t="shared" si="86"/>
        <v>39.104686983686754</v>
      </c>
      <c r="X238" s="157">
        <f t="shared" si="87"/>
        <v>46611</v>
      </c>
      <c r="Y238" s="385">
        <f t="shared" si="88"/>
        <v>34.252649635692983</v>
      </c>
      <c r="Z238" s="385">
        <f t="shared" si="89"/>
        <v>37.847809861416451</v>
      </c>
      <c r="AA238" s="386">
        <f t="shared" si="90"/>
        <v>43.791580814765503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0.13572862278004244</v>
      </c>
      <c r="AD238" s="231">
        <f>(INDEX(Models!$BJ238:$BT238,,AH238)*(1-AF238)+INDEX(Models!$BJ238:$BT238,,AH238+1)*AF238-ERP_i)*AE238*Ramure*Pc/MaxiM</f>
        <v>7.2065614312056575E-2</v>
      </c>
      <c r="AE238" s="305">
        <f t="shared" si="92"/>
        <v>0.8</v>
      </c>
      <c r="AF238" s="177">
        <f t="shared" si="93"/>
        <v>0.75828384450765451</v>
      </c>
      <c r="AG238" s="809">
        <f t="shared" si="99"/>
        <v>4</v>
      </c>
      <c r="AH238" s="176">
        <f t="shared" si="94"/>
        <v>10</v>
      </c>
      <c r="AI238" s="225">
        <f t="shared" si="95"/>
        <v>4.7582838445076545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IF(t&gt;Tmaj,'2026'!Wh/'2026'!Env_an*'2027'!Env_an,0.001*'[10]mon-tableau (1)'!$B$152)</f>
        <v>30.272560495247419</v>
      </c>
      <c r="C239" s="839"/>
      <c r="D239" s="393">
        <f t="shared" si="77"/>
        <v>33.450766925479904</v>
      </c>
      <c r="E239" s="385">
        <f t="shared" si="100"/>
        <v>34.918437813339736</v>
      </c>
      <c r="F239" s="385">
        <f t="shared" si="78"/>
        <v>35.660045040684082</v>
      </c>
      <c r="G239" s="110">
        <f t="shared" si="101"/>
        <v>0.66153317523328625</v>
      </c>
      <c r="H239" s="414" t="b">
        <f>Wh_hp&gt;='2026'!Maxi_hp</f>
        <v>0</v>
      </c>
      <c r="I239" s="390">
        <f>IF(H239,Wh_hp,'2026'!Maxi_hp)</f>
        <v>47.124763109850662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9.5011466771830616E-2</v>
      </c>
      <c r="M239" s="843"/>
      <c r="N239" s="843"/>
      <c r="O239" s="48">
        <f>IF(t&lt;Tnet,'2026'!Resal+('2026'!Salim-'2026'!Resal)*(1-EXP(('2026'!Tnet-t)/('2026'!Tau_j))),Resal+(Salim-Resal)*(1-EXP((Tnet-t)/(Tau_j))))*Salcycl</f>
        <v>4.2031401739832309E-2</v>
      </c>
      <c r="P239" s="169">
        <f>(INDEX(Models!$BJ239:$BT239,,T239)*(1-R239)+INDEX(Models!$BJ239:$BT239,,T239+1)*R239-ERP_i)*Q239*Ramure*Pc/MaxiM</f>
        <v>3.8923045470477827E-2</v>
      </c>
      <c r="Q239" s="305">
        <f t="shared" si="80"/>
        <v>0.8</v>
      </c>
      <c r="R239" s="177">
        <f t="shared" si="81"/>
        <v>0.55914372733604312</v>
      </c>
      <c r="S239" s="809">
        <f t="shared" si="82"/>
        <v>3</v>
      </c>
      <c r="T239" s="176">
        <f t="shared" si="83"/>
        <v>9</v>
      </c>
      <c r="U239" s="251">
        <f t="shared" si="84"/>
        <v>3.5591437273360431</v>
      </c>
      <c r="V239" s="383">
        <f t="shared" si="85"/>
        <v>44.914107300679184</v>
      </c>
      <c r="W239" s="402">
        <f t="shared" si="86"/>
        <v>30.272560495247419</v>
      </c>
      <c r="X239" s="157">
        <f t="shared" si="87"/>
        <v>46612</v>
      </c>
      <c r="Y239" s="385">
        <f t="shared" si="88"/>
        <v>26.773732505937641</v>
      </c>
      <c r="Z239" s="385">
        <f t="shared" si="89"/>
        <v>29.584609663984921</v>
      </c>
      <c r="AA239" s="386">
        <f t="shared" si="90"/>
        <v>34.233413428031646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0.13579726058635166</v>
      </c>
      <c r="AD239" s="231">
        <f>(INDEX(Models!$BJ239:$BT239,,AH239)*(1-AF239)+INDEX(Models!$BJ239:$BT239,,AH239+1)*AF239-ERP_i)*AE239*Ramure*Pc/MaxiM</f>
        <v>7.4876356488242077E-2</v>
      </c>
      <c r="AE239" s="305">
        <f t="shared" si="92"/>
        <v>0.8</v>
      </c>
      <c r="AF239" s="177">
        <f t="shared" si="93"/>
        <v>0.75986047450094674</v>
      </c>
      <c r="AG239" s="809">
        <f t="shared" si="99"/>
        <v>4</v>
      </c>
      <c r="AH239" s="176">
        <f t="shared" si="94"/>
        <v>10</v>
      </c>
      <c r="AI239" s="225">
        <f t="shared" si="95"/>
        <v>4.7598604745009467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IF(t&gt;Tmaj,'2026'!Wh/'2026'!Env_an*'2027'!Env_an,0.001*'[10]mon-tableau (1)'!$B$153)</f>
        <v>27.341201574204664</v>
      </c>
      <c r="C240" s="839"/>
      <c r="D240" s="393">
        <f t="shared" si="77"/>
        <v>30.21237474077045</v>
      </c>
      <c r="E240" s="385">
        <f t="shared" si="100"/>
        <v>31.544634269919801</v>
      </c>
      <c r="F240" s="385">
        <f t="shared" si="78"/>
        <v>32.127128330048613</v>
      </c>
      <c r="G240" s="110">
        <f t="shared" si="101"/>
        <v>0.59866798754945905</v>
      </c>
      <c r="H240" s="414" t="b">
        <f>Wh_hp&gt;='2026'!Maxi_hp</f>
        <v>0</v>
      </c>
      <c r="I240" s="390">
        <f>IF(H240,Wh_hp,'2026'!Maxi_hp)</f>
        <v>53.688303667232056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9.5033018463498903E-2</v>
      </c>
      <c r="M240" s="843"/>
      <c r="N240" s="843"/>
      <c r="O240" s="48">
        <f>IF(t&lt;Tnet,'2026'!Resal+('2026'!Salim-'2026'!Resal)*(1-EXP(('2026'!Tnet-t)/('2026'!Tau_j))),Resal+(Salim-Resal)*(1-EXP((Tnet-t)/(Tau_j))))*Salcycl</f>
        <v>4.2234109222808756E-2</v>
      </c>
      <c r="P240" s="169">
        <f>(INDEX(Models!$BJ240:$BT240,,T240)*(1-R240)+INDEX(Models!$BJ240:$BT240,,T240+1)*R240-ERP_i)*Q240*Ramure*Pc/MaxiM</f>
        <v>4.0589584604680568E-2</v>
      </c>
      <c r="Q240" s="305">
        <f t="shared" si="80"/>
        <v>0.8</v>
      </c>
      <c r="R240" s="177">
        <f t="shared" si="81"/>
        <v>0.56066526320918175</v>
      </c>
      <c r="S240" s="809">
        <f t="shared" si="82"/>
        <v>3</v>
      </c>
      <c r="T240" s="176">
        <f t="shared" si="83"/>
        <v>9</v>
      </c>
      <c r="U240" s="251">
        <f t="shared" si="84"/>
        <v>3.5606652632091818</v>
      </c>
      <c r="V240" s="383">
        <f t="shared" si="85"/>
        <v>44.62542870735588</v>
      </c>
      <c r="W240" s="402">
        <f t="shared" si="86"/>
        <v>27.341201574204664</v>
      </c>
      <c r="X240" s="157">
        <f t="shared" si="87"/>
        <v>46613</v>
      </c>
      <c r="Y240" s="385">
        <f t="shared" si="88"/>
        <v>24.251584395898242</v>
      </c>
      <c r="Z240" s="385">
        <f t="shared" si="89"/>
        <v>26.798308546818593</v>
      </c>
      <c r="AA240" s="386">
        <f t="shared" si="90"/>
        <v>31.011731869230871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0.13586546343749159</v>
      </c>
      <c r="AD240" s="231">
        <f>(INDEX(Models!$BJ240:$BT240,,AH240)*(1-AF240)+INDEX(Models!$BJ240:$BT240,,AH240+1)*AF240-ERP_i)*AE240*Ramure*Pc/MaxiM</f>
        <v>7.7723503316259435E-2</v>
      </c>
      <c r="AE240" s="305">
        <f t="shared" si="92"/>
        <v>0.8</v>
      </c>
      <c r="AF240" s="177">
        <f t="shared" si="93"/>
        <v>0.76138201037408582</v>
      </c>
      <c r="AG240" s="809">
        <f t="shared" si="99"/>
        <v>4</v>
      </c>
      <c r="AH240" s="176">
        <f t="shared" si="94"/>
        <v>10</v>
      </c>
      <c r="AI240" s="225">
        <f t="shared" si="95"/>
        <v>4.7613820103740858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IF(t&gt;Tmaj,'2026'!Wh/'2026'!Env_an*'2027'!Env_an,0.001*'[10]mon-tableau (1)'!$B$154)</f>
        <v>33.275367839146696</v>
      </c>
      <c r="C241" s="839"/>
      <c r="D241" s="393">
        <f t="shared" si="77"/>
        <v>36.770579444122269</v>
      </c>
      <c r="E241" s="385">
        <f t="shared" si="100"/>
        <v>38.400143688449781</v>
      </c>
      <c r="F241" s="385">
        <f t="shared" si="78"/>
        <v>39.475031557039678</v>
      </c>
      <c r="G241" s="110">
        <f t="shared" si="101"/>
        <v>0.738969421655714</v>
      </c>
      <c r="H241" s="414" t="b">
        <f>Wh_hp&gt;='2026'!Maxi_hp</f>
        <v>0</v>
      </c>
      <c r="I241" s="390">
        <f>IF(H241,Wh_hp,'2026'!Maxi_hp)</f>
        <v>46.59214980096219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9.5054569653627824E-2</v>
      </c>
      <c r="M241" s="843"/>
      <c r="N241" s="843"/>
      <c r="O241" s="48">
        <f>IF(t&lt;Tnet,'2026'!Resal+('2026'!Salim-'2026'!Resal)*(1-EXP(('2026'!Tnet-t)/('2026'!Tau_j))),Resal+(Salim-Resal)*(1-EXP((Tnet-t)/(Tau_j))))*Salcycl</f>
        <v>4.2436410070456648E-2</v>
      </c>
      <c r="P241" s="169">
        <f>(INDEX(Models!$BJ241:$BT241,,T241)*(1-R241)+INDEX(Models!$BJ241:$BT241,,T241+1)*R241-ERP_i)*Q241*Ramure*Pc/MaxiM</f>
        <v>4.2300833452943311E-2</v>
      </c>
      <c r="Q241" s="305">
        <f t="shared" si="80"/>
        <v>0.8</v>
      </c>
      <c r="R241" s="177">
        <f t="shared" si="81"/>
        <v>0.56213332463683008</v>
      </c>
      <c r="S241" s="809">
        <f t="shared" si="82"/>
        <v>3</v>
      </c>
      <c r="T241" s="176">
        <f t="shared" si="83"/>
        <v>9</v>
      </c>
      <c r="U241" s="251">
        <f t="shared" si="84"/>
        <v>3.5621333246368301</v>
      </c>
      <c r="V241" s="383">
        <f t="shared" si="85"/>
        <v>44.331777324729117</v>
      </c>
      <c r="W241" s="402">
        <f t="shared" si="86"/>
        <v>33.275367839146696</v>
      </c>
      <c r="X241" s="157">
        <f t="shared" si="87"/>
        <v>46614</v>
      </c>
      <c r="Y241" s="385">
        <f t="shared" si="88"/>
        <v>29.266224562955308</v>
      </c>
      <c r="Z241" s="385">
        <f t="shared" si="89"/>
        <v>32.340319738123348</v>
      </c>
      <c r="AA241" s="386">
        <f t="shared" si="90"/>
        <v>37.428032830934086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0.13593322191931417</v>
      </c>
      <c r="AD241" s="231">
        <f>(INDEX(Models!$BJ241:$BT241,,AH241)*(1-AF241)+INDEX(Models!$BJ241:$BT241,,AH241+1)*AF241-ERP_i)*AE241*Ramure*Pc/MaxiM</f>
        <v>8.0557009453435677E-2</v>
      </c>
      <c r="AE241" s="305">
        <f t="shared" si="92"/>
        <v>0.8</v>
      </c>
      <c r="AF241" s="177">
        <f t="shared" si="93"/>
        <v>0.7628500718017337</v>
      </c>
      <c r="AG241" s="809">
        <f t="shared" si="99"/>
        <v>4</v>
      </c>
      <c r="AH241" s="176">
        <f t="shared" si="94"/>
        <v>10</v>
      </c>
      <c r="AI241" s="225">
        <f t="shared" si="95"/>
        <v>4.7628500718017337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IF(t&gt;Tmaj,'2026'!Wh/'2026'!Env_an*'2027'!Env_an,0.001*'[10]mon-tableau (1)'!$B$155)</f>
        <v>30.090706035845297</v>
      </c>
      <c r="C242" s="839"/>
      <c r="D242" s="393">
        <f t="shared" si="77"/>
        <v>33.25219580593361</v>
      </c>
      <c r="E242" s="385">
        <f t="shared" si="100"/>
        <v>34.733158641671025</v>
      </c>
      <c r="F242" s="385">
        <f t="shared" si="78"/>
        <v>35.59194928985935</v>
      </c>
      <c r="G242" s="110">
        <f t="shared" si="101"/>
        <v>0.66941058006589083</v>
      </c>
      <c r="H242" s="414" t="b">
        <f>Wh_hp&gt;='2026'!Maxi_hp</f>
        <v>0</v>
      </c>
      <c r="I242" s="390">
        <f>IF(H242,Wh_hp,'2026'!Maxi_hp)</f>
        <v>52.312778726424021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9.5076120342229148E-2</v>
      </c>
      <c r="M242" s="843"/>
      <c r="N242" s="843"/>
      <c r="O242" s="48">
        <f>IF(t&lt;Tnet,'2026'!Resal+('2026'!Salim-'2026'!Resal)*(1-EXP(('2026'!Tnet-t)/('2026'!Tau_j))),Resal+(Salim-Resal)*(1-EXP((Tnet-t)/(Tau_j))))*Salcycl</f>
        <v>4.2638299931657582E-2</v>
      </c>
      <c r="P242" s="169">
        <f>(INDEX(Models!$BJ242:$BT242,,T242)*(1-R242)+INDEX(Models!$BJ242:$BT242,,T242+1)*R242-ERP_i)*Q242*Ramure*Pc/MaxiM</f>
        <v>4.4057522029090676E-2</v>
      </c>
      <c r="Q242" s="305">
        <f t="shared" si="80"/>
        <v>0.8</v>
      </c>
      <c r="R242" s="177">
        <f t="shared" si="81"/>
        <v>0.56354950659045233</v>
      </c>
      <c r="S242" s="809">
        <f t="shared" si="82"/>
        <v>3</v>
      </c>
      <c r="T242" s="176">
        <f t="shared" si="83"/>
        <v>9</v>
      </c>
      <c r="U242" s="251">
        <f t="shared" si="84"/>
        <v>3.5635495065904523</v>
      </c>
      <c r="V242" s="383">
        <f t="shared" si="85"/>
        <v>44.033079572597963</v>
      </c>
      <c r="W242" s="402">
        <f t="shared" si="86"/>
        <v>30.090706035845297</v>
      </c>
      <c r="X242" s="157">
        <f t="shared" si="87"/>
        <v>46615</v>
      </c>
      <c r="Y242" s="385">
        <f t="shared" si="88"/>
        <v>26.557009625746169</v>
      </c>
      <c r="Z242" s="385">
        <f t="shared" si="89"/>
        <v>29.347230438641585</v>
      </c>
      <c r="AA242" s="386">
        <f t="shared" si="90"/>
        <v>33.966722543757292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0.13600052519534944</v>
      </c>
      <c r="AD242" s="231">
        <f>(INDEX(Models!$BJ242:$BT242,,AH242)*(1-AF242)+INDEX(Models!$BJ242:$BT242,,AH242+1)*AF242-ERP_i)*AE242*Ramure*Pc/MaxiM</f>
        <v>8.3377087675221881E-2</v>
      </c>
      <c r="AE242" s="305">
        <f t="shared" si="92"/>
        <v>0.8</v>
      </c>
      <c r="AF242" s="177">
        <f t="shared" si="93"/>
        <v>0.7642662537553564</v>
      </c>
      <c r="AG242" s="809">
        <f t="shared" si="99"/>
        <v>4</v>
      </c>
      <c r="AH242" s="176">
        <f t="shared" si="94"/>
        <v>10</v>
      </c>
      <c r="AI242" s="225">
        <f t="shared" si="95"/>
        <v>4.7642662537553564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IF(t&gt;Tmaj,'2026'!Wh/'2026'!Env_an*'2027'!Env_an,0.001*'[10]mon-tableau (1)'!$B$156)</f>
        <v>23.965080981534047</v>
      </c>
      <c r="C243" s="839"/>
      <c r="D243" s="393">
        <f t="shared" si="77"/>
        <v>26.483610662768655</v>
      </c>
      <c r="E243" s="385">
        <f t="shared" si="100"/>
        <v>27.668941879593323</v>
      </c>
      <c r="F243" s="385">
        <f t="shared" si="78"/>
        <v>28.125985320231766</v>
      </c>
      <c r="G243" s="110">
        <f t="shared" si="101"/>
        <v>0.53153743239303264</v>
      </c>
      <c r="H243" s="414" t="b">
        <f>Wh_hp&gt;='2026'!Maxi_hp</f>
        <v>0</v>
      </c>
      <c r="I243" s="390">
        <f>IF(H243,Wh_hp,'2026'!Maxi_hp)</f>
        <v>51.695304108145685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9.509767052931431E-2</v>
      </c>
      <c r="M243" s="843"/>
      <c r="N243" s="843"/>
      <c r="O243" s="48">
        <f>IF(t&lt;Tnet,'2026'!Resal+('2026'!Salim-'2026'!Resal)*(1-EXP(('2026'!Tnet-t)/('2026'!Tau_j))),Resal+(Salim-Resal)*(1-EXP((Tnet-t)/(Tau_j))))*Salcycl</f>
        <v>4.2839773995798698E-2</v>
      </c>
      <c r="P243" s="169">
        <f>(INDEX(Models!$BJ243:$BT243,,T243)*(1-R243)+INDEX(Models!$BJ243:$BT243,,T243+1)*R243-ERP_i)*Q243*Ramure*Pc/MaxiM</f>
        <v>4.5860438939752092E-2</v>
      </c>
      <c r="Q243" s="305">
        <f t="shared" si="80"/>
        <v>0.8</v>
      </c>
      <c r="R243" s="177">
        <f t="shared" si="81"/>
        <v>0.56491537783227574</v>
      </c>
      <c r="S243" s="809">
        <f t="shared" si="82"/>
        <v>3</v>
      </c>
      <c r="T243" s="176">
        <f t="shared" si="83"/>
        <v>9</v>
      </c>
      <c r="U243" s="251">
        <f t="shared" si="84"/>
        <v>3.5649153778322757</v>
      </c>
      <c r="V243" s="383">
        <f t="shared" si="85"/>
        <v>43.729261648510523</v>
      </c>
      <c r="W243" s="402">
        <f t="shared" si="86"/>
        <v>23.965080981534047</v>
      </c>
      <c r="X243" s="157">
        <f t="shared" si="87"/>
        <v>46616</v>
      </c>
      <c r="Y243" s="385">
        <f t="shared" si="88"/>
        <v>21.316711279644419</v>
      </c>
      <c r="Z243" s="385">
        <f t="shared" si="89"/>
        <v>23.556919443575122</v>
      </c>
      <c r="AA243" s="386">
        <f t="shared" si="90"/>
        <v>27.267078917798969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0.13606736113570225</v>
      </c>
      <c r="AD243" s="231">
        <f>(INDEX(Models!$BJ243:$BT243,,AH243)*(1-AF243)+INDEX(Models!$BJ243:$BT243,,AH243+1)*AF243-ERP_i)*AE243*Ramure*Pc/MaxiM</f>
        <v>8.6183984105991512E-2</v>
      </c>
      <c r="AE243" s="305">
        <f t="shared" si="92"/>
        <v>0.8</v>
      </c>
      <c r="AF243" s="177">
        <f t="shared" si="93"/>
        <v>0.76563212499717892</v>
      </c>
      <c r="AG243" s="809">
        <f t="shared" si="99"/>
        <v>4</v>
      </c>
      <c r="AH243" s="176">
        <f t="shared" si="94"/>
        <v>10</v>
      </c>
      <c r="AI243" s="225">
        <f t="shared" si="95"/>
        <v>4.7656321249971789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IF(t&gt;Tmaj,'2026'!Wh/'2026'!Env_an*'2027'!Env_an,0.001*'[10]mon-tableau (1)'!$B$157)</f>
        <v>32.266854504775878</v>
      </c>
      <c r="C244" s="839"/>
      <c r="D244" s="393">
        <f t="shared" si="77"/>
        <v>35.658680376036678</v>
      </c>
      <c r="E244" s="385">
        <f t="shared" si="100"/>
        <v>37.262488706883275</v>
      </c>
      <c r="F244" s="385">
        <f t="shared" si="78"/>
        <v>38.422965746590414</v>
      </c>
      <c r="G244" s="110">
        <f t="shared" si="101"/>
        <v>0.72971347798962605</v>
      </c>
      <c r="H244" s="414" t="b">
        <f>Wh_hp&gt;='2026'!Maxi_hp</f>
        <v>0</v>
      </c>
      <c r="I244" s="390">
        <f>IF(H244,Wh_hp,'2026'!Maxi_hp)</f>
        <v>51.933307624444232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9.51192202148953E-2</v>
      </c>
      <c r="M244" s="843"/>
      <c r="N244" s="843"/>
      <c r="O244" s="48">
        <f>IF(t&lt;Tnet,'2026'!Resal+('2026'!Salim-'2026'!Resal)*(1-EXP(('2026'!Tnet-t)/('2026'!Tau_j))),Resal+(Salim-Resal)*(1-EXP((Tnet-t)/(Tau_j))))*Salcycl</f>
        <v>4.30408270221182E-2</v>
      </c>
      <c r="P244" s="169">
        <f>(INDEX(Models!$BJ244:$BT244,,T244)*(1-R244)+INDEX(Models!$BJ244:$BT244,,T244+1)*R244-ERP_i)*Q244*Ramure*Pc/MaxiM</f>
        <v>4.7710433060567867E-2</v>
      </c>
      <c r="Q244" s="305">
        <f t="shared" si="80"/>
        <v>0.8</v>
      </c>
      <c r="R244" s="177">
        <f t="shared" si="81"/>
        <v>0.56623247959805223</v>
      </c>
      <c r="S244" s="809">
        <f t="shared" si="82"/>
        <v>3</v>
      </c>
      <c r="T244" s="176">
        <f t="shared" si="83"/>
        <v>9</v>
      </c>
      <c r="U244" s="251">
        <f t="shared" si="84"/>
        <v>3.5662324795980522</v>
      </c>
      <c r="V244" s="383">
        <f t="shared" si="85"/>
        <v>43.420249582619604</v>
      </c>
      <c r="W244" s="402">
        <f t="shared" si="86"/>
        <v>32.266854504775878</v>
      </c>
      <c r="X244" s="157">
        <f t="shared" si="87"/>
        <v>46617</v>
      </c>
      <c r="Y244" s="385">
        <f t="shared" si="88"/>
        <v>28.343299555335051</v>
      </c>
      <c r="Z244" s="385">
        <f t="shared" si="89"/>
        <v>31.32268934043018</v>
      </c>
      <c r="AA244" s="386">
        <f t="shared" si="90"/>
        <v>36.258724221995053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0.13613371643590824</v>
      </c>
      <c r="AD244" s="231">
        <f>(INDEX(Models!$BJ244:$BT244,,AH244)*(1-AF244)+INDEX(Models!$BJ244:$BT244,,AH244+1)*AF244-ERP_i)*AE244*Ramure*Pc/MaxiM</f>
        <v>8.8977977894475743E-2</v>
      </c>
      <c r="AE244" s="305">
        <f t="shared" si="92"/>
        <v>0.8</v>
      </c>
      <c r="AF244" s="177">
        <f t="shared" si="93"/>
        <v>0.7669492267629554</v>
      </c>
      <c r="AG244" s="809">
        <f t="shared" si="99"/>
        <v>4</v>
      </c>
      <c r="AH244" s="176">
        <f t="shared" si="94"/>
        <v>10</v>
      </c>
      <c r="AI244" s="225">
        <f t="shared" si="95"/>
        <v>4.7669492267629554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IF(t&gt;Tmaj,'2026'!Wh/'2026'!Env_an*'2027'!Env_an,0.001*'[10]mon-tableau (1)'!$B$158)</f>
        <v>33.423647045407385</v>
      </c>
      <c r="C245" s="839"/>
      <c r="D245" s="393">
        <f t="shared" si="77"/>
        <v>36.93795224170622</v>
      </c>
      <c r="E245" s="385">
        <f t="shared" si="100"/>
        <v>38.607391981682355</v>
      </c>
      <c r="F245" s="385">
        <f t="shared" si="78"/>
        <v>39.953423402661905</v>
      </c>
      <c r="G245" s="110">
        <f t="shared" si="101"/>
        <v>0.76261007047567542</v>
      </c>
      <c r="H245" s="414" t="b">
        <f>Wh_hp&gt;='2026'!Maxi_hp</f>
        <v>0</v>
      </c>
      <c r="I245" s="390">
        <f>IF(H245,Wh_hp,'2026'!Maxi_hp)</f>
        <v>43.525494254603814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9.5140769398983555E-2</v>
      </c>
      <c r="M245" s="843"/>
      <c r="N245" s="843"/>
      <c r="O245" s="48">
        <f>IF(t&lt;Tnet,'2026'!Resal+('2026'!Salim-'2026'!Resal)*(1-EXP(('2026'!Tnet-t)/('2026'!Tau_j))),Resal+(Salim-Resal)*(1-EXP((Tnet-t)/(Tau_j))))*Salcycl</f>
        <v>4.3241453366448974E-2</v>
      </c>
      <c r="P245" s="169">
        <f>(INDEX(Models!$BJ245:$BT245,,T245)*(1-R245)+INDEX(Models!$BJ245:$BT245,,T245+1)*R245-ERP_i)*Q245*Ramure*Pc/MaxiM</f>
        <v>4.960841539070153E-2</v>
      </c>
      <c r="Q245" s="305">
        <f t="shared" si="80"/>
        <v>0.8</v>
      </c>
      <c r="R245" s="177">
        <f t="shared" si="81"/>
        <v>0.56750232445737936</v>
      </c>
      <c r="S245" s="809">
        <f t="shared" si="82"/>
        <v>3</v>
      </c>
      <c r="T245" s="176">
        <f t="shared" si="83"/>
        <v>9</v>
      </c>
      <c r="U245" s="251">
        <f t="shared" si="84"/>
        <v>3.5675023244573794</v>
      </c>
      <c r="V245" s="383">
        <f t="shared" si="85"/>
        <v>43.10596930689195</v>
      </c>
      <c r="W245" s="402">
        <f t="shared" si="86"/>
        <v>33.423647045407385</v>
      </c>
      <c r="X245" s="157">
        <f t="shared" si="87"/>
        <v>46618</v>
      </c>
      <c r="Y245" s="385">
        <f t="shared" si="88"/>
        <v>29.282297773439172</v>
      </c>
      <c r="Z245" s="385">
        <f t="shared" si="89"/>
        <v>32.361163795598991</v>
      </c>
      <c r="AA245" s="386">
        <f t="shared" si="90"/>
        <v>37.463704489613725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0.13619957672443567</v>
      </c>
      <c r="AD245" s="231">
        <f>(INDEX(Models!$BJ245:$BT245,,AH245)*(1-AF245)+INDEX(Models!$BJ245:$BT245,,AH245+1)*AF245-ERP_i)*AE245*Ramure*Pc/MaxiM</f>
        <v>9.1759381036363524E-2</v>
      </c>
      <c r="AE245" s="305">
        <f t="shared" si="92"/>
        <v>0.8</v>
      </c>
      <c r="AF245" s="177">
        <f t="shared" si="93"/>
        <v>0.76821907162228253</v>
      </c>
      <c r="AG245" s="809">
        <f t="shared" si="99"/>
        <v>4</v>
      </c>
      <c r="AH245" s="176">
        <f t="shared" si="94"/>
        <v>10</v>
      </c>
      <c r="AI245" s="225">
        <f t="shared" si="95"/>
        <v>4.7682190716222825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IF(t&gt;Tmaj,'2026'!Wh/'2026'!Env_an*'2027'!Env_an,0.001*'[10]mon-tableau (1)'!$B$159)</f>
        <v>40.223861574818187</v>
      </c>
      <c r="C246" s="839"/>
      <c r="D246" s="393">
        <f t="shared" si="77"/>
        <v>44.454229060771191</v>
      </c>
      <c r="E246" s="385">
        <f t="shared" si="100"/>
        <v>46.473096932956992</v>
      </c>
      <c r="F246" s="385">
        <f t="shared" si="78"/>
        <v>48.772445239136466</v>
      </c>
      <c r="G246" s="110">
        <f t="shared" si="101"/>
        <v>0.93575780186474644</v>
      </c>
      <c r="H246" s="414" t="b">
        <f>Wh_hp&gt;='2026'!Maxi_hp</f>
        <v>0</v>
      </c>
      <c r="I246" s="390">
        <f>IF(H246,Wh_hp,'2026'!Maxi_hp)</f>
        <v>48.990722574028382</v>
      </c>
      <c r="J246" s="85">
        <f>IF(H246,An,'2026'!An_max)</f>
        <v>2022</v>
      </c>
      <c r="K246" s="197">
        <f t="shared" si="79"/>
        <v>46619</v>
      </c>
      <c r="L246" s="147">
        <f>IF(t&lt;Tvie,1-EXP((T0-t)*PertePVj)+'2026'!Pspv,1-EXP((T0-t)*PertePVj)+Pspv)</f>
        <v>9.516231808159073E-2</v>
      </c>
      <c r="M246" s="843"/>
      <c r="N246" s="843"/>
      <c r="O246" s="48">
        <f>IF(t&lt;Tnet,'2026'!Resal+('2026'!Salim-'2026'!Resal)*(1-EXP(('2026'!Tnet-t)/('2026'!Tau_j))),Resal+(Salim-Resal)*(1-EXP((Tnet-t)/(Tau_j))))*Salcycl</f>
        <v>4.3441647004895279E-2</v>
      </c>
      <c r="P246" s="169">
        <f>(INDEX(Models!$BJ246:$BT246,,T246)*(1-R246)+INDEX(Models!$BJ246:$BT246,,T246+1)*R246-ERP_i)*Q246*Ramure*Pc/MaxiM</f>
        <v>5.1555361129209908E-2</v>
      </c>
      <c r="Q246" s="305">
        <f t="shared" si="80"/>
        <v>0.8</v>
      </c>
      <c r="R246" s="177">
        <f t="shared" si="81"/>
        <v>0.5687263953405215</v>
      </c>
      <c r="S246" s="809">
        <f t="shared" si="82"/>
        <v>3</v>
      </c>
      <c r="T246" s="176">
        <f t="shared" si="83"/>
        <v>9</v>
      </c>
      <c r="U246" s="251">
        <f t="shared" si="84"/>
        <v>3.5687263953405215</v>
      </c>
      <c r="V246" s="383">
        <f t="shared" si="85"/>
        <v>42.786346703803545</v>
      </c>
      <c r="W246" s="402">
        <f t="shared" si="86"/>
        <v>40.223861574818187</v>
      </c>
      <c r="X246" s="157">
        <f t="shared" si="87"/>
        <v>46619</v>
      </c>
      <c r="Y246" s="385">
        <f t="shared" si="88"/>
        <v>34.82269711819621</v>
      </c>
      <c r="Z246" s="385">
        <f t="shared" si="89"/>
        <v>38.48502092039999</v>
      </c>
      <c r="AA246" s="386">
        <f t="shared" si="90"/>
        <v>44.556510564611109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0.13626492665773027</v>
      </c>
      <c r="AD246" s="231">
        <f>(INDEX(Models!$BJ246:$BT246,,AH246)*(1-AF246)+INDEX(Models!$BJ246:$BT246,,AH246+1)*AF246-ERP_i)*AE246*Ramure*Pc/MaxiM</f>
        <v>9.4528538394194492E-2</v>
      </c>
      <c r="AE246" s="305">
        <f t="shared" si="92"/>
        <v>0.8</v>
      </c>
      <c r="AF246" s="177">
        <f t="shared" si="93"/>
        <v>0.76944314250542512</v>
      </c>
      <c r="AG246" s="809">
        <f t="shared" si="99"/>
        <v>4</v>
      </c>
      <c r="AH246" s="176">
        <f t="shared" si="94"/>
        <v>10</v>
      </c>
      <c r="AI246" s="225">
        <f t="shared" si="95"/>
        <v>4.7694431425054251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IF(t&gt;Tmaj,'2026'!Wh/'2026'!Env_an*'2027'!Env_an,0.001*'[10]mon-tableau (1)'!$B$160)</f>
        <v>25.820295934944085</v>
      </c>
      <c r="C247" s="839"/>
      <c r="D247" s="393">
        <f t="shared" si="77"/>
        <v>28.536511421713271</v>
      </c>
      <c r="E247" s="385">
        <f t="shared" si="100"/>
        <v>29.838714754155749</v>
      </c>
      <c r="F247" s="385">
        <f t="shared" si="78"/>
        <v>30.558964310281777</v>
      </c>
      <c r="G247" s="110">
        <f t="shared" si="101"/>
        <v>0.5894115495611445</v>
      </c>
      <c r="H247" s="414" t="b">
        <f>Wh_hp&gt;='2026'!Maxi_hp</f>
        <v>0</v>
      </c>
      <c r="I247" s="390">
        <f>IF(H247,Wh_hp,'2026'!Maxi_hp)</f>
        <v>48.833127388179392</v>
      </c>
      <c r="J247" s="85">
        <f>IF(H247,An,'2026'!An_max)</f>
        <v>2019</v>
      </c>
      <c r="K247" s="197">
        <f t="shared" si="79"/>
        <v>46620</v>
      </c>
      <c r="L247" s="147">
        <f>IF(t&lt;Tvie,1-EXP((T0-t)*PertePVj)+'2026'!Pspv,1-EXP((T0-t)*PertePVj)+Pspv)</f>
        <v>9.5183866262728706E-2</v>
      </c>
      <c r="M247" s="843"/>
      <c r="N247" s="843"/>
      <c r="O247" s="48">
        <f>IF(t&lt;Tnet,'2026'!Resal+('2026'!Salim-'2026'!Resal)*(1-EXP(('2026'!Tnet-t)/('2026'!Tau_j))),Resal+(Salim-Resal)*(1-EXP((Tnet-t)/(Tau_j))))*Salcycl</f>
        <v>4.3641401554037E-2</v>
      </c>
      <c r="P247" s="169">
        <f>(INDEX(Models!$BJ247:$BT247,,T247)*(1-R247)+INDEX(Models!$BJ247:$BT247,,T247+1)*R247-ERP_i)*Q247*Ramure*Pc/MaxiM</f>
        <v>5.3551776519662087E-2</v>
      </c>
      <c r="Q247" s="305">
        <f t="shared" si="80"/>
        <v>0.8</v>
      </c>
      <c r="R247" s="177">
        <f t="shared" si="81"/>
        <v>0.56990614472091883</v>
      </c>
      <c r="S247" s="809">
        <f t="shared" si="82"/>
        <v>3</v>
      </c>
      <c r="T247" s="176">
        <f t="shared" si="83"/>
        <v>9</v>
      </c>
      <c r="U247" s="251">
        <f t="shared" si="84"/>
        <v>3.5699061447209188</v>
      </c>
      <c r="V247" s="383">
        <f t="shared" si="85"/>
        <v>42.461756231839267</v>
      </c>
      <c r="W247" s="402">
        <f t="shared" si="86"/>
        <v>25.820295934944085</v>
      </c>
      <c r="X247" s="157">
        <f t="shared" si="87"/>
        <v>46620</v>
      </c>
      <c r="Y247" s="385">
        <f t="shared" si="88"/>
        <v>22.8581946659633</v>
      </c>
      <c r="Z247" s="385">
        <f t="shared" si="89"/>
        <v>25.262806236167936</v>
      </c>
      <c r="AA247" s="386">
        <f t="shared" si="90"/>
        <v>29.250522680645837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0.13632975000191871</v>
      </c>
      <c r="AD247" s="231">
        <f>(INDEX(Models!$BJ247:$BT247,,AH247)*(1-AF247)+INDEX(Models!$BJ247:$BT247,,AH247+1)*AF247-ERP_i)*AE247*Ramure*Pc/MaxiM</f>
        <v>9.7284855149602778E-2</v>
      </c>
      <c r="AE247" s="305">
        <f t="shared" si="92"/>
        <v>0.8</v>
      </c>
      <c r="AF247" s="177">
        <f t="shared" si="93"/>
        <v>0.77062289188582245</v>
      </c>
      <c r="AG247" s="809">
        <f t="shared" si="99"/>
        <v>4</v>
      </c>
      <c r="AH247" s="176">
        <f t="shared" si="94"/>
        <v>10</v>
      </c>
      <c r="AI247" s="225">
        <f t="shared" si="95"/>
        <v>4.7706228918858224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IF(t&gt;Tmaj,'2026'!Wh/'2026'!Env_an*'2027'!Env_an,0.001*'[10]mon-tableau (1)'!$B$161)</f>
        <v>22.635577250616635</v>
      </c>
      <c r="C248" s="839"/>
      <c r="D248" s="393">
        <f t="shared" si="77"/>
        <v>25.017365929702695</v>
      </c>
      <c r="E248" s="385">
        <f t="shared" si="100"/>
        <v>26.16443326845711</v>
      </c>
      <c r="F248" s="385">
        <f t="shared" si="78"/>
        <v>26.666618809086692</v>
      </c>
      <c r="G248" s="110">
        <f t="shared" si="101"/>
        <v>0.51711490498699164</v>
      </c>
      <c r="H248" s="414" t="b">
        <f>Wh_hp&gt;='2026'!Maxi_hp</f>
        <v>0</v>
      </c>
      <c r="I248" s="390">
        <f>IF(H248,Wh_hp,'2026'!Maxi_hp)</f>
        <v>52.442438256662555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9.5205413942408917E-2</v>
      </c>
      <c r="M248" s="843"/>
      <c r="N248" s="843"/>
      <c r="O248" s="48">
        <f>IF(t&lt;Tnet,'2026'!Resal+('2026'!Salim-'2026'!Resal)*(1-EXP(('2026'!Tnet-t)/('2026'!Tau_j))),Resal+(Salim-Resal)*(1-EXP((Tnet-t)/(Tau_j))))*Salcycl</f>
        <v>4.3840710287322643E-2</v>
      </c>
      <c r="P248" s="169">
        <f>(INDEX(Models!$BJ248:$BT248,,T248)*(1-R248)+INDEX(Models!$BJ248:$BT248,,T248+1)*R248-ERP_i)*Q248*Ramure*Pc/MaxiM</f>
        <v>5.5568122281491897E-2</v>
      </c>
      <c r="Q248" s="305">
        <f t="shared" si="80"/>
        <v>0.8</v>
      </c>
      <c r="R248" s="177">
        <f t="shared" si="81"/>
        <v>0.57104299394286073</v>
      </c>
      <c r="S248" s="809">
        <f t="shared" si="82"/>
        <v>3</v>
      </c>
      <c r="T248" s="176">
        <f t="shared" si="83"/>
        <v>9</v>
      </c>
      <c r="U248" s="251">
        <f t="shared" si="84"/>
        <v>3.5710429939428607</v>
      </c>
      <c r="V248" s="383">
        <f t="shared" si="85"/>
        <v>42.133911309129012</v>
      </c>
      <c r="W248" s="402">
        <f t="shared" si="86"/>
        <v>22.635577250616635</v>
      </c>
      <c r="X248" s="157">
        <f t="shared" si="87"/>
        <v>46621</v>
      </c>
      <c r="Y248" s="385">
        <f t="shared" si="88"/>
        <v>20.131187451279043</v>
      </c>
      <c r="Z248" s="385">
        <f t="shared" si="89"/>
        <v>22.249456132353199</v>
      </c>
      <c r="AA248" s="386">
        <f t="shared" si="90"/>
        <v>25.763434827387222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0.13639402970051839</v>
      </c>
      <c r="AD248" s="231">
        <f>(INDEX(Models!$BJ248:$BT248,,AH248)*(1-AF248)+INDEX(Models!$BJ248:$BT248,,AH248+1)*AF248-ERP_i)*AE248*Ramure*Pc/MaxiM</f>
        <v>9.9939631624678851E-2</v>
      </c>
      <c r="AE248" s="305">
        <f t="shared" si="92"/>
        <v>0.8</v>
      </c>
      <c r="AF248" s="177">
        <f t="shared" si="93"/>
        <v>0.7717597411077648</v>
      </c>
      <c r="AG248" s="809">
        <f t="shared" si="99"/>
        <v>4</v>
      </c>
      <c r="AH248" s="176">
        <f t="shared" si="94"/>
        <v>10</v>
      </c>
      <c r="AI248" s="225">
        <f t="shared" si="95"/>
        <v>4.7717597411077648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IF(t&gt;Tmaj,'2026'!Wh/'2026'!Env_an*'2027'!Env_an,0.001*'[10]mon-tableau (1)'!$B$162)</f>
        <v>39.514744684298051</v>
      </c>
      <c r="C249" s="839"/>
      <c r="D249" s="393">
        <f t="shared" si="77"/>
        <v>43.673654039515405</v>
      </c>
      <c r="E249" s="385">
        <f t="shared" si="100"/>
        <v>45.685629334580518</v>
      </c>
      <c r="F249" s="385">
        <f t="shared" si="78"/>
        <v>48.245874101270658</v>
      </c>
      <c r="G249" s="110">
        <f t="shared" si="101"/>
        <v>0.9407365938965111</v>
      </c>
      <c r="H249" s="414" t="b">
        <f>Wh_hp&gt;='2026'!Maxi_hp</f>
        <v>0</v>
      </c>
      <c r="I249" s="390">
        <f>IF(H249,Wh_hp,'2026'!Maxi_hp)</f>
        <v>49.838510164075387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9.5226961120643244E-2</v>
      </c>
      <c r="M249" s="843"/>
      <c r="N249" s="843"/>
      <c r="O249" s="48">
        <f>IF(t&lt;Tnet,'2026'!Resal+('2026'!Salim-'2026'!Resal)*(1-EXP(('2026'!Tnet-t)/('2026'!Tau_j))),Resal+(Salim-Resal)*(1-EXP((Tnet-t)/(Tau_j))))*Salcycl</f>
        <v>4.4039566147383691E-2</v>
      </c>
      <c r="P249" s="169">
        <f>(INDEX(Models!$BJ249:$BT249,,T249)*(1-R249)+INDEX(Models!$BJ249:$BT249,,T249+1)*R249-ERP_i)*Q249*Ramure*Pc/MaxiM</f>
        <v>5.7570887018252255E-2</v>
      </c>
      <c r="Q249" s="305">
        <f t="shared" si="80"/>
        <v>0.8</v>
      </c>
      <c r="R249" s="177">
        <f t="shared" si="81"/>
        <v>0.57213833268412451</v>
      </c>
      <c r="S249" s="809">
        <f t="shared" si="82"/>
        <v>3</v>
      </c>
      <c r="T249" s="176">
        <f t="shared" si="83"/>
        <v>9</v>
      </c>
      <c r="U249" s="251">
        <f t="shared" si="84"/>
        <v>3.5721383326841245</v>
      </c>
      <c r="V249" s="383">
        <f t="shared" si="85"/>
        <v>41.804246809110836</v>
      </c>
      <c r="W249" s="402">
        <f t="shared" si="86"/>
        <v>39.514744684298051</v>
      </c>
      <c r="X249" s="157">
        <f t="shared" si="87"/>
        <v>46622</v>
      </c>
      <c r="Y249" s="385">
        <f t="shared" si="88"/>
        <v>34.134380519148735</v>
      </c>
      <c r="Z249" s="385">
        <f t="shared" si="89"/>
        <v>37.727008931905452</v>
      </c>
      <c r="AA249" s="386">
        <f t="shared" si="90"/>
        <v>43.688665889099411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0.13645774792773951</v>
      </c>
      <c r="AD249" s="231">
        <f>(INDEX(Models!$BJ249:$BT249,,AH249)*(1-AF249)+INDEX(Models!$BJ249:$BT249,,AH249+1)*AF249-ERP_i)*AE249*Ramure*Pc/MaxiM</f>
        <v>0.10247556113189196</v>
      </c>
      <c r="AE249" s="305">
        <f t="shared" si="92"/>
        <v>0.8</v>
      </c>
      <c r="AF249" s="177">
        <f t="shared" si="93"/>
        <v>0.77285507984902768</v>
      </c>
      <c r="AG249" s="809">
        <f t="shared" si="99"/>
        <v>4</v>
      </c>
      <c r="AH249" s="176">
        <f t="shared" si="94"/>
        <v>10</v>
      </c>
      <c r="AI249" s="225">
        <f t="shared" si="95"/>
        <v>4.7728550798490277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IF(t&gt;Tmaj,'2026'!Wh/'2026'!Env_an*'2027'!Env_an,0.001*'[10]mon-tableau (1)'!$B$163)</f>
        <v>36.518478110497753</v>
      </c>
      <c r="C250" s="839"/>
      <c r="D250" s="393">
        <f t="shared" si="77"/>
        <v>40.362992960195037</v>
      </c>
      <c r="E250" s="385">
        <f t="shared" si="100"/>
        <v>42.23121587280437</v>
      </c>
      <c r="F250" s="385">
        <f t="shared" si="78"/>
        <v>44.425667191146076</v>
      </c>
      <c r="G250" s="110">
        <f t="shared" si="101"/>
        <v>0.87112792632345393</v>
      </c>
      <c r="H250" s="414" t="b">
        <f>Wh_hp&gt;='2026'!Maxi_hp</f>
        <v>0</v>
      </c>
      <c r="I250" s="390">
        <f>IF(H250,Wh_hp,'2026'!Maxi_hp)</f>
        <v>49.324626465187585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9.5248507797443233E-2</v>
      </c>
      <c r="M250" s="843"/>
      <c r="N250" s="843"/>
      <c r="O250" s="48">
        <f>IF(t&lt;Tnet,'2026'!Resal+('2026'!Salim-'2026'!Resal)*(1-EXP(('2026'!Tnet-t)/('2026'!Tau_j))),Resal+(Salim-Resal)*(1-EXP((Tnet-t)/(Tau_j))))*Salcycl</f>
        <v>4.4237961754078022E-2</v>
      </c>
      <c r="P250" s="169">
        <f>(INDEX(Models!$BJ250:$BT250,,T250)*(1-R250)+INDEX(Models!$BJ250:$BT250,,T250+1)*R250-ERP_i)*Q250*Ramure*Pc/MaxiM</f>
        <v>5.9560137646521238E-2</v>
      </c>
      <c r="Q250" s="305">
        <f t="shared" si="80"/>
        <v>0.8</v>
      </c>
      <c r="R250" s="177">
        <f t="shared" si="81"/>
        <v>0.57319351854372158</v>
      </c>
      <c r="S250" s="809">
        <f t="shared" si="82"/>
        <v>3</v>
      </c>
      <c r="T250" s="176">
        <f t="shared" si="83"/>
        <v>9</v>
      </c>
      <c r="U250" s="251">
        <f t="shared" si="84"/>
        <v>3.5731935185437216</v>
      </c>
      <c r="V250" s="383">
        <f t="shared" si="85"/>
        <v>41.472683419973578</v>
      </c>
      <c r="W250" s="402">
        <f t="shared" si="86"/>
        <v>36.518478110497753</v>
      </c>
      <c r="X250" s="157">
        <f t="shared" si="87"/>
        <v>46623</v>
      </c>
      <c r="Y250" s="385">
        <f t="shared" si="88"/>
        <v>31.687650375504688</v>
      </c>
      <c r="Z250" s="385">
        <f t="shared" si="89"/>
        <v>35.023595593485268</v>
      </c>
      <c r="AA250" s="386">
        <f t="shared" si="90"/>
        <v>40.561022300123582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0.13652088612720803</v>
      </c>
      <c r="AD250" s="231">
        <f>(INDEX(Models!$BJ250:$BT250,,AH250)*(1-AF250)+INDEX(Models!$BJ250:$BT250,,AH250+1)*AF250-ERP_i)*AE250*Ramure*Pc/MaxiM</f>
        <v>0.10489126814540821</v>
      </c>
      <c r="AE250" s="305">
        <f t="shared" si="92"/>
        <v>0.8</v>
      </c>
      <c r="AF250" s="177">
        <f t="shared" si="93"/>
        <v>0.77391026570862476</v>
      </c>
      <c r="AG250" s="809">
        <f t="shared" si="99"/>
        <v>4</v>
      </c>
      <c r="AH250" s="176">
        <f t="shared" si="94"/>
        <v>10</v>
      </c>
      <c r="AI250" s="225">
        <f t="shared" si="95"/>
        <v>4.7739102657086248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IF(t&gt;Tmaj,'2026'!Wh/'2026'!Env_an*'2027'!Env_an,0.001*'[10]mon-tableau (1)'!$B$164)</f>
        <v>26.547761392959043</v>
      </c>
      <c r="C251" s="839"/>
      <c r="D251" s="393">
        <f t="shared" si="77"/>
        <v>29.343299080056653</v>
      </c>
      <c r="E251" s="385">
        <f t="shared" si="100"/>
        <v>30.70782876293066</v>
      </c>
      <c r="F251" s="385">
        <f t="shared" si="78"/>
        <v>31.669187025051542</v>
      </c>
      <c r="G251" s="110">
        <f t="shared" si="101"/>
        <v>0.62456568694253067</v>
      </c>
      <c r="H251" s="414" t="b">
        <f>Wh_hp&gt;='2026'!Maxi_hp</f>
        <v>0</v>
      </c>
      <c r="I251" s="390">
        <f>IF(H251,Wh_hp,'2026'!Maxi_hp)</f>
        <v>46.238410109379274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9.527005397282054E-2</v>
      </c>
      <c r="M251" s="843"/>
      <c r="N251" s="843"/>
      <c r="O251" s="48">
        <f>IF(t&lt;Tnet,'2026'!Resal+('2026'!Salim-'2026'!Resal)*(1-EXP(('2026'!Tnet-t)/('2026'!Tau_j))),Resal+(Salim-Resal)*(1-EXP((Tnet-t)/(Tau_j))))*Salcycl</f>
        <v>4.4435889408150506E-2</v>
      </c>
      <c r="P251" s="169">
        <f>(INDEX(Models!$BJ251:$BT251,,T251)*(1-R251)+INDEX(Models!$BJ251:$BT251,,T251+1)*R251-ERP_i)*Q251*Ramure*Pc/MaxiM</f>
        <v>6.1535990906213658E-2</v>
      </c>
      <c r="Q251" s="305">
        <f t="shared" si="80"/>
        <v>0.8</v>
      </c>
      <c r="R251" s="177">
        <f t="shared" si="81"/>
        <v>0.57420987674527879</v>
      </c>
      <c r="S251" s="809">
        <f t="shared" si="82"/>
        <v>3</v>
      </c>
      <c r="T251" s="176">
        <f t="shared" si="83"/>
        <v>9</v>
      </c>
      <c r="U251" s="251">
        <f t="shared" si="84"/>
        <v>3.5742098767452788</v>
      </c>
      <c r="V251" s="383">
        <f t="shared" si="85"/>
        <v>41.139140234360966</v>
      </c>
      <c r="W251" s="402">
        <f t="shared" si="86"/>
        <v>26.547761392959043</v>
      </c>
      <c r="X251" s="157">
        <f t="shared" si="87"/>
        <v>46624</v>
      </c>
      <c r="Y251" s="385">
        <f t="shared" si="88"/>
        <v>23.430595232537776</v>
      </c>
      <c r="Z251" s="385">
        <f t="shared" si="89"/>
        <v>25.897888464315169</v>
      </c>
      <c r="AA251" s="386">
        <f t="shared" si="90"/>
        <v>29.994662154129372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0.13658342503618429</v>
      </c>
      <c r="AD251" s="231">
        <f>(INDEX(Models!$BJ251:$BT251,,AH251)*(1-AF251)+INDEX(Models!$BJ251:$BT251,,AH251+1)*AF251-ERP_i)*AE251*Ramure*Pc/MaxiM</f>
        <v>0.10718537645057281</v>
      </c>
      <c r="AE251" s="305">
        <f t="shared" si="92"/>
        <v>0.8</v>
      </c>
      <c r="AF251" s="177">
        <f t="shared" si="93"/>
        <v>0.77492662391018285</v>
      </c>
      <c r="AG251" s="809">
        <f t="shared" si="99"/>
        <v>4</v>
      </c>
      <c r="AH251" s="176">
        <f t="shared" si="94"/>
        <v>10</v>
      </c>
      <c r="AI251" s="225">
        <f t="shared" si="95"/>
        <v>4.7749266239101829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IF(t&gt;Tmaj,'2026'!Wh/'2026'!Env_an*'2027'!Env_an,0.001*'[10]mon-tableau (1)'!$B$165)</f>
        <v>35.213569576852485</v>
      </c>
      <c r="C252" s="839"/>
      <c r="D252" s="393">
        <f t="shared" si="77"/>
        <v>38.922562853516695</v>
      </c>
      <c r="E252" s="385">
        <f t="shared" si="100"/>
        <v>40.740968392118567</v>
      </c>
      <c r="F252" s="385">
        <f t="shared" si="78"/>
        <v>42.933642763791603</v>
      </c>
      <c r="G252" s="110">
        <f t="shared" si="101"/>
        <v>0.85170084703964521</v>
      </c>
      <c r="H252" s="414" t="b">
        <f>Wh_hp&gt;='2026'!Maxi_hp</f>
        <v>0</v>
      </c>
      <c r="I252" s="390">
        <f>IF(H252,Wh_hp,'2026'!Maxi_hp)</f>
        <v>47.616086487227513</v>
      </c>
      <c r="J252" s="85">
        <f>IF(H252,An,'2026'!An_max)</f>
        <v>2021</v>
      </c>
      <c r="K252" s="197">
        <f t="shared" si="79"/>
        <v>46625</v>
      </c>
      <c r="L252" s="147">
        <f>IF(t&lt;Tvie,1-EXP((T0-t)*PertePVj)+'2026'!Pspv,1-EXP((T0-t)*PertePVj)+Pspv)</f>
        <v>9.5291599646786823E-2</v>
      </c>
      <c r="M252" s="843"/>
      <c r="N252" s="843"/>
      <c r="O252" s="48">
        <f>IF(t&lt;Tnet,'2026'!Resal+('2026'!Salim-'2026'!Resal)*(1-EXP(('2026'!Tnet-t)/('2026'!Tau_j))),Resal+(Salim-Resal)*(1-EXP((Tnet-t)/(Tau_j))))*Salcycl</f>
        <v>4.4633341090479603E-2</v>
      </c>
      <c r="P252" s="169">
        <f>(INDEX(Models!$BJ252:$BT252,,T252)*(1-R252)+INDEX(Models!$BJ252:$BT252,,T252+1)*R252-ERP_i)*Q252*Ramure*Pc/MaxiM</f>
        <v>6.3498554475634655E-2</v>
      </c>
      <c r="Q252" s="305">
        <f t="shared" si="80"/>
        <v>0.8</v>
      </c>
      <c r="R252" s="177">
        <f t="shared" si="81"/>
        <v>0.57518869994696331</v>
      </c>
      <c r="S252" s="809">
        <f t="shared" si="82"/>
        <v>3</v>
      </c>
      <c r="T252" s="176">
        <f t="shared" si="83"/>
        <v>9</v>
      </c>
      <c r="U252" s="251">
        <f t="shared" si="84"/>
        <v>3.5751886999469633</v>
      </c>
      <c r="V252" s="383">
        <f t="shared" si="85"/>
        <v>40.803537375929423</v>
      </c>
      <c r="W252" s="402">
        <f t="shared" si="86"/>
        <v>35.213569576852485</v>
      </c>
      <c r="X252" s="157">
        <f t="shared" si="87"/>
        <v>46625</v>
      </c>
      <c r="Y252" s="385">
        <f t="shared" si="88"/>
        <v>30.585263456670287</v>
      </c>
      <c r="Z252" s="385">
        <f t="shared" si="89"/>
        <v>33.806764085233752</v>
      </c>
      <c r="AA252" s="386">
        <f t="shared" si="90"/>
        <v>39.157446916544416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0.13664534469559467</v>
      </c>
      <c r="AD252" s="231">
        <f>(INDEX(Models!$BJ252:$BT252,,AH252)*(1-AF252)+INDEX(Models!$BJ252:$BT252,,AH252+1)*AF252-ERP_i)*AE252*Ramure*Pc/MaxiM</f>
        <v>0.10935640093888335</v>
      </c>
      <c r="AE252" s="305">
        <f t="shared" si="92"/>
        <v>0.8</v>
      </c>
      <c r="AF252" s="177">
        <f t="shared" si="93"/>
        <v>0.77590544711186737</v>
      </c>
      <c r="AG252" s="809">
        <f t="shared" si="99"/>
        <v>4</v>
      </c>
      <c r="AH252" s="176">
        <f t="shared" si="94"/>
        <v>10</v>
      </c>
      <c r="AI252" s="225">
        <f t="shared" si="95"/>
        <v>4.7759054471118674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IF(t&gt;Tmaj,'2026'!Wh/'2026'!Env_an*'2027'!Env_an,0.001*'[10]mon-tableau (1)'!$B$166)</f>
        <v>37.892992474493397</v>
      </c>
      <c r="C253" s="839"/>
      <c r="D253" s="393">
        <f t="shared" si="77"/>
        <v>41.885202882633898</v>
      </c>
      <c r="E253" s="385">
        <f t="shared" si="100"/>
        <v>43.851059401780319</v>
      </c>
      <c r="F253" s="385">
        <f t="shared" si="78"/>
        <v>46.62543345998953</v>
      </c>
      <c r="G253" s="110">
        <f t="shared" si="101"/>
        <v>0.93050157729268956</v>
      </c>
      <c r="H253" s="414" t="b">
        <f>Wh_hp&gt;='2026'!Maxi_hp</f>
        <v>0</v>
      </c>
      <c r="I253" s="390">
        <f>IF(H253,Wh_hp,'2026'!Maxi_hp)</f>
        <v>46.908830165667723</v>
      </c>
      <c r="J253" s="85">
        <f>IF(H253,An,'2026'!An_max)</f>
        <v>2022</v>
      </c>
      <c r="K253" s="197">
        <f t="shared" si="79"/>
        <v>46626</v>
      </c>
      <c r="L253" s="147">
        <f>IF(t&lt;Tvie,1-EXP((T0-t)*PertePVj)+'2026'!Pspv,1-EXP((T0-t)*PertePVj)+Pspv)</f>
        <v>9.5313144819353851E-2</v>
      </c>
      <c r="M253" s="843"/>
      <c r="N253" s="843"/>
      <c r="O253" s="48">
        <f>IF(t&lt;Tnet,'2026'!Resal+('2026'!Salim-'2026'!Resal)*(1-EXP(('2026'!Tnet-t)/('2026'!Tau_j))),Resal+(Salim-Resal)*(1-EXP((Tnet-t)/(Tau_j))))*Salcycl</f>
        <v>4.483030845696305E-2</v>
      </c>
      <c r="P253" s="169">
        <f>(INDEX(Models!$BJ253:$BT253,,T253)*(1-R253)+INDEX(Models!$BJ253:$BT253,,T253+1)*R253-ERP_i)*Q253*Ramure*Pc/MaxiM</f>
        <v>6.5447962378259589E-2</v>
      </c>
      <c r="Q253" s="305">
        <f t="shared" si="80"/>
        <v>0.8</v>
      </c>
      <c r="R253" s="177">
        <f t="shared" si="81"/>
        <v>0.57613124814925998</v>
      </c>
      <c r="S253" s="809">
        <f t="shared" si="82"/>
        <v>3</v>
      </c>
      <c r="T253" s="176">
        <f t="shared" si="83"/>
        <v>9</v>
      </c>
      <c r="U253" s="251">
        <f t="shared" si="84"/>
        <v>3.57613124814926</v>
      </c>
      <c r="V253" s="383">
        <f t="shared" si="85"/>
        <v>40.465794437383451</v>
      </c>
      <c r="W253" s="402">
        <f t="shared" si="86"/>
        <v>37.892992474493397</v>
      </c>
      <c r="X253" s="157">
        <f t="shared" si="87"/>
        <v>46626</v>
      </c>
      <c r="Y253" s="385">
        <f t="shared" si="88"/>
        <v>32.726676166656844</v>
      </c>
      <c r="Z253" s="385">
        <f t="shared" si="89"/>
        <v>36.174590112865125</v>
      </c>
      <c r="AA253" s="386">
        <f t="shared" si="90"/>
        <v>41.90300903174326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0.13670662444643586</v>
      </c>
      <c r="AD253" s="231">
        <f>(INDEX(Models!$BJ253:$BT253,,AH253)*(1-AF253)+INDEX(Models!$BJ253:$BT253,,AH253+1)*AF253-ERP_i)*AE253*Ramure*Pc/MaxiM</f>
        <v>0.11140280648152216</v>
      </c>
      <c r="AE253" s="305">
        <f t="shared" si="92"/>
        <v>0.8</v>
      </c>
      <c r="AF253" s="177">
        <f t="shared" si="93"/>
        <v>0.7768479953141636</v>
      </c>
      <c r="AG253" s="809">
        <f t="shared" si="99"/>
        <v>4</v>
      </c>
      <c r="AH253" s="176">
        <f t="shared" si="94"/>
        <v>10</v>
      </c>
      <c r="AI253" s="225">
        <f t="shared" si="95"/>
        <v>4.7768479953141636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IF(t&gt;Tmaj,'2026'!Wh/'2026'!Env_an*'2027'!Env_an,0.001*'[10]mon-tableau (1)'!$B$167)</f>
        <v>36.711234138367232</v>
      </c>
      <c r="C254" s="839"/>
      <c r="D254" s="393">
        <f t="shared" si="77"/>
        <v>40.579906968791718</v>
      </c>
      <c r="E254" s="385">
        <f t="shared" si="100"/>
        <v>42.493240898433484</v>
      </c>
      <c r="F254" s="385">
        <f t="shared" si="78"/>
        <v>45.16443705717915</v>
      </c>
      <c r="G254" s="110">
        <f t="shared" si="101"/>
        <v>0.90688952086887586</v>
      </c>
      <c r="H254" s="414" t="b">
        <f>Wh_hp&gt;='2026'!Maxi_hp</f>
        <v>0</v>
      </c>
      <c r="I254" s="390">
        <f>IF(H254,Wh_hp,'2026'!Maxi_hp)</f>
        <v>48.563065558192143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9.5334689490533281E-2</v>
      </c>
      <c r="M254" s="843"/>
      <c r="N254" s="843"/>
      <c r="O254" s="48">
        <f>IF(t&lt;Tnet,'2026'!Resal+('2026'!Salim-'2026'!Resal)*(1-EXP(('2026'!Tnet-t)/('2026'!Tau_j))),Resal+(Salim-Resal)*(1-EXP((Tnet-t)/(Tau_j))))*Salcycl</f>
        <v>4.502678282917922E-2</v>
      </c>
      <c r="P254" s="169">
        <f>(INDEX(Models!$BJ254:$BT254,,T254)*(1-R254)+INDEX(Models!$BJ254:$BT254,,T254+1)*R254-ERP_i)*Q254*Ramure*Pc/MaxiM</f>
        <v>6.7334174606193148E-2</v>
      </c>
      <c r="Q254" s="305">
        <f t="shared" si="80"/>
        <v>0.8</v>
      </c>
      <c r="R254" s="177">
        <f t="shared" si="81"/>
        <v>0.57703874869233163</v>
      </c>
      <c r="S254" s="809">
        <f t="shared" si="82"/>
        <v>3</v>
      </c>
      <c r="T254" s="176">
        <f t="shared" si="83"/>
        <v>9</v>
      </c>
      <c r="U254" s="251">
        <f t="shared" si="84"/>
        <v>3.5770387486923316</v>
      </c>
      <c r="V254" s="383">
        <f t="shared" si="85"/>
        <v>40.127990383796735</v>
      </c>
      <c r="W254" s="402">
        <f t="shared" si="86"/>
        <v>36.711234138367232</v>
      </c>
      <c r="X254" s="157">
        <f t="shared" si="87"/>
        <v>46627</v>
      </c>
      <c r="Y254" s="385">
        <f t="shared" si="88"/>
        <v>31.762214561015924</v>
      </c>
      <c r="Z254" s="385">
        <f t="shared" si="89"/>
        <v>35.109353914685727</v>
      </c>
      <c r="AA254" s="386">
        <f t="shared" si="90"/>
        <v>40.671943489699167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0.13676724291334288</v>
      </c>
      <c r="AD254" s="231">
        <f>(INDEX(Models!$BJ254:$BT254,,AH254)*(1-AF254)+INDEX(Models!$BJ254:$BT254,,AH254+1)*AF254-ERP_i)*AE254*Ramure*Pc/MaxiM</f>
        <v>0.11324452728770877</v>
      </c>
      <c r="AE254" s="305">
        <f t="shared" si="92"/>
        <v>0.8</v>
      </c>
      <c r="AF254" s="177">
        <f t="shared" si="93"/>
        <v>0.77775549585723525</v>
      </c>
      <c r="AG254" s="809">
        <f t="shared" si="99"/>
        <v>4</v>
      </c>
      <c r="AH254" s="176">
        <f t="shared" si="94"/>
        <v>10</v>
      </c>
      <c r="AI254" s="225">
        <f t="shared" si="95"/>
        <v>4.7777554958572352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IF(t&gt;Tmaj,'2026'!Wh/'2026'!Env_an*'2027'!Env_an,0.001*'[10]mon-tableau (1)'!$B$168)</f>
        <v>26.02081609938903</v>
      </c>
      <c r="C255" s="839"/>
      <c r="D255" s="393">
        <f t="shared" si="77"/>
        <v>28.763605153300848</v>
      </c>
      <c r="E255" s="385">
        <f t="shared" si="100"/>
        <v>30.125985206900264</v>
      </c>
      <c r="F255" s="385">
        <f t="shared" si="78"/>
        <v>31.21776428602718</v>
      </c>
      <c r="G255" s="110">
        <f t="shared" si="101"/>
        <v>0.63078848043670488</v>
      </c>
      <c r="H255" s="414" t="b">
        <f>Wh_hp&gt;='2026'!Maxi_hp</f>
        <v>0</v>
      </c>
      <c r="I255" s="390">
        <f>IF(H255,Wh_hp,'2026'!Maxi_hp)</f>
        <v>47.495208459406513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9.5356233660336659E-2</v>
      </c>
      <c r="M255" s="843"/>
      <c r="N255" s="843"/>
      <c r="O255" s="48">
        <f>IF(t&lt;Tnet,'2026'!Resal+('2026'!Salim-'2026'!Resal)*(1-EXP(('2026'!Tnet-t)/('2026'!Tau_j))),Resal+(Salim-Resal)*(1-EXP((Tnet-t)/(Tau_j))))*Salcycl</f>
        <v>4.5222755181044509E-2</v>
      </c>
      <c r="P255" s="169">
        <f>(INDEX(Models!$BJ255:$BT255,,T255)*(1-R255)+INDEX(Models!$BJ255:$BT255,,T255+1)*R255-ERP_i)*Q255*Ramure*Pc/MaxiM</f>
        <v>6.9163836333065123E-2</v>
      </c>
      <c r="Q255" s="305">
        <f t="shared" si="80"/>
        <v>0.8</v>
      </c>
      <c r="R255" s="177">
        <f t="shared" si="81"/>
        <v>0.57791239633508518</v>
      </c>
      <c r="S255" s="809">
        <f t="shared" si="82"/>
        <v>3</v>
      </c>
      <c r="T255" s="176">
        <f t="shared" si="83"/>
        <v>9</v>
      </c>
      <c r="U255" s="251">
        <f t="shared" si="84"/>
        <v>3.5779123963350852</v>
      </c>
      <c r="V255" s="383">
        <f t="shared" si="85"/>
        <v>39.789725767445248</v>
      </c>
      <c r="W255" s="402">
        <f t="shared" si="86"/>
        <v>26.02081609938903</v>
      </c>
      <c r="X255" s="157">
        <f t="shared" si="87"/>
        <v>46628</v>
      </c>
      <c r="Y255" s="385">
        <f t="shared" si="88"/>
        <v>22.960007392494138</v>
      </c>
      <c r="Z255" s="385">
        <f t="shared" si="89"/>
        <v>25.380164266641756</v>
      </c>
      <c r="AA255" s="386">
        <f t="shared" si="90"/>
        <v>29.403340349779945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0.13682717797633825</v>
      </c>
      <c r="AD255" s="231">
        <f>(INDEX(Models!$BJ255:$BT255,,AH255)*(1-AF255)+INDEX(Models!$BJ255:$BT255,,AH255+1)*AF255-ERP_i)*AE255*Ramure*Pc/MaxiM</f>
        <v>0.11494314423551183</v>
      </c>
      <c r="AE255" s="305">
        <f t="shared" si="92"/>
        <v>0.8</v>
      </c>
      <c r="AF255" s="177">
        <f t="shared" si="93"/>
        <v>0.77862914349998924</v>
      </c>
      <c r="AG255" s="809">
        <f t="shared" si="99"/>
        <v>4</v>
      </c>
      <c r="AH255" s="176">
        <f t="shared" si="94"/>
        <v>10</v>
      </c>
      <c r="AI255" s="225">
        <f t="shared" si="95"/>
        <v>4.7786291434999892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IF(t&gt;Tmaj,'2026'!Wh/'2026'!Env_an*'2027'!Env_an,0.001*'[10]mon-tableau (1)'!$B$169)</f>
        <v>36.536813658853525</v>
      </c>
      <c r="C256" s="839"/>
      <c r="D256" s="393">
        <f t="shared" si="77"/>
        <v>40.389029523247139</v>
      </c>
      <c r="E256" s="385">
        <f t="shared" si="100"/>
        <v>42.310706327493946</v>
      </c>
      <c r="F256" s="385">
        <f t="shared" si="78"/>
        <v>45.17724726099862</v>
      </c>
      <c r="G256" s="110">
        <f t="shared" si="101"/>
        <v>0.91873136578957537</v>
      </c>
      <c r="H256" s="414" t="b">
        <f>Wh_hp&gt;='2026'!Maxi_hp</f>
        <v>0</v>
      </c>
      <c r="I256" s="390">
        <f>IF(H256,Wh_hp,'2026'!Maxi_hp)</f>
        <v>46.563941644559634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9.5377777328775754E-2</v>
      </c>
      <c r="M256" s="843"/>
      <c r="N256" s="843"/>
      <c r="O256" s="48">
        <f>IF(t&lt;Tnet,'2026'!Resal+('2026'!Salim-'2026'!Resal)*(1-EXP(('2026'!Tnet-t)/('2026'!Tau_j))),Resal+(Salim-Resal)*(1-EXP((Tnet-t)/(Tau_j))))*Salcycl</f>
        <v>4.5418216121768676E-2</v>
      </c>
      <c r="P256" s="169">
        <f>(INDEX(Models!$BJ256:$BT256,,T256)*(1-R256)+INDEX(Models!$BJ256:$BT256,,T256+1)*R256-ERP_i)*Q256*Ramure*Pc/MaxiM</f>
        <v>7.0936446299308648E-2</v>
      </c>
      <c r="Q256" s="305">
        <f t="shared" si="80"/>
        <v>0.8</v>
      </c>
      <c r="R256" s="177">
        <f t="shared" si="81"/>
        <v>0.57875335340849521</v>
      </c>
      <c r="S256" s="809">
        <f t="shared" si="82"/>
        <v>3</v>
      </c>
      <c r="T256" s="176">
        <f t="shared" si="83"/>
        <v>9</v>
      </c>
      <c r="U256" s="251">
        <f t="shared" si="84"/>
        <v>3.5787533534084952</v>
      </c>
      <c r="V256" s="383">
        <f t="shared" si="85"/>
        <v>39.45091129698875</v>
      </c>
      <c r="W256" s="402">
        <f t="shared" si="86"/>
        <v>36.536813658853525</v>
      </c>
      <c r="X256" s="157">
        <f t="shared" si="87"/>
        <v>46629</v>
      </c>
      <c r="Y256" s="385">
        <f t="shared" si="88"/>
        <v>31.598341807354149</v>
      </c>
      <c r="Z256" s="385">
        <f t="shared" si="89"/>
        <v>34.929875715465641</v>
      </c>
      <c r="AA256" s="386">
        <f t="shared" si="90"/>
        <v>40.46961603652948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0.13688640673198998</v>
      </c>
      <c r="AD256" s="231">
        <f>(INDEX(Models!$BJ256:$BT256,,AH256)*(1-AF256)+INDEX(Models!$BJ256:$BT256,,AH256+1)*AF256-ERP_i)*AE256*Ramure*Pc/MaxiM</f>
        <v>0.11649672455338721</v>
      </c>
      <c r="AE256" s="305">
        <f t="shared" si="92"/>
        <v>0.8</v>
      </c>
      <c r="AF256" s="177">
        <f t="shared" si="93"/>
        <v>0.77947010057339838</v>
      </c>
      <c r="AG256" s="809">
        <f t="shared" si="99"/>
        <v>4</v>
      </c>
      <c r="AH256" s="176">
        <f t="shared" si="94"/>
        <v>10</v>
      </c>
      <c r="AI256" s="225">
        <f t="shared" si="95"/>
        <v>4.7794701005733984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IF(t&gt;Tmaj,'2026'!Wh/'2026'!Env_an*'2027'!Env_an,0.001*'[10]mon-tableau (1)'!$B$170)</f>
        <v>20.099022437640702</v>
      </c>
      <c r="C257" s="839"/>
      <c r="D257" s="393">
        <f t="shared" si="77"/>
        <v>22.218668295339</v>
      </c>
      <c r="E257" s="385">
        <f t="shared" si="100"/>
        <v>23.28056849497009</v>
      </c>
      <c r="F257" s="385">
        <f t="shared" si="78"/>
        <v>23.809113554826098</v>
      </c>
      <c r="G257" s="110">
        <f t="shared" si="101"/>
        <v>0.48737535480471417</v>
      </c>
      <c r="H257" s="414" t="b">
        <f>Wh_hp&gt;='2026'!Maxi_hp</f>
        <v>0</v>
      </c>
      <c r="I257" s="390">
        <f>IF(H257,Wh_hp,'2026'!Maxi_hp)</f>
        <v>46.070387290584499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9.5399320495862222E-2</v>
      </c>
      <c r="M257" s="843"/>
      <c r="N257" s="843"/>
      <c r="O257" s="48">
        <f>IF(t&lt;Tnet,'2026'!Resal+('2026'!Salim-'2026'!Resal)*(1-EXP(('2026'!Tnet-t)/('2026'!Tau_j))),Resal+(Salim-Resal)*(1-EXP((Tnet-t)/(Tau_j))))*Salcycl</f>
        <v>4.5613155875489857E-2</v>
      </c>
      <c r="P257" s="169">
        <f>(INDEX(Models!$BJ257:$BT257,,T257)*(1-R257)+INDEX(Models!$BJ257:$BT257,,T257+1)*R257-ERP_i)*Q257*Ramure*Pc/MaxiM</f>
        <v>7.2651485162317023E-2</v>
      </c>
      <c r="Q257" s="305">
        <f t="shared" si="80"/>
        <v>0.8</v>
      </c>
      <c r="R257" s="177">
        <f t="shared" si="81"/>
        <v>0.57956275003613511</v>
      </c>
      <c r="S257" s="809">
        <f t="shared" si="82"/>
        <v>3</v>
      </c>
      <c r="T257" s="176">
        <f t="shared" si="83"/>
        <v>9</v>
      </c>
      <c r="U257" s="251">
        <f t="shared" si="84"/>
        <v>3.5795627500361351</v>
      </c>
      <c r="V257" s="383">
        <f t="shared" si="85"/>
        <v>39.111457152352159</v>
      </c>
      <c r="W257" s="402">
        <f t="shared" si="86"/>
        <v>20.099022437640702</v>
      </c>
      <c r="X257" s="157">
        <f t="shared" si="87"/>
        <v>46630</v>
      </c>
      <c r="Y257" s="385">
        <f t="shared" si="88"/>
        <v>17.918589800249318</v>
      </c>
      <c r="Z257" s="385">
        <f t="shared" si="89"/>
        <v>19.80828691182445</v>
      </c>
      <c r="AA257" s="386">
        <f t="shared" si="90"/>
        <v>22.951358536440928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0.13694490544540447</v>
      </c>
      <c r="AD257" s="231">
        <f>(INDEX(Models!$BJ257:$BT257,,AH257)*(1-AF257)+INDEX(Models!$BJ257:$BT257,,AH257+1)*AF257-ERP_i)*AE257*Ramure*Pc/MaxiM</f>
        <v>0.11790324179378395</v>
      </c>
      <c r="AE257" s="305">
        <f t="shared" si="92"/>
        <v>0.8</v>
      </c>
      <c r="AF257" s="177">
        <f t="shared" si="93"/>
        <v>0.78027949720103873</v>
      </c>
      <c r="AG257" s="809">
        <f t="shared" si="99"/>
        <v>4</v>
      </c>
      <c r="AH257" s="176">
        <f t="shared" si="94"/>
        <v>10</v>
      </c>
      <c r="AI257" s="225">
        <f t="shared" si="95"/>
        <v>4.7802794972010387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IF(t&gt;Tmaj,'2026'!Wh/'2026'!Env_an*'2027'!Env_an,0.001*'[11]mon-tableau (3)'!$B$136)</f>
        <v>32.295097175010227</v>
      </c>
      <c r="C258" s="839"/>
      <c r="D258" s="393">
        <f t="shared" si="77"/>
        <v>35.701793087872105</v>
      </c>
      <c r="E258" s="385">
        <f t="shared" si="100"/>
        <v>37.41571589813681</v>
      </c>
      <c r="F258" s="385">
        <f t="shared" si="78"/>
        <v>39.659524435682293</v>
      </c>
      <c r="G258" s="110">
        <f t="shared" si="101"/>
        <v>0.81730902548816187</v>
      </c>
      <c r="H258" s="414" t="b">
        <f>Wh_hp&gt;='2026'!Maxi_hp</f>
        <v>0</v>
      </c>
      <c r="I258" s="390">
        <f>IF(H258,Wh_hp,'2026'!Maxi_hp)</f>
        <v>47.663426724874789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9.5420863161607833E-2</v>
      </c>
      <c r="M258" s="843"/>
      <c r="N258" s="843"/>
      <c r="O258" s="48">
        <f>IF(t&lt;Tnet,'2026'!Resal+('2026'!Salim-'2026'!Resal)*(1-EXP(('2026'!Tnet-t)/('2026'!Tau_j))),Resal+(Salim-Resal)*(1-EXP((Tnet-t)/(Tau_j))))*Salcycl</f>
        <v>4.5807564258046302E-2</v>
      </c>
      <c r="P258" s="169">
        <f>(INDEX(Models!$BJ258:$BT258,,T258)*(1-R258)+INDEX(Models!$BJ258:$BT258,,T258+1)*R258-ERP_i)*Q258*Ramure*Pc/MaxiM</f>
        <v>7.430841286019918E-2</v>
      </c>
      <c r="Q258" s="305">
        <f t="shared" si="80"/>
        <v>0.8</v>
      </c>
      <c r="R258" s="177">
        <f t="shared" si="81"/>
        <v>0.58034168441528111</v>
      </c>
      <c r="S258" s="809">
        <f t="shared" si="82"/>
        <v>3</v>
      </c>
      <c r="T258" s="176">
        <f t="shared" si="83"/>
        <v>9</v>
      </c>
      <c r="U258" s="251">
        <f t="shared" si="84"/>
        <v>3.5803416844152811</v>
      </c>
      <c r="V258" s="383">
        <f t="shared" si="85"/>
        <v>38.771272988821643</v>
      </c>
      <c r="W258" s="402">
        <f t="shared" si="86"/>
        <v>32.295097175010227</v>
      </c>
      <c r="X258" s="157">
        <f t="shared" si="87"/>
        <v>46631</v>
      </c>
      <c r="Y258" s="385">
        <f t="shared" si="88"/>
        <v>28.151283072272612</v>
      </c>
      <c r="Z258" s="385">
        <f t="shared" si="89"/>
        <v>31.120862648529098</v>
      </c>
      <c r="AA258" s="386">
        <f t="shared" si="90"/>
        <v>36.061365229343821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0.13700264949466029</v>
      </c>
      <c r="AD258" s="231">
        <f>(INDEX(Models!$BJ258:$BT258,,AH258)*(1-AF258)+INDEX(Models!$BJ258:$BT258,,AH258+1)*AF258-ERP_i)*AE258*Ramure*Pc/MaxiM</f>
        <v>0.11916056801076601</v>
      </c>
      <c r="AE258" s="305">
        <f t="shared" si="92"/>
        <v>0.8</v>
      </c>
      <c r="AF258" s="177">
        <f t="shared" si="93"/>
        <v>0.78105843158018473</v>
      </c>
      <c r="AG258" s="809">
        <f t="shared" si="99"/>
        <v>4</v>
      </c>
      <c r="AH258" s="176">
        <f t="shared" si="94"/>
        <v>10</v>
      </c>
      <c r="AI258" s="225">
        <f t="shared" si="95"/>
        <v>4.7810584315801847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IF(t&gt;Tmaj,'2026'!Wh/'2026'!Env_an*'2027'!Env_an,0.001*'[11]mon-tableau (3)'!$B$137)</f>
        <v>31.066726247676357</v>
      </c>
      <c r="C259" s="839"/>
      <c r="D259" s="393">
        <f t="shared" si="77"/>
        <v>34.344663546684984</v>
      </c>
      <c r="E259" s="385">
        <f t="shared" si="100"/>
        <v>36.000749529568324</v>
      </c>
      <c r="F259" s="385">
        <f t="shared" si="78"/>
        <v>38.101235346028702</v>
      </c>
      <c r="G259" s="110">
        <f t="shared" si="101"/>
        <v>0.7906156914847261</v>
      </c>
      <c r="H259" s="414" t="b">
        <f>Wh_hp&gt;='2026'!Maxi_hp</f>
        <v>0</v>
      </c>
      <c r="I259" s="390">
        <f>IF(H259,Wh_hp,'2026'!Maxi_hp)</f>
        <v>47.150040214573764</v>
      </c>
      <c r="J259" s="85">
        <f>IF(H259,An,'2026'!An_max)</f>
        <v>2020</v>
      </c>
      <c r="K259" s="197">
        <f t="shared" si="79"/>
        <v>46632</v>
      </c>
      <c r="L259" s="147">
        <f>IF(t&lt;Tvie,1-EXP((T0-t)*PertePVj)+'2026'!Pspv,1-EXP((T0-t)*PertePVj)+Pspv)</f>
        <v>9.5442405326024021E-2</v>
      </c>
      <c r="M259" s="843"/>
      <c r="N259" s="843"/>
      <c r="O259" s="48">
        <f>IF(t&lt;Tnet,'2026'!Resal+('2026'!Salim-'2026'!Resal)*(1-EXP(('2026'!Tnet-t)/('2026'!Tau_j))),Resal+(Salim-Resal)*(1-EXP((Tnet-t)/(Tau_j))))*Salcycl</f>
        <v>4.6001430651413384E-2</v>
      </c>
      <c r="P259" s="169">
        <f>(INDEX(Models!$BJ259:$BT259,,T259)*(1-R259)+INDEX(Models!$BJ259:$BT259,,T259+1)*R259-ERP_i)*Q259*Ramure*Pc/MaxiM</f>
        <v>7.5906665831951631E-2</v>
      </c>
      <c r="Q259" s="305">
        <f t="shared" si="80"/>
        <v>0.8</v>
      </c>
      <c r="R259" s="177">
        <f t="shared" si="81"/>
        <v>0.58109122315232886</v>
      </c>
      <c r="S259" s="809">
        <f t="shared" si="82"/>
        <v>3</v>
      </c>
      <c r="T259" s="176">
        <f t="shared" si="83"/>
        <v>9</v>
      </c>
      <c r="U259" s="251">
        <f t="shared" si="84"/>
        <v>3.5810912231523289</v>
      </c>
      <c r="V259" s="383">
        <f t="shared" si="85"/>
        <v>38.430267953533509</v>
      </c>
      <c r="W259" s="402">
        <f t="shared" si="86"/>
        <v>31.066726247676357</v>
      </c>
      <c r="X259" s="157">
        <f t="shared" si="87"/>
        <v>46632</v>
      </c>
      <c r="Y259" s="385">
        <f t="shared" si="88"/>
        <v>27.1432606422905</v>
      </c>
      <c r="Z259" s="385">
        <f t="shared" si="89"/>
        <v>30.007222096315022</v>
      </c>
      <c r="AA259" s="386">
        <f t="shared" si="90"/>
        <v>34.773227165082929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0.13705961330944941</v>
      </c>
      <c r="AD259" s="231">
        <f>(INDEX(Models!$BJ259:$BT259,,AH259)*(1-AF259)+INDEX(Models!$BJ259:$BT259,,AH259+1)*AF259-ERP_i)*AE259*Ramure*Pc/MaxiM</f>
        <v>0.12026646545166886</v>
      </c>
      <c r="AE259" s="305">
        <f t="shared" si="92"/>
        <v>0.8</v>
      </c>
      <c r="AF259" s="177">
        <f t="shared" si="93"/>
        <v>0.78180797031723248</v>
      </c>
      <c r="AG259" s="809">
        <f t="shared" si="99"/>
        <v>4</v>
      </c>
      <c r="AH259" s="176">
        <f t="shared" si="94"/>
        <v>10</v>
      </c>
      <c r="AI259" s="225">
        <f t="shared" si="95"/>
        <v>4.7818079703172325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IF(t&gt;Tmaj,'2026'!Wh/'2026'!Env_an*'2027'!Env_an,0.001*'[11]mon-tableau (3)'!$B$138)</f>
        <v>28.882705860007139</v>
      </c>
      <c r="C260" s="839"/>
      <c r="D260" s="393">
        <f t="shared" si="77"/>
        <v>31.930961473417149</v>
      </c>
      <c r="E260" s="385">
        <f t="shared" si="100"/>
        <v>33.477443400277366</v>
      </c>
      <c r="F260" s="385">
        <f t="shared" si="78"/>
        <v>35.265609967080373</v>
      </c>
      <c r="G260" s="110">
        <f t="shared" si="101"/>
        <v>0.73694789872957334</v>
      </c>
      <c r="H260" s="414" t="b">
        <f>Wh_hp&gt;='2026'!Maxi_hp</f>
        <v>0</v>
      </c>
      <c r="I260" s="390">
        <f>IF(H260,Wh_hp,'2026'!Maxi_hp)</f>
        <v>48.613808475226271</v>
      </c>
      <c r="J260" s="85">
        <f>IF(H260,An,'2026'!An_max)</f>
        <v>2019</v>
      </c>
      <c r="K260" s="197">
        <f t="shared" si="79"/>
        <v>46633</v>
      </c>
      <c r="L260" s="147">
        <f>IF(t&lt;Tvie,1-EXP((T0-t)*PertePVj)+'2026'!Pspv,1-EXP((T0-t)*PertePVj)+Pspv)</f>
        <v>9.5463946989122556E-2</v>
      </c>
      <c r="M260" s="843"/>
      <c r="N260" s="843"/>
      <c r="O260" s="48">
        <f>IF(t&lt;Tnet,'2026'!Resal+('2026'!Salim-'2026'!Resal)*(1-EXP(('2026'!Tnet-t)/('2026'!Tau_j))),Resal+(Salim-Resal)*(1-EXP((Tnet-t)/(Tau_j))))*Salcycl</f>
        <v>4.619474397639959E-2</v>
      </c>
      <c r="P260" s="169">
        <f>(INDEX(Models!$BJ260:$BT260,,T260)*(1-R260)+INDEX(Models!$BJ260:$BT260,,T260+1)*R260-ERP_i)*Q260*Ramure*Pc/MaxiM</f>
        <v>7.7445654144788378E-2</v>
      </c>
      <c r="Q260" s="305">
        <f t="shared" si="80"/>
        <v>0.8</v>
      </c>
      <c r="R260" s="177">
        <f t="shared" si="81"/>
        <v>0.58181240164667969</v>
      </c>
      <c r="S260" s="809">
        <f t="shared" si="82"/>
        <v>3</v>
      </c>
      <c r="T260" s="176">
        <f t="shared" si="83"/>
        <v>9</v>
      </c>
      <c r="U260" s="251">
        <f t="shared" si="84"/>
        <v>3.5818124016466797</v>
      </c>
      <c r="V260" s="383">
        <f t="shared" si="85"/>
        <v>38.088350682966194</v>
      </c>
      <c r="W260" s="402">
        <f t="shared" si="86"/>
        <v>28.882705860007139</v>
      </c>
      <c r="X260" s="157">
        <f t="shared" si="87"/>
        <v>46633</v>
      </c>
      <c r="Y260" s="385">
        <f t="shared" si="88"/>
        <v>25.340625014625669</v>
      </c>
      <c r="Z260" s="385">
        <f t="shared" si="89"/>
        <v>28.01505250152913</v>
      </c>
      <c r="AA260" s="386">
        <f t="shared" si="90"/>
        <v>32.466756880535982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0.13711577030583172</v>
      </c>
      <c r="AD260" s="231">
        <f>(INDEX(Models!$BJ260:$BT260,,AH260)*(1-AF260)+INDEX(Models!$BJ260:$BT260,,AH260+1)*AF260-ERP_i)*AE260*Ramure*Pc/MaxiM</f>
        <v>0.12121857782528939</v>
      </c>
      <c r="AE260" s="305">
        <f t="shared" si="92"/>
        <v>0.8</v>
      </c>
      <c r="AF260" s="177">
        <f t="shared" si="93"/>
        <v>0.78252914881158286</v>
      </c>
      <c r="AG260" s="809">
        <f t="shared" si="99"/>
        <v>4</v>
      </c>
      <c r="AH260" s="176">
        <f t="shared" si="94"/>
        <v>10</v>
      </c>
      <c r="AI260" s="225">
        <f t="shared" si="95"/>
        <v>4.7825291488115829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IF(t&gt;Tmaj,'2026'!Wh/'2026'!Env_an*'2027'!Env_an,0.001*'[11]mon-tableau (3)'!$B$139)</f>
        <v>33.501355127062517</v>
      </c>
      <c r="C261" s="839"/>
      <c r="D261" s="393">
        <f t="shared" si="77"/>
        <v>37.037941003927308</v>
      </c>
      <c r="E261" s="385">
        <f t="shared" si="100"/>
        <v>38.83961328003754</v>
      </c>
      <c r="F261" s="385">
        <f t="shared" si="78"/>
        <v>41.595213053429696</v>
      </c>
      <c r="G261" s="110">
        <f t="shared" si="101"/>
        <v>0.87551467842574238</v>
      </c>
      <c r="H261" s="414" t="b">
        <f>Wh_hp&gt;='2026'!Maxi_hp</f>
        <v>0</v>
      </c>
      <c r="I261" s="390">
        <f>IF(H261,Wh_hp,'2026'!Maxi_hp)</f>
        <v>47.996366652785198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9.5485488150915093E-2</v>
      </c>
      <c r="M261" s="843"/>
      <c r="N261" s="843"/>
      <c r="O261" s="48">
        <f>IF(t&lt;Tnet,'2026'!Resal+('2026'!Salim-'2026'!Resal)*(1-EXP(('2026'!Tnet-t)/('2026'!Tau_j))),Resal+(Salim-Resal)*(1-EXP((Tnet-t)/(Tau_j))))*Salcycl</f>
        <v>4.6387492664254806E-2</v>
      </c>
      <c r="P261" s="169">
        <f>(INDEX(Models!$BJ261:$BT261,,T261)*(1-R261)+INDEX(Models!$BJ261:$BT261,,T261+1)*R261-ERP_i)*Q261*Ramure*Pc/MaxiM</f>
        <v>7.8925096806020056E-2</v>
      </c>
      <c r="Q261" s="305">
        <f t="shared" si="80"/>
        <v>0.8</v>
      </c>
      <c r="R261" s="177">
        <f t="shared" si="81"/>
        <v>0.58250622451759648</v>
      </c>
      <c r="S261" s="809">
        <f t="shared" si="82"/>
        <v>3</v>
      </c>
      <c r="T261" s="176">
        <f t="shared" si="83"/>
        <v>9</v>
      </c>
      <c r="U261" s="251">
        <f t="shared" si="84"/>
        <v>3.5825062245175965</v>
      </c>
      <c r="V261" s="383">
        <f t="shared" si="85"/>
        <v>37.745253642584473</v>
      </c>
      <c r="W261" s="402">
        <f t="shared" si="86"/>
        <v>33.501355127062517</v>
      </c>
      <c r="X261" s="157">
        <f t="shared" si="87"/>
        <v>46634</v>
      </c>
      <c r="Y261" s="385">
        <f t="shared" si="88"/>
        <v>29.137906993822835</v>
      </c>
      <c r="Z261" s="385">
        <f t="shared" si="89"/>
        <v>32.213863472744805</v>
      </c>
      <c r="AA261" s="386">
        <f t="shared" si="90"/>
        <v>37.335169469457554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0.13717109281912573</v>
      </c>
      <c r="AD261" s="231">
        <f>(INDEX(Models!$BJ261:$BT261,,AH261)*(1-AF261)+INDEX(Models!$BJ261:$BT261,,AH261+1)*AF261-ERP_i)*AE261*Ramure*Pc/MaxiM</f>
        <v>0.12201494408201803</v>
      </c>
      <c r="AE261" s="305">
        <f t="shared" si="92"/>
        <v>0.8</v>
      </c>
      <c r="AF261" s="177">
        <f t="shared" si="93"/>
        <v>0.7832229716825001</v>
      </c>
      <c r="AG261" s="809">
        <f t="shared" si="99"/>
        <v>4</v>
      </c>
      <c r="AH261" s="176">
        <f t="shared" si="94"/>
        <v>10</v>
      </c>
      <c r="AI261" s="225">
        <f t="shared" si="95"/>
        <v>4.7832229716825001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IF(t&gt;Tmaj,'2026'!Wh/'2026'!Env_an*'2027'!Env_an,0.001*'[11]mon-tableau (3)'!$B$140)</f>
        <v>29.868139015904969</v>
      </c>
      <c r="C262" s="839"/>
      <c r="D262" s="393">
        <f t="shared" si="77"/>
        <v>33.021969177555356</v>
      </c>
      <c r="E262" s="385">
        <f t="shared" si="100"/>
        <v>34.635268362162016</v>
      </c>
      <c r="F262" s="385">
        <f t="shared" si="78"/>
        <v>36.735796414469185</v>
      </c>
      <c r="G262" s="110">
        <f t="shared" si="101"/>
        <v>0.77897273509106613</v>
      </c>
      <c r="H262" s="414" t="b">
        <f>Wh_hp&gt;='2026'!Maxi_hp</f>
        <v>0</v>
      </c>
      <c r="I262" s="390">
        <f>IF(H262,Wh_hp,'2026'!Maxi_hp)</f>
        <v>45.417444264252914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9.5507028811413403E-2</v>
      </c>
      <c r="M262" s="843"/>
      <c r="N262" s="843"/>
      <c r="O262" s="48">
        <f>IF(t&lt;Tnet,'2026'!Resal+('2026'!Salim-'2026'!Resal)*(1-EXP(('2026'!Tnet-t)/('2026'!Tau_j))),Resal+(Salim-Resal)*(1-EXP((Tnet-t)/(Tau_j))))*Salcycl</f>
        <v>4.6579664627895298E-2</v>
      </c>
      <c r="P262" s="169">
        <f>(INDEX(Models!$BJ262:$BT262,,T262)*(1-R262)+INDEX(Models!$BJ262:$BT262,,T262+1)*R262-ERP_i)*Q262*Ramure*Pc/MaxiM</f>
        <v>8.0285062857059289E-2</v>
      </c>
      <c r="Q262" s="305">
        <f t="shared" si="80"/>
        <v>0.8</v>
      </c>
      <c r="R262" s="177">
        <f t="shared" si="81"/>
        <v>0.58317366606892307</v>
      </c>
      <c r="S262" s="809">
        <f t="shared" si="82"/>
        <v>3</v>
      </c>
      <c r="T262" s="176">
        <f t="shared" si="83"/>
        <v>9</v>
      </c>
      <c r="U262" s="251">
        <f t="shared" si="84"/>
        <v>3.5831736660689231</v>
      </c>
      <c r="V262" s="383">
        <f t="shared" si="85"/>
        <v>37.403311089910659</v>
      </c>
      <c r="W262" s="402">
        <f t="shared" si="86"/>
        <v>29.868139015904969</v>
      </c>
      <c r="X262" s="157">
        <f t="shared" si="87"/>
        <v>46635</v>
      </c>
      <c r="Y262" s="385">
        <f t="shared" si="88"/>
        <v>26.165035020644751</v>
      </c>
      <c r="Z262" s="385">
        <f t="shared" si="89"/>
        <v>28.927847815402586</v>
      </c>
      <c r="AA262" s="386">
        <f t="shared" si="90"/>
        <v>33.528864796242509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0.137225552037048</v>
      </c>
      <c r="AD262" s="231">
        <f>(INDEX(Models!$BJ262:$BT262,,AH262)*(1-AF262)+INDEX(Models!$BJ262:$BT262,,AH262+1)*AF262-ERP_i)*AE262*Ramure*Pc/MaxiM</f>
        <v>0.12257332448610801</v>
      </c>
      <c r="AE262" s="305">
        <f t="shared" si="92"/>
        <v>0.8</v>
      </c>
      <c r="AF262" s="177">
        <f t="shared" si="93"/>
        <v>0.78389041323382624</v>
      </c>
      <c r="AG262" s="809">
        <f t="shared" si="99"/>
        <v>4</v>
      </c>
      <c r="AH262" s="176">
        <f t="shared" si="94"/>
        <v>10</v>
      </c>
      <c r="AI262" s="225">
        <f t="shared" si="95"/>
        <v>4.7838904132338262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IF(t&gt;Tmaj,'2026'!Wh/'2026'!Env_an*'2027'!Env_an,0.001*'[11]mon-tableau (3)'!$B$141)</f>
        <v>34.151169089863593</v>
      </c>
      <c r="C263" s="839"/>
      <c r="D263" s="393">
        <f t="shared" si="77"/>
        <v>37.758151245304063</v>
      </c>
      <c r="E263" s="385">
        <f t="shared" si="100"/>
        <v>39.610797655568575</v>
      </c>
      <c r="F263" s="385">
        <f t="shared" si="78"/>
        <v>42.702801601097399</v>
      </c>
      <c r="G263" s="110">
        <f t="shared" si="101"/>
        <v>0.91238770165268301</v>
      </c>
      <c r="H263" s="414" t="b">
        <f>Wh_hp&gt;='2026'!Maxi_hp</f>
        <v>0</v>
      </c>
      <c r="I263" s="390">
        <f>IF(H263,Wh_hp,'2026'!Maxi_hp)</f>
        <v>48.931389708757251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9.552856897062903E-2</v>
      </c>
      <c r="M263" s="843"/>
      <c r="N263" s="843"/>
      <c r="O263" s="48">
        <f>IF(t&lt;Tnet,'2026'!Resal+('2026'!Salim-'2026'!Resal)*(1-EXP(('2026'!Tnet-t)/('2026'!Tau_j))),Resal+(Salim-Resal)*(1-EXP((Tnet-t)/(Tau_j))))*Salcycl</f>
        <v>4.6771247233494205E-2</v>
      </c>
      <c r="P263" s="169">
        <f>(INDEX(Models!$BJ263:$BT263,,T263)*(1-R263)+INDEX(Models!$BJ263:$BT263,,T263+1)*R263-ERP_i)*Q263*Ramure*Pc/MaxiM</f>
        <v>8.1556254261206343E-2</v>
      </c>
      <c r="Q263" s="305">
        <f t="shared" si="80"/>
        <v>0.8</v>
      </c>
      <c r="R263" s="177">
        <f t="shared" si="81"/>
        <v>0.58381567078688068</v>
      </c>
      <c r="S263" s="809">
        <f t="shared" si="82"/>
        <v>3</v>
      </c>
      <c r="T263" s="176">
        <f t="shared" si="83"/>
        <v>9</v>
      </c>
      <c r="U263" s="251">
        <f t="shared" si="84"/>
        <v>3.5838156707868807</v>
      </c>
      <c r="V263" s="383">
        <f t="shared" si="85"/>
        <v>37.061372153679159</v>
      </c>
      <c r="W263" s="402">
        <f t="shared" si="86"/>
        <v>34.151169089863593</v>
      </c>
      <c r="X263" s="157">
        <f t="shared" si="87"/>
        <v>46636</v>
      </c>
      <c r="Y263" s="385">
        <f t="shared" si="88"/>
        <v>29.682950243385196</v>
      </c>
      <c r="Z263" s="385">
        <f t="shared" si="89"/>
        <v>32.818007540164416</v>
      </c>
      <c r="AA263" s="386">
        <f t="shared" si="90"/>
        <v>38.040121924048286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0.13727911793528039</v>
      </c>
      <c r="AD263" s="231">
        <f>(INDEX(Models!$BJ263:$BT263,,AH263)*(1-AF263)+INDEX(Models!$BJ263:$BT263,,AH263+1)*AF263-ERP_i)*AE263*Ramure*Pc/MaxiM</f>
        <v>0.12298518888692409</v>
      </c>
      <c r="AE263" s="305">
        <f t="shared" si="92"/>
        <v>0.8</v>
      </c>
      <c r="AF263" s="177">
        <f t="shared" si="93"/>
        <v>0.78453241795178474</v>
      </c>
      <c r="AG263" s="809">
        <f t="shared" si="99"/>
        <v>4</v>
      </c>
      <c r="AH263" s="176">
        <f t="shared" si="94"/>
        <v>10</v>
      </c>
      <c r="AI263" s="225">
        <f t="shared" si="95"/>
        <v>4.7845324179517847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IF(t&gt;Tmaj,'2026'!Wh/'2026'!Env_an*'2027'!Env_an,0.001*'[11]mon-tableau (3)'!$B$142)</f>
        <v>29.150883746121412</v>
      </c>
      <c r="C264" s="839"/>
      <c r="D264" s="393">
        <f t="shared" si="77"/>
        <v>32.230512739538995</v>
      </c>
      <c r="E264" s="385">
        <f t="shared" si="100"/>
        <v>33.818714915488428</v>
      </c>
      <c r="F264" s="385">
        <f t="shared" si="78"/>
        <v>35.915231977611242</v>
      </c>
      <c r="G264" s="110">
        <f t="shared" si="101"/>
        <v>0.77333744227841572</v>
      </c>
      <c r="H264" s="414" t="b">
        <f>Wh_hp&gt;='2026'!Maxi_hp</f>
        <v>0</v>
      </c>
      <c r="I264" s="390">
        <f>IF(H264,Wh_hp,'2026'!Maxi_hp)</f>
        <v>44.353228487080955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9.5550108628573743E-2</v>
      </c>
      <c r="M264" s="843"/>
      <c r="N264" s="843"/>
      <c r="O264" s="48">
        <f>IF(t&lt;Tnet,'2026'!Resal+('2026'!Salim-'2026'!Resal)*(1-EXP(('2026'!Tnet-t)/('2026'!Tau_j))),Resal+(Salim-Resal)*(1-EXP((Tnet-t)/(Tau_j))))*Salcycl</f>
        <v>4.6962227273220837E-2</v>
      </c>
      <c r="P264" s="169">
        <f>(INDEX(Models!$BJ264:$BT264,,T264)*(1-R264)+INDEX(Models!$BJ264:$BT264,,T264+1)*R264-ERP_i)*Q264*Ramure*Pc/MaxiM</f>
        <v>8.273676776344413E-2</v>
      </c>
      <c r="Q264" s="305">
        <f t="shared" si="80"/>
        <v>0.8</v>
      </c>
      <c r="R264" s="177">
        <f t="shared" si="81"/>
        <v>0.58443315386652595</v>
      </c>
      <c r="S264" s="809">
        <f t="shared" si="82"/>
        <v>3</v>
      </c>
      <c r="T264" s="176">
        <f t="shared" si="83"/>
        <v>9</v>
      </c>
      <c r="U264" s="251">
        <f t="shared" si="84"/>
        <v>3.5844331538665259</v>
      </c>
      <c r="V264" s="383">
        <f t="shared" si="85"/>
        <v>36.719625943467683</v>
      </c>
      <c r="W264" s="402">
        <f t="shared" si="86"/>
        <v>29.150883746121412</v>
      </c>
      <c r="X264" s="157">
        <f t="shared" si="87"/>
        <v>46637</v>
      </c>
      <c r="Y264" s="385">
        <f t="shared" si="88"/>
        <v>25.585791836016057</v>
      </c>
      <c r="Z264" s="385">
        <f t="shared" si="89"/>
        <v>28.288788666025564</v>
      </c>
      <c r="AA264" s="386">
        <f t="shared" si="90"/>
        <v>32.792199050206854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0.13733175921768151</v>
      </c>
      <c r="AD264" s="231">
        <f>(INDEX(Models!$BJ264:$BT264,,AH264)*(1-AF264)+INDEX(Models!$BJ264:$BT264,,AH264+1)*AF264-ERP_i)*AE264*Ramure*Pc/MaxiM</f>
        <v>0.12324710096593046</v>
      </c>
      <c r="AE264" s="305">
        <f t="shared" si="92"/>
        <v>0.8</v>
      </c>
      <c r="AF264" s="177">
        <f t="shared" si="93"/>
        <v>0.78514990103142956</v>
      </c>
      <c r="AG264" s="809">
        <f t="shared" si="99"/>
        <v>4</v>
      </c>
      <c r="AH264" s="176">
        <f t="shared" si="94"/>
        <v>10</v>
      </c>
      <c r="AI264" s="225">
        <f t="shared" si="95"/>
        <v>4.7851499010314296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IF(t&gt;Tmaj,'2026'!Wh/'2026'!Env_an*'2027'!Env_an,0.001*'[11]mon-tableau (3)'!$B$143)</f>
        <v>26.619543422537319</v>
      </c>
      <c r="C265" s="839"/>
      <c r="D265" s="393">
        <f t="shared" si="77"/>
        <v>29.432451290754059</v>
      </c>
      <c r="E265" s="385">
        <f t="shared" si="100"/>
        <v>30.888945082809986</v>
      </c>
      <c r="F265" s="385">
        <f t="shared" si="78"/>
        <v>32.573001210092606</v>
      </c>
      <c r="G265" s="110">
        <f t="shared" si="101"/>
        <v>0.70695539176830269</v>
      </c>
      <c r="H265" s="414" t="b">
        <f>Wh_hp&gt;='2026'!Maxi_hp</f>
        <v>0</v>
      </c>
      <c r="I265" s="390">
        <f>IF(H265,Wh_hp,'2026'!Maxi_hp)</f>
        <v>42.753480627950061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9.557164778525909E-2</v>
      </c>
      <c r="M265" s="843"/>
      <c r="N265" s="843"/>
      <c r="O265" s="48">
        <f>IF(t&lt;Tnet,'2026'!Resal+('2026'!Salim-'2026'!Resal)*(1-EXP(('2026'!Tnet-t)/('2026'!Tau_j))),Resal+(Salim-Resal)*(1-EXP((Tnet-t)/(Tau_j))))*Salcycl</f>
        <v>4.7152590939937247E-2</v>
      </c>
      <c r="P265" s="169">
        <f>(INDEX(Models!$BJ265:$BT265,,T265)*(1-R265)+INDEX(Models!$BJ265:$BT265,,T265+1)*R265-ERP_i)*Q265*Ramure*Pc/MaxiM</f>
        <v>8.3824574392863754E-2</v>
      </c>
      <c r="Q265" s="305">
        <f t="shared" si="80"/>
        <v>0.8</v>
      </c>
      <c r="R265" s="177">
        <f t="shared" si="81"/>
        <v>0.58502700176274081</v>
      </c>
      <c r="S265" s="809">
        <f t="shared" si="82"/>
        <v>3</v>
      </c>
      <c r="T265" s="176">
        <f t="shared" si="83"/>
        <v>9</v>
      </c>
      <c r="U265" s="251">
        <f t="shared" si="84"/>
        <v>3.5850270017627408</v>
      </c>
      <c r="V265" s="383">
        <f t="shared" si="85"/>
        <v>36.3782605019315</v>
      </c>
      <c r="W265" s="402">
        <f t="shared" si="86"/>
        <v>26.619543422537319</v>
      </c>
      <c r="X265" s="157">
        <f t="shared" si="87"/>
        <v>46638</v>
      </c>
      <c r="Y265" s="385">
        <f t="shared" si="88"/>
        <v>23.479175826401487</v>
      </c>
      <c r="Z265" s="385">
        <f t="shared" si="89"/>
        <v>25.960238606967909</v>
      </c>
      <c r="AA265" s="386">
        <f t="shared" si="90"/>
        <v>30.094760417279968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0.13738344326336871</v>
      </c>
      <c r="AD265" s="231">
        <f>(INDEX(Models!$BJ265:$BT265,,AH265)*(1-AF265)+INDEX(Models!$BJ265:$BT265,,AH265+1)*AF265-ERP_i)*AE265*Ramure*Pc/MaxiM</f>
        <v>0.12335543711108744</v>
      </c>
      <c r="AE265" s="305">
        <f t="shared" si="92"/>
        <v>0.8</v>
      </c>
      <c r="AF265" s="177">
        <f t="shared" si="93"/>
        <v>0.78574374892764443</v>
      </c>
      <c r="AG265" s="809">
        <f t="shared" si="99"/>
        <v>4</v>
      </c>
      <c r="AH265" s="176">
        <f t="shared" si="94"/>
        <v>10</v>
      </c>
      <c r="AI265" s="225">
        <f t="shared" si="95"/>
        <v>4.7857437489276444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IF(t&gt;Tmaj,'2026'!Wh/'2026'!Env_an*'2027'!Env_an,0.001*'[11]mon-tableau (3)'!$B$144)</f>
        <v>19.799972955594878</v>
      </c>
      <c r="C266" s="839"/>
      <c r="D266" s="393">
        <f t="shared" si="77"/>
        <v>21.892772874710953</v>
      </c>
      <c r="E266" s="385">
        <f t="shared" si="100"/>
        <v>22.980734236189882</v>
      </c>
      <c r="F266" s="385">
        <f t="shared" si="78"/>
        <v>23.696916709960426</v>
      </c>
      <c r="G266" s="110">
        <f t="shared" si="101"/>
        <v>0.51849674083524844</v>
      </c>
      <c r="H266" s="414" t="b">
        <f>Wh_hp&gt;='2026'!Maxi_hp</f>
        <v>0</v>
      </c>
      <c r="I266" s="390">
        <f>IF(H266,Wh_hp,'2026'!Maxi_hp)</f>
        <v>43.385482084784094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9.5593186440696837E-2</v>
      </c>
      <c r="M266" s="843"/>
      <c r="N266" s="843"/>
      <c r="O266" s="48">
        <f>IF(t&lt;Tnet,'2026'!Resal+('2026'!Salim-'2026'!Resal)*(1-EXP(('2026'!Tnet-t)/('2026'!Tau_j))),Resal+(Salim-Resal)*(1-EXP((Tnet-t)/(Tau_j))))*Salcycl</f>
        <v>4.7342323804677039E-2</v>
      </c>
      <c r="P266" s="169">
        <f>(INDEX(Models!$BJ266:$BT266,,T266)*(1-R266)+INDEX(Models!$BJ266:$BT266,,T266+1)*R266-ERP_i)*Q266*Ramure*Pc/MaxiM</f>
        <v>8.4817517766044029E-2</v>
      </c>
      <c r="Q266" s="305">
        <f t="shared" si="80"/>
        <v>0.8</v>
      </c>
      <c r="R266" s="177">
        <f t="shared" si="81"/>
        <v>0.58559807276196718</v>
      </c>
      <c r="S266" s="809">
        <f t="shared" si="82"/>
        <v>3</v>
      </c>
      <c r="T266" s="176">
        <f t="shared" si="83"/>
        <v>9</v>
      </c>
      <c r="U266" s="251">
        <f t="shared" si="84"/>
        <v>3.5855980727619672</v>
      </c>
      <c r="V266" s="383">
        <f t="shared" si="85"/>
        <v>36.037462756510521</v>
      </c>
      <c r="W266" s="402">
        <f t="shared" si="86"/>
        <v>19.799972955594878</v>
      </c>
      <c r="X266" s="157">
        <f t="shared" si="87"/>
        <v>46639</v>
      </c>
      <c r="Y266" s="385">
        <f t="shared" si="88"/>
        <v>17.67398080181815</v>
      </c>
      <c r="Z266" s="385">
        <f t="shared" si="89"/>
        <v>19.542069494436912</v>
      </c>
      <c r="AA266" s="386">
        <f t="shared" si="90"/>
        <v>22.655741795405209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0.13743413608287935</v>
      </c>
      <c r="AD266" s="231">
        <f>(INDEX(Models!$BJ266:$BT266,,AH266)*(1-AF266)+INDEX(Models!$BJ266:$BT266,,AH266+1)*AF266-ERP_i)*AE266*Ramure*Pc/MaxiM</f>
        <v>0.12330638496068531</v>
      </c>
      <c r="AE266" s="305">
        <f t="shared" si="92"/>
        <v>0.8</v>
      </c>
      <c r="AF266" s="177">
        <f t="shared" si="93"/>
        <v>0.78631481992687036</v>
      </c>
      <c r="AG266" s="809">
        <f t="shared" si="99"/>
        <v>4</v>
      </c>
      <c r="AH266" s="176">
        <f t="shared" si="94"/>
        <v>10</v>
      </c>
      <c r="AI266" s="225">
        <f t="shared" si="95"/>
        <v>4.7863148199268704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IF(t&gt;Tmaj,'2026'!Wh/'2026'!Env_an*'2027'!Env_an,0.001*'[11]mon-tableau (3)'!$B$145)</f>
        <v>33.838497673607051</v>
      </c>
      <c r="C267" s="839"/>
      <c r="D267" s="393">
        <f t="shared" si="77"/>
        <v>37.416020134173202</v>
      </c>
      <c r="E267" s="385">
        <f t="shared" si="100"/>
        <v>39.283206352779381</v>
      </c>
      <c r="F267" s="385">
        <f t="shared" si="78"/>
        <v>42.668385062066356</v>
      </c>
      <c r="G267" s="110">
        <f t="shared" si="101"/>
        <v>0.94136042567762623</v>
      </c>
      <c r="H267" s="414" t="b">
        <f>Wh_hp&gt;='2026'!Maxi_hp</f>
        <v>0</v>
      </c>
      <c r="I267" s="390">
        <f>IF(H267,Wh_hp,'2026'!Maxi_hp)</f>
        <v>42.945778972423717</v>
      </c>
      <c r="J267" s="85">
        <f>IF(H267,An,'2026'!An_max)</f>
        <v>2022</v>
      </c>
      <c r="K267" s="197">
        <f t="shared" si="79"/>
        <v>46640</v>
      </c>
      <c r="L267" s="147">
        <f>IF(t&lt;Tvie,1-EXP((T0-t)*PertePVj)+'2026'!Pspv,1-EXP((T0-t)*PertePVj)+Pspv)</f>
        <v>9.5614724594898531E-2</v>
      </c>
      <c r="M267" s="843"/>
      <c r="N267" s="843"/>
      <c r="O267" s="48">
        <f>IF(t&lt;Tnet,'2026'!Resal+('2026'!Salim-'2026'!Resal)*(1-EXP(('2026'!Tnet-t)/('2026'!Tau_j))),Resal+(Salim-Resal)*(1-EXP((Tnet-t)/(Tau_j))))*Salcycl</f>
        <v>4.7531410797735721E-2</v>
      </c>
      <c r="P267" s="169">
        <f>(INDEX(Models!$BJ267:$BT267,,T267)*(1-R267)+INDEX(Models!$BJ267:$BT267,,T267+1)*R267-ERP_i)*Q267*Ramure*Pc/MaxiM</f>
        <v>8.5713312510527703E-2</v>
      </c>
      <c r="Q267" s="305">
        <f t="shared" si="80"/>
        <v>0.8</v>
      </c>
      <c r="R267" s="177">
        <f t="shared" si="81"/>
        <v>0.58614719757116518</v>
      </c>
      <c r="S267" s="809">
        <f t="shared" si="82"/>
        <v>3</v>
      </c>
      <c r="T267" s="176">
        <f t="shared" si="83"/>
        <v>9</v>
      </c>
      <c r="U267" s="251">
        <f t="shared" si="84"/>
        <v>3.5861471975711652</v>
      </c>
      <c r="V267" s="383">
        <f t="shared" si="85"/>
        <v>35.697418462645558</v>
      </c>
      <c r="W267" s="402">
        <f t="shared" si="86"/>
        <v>33.838497673607051</v>
      </c>
      <c r="X267" s="157">
        <f t="shared" si="87"/>
        <v>46640</v>
      </c>
      <c r="Y267" s="385">
        <f t="shared" si="88"/>
        <v>29.491086244066587</v>
      </c>
      <c r="Z267" s="385">
        <f t="shared" si="89"/>
        <v>32.608985402661091</v>
      </c>
      <c r="AA267" s="386">
        <f t="shared" si="90"/>
        <v>37.806809297113809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0.13748380228557203</v>
      </c>
      <c r="AD267" s="231">
        <f>(INDEX(Models!$BJ267:$BT267,,AH267)*(1-AF267)+INDEX(Models!$BJ267:$BT267,,AH267+1)*AF267-ERP_i)*AE267*Ramure*Pc/MaxiM</f>
        <v>0.12309594222951839</v>
      </c>
      <c r="AE267" s="305">
        <f t="shared" si="92"/>
        <v>0.8</v>
      </c>
      <c r="AF267" s="177">
        <f t="shared" si="93"/>
        <v>0.78686394473606835</v>
      </c>
      <c r="AG267" s="809">
        <f t="shared" si="99"/>
        <v>4</v>
      </c>
      <c r="AH267" s="176">
        <f t="shared" si="94"/>
        <v>10</v>
      </c>
      <c r="AI267" s="225">
        <f t="shared" si="95"/>
        <v>4.7868639447360684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IF(t&gt;Tmaj,'2026'!Wh/'2026'!Env_an*'2027'!Env_an,0.001*'[11]mon-tableau (3)'!$B$146)</f>
        <v>32.901349608205045</v>
      </c>
      <c r="C268" s="839"/>
      <c r="D268" s="393">
        <f t="shared" si="77"/>
        <v>36.380659943292571</v>
      </c>
      <c r="E268" s="385">
        <f t="shared" si="100"/>
        <v>38.203735965576236</v>
      </c>
      <c r="F268" s="385">
        <f t="shared" si="78"/>
        <v>41.42924239611996</v>
      </c>
      <c r="G268" s="110">
        <f t="shared" si="101"/>
        <v>0.92178016583431244</v>
      </c>
      <c r="H268" s="414" t="b">
        <f>Wh_hp&gt;='2026'!Maxi_hp</f>
        <v>0</v>
      </c>
      <c r="I268" s="390">
        <f>IF(H268,Wh_hp,'2026'!Maxi_hp)</f>
        <v>43.805127981597593</v>
      </c>
      <c r="J268" s="85">
        <f>IF(H268,An,'2026'!An_max)</f>
        <v>2019</v>
      </c>
      <c r="K268" s="197">
        <f t="shared" si="79"/>
        <v>46641</v>
      </c>
      <c r="L268" s="147">
        <f>IF(t&lt;Tvie,1-EXP((T0-t)*PertePVj)+'2026'!Pspv,1-EXP((T0-t)*PertePVj)+Pspv)</f>
        <v>9.5636262247876053E-2</v>
      </c>
      <c r="M268" s="843"/>
      <c r="N268" s="843"/>
      <c r="O268" s="48">
        <f>IF(t&lt;Tnet,'2026'!Resal+('2026'!Salim-'2026'!Resal)*(1-EXP(('2026'!Tnet-t)/('2026'!Tau_j))),Resal+(Salim-Resal)*(1-EXP((Tnet-t)/(Tau_j))))*Salcycl</f>
        <v>4.7719836194197417E-2</v>
      </c>
      <c r="P268" s="169">
        <f>(INDEX(Models!$BJ268:$BT268,,T268)*(1-R268)+INDEX(Models!$BJ268:$BT268,,T268+1)*R268-ERP_i)*Q268*Ramure*Pc/MaxiM</f>
        <v>8.6445122395240895E-2</v>
      </c>
      <c r="Q268" s="305">
        <f t="shared" si="80"/>
        <v>0.8</v>
      </c>
      <c r="R268" s="177">
        <f t="shared" si="81"/>
        <v>0.58667517992076901</v>
      </c>
      <c r="S268" s="809">
        <f t="shared" si="82"/>
        <v>3</v>
      </c>
      <c r="T268" s="176">
        <f t="shared" si="83"/>
        <v>9</v>
      </c>
      <c r="U268" s="251">
        <f t="shared" si="84"/>
        <v>3.586675179920769</v>
      </c>
      <c r="V268" s="383">
        <f t="shared" si="85"/>
        <v>35.360805651961819</v>
      </c>
      <c r="W268" s="402">
        <f t="shared" si="86"/>
        <v>32.901349608205045</v>
      </c>
      <c r="X268" s="157">
        <f t="shared" si="87"/>
        <v>46641</v>
      </c>
      <c r="Y268" s="385">
        <f t="shared" si="88"/>
        <v>28.743626014743487</v>
      </c>
      <c r="Z268" s="385">
        <f t="shared" si="89"/>
        <v>31.783258013184287</v>
      </c>
      <c r="AA268" s="386">
        <f t="shared" si="90"/>
        <v>36.851538770460657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0.13753240506035488</v>
      </c>
      <c r="AD268" s="231">
        <f>(INDEX(Models!$BJ268:$BT268,,AH268)*(1-AF268)+INDEX(Models!$BJ268:$BT268,,AH268+1)*AF268-ERP_i)*AE268*Ramure*Pc/MaxiM</f>
        <v>0.12268465703928216</v>
      </c>
      <c r="AE268" s="305">
        <f t="shared" si="92"/>
        <v>0.8</v>
      </c>
      <c r="AF268" s="177">
        <f t="shared" si="93"/>
        <v>0.78739192708567263</v>
      </c>
      <c r="AG268" s="809">
        <f t="shared" si="99"/>
        <v>4</v>
      </c>
      <c r="AH268" s="176">
        <f t="shared" si="94"/>
        <v>10</v>
      </c>
      <c r="AI268" s="225">
        <f t="shared" si="95"/>
        <v>4.7873919270856726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IF(t&gt;Tmaj,'2026'!Wh/'2026'!Env_an*'2027'!Env_an,0.001*'[11]mon-tableau (3)'!$B$147)</f>
        <v>23.686474707714375</v>
      </c>
      <c r="C269" s="839"/>
      <c r="D269" s="393">
        <f t="shared" si="77"/>
        <v>26.191937843871273</v>
      </c>
      <c r="E269" s="385">
        <f t="shared" si="100"/>
        <v>27.509869202651842</v>
      </c>
      <c r="F269" s="385">
        <f t="shared" si="78"/>
        <v>28.860497077914957</v>
      </c>
      <c r="G269" s="110">
        <f t="shared" si="101"/>
        <v>0.64769329706771639</v>
      </c>
      <c r="H269" s="414" t="b">
        <f>Wh_hp&gt;='2026'!Maxi_hp</f>
        <v>0</v>
      </c>
      <c r="I269" s="390">
        <f>IF(H269,Wh_hp,'2026'!Maxi_hp)</f>
        <v>44.561569210056845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9.5657799399640836E-2</v>
      </c>
      <c r="M269" s="843"/>
      <c r="N269" s="843"/>
      <c r="O269" s="48">
        <f>IF(t&lt;Tnet,'2026'!Resal+('2026'!Salim-'2026'!Resal)*(1-EXP(('2026'!Tnet-t)/('2026'!Tau_j))),Resal+(Salim-Resal)*(1-EXP((Tnet-t)/(Tau_j))))*Salcycl</f>
        <v>4.7907583604706004E-2</v>
      </c>
      <c r="P269" s="169">
        <f>(INDEX(Models!$BJ269:$BT269,,T269)*(1-R269)+INDEX(Models!$BJ269:$BT269,,T269+1)*R269-ERP_i)*Q269*Ramure*Pc/MaxiM</f>
        <v>8.7064533333345087E-2</v>
      </c>
      <c r="Q269" s="305">
        <f t="shared" si="80"/>
        <v>0.8</v>
      </c>
      <c r="R269" s="177">
        <f t="shared" si="81"/>
        <v>0.58718279717867361</v>
      </c>
      <c r="S269" s="809">
        <f t="shared" si="82"/>
        <v>3</v>
      </c>
      <c r="T269" s="176">
        <f t="shared" si="83"/>
        <v>9</v>
      </c>
      <c r="U269" s="251">
        <f t="shared" si="84"/>
        <v>3.5871827971786736</v>
      </c>
      <c r="V269" s="383">
        <f t="shared" si="85"/>
        <v>35.025664788031527</v>
      </c>
      <c r="W269" s="402">
        <f t="shared" si="86"/>
        <v>23.686474707714375</v>
      </c>
      <c r="X269" s="157">
        <f t="shared" si="87"/>
        <v>46642</v>
      </c>
      <c r="Y269" s="385">
        <f t="shared" si="88"/>
        <v>21.031030279796326</v>
      </c>
      <c r="Z269" s="385">
        <f t="shared" si="89"/>
        <v>23.255610836069142</v>
      </c>
      <c r="AA269" s="386">
        <f t="shared" si="90"/>
        <v>26.965525272999688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0.13757990617172391</v>
      </c>
      <c r="AD269" s="231">
        <f>(INDEX(Models!$BJ269:$BT269,,AH269)*(1-AF269)+INDEX(Models!$BJ269:$BT269,,AH269+1)*AF269-ERP_i)*AE269*Ramure*Pc/MaxiM</f>
        <v>0.1221541765104277</v>
      </c>
      <c r="AE269" s="305">
        <f t="shared" si="92"/>
        <v>0.8</v>
      </c>
      <c r="AF269" s="177">
        <f t="shared" si="93"/>
        <v>0.78789954434357679</v>
      </c>
      <c r="AG269" s="809">
        <f t="shared" si="99"/>
        <v>4</v>
      </c>
      <c r="AH269" s="176">
        <f t="shared" si="94"/>
        <v>10</v>
      </c>
      <c r="AI269" s="225">
        <f t="shared" si="95"/>
        <v>4.7878995443435768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IF(t&gt;Tmaj,'2026'!Wh/'2026'!Env_an*'2027'!Env_an,0.001*'[11]mon-tableau (3)'!$B$148)</f>
        <v>11.511372173289725</v>
      </c>
      <c r="C270" s="839"/>
      <c r="D270" s="393">
        <f t="shared" si="77"/>
        <v>12.729303478493549</v>
      </c>
      <c r="E270" s="385">
        <f t="shared" si="100"/>
        <v>13.372446421178728</v>
      </c>
      <c r="F270" s="385">
        <f t="shared" si="78"/>
        <v>13.42588079886665</v>
      </c>
      <c r="G270" s="110">
        <f t="shared" si="101"/>
        <v>0.3039678776892456</v>
      </c>
      <c r="H270" s="414" t="b">
        <f>Wh_hp&gt;='2026'!Maxi_hp</f>
        <v>0</v>
      </c>
      <c r="I270" s="390">
        <f>IF(H270,Wh_hp,'2026'!Maxi_hp)</f>
        <v>41.322642207532596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9.567933605020465E-2</v>
      </c>
      <c r="M270" s="843"/>
      <c r="N270" s="843"/>
      <c r="O270" s="48">
        <f>IF(t&lt;Tnet,'2026'!Resal+('2026'!Salim-'2026'!Resal)*(1-EXP(('2026'!Tnet-t)/('2026'!Tau_j))),Resal+(Salim-Resal)*(1-EXP((Tnet-t)/(Tau_j))))*Salcycl</f>
        <v>4.8094635972262781E-2</v>
      </c>
      <c r="P270" s="169">
        <f>(INDEX(Models!$BJ270:$BT270,,T270)*(1-R270)+INDEX(Models!$BJ270:$BT270,,T270+1)*R270-ERP_i)*Q270*Ramure*Pc/MaxiM</f>
        <v>8.7568654477702498E-2</v>
      </c>
      <c r="Q270" s="305">
        <f t="shared" si="80"/>
        <v>0.8</v>
      </c>
      <c r="R270" s="177">
        <f t="shared" si="81"/>
        <v>0.58767080097252578</v>
      </c>
      <c r="S270" s="809">
        <f t="shared" si="82"/>
        <v>3</v>
      </c>
      <c r="T270" s="176">
        <f t="shared" si="83"/>
        <v>9</v>
      </c>
      <c r="U270" s="251">
        <f t="shared" si="84"/>
        <v>3.5876708009725258</v>
      </c>
      <c r="V270" s="383">
        <f t="shared" si="85"/>
        <v>34.692174410837538</v>
      </c>
      <c r="W270" s="402">
        <f t="shared" si="86"/>
        <v>11.511372173289725</v>
      </c>
      <c r="X270" s="157">
        <f t="shared" si="87"/>
        <v>46643</v>
      </c>
      <c r="Y270" s="385">
        <f t="shared" si="88"/>
        <v>10.41252047101994</v>
      </c>
      <c r="Z270" s="385">
        <f t="shared" si="89"/>
        <v>11.514190580961895</v>
      </c>
      <c r="AA270" s="386">
        <f t="shared" si="90"/>
        <v>13.351740813340838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0.13762626597296532</v>
      </c>
      <c r="AD270" s="231">
        <f>(INDEX(Models!$BJ270:$BT270,,AH270)*(1-AF270)+INDEX(Models!$BJ270:$BT270,,AH270+1)*AF270-ERP_i)*AE270*Ramure*Pc/MaxiM</f>
        <v>0.1215011581759137</v>
      </c>
      <c r="AE270" s="305">
        <f t="shared" si="92"/>
        <v>0.8</v>
      </c>
      <c r="AF270" s="177">
        <f t="shared" si="93"/>
        <v>0.78838754813742895</v>
      </c>
      <c r="AG270" s="809">
        <f t="shared" si="99"/>
        <v>4</v>
      </c>
      <c r="AH270" s="176">
        <f t="shared" si="94"/>
        <v>10</v>
      </c>
      <c r="AI270" s="225">
        <f t="shared" si="95"/>
        <v>4.788387548137429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IF(t&gt;Tmaj,'2026'!Wh/'2026'!Env_an*'2027'!Env_an,0.001*'[11]mon-tableau (3)'!$B$149)</f>
        <v>26.059869160315937</v>
      </c>
      <c r="C271" s="839"/>
      <c r="D271" s="393">
        <f t="shared" ref="D271:D334" si="102">Wh/(1-Ppv)</f>
        <v>28.817753284472211</v>
      </c>
      <c r="E271" s="385">
        <f t="shared" si="100"/>
        <v>30.279686067962217</v>
      </c>
      <c r="F271" s="385">
        <f t="shared" ref="F271:F334" si="103">Wh_sa/(1-Pvg*MEDIAN((-Sdif+Wh/Env_an)/Csdif,0,1))</f>
        <v>32.13042199547634</v>
      </c>
      <c r="G271" s="110">
        <f t="shared" si="101"/>
        <v>0.73399685630706124</v>
      </c>
      <c r="H271" s="414" t="b">
        <f>Wh_hp&gt;='2026'!Maxi_hp</f>
        <v>0</v>
      </c>
      <c r="I271" s="390">
        <f>IF(H271,Wh_hp,'2026'!Maxi_hp)</f>
        <v>40.506292806876168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9.570087219957904E-2</v>
      </c>
      <c r="M271" s="843"/>
      <c r="N271" s="843"/>
      <c r="O271" s="48">
        <f>IF(t&lt;Tnet,'2026'!Resal+('2026'!Salim-'2026'!Resal)*(1-EXP(('2026'!Tnet-t)/('2026'!Tau_j))),Resal+(Salim-Resal)*(1-EXP((Tnet-t)/(Tau_j))))*Salcycl</f>
        <v>4.8280975575794381E-2</v>
      </c>
      <c r="P271" s="169">
        <f>(INDEX(Models!$BJ271:$BT271,,T271)*(1-R271)+INDEX(Models!$BJ271:$BT271,,T271+1)*R271-ERP_i)*Q271*Ramure*Pc/MaxiM</f>
        <v>8.7954451007915088E-2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0.58813991781784836</v>
      </c>
      <c r="S271" s="809">
        <f t="shared" ref="S271:S334" si="107">INDEX(Echel_vg,T271)</f>
        <v>3</v>
      </c>
      <c r="T271" s="176">
        <f t="shared" ref="T271:T334" si="108">MIN(MATCH(Hp_vg,Echel_vg),10)</f>
        <v>9</v>
      </c>
      <c r="U271" s="251">
        <f t="shared" ref="U271:U334" si="109">IF(OR(t&lt;Ttai,Notai),Hdd+PousH*Croivg,Hdtf+PousH*(Croivg-Croi_tai))</f>
        <v>3.5881399178178484</v>
      </c>
      <c r="V271" s="383">
        <f t="shared" ref="V271:V334" si="110">MaxiM*(1-Ppv)*(1-Pvg)*(1-Psa)</f>
        <v>34.360511530599624</v>
      </c>
      <c r="W271" s="402">
        <f t="shared" ref="W271:W334" si="111">Wh*(A271&gt;Tmaj)</f>
        <v>26.059869160315937</v>
      </c>
      <c r="X271" s="157">
        <f t="shared" ref="X271:X334" si="112">t</f>
        <v>46644</v>
      </c>
      <c r="Y271" s="385">
        <f t="shared" ref="Y271:Y334" si="113">Wh_pvt_s*(1-Ppv)</f>
        <v>23.07451736974777</v>
      </c>
      <c r="Z271" s="385">
        <f t="shared" ref="Z271:Z334" si="114">Wh_sa_s*(1-Psa_s)</f>
        <v>25.516465360166002</v>
      </c>
      <c r="AA271" s="386">
        <f t="shared" ref="AA271:AA334" si="115">Wh_hp*(1-Pvg_s*MEDIAN((-Sdif+Wh/Env_an)/Csdif,0,1))</f>
        <v>29.59018945389397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0.13767144343821971</v>
      </c>
      <c r="AD271" s="231">
        <f>(INDEX(Models!$BJ271:$BT271,,AH271)*(1-AF271)+INDEX(Models!$BJ271:$BT271,,AH271+1)*AF271-ERP_i)*AE271*Ramure*Pc/MaxiM</f>
        <v>0.12072211670274234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0.78885666498275153</v>
      </c>
      <c r="AG271" s="809">
        <f t="shared" si="99"/>
        <v>4</v>
      </c>
      <c r="AH271" s="176">
        <f t="shared" ref="AH271:AH334" si="119">MIN(MATCH(Hp_vg_s,Echel_vg),10)</f>
        <v>10</v>
      </c>
      <c r="AI271" s="225">
        <f t="shared" ref="AI271:AI334" si="120">IF(OR(t&lt;Ttai,Notai),Hdd_s+PousH*Croivg,Hdtai_s+PousH*(Croivg-Croi_tai))</f>
        <v>4.7888566649827515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IF(t&gt;Tmaj,'2026'!Wh/'2026'!Env_an*'2027'!Env_an,0.001*'[11]mon-tableau (3)'!$B$150)</f>
        <v>28.387797107637024</v>
      </c>
      <c r="C272" s="839"/>
      <c r="D272" s="393">
        <f t="shared" si="102"/>
        <v>31.392790614298761</v>
      </c>
      <c r="E272" s="385">
        <f t="shared" si="100"/>
        <v>32.991789975831601</v>
      </c>
      <c r="F272" s="385">
        <f t="shared" si="103"/>
        <v>35.373136662597389</v>
      </c>
      <c r="G272" s="110">
        <f t="shared" si="101"/>
        <v>0.81548735184261445</v>
      </c>
      <c r="H272" s="414" t="b">
        <f>Wh_hp&gt;='2026'!Maxi_hp</f>
        <v>0</v>
      </c>
      <c r="I272" s="390">
        <f>IF(H272,Wh_hp,'2026'!Maxi_hp)</f>
        <v>40.691044739305312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9.5722407847775887E-2</v>
      </c>
      <c r="M272" s="843"/>
      <c r="N272" s="843"/>
      <c r="O272" s="48">
        <f>IF(t&lt;Tnet,'2026'!Resal+('2026'!Salim-'2026'!Resal)*(1-EXP(('2026'!Tnet-t)/('2026'!Tau_j))),Resal+(Salim-Resal)*(1-EXP((Tnet-t)/(Tau_j))))*Salcycl</f>
        <v>4.8466584041187269E-2</v>
      </c>
      <c r="P272" s="169">
        <f>(INDEX(Models!$BJ272:$BT272,,T272)*(1-R272)+INDEX(Models!$BJ272:$BT272,,T272+1)*R272-ERP_i)*Q272*Ramure*Pc/MaxiM</f>
        <v>8.821874410126597E-2</v>
      </c>
      <c r="Q272" s="305">
        <f t="shared" si="105"/>
        <v>0.8</v>
      </c>
      <c r="R272" s="177">
        <f t="shared" si="106"/>
        <v>0.58859084974972564</v>
      </c>
      <c r="S272" s="809">
        <f t="shared" si="107"/>
        <v>3</v>
      </c>
      <c r="T272" s="176">
        <f t="shared" si="108"/>
        <v>9</v>
      </c>
      <c r="U272" s="251">
        <f t="shared" si="109"/>
        <v>3.5885908497497256</v>
      </c>
      <c r="V272" s="383">
        <f t="shared" si="110"/>
        <v>34.030851506078989</v>
      </c>
      <c r="W272" s="402">
        <f t="shared" si="111"/>
        <v>28.387797107637024</v>
      </c>
      <c r="X272" s="157">
        <f t="shared" si="112"/>
        <v>46645</v>
      </c>
      <c r="Y272" s="385">
        <f t="shared" si="113"/>
        <v>25.060161642540468</v>
      </c>
      <c r="Z272" s="385">
        <f t="shared" si="114"/>
        <v>27.71290791680028</v>
      </c>
      <c r="AA272" s="386">
        <f t="shared" si="115"/>
        <v>32.138933937996839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0.13771539621492573</v>
      </c>
      <c r="AD272" s="231">
        <f>(INDEX(Models!$BJ272:$BT272,,AH272)*(1-AF272)+INDEX(Models!$BJ272:$BT272,,AH272+1)*AF272-ERP_i)*AE272*Ramure*Pc/MaxiM</f>
        <v>0.11981342494933188</v>
      </c>
      <c r="AE272" s="305">
        <f t="shared" si="117"/>
        <v>0.8</v>
      </c>
      <c r="AF272" s="177">
        <f t="shared" si="118"/>
        <v>0.78930759691462971</v>
      </c>
      <c r="AG272" s="809">
        <f t="shared" ref="AG272:AG335" si="124">INDEX(Echel_vg,AH272)</f>
        <v>4</v>
      </c>
      <c r="AH272" s="176">
        <f t="shared" si="119"/>
        <v>10</v>
      </c>
      <c r="AI272" s="225">
        <f t="shared" si="120"/>
        <v>4.7893075969146297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IF(t&gt;Tmaj,'2026'!Wh/'2026'!Env_an*'2027'!Env_an,0.001*'[11]mon-tableau (3)'!$B$151)</f>
        <v>26.255632826309199</v>
      </c>
      <c r="C273" s="839"/>
      <c r="D273" s="393">
        <f t="shared" si="102"/>
        <v>29.035617315371113</v>
      </c>
      <c r="E273" s="385">
        <f t="shared" si="100"/>
        <v>30.52048282641271</v>
      </c>
      <c r="F273" s="385">
        <f t="shared" si="103"/>
        <v>32.484665458133058</v>
      </c>
      <c r="G273" s="110">
        <f t="shared" si="101"/>
        <v>0.75589315483684683</v>
      </c>
      <c r="H273" s="414" t="b">
        <f>Wh_hp&gt;='2026'!Maxi_hp</f>
        <v>0</v>
      </c>
      <c r="I273" s="390">
        <f>IF(H273,Wh_hp,'2026'!Maxi_hp)</f>
        <v>39.509966115704373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9.5743942994806736E-2</v>
      </c>
      <c r="M273" s="843"/>
      <c r="N273" s="843"/>
      <c r="O273" s="48">
        <f>IF(t&lt;Tnet,'2026'!Resal+('2026'!Salim-'2026'!Resal)*(1-EXP(('2026'!Tnet-t)/('2026'!Tau_j))),Resal+(Salim-Resal)*(1-EXP((Tnet-t)/(Tau_j))))*Salcycl</f>
        <v>4.8651442360426331E-2</v>
      </c>
      <c r="P273" s="169">
        <f>(INDEX(Models!$BJ273:$BT273,,T273)*(1-R273)+INDEX(Models!$BJ273:$BT273,,T273+1)*R273-ERP_i)*Q273*Ramure*Pc/MaxiM</f>
        <v>8.8358211331222097E-2</v>
      </c>
      <c r="Q273" s="305">
        <f t="shared" si="105"/>
        <v>0.8</v>
      </c>
      <c r="R273" s="177">
        <f t="shared" si="106"/>
        <v>0.5890242749560004</v>
      </c>
      <c r="S273" s="809">
        <f t="shared" si="107"/>
        <v>3</v>
      </c>
      <c r="T273" s="176">
        <f t="shared" si="108"/>
        <v>9</v>
      </c>
      <c r="U273" s="251">
        <f t="shared" si="109"/>
        <v>3.5890242749560004</v>
      </c>
      <c r="V273" s="383">
        <f t="shared" si="110"/>
        <v>33.703367906418769</v>
      </c>
      <c r="W273" s="402">
        <f t="shared" si="111"/>
        <v>26.255632826309199</v>
      </c>
      <c r="X273" s="157">
        <f t="shared" si="112"/>
        <v>46646</v>
      </c>
      <c r="Y273" s="385">
        <f t="shared" si="113"/>
        <v>23.269310074446757</v>
      </c>
      <c r="Z273" s="385">
        <f t="shared" si="114"/>
        <v>25.733098378696422</v>
      </c>
      <c r="AA273" s="386">
        <f t="shared" si="115"/>
        <v>29.844406543730283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0.137758080697958</v>
      </c>
      <c r="AD273" s="231">
        <f>(INDEX(Models!$BJ273:$BT273,,AH273)*(1-AF273)+INDEX(Models!$BJ273:$BT273,,AH273+1)*AF273-ERP_i)*AE273*Ramure*Pc/MaxiM</f>
        <v>0.11877131553882812</v>
      </c>
      <c r="AE273" s="305">
        <f t="shared" si="117"/>
        <v>0.8</v>
      </c>
      <c r="AF273" s="177">
        <f t="shared" si="118"/>
        <v>0.78974102212090447</v>
      </c>
      <c r="AG273" s="809">
        <f t="shared" si="124"/>
        <v>4</v>
      </c>
      <c r="AH273" s="176">
        <f t="shared" si="119"/>
        <v>10</v>
      </c>
      <c r="AI273" s="225">
        <f t="shared" si="120"/>
        <v>4.7897410221209045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IF(t&gt;Tmaj,'2026'!Wh/'2026'!Env_an*'2027'!Env_an,0.001*'[11]mon-tableau (3)'!$B$152)</f>
        <v>33.07106610443963</v>
      </c>
      <c r="C274" s="839"/>
      <c r="D274" s="393">
        <f t="shared" si="102"/>
        <v>36.573549545698654</v>
      </c>
      <c r="E274" s="385">
        <f t="shared" si="100"/>
        <v>38.451341208162567</v>
      </c>
      <c r="F274" s="385">
        <f t="shared" si="103"/>
        <v>42.124959236481722</v>
      </c>
      <c r="G274" s="110">
        <f t="shared" si="101"/>
        <v>0.98953637357404356</v>
      </c>
      <c r="H274" s="414" t="b">
        <f>Wh_hp&gt;='2026'!Maxi_hp</f>
        <v>0</v>
      </c>
      <c r="I274" s="390">
        <f>IF(H274,Wh_hp,'2026'!Maxi_hp)</f>
        <v>42.174056181974457</v>
      </c>
      <c r="J274" s="85">
        <f>IF(H274,An,'2026'!An_max)</f>
        <v>2022</v>
      </c>
      <c r="K274" s="197">
        <f t="shared" si="104"/>
        <v>46647</v>
      </c>
      <c r="L274" s="147">
        <f>IF(t&lt;Tvie,1-EXP((T0-t)*PertePVj)+'2026'!Pspv,1-EXP((T0-t)*PertePVj)+Pspv)</f>
        <v>9.5765477640683244E-2</v>
      </c>
      <c r="M274" s="843"/>
      <c r="N274" s="843"/>
      <c r="O274" s="48">
        <f>IF(t&lt;Tnet,'2026'!Resal+('2026'!Salim-'2026'!Resal)*(1-EXP(('2026'!Tnet-t)/('2026'!Tau_j))),Resal+(Salim-Resal)*(1-EXP((Tnet-t)/(Tau_j))))*Salcycl</f>
        <v>4.8835530919407642E-2</v>
      </c>
      <c r="P274" s="169">
        <f>(INDEX(Models!$BJ274:$BT274,,T274)*(1-R274)+INDEX(Models!$BJ274:$BT274,,T274+1)*R274-ERP_i)*Q274*Ramure*Pc/MaxiM</f>
        <v>8.8369387512595973E-2</v>
      </c>
      <c r="Q274" s="305">
        <f t="shared" si="105"/>
        <v>0.8</v>
      </c>
      <c r="R274" s="177">
        <f t="shared" si="106"/>
        <v>0.58944084841011879</v>
      </c>
      <c r="S274" s="809">
        <f t="shared" si="107"/>
        <v>3</v>
      </c>
      <c r="T274" s="176">
        <f t="shared" si="108"/>
        <v>9</v>
      </c>
      <c r="U274" s="251">
        <f t="shared" si="109"/>
        <v>3.5894408484101188</v>
      </c>
      <c r="V274" s="383">
        <f t="shared" si="110"/>
        <v>33.378232367783973</v>
      </c>
      <c r="W274" s="402">
        <f t="shared" si="111"/>
        <v>33.07106610443963</v>
      </c>
      <c r="X274" s="157">
        <f t="shared" si="112"/>
        <v>46647</v>
      </c>
      <c r="Y274" s="385">
        <f t="shared" si="113"/>
        <v>29.030770316389876</v>
      </c>
      <c r="Z274" s="385">
        <f t="shared" si="114"/>
        <v>32.105354969906671</v>
      </c>
      <c r="AA274" s="386">
        <f t="shared" si="115"/>
        <v>37.236528147763345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0.13779945212655073</v>
      </c>
      <c r="AD274" s="231">
        <f>(INDEX(Models!$BJ274:$BT274,,AH274)*(1-AF274)+INDEX(Models!$BJ274:$BT274,,AH274+1)*AF274-ERP_i)*AE274*Ramure*Pc/MaxiM</f>
        <v>0.1175918829550249</v>
      </c>
      <c r="AE274" s="305">
        <f t="shared" si="117"/>
        <v>0.8</v>
      </c>
      <c r="AF274" s="177">
        <f t="shared" si="118"/>
        <v>0.79015759557502196</v>
      </c>
      <c r="AG274" s="809">
        <f t="shared" si="124"/>
        <v>4</v>
      </c>
      <c r="AH274" s="176">
        <f t="shared" si="119"/>
        <v>10</v>
      </c>
      <c r="AI274" s="225">
        <f t="shared" si="120"/>
        <v>4.790157595575022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IF(t&gt;Tmaj,'2026'!Wh/'2026'!Env_an*'2027'!Env_an,0.001*'[11]mon-tableau (3)'!$B$153)</f>
        <v>33.153576826731786</v>
      </c>
      <c r="C275" s="839"/>
      <c r="D275" s="393">
        <f t="shared" si="102"/>
        <v>36.665671980885058</v>
      </c>
      <c r="E275" s="385">
        <f t="shared" si="100"/>
        <v>38.555623517712249</v>
      </c>
      <c r="F275" s="385">
        <f t="shared" si="103"/>
        <v>42.28779075370737</v>
      </c>
      <c r="G275" s="110">
        <f t="shared" si="101"/>
        <v>1.0030596920998258</v>
      </c>
      <c r="H275" s="414" t="b">
        <f>Wh_hp&gt;='2026'!Maxi_hp</f>
        <v>1</v>
      </c>
      <c r="I275" s="390">
        <f>IF(H275,Wh_hp,'2026'!Maxi_hp)</f>
        <v>42.28779075370737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9.578701178541707E-2</v>
      </c>
      <c r="M275" s="843"/>
      <c r="N275" s="843"/>
      <c r="O275" s="48">
        <f>IF(t&lt;Tnet,'2026'!Resal+('2026'!Salim-'2026'!Resal)*(1-EXP(('2026'!Tnet-t)/('2026'!Tau_j))),Resal+(Salim-Resal)*(1-EXP((Tnet-t)/(Tau_j))))*Salcycl</f>
        <v>4.9018829534917402E-2</v>
      </c>
      <c r="P275" s="169">
        <f>(INDEX(Models!$BJ275:$BT275,,T275)*(1-R275)+INDEX(Models!$BJ275:$BT275,,T275+1)*R275-ERP_i)*Q275*Ramure*Pc/MaxiM</f>
        <v>8.8256377774190584E-2</v>
      </c>
      <c r="Q275" s="305">
        <f t="shared" si="105"/>
        <v>0.8</v>
      </c>
      <c r="R275" s="177">
        <f t="shared" si="106"/>
        <v>0.58984120250194794</v>
      </c>
      <c r="S275" s="809">
        <f t="shared" si="107"/>
        <v>3</v>
      </c>
      <c r="T275" s="176">
        <f t="shared" si="108"/>
        <v>9</v>
      </c>
      <c r="U275" s="251">
        <f t="shared" si="109"/>
        <v>3.5898412025019479</v>
      </c>
      <c r="V275" s="383">
        <f t="shared" si="110"/>
        <v>33.052446517243062</v>
      </c>
      <c r="W275" s="402">
        <f t="shared" si="111"/>
        <v>33.153576826731786</v>
      </c>
      <c r="X275" s="157">
        <f t="shared" si="112"/>
        <v>46648</v>
      </c>
      <c r="Y275" s="385">
        <f t="shared" si="113"/>
        <v>29.133183781919946</v>
      </c>
      <c r="Z275" s="385">
        <f t="shared" si="114"/>
        <v>32.219382116424782</v>
      </c>
      <c r="AA275" s="386">
        <f t="shared" si="115"/>
        <v>37.3705137238682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0.13783946470485459</v>
      </c>
      <c r="AD275" s="231">
        <f>(INDEX(Models!$BJ275:$BT275,,AH275)*(1-AF275)+INDEX(Models!$BJ275:$BT275,,AH275+1)*AF275-ERP_i)*AE275*Ramure*Pc/MaxiM</f>
        <v>0.11628124671913896</v>
      </c>
      <c r="AE275" s="305">
        <f t="shared" si="117"/>
        <v>0.8</v>
      </c>
      <c r="AF275" s="177">
        <f t="shared" si="118"/>
        <v>0.79055794966685156</v>
      </c>
      <c r="AG275" s="809">
        <f t="shared" si="124"/>
        <v>4</v>
      </c>
      <c r="AH275" s="176">
        <f t="shared" si="119"/>
        <v>10</v>
      </c>
      <c r="AI275" s="225">
        <f t="shared" si="120"/>
        <v>4.7905579496668516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IF(t&gt;Tmaj,'2026'!Wh/'2026'!Env_an*'2027'!Env_an,0.001*'[11]mon-tableau (3)'!$B$154)</f>
        <v>31.706985600967617</v>
      </c>
      <c r="C276" s="839"/>
      <c r="D276" s="393">
        <f t="shared" si="102"/>
        <v>35.066672484769185</v>
      </c>
      <c r="E276" s="385">
        <f t="shared" si="100"/>
        <v>36.881280054584906</v>
      </c>
      <c r="F276" s="385">
        <f t="shared" si="103"/>
        <v>40.266788033695775</v>
      </c>
      <c r="G276" s="110">
        <f t="shared" si="101"/>
        <v>0.96475694633185605</v>
      </c>
      <c r="H276" s="414" t="b">
        <f>Wh_hp&gt;='2026'!Maxi_hp</f>
        <v>0</v>
      </c>
      <c r="I276" s="390">
        <f>IF(H276,Wh_hp,'2026'!Maxi_hp)</f>
        <v>40.423517538055499</v>
      </c>
      <c r="J276" s="85">
        <f>IF(H276,An,'2026'!An_max)</f>
        <v>2022</v>
      </c>
      <c r="K276" s="197">
        <f t="shared" si="104"/>
        <v>46649</v>
      </c>
      <c r="L276" s="147">
        <f>IF(t&lt;Tvie,1-EXP((T0-t)*PertePVj)+'2026'!Pspv,1-EXP((T0-t)*PertePVj)+Pspv)</f>
        <v>9.580854542901987E-2</v>
      </c>
      <c r="M276" s="843"/>
      <c r="N276" s="843"/>
      <c r="O276" s="48">
        <f>IF(t&lt;Tnet,'2026'!Resal+('2026'!Salim-'2026'!Resal)*(1-EXP(('2026'!Tnet-t)/('2026'!Tau_j))),Resal+(Salim-Resal)*(1-EXP((Tnet-t)/(Tau_j))))*Salcycl</f>
        <v>4.9201317501184082E-2</v>
      </c>
      <c r="P276" s="169">
        <f>(INDEX(Models!$BJ276:$BT276,,T276)*(1-R276)+INDEX(Models!$BJ276:$BT276,,T276+1)*R276-ERP_i)*Q276*Ramure*Pc/MaxiM</f>
        <v>8.7986935746466086E-2</v>
      </c>
      <c r="Q276" s="305">
        <f t="shared" si="105"/>
        <v>0.8</v>
      </c>
      <c r="R276" s="177">
        <f t="shared" si="106"/>
        <v>0.5902259476650622</v>
      </c>
      <c r="S276" s="809">
        <f t="shared" si="107"/>
        <v>3</v>
      </c>
      <c r="T276" s="176">
        <f t="shared" si="108"/>
        <v>9</v>
      </c>
      <c r="U276" s="251">
        <f t="shared" si="109"/>
        <v>3.5902259476650622</v>
      </c>
      <c r="V276" s="383">
        <f t="shared" si="110"/>
        <v>32.724958414387906</v>
      </c>
      <c r="W276" s="402">
        <f t="shared" si="111"/>
        <v>31.706985600967617</v>
      </c>
      <c r="X276" s="157">
        <f t="shared" si="112"/>
        <v>46649</v>
      </c>
      <c r="Y276" s="385">
        <f t="shared" si="113"/>
        <v>27.943784625789863</v>
      </c>
      <c r="Z276" s="385">
        <f t="shared" si="114"/>
        <v>30.904720990808968</v>
      </c>
      <c r="AA276" s="386">
        <f t="shared" si="115"/>
        <v>35.847274008473541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0.13787807174671798</v>
      </c>
      <c r="AD276" s="231">
        <f>(INDEX(Models!$BJ276:$BT276,,AH276)*(1-AF276)+INDEX(Models!$BJ276:$BT276,,AH276+1)*AF276-ERP_i)*AE276*Ramure*Pc/MaxiM</f>
        <v>0.11486001479457739</v>
      </c>
      <c r="AE276" s="305">
        <f t="shared" si="117"/>
        <v>0.8</v>
      </c>
      <c r="AF276" s="177">
        <f t="shared" si="118"/>
        <v>0.79094269482996538</v>
      </c>
      <c r="AG276" s="809">
        <f t="shared" si="124"/>
        <v>4</v>
      </c>
      <c r="AH276" s="176">
        <f t="shared" si="119"/>
        <v>10</v>
      </c>
      <c r="AI276" s="225">
        <f t="shared" si="120"/>
        <v>4.7909426948299654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IF(t&gt;Tmaj,'2026'!Wh/'2026'!Env_an*'2027'!Env_an,0.001*'[11]mon-tableau (3)'!$B$155)</f>
        <v>32.404390421688625</v>
      </c>
      <c r="C277" s="839"/>
      <c r="D277" s="393">
        <f t="shared" si="102"/>
        <v>35.838828138070525</v>
      </c>
      <c r="E277" s="385">
        <f t="shared" si="100"/>
        <v>37.700595659998683</v>
      </c>
      <c r="F277" s="385">
        <f t="shared" si="103"/>
        <v>41.321180250587048</v>
      </c>
      <c r="G277" s="110">
        <f t="shared" si="101"/>
        <v>1.000301821578065</v>
      </c>
      <c r="H277" s="414" t="b">
        <f>Wh_hp&gt;='2026'!Maxi_hp</f>
        <v>1</v>
      </c>
      <c r="I277" s="390">
        <f>IF(H277,Wh_hp,'2026'!Maxi_hp)</f>
        <v>41.321180250587048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9.5830078571503302E-2</v>
      </c>
      <c r="M277" s="843"/>
      <c r="N277" s="843"/>
      <c r="O277" s="48">
        <f>IF(t&lt;Tnet,'2026'!Resal+('2026'!Salim-'2026'!Resal)*(1-EXP(('2026'!Tnet-t)/('2026'!Tau_j))),Resal+(Salim-Resal)*(1-EXP((Tnet-t)/(Tau_j))))*Salcycl</f>
        <v>4.9382973646316691E-2</v>
      </c>
      <c r="P277" s="169">
        <f>(INDEX(Models!$BJ277:$BT277,,T277)*(1-R277)+INDEX(Models!$BJ277:$BT277,,T277+1)*R277-ERP_i)*Q277*Ramure*Pc/MaxiM</f>
        <v>8.762055121929703E-2</v>
      </c>
      <c r="Q277" s="305">
        <f t="shared" si="105"/>
        <v>0.8</v>
      </c>
      <c r="R277" s="177">
        <f t="shared" si="106"/>
        <v>0.5905956729991324</v>
      </c>
      <c r="S277" s="809">
        <f t="shared" si="107"/>
        <v>3</v>
      </c>
      <c r="T277" s="176">
        <f t="shared" si="108"/>
        <v>9</v>
      </c>
      <c r="U277" s="251">
        <f t="shared" si="109"/>
        <v>3.5905956729991324</v>
      </c>
      <c r="V277" s="383">
        <f t="shared" si="110"/>
        <v>32.394613028463567</v>
      </c>
      <c r="W277" s="402">
        <f t="shared" si="111"/>
        <v>32.404390421688625</v>
      </c>
      <c r="X277" s="157">
        <f t="shared" si="112"/>
        <v>46650</v>
      </c>
      <c r="Y277" s="385">
        <f t="shared" si="113"/>
        <v>28.555884372153397</v>
      </c>
      <c r="Z277" s="385">
        <f t="shared" si="114"/>
        <v>31.582431239294046</v>
      </c>
      <c r="AA277" s="386">
        <f t="shared" si="115"/>
        <v>36.634948425171892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0.13791522584500929</v>
      </c>
      <c r="AD277" s="231">
        <f>(INDEX(Models!$BJ277:$BT277,,AH277)*(1-AF277)+INDEX(Models!$BJ277:$BT277,,AH277+1)*AF277-ERP_i)*AE277*Ramure*Pc/MaxiM</f>
        <v>0.11340992190920247</v>
      </c>
      <c r="AE277" s="305">
        <f t="shared" si="117"/>
        <v>0.8</v>
      </c>
      <c r="AF277" s="177">
        <f t="shared" si="118"/>
        <v>0.79131242016403647</v>
      </c>
      <c r="AG277" s="809">
        <f t="shared" si="124"/>
        <v>4</v>
      </c>
      <c r="AH277" s="176">
        <f t="shared" si="119"/>
        <v>10</v>
      </c>
      <c r="AI277" s="225">
        <f t="shared" si="120"/>
        <v>4.7913124201640365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IF(t&gt;Tmaj,'2026'!Wh/'2026'!Env_an*'2027'!Env_an,0.001*'[11]mon-tableau (3)'!$B$156)</f>
        <v>31.565086216574361</v>
      </c>
      <c r="C278" s="839"/>
      <c r="D278" s="393">
        <f t="shared" si="102"/>
        <v>34.911400172838519</v>
      </c>
      <c r="E278" s="385">
        <f t="shared" si="100"/>
        <v>36.7319755980689</v>
      </c>
      <c r="F278" s="385">
        <f t="shared" si="103"/>
        <v>40.153869821202242</v>
      </c>
      <c r="G278" s="110">
        <f t="shared" si="101"/>
        <v>0.98240292327930157</v>
      </c>
      <c r="H278" s="414" t="b">
        <f>Wh_hp&gt;='2026'!Maxi_hp</f>
        <v>0</v>
      </c>
      <c r="I278" s="390">
        <f>IF(H278,Wh_hp,'2026'!Maxi_hp)</f>
        <v>40.230485089809569</v>
      </c>
      <c r="J278" s="85">
        <f>IF(H278,An,'2026'!An_max)</f>
        <v>2022</v>
      </c>
      <c r="K278" s="197">
        <f t="shared" si="104"/>
        <v>46651</v>
      </c>
      <c r="L278" s="147">
        <f>IF(t&lt;Tvie,1-EXP((T0-t)*PertePVj)+'2026'!Pspv,1-EXP((T0-t)*PertePVj)+Pspv)</f>
        <v>9.5851611212879134E-2</v>
      </c>
      <c r="M278" s="843"/>
      <c r="N278" s="843"/>
      <c r="O278" s="48">
        <f>IF(t&lt;Tnet,'2026'!Resal+('2026'!Salim-'2026'!Resal)*(1-EXP(('2026'!Tnet-t)/('2026'!Tau_j))),Resal+(Salim-Resal)*(1-EXP((Tnet-t)/(Tau_j))))*Salcycl</f>
        <v>4.9563776398841193E-2</v>
      </c>
      <c r="P278" s="169">
        <f>(INDEX(Models!$BJ278:$BT278,,T278)*(1-R278)+INDEX(Models!$BJ278:$BT278,,T278+1)*R278-ERP_i)*Q278*Ramure*Pc/MaxiM</f>
        <v>8.7151545488971235E-2</v>
      </c>
      <c r="Q278" s="305">
        <f t="shared" si="105"/>
        <v>0.8</v>
      </c>
      <c r="R278" s="177">
        <f t="shared" si="106"/>
        <v>0.59095094688623773</v>
      </c>
      <c r="S278" s="809">
        <f t="shared" si="107"/>
        <v>3</v>
      </c>
      <c r="T278" s="176">
        <f t="shared" si="108"/>
        <v>9</v>
      </c>
      <c r="U278" s="251">
        <f t="shared" si="109"/>
        <v>3.5909509468862377</v>
      </c>
      <c r="V278" s="383">
        <f t="shared" si="110"/>
        <v>32.062629602490674</v>
      </c>
      <c r="W278" s="402">
        <f t="shared" si="111"/>
        <v>31.565086216574361</v>
      </c>
      <c r="X278" s="157">
        <f t="shared" si="112"/>
        <v>46651</v>
      </c>
      <c r="Y278" s="385">
        <f t="shared" si="113"/>
        <v>27.871484699610679</v>
      </c>
      <c r="Z278" s="385">
        <f t="shared" si="114"/>
        <v>30.826228355059246</v>
      </c>
      <c r="AA278" s="386">
        <f t="shared" si="115"/>
        <v>35.759248059603351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0.13795087906551523</v>
      </c>
      <c r="AD278" s="231">
        <f>(INDEX(Models!$BJ278:$BT278,,AH278)*(1-AF278)+INDEX(Models!$BJ278:$BT278,,AH278+1)*AF278-ERP_i)*AE278*Ramure*Pc/MaxiM</f>
        <v>0.11192575029747896</v>
      </c>
      <c r="AE278" s="305">
        <f t="shared" si="117"/>
        <v>0.8</v>
      </c>
      <c r="AF278" s="177">
        <f t="shared" si="118"/>
        <v>0.79166769405114135</v>
      </c>
      <c r="AG278" s="809">
        <f t="shared" si="124"/>
        <v>4</v>
      </c>
      <c r="AH278" s="176">
        <f t="shared" si="119"/>
        <v>10</v>
      </c>
      <c r="AI278" s="225">
        <f t="shared" si="120"/>
        <v>4.7916676940511413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IF(t&gt;Tmaj,'2026'!Wh/'2026'!Env_an*'2027'!Env_an,0.001*'[11]mon-tableau (3)'!$B$157)</f>
        <v>30.501802420242512</v>
      </c>
      <c r="C279" s="839"/>
      <c r="D279" s="393">
        <f t="shared" si="102"/>
        <v>33.736197742610308</v>
      </c>
      <c r="E279" s="385">
        <f t="shared" si="100"/>
        <v>35.502209119588613</v>
      </c>
      <c r="F279" s="385">
        <f t="shared" si="103"/>
        <v>38.664413270672185</v>
      </c>
      <c r="G279" s="110">
        <f t="shared" si="101"/>
        <v>0.95627272736739033</v>
      </c>
      <c r="H279" s="414" t="b">
        <f>Wh_hp&gt;='2026'!Maxi_hp</f>
        <v>0</v>
      </c>
      <c r="I279" s="390">
        <f>IF(H279,Wh_hp,'2026'!Maxi_hp)</f>
        <v>38.846406402200635</v>
      </c>
      <c r="J279" s="85">
        <f>IF(H279,An,'2026'!An_max)</f>
        <v>2022</v>
      </c>
      <c r="K279" s="197">
        <f t="shared" si="104"/>
        <v>46652</v>
      </c>
      <c r="L279" s="147">
        <f>IF(t&lt;Tvie,1-EXP((T0-t)*PertePVj)+'2026'!Pspv,1-EXP((T0-t)*PertePVj)+Pspv)</f>
        <v>9.5873143353158913E-2</v>
      </c>
      <c r="M279" s="843"/>
      <c r="N279" s="843"/>
      <c r="O279" s="48">
        <f>IF(t&lt;Tnet,'2026'!Resal+('2026'!Salim-'2026'!Resal)*(1-EXP(('2026'!Tnet-t)/('2026'!Tau_j))),Resal+(Salim-Resal)*(1-EXP((Tnet-t)/(Tau_j))))*Salcycl</f>
        <v>4.9743703864441872E-2</v>
      </c>
      <c r="P279" s="169">
        <f>(INDEX(Models!$BJ279:$BT279,,T279)*(1-R279)+INDEX(Models!$BJ279:$BT279,,T279+1)*R279-ERP_i)*Q279*Ramure*Pc/MaxiM</f>
        <v>8.6574015853543032E-2</v>
      </c>
      <c r="Q279" s="305">
        <f t="shared" si="105"/>
        <v>0.8</v>
      </c>
      <c r="R279" s="177">
        <f t="shared" si="106"/>
        <v>0.59129231760001</v>
      </c>
      <c r="S279" s="809">
        <f t="shared" si="107"/>
        <v>3</v>
      </c>
      <c r="T279" s="176">
        <f t="shared" si="108"/>
        <v>9</v>
      </c>
      <c r="U279" s="251">
        <f t="shared" si="109"/>
        <v>3.59129231760001</v>
      </c>
      <c r="V279" s="383">
        <f t="shared" si="110"/>
        <v>31.730224269527692</v>
      </c>
      <c r="W279" s="402">
        <f t="shared" si="111"/>
        <v>30.501802420242512</v>
      </c>
      <c r="X279" s="157">
        <f t="shared" si="112"/>
        <v>46652</v>
      </c>
      <c r="Y279" s="385">
        <f t="shared" si="113"/>
        <v>26.991063305285873</v>
      </c>
      <c r="Z279" s="385">
        <f t="shared" si="114"/>
        <v>29.853181671196378</v>
      </c>
      <c r="AA279" s="386">
        <f t="shared" si="115"/>
        <v>34.631858016594329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0.13798498316515917</v>
      </c>
      <c r="AD279" s="231">
        <f>(INDEX(Models!$BJ279:$BT279,,AH279)*(1-AF279)+INDEX(Models!$BJ279:$BT279,,AH279+1)*AF279-ERP_i)*AE279*Ramure*Pc/MaxiM</f>
        <v>0.11040226557706463</v>
      </c>
      <c r="AE279" s="305">
        <f t="shared" si="117"/>
        <v>0.8</v>
      </c>
      <c r="AF279" s="177">
        <f t="shared" si="118"/>
        <v>0.79200906476491362</v>
      </c>
      <c r="AG279" s="809">
        <f t="shared" si="124"/>
        <v>4</v>
      </c>
      <c r="AH279" s="176">
        <f t="shared" si="119"/>
        <v>10</v>
      </c>
      <c r="AI279" s="225">
        <f t="shared" si="120"/>
        <v>4.7920090647649136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IF(t&gt;Tmaj,'2026'!Wh/'2026'!Env_an*'2027'!Env_an,0.001*'[11]mon-tableau (3)'!$B$158)</f>
        <v>19.752429809993941</v>
      </c>
      <c r="C280" s="839"/>
      <c r="D280" s="393">
        <f t="shared" si="102"/>
        <v>21.847487525667322</v>
      </c>
      <c r="E280" s="385">
        <f t="shared" si="100"/>
        <v>22.995485004757978</v>
      </c>
      <c r="F280" s="385">
        <f t="shared" si="103"/>
        <v>23.962998056852125</v>
      </c>
      <c r="G280" s="110">
        <f t="shared" si="101"/>
        <v>0.59925409869577739</v>
      </c>
      <c r="H280" s="414" t="b">
        <f>Wh_hp&gt;='2026'!Maxi_hp</f>
        <v>0</v>
      </c>
      <c r="I280" s="390">
        <f>IF(H280,Wh_hp,'2026'!Maxi_hp)</f>
        <v>37.625376650076369</v>
      </c>
      <c r="J280" s="85">
        <f>IF(H280,An,'2026'!An_max)</f>
        <v>2019</v>
      </c>
      <c r="K280" s="197">
        <f t="shared" si="104"/>
        <v>46653</v>
      </c>
      <c r="L280" s="147">
        <f>IF(t&lt;Tvie,1-EXP((T0-t)*PertePVj)+'2026'!Pspv,1-EXP((T0-t)*PertePVj)+Pspv)</f>
        <v>9.5894674992354295E-2</v>
      </c>
      <c r="M280" s="843"/>
      <c r="N280" s="843"/>
      <c r="O280" s="48">
        <f>IF(t&lt;Tnet,'2026'!Resal+('2026'!Salim-'2026'!Resal)*(1-EXP(('2026'!Tnet-t)/('2026'!Tau_j))),Resal+(Salim-Resal)*(1-EXP((Tnet-t)/(Tau_j))))*Salcycl</f>
        <v>4.9922733912901779E-2</v>
      </c>
      <c r="P280" s="169">
        <f>(INDEX(Models!$BJ280:$BT280,,T280)*(1-R280)+INDEX(Models!$BJ280:$BT280,,T280+1)*R280-ERP_i)*Q280*Ramure*Pc/MaxiM</f>
        <v>8.5882313528755888E-2</v>
      </c>
      <c r="Q280" s="305">
        <f t="shared" si="105"/>
        <v>0.8</v>
      </c>
      <c r="R280" s="177">
        <f t="shared" si="106"/>
        <v>0.59162031390668801</v>
      </c>
      <c r="S280" s="809">
        <f t="shared" si="107"/>
        <v>3</v>
      </c>
      <c r="T280" s="176">
        <f t="shared" si="108"/>
        <v>9</v>
      </c>
      <c r="U280" s="251">
        <f t="shared" si="109"/>
        <v>3.591620313906688</v>
      </c>
      <c r="V280" s="383">
        <f t="shared" si="110"/>
        <v>31.398594243511393</v>
      </c>
      <c r="W280" s="402">
        <f t="shared" si="111"/>
        <v>19.752429809993941</v>
      </c>
      <c r="X280" s="157">
        <f t="shared" si="112"/>
        <v>46653</v>
      </c>
      <c r="Y280" s="385">
        <f t="shared" si="113"/>
        <v>17.71939810208049</v>
      </c>
      <c r="Z280" s="385">
        <f t="shared" si="114"/>
        <v>19.598820637330771</v>
      </c>
      <c r="AA280" s="386">
        <f t="shared" si="115"/>
        <v>22.736912183468952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0.13801748983398704</v>
      </c>
      <c r="AD280" s="231">
        <f>(INDEX(Models!$BJ280:$BT280,,AH280)*(1-AF280)+INDEX(Models!$BJ280:$BT280,,AH280+1)*AF280-ERP_i)*AE280*Ramure*Pc/MaxiM</f>
        <v>0.10883480193177354</v>
      </c>
      <c r="AE280" s="305">
        <f t="shared" si="117"/>
        <v>0.8</v>
      </c>
      <c r="AF280" s="177">
        <f t="shared" si="118"/>
        <v>0.79233706107159207</v>
      </c>
      <c r="AG280" s="809">
        <f t="shared" si="124"/>
        <v>4</v>
      </c>
      <c r="AH280" s="176">
        <f t="shared" si="119"/>
        <v>10</v>
      </c>
      <c r="AI280" s="225">
        <f t="shared" si="120"/>
        <v>4.7923370610715921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IF(t&gt;Tmaj,'2026'!Wh/'2026'!Env_an*'2027'!Env_an,0.001*'[11]mon-tableau (3)'!$B$159)</f>
        <v>14.409974743544753</v>
      </c>
      <c r="C281" s="839"/>
      <c r="D281" s="393">
        <f t="shared" si="102"/>
        <v>15.938760147297135</v>
      </c>
      <c r="E281" s="385">
        <f t="shared" si="100"/>
        <v>16.779423427462778</v>
      </c>
      <c r="F281" s="385">
        <f t="shared" si="103"/>
        <v>17.120240261079857</v>
      </c>
      <c r="G281" s="110">
        <f t="shared" si="101"/>
        <v>0.43296946017817856</v>
      </c>
      <c r="H281" s="414" t="b">
        <f>Wh_hp&gt;='2026'!Maxi_hp</f>
        <v>0</v>
      </c>
      <c r="I281" s="390">
        <f>IF(H281,Wh_hp,'2026'!Maxi_hp)</f>
        <v>36.227444973424483</v>
      </c>
      <c r="J281" s="85">
        <f>IF(H281,An,'2026'!An_max)</f>
        <v>2018</v>
      </c>
      <c r="K281" s="197">
        <f t="shared" si="104"/>
        <v>46654</v>
      </c>
      <c r="L281" s="147">
        <f>IF(t&lt;Tvie,1-EXP((T0-t)*PertePVj)+'2026'!Pspv,1-EXP((T0-t)*PertePVj)+Pspv)</f>
        <v>9.5916206130476939E-2</v>
      </c>
      <c r="M281" s="843"/>
      <c r="N281" s="843"/>
      <c r="O281" s="48">
        <f>IF(t&lt;Tnet,'2026'!Resal+('2026'!Salim-'2026'!Resal)*(1-EXP(('2026'!Tnet-t)/('2026'!Tau_j))),Resal+(Salim-Resal)*(1-EXP((Tnet-t)/(Tau_j))))*Salcycl</f>
        <v>5.0100844275121896E-2</v>
      </c>
      <c r="P281" s="169">
        <f>(INDEX(Models!$BJ281:$BT281,,T281)*(1-R281)+INDEX(Models!$BJ281:$BT281,,T281+1)*R281-ERP_i)*Q281*Ramure*Pc/MaxiM</f>
        <v>8.5070369653621566E-2</v>
      </c>
      <c r="Q281" s="305">
        <f t="shared" si="105"/>
        <v>0.8</v>
      </c>
      <c r="R281" s="177">
        <f t="shared" si="106"/>
        <v>0.59193544565725142</v>
      </c>
      <c r="S281" s="809">
        <f t="shared" si="107"/>
        <v>3</v>
      </c>
      <c r="T281" s="176">
        <f t="shared" si="108"/>
        <v>9</v>
      </c>
      <c r="U281" s="251">
        <f t="shared" si="109"/>
        <v>3.5919354456572514</v>
      </c>
      <c r="V281" s="383">
        <f t="shared" si="110"/>
        <v>31.068942381315267</v>
      </c>
      <c r="W281" s="402">
        <f t="shared" si="111"/>
        <v>14.409974743544753</v>
      </c>
      <c r="X281" s="157">
        <f t="shared" si="112"/>
        <v>46654</v>
      </c>
      <c r="Y281" s="385">
        <f t="shared" si="113"/>
        <v>13.00666435205266</v>
      </c>
      <c r="Z281" s="385">
        <f t="shared" si="114"/>
        <v>14.386569519605585</v>
      </c>
      <c r="AA281" s="386">
        <f t="shared" si="115"/>
        <v>16.690692030846336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0.13804835096007192</v>
      </c>
      <c r="AD281" s="231">
        <f>(INDEX(Models!$BJ281:$BT281,,AH281)*(1-AF281)+INDEX(Models!$BJ281:$BT281,,AH281+1)*AF281-ERP_i)*AE281*Ramure*Pc/MaxiM</f>
        <v>0.10721837399346427</v>
      </c>
      <c r="AE281" s="305">
        <f t="shared" si="117"/>
        <v>0.8</v>
      </c>
      <c r="AF281" s="177">
        <f t="shared" si="118"/>
        <v>0.79265219282215504</v>
      </c>
      <c r="AG281" s="809">
        <f t="shared" si="124"/>
        <v>4</v>
      </c>
      <c r="AH281" s="176">
        <f t="shared" si="119"/>
        <v>10</v>
      </c>
      <c r="AI281" s="225">
        <f t="shared" si="120"/>
        <v>4.792652192822155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IF(t&gt;Tmaj,'2026'!Wh/'2026'!Env_an*'2027'!Env_an,0.001*'[11]mon-tableau (3)'!$B$160)</f>
        <v>26.542910279260528</v>
      </c>
      <c r="C282" s="839"/>
      <c r="D282" s="393">
        <f t="shared" si="102"/>
        <v>29.359604264817712</v>
      </c>
      <c r="E282" s="385">
        <f t="shared" si="100"/>
        <v>30.913893387620668</v>
      </c>
      <c r="F282" s="385">
        <f t="shared" si="103"/>
        <v>33.160093782035169</v>
      </c>
      <c r="G282" s="110">
        <f t="shared" si="101"/>
        <v>0.84821265486922992</v>
      </c>
      <c r="H282" s="414" t="b">
        <f>Wh_hp&gt;='2026'!Maxi_hp</f>
        <v>0</v>
      </c>
      <c r="I282" s="390">
        <f>IF(H282,Wh_hp,'2026'!Maxi_hp)</f>
        <v>37.737616608562853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9.5937736767538612E-2</v>
      </c>
      <c r="M282" s="843"/>
      <c r="N282" s="843"/>
      <c r="O282" s="48">
        <f>IF(t&lt;Tnet,'2026'!Resal+('2026'!Salim-'2026'!Resal)*(1-EXP(('2026'!Tnet-t)/('2026'!Tau_j))),Resal+(Salim-Resal)*(1-EXP((Tnet-t)/(Tau_j))))*Salcycl</f>
        <v>5.0278012649980969E-2</v>
      </c>
      <c r="P282" s="169">
        <f>(INDEX(Models!$BJ282:$BT282,,T282)*(1-R282)+INDEX(Models!$BJ282:$BT282,,T282+1)*R282-ERP_i)*Q282*Ramure*Pc/MaxiM</f>
        <v>8.4158519707723339E-2</v>
      </c>
      <c r="Q282" s="305">
        <f t="shared" si="105"/>
        <v>0.8</v>
      </c>
      <c r="R282" s="177">
        <f t="shared" si="106"/>
        <v>0.59223820436991348</v>
      </c>
      <c r="S282" s="809">
        <f t="shared" si="107"/>
        <v>3</v>
      </c>
      <c r="T282" s="176">
        <f t="shared" si="108"/>
        <v>9</v>
      </c>
      <c r="U282" s="251">
        <f t="shared" si="109"/>
        <v>3.5922382043699135</v>
      </c>
      <c r="V282" s="383">
        <f t="shared" si="110"/>
        <v>30.741577283668594</v>
      </c>
      <c r="W282" s="402">
        <f t="shared" si="111"/>
        <v>26.542910279260528</v>
      </c>
      <c r="X282" s="157">
        <f t="shared" si="112"/>
        <v>46655</v>
      </c>
      <c r="Y282" s="385">
        <f t="shared" si="113"/>
        <v>23.642545795965276</v>
      </c>
      <c r="Z282" s="385">
        <f t="shared" si="114"/>
        <v>26.15145743549974</v>
      </c>
      <c r="AA282" s="386">
        <f t="shared" si="115"/>
        <v>30.340846200711795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0.13807751891619208</v>
      </c>
      <c r="AD282" s="231">
        <f>(INDEX(Models!$BJ282:$BT282,,AH282)*(1-AF282)+INDEX(Models!$BJ282:$BT282,,AH282+1)*AF282-ERP_i)*AE282*Ramure*Pc/MaxiM</f>
        <v>0.10562891170518229</v>
      </c>
      <c r="AE282" s="305">
        <f t="shared" si="117"/>
        <v>0.8</v>
      </c>
      <c r="AF282" s="177">
        <f t="shared" si="118"/>
        <v>0.7929549515348171</v>
      </c>
      <c r="AG282" s="809">
        <f t="shared" si="124"/>
        <v>4</v>
      </c>
      <c r="AH282" s="176">
        <f t="shared" si="119"/>
        <v>10</v>
      </c>
      <c r="AI282" s="225">
        <f t="shared" si="120"/>
        <v>4.7929549515348171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IF(t&gt;Tmaj,'2026'!Wh/'2026'!Env_an*'2027'!Env_an,0.001*'[11]mon-tableau (3)'!$B$161)</f>
        <v>23.059911611921461</v>
      </c>
      <c r="C283" s="839"/>
      <c r="D283" s="393">
        <f t="shared" si="102"/>
        <v>25.507602442799751</v>
      </c>
      <c r="E283" s="385">
        <f t="shared" si="100"/>
        <v>26.862951628718513</v>
      </c>
      <c r="F283" s="385">
        <f t="shared" si="103"/>
        <v>28.410340042149699</v>
      </c>
      <c r="G283" s="110">
        <f t="shared" si="101"/>
        <v>0.73511689407108916</v>
      </c>
      <c r="H283" s="414" t="b">
        <f>Wh_hp&gt;='2026'!Maxi_hp</f>
        <v>0</v>
      </c>
      <c r="I283" s="390">
        <f>IF(H283,Wh_hp,'2026'!Maxi_hp)</f>
        <v>38.347746104915672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9.5959266903550972E-2</v>
      </c>
      <c r="M283" s="843"/>
      <c r="N283" s="843"/>
      <c r="O283" s="48">
        <f>IF(t&lt;Tnet,'2026'!Resal+('2026'!Salim-'2026'!Resal)*(1-EXP(('2026'!Tnet-t)/('2026'!Tau_j))),Resal+(Salim-Resal)*(1-EXP((Tnet-t)/(Tau_j))))*Salcycl</f>
        <v>5.0454216820678542E-2</v>
      </c>
      <c r="P283" s="169">
        <f>(INDEX(Models!$BJ283:$BT283,,T283)*(1-R283)+INDEX(Models!$BJ283:$BT283,,T283+1)*R283-ERP_i)*Q283*Ramure*Pc/MaxiM</f>
        <v>8.3213889276504499E-2</v>
      </c>
      <c r="Q283" s="305">
        <f t="shared" si="105"/>
        <v>0.8</v>
      </c>
      <c r="R283" s="177">
        <f t="shared" si="106"/>
        <v>0.59252906380236681</v>
      </c>
      <c r="S283" s="809">
        <f t="shared" si="107"/>
        <v>3</v>
      </c>
      <c r="T283" s="176">
        <f t="shared" si="108"/>
        <v>9</v>
      </c>
      <c r="U283" s="251">
        <f t="shared" si="109"/>
        <v>3.5925290638023668</v>
      </c>
      <c r="V283" s="383">
        <f t="shared" si="110"/>
        <v>30.415289994717465</v>
      </c>
      <c r="W283" s="402">
        <f t="shared" si="111"/>
        <v>23.059911611921461</v>
      </c>
      <c r="X283" s="157">
        <f t="shared" si="112"/>
        <v>46656</v>
      </c>
      <c r="Y283" s="385">
        <f t="shared" si="113"/>
        <v>20.628627768675528</v>
      </c>
      <c r="Z283" s="385">
        <f t="shared" si="114"/>
        <v>22.818250343676418</v>
      </c>
      <c r="AA283" s="386">
        <f t="shared" si="115"/>
        <v>26.474511323307507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0.13810494686684571</v>
      </c>
      <c r="AD283" s="231">
        <f>(INDEX(Models!$BJ283:$BT283,,AH283)*(1-AF283)+INDEX(Models!$BJ283:$BT283,,AH283+1)*AF283-ERP_i)*AE283*Ramure*Pc/MaxiM</f>
        <v>0.10410303920449757</v>
      </c>
      <c r="AE283" s="305">
        <f t="shared" si="117"/>
        <v>0.8</v>
      </c>
      <c r="AF283" s="177">
        <f t="shared" si="118"/>
        <v>0.79324581096727087</v>
      </c>
      <c r="AG283" s="809">
        <f t="shared" si="124"/>
        <v>4</v>
      </c>
      <c r="AH283" s="176">
        <f t="shared" si="119"/>
        <v>10</v>
      </c>
      <c r="AI283" s="225">
        <f t="shared" si="120"/>
        <v>4.7932458109672709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IF(t&gt;Tmaj,'2026'!Wh/'2026'!Env_an*'2027'!Env_an,0.001*'[11]mon-tableau (3)'!$B$162)</f>
        <v>14.957722280713533</v>
      </c>
      <c r="C284" s="839"/>
      <c r="D284" s="393">
        <f t="shared" si="102"/>
        <v>16.545801486783315</v>
      </c>
      <c r="E284" s="385">
        <f t="shared" si="100"/>
        <v>17.428180410196937</v>
      </c>
      <c r="F284" s="385">
        <f t="shared" si="103"/>
        <v>17.841235968679538</v>
      </c>
      <c r="G284" s="110">
        <f t="shared" si="101"/>
        <v>0.46701401596026776</v>
      </c>
      <c r="H284" s="414" t="b">
        <f>Wh_hp&gt;='2026'!Maxi_hp</f>
        <v>0</v>
      </c>
      <c r="I284" s="390">
        <f>IF(H284,Wh_hp,'2026'!Maxi_hp)</f>
        <v>36.969576410748687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9.5980796538525454E-2</v>
      </c>
      <c r="M284" s="843"/>
      <c r="N284" s="843"/>
      <c r="O284" s="48">
        <f>IF(t&lt;Tnet,'2026'!Resal+('2026'!Salim-'2026'!Resal)*(1-EXP(('2026'!Tnet-t)/('2026'!Tau_j))),Resal+(Salim-Resal)*(1-EXP((Tnet-t)/(Tau_j))))*Salcycl</f>
        <v>5.0629434780085025E-2</v>
      </c>
      <c r="P284" s="169">
        <f>(INDEX(Models!$BJ284:$BT284,,T284)*(1-R284)+INDEX(Models!$BJ284:$BT284,,T284+1)*R284-ERP_i)*Q284*Ramure*Pc/MaxiM</f>
        <v>8.2232564622720328E-2</v>
      </c>
      <c r="Q284" s="305">
        <f t="shared" si="105"/>
        <v>0.8</v>
      </c>
      <c r="R284" s="177">
        <f t="shared" si="106"/>
        <v>0.59280848051324986</v>
      </c>
      <c r="S284" s="809">
        <f t="shared" si="107"/>
        <v>3</v>
      </c>
      <c r="T284" s="176">
        <f t="shared" si="108"/>
        <v>9</v>
      </c>
      <c r="U284" s="251">
        <f t="shared" si="109"/>
        <v>3.5928084805132499</v>
      </c>
      <c r="V284" s="383">
        <f t="shared" si="110"/>
        <v>30.091309307151914</v>
      </c>
      <c r="W284" s="402">
        <f t="shared" si="111"/>
        <v>14.957722280713533</v>
      </c>
      <c r="X284" s="157">
        <f t="shared" si="112"/>
        <v>46657</v>
      </c>
      <c r="Y284" s="385">
        <f t="shared" si="113"/>
        <v>13.499242394884936</v>
      </c>
      <c r="Z284" s="385">
        <f t="shared" si="114"/>
        <v>14.932473052780914</v>
      </c>
      <c r="AA284" s="386">
        <f t="shared" si="115"/>
        <v>17.3256793475033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0.13813058909388487</v>
      </c>
      <c r="AD284" s="231">
        <f>(INDEX(Models!$BJ284:$BT284,,AH284)*(1-AF284)+INDEX(Models!$BJ284:$BT284,,AH284+1)*AF284-ERP_i)*AE284*Ramure*Pc/MaxiM</f>
        <v>0.10263883948999621</v>
      </c>
      <c r="AE284" s="305">
        <f t="shared" si="117"/>
        <v>0.8</v>
      </c>
      <c r="AF284" s="177">
        <f t="shared" si="118"/>
        <v>0.79352522767815348</v>
      </c>
      <c r="AG284" s="809">
        <f t="shared" si="124"/>
        <v>4</v>
      </c>
      <c r="AH284" s="176">
        <f t="shared" si="119"/>
        <v>10</v>
      </c>
      <c r="AI284" s="225">
        <f t="shared" si="120"/>
        <v>4.7935252276781535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IF(t&gt;Tmaj,'2026'!Wh/'2026'!Env_an*'2027'!Env_an,0.001*'[11]mon-tableau (3)'!$B$163)</f>
        <v>16.479549210296945</v>
      </c>
      <c r="C285" s="839"/>
      <c r="D285" s="393">
        <f t="shared" si="102"/>
        <v>18.22963673281118</v>
      </c>
      <c r="E285" s="385">
        <f t="shared" si="100"/>
        <v>19.205337898931287</v>
      </c>
      <c r="F285" s="385">
        <f t="shared" si="103"/>
        <v>19.78738828977994</v>
      </c>
      <c r="G285" s="110">
        <f t="shared" si="101"/>
        <v>0.52400616947603118</v>
      </c>
      <c r="H285" s="414" t="b">
        <f>Wh_hp&gt;='2026'!Maxi_hp</f>
        <v>0</v>
      </c>
      <c r="I285" s="390">
        <f>IF(H285,Wh_hp,'2026'!Maxi_hp)</f>
        <v>35.211477825551697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9.6002325672474048E-2</v>
      </c>
      <c r="M285" s="843"/>
      <c r="N285" s="843"/>
      <c r="O285" s="48">
        <f>IF(t&lt;Tnet,'2026'!Resal+('2026'!Salim-'2026'!Resal)*(1-EXP(('2026'!Tnet-t)/('2026'!Tau_j))),Resal+(Salim-Resal)*(1-EXP((Tnet-t)/(Tau_j))))*Salcycl</f>
        <v>5.0803644864504081E-2</v>
      </c>
      <c r="P285" s="169">
        <f>(INDEX(Models!$BJ285:$BT285,,T285)*(1-R285)+INDEX(Models!$BJ285:$BT285,,T285+1)*R285-ERP_i)*Q285*Ramure*Pc/MaxiM</f>
        <v>8.1210641596642583E-2</v>
      </c>
      <c r="Q285" s="305">
        <f t="shared" si="105"/>
        <v>0.8</v>
      </c>
      <c r="R285" s="177">
        <f t="shared" si="106"/>
        <v>0.59307689441239386</v>
      </c>
      <c r="S285" s="809">
        <f t="shared" si="107"/>
        <v>3</v>
      </c>
      <c r="T285" s="176">
        <f t="shared" si="108"/>
        <v>9</v>
      </c>
      <c r="U285" s="251">
        <f t="shared" si="109"/>
        <v>3.5930768944123939</v>
      </c>
      <c r="V285" s="383">
        <f t="shared" si="110"/>
        <v>29.770861844904768</v>
      </c>
      <c r="W285" s="402">
        <f t="shared" si="111"/>
        <v>16.479549210296945</v>
      </c>
      <c r="X285" s="157">
        <f t="shared" si="112"/>
        <v>46658</v>
      </c>
      <c r="Y285" s="385">
        <f t="shared" si="113"/>
        <v>14.851189023018222</v>
      </c>
      <c r="Z285" s="385">
        <f t="shared" si="114"/>
        <v>16.428348705726329</v>
      </c>
      <c r="AA285" s="386">
        <f t="shared" si="115"/>
        <v>19.061823522967241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0.13815440133877474</v>
      </c>
      <c r="AD285" s="231">
        <f>(INDEX(Models!$BJ285:$BT285,,AH285)*(1-AF285)+INDEX(Models!$BJ285:$BT285,,AH285+1)*AF285-ERP_i)*AE285*Ramure*Pc/MaxiM</f>
        <v>0.10123449989762004</v>
      </c>
      <c r="AE285" s="305">
        <f t="shared" si="117"/>
        <v>0.8</v>
      </c>
      <c r="AF285" s="177">
        <f t="shared" si="118"/>
        <v>0.79379364157729793</v>
      </c>
      <c r="AG285" s="809">
        <f t="shared" si="124"/>
        <v>4</v>
      </c>
      <c r="AH285" s="176">
        <f t="shared" si="119"/>
        <v>10</v>
      </c>
      <c r="AI285" s="225">
        <f t="shared" si="120"/>
        <v>4.7937936415772979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IF(t&gt;Tmaj,'2026'!Wh/'2026'!Env_an*'2027'!Env_an,0.001*'[11]mon-tableau (3)'!$B$164)</f>
        <v>19.038283544920553</v>
      </c>
      <c r="C286" s="839"/>
      <c r="D286" s="393">
        <f t="shared" si="102"/>
        <v>21.060603905971465</v>
      </c>
      <c r="E286" s="385">
        <f t="shared" si="100"/>
        <v>22.191875267783896</v>
      </c>
      <c r="F286" s="385">
        <f t="shared" si="103"/>
        <v>23.108207384950081</v>
      </c>
      <c r="G286" s="110">
        <f t="shared" si="101"/>
        <v>0.61909630288849349</v>
      </c>
      <c r="H286" s="414" t="b">
        <f>Wh_hp&gt;='2026'!Maxi_hp</f>
        <v>0</v>
      </c>
      <c r="I286" s="390">
        <f>IF(H286,Wh_hp,'2026'!Maxi_hp)</f>
        <v>37.209601495836544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9.602385430540808E-2</v>
      </c>
      <c r="M286" s="843"/>
      <c r="N286" s="843"/>
      <c r="O286" s="48">
        <f>IF(t&lt;Tnet,'2026'!Resal+('2026'!Salim-'2026'!Resal)*(1-EXP(('2026'!Tnet-t)/('2026'!Tau_j))),Resal+(Salim-Resal)*(1-EXP((Tnet-t)/(Tau_j))))*Salcycl</f>
        <v>5.097682589513762E-2</v>
      </c>
      <c r="P286" s="169">
        <f>(INDEX(Models!$BJ286:$BT286,,T286)*(1-R286)+INDEX(Models!$BJ286:$BT286,,T286+1)*R286-ERP_i)*Q286*Ramure*Pc/MaxiM</f>
        <v>8.0144246028736474E-2</v>
      </c>
      <c r="Q286" s="305">
        <f t="shared" si="105"/>
        <v>0.8</v>
      </c>
      <c r="R286" s="177">
        <f t="shared" si="106"/>
        <v>0.59333472929948616</v>
      </c>
      <c r="S286" s="809">
        <f t="shared" si="107"/>
        <v>3</v>
      </c>
      <c r="T286" s="176">
        <f t="shared" si="108"/>
        <v>9</v>
      </c>
      <c r="U286" s="251">
        <f t="shared" si="109"/>
        <v>3.5933347292994862</v>
      </c>
      <c r="V286" s="383">
        <f t="shared" si="110"/>
        <v>29.455172009409157</v>
      </c>
      <c r="W286" s="402">
        <f t="shared" si="111"/>
        <v>19.038283544920553</v>
      </c>
      <c r="X286" s="157">
        <f t="shared" si="112"/>
        <v>46659</v>
      </c>
      <c r="Y286" s="385">
        <f t="shared" si="113"/>
        <v>17.113110383506708</v>
      </c>
      <c r="Z286" s="385">
        <f t="shared" si="114"/>
        <v>18.930931380227335</v>
      </c>
      <c r="AA286" s="386">
        <f t="shared" si="115"/>
        <v>21.966130989825889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0.13817634115923166</v>
      </c>
      <c r="AD286" s="231">
        <f>(INDEX(Models!$BJ286:$BT286,,AH286)*(1-AF286)+INDEX(Models!$BJ286:$BT286,,AH286+1)*AF286-ERP_i)*AE286*Ramure*Pc/MaxiM</f>
        <v>9.9888293643477802E-2</v>
      </c>
      <c r="AE286" s="305">
        <f t="shared" si="117"/>
        <v>0.8</v>
      </c>
      <c r="AF286" s="177">
        <f t="shared" si="118"/>
        <v>0.79405147646439023</v>
      </c>
      <c r="AG286" s="809">
        <f t="shared" si="124"/>
        <v>4</v>
      </c>
      <c r="AH286" s="176">
        <f t="shared" si="119"/>
        <v>10</v>
      </c>
      <c r="AI286" s="225">
        <f t="shared" si="120"/>
        <v>4.7940514764643902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IF(t&gt;Tmaj,'2026'!Wh/'2026'!Env_an*'2027'!Env_an,0.001*'[11]mon-tableau (3)'!$B$165)</f>
        <v>20.444522985352233</v>
      </c>
      <c r="C287" s="839"/>
      <c r="D287" s="393">
        <f t="shared" si="102"/>
        <v>22.616758173631492</v>
      </c>
      <c r="E287" s="385">
        <f t="shared" si="100"/>
        <v>23.835941740554425</v>
      </c>
      <c r="F287" s="385">
        <f t="shared" si="103"/>
        <v>24.967602077201306</v>
      </c>
      <c r="G287" s="110">
        <f t="shared" si="101"/>
        <v>0.67670011393142404</v>
      </c>
      <c r="H287" s="414" t="b">
        <f>Wh_hp&gt;='2026'!Maxi_hp</f>
        <v>0</v>
      </c>
      <c r="I287" s="390">
        <f>IF(H287,Wh_hp,'2026'!Maxi_hp)</f>
        <v>35.36597547612849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9.6045382437339538E-2</v>
      </c>
      <c r="M287" s="843"/>
      <c r="N287" s="843"/>
      <c r="O287" s="48">
        <f>IF(t&lt;Tnet,'2026'!Resal+('2026'!Salim-'2026'!Resal)*(1-EXP(('2026'!Tnet-t)/('2026'!Tau_j))),Resal+(Salim-Resal)*(1-EXP((Tnet-t)/(Tau_j))))*Salcycl</f>
        <v>5.1148957326431731E-2</v>
      </c>
      <c r="P287" s="169">
        <f>(INDEX(Models!$BJ287:$BT287,,T287)*(1-R287)+INDEX(Models!$BJ287:$BT287,,T287+1)*R287-ERP_i)*Q287*Ramure*Pc/MaxiM</f>
        <v>7.9029558329600499E-2</v>
      </c>
      <c r="Q287" s="305">
        <f t="shared" si="105"/>
        <v>0.8</v>
      </c>
      <c r="R287" s="177">
        <f t="shared" si="106"/>
        <v>0.59358239339085728</v>
      </c>
      <c r="S287" s="809">
        <f t="shared" si="107"/>
        <v>3</v>
      </c>
      <c r="T287" s="176">
        <f t="shared" si="108"/>
        <v>9</v>
      </c>
      <c r="U287" s="251">
        <f t="shared" si="109"/>
        <v>3.5935823933908573</v>
      </c>
      <c r="V287" s="383">
        <f t="shared" si="110"/>
        <v>29.145461942402111</v>
      </c>
      <c r="W287" s="402">
        <f t="shared" si="111"/>
        <v>20.444522985352233</v>
      </c>
      <c r="X287" s="157">
        <f t="shared" si="112"/>
        <v>46660</v>
      </c>
      <c r="Y287" s="385">
        <f t="shared" si="113"/>
        <v>18.350648189897221</v>
      </c>
      <c r="Z287" s="385">
        <f t="shared" si="114"/>
        <v>20.300408707879839</v>
      </c>
      <c r="AA287" s="386">
        <f t="shared" si="115"/>
        <v>23.555724252150199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0.1381963682977487</v>
      </c>
      <c r="AD287" s="231">
        <f>(INDEX(Models!$BJ287:$BT287,,AH287)*(1-AF287)+INDEX(Models!$BJ287:$BT287,,AH287+1)*AF287-ERP_i)*AE287*Ramure*Pc/MaxiM</f>
        <v>9.8598561172302451E-2</v>
      </c>
      <c r="AE287" s="305">
        <f t="shared" si="117"/>
        <v>0.8</v>
      </c>
      <c r="AF287" s="177">
        <f t="shared" si="118"/>
        <v>0.79429914055576045</v>
      </c>
      <c r="AG287" s="809">
        <f t="shared" si="124"/>
        <v>4</v>
      </c>
      <c r="AH287" s="176">
        <f t="shared" si="119"/>
        <v>10</v>
      </c>
      <c r="AI287" s="225">
        <f t="shared" si="120"/>
        <v>4.7942991405557605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IF(t&gt;Tmaj,'2026'!Wh/'2026'!Env_an*'2027'!Env_an,0.001*'[12]mon-tableau (1)'!$B$140)</f>
        <v>25.980603020653266</v>
      </c>
      <c r="C288" s="839"/>
      <c r="D288" s="393">
        <f t="shared" si="102"/>
        <v>28.741732446829381</v>
      </c>
      <c r="E288" s="385">
        <f t="shared" si="100"/>
        <v>30.296552087736494</v>
      </c>
      <c r="F288" s="385">
        <f t="shared" si="103"/>
        <v>32.466071906808743</v>
      </c>
      <c r="G288" s="110">
        <f t="shared" si="101"/>
        <v>0.8901057154304467</v>
      </c>
      <c r="H288" s="414" t="b">
        <f>Wh_hp&gt;='2026'!Maxi_hp</f>
        <v>0</v>
      </c>
      <c r="I288" s="390">
        <f>IF(H288,Wh_hp,'2026'!Maxi_hp)</f>
        <v>35.633737494395717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9.6066910068279748E-2</v>
      </c>
      <c r="M288" s="843"/>
      <c r="N288" s="843"/>
      <c r="O288" s="48">
        <f>IF(t&lt;Tnet,'2026'!Resal+('2026'!Salim-'2026'!Resal)*(1-EXP(('2026'!Tnet-t)/('2026'!Tau_j))),Resal+(Salim-Resal)*(1-EXP((Tnet-t)/(Tau_j))))*Salcycl</f>
        <v>5.1320019400375123E-2</v>
      </c>
      <c r="P288" s="169">
        <f>(INDEX(Models!$BJ288:$BT288,,T288)*(1-R288)+INDEX(Models!$BJ288:$BT288,,T288+1)*R288-ERP_i)*Q288*Ramure*Pc/MaxiM</f>
        <v>7.7862842542978913E-2</v>
      </c>
      <c r="Q288" s="305">
        <f t="shared" si="105"/>
        <v>0.8</v>
      </c>
      <c r="R288" s="177">
        <f t="shared" si="106"/>
        <v>0.59382027983415497</v>
      </c>
      <c r="S288" s="809">
        <f t="shared" si="107"/>
        <v>3</v>
      </c>
      <c r="T288" s="176">
        <f t="shared" si="108"/>
        <v>9</v>
      </c>
      <c r="U288" s="251">
        <f t="shared" si="109"/>
        <v>3.593820279834155</v>
      </c>
      <c r="V288" s="383">
        <f t="shared" si="110"/>
        <v>28.842951489946287</v>
      </c>
      <c r="W288" s="402">
        <f t="shared" si="111"/>
        <v>25.980603020653266</v>
      </c>
      <c r="X288" s="157">
        <f t="shared" si="112"/>
        <v>46661</v>
      </c>
      <c r="Y288" s="385">
        <f t="shared" si="113"/>
        <v>23.177632654044451</v>
      </c>
      <c r="Z288" s="385">
        <f t="shared" si="114"/>
        <v>25.640871998385634</v>
      </c>
      <c r="AA288" s="386">
        <f t="shared" si="115"/>
        <v>29.753193066864473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0.1382144450592985</v>
      </c>
      <c r="AD288" s="231">
        <f>(INDEX(Models!$BJ288:$BT288,,AH288)*(1-AF288)+INDEX(Models!$BJ288:$BT288,,AH288+1)*AF288-ERP_i)*AE288*Ramure*Pc/MaxiM</f>
        <v>9.7363691308931605E-2</v>
      </c>
      <c r="AE288" s="305">
        <f t="shared" si="117"/>
        <v>0.8</v>
      </c>
      <c r="AF288" s="177">
        <f t="shared" si="118"/>
        <v>0.79453702699905904</v>
      </c>
      <c r="AG288" s="809">
        <f t="shared" si="124"/>
        <v>4</v>
      </c>
      <c r="AH288" s="176">
        <f t="shared" si="119"/>
        <v>10</v>
      </c>
      <c r="AI288" s="225">
        <f t="shared" si="120"/>
        <v>4.794537026999059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IF(t&gt;Tmaj,'2026'!Wh/'2026'!Env_an*'2027'!Env_an,0.001*'[12]mon-tableau (1)'!$B$141)</f>
        <v>27.74416217207175</v>
      </c>
      <c r="C289" s="839"/>
      <c r="D289" s="393">
        <f t="shared" si="102"/>
        <v>30.693447582500319</v>
      </c>
      <c r="E289" s="385">
        <f t="shared" si="100"/>
        <v>32.359645513358693</v>
      </c>
      <c r="F289" s="385">
        <f t="shared" si="103"/>
        <v>34.929527126865651</v>
      </c>
      <c r="G289" s="110">
        <f t="shared" si="101"/>
        <v>0.96869293263432577</v>
      </c>
      <c r="H289" s="414" t="b">
        <f>Wh_hp&gt;='2026'!Maxi_hp</f>
        <v>0</v>
      </c>
      <c r="I289" s="390">
        <f>IF(H289,Wh_hp,'2026'!Maxi_hp)</f>
        <v>36.768753531604595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9.6088437198240589E-2</v>
      </c>
      <c r="M289" s="843"/>
      <c r="N289" s="843"/>
      <c r="O289" s="48">
        <f>IF(t&lt;Tnet,'2026'!Resal+('2026'!Salim-'2026'!Resal)*(1-EXP(('2026'!Tnet-t)/('2026'!Tau_j))),Resal+(Salim-Resal)*(1-EXP((Tnet-t)/(Tau_j))))*Salcycl</f>
        <v>5.1489993305721994E-2</v>
      </c>
      <c r="P289" s="169">
        <f>(INDEX(Models!$BJ289:$BT289,,T289)*(1-R289)+INDEX(Models!$BJ289:$BT289,,T289+1)*R289-ERP_i)*Q289*Ramure*Pc/MaxiM</f>
        <v>7.6648152987627477E-2</v>
      </c>
      <c r="Q289" s="305">
        <f t="shared" si="105"/>
        <v>0.8</v>
      </c>
      <c r="R289" s="177">
        <f t="shared" si="106"/>
        <v>0.59404876721074285</v>
      </c>
      <c r="S289" s="809">
        <f t="shared" si="107"/>
        <v>3</v>
      </c>
      <c r="T289" s="176">
        <f t="shared" si="108"/>
        <v>9</v>
      </c>
      <c r="U289" s="251">
        <f t="shared" si="109"/>
        <v>3.5940487672107428</v>
      </c>
      <c r="V289" s="383">
        <f t="shared" si="110"/>
        <v>28.545763027799968</v>
      </c>
      <c r="W289" s="402">
        <f t="shared" si="111"/>
        <v>27.74416217207175</v>
      </c>
      <c r="X289" s="157">
        <f t="shared" si="112"/>
        <v>46662</v>
      </c>
      <c r="Y289" s="385">
        <f t="shared" si="113"/>
        <v>24.696553192993935</v>
      </c>
      <c r="Z289" s="385">
        <f t="shared" si="114"/>
        <v>27.321868874477754</v>
      </c>
      <c r="AA289" s="386">
        <f t="shared" si="115"/>
        <v>31.704382712407153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0.13823053669530527</v>
      </c>
      <c r="AD289" s="231">
        <f>(INDEX(Models!$BJ289:$BT289,,AH289)*(1-AF289)+INDEX(Models!$BJ289:$BT289,,AH289+1)*AF289-ERP_i)*AE289*Ramure*Pc/MaxiM</f>
        <v>9.6191731629717669E-2</v>
      </c>
      <c r="AE289" s="305">
        <f t="shared" si="117"/>
        <v>0.8</v>
      </c>
      <c r="AF289" s="177">
        <f t="shared" si="118"/>
        <v>0.79476551437564602</v>
      </c>
      <c r="AG289" s="809">
        <f t="shared" si="124"/>
        <v>4</v>
      </c>
      <c r="AH289" s="176">
        <f t="shared" si="119"/>
        <v>10</v>
      </c>
      <c r="AI289" s="225">
        <f t="shared" si="120"/>
        <v>4.794765514375646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IF(t&gt;Tmaj,'2026'!Wh/'2026'!Env_an*'2027'!Env_an,0.001*'[12]mon-tableau (1)'!$B$142)</f>
        <v>26.59641287955878</v>
      </c>
      <c r="C290" s="839"/>
      <c r="D290" s="393">
        <f t="shared" si="102"/>
        <v>29.424389931515119</v>
      </c>
      <c r="E290" s="385">
        <f t="shared" si="100"/>
        <v>31.027220830178436</v>
      </c>
      <c r="F290" s="385">
        <f t="shared" si="103"/>
        <v>33.331640619976213</v>
      </c>
      <c r="G290" s="110">
        <f t="shared" si="101"/>
        <v>0.93509971019698235</v>
      </c>
      <c r="H290" s="414" t="b">
        <f>Wh_hp&gt;='2026'!Maxi_hp</f>
        <v>0</v>
      </c>
      <c r="I290" s="390">
        <f>IF(H290,Wh_hp,'2026'!Maxi_hp)</f>
        <v>34.895336094635255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9.6109963827233719E-2</v>
      </c>
      <c r="M290" s="843"/>
      <c r="N290" s="843"/>
      <c r="O290" s="48">
        <f>IF(t&lt;Tnet,'2026'!Resal+('2026'!Salim-'2026'!Resal)*(1-EXP(('2026'!Tnet-t)/('2026'!Tau_j))),Resal+(Salim-Resal)*(1-EXP((Tnet-t)/(Tau_j))))*Salcycl</f>
        <v>5.1658861341017499E-2</v>
      </c>
      <c r="P290" s="169">
        <f>(INDEX(Models!$BJ290:$BT290,,T290)*(1-R290)+INDEX(Models!$BJ290:$BT290,,T290+1)*R290-ERP_i)*Q290*Ramure*Pc/MaxiM</f>
        <v>7.5443290888910747E-2</v>
      </c>
      <c r="Q290" s="305">
        <f t="shared" si="105"/>
        <v>0.8</v>
      </c>
      <c r="R290" s="177">
        <f t="shared" si="106"/>
        <v>0.59426822002568835</v>
      </c>
      <c r="S290" s="809">
        <f t="shared" si="107"/>
        <v>3</v>
      </c>
      <c r="T290" s="176">
        <f t="shared" si="108"/>
        <v>9</v>
      </c>
      <c r="U290" s="251">
        <f t="shared" si="109"/>
        <v>3.5942682200256884</v>
      </c>
      <c r="V290" s="383">
        <f t="shared" si="110"/>
        <v>28.249613622310918</v>
      </c>
      <c r="W290" s="402">
        <f t="shared" si="111"/>
        <v>26.59641287955878</v>
      </c>
      <c r="X290" s="157">
        <f t="shared" si="112"/>
        <v>46663</v>
      </c>
      <c r="Y290" s="385">
        <f t="shared" si="113"/>
        <v>23.69822195154163</v>
      </c>
      <c r="Z290" s="385">
        <f t="shared" si="114"/>
        <v>26.218036490239655</v>
      </c>
      <c r="AA290" s="386">
        <f t="shared" si="115"/>
        <v>30.423989044876237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0.13824461179080372</v>
      </c>
      <c r="AD290" s="231">
        <f>(INDEX(Models!$BJ290:$BT290,,AH290)*(1-AF290)+INDEX(Models!$BJ290:$BT290,,AH290+1)*AF290-ERP_i)*AE290*Ramure*Pc/MaxiM</f>
        <v>9.5192206105432164E-2</v>
      </c>
      <c r="AE290" s="305">
        <f t="shared" si="117"/>
        <v>0.8</v>
      </c>
      <c r="AF290" s="177">
        <f t="shared" si="118"/>
        <v>0.79498496719059197</v>
      </c>
      <c r="AG290" s="809">
        <f t="shared" si="124"/>
        <v>4</v>
      </c>
      <c r="AH290" s="176">
        <f t="shared" si="119"/>
        <v>10</v>
      </c>
      <c r="AI290" s="225">
        <f t="shared" si="120"/>
        <v>4.794984967190592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IF(t&gt;Tmaj,'2026'!Wh/'2026'!Env_an*'2027'!Env_an,0.001*'[12]mon-tableau (1)'!$B$143)</f>
        <v>27.960332604497989</v>
      </c>
      <c r="C291" s="839"/>
      <c r="D291" s="393">
        <f t="shared" si="102"/>
        <v>30.934070933740497</v>
      </c>
      <c r="E291" s="385">
        <f t="shared" si="100"/>
        <v>32.624909288461424</v>
      </c>
      <c r="F291" s="385">
        <f t="shared" si="103"/>
        <v>35.243063599626083</v>
      </c>
      <c r="G291" s="110">
        <f t="shared" si="101"/>
        <v>1.0002513885874347</v>
      </c>
      <c r="H291" s="414" t="b">
        <f>Wh_hp&gt;='2026'!Maxi_hp</f>
        <v>1</v>
      </c>
      <c r="I291" s="390">
        <f>IF(H291,Wh_hp,'2026'!Maxi_hp)</f>
        <v>35.243063599626083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9.6131489955270794E-2</v>
      </c>
      <c r="M291" s="843"/>
      <c r="N291" s="843"/>
      <c r="O291" s="48">
        <f>IF(t&lt;Tnet,'2026'!Resal+('2026'!Salim-'2026'!Resal)*(1-EXP(('2026'!Tnet-t)/('2026'!Tau_j))),Resal+(Salim-Resal)*(1-EXP((Tnet-t)/(Tau_j))))*Salcycl</f>
        <v>5.1826607080220605E-2</v>
      </c>
      <c r="P291" s="169">
        <f>(INDEX(Models!$BJ291:$BT291,,T291)*(1-R291)+INDEX(Models!$BJ291:$BT291,,T291+1)*R291-ERP_i)*Q291*Ramure*Pc/MaxiM</f>
        <v>7.4288499459293111E-2</v>
      </c>
      <c r="Q291" s="305">
        <f t="shared" si="105"/>
        <v>0.8</v>
      </c>
      <c r="R291" s="177">
        <f t="shared" si="106"/>
        <v>0.59447898918528486</v>
      </c>
      <c r="S291" s="809">
        <f t="shared" si="107"/>
        <v>3</v>
      </c>
      <c r="T291" s="176">
        <f t="shared" si="108"/>
        <v>9</v>
      </c>
      <c r="U291" s="251">
        <f t="shared" si="109"/>
        <v>3.5944789891852849</v>
      </c>
      <c r="V291" s="383">
        <f t="shared" si="110"/>
        <v>27.953305462523634</v>
      </c>
      <c r="W291" s="402">
        <f t="shared" si="111"/>
        <v>27.960332604497989</v>
      </c>
      <c r="X291" s="157">
        <f t="shared" si="112"/>
        <v>46664</v>
      </c>
      <c r="Y291" s="385">
        <f t="shared" si="113"/>
        <v>24.86091393437756</v>
      </c>
      <c r="Z291" s="385">
        <f t="shared" si="114"/>
        <v>27.505011689307864</v>
      </c>
      <c r="AA291" s="386">
        <f t="shared" si="115"/>
        <v>31.91786911353736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0.13825664265155674</v>
      </c>
      <c r="AD291" s="231">
        <f>(INDEX(Models!$BJ291:$BT291,,AH291)*(1-AF291)+INDEX(Models!$BJ291:$BT291,,AH291+1)*AF291-ERP_i)*AE291*Ramure*Pc/MaxiM</f>
        <v>9.4350324474175434E-2</v>
      </c>
      <c r="AE291" s="305">
        <f t="shared" si="117"/>
        <v>0.8</v>
      </c>
      <c r="AF291" s="177">
        <f t="shared" si="118"/>
        <v>0.79519573635018848</v>
      </c>
      <c r="AG291" s="809">
        <f t="shared" si="124"/>
        <v>4</v>
      </c>
      <c r="AH291" s="176">
        <f t="shared" si="119"/>
        <v>10</v>
      </c>
      <c r="AI291" s="225">
        <f t="shared" si="120"/>
        <v>4.7951957363501885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IF(t&gt;Tmaj,'2026'!Wh/'2026'!Env_an*'2027'!Env_an,0.001*'[12]mon-tableau (1)'!$B$144)</f>
        <v>28.224117795077426</v>
      </c>
      <c r="C292" s="839"/>
      <c r="D292" s="393">
        <f t="shared" si="102"/>
        <v>31.226654822843361</v>
      </c>
      <c r="E292" s="385">
        <f t="shared" si="100"/>
        <v>32.939273573468</v>
      </c>
      <c r="F292" s="385">
        <f t="shared" si="103"/>
        <v>35.540310062015898</v>
      </c>
      <c r="G292" s="110">
        <f t="shared" si="101"/>
        <v>1.020511066234328</v>
      </c>
      <c r="H292" s="414" t="b">
        <f>Wh_hp&gt;='2026'!Maxi_hp</f>
        <v>1</v>
      </c>
      <c r="I292" s="390">
        <f>IF(H292,Wh_hp,'2026'!Maxi_hp)</f>
        <v>35.540310062015898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9.6153015582363249E-2</v>
      </c>
      <c r="M292" s="843"/>
      <c r="N292" s="843"/>
      <c r="O292" s="48">
        <f>IF(t&lt;Tnet,'2026'!Resal+('2026'!Salim-'2026'!Resal)*(1-EXP(('2026'!Tnet-t)/('2026'!Tau_j))),Resal+(Salim-Resal)*(1-EXP((Tnet-t)/(Tau_j))))*Salcycl</f>
        <v>5.1993215539644526E-2</v>
      </c>
      <c r="P292" s="169">
        <f>(INDEX(Models!$BJ292:$BT292,,T292)*(1-R292)+INDEX(Models!$BJ292:$BT292,,T292+1)*R292-ERP_i)*Q292*Ramure*Pc/MaxiM</f>
        <v>7.3185531696522393E-2</v>
      </c>
      <c r="Q292" s="305">
        <f t="shared" si="105"/>
        <v>0.8</v>
      </c>
      <c r="R292" s="177">
        <f t="shared" si="106"/>
        <v>0.59468141246206274</v>
      </c>
      <c r="S292" s="809">
        <f t="shared" si="107"/>
        <v>3</v>
      </c>
      <c r="T292" s="176">
        <f t="shared" si="108"/>
        <v>9</v>
      </c>
      <c r="U292" s="251">
        <f t="shared" si="109"/>
        <v>3.5946814124620627</v>
      </c>
      <c r="V292" s="383">
        <f t="shared" si="110"/>
        <v>27.656846387001014</v>
      </c>
      <c r="W292" s="402">
        <f t="shared" si="111"/>
        <v>28.224117795077426</v>
      </c>
      <c r="X292" s="157">
        <f t="shared" si="112"/>
        <v>46665</v>
      </c>
      <c r="Y292" s="385">
        <f t="shared" si="113"/>
        <v>25.088529103555178</v>
      </c>
      <c r="Z292" s="385">
        <f t="shared" si="114"/>
        <v>27.757496054180148</v>
      </c>
      <c r="AA292" s="386">
        <f t="shared" si="115"/>
        <v>32.211234051495325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0.13826660568778867</v>
      </c>
      <c r="AD292" s="231">
        <f>(INDEX(Models!$BJ292:$BT292,,AH292)*(1-AF292)+INDEX(Models!$BJ292:$BT292,,AH292+1)*AF292-ERP_i)*AE292*Ramure*Pc/MaxiM</f>
        <v>9.3670426755183611E-2</v>
      </c>
      <c r="AE292" s="305">
        <f t="shared" si="117"/>
        <v>0.8</v>
      </c>
      <c r="AF292" s="177">
        <f t="shared" si="118"/>
        <v>0.79539815962696636</v>
      </c>
      <c r="AG292" s="809">
        <f t="shared" si="124"/>
        <v>4</v>
      </c>
      <c r="AH292" s="176">
        <f t="shared" si="119"/>
        <v>10</v>
      </c>
      <c r="AI292" s="225">
        <f t="shared" si="120"/>
        <v>4.7953981596269664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IF(t&gt;Tmaj,'2026'!Wh/'2026'!Env_an*'2027'!Env_an,0.001*'[12]mon-tableau (1)'!$B$145)</f>
        <v>10.305614101653653</v>
      </c>
      <c r="C293" s="839"/>
      <c r="D293" s="393">
        <f t="shared" si="102"/>
        <v>11.402217093699027</v>
      </c>
      <c r="E293" s="385">
        <f t="shared" si="100"/>
        <v>12.029668651330825</v>
      </c>
      <c r="F293" s="385">
        <f t="shared" si="103"/>
        <v>12.125463872598212</v>
      </c>
      <c r="G293" s="110">
        <f t="shared" si="101"/>
        <v>0.35227582063340462</v>
      </c>
      <c r="H293" s="414" t="b">
        <f>Wh_hp&gt;='2026'!Maxi_hp</f>
        <v>0</v>
      </c>
      <c r="I293" s="390">
        <f>IF(H293,Wh_hp,'2026'!Maxi_hp)</f>
        <v>31.212763298231373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9.6174540708523076E-2</v>
      </c>
      <c r="M293" s="843"/>
      <c r="N293" s="843"/>
      <c r="O293" s="48">
        <f>IF(t&lt;Tnet,'2026'!Resal+('2026'!Salim-'2026'!Resal)*(1-EXP(('2026'!Tnet-t)/('2026'!Tau_j))),Resal+(Salim-Resal)*(1-EXP((Tnet-t)/(Tau_j))))*Salcycl</f>
        <v>5.2158673344870912E-2</v>
      </c>
      <c r="P293" s="169">
        <f>(INDEX(Models!$BJ293:$BT293,,T293)*(1-R293)+INDEX(Models!$BJ293:$BT293,,T293+1)*R293-ERP_i)*Q293*Ramure*Pc/MaxiM</f>
        <v>7.2136176439399152E-2</v>
      </c>
      <c r="Q293" s="305">
        <f t="shared" si="105"/>
        <v>0.8</v>
      </c>
      <c r="R293" s="177">
        <f t="shared" si="106"/>
        <v>0.59487581494730968</v>
      </c>
      <c r="S293" s="809">
        <f t="shared" si="107"/>
        <v>3</v>
      </c>
      <c r="T293" s="176">
        <f t="shared" si="108"/>
        <v>9</v>
      </c>
      <c r="U293" s="251">
        <f t="shared" si="109"/>
        <v>3.5948758149473097</v>
      </c>
      <c r="V293" s="383">
        <f t="shared" si="110"/>
        <v>27.360244873501166</v>
      </c>
      <c r="W293" s="402">
        <f t="shared" si="111"/>
        <v>10.305614101653653</v>
      </c>
      <c r="X293" s="157">
        <f t="shared" si="112"/>
        <v>46666</v>
      </c>
      <c r="Y293" s="385">
        <f t="shared" si="113"/>
        <v>9.3475593529813565</v>
      </c>
      <c r="Z293" s="385">
        <f t="shared" si="114"/>
        <v>10.342217357219674</v>
      </c>
      <c r="AA293" s="386">
        <f t="shared" si="115"/>
        <v>12.001753619547019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0.13827448179110177</v>
      </c>
      <c r="AD293" s="231">
        <f>(INDEX(Models!$BJ293:$BT293,,AH293)*(1-AF293)+INDEX(Models!$BJ293:$BT293,,AH293+1)*AF293-ERP_i)*AE293*Ramure*Pc/MaxiM</f>
        <v>9.3156887404170316E-2</v>
      </c>
      <c r="AE293" s="305">
        <f t="shared" si="117"/>
        <v>0.8</v>
      </c>
      <c r="AF293" s="177">
        <f t="shared" si="118"/>
        <v>0.79559256211221374</v>
      </c>
      <c r="AG293" s="809">
        <f t="shared" si="124"/>
        <v>4</v>
      </c>
      <c r="AH293" s="176">
        <f t="shared" si="119"/>
        <v>10</v>
      </c>
      <c r="AI293" s="225">
        <f t="shared" si="120"/>
        <v>4.7955925621122137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IF(t&gt;Tmaj,'2026'!Wh/'2026'!Env_an*'2027'!Env_an,0.001*'[12]mon-tableau (1)'!$B$146)</f>
        <v>20.804894171855924</v>
      </c>
      <c r="C294" s="839"/>
      <c r="D294" s="393">
        <f t="shared" si="102"/>
        <v>23.019256028730247</v>
      </c>
      <c r="E294" s="385">
        <f t="shared" si="100"/>
        <v>24.29019093342356</v>
      </c>
      <c r="F294" s="385">
        <f t="shared" si="103"/>
        <v>25.505240997734866</v>
      </c>
      <c r="G294" s="110">
        <f t="shared" si="101"/>
        <v>0.74977179038373309</v>
      </c>
      <c r="H294" s="414" t="b">
        <f>Wh_hp&gt;='2026'!Maxi_hp</f>
        <v>0</v>
      </c>
      <c r="I294" s="390">
        <f>IF(H294,Wh_hp,'2026'!Maxi_hp)</f>
        <v>34.247356004135384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9.619606533376171E-2</v>
      </c>
      <c r="M294" s="843"/>
      <c r="N294" s="843"/>
      <c r="O294" s="48">
        <f>IF(t&lt;Tnet,'2026'!Resal+('2026'!Salim-'2026'!Resal)*(1-EXP(('2026'!Tnet-t)/('2026'!Tau_j))),Resal+(Salim-Resal)*(1-EXP((Tnet-t)/(Tau_j))))*Salcycl</f>
        <v>5.2322968896242494E-2</v>
      </c>
      <c r="P294" s="169">
        <f>(INDEX(Models!$BJ294:$BT294,,T294)*(1-R294)+INDEX(Models!$BJ294:$BT294,,T294+1)*R294-ERP_i)*Q294*Ramure*Pc/MaxiM</f>
        <v>7.1142256527408881E-2</v>
      </c>
      <c r="Q294" s="305">
        <f t="shared" si="105"/>
        <v>0.8</v>
      </c>
      <c r="R294" s="177">
        <f t="shared" si="106"/>
        <v>0.59506250949113726</v>
      </c>
      <c r="S294" s="809">
        <f t="shared" si="107"/>
        <v>3</v>
      </c>
      <c r="T294" s="176">
        <f t="shared" si="108"/>
        <v>9</v>
      </c>
      <c r="U294" s="251">
        <f t="shared" si="109"/>
        <v>3.5950625094911373</v>
      </c>
      <c r="V294" s="383">
        <f t="shared" si="110"/>
        <v>27.063510112737212</v>
      </c>
      <c r="W294" s="402">
        <f t="shared" si="111"/>
        <v>20.804894171855924</v>
      </c>
      <c r="X294" s="157">
        <f t="shared" si="112"/>
        <v>46667</v>
      </c>
      <c r="Y294" s="385">
        <f t="shared" si="113"/>
        <v>18.62955256265321</v>
      </c>
      <c r="Z294" s="385">
        <f t="shared" si="114"/>
        <v>20.612382672944253</v>
      </c>
      <c r="AA294" s="386">
        <f t="shared" si="115"/>
        <v>23.920053861170956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0.13828025670109342</v>
      </c>
      <c r="AD294" s="231">
        <f>(INDEX(Models!$BJ294:$BT294,,AH294)*(1-AF294)+INDEX(Models!$BJ294:$BT294,,AH294+1)*AF294-ERP_i)*AE294*Ramure*Pc/MaxiM</f>
        <v>9.2814109661644953E-2</v>
      </c>
      <c r="AE294" s="305">
        <f t="shared" si="117"/>
        <v>0.8</v>
      </c>
      <c r="AF294" s="177">
        <f t="shared" si="118"/>
        <v>0.79577925665604088</v>
      </c>
      <c r="AG294" s="809">
        <f t="shared" si="124"/>
        <v>4</v>
      </c>
      <c r="AH294" s="176">
        <f t="shared" si="119"/>
        <v>10</v>
      </c>
      <c r="AI294" s="225">
        <f t="shared" si="120"/>
        <v>4.7957792566560409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IF(t&gt;Tmaj,'2026'!Wh/'2026'!Env_an*'2027'!Env_an,0.001*'[12]mon-tableau (1)'!$B$147)</f>
        <v>13.556149379534112</v>
      </c>
      <c r="C295" s="839"/>
      <c r="D295" s="393">
        <f t="shared" si="102"/>
        <v>14.999350752362867</v>
      </c>
      <c r="E295" s="385">
        <f t="shared" si="100"/>
        <v>15.830216985877325</v>
      </c>
      <c r="F295" s="385">
        <f t="shared" si="103"/>
        <v>16.164933164881589</v>
      </c>
      <c r="G295" s="110">
        <f t="shared" si="101"/>
        <v>0.48085734153696269</v>
      </c>
      <c r="H295" s="414" t="b">
        <f>Wh_hp&gt;='2026'!Maxi_hp</f>
        <v>0</v>
      </c>
      <c r="I295" s="390">
        <f>IF(H295,Wh_hp,'2026'!Maxi_hp)</f>
        <v>32.97035211319082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9.6217589458090808E-2</v>
      </c>
      <c r="M295" s="843"/>
      <c r="N295" s="843"/>
      <c r="O295" s="48">
        <f>IF(t&lt;Tnet,'2026'!Resal+('2026'!Salim-'2026'!Resal)*(1-EXP(('2026'!Tnet-t)/('2026'!Tau_j))),Resal+(Salim-Resal)*(1-EXP((Tnet-t)/(Tau_j))))*Salcycl</f>
        <v>5.24860925314986E-2</v>
      </c>
      <c r="P295" s="169">
        <f>(INDEX(Models!$BJ295:$BT295,,T295)*(1-R295)+INDEX(Models!$BJ295:$BT295,,T295+1)*R295-ERP_i)*Q295*Ramure*Pc/MaxiM</f>
        <v>7.020562686381307E-2</v>
      </c>
      <c r="Q295" s="305">
        <f t="shared" si="105"/>
        <v>0.8</v>
      </c>
      <c r="R295" s="177">
        <f t="shared" si="106"/>
        <v>0.59524179713017045</v>
      </c>
      <c r="S295" s="809">
        <f t="shared" si="107"/>
        <v>3</v>
      </c>
      <c r="T295" s="176">
        <f t="shared" si="108"/>
        <v>9</v>
      </c>
      <c r="U295" s="251">
        <f t="shared" si="109"/>
        <v>3.5952417971301704</v>
      </c>
      <c r="V295" s="383">
        <f t="shared" si="110"/>
        <v>26.766652080637513</v>
      </c>
      <c r="W295" s="402">
        <f t="shared" si="111"/>
        <v>13.556149379534112</v>
      </c>
      <c r="X295" s="157">
        <f t="shared" si="112"/>
        <v>46668</v>
      </c>
      <c r="Y295" s="385">
        <f t="shared" si="113"/>
        <v>12.245309138306165</v>
      </c>
      <c r="Z295" s="385">
        <f t="shared" si="114"/>
        <v>13.548957133347905</v>
      </c>
      <c r="AA295" s="386">
        <f t="shared" si="115"/>
        <v>15.723226558221688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0.13828392135816778</v>
      </c>
      <c r="AD295" s="231">
        <f>(INDEX(Models!$BJ295:$BT295,,AH295)*(1-AF295)+INDEX(Models!$BJ295:$BT295,,AH295+1)*AF295-ERP_i)*AE295*Ramure*Pc/MaxiM</f>
        <v>9.264652011354034E-2</v>
      </c>
      <c r="AE295" s="305">
        <f t="shared" si="117"/>
        <v>0.8</v>
      </c>
      <c r="AF295" s="177">
        <f t="shared" si="118"/>
        <v>0.79595854429507451</v>
      </c>
      <c r="AG295" s="809">
        <f t="shared" si="124"/>
        <v>4</v>
      </c>
      <c r="AH295" s="176">
        <f t="shared" si="119"/>
        <v>10</v>
      </c>
      <c r="AI295" s="225">
        <f t="shared" si="120"/>
        <v>4.7959585442950745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IF(t&gt;Tmaj,'2026'!Wh/'2026'!Env_an*'2027'!Env_an,0.001*'[12]mon-tableau (1)'!$B$148)</f>
        <v>25.947562251222276</v>
      </c>
      <c r="C296" s="839"/>
      <c r="D296" s="393">
        <f t="shared" si="102"/>
        <v>28.710649715872059</v>
      </c>
      <c r="E296" s="385">
        <f t="shared" si="100"/>
        <v>30.306212292398111</v>
      </c>
      <c r="F296" s="385">
        <f t="shared" si="103"/>
        <v>32.497186954905345</v>
      </c>
      <c r="G296" s="110">
        <f t="shared" si="101"/>
        <v>0.97826951583559496</v>
      </c>
      <c r="H296" s="414" t="b">
        <f>Wh_hp&gt;='2026'!Maxi_hp</f>
        <v>0</v>
      </c>
      <c r="I296" s="390">
        <f>IF(H296,Wh_hp,'2026'!Maxi_hp)</f>
        <v>32.555897741774473</v>
      </c>
      <c r="J296" s="85">
        <f>IF(H296,An,'2026'!An_max)</f>
        <v>2022</v>
      </c>
      <c r="K296" s="197">
        <f t="shared" si="104"/>
        <v>46669</v>
      </c>
      <c r="L296" s="147">
        <f>IF(t&lt;Tvie,1-EXP((T0-t)*PertePVj)+'2026'!Pspv,1-EXP((T0-t)*PertePVj)+Pspv)</f>
        <v>9.6239113081522137E-2</v>
      </c>
      <c r="M296" s="843"/>
      <c r="N296" s="843"/>
      <c r="O296" s="48">
        <f>IF(t&lt;Tnet,'2026'!Resal+('2026'!Salim-'2026'!Resal)*(1-EXP(('2026'!Tnet-t)/('2026'!Tau_j))),Resal+(Salim-Resal)*(1-EXP((Tnet-t)/(Tau_j))))*Salcycl</f>
        <v>5.2648036684091876E-2</v>
      </c>
      <c r="P296" s="169">
        <f>(INDEX(Models!$BJ296:$BT296,,T296)*(1-R296)+INDEX(Models!$BJ296:$BT296,,T296+1)*R296-ERP_i)*Q296*Ramure*Pc/MaxiM</f>
        <v>6.9370780600093801E-2</v>
      </c>
      <c r="Q296" s="305">
        <f t="shared" si="105"/>
        <v>0.8</v>
      </c>
      <c r="R296" s="177">
        <f t="shared" si="106"/>
        <v>0.59541396750296549</v>
      </c>
      <c r="S296" s="809">
        <f t="shared" si="107"/>
        <v>3</v>
      </c>
      <c r="T296" s="176">
        <f t="shared" si="108"/>
        <v>9</v>
      </c>
      <c r="U296" s="251">
        <f t="shared" si="109"/>
        <v>3.5954139675029655</v>
      </c>
      <c r="V296" s="383">
        <f t="shared" si="110"/>
        <v>26.468469765291619</v>
      </c>
      <c r="W296" s="402">
        <f t="shared" si="111"/>
        <v>25.947562251222276</v>
      </c>
      <c r="X296" s="157">
        <f t="shared" si="112"/>
        <v>46669</v>
      </c>
      <c r="Y296" s="385">
        <f t="shared" si="113"/>
        <v>23.029194167733305</v>
      </c>
      <c r="Z296" s="385">
        <f t="shared" si="114"/>
        <v>25.481512312681676</v>
      </c>
      <c r="AA296" s="386">
        <f t="shared" si="115"/>
        <v>29.570712215902898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0.13828547223905149</v>
      </c>
      <c r="AD296" s="231">
        <f>(INDEX(Models!$BJ296:$BT296,,AH296)*(1-AF296)+INDEX(Models!$BJ296:$BT296,,AH296+1)*AF296-ERP_i)*AE296*Ramure*Pc/MaxiM</f>
        <v>9.2658231300009705E-2</v>
      </c>
      <c r="AE296" s="305">
        <f t="shared" si="117"/>
        <v>0.8</v>
      </c>
      <c r="AF296" s="177">
        <f t="shared" si="118"/>
        <v>0.79613071466786955</v>
      </c>
      <c r="AG296" s="809">
        <f t="shared" si="124"/>
        <v>4</v>
      </c>
      <c r="AH296" s="176">
        <f t="shared" si="119"/>
        <v>10</v>
      </c>
      <c r="AI296" s="225">
        <f t="shared" si="120"/>
        <v>4.7961307146678696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IF(t&gt;Tmaj,'2026'!Wh/'2026'!Env_an*'2027'!Env_an,0.001*'[12]mon-tableau (1)'!$B$149)</f>
        <v>21.692606893798338</v>
      </c>
      <c r="C297" s="839"/>
      <c r="D297" s="393">
        <f t="shared" si="102"/>
        <v>24.003167022275019</v>
      </c>
      <c r="E297" s="385">
        <f t="shared" ref="E297:E360" si="125">Wh_pvt/(1-Psa)</f>
        <v>25.341416729604664</v>
      </c>
      <c r="F297" s="385">
        <f t="shared" si="103"/>
        <v>26.726975939934455</v>
      </c>
      <c r="G297" s="110">
        <f t="shared" ref="G297:G360" si="126">+Wh_hp/MaxiM</f>
        <v>0.81425604595694845</v>
      </c>
      <c r="H297" s="414" t="b">
        <f>Wh_hp&gt;='2026'!Maxi_hp</f>
        <v>0</v>
      </c>
      <c r="I297" s="390">
        <f>IF(H297,Wh_hp,'2026'!Maxi_hp)</f>
        <v>27.381561766744639</v>
      </c>
      <c r="J297" s="85">
        <f>IF(H297,An,'2026'!An_max)</f>
        <v>2021</v>
      </c>
      <c r="K297" s="197">
        <f t="shared" si="104"/>
        <v>46670</v>
      </c>
      <c r="L297" s="147">
        <f>IF(t&lt;Tvie,1-EXP((T0-t)*PertePVj)+'2026'!Pspv,1-EXP((T0-t)*PertePVj)+Pspv)</f>
        <v>9.6260636204067357E-2</v>
      </c>
      <c r="M297" s="843"/>
      <c r="N297" s="843"/>
      <c r="O297" s="48">
        <f>IF(t&lt;Tnet,'2026'!Resal+('2026'!Salim-'2026'!Resal)*(1-EXP(('2026'!Tnet-t)/('2026'!Tau_j))),Resal+(Salim-Resal)*(1-EXP((Tnet-t)/(Tau_j))))*Salcycl</f>
        <v>5.2808796035710814E-2</v>
      </c>
      <c r="P297" s="169">
        <f>(INDEX(Models!$BJ297:$BT297,,T297)*(1-R297)+INDEX(Models!$BJ297:$BT297,,T297+1)*R297-ERP_i)*Q297*Ramure*Pc/MaxiM</f>
        <v>6.8609891654657543E-2</v>
      </c>
      <c r="Q297" s="305">
        <f t="shared" si="105"/>
        <v>0.8</v>
      </c>
      <c r="R297" s="177">
        <f t="shared" si="106"/>
        <v>0.59557929925327491</v>
      </c>
      <c r="S297" s="809">
        <f t="shared" si="107"/>
        <v>3</v>
      </c>
      <c r="T297" s="176">
        <f t="shared" si="108"/>
        <v>9</v>
      </c>
      <c r="U297" s="251">
        <f t="shared" si="109"/>
        <v>3.5955792992532749</v>
      </c>
      <c r="V297" s="383">
        <f t="shared" si="110"/>
        <v>26.169854464578027</v>
      </c>
      <c r="W297" s="402">
        <f t="shared" si="111"/>
        <v>21.692606893798338</v>
      </c>
      <c r="X297" s="157">
        <f t="shared" si="112"/>
        <v>46670</v>
      </c>
      <c r="Y297" s="385">
        <f t="shared" si="113"/>
        <v>19.355206154875425</v>
      </c>
      <c r="Z297" s="385">
        <f t="shared" si="114"/>
        <v>21.416801049340918</v>
      </c>
      <c r="AA297" s="386">
        <f t="shared" si="115"/>
        <v>24.853691596471389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0.13828491167156934</v>
      </c>
      <c r="AD297" s="231">
        <f>(INDEX(Models!$BJ297:$BT297,,AH297)*(1-AF297)+INDEX(Models!$BJ297:$BT297,,AH297+1)*AF297-ERP_i)*AE297*Ramure*Pc/MaxiM</f>
        <v>9.2760984074275257E-2</v>
      </c>
      <c r="AE297" s="305">
        <f t="shared" si="117"/>
        <v>0.8</v>
      </c>
      <c r="AF297" s="177">
        <f t="shared" si="118"/>
        <v>0.79629604641817853</v>
      </c>
      <c r="AG297" s="809">
        <f t="shared" si="124"/>
        <v>4</v>
      </c>
      <c r="AH297" s="176">
        <f t="shared" si="119"/>
        <v>10</v>
      </c>
      <c r="AI297" s="225">
        <f t="shared" si="120"/>
        <v>4.7962960464181785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IF(t&gt;Tmaj,'2026'!Wh/'2026'!Env_an*'2027'!Env_an,0.001*'[12]mon-tableau (1)'!$B$150)</f>
        <v>17.546270469241172</v>
      </c>
      <c r="C298" s="839"/>
      <c r="D298" s="393">
        <f t="shared" si="102"/>
        <v>19.415651290498051</v>
      </c>
      <c r="E298" s="385">
        <f t="shared" si="125"/>
        <v>20.501586882114804</v>
      </c>
      <c r="F298" s="385">
        <f t="shared" si="103"/>
        <v>21.282694393498808</v>
      </c>
      <c r="G298" s="110">
        <f t="shared" si="126"/>
        <v>0.65624266909433182</v>
      </c>
      <c r="H298" s="414" t="b">
        <f>Wh_hp&gt;='2026'!Maxi_hp</f>
        <v>0</v>
      </c>
      <c r="I298" s="390">
        <f>IF(H298,Wh_hp,'2026'!Maxi_hp)</f>
        <v>33.346419914552634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9.6282158825738012E-2</v>
      </c>
      <c r="M298" s="843"/>
      <c r="N298" s="843"/>
      <c r="O298" s="48">
        <f>IF(t&lt;Tnet,'2026'!Resal+('2026'!Salim-'2026'!Resal)*(1-EXP(('2026'!Tnet-t)/('2026'!Tau_j))),Resal+(Salim-Resal)*(1-EXP((Tnet-t)/(Tau_j))))*Salcycl</f>
        <v>5.2968367661534697E-2</v>
      </c>
      <c r="P298" s="169">
        <f>(INDEX(Models!$BJ298:$BT298,,T298)*(1-R298)+INDEX(Models!$BJ298:$BT298,,T298+1)*R298-ERP_i)*Q298*Ramure*Pc/MaxiM</f>
        <v>6.7925158629221646E-2</v>
      </c>
      <c r="Q298" s="305">
        <f t="shared" si="105"/>
        <v>0.8</v>
      </c>
      <c r="R298" s="177">
        <f t="shared" si="106"/>
        <v>0.5957380604213145</v>
      </c>
      <c r="S298" s="809">
        <f t="shared" si="107"/>
        <v>3</v>
      </c>
      <c r="T298" s="176">
        <f t="shared" si="108"/>
        <v>9</v>
      </c>
      <c r="U298" s="251">
        <f t="shared" si="109"/>
        <v>3.5957380604213145</v>
      </c>
      <c r="V298" s="383">
        <f t="shared" si="110"/>
        <v>25.870824576436178</v>
      </c>
      <c r="W298" s="402">
        <f t="shared" si="111"/>
        <v>17.546270469241172</v>
      </c>
      <c r="X298" s="157">
        <f t="shared" si="112"/>
        <v>46671</v>
      </c>
      <c r="Y298" s="385">
        <f t="shared" si="113"/>
        <v>15.74143826305815</v>
      </c>
      <c r="Z298" s="385">
        <f t="shared" si="114"/>
        <v>17.418532141187153</v>
      </c>
      <c r="AA298" s="386">
        <f t="shared" si="115"/>
        <v>20.213732516584283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0.13828224812531861</v>
      </c>
      <c r="AD298" s="231">
        <f>(INDEX(Models!$BJ298:$BT298,,AH298)*(1-AF298)+INDEX(Models!$BJ298:$BT298,,AH298+1)*AF298-ERP_i)*AE298*Ramure*Pc/MaxiM</f>
        <v>9.2956992475154779E-2</v>
      </c>
      <c r="AE298" s="305">
        <f t="shared" si="117"/>
        <v>0.8</v>
      </c>
      <c r="AF298" s="177">
        <f t="shared" si="118"/>
        <v>0.79645480758621812</v>
      </c>
      <c r="AG298" s="809">
        <f t="shared" si="124"/>
        <v>4</v>
      </c>
      <c r="AH298" s="176">
        <f t="shared" si="119"/>
        <v>10</v>
      </c>
      <c r="AI298" s="225">
        <f t="shared" si="120"/>
        <v>4.7964548075862181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IF(t&gt;Tmaj,'2026'!Wh/'2026'!Env_an*'2027'!Env_an,0.001*'[12]mon-tableau (1)'!$B$151)</f>
        <v>20.353241549179412</v>
      </c>
      <c r="C299" s="839"/>
      <c r="D299" s="393">
        <f t="shared" si="102"/>
        <v>22.522213624260104</v>
      </c>
      <c r="E299" s="385">
        <f t="shared" si="125"/>
        <v>23.785880160847881</v>
      </c>
      <c r="F299" s="385">
        <f t="shared" si="103"/>
        <v>24.977144877196924</v>
      </c>
      <c r="G299" s="110">
        <f t="shared" si="126"/>
        <v>0.77953545642741728</v>
      </c>
      <c r="H299" s="414" t="b">
        <f>Wh_hp&gt;='2026'!Maxi_hp</f>
        <v>0</v>
      </c>
      <c r="I299" s="390">
        <f>IF(H299,Wh_hp,'2026'!Maxi_hp)</f>
        <v>31.597576410466939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9.6303680946545872E-2</v>
      </c>
      <c r="M299" s="843"/>
      <c r="N299" s="843"/>
      <c r="O299" s="48">
        <f>IF(t&lt;Tnet,'2026'!Resal+('2026'!Salim-'2026'!Resal)*(1-EXP(('2026'!Tnet-t)/('2026'!Tau_j))),Resal+(Salim-Resal)*(1-EXP((Tnet-t)/(Tau_j))))*Salcycl</f>
        <v>5.3126751166761597E-2</v>
      </c>
      <c r="P299" s="169">
        <f>(INDEX(Models!$BJ299:$BT299,,T299)*(1-R299)+INDEX(Models!$BJ299:$BT299,,T299+1)*R299-ERP_i)*Q299*Ramure*Pc/MaxiM</f>
        <v>6.7318803190548573E-2</v>
      </c>
      <c r="Q299" s="305">
        <f t="shared" si="105"/>
        <v>0.8</v>
      </c>
      <c r="R299" s="177">
        <f t="shared" si="106"/>
        <v>0.59589050882319627</v>
      </c>
      <c r="S299" s="809">
        <f t="shared" si="107"/>
        <v>3</v>
      </c>
      <c r="T299" s="176">
        <f t="shared" si="108"/>
        <v>9</v>
      </c>
      <c r="U299" s="251">
        <f t="shared" si="109"/>
        <v>3.5958905088231963</v>
      </c>
      <c r="V299" s="383">
        <f t="shared" si="110"/>
        <v>25.571399728004142</v>
      </c>
      <c r="W299" s="402">
        <f t="shared" si="111"/>
        <v>20.353241549179412</v>
      </c>
      <c r="X299" s="157">
        <f t="shared" si="112"/>
        <v>46672</v>
      </c>
      <c r="Y299" s="385">
        <f t="shared" si="113"/>
        <v>18.165586684937562</v>
      </c>
      <c r="Z299" s="385">
        <f t="shared" si="114"/>
        <v>20.101428214252863</v>
      </c>
      <c r="AA299" s="386">
        <f t="shared" si="115"/>
        <v>23.327031767216255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0.13827749647499707</v>
      </c>
      <c r="AD299" s="231">
        <f>(INDEX(Models!$BJ299:$BT299,,AH299)*(1-AF299)+INDEX(Models!$BJ299:$BT299,,AH299+1)*AF299-ERP_i)*AE299*Ramure*Pc/MaxiM</f>
        <v>9.3248493108550365E-2</v>
      </c>
      <c r="AE299" s="305">
        <f t="shared" si="117"/>
        <v>0.8</v>
      </c>
      <c r="AF299" s="177">
        <f t="shared" si="118"/>
        <v>0.79660725598809989</v>
      </c>
      <c r="AG299" s="809">
        <f t="shared" si="124"/>
        <v>4</v>
      </c>
      <c r="AH299" s="176">
        <f t="shared" si="119"/>
        <v>10</v>
      </c>
      <c r="AI299" s="225">
        <f t="shared" si="120"/>
        <v>4.7966072559880999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IF(t&gt;Tmaj,'2026'!Wh/'2026'!Env_an*'2027'!Env_an,0.001*'[12]mon-tableau (1)'!$B$152)</f>
        <v>17.819204525177373</v>
      </c>
      <c r="C300" s="839"/>
      <c r="D300" s="393">
        <f t="shared" si="102"/>
        <v>19.718602948522207</v>
      </c>
      <c r="E300" s="385">
        <f t="shared" si="125"/>
        <v>20.828423605788107</v>
      </c>
      <c r="F300" s="385">
        <f t="shared" si="103"/>
        <v>21.665916424207452</v>
      </c>
      <c r="G300" s="110">
        <f t="shared" si="126"/>
        <v>0.68446962111345477</v>
      </c>
      <c r="H300" s="414" t="b">
        <f>Wh_hp&gt;='2026'!Maxi_hp</f>
        <v>0</v>
      </c>
      <c r="I300" s="390">
        <f>IF(H300,Wh_hp,'2026'!Maxi_hp)</f>
        <v>31.501015093356781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9.6325202566502482E-2</v>
      </c>
      <c r="M300" s="843"/>
      <c r="N300" s="843"/>
      <c r="O300" s="48">
        <f>IF(t&lt;Tnet,'2026'!Resal+('2026'!Salim-'2026'!Resal)*(1-EXP(('2026'!Tnet-t)/('2026'!Tau_j))),Resal+(Salim-Resal)*(1-EXP((Tnet-t)/(Tau_j))))*Salcycl</f>
        <v>5.3283948812981069E-2</v>
      </c>
      <c r="P300" s="169">
        <f>(INDEX(Models!$BJ300:$BT300,,T300)*(1-R300)+INDEX(Models!$BJ300:$BT300,,T300+1)*R300-ERP_i)*Q300*Ramure*Pc/MaxiM</f>
        <v>6.6793067962354805E-2</v>
      </c>
      <c r="Q300" s="305">
        <f t="shared" si="105"/>
        <v>0.8</v>
      </c>
      <c r="R300" s="177">
        <f t="shared" si="106"/>
        <v>0.59603689241870939</v>
      </c>
      <c r="S300" s="809">
        <f t="shared" si="107"/>
        <v>3</v>
      </c>
      <c r="T300" s="176">
        <f t="shared" si="108"/>
        <v>9</v>
      </c>
      <c r="U300" s="251">
        <f t="shared" si="109"/>
        <v>3.5960368924187094</v>
      </c>
      <c r="V300" s="383">
        <f t="shared" si="110"/>
        <v>25.271600820186698</v>
      </c>
      <c r="W300" s="402">
        <f t="shared" si="111"/>
        <v>17.819204525177373</v>
      </c>
      <c r="X300" s="157">
        <f t="shared" si="112"/>
        <v>46673</v>
      </c>
      <c r="Y300" s="385">
        <f t="shared" si="113"/>
        <v>15.957459554393926</v>
      </c>
      <c r="Z300" s="385">
        <f t="shared" si="114"/>
        <v>17.65840941864737</v>
      </c>
      <c r="AA300" s="386">
        <f t="shared" si="115"/>
        <v>20.491828434530039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0.13827067823328912</v>
      </c>
      <c r="AD300" s="231">
        <f>(INDEX(Models!$BJ300:$BT300,,AH300)*(1-AF300)+INDEX(Models!$BJ300:$BT300,,AH300+1)*AF300-ERP_i)*AE300*Ramure*Pc/MaxiM</f>
        <v>9.3637744901880926E-2</v>
      </c>
      <c r="AE300" s="305">
        <f t="shared" si="117"/>
        <v>0.8</v>
      </c>
      <c r="AF300" s="177">
        <f t="shared" si="118"/>
        <v>0.79675363958361345</v>
      </c>
      <c r="AG300" s="809">
        <f t="shared" si="124"/>
        <v>4</v>
      </c>
      <c r="AH300" s="176">
        <f t="shared" si="119"/>
        <v>10</v>
      </c>
      <c r="AI300" s="225">
        <f t="shared" si="120"/>
        <v>4.7967536395836134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IF(t&gt;Tmaj,'2026'!Wh/'2026'!Env_an*'2027'!Env_an,0.001*'[12]mon-tableau (1)'!$B$153)</f>
        <v>16.83243123402173</v>
      </c>
      <c r="C301" s="839"/>
      <c r="D301" s="393">
        <f t="shared" si="102"/>
        <v>18.627090362217352</v>
      </c>
      <c r="E301" s="385">
        <f t="shared" si="125"/>
        <v>19.678720509971779</v>
      </c>
      <c r="F301" s="385">
        <f t="shared" si="103"/>
        <v>20.402104156848143</v>
      </c>
      <c r="G301" s="110">
        <f t="shared" si="126"/>
        <v>0.65247697600213772</v>
      </c>
      <c r="H301" s="414" t="b">
        <f>Wh_hp&gt;='2026'!Maxi_hp</f>
        <v>0</v>
      </c>
      <c r="I301" s="390">
        <f>IF(H301,Wh_hp,'2026'!Maxi_hp)</f>
        <v>32.224976238135895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9.6346723685619612E-2</v>
      </c>
      <c r="M301" s="843"/>
      <c r="N301" s="843"/>
      <c r="O301" s="48">
        <f>IF(t&lt;Tnet,'2026'!Resal+('2026'!Salim-'2026'!Resal)*(1-EXP(('2026'!Tnet-t)/('2026'!Tau_j))),Resal+(Salim-Resal)*(1-EXP((Tnet-t)/(Tau_j))))*Salcycl</f>
        <v>5.343996563300623E-2</v>
      </c>
      <c r="P301" s="169">
        <f>(INDEX(Models!$BJ301:$BT301,,T301)*(1-R301)+INDEX(Models!$BJ301:$BT301,,T301+1)*R301-ERP_i)*Q301*Ramure*Pc/MaxiM</f>
        <v>6.6350214660395618E-2</v>
      </c>
      <c r="Q301" s="305">
        <f t="shared" si="105"/>
        <v>0.8</v>
      </c>
      <c r="R301" s="177">
        <f t="shared" si="106"/>
        <v>0.59617744966764619</v>
      </c>
      <c r="S301" s="809">
        <f t="shared" si="107"/>
        <v>3</v>
      </c>
      <c r="T301" s="176">
        <f t="shared" si="108"/>
        <v>9</v>
      </c>
      <c r="U301" s="251">
        <f t="shared" si="109"/>
        <v>3.5961774496676462</v>
      </c>
      <c r="V301" s="383">
        <f t="shared" si="110"/>
        <v>24.971450063103532</v>
      </c>
      <c r="W301" s="402">
        <f t="shared" si="111"/>
        <v>16.83243123402173</v>
      </c>
      <c r="X301" s="157">
        <f t="shared" si="112"/>
        <v>46674</v>
      </c>
      <c r="Y301" s="385">
        <f t="shared" si="113"/>
        <v>15.088243308293329</v>
      </c>
      <c r="Z301" s="385">
        <f t="shared" si="114"/>
        <v>16.696938642033029</v>
      </c>
      <c r="AA301" s="386">
        <f t="shared" si="115"/>
        <v>19.375883607650447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0.13826182175039764</v>
      </c>
      <c r="AD301" s="231">
        <f>(INDEX(Models!$BJ301:$BT301,,AH301)*(1-AF301)+INDEX(Models!$BJ301:$BT301,,AH301+1)*AF301-ERP_i)*AE301*Ramure*Pc/MaxiM</f>
        <v>9.4127029304843707E-2</v>
      </c>
      <c r="AE301" s="305">
        <f t="shared" si="117"/>
        <v>0.8</v>
      </c>
      <c r="AF301" s="177">
        <f t="shared" si="118"/>
        <v>0.79689419683255025</v>
      </c>
      <c r="AG301" s="809">
        <f t="shared" si="124"/>
        <v>4</v>
      </c>
      <c r="AH301" s="176">
        <f t="shared" si="119"/>
        <v>10</v>
      </c>
      <c r="AI301" s="225">
        <f t="shared" si="120"/>
        <v>4.7968941968325503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IF(t&gt;Tmaj,'2026'!Wh/'2026'!Env_an*'2027'!Env_an,0.001*'[12]mon-tableau (1)'!$B$154)</f>
        <v>24.319480067616176</v>
      </c>
      <c r="C302" s="839"/>
      <c r="D302" s="393">
        <f t="shared" si="102"/>
        <v>26.913042745916165</v>
      </c>
      <c r="E302" s="385">
        <f t="shared" si="125"/>
        <v>28.437125046441729</v>
      </c>
      <c r="F302" s="385">
        <f t="shared" si="103"/>
        <v>30.402636408586044</v>
      </c>
      <c r="G302" s="110">
        <f t="shared" si="126"/>
        <v>0.98433732671489038</v>
      </c>
      <c r="H302" s="414" t="b">
        <f>Wh_hp&gt;='2026'!Maxi_hp</f>
        <v>0</v>
      </c>
      <c r="I302" s="390">
        <f>IF(H302,Wh_hp,'2026'!Maxi_hp)</f>
        <v>30.440535467920558</v>
      </c>
      <c r="J302" s="85">
        <f>IF(H302,An,'2026'!An_max)</f>
        <v>2022</v>
      </c>
      <c r="K302" s="197">
        <f t="shared" si="104"/>
        <v>46675</v>
      </c>
      <c r="L302" s="147">
        <f>IF(t&lt;Tvie,1-EXP((T0-t)*PertePVj)+'2026'!Pspv,1-EXP((T0-t)*PertePVj)+Pspv)</f>
        <v>9.6368244303908807E-2</v>
      </c>
      <c r="M302" s="843"/>
      <c r="N302" s="843"/>
      <c r="O302" s="48">
        <f>IF(t&lt;Tnet,'2026'!Resal+('2026'!Salim-'2026'!Resal)*(1-EXP(('2026'!Tnet-t)/('2026'!Tau_j))),Resal+(Salim-Resal)*(1-EXP((Tnet-t)/(Tau_j))))*Salcycl</f>
        <v>5.3594809532838766E-2</v>
      </c>
      <c r="P302" s="169">
        <f>(INDEX(Models!$BJ302:$BT302,,T302)*(1-R302)+INDEX(Models!$BJ302:$BT302,,T302+1)*R302-ERP_i)*Q302*Ramure*Pc/MaxiM</f>
        <v>6.5992522538063744E-2</v>
      </c>
      <c r="Q302" s="305">
        <f t="shared" si="105"/>
        <v>0.8</v>
      </c>
      <c r="R302" s="177">
        <f t="shared" si="106"/>
        <v>0.59631240987488532</v>
      </c>
      <c r="S302" s="809">
        <f t="shared" si="107"/>
        <v>3</v>
      </c>
      <c r="T302" s="176">
        <f t="shared" si="108"/>
        <v>9</v>
      </c>
      <c r="U302" s="251">
        <f t="shared" si="109"/>
        <v>3.5963124098748853</v>
      </c>
      <c r="V302" s="383">
        <f t="shared" si="110"/>
        <v>24.670970999240598</v>
      </c>
      <c r="W302" s="402">
        <f t="shared" si="111"/>
        <v>24.319480067616176</v>
      </c>
      <c r="X302" s="157">
        <f t="shared" si="112"/>
        <v>46675</v>
      </c>
      <c r="Y302" s="385">
        <f t="shared" si="113"/>
        <v>21.477857959059254</v>
      </c>
      <c r="Z302" s="385">
        <f t="shared" si="114"/>
        <v>23.768374477404567</v>
      </c>
      <c r="AA302" s="386">
        <f t="shared" si="115"/>
        <v>27.581550358304195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0.13825096237752157</v>
      </c>
      <c r="AD302" s="231">
        <f>(INDEX(Models!$BJ302:$BT302,,AH302)*(1-AF302)+INDEX(Models!$BJ302:$BT302,,AH302+1)*AF302-ERP_i)*AE302*Ramure*Pc/MaxiM</f>
        <v>9.4718651003846327E-2</v>
      </c>
      <c r="AE302" s="305">
        <f t="shared" si="117"/>
        <v>0.8</v>
      </c>
      <c r="AF302" s="177">
        <f t="shared" si="118"/>
        <v>0.79702915703978938</v>
      </c>
      <c r="AG302" s="809">
        <f t="shared" si="124"/>
        <v>4</v>
      </c>
      <c r="AH302" s="176">
        <f t="shared" si="119"/>
        <v>10</v>
      </c>
      <c r="AI302" s="225">
        <f t="shared" si="120"/>
        <v>4.7970291570397894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IF(t&gt;Tmaj,'2026'!Wh/'2026'!Env_an*'2027'!Env_an,0.001*'[12]mon-tableau (1)'!$B$155)</f>
        <v>22.897213653455815</v>
      </c>
      <c r="C303" s="839"/>
      <c r="D303" s="393">
        <f t="shared" si="102"/>
        <v>25.339701512780895</v>
      </c>
      <c r="E303" s="385">
        <f t="shared" si="125"/>
        <v>26.779034201723935</v>
      </c>
      <c r="F303" s="385">
        <f t="shared" si="103"/>
        <v>28.48984718178507</v>
      </c>
      <c r="G303" s="110">
        <f t="shared" si="126"/>
        <v>0.93390306125799682</v>
      </c>
      <c r="H303" s="414" t="b">
        <f>Wh_hp&gt;='2026'!Maxi_hp</f>
        <v>0</v>
      </c>
      <c r="I303" s="390">
        <f>IF(H303,Wh_hp,'2026'!Maxi_hp)</f>
        <v>30.080595648759999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9.6389764421381724E-2</v>
      </c>
      <c r="M303" s="843"/>
      <c r="N303" s="843"/>
      <c r="O303" s="48">
        <f>IF(t&lt;Tnet,'2026'!Resal+('2026'!Salim-'2026'!Resal)*(1-EXP(('2026'!Tnet-t)/('2026'!Tau_j))),Resal+(Salim-Resal)*(1-EXP((Tnet-t)/(Tau_j))))*Salcycl</f>
        <v>5.3748491379512868E-2</v>
      </c>
      <c r="P303" s="169">
        <f>(INDEX(Models!$BJ303:$BT303,,T303)*(1-R303)+INDEX(Models!$BJ303:$BT303,,T303+1)*R303-ERP_i)*Q303*Ramure*Pc/MaxiM</f>
        <v>6.5723324201565542E-2</v>
      </c>
      <c r="Q303" s="305">
        <f t="shared" si="105"/>
        <v>0.8</v>
      </c>
      <c r="R303" s="177">
        <f t="shared" si="106"/>
        <v>0.59644199352444538</v>
      </c>
      <c r="S303" s="809">
        <f t="shared" si="107"/>
        <v>3</v>
      </c>
      <c r="T303" s="176">
        <f t="shared" si="108"/>
        <v>9</v>
      </c>
      <c r="U303" s="251">
        <f t="shared" si="109"/>
        <v>3.5964419935244454</v>
      </c>
      <c r="V303" s="383">
        <f t="shared" si="110"/>
        <v>24.369776947457918</v>
      </c>
      <c r="W303" s="402">
        <f t="shared" si="111"/>
        <v>22.897213653455815</v>
      </c>
      <c r="X303" s="157">
        <f t="shared" si="112"/>
        <v>46676</v>
      </c>
      <c r="Y303" s="385">
        <f t="shared" si="113"/>
        <v>20.250872844840302</v>
      </c>
      <c r="Z303" s="385">
        <f t="shared" si="114"/>
        <v>22.411070666848794</v>
      </c>
      <c r="AA303" s="386">
        <f t="shared" si="115"/>
        <v>26.006106529537057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0.13823814259182224</v>
      </c>
      <c r="AD303" s="231">
        <f>(INDEX(Models!$BJ303:$BT303,,AH303)*(1-AF303)+INDEX(Models!$BJ303:$BT303,,AH303+1)*AF303-ERP_i)*AE303*Ramure*Pc/MaxiM</f>
        <v>9.5416444709503279E-2</v>
      </c>
      <c r="AE303" s="305">
        <f t="shared" si="117"/>
        <v>0.8</v>
      </c>
      <c r="AF303" s="177">
        <f t="shared" si="118"/>
        <v>0.79715874068934856</v>
      </c>
      <c r="AG303" s="809">
        <f t="shared" si="124"/>
        <v>4</v>
      </c>
      <c r="AH303" s="176">
        <f t="shared" si="119"/>
        <v>10</v>
      </c>
      <c r="AI303" s="225">
        <f t="shared" si="120"/>
        <v>4.7971587406893486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IF(t&gt;Tmaj,'2026'!Wh/'2026'!Env_an*'2027'!Env_an,0.001*'[12]mon-tableau (1)'!$B$156)</f>
        <v>15.236082906316112</v>
      </c>
      <c r="C304" s="839"/>
      <c r="D304" s="393">
        <f t="shared" si="102"/>
        <v>16.861745434808753</v>
      </c>
      <c r="E304" s="385">
        <f t="shared" si="125"/>
        <v>17.822390554985393</v>
      </c>
      <c r="F304" s="385">
        <f t="shared" si="103"/>
        <v>18.396293295492896</v>
      </c>
      <c r="G304" s="110">
        <f t="shared" si="126"/>
        <v>0.61060845393672858</v>
      </c>
      <c r="H304" s="414" t="b">
        <f>Wh_hp&gt;='2026'!Maxi_hp</f>
        <v>0</v>
      </c>
      <c r="I304" s="390">
        <f>IF(H304,Wh_hp,'2026'!Maxi_hp)</f>
        <v>27.817595190845999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9.6411284038050132E-2</v>
      </c>
      <c r="M304" s="843"/>
      <c r="N304" s="843"/>
      <c r="O304" s="48">
        <f>IF(t&lt;Tnet,'2026'!Resal+('2026'!Salim-'2026'!Resal)*(1-EXP(('2026'!Tnet-t)/('2026'!Tau_j))),Resal+(Salim-Resal)*(1-EXP((Tnet-t)/(Tau_j))))*Salcycl</f>
        <v>5.390102507364946E-2</v>
      </c>
      <c r="P304" s="169">
        <f>(INDEX(Models!$BJ304:$BT304,,T304)*(1-R304)+INDEX(Models!$BJ304:$BT304,,T304+1)*R304-ERP_i)*Q304*Ramure*Pc/MaxiM</f>
        <v>6.5565395157582293E-2</v>
      </c>
      <c r="Q304" s="305">
        <f t="shared" si="105"/>
        <v>0.8</v>
      </c>
      <c r="R304" s="177">
        <f t="shared" si="106"/>
        <v>0.59656641260273879</v>
      </c>
      <c r="S304" s="809">
        <f t="shared" si="107"/>
        <v>3</v>
      </c>
      <c r="T304" s="176">
        <f t="shared" si="108"/>
        <v>9</v>
      </c>
      <c r="U304" s="251">
        <f t="shared" si="109"/>
        <v>3.5965664126027388</v>
      </c>
      <c r="V304" s="383">
        <f t="shared" si="110"/>
        <v>24.067101864746515</v>
      </c>
      <c r="W304" s="402">
        <f t="shared" si="111"/>
        <v>15.236082906316112</v>
      </c>
      <c r="X304" s="157">
        <f t="shared" si="112"/>
        <v>46677</v>
      </c>
      <c r="Y304" s="385">
        <f t="shared" si="113"/>
        <v>13.66948530653085</v>
      </c>
      <c r="Z304" s="385">
        <f t="shared" si="114"/>
        <v>15.12799470052974</v>
      </c>
      <c r="AA304" s="386">
        <f t="shared" si="115"/>
        <v>17.554427577401611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0.13822341208069347</v>
      </c>
      <c r="AD304" s="231">
        <f>(INDEX(Models!$BJ304:$BT304,,AH304)*(1-AF304)+INDEX(Models!$BJ304:$BT304,,AH304+1)*AF304-ERP_i)*AE304*Ramure*Pc/MaxiM</f>
        <v>9.6178767899706669E-2</v>
      </c>
      <c r="AE304" s="305">
        <f t="shared" si="117"/>
        <v>0.8</v>
      </c>
      <c r="AF304" s="177">
        <f t="shared" si="118"/>
        <v>0.79728315976764286</v>
      </c>
      <c r="AG304" s="809">
        <f t="shared" si="124"/>
        <v>4</v>
      </c>
      <c r="AH304" s="176">
        <f t="shared" si="119"/>
        <v>10</v>
      </c>
      <c r="AI304" s="225">
        <f t="shared" si="120"/>
        <v>4.7972831597676429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IF(t&gt;Tmaj,'2026'!Wh/'2026'!Env_an*'2027'!Env_an,0.001*'[12]mon-tableau (1)'!$B$157)</f>
        <v>22.63831562450947</v>
      </c>
      <c r="C305" s="839"/>
      <c r="D305" s="393">
        <f t="shared" si="102"/>
        <v>25.054379689224135</v>
      </c>
      <c r="E305" s="385">
        <f t="shared" si="125"/>
        <v>26.486012988867213</v>
      </c>
      <c r="F305" s="385">
        <f t="shared" si="103"/>
        <v>28.207530478315764</v>
      </c>
      <c r="G305" s="110">
        <f t="shared" si="126"/>
        <v>0.94810774244949403</v>
      </c>
      <c r="H305" s="414" t="b">
        <f>Wh_hp&gt;='2026'!Maxi_hp</f>
        <v>0</v>
      </c>
      <c r="I305" s="390">
        <f>IF(H305,Wh_hp,'2026'!Maxi_hp)</f>
        <v>30.068535736268366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9.6432803153925689E-2</v>
      </c>
      <c r="M305" s="843"/>
      <c r="N305" s="843"/>
      <c r="O305" s="48">
        <f>IF(t&lt;Tnet,'2026'!Resal+('2026'!Salim-'2026'!Resal)*(1-EXP(('2026'!Tnet-t)/('2026'!Tau_j))),Resal+(Salim-Resal)*(1-EXP((Tnet-t)/(Tau_j))))*Salcycl</f>
        <v>5.4052427605651064E-2</v>
      </c>
      <c r="P305" s="169">
        <f>(INDEX(Models!$BJ305:$BT305,,T305)*(1-R305)+INDEX(Models!$BJ305:$BT305,,T305+1)*R305-ERP_i)*Q305*Ramure*Pc/MaxiM</f>
        <v>6.5462770293422012E-2</v>
      </c>
      <c r="Q305" s="305">
        <f t="shared" si="105"/>
        <v>0.8</v>
      </c>
      <c r="R305" s="177">
        <f t="shared" si="106"/>
        <v>0.59668587091126746</v>
      </c>
      <c r="S305" s="809">
        <f t="shared" si="107"/>
        <v>3</v>
      </c>
      <c r="T305" s="176">
        <f t="shared" si="108"/>
        <v>9</v>
      </c>
      <c r="U305" s="251">
        <f t="shared" si="109"/>
        <v>3.5966858709112675</v>
      </c>
      <c r="V305" s="383">
        <f t="shared" si="110"/>
        <v>23.764654412340484</v>
      </c>
      <c r="W305" s="402">
        <f t="shared" si="111"/>
        <v>22.63831562450947</v>
      </c>
      <c r="X305" s="157">
        <f t="shared" si="112"/>
        <v>46678</v>
      </c>
      <c r="Y305" s="385">
        <f t="shared" si="113"/>
        <v>19.980681998538252</v>
      </c>
      <c r="Z305" s="385">
        <f t="shared" si="114"/>
        <v>22.113111308468657</v>
      </c>
      <c r="AA305" s="386">
        <f t="shared" si="115"/>
        <v>25.659418084728056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0.13820682778344406</v>
      </c>
      <c r="AD305" s="231">
        <f>(INDEX(Models!$BJ305:$BT305,,AH305)*(1-AF305)+INDEX(Models!$BJ305:$BT305,,AH305+1)*AF305-ERP_i)*AE305*Ramure*Pc/MaxiM</f>
        <v>9.6895034366851845E-2</v>
      </c>
      <c r="AE305" s="305">
        <f t="shared" si="117"/>
        <v>0.8</v>
      </c>
      <c r="AF305" s="177">
        <f t="shared" si="118"/>
        <v>0.79740261807617152</v>
      </c>
      <c r="AG305" s="809">
        <f t="shared" si="124"/>
        <v>4</v>
      </c>
      <c r="AH305" s="176">
        <f t="shared" si="119"/>
        <v>10</v>
      </c>
      <c r="AI305" s="225">
        <f t="shared" si="120"/>
        <v>4.7974026180761715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IF(t&gt;Tmaj,'2026'!Wh/'2026'!Env_an*'2027'!Env_an,0.001*'[12]mon-tableau (1)'!$B$158)</f>
        <v>11.915780323425793</v>
      </c>
      <c r="C306" s="839"/>
      <c r="D306" s="393">
        <f t="shared" si="102"/>
        <v>13.187800695096318</v>
      </c>
      <c r="E306" s="385">
        <f t="shared" si="125"/>
        <v>13.943580681973943</v>
      </c>
      <c r="F306" s="385">
        <f t="shared" si="103"/>
        <v>14.219802348311683</v>
      </c>
      <c r="G306" s="110">
        <f t="shared" si="126"/>
        <v>0.48404195319844551</v>
      </c>
      <c r="H306" s="414" t="b">
        <f>Wh_hp&gt;='2026'!Maxi_hp</f>
        <v>0</v>
      </c>
      <c r="I306" s="390">
        <f>IF(H306,Wh_hp,'2026'!Maxi_hp)</f>
        <v>28.870083274747984</v>
      </c>
      <c r="J306" s="85">
        <f>IF(H306,An,'2026'!An_max)</f>
        <v>2021</v>
      </c>
      <c r="K306" s="197">
        <f t="shared" si="104"/>
        <v>46679</v>
      </c>
      <c r="L306" s="147">
        <f>IF(t&lt;Tvie,1-EXP((T0-t)*PertePVj)+'2026'!Pspv,1-EXP((T0-t)*PertePVj)+Pspv)</f>
        <v>9.6454321769019941E-2</v>
      </c>
      <c r="M306" s="843"/>
      <c r="N306" s="843"/>
      <c r="O306" s="48">
        <f>IF(t&lt;Tnet,'2026'!Resal+('2026'!Salim-'2026'!Resal)*(1-EXP(('2026'!Tnet-t)/('2026'!Tau_j))),Resal+(Salim-Resal)*(1-EXP((Tnet-t)/(Tau_j))))*Salcycl</f>
        <v>5.4202719094578473E-2</v>
      </c>
      <c r="P306" s="169">
        <f>(INDEX(Models!$BJ306:$BT306,,T306)*(1-R306)+INDEX(Models!$BJ306:$BT306,,T306+1)*R306-ERP_i)*Q306*Ramure*Pc/MaxiM</f>
        <v>6.5416497934187884E-2</v>
      </c>
      <c r="Q306" s="305">
        <f t="shared" si="105"/>
        <v>0.8</v>
      </c>
      <c r="R306" s="177">
        <f t="shared" si="106"/>
        <v>0.59680056436898354</v>
      </c>
      <c r="S306" s="809">
        <f t="shared" si="107"/>
        <v>3</v>
      </c>
      <c r="T306" s="176">
        <f t="shared" si="108"/>
        <v>9</v>
      </c>
      <c r="U306" s="251">
        <f t="shared" si="109"/>
        <v>3.5968005643689835</v>
      </c>
      <c r="V306" s="383">
        <f t="shared" si="110"/>
        <v>23.462637970629</v>
      </c>
      <c r="W306" s="402">
        <f t="shared" si="111"/>
        <v>11.915780323425793</v>
      </c>
      <c r="X306" s="157">
        <f t="shared" si="112"/>
        <v>46679</v>
      </c>
      <c r="Y306" s="385">
        <f t="shared" si="113"/>
        <v>10.751972466063217</v>
      </c>
      <c r="Z306" s="385">
        <f t="shared" si="114"/>
        <v>11.899755291967221</v>
      </c>
      <c r="AA306" s="386">
        <f t="shared" si="115"/>
        <v>13.807839249385145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0.13818845388882181</v>
      </c>
      <c r="AD306" s="231">
        <f>(INDEX(Models!$BJ306:$BT306,,AH306)*(1-AF306)+INDEX(Models!$BJ306:$BT306,,AH306+1)*AF306-ERP_i)*AE306*Ramure*Pc/MaxiM</f>
        <v>9.7563611020065333E-2</v>
      </c>
      <c r="AE306" s="305">
        <f t="shared" si="117"/>
        <v>0.8</v>
      </c>
      <c r="AF306" s="177">
        <f t="shared" si="118"/>
        <v>0.79751731153388761</v>
      </c>
      <c r="AG306" s="809">
        <f t="shared" si="124"/>
        <v>4</v>
      </c>
      <c r="AH306" s="176">
        <f t="shared" si="119"/>
        <v>10</v>
      </c>
      <c r="AI306" s="225">
        <f t="shared" si="120"/>
        <v>4.7975173115338876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IF(t&gt;Tmaj,'2026'!Wh/'2026'!Env_an*'2027'!Env_an,0.001*'[12]mon-tableau (1)'!$B$159)</f>
        <v>5.2991122570094458</v>
      </c>
      <c r="C307" s="839"/>
      <c r="D307" s="393">
        <f t="shared" si="102"/>
        <v>5.8649369778061811</v>
      </c>
      <c r="E307" s="385">
        <f t="shared" si="125"/>
        <v>6.2020291895764128</v>
      </c>
      <c r="F307" s="385">
        <f t="shared" si="103"/>
        <v>6.2020291895764128</v>
      </c>
      <c r="G307" s="110">
        <f t="shared" si="126"/>
        <v>0.21382276580802392</v>
      </c>
      <c r="H307" s="414" t="b">
        <f>Wh_hp&gt;='2026'!Maxi_hp</f>
        <v>0</v>
      </c>
      <c r="I307" s="390">
        <f>IF(H307,Wh_hp,'2026'!Maxi_hp)</f>
        <v>24.548923439144371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9.6475839883344544E-2</v>
      </c>
      <c r="M307" s="843"/>
      <c r="N307" s="843"/>
      <c r="O307" s="48">
        <f>IF(t&lt;Tnet,'2026'!Resal+('2026'!Salim-'2026'!Resal)*(1-EXP(('2026'!Tnet-t)/('2026'!Tau_j))),Resal+(Salim-Resal)*(1-EXP((Tnet-t)/(Tau_j))))*Salcycl</f>
        <v>5.4351922808872549E-2</v>
      </c>
      <c r="P307" s="169">
        <f>(INDEX(Models!$BJ307:$BT307,,T307)*(1-R307)+INDEX(Models!$BJ307:$BT307,,T307+1)*R307-ERP_i)*Q307*Ramure*Pc/MaxiM</f>
        <v>6.5427635145313578E-2</v>
      </c>
      <c r="Q307" s="305">
        <f t="shared" si="105"/>
        <v>0.8</v>
      </c>
      <c r="R307" s="177">
        <f t="shared" si="106"/>
        <v>0.5969106813045757</v>
      </c>
      <c r="S307" s="809">
        <f t="shared" si="107"/>
        <v>3</v>
      </c>
      <c r="T307" s="176">
        <f t="shared" si="108"/>
        <v>9</v>
      </c>
      <c r="U307" s="251">
        <f t="shared" si="109"/>
        <v>3.5969106813045757</v>
      </c>
      <c r="V307" s="383">
        <f t="shared" si="110"/>
        <v>23.161256262629117</v>
      </c>
      <c r="W307" s="402">
        <f t="shared" si="111"/>
        <v>5.2991122570094458</v>
      </c>
      <c r="X307" s="157">
        <f t="shared" si="112"/>
        <v>46680</v>
      </c>
      <c r="Y307" s="385">
        <f t="shared" si="113"/>
        <v>4.8294314848051316</v>
      </c>
      <c r="Z307" s="385">
        <f t="shared" si="114"/>
        <v>5.3451049766965788</v>
      </c>
      <c r="AA307" s="386">
        <f t="shared" si="115"/>
        <v>6.2020291895764128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0.138168361787146</v>
      </c>
      <c r="AD307" s="231">
        <f>(INDEX(Models!$BJ307:$BT307,,AH307)*(1-AF307)+INDEX(Models!$BJ307:$BT307,,AH307+1)*AF307-ERP_i)*AE307*Ramure*Pc/MaxiM</f>
        <v>9.818287352554346E-2</v>
      </c>
      <c r="AE307" s="305">
        <f t="shared" si="117"/>
        <v>0.8</v>
      </c>
      <c r="AF307" s="177">
        <f t="shared" si="118"/>
        <v>0.79762742846947887</v>
      </c>
      <c r="AG307" s="809">
        <f t="shared" si="124"/>
        <v>4</v>
      </c>
      <c r="AH307" s="176">
        <f t="shared" si="119"/>
        <v>10</v>
      </c>
      <c r="AI307" s="225">
        <f t="shared" si="120"/>
        <v>4.7976274284694789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IF(t&gt;Tmaj,'2026'!Wh/'2026'!Env_an*'2027'!Env_an,0.001*'[12]mon-tableau (1)'!$B$160)</f>
        <v>12.384131816788129</v>
      </c>
      <c r="C308" s="839"/>
      <c r="D308" s="393">
        <f t="shared" si="102"/>
        <v>13.706801988402363</v>
      </c>
      <c r="E308" s="385">
        <f t="shared" si="125"/>
        <v>14.496883059903098</v>
      </c>
      <c r="F308" s="385">
        <f t="shared" si="103"/>
        <v>14.83234989434979</v>
      </c>
      <c r="G308" s="110">
        <f t="shared" si="126"/>
        <v>0.51795460778161151</v>
      </c>
      <c r="H308" s="414" t="b">
        <f>Wh_hp&gt;='2026'!Maxi_hp</f>
        <v>0</v>
      </c>
      <c r="I308" s="390">
        <f>IF(H308,Wh_hp,'2026'!Maxi_hp)</f>
        <v>22.767117495614556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9.6497357496911157E-2</v>
      </c>
      <c r="M308" s="843"/>
      <c r="N308" s="843"/>
      <c r="O308" s="48">
        <f>IF(t&lt;Tnet,'2026'!Resal+('2026'!Salim-'2026'!Resal)*(1-EXP(('2026'!Tnet-t)/('2026'!Tau_j))),Resal+(Salim-Resal)*(1-EXP((Tnet-t)/(Tau_j))))*Salcycl</f>
        <v>5.4500065168216656E-2</v>
      </c>
      <c r="P308" s="169">
        <f>(INDEX(Models!$BJ308:$BT308,,T308)*(1-R308)+INDEX(Models!$BJ308:$BT308,,T308+1)*R308-ERP_i)*Q308*Ramure*Pc/MaxiM</f>
        <v>6.5497243847288972E-2</v>
      </c>
      <c r="Q308" s="305">
        <f t="shared" si="105"/>
        <v>0.8</v>
      </c>
      <c r="R308" s="177">
        <f t="shared" si="106"/>
        <v>0.59701640273891821</v>
      </c>
      <c r="S308" s="809">
        <f t="shared" si="107"/>
        <v>3</v>
      </c>
      <c r="T308" s="176">
        <f t="shared" si="108"/>
        <v>9</v>
      </c>
      <c r="U308" s="251">
        <f t="shared" si="109"/>
        <v>3.5970164027389182</v>
      </c>
      <c r="V308" s="383">
        <f t="shared" si="110"/>
        <v>22.860713339855163</v>
      </c>
      <c r="W308" s="402">
        <f t="shared" si="111"/>
        <v>12.384131816788129</v>
      </c>
      <c r="X308" s="157">
        <f t="shared" si="112"/>
        <v>46681</v>
      </c>
      <c r="Y308" s="385">
        <f t="shared" si="113"/>
        <v>11.155904174769022</v>
      </c>
      <c r="Z308" s="385">
        <f t="shared" si="114"/>
        <v>12.347395181780978</v>
      </c>
      <c r="AA308" s="386">
        <f t="shared" si="115"/>
        <v>14.326561351659608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0.13814662997617075</v>
      </c>
      <c r="AD308" s="231">
        <f>(INDEX(Models!$BJ308:$BT308,,AH308)*(1-AF308)+INDEX(Models!$BJ308:$BT308,,AH308+1)*AF308-ERP_i)*AE308*Ramure*Pc/MaxiM</f>
        <v>9.8751209103527512E-2</v>
      </c>
      <c r="AE308" s="305">
        <f t="shared" si="117"/>
        <v>0.8</v>
      </c>
      <c r="AF308" s="177">
        <f t="shared" si="118"/>
        <v>0.79773314990382183</v>
      </c>
      <c r="AG308" s="809">
        <f t="shared" si="124"/>
        <v>4</v>
      </c>
      <c r="AH308" s="176">
        <f t="shared" si="119"/>
        <v>10</v>
      </c>
      <c r="AI308" s="225">
        <f t="shared" si="120"/>
        <v>4.7977331499038218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IF(t&gt;Tmaj,'2026'!Wh/'2026'!Env_an*'2027'!Env_an,0.001*'[12]mon-tableau (1)'!$B$161)</f>
        <v>21.579629709141255</v>
      </c>
      <c r="C309" s="839"/>
      <c r="D309" s="393">
        <f t="shared" si="102"/>
        <v>23.884981216203823</v>
      </c>
      <c r="E309" s="385">
        <f t="shared" si="125"/>
        <v>25.265679228859486</v>
      </c>
      <c r="F309" s="385">
        <f t="shared" si="103"/>
        <v>26.922703365032753</v>
      </c>
      <c r="G309" s="110">
        <f t="shared" si="126"/>
        <v>0.95233508655786547</v>
      </c>
      <c r="H309" s="414" t="b">
        <f>Wh_hp&gt;='2026'!Maxi_hp</f>
        <v>0</v>
      </c>
      <c r="I309" s="390">
        <f>IF(H309,Wh_hp,'2026'!Maxi_hp)</f>
        <v>27.02636286510641</v>
      </c>
      <c r="J309" s="85">
        <f>IF(H309,An,'2026'!An_max)</f>
        <v>2022</v>
      </c>
      <c r="K309" s="197">
        <f t="shared" si="104"/>
        <v>46682</v>
      </c>
      <c r="L309" s="147">
        <f>IF(t&lt;Tvie,1-EXP((T0-t)*PertePVj)+'2026'!Pspv,1-EXP((T0-t)*PertePVj)+Pspv)</f>
        <v>9.6518874609731548E-2</v>
      </c>
      <c r="M309" s="843"/>
      <c r="N309" s="843"/>
      <c r="O309" s="48">
        <f>IF(t&lt;Tnet,'2026'!Resal+('2026'!Salim-'2026'!Resal)*(1-EXP(('2026'!Tnet-t)/('2026'!Tau_j))),Resal+(Salim-Resal)*(1-EXP((Tnet-t)/(Tau_j))))*Salcycl</f>
        <v>5.4647175725977576E-2</v>
      </c>
      <c r="P309" s="169">
        <f>(INDEX(Models!$BJ309:$BT309,,T309)*(1-R309)+INDEX(Models!$BJ309:$BT309,,T309+1)*R309-ERP_i)*Q309*Ramure*Pc/MaxiM</f>
        <v>6.5626386773395856E-2</v>
      </c>
      <c r="Q309" s="305">
        <f t="shared" si="105"/>
        <v>0.8</v>
      </c>
      <c r="R309" s="177">
        <f t="shared" si="106"/>
        <v>0.59711790265793319</v>
      </c>
      <c r="S309" s="809">
        <f t="shared" si="107"/>
        <v>3</v>
      </c>
      <c r="T309" s="176">
        <f t="shared" si="108"/>
        <v>9</v>
      </c>
      <c r="U309" s="251">
        <f t="shared" si="109"/>
        <v>3.5971179026579332</v>
      </c>
      <c r="V309" s="383">
        <f t="shared" si="110"/>
        <v>22.5612135640216</v>
      </c>
      <c r="W309" s="402">
        <f t="shared" si="111"/>
        <v>21.579629709141255</v>
      </c>
      <c r="X309" s="157">
        <f t="shared" si="112"/>
        <v>46682</v>
      </c>
      <c r="Y309" s="385">
        <f t="shared" si="113"/>
        <v>19.01269176388131</v>
      </c>
      <c r="Z309" s="385">
        <f t="shared" si="114"/>
        <v>21.043817330072692</v>
      </c>
      <c r="AA309" s="386">
        <f t="shared" si="115"/>
        <v>24.416274859779474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0.1381233439201725</v>
      </c>
      <c r="AD309" s="231">
        <f>(INDEX(Models!$BJ309:$BT309,,AH309)*(1-AF309)+INDEX(Models!$BJ309:$BT309,,AH309+1)*AF309-ERP_i)*AE309*Ramure*Pc/MaxiM</f>
        <v>9.926701905832494E-2</v>
      </c>
      <c r="AE309" s="305">
        <f t="shared" si="117"/>
        <v>0.8</v>
      </c>
      <c r="AF309" s="177">
        <f t="shared" si="118"/>
        <v>0.79783464982283725</v>
      </c>
      <c r="AG309" s="809">
        <f t="shared" si="124"/>
        <v>4</v>
      </c>
      <c r="AH309" s="176">
        <f t="shared" si="119"/>
        <v>10</v>
      </c>
      <c r="AI309" s="225">
        <f t="shared" si="120"/>
        <v>4.7978346498228372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IF(t&gt;Tmaj,'2026'!Wh/'2026'!Env_an*'2027'!Env_an,0.001*'[12]mon-tableau (1)'!$B$162)</f>
        <v>13.382061199444346</v>
      </c>
      <c r="C310" s="839"/>
      <c r="D310" s="393">
        <f t="shared" si="102"/>
        <v>14.812019341453379</v>
      </c>
      <c r="E310" s="385">
        <f t="shared" si="125"/>
        <v>15.670666680420574</v>
      </c>
      <c r="F310" s="385">
        <f t="shared" si="103"/>
        <v>16.127276153090282</v>
      </c>
      <c r="G310" s="110">
        <f t="shared" si="126"/>
        <v>0.57789108114347487</v>
      </c>
      <c r="H310" s="414" t="b">
        <f>Wh_hp&gt;='2026'!Maxi_hp</f>
        <v>0</v>
      </c>
      <c r="I310" s="390">
        <f>IF(H310,Wh_hp,'2026'!Maxi_hp)</f>
        <v>29.192406870940115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9.6540391221817262E-2</v>
      </c>
      <c r="M310" s="843"/>
      <c r="N310" s="843"/>
      <c r="O310" s="48">
        <f>IF(t&lt;Tnet,'2026'!Resal+('2026'!Salim-'2026'!Resal)*(1-EXP(('2026'!Tnet-t)/('2026'!Tau_j))),Resal+(Salim-Resal)*(1-EXP((Tnet-t)/(Tau_j))))*Salcycl</f>
        <v>5.4793287131811419E-2</v>
      </c>
      <c r="P310" s="169">
        <f>(INDEX(Models!$BJ310:$BT310,,T310)*(1-R310)+INDEX(Models!$BJ310:$BT310,,T310+1)*R310-ERP_i)*Q310*Ramure*Pc/MaxiM</f>
        <v>6.5823053979805313E-2</v>
      </c>
      <c r="Q310" s="305">
        <f t="shared" si="105"/>
        <v>0.8</v>
      </c>
      <c r="R310" s="177">
        <f t="shared" si="106"/>
        <v>0.59721534827611933</v>
      </c>
      <c r="S310" s="809">
        <f t="shared" si="107"/>
        <v>3</v>
      </c>
      <c r="T310" s="176">
        <f t="shared" si="108"/>
        <v>9</v>
      </c>
      <c r="U310" s="251">
        <f t="shared" si="109"/>
        <v>3.5972153482761193</v>
      </c>
      <c r="V310" s="383">
        <f t="shared" si="110"/>
        <v>22.262796405345298</v>
      </c>
      <c r="W310" s="402">
        <f t="shared" si="111"/>
        <v>13.382061199444346</v>
      </c>
      <c r="X310" s="157">
        <f t="shared" si="112"/>
        <v>46683</v>
      </c>
      <c r="Y310" s="385">
        <f t="shared" si="113"/>
        <v>12.019565245161226</v>
      </c>
      <c r="Z310" s="385">
        <f t="shared" si="114"/>
        <v>13.303932050062759</v>
      </c>
      <c r="AA310" s="386">
        <f t="shared" si="115"/>
        <v>15.435561406667242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0.13809859586213352</v>
      </c>
      <c r="AD310" s="231">
        <f>(INDEX(Models!$BJ310:$BT310,,AH310)*(1-AF310)+INDEX(Models!$BJ310:$BT310,,AH310+1)*AF310-ERP_i)*AE310*Ramure*Pc/MaxiM</f>
        <v>9.9714920118107134E-2</v>
      </c>
      <c r="AE310" s="305">
        <f t="shared" si="117"/>
        <v>0.8</v>
      </c>
      <c r="AF310" s="177">
        <f t="shared" si="118"/>
        <v>0.79793209544102339</v>
      </c>
      <c r="AG310" s="809">
        <f t="shared" si="124"/>
        <v>4</v>
      </c>
      <c r="AH310" s="176">
        <f t="shared" si="119"/>
        <v>10</v>
      </c>
      <c r="AI310" s="225">
        <f t="shared" si="120"/>
        <v>4.7979320954410234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IF(t&gt;Tmaj,'2026'!Wh/'2026'!Env_an*'2027'!Env_an,0.001*'[12]mon-tableau (1)'!$B$163)</f>
        <v>16.046336153366017</v>
      </c>
      <c r="C311" s="839"/>
      <c r="D311" s="393">
        <f t="shared" si="102"/>
        <v>17.761411970132372</v>
      </c>
      <c r="E311" s="385">
        <f t="shared" si="125"/>
        <v>18.793920554293702</v>
      </c>
      <c r="F311" s="385">
        <f t="shared" si="103"/>
        <v>19.589528453205656</v>
      </c>
      <c r="G311" s="110">
        <f t="shared" si="126"/>
        <v>0.7111214529036477</v>
      </c>
      <c r="H311" s="414" t="b">
        <f>Wh_hp&gt;='2026'!Maxi_hp</f>
        <v>0</v>
      </c>
      <c r="I311" s="390">
        <f>IF(H311,Wh_hp,'2026'!Maxi_hp)</f>
        <v>28.410947539123171</v>
      </c>
      <c r="J311" s="85">
        <f>IF(H311,An,'2026'!An_max)</f>
        <v>2018</v>
      </c>
      <c r="K311" s="197">
        <f t="shared" si="104"/>
        <v>46684</v>
      </c>
      <c r="L311" s="147">
        <f>IF(t&lt;Tvie,1-EXP((T0-t)*PertePVj)+'2026'!Pspv,1-EXP((T0-t)*PertePVj)+Pspv)</f>
        <v>9.6561907333179958E-2</v>
      </c>
      <c r="M311" s="843"/>
      <c r="N311" s="843"/>
      <c r="O311" s="48">
        <f>IF(t&lt;Tnet,'2026'!Resal+('2026'!Salim-'2026'!Resal)*(1-EXP(('2026'!Tnet-t)/('2026'!Tau_j))),Resal+(Salim-Resal)*(1-EXP((Tnet-t)/(Tau_j))))*Salcycl</f>
        <v>5.4938435074178289E-2</v>
      </c>
      <c r="P311" s="169">
        <f>(INDEX(Models!$BJ311:$BT311,,T311)*(1-R311)+INDEX(Models!$BJ311:$BT311,,T311+1)*R311-ERP_i)*Q311*Ramure*Pc/MaxiM</f>
        <v>6.6041645340968361E-2</v>
      </c>
      <c r="Q311" s="305">
        <f t="shared" si="105"/>
        <v>0.8</v>
      </c>
      <c r="R311" s="177">
        <f t="shared" si="106"/>
        <v>0.5973089002909906</v>
      </c>
      <c r="S311" s="809">
        <f t="shared" si="107"/>
        <v>3</v>
      </c>
      <c r="T311" s="176">
        <f t="shared" si="108"/>
        <v>9</v>
      </c>
      <c r="U311" s="251">
        <f t="shared" si="109"/>
        <v>3.5973089002909906</v>
      </c>
      <c r="V311" s="383">
        <f t="shared" si="110"/>
        <v>21.966770476102003</v>
      </c>
      <c r="W311" s="402">
        <f t="shared" si="111"/>
        <v>16.046336153366017</v>
      </c>
      <c r="X311" s="157">
        <f t="shared" si="112"/>
        <v>46684</v>
      </c>
      <c r="Y311" s="385">
        <f t="shared" si="113"/>
        <v>14.315338133608734</v>
      </c>
      <c r="Z311" s="385">
        <f t="shared" si="114"/>
        <v>15.845400199311834</v>
      </c>
      <c r="AA311" s="386">
        <f t="shared" si="115"/>
        <v>18.383680664564135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0.13807248458928137</v>
      </c>
      <c r="AD311" s="231">
        <f>(INDEX(Models!$BJ311:$BT311,,AH311)*(1-AF311)+INDEX(Models!$BJ311:$BT311,,AH311+1)*AF311-ERP_i)*AE311*Ramure*Pc/MaxiM</f>
        <v>0.10009474780424148</v>
      </c>
      <c r="AE311" s="305">
        <f t="shared" si="117"/>
        <v>0.8</v>
      </c>
      <c r="AF311" s="177">
        <f t="shared" si="118"/>
        <v>0.79802564745589422</v>
      </c>
      <c r="AG311" s="809">
        <f t="shared" si="124"/>
        <v>4</v>
      </c>
      <c r="AH311" s="176">
        <f t="shared" si="119"/>
        <v>10</v>
      </c>
      <c r="AI311" s="225">
        <f t="shared" si="120"/>
        <v>4.7980256474558942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IF(t&gt;Tmaj,'2026'!Wh/'2026'!Env_an*'2027'!Env_an,0.001*'[12]mon-tableau (1)'!$B$164)</f>
        <v>16.116122356356833</v>
      </c>
      <c r="C312" s="839"/>
      <c r="D312" s="393">
        <f t="shared" si="102"/>
        <v>17.839081953612229</v>
      </c>
      <c r="E312" s="385">
        <f t="shared" si="125"/>
        <v>18.87898672669132</v>
      </c>
      <c r="F312" s="385">
        <f t="shared" si="103"/>
        <v>19.706744613839518</v>
      </c>
      <c r="G312" s="110">
        <f t="shared" si="126"/>
        <v>0.72474764393935454</v>
      </c>
      <c r="H312" s="414" t="b">
        <f>Wh_hp&gt;='2026'!Maxi_hp</f>
        <v>0</v>
      </c>
      <c r="I312" s="390">
        <f>IF(H312,Wh_hp,'2026'!Maxi_hp)</f>
        <v>27.544324929727701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9.6583422943831293E-2</v>
      </c>
      <c r="M312" s="843"/>
      <c r="N312" s="843"/>
      <c r="O312" s="48">
        <f>IF(t&lt;Tnet,'2026'!Resal+('2026'!Salim-'2026'!Resal)*(1-EXP(('2026'!Tnet-t)/('2026'!Tau_j))),Resal+(Salim-Resal)*(1-EXP((Tnet-t)/(Tau_j))))*Salcycl</f>
        <v>5.5082658202670554E-2</v>
      </c>
      <c r="P312" s="169">
        <f>(INDEX(Models!$BJ312:$BT312,,T312)*(1-R312)+INDEX(Models!$BJ312:$BT312,,T312+1)*R312-ERP_i)*Q312*Ramure*Pc/MaxiM</f>
        <v>6.6282940124936268E-2</v>
      </c>
      <c r="Q312" s="305">
        <f t="shared" si="105"/>
        <v>0.8</v>
      </c>
      <c r="R312" s="177">
        <f t="shared" si="106"/>
        <v>0.59739871312868065</v>
      </c>
      <c r="S312" s="809">
        <f t="shared" si="107"/>
        <v>3</v>
      </c>
      <c r="T312" s="176">
        <f t="shared" si="108"/>
        <v>9</v>
      </c>
      <c r="U312" s="251">
        <f t="shared" si="109"/>
        <v>3.5973987131286806</v>
      </c>
      <c r="V312" s="383">
        <f t="shared" si="110"/>
        <v>21.673310103041274</v>
      </c>
      <c r="W312" s="402">
        <f t="shared" si="111"/>
        <v>16.116122356356833</v>
      </c>
      <c r="X312" s="157">
        <f t="shared" si="112"/>
        <v>46685</v>
      </c>
      <c r="Y312" s="385">
        <f t="shared" si="113"/>
        <v>14.369318141667087</v>
      </c>
      <c r="Z312" s="385">
        <f t="shared" si="114"/>
        <v>15.905528530913479</v>
      </c>
      <c r="AA312" s="386">
        <f t="shared" si="115"/>
        <v>18.452855028172419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0.13804511515263501</v>
      </c>
      <c r="AD312" s="231">
        <f>(INDEX(Models!$BJ312:$BT312,,AH312)*(1-AF312)+INDEX(Models!$BJ312:$BT312,,AH312+1)*AF312-ERP_i)*AE312*Ramure*Pc/MaxiM</f>
        <v>0.10040555290435245</v>
      </c>
      <c r="AE312" s="305">
        <f t="shared" si="117"/>
        <v>0.8</v>
      </c>
      <c r="AF312" s="177">
        <f t="shared" si="118"/>
        <v>0.79811546029358382</v>
      </c>
      <c r="AG312" s="809">
        <f t="shared" si="124"/>
        <v>4</v>
      </c>
      <c r="AH312" s="176">
        <f t="shared" si="119"/>
        <v>10</v>
      </c>
      <c r="AI312" s="225">
        <f t="shared" si="120"/>
        <v>4.7981154602935838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IF(t&gt;Tmaj,'2026'!Wh/'2026'!Env_an*'2027'!Env_an,0.001*'[12]mon-tableau (1)'!$B$165)</f>
        <v>10.494074099691224</v>
      </c>
      <c r="C313" s="839"/>
      <c r="D313" s="393">
        <f t="shared" si="102"/>
        <v>11.616262410249904</v>
      </c>
      <c r="E313" s="385">
        <f t="shared" si="125"/>
        <v>12.295281608121059</v>
      </c>
      <c r="F313" s="385">
        <f t="shared" si="103"/>
        <v>12.52239532783163</v>
      </c>
      <c r="G313" s="110">
        <f t="shared" si="126"/>
        <v>0.46657866145206894</v>
      </c>
      <c r="H313" s="414" t="b">
        <f>Wh_hp&gt;='2026'!Maxi_hp</f>
        <v>0</v>
      </c>
      <c r="I313" s="390">
        <f>IF(H313,Wh_hp,'2026'!Maxi_hp)</f>
        <v>27.696361546697236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9.6604938053783035E-2</v>
      </c>
      <c r="M313" s="843"/>
      <c r="N313" s="843"/>
      <c r="O313" s="48">
        <f>IF(t&lt;Tnet,'2026'!Resal+('2026'!Salim-'2026'!Resal)*(1-EXP(('2026'!Tnet-t)/('2026'!Tau_j))),Resal+(Salim-Resal)*(1-EXP((Tnet-t)/(Tau_j))))*Salcycl</f>
        <v>5.5225998030224911E-2</v>
      </c>
      <c r="P313" s="169">
        <f>(INDEX(Models!$BJ313:$BT313,,T313)*(1-R313)+INDEX(Models!$BJ313:$BT313,,T313+1)*R313-ERP_i)*Q313*Ramure*Pc/MaxiM</f>
        <v>6.6547173675693183E-2</v>
      </c>
      <c r="Q313" s="305">
        <f t="shared" si="105"/>
        <v>0.8</v>
      </c>
      <c r="R313" s="177">
        <f t="shared" si="106"/>
        <v>0.59748493518095591</v>
      </c>
      <c r="S313" s="809">
        <f t="shared" si="107"/>
        <v>3</v>
      </c>
      <c r="T313" s="176">
        <f t="shared" si="108"/>
        <v>9</v>
      </c>
      <c r="U313" s="251">
        <f t="shared" si="109"/>
        <v>3.5974849351809559</v>
      </c>
      <c r="V313" s="383">
        <f t="shared" si="110"/>
        <v>21.382602308508435</v>
      </c>
      <c r="W313" s="402">
        <f t="shared" si="111"/>
        <v>10.494074099691224</v>
      </c>
      <c r="X313" s="157">
        <f t="shared" si="112"/>
        <v>46686</v>
      </c>
      <c r="Y313" s="385">
        <f t="shared" si="113"/>
        <v>9.483857691771755</v>
      </c>
      <c r="Z313" s="385">
        <f t="shared" si="114"/>
        <v>10.498018077872082</v>
      </c>
      <c r="AA313" s="386">
        <f t="shared" si="115"/>
        <v>12.178909779597076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0.1380165985415982</v>
      </c>
      <c r="AD313" s="231">
        <f>(INDEX(Models!$BJ313:$BT313,,AH313)*(1-AF313)+INDEX(Models!$BJ313:$BT313,,AH313+1)*AF313-ERP_i)*AE313*Ramure*Pc/MaxiM</f>
        <v>0.10064558170499475</v>
      </c>
      <c r="AE313" s="305">
        <f t="shared" si="117"/>
        <v>0.8</v>
      </c>
      <c r="AF313" s="177">
        <f t="shared" si="118"/>
        <v>0.79820168234585953</v>
      </c>
      <c r="AG313" s="809">
        <f t="shared" si="124"/>
        <v>4</v>
      </c>
      <c r="AH313" s="176">
        <f t="shared" si="119"/>
        <v>10</v>
      </c>
      <c r="AI313" s="225">
        <f t="shared" si="120"/>
        <v>4.7982016823458595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IF(t&gt;Tmaj,'2026'!Wh/'2026'!Env_an*'2027'!Env_an,0.001*'[12]mon-tableau (1)'!$B$166)</f>
        <v>10.122596722238125</v>
      </c>
      <c r="C314" s="839"/>
      <c r="D314" s="393">
        <f t="shared" si="102"/>
        <v>11.205327798316029</v>
      </c>
      <c r="E314" s="385">
        <f t="shared" si="125"/>
        <v>11.862115316146921</v>
      </c>
      <c r="F314" s="385">
        <f t="shared" si="103"/>
        <v>12.069380400240215</v>
      </c>
      <c r="G314" s="110">
        <f t="shared" si="126"/>
        <v>0.45561425189548732</v>
      </c>
      <c r="H314" s="414" t="b">
        <f>Wh_hp&gt;='2026'!Maxi_hp</f>
        <v>0</v>
      </c>
      <c r="I314" s="390">
        <f>IF(H314,Wh_hp,'2026'!Maxi_hp)</f>
        <v>24.453755622088135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9.6626452663046619E-2</v>
      </c>
      <c r="M314" s="843"/>
      <c r="N314" s="843"/>
      <c r="O314" s="48">
        <f>IF(t&lt;Tnet,'2026'!Resal+('2026'!Salim-'2026'!Resal)*(1-EXP(('2026'!Tnet-t)/('2026'!Tau_j))),Resal+(Salim-Resal)*(1-EXP((Tnet-t)/(Tau_j))))*Salcycl</f>
        <v>5.5368498815456774E-2</v>
      </c>
      <c r="P314" s="169">
        <f>(INDEX(Models!$BJ314:$BT314,,T314)*(1-R314)+INDEX(Models!$BJ314:$BT314,,T314+1)*R314-ERP_i)*Q314*Ramure*Pc/MaxiM</f>
        <v>6.6834577892623453E-2</v>
      </c>
      <c r="Q314" s="305">
        <f t="shared" si="105"/>
        <v>0.8</v>
      </c>
      <c r="R314" s="177">
        <f t="shared" si="106"/>
        <v>0.59756770903388867</v>
      </c>
      <c r="S314" s="809">
        <f t="shared" si="107"/>
        <v>3</v>
      </c>
      <c r="T314" s="176">
        <f t="shared" si="108"/>
        <v>9</v>
      </c>
      <c r="U314" s="251">
        <f t="shared" si="109"/>
        <v>3.5975677090338887</v>
      </c>
      <c r="V314" s="383">
        <f t="shared" si="110"/>
        <v>21.094833715118387</v>
      </c>
      <c r="W314" s="402">
        <f t="shared" si="111"/>
        <v>10.122596722238125</v>
      </c>
      <c r="X314" s="157">
        <f t="shared" si="112"/>
        <v>46687</v>
      </c>
      <c r="Y314" s="385">
        <f t="shared" si="113"/>
        <v>9.1552067822769665</v>
      </c>
      <c r="Z314" s="385">
        <f t="shared" si="114"/>
        <v>10.134464097676444</v>
      </c>
      <c r="AA314" s="386">
        <f t="shared" si="115"/>
        <v>11.75674230084002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0.13798705131502828</v>
      </c>
      <c r="AD314" s="231">
        <f>(INDEX(Models!$BJ314:$BT314,,AH314)*(1-AF314)+INDEX(Models!$BJ314:$BT314,,AH314+1)*AF314-ERP_i)*AE314*Ramure*Pc/MaxiM</f>
        <v>0.10081309882931715</v>
      </c>
      <c r="AE314" s="305">
        <f t="shared" si="117"/>
        <v>0.8</v>
      </c>
      <c r="AF314" s="177">
        <f t="shared" si="118"/>
        <v>0.79828445619879229</v>
      </c>
      <c r="AG314" s="809">
        <f t="shared" si="124"/>
        <v>4</v>
      </c>
      <c r="AH314" s="176">
        <f t="shared" si="119"/>
        <v>10</v>
      </c>
      <c r="AI314" s="225">
        <f t="shared" si="120"/>
        <v>4.7982844561987923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IF(t&gt;Tmaj,'2026'!Wh/'2026'!Env_an*'2027'!Env_an,0.001*'[12]mon-tableau (1)'!$B$167)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Wh_hp&gt;='2026'!Maxi_hp</f>
        <v>0</v>
      </c>
      <c r="I315" s="390">
        <f>IF(H315,Wh_hp,'2026'!Maxi_hp)</f>
        <v>25.702565660135079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9.6647966771633925E-2</v>
      </c>
      <c r="M315" s="843"/>
      <c r="N315" s="843"/>
      <c r="O315" s="48">
        <f>IF(t&lt;Tnet,'2026'!Resal+('2026'!Salim-'2026'!Resal)*(1-EXP(('2026'!Tnet-t)/('2026'!Tau_j))),Resal+(Salim-Resal)*(1-EXP((Tnet-t)/(Tau_j))))*Salcycl</f>
        <v>5.5510207425523234E-2</v>
      </c>
      <c r="P315" s="169">
        <f>(INDEX(Models!$BJ315:$BT315,,T315)*(1-R315)+INDEX(Models!$BJ315:$BT315,,T315+1)*R315-ERP_i)*Q315*Ramure*Pc/MaxiM</f>
        <v>6.7145378416481202E-2</v>
      </c>
      <c r="Q315" s="305">
        <f t="shared" si="105"/>
        <v>0.8</v>
      </c>
      <c r="R315" s="177">
        <f t="shared" si="106"/>
        <v>0.59764717168842729</v>
      </c>
      <c r="S315" s="809">
        <f t="shared" si="107"/>
        <v>3</v>
      </c>
      <c r="T315" s="176">
        <f t="shared" si="108"/>
        <v>9</v>
      </c>
      <c r="U315" s="251">
        <f t="shared" si="109"/>
        <v>3.5976471716884273</v>
      </c>
      <c r="V315" s="383">
        <f t="shared" si="110"/>
        <v>20.81019055506675</v>
      </c>
      <c r="W315" s="402">
        <f t="shared" si="111"/>
        <v>0</v>
      </c>
      <c r="X315" s="157">
        <f t="shared" si="112"/>
        <v>46688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0.13795659519058656</v>
      </c>
      <c r="AD315" s="231">
        <f>(INDEX(Models!$BJ315:$BT315,,AH315)*(1-AF315)+INDEX(Models!$BJ315:$BT315,,AH315+1)*AF315-ERP_i)*AE315*Ramure*Pc/MaxiM</f>
        <v>0.10090638835484622</v>
      </c>
      <c r="AE315" s="305">
        <f t="shared" si="117"/>
        <v>0.8</v>
      </c>
      <c r="AF315" s="177">
        <f t="shared" si="118"/>
        <v>0.79836391885333047</v>
      </c>
      <c r="AG315" s="809">
        <f t="shared" si="124"/>
        <v>4</v>
      </c>
      <c r="AH315" s="176">
        <f t="shared" si="119"/>
        <v>10</v>
      </c>
      <c r="AI315" s="225">
        <f t="shared" si="120"/>
        <v>4.7983639188533305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IF(t&gt;Tmaj,'2026'!Wh/'2026'!Env_an*'2027'!Env_an,0.001*'[12]mon-tableau (1)'!$B$168)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Wh_hp&gt;='2026'!Maxi_hp</f>
        <v>0</v>
      </c>
      <c r="I316" s="390">
        <f>IF(H316,Wh_hp,'2026'!Maxi_hp)</f>
        <v>24.397649963595786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9.6669480379556388E-2</v>
      </c>
      <c r="M316" s="843"/>
      <c r="N316" s="843"/>
      <c r="O316" s="48">
        <f>IF(t&lt;Tnet,'2026'!Resal+('2026'!Salim-'2026'!Resal)*(1-EXP(('2026'!Tnet-t)/('2026'!Tau_j))),Resal+(Salim-Resal)*(1-EXP((Tnet-t)/(Tau_j))))*Salcycl</f>
        <v>5.5651173180088949E-2</v>
      </c>
      <c r="P316" s="169">
        <f>(INDEX(Models!$BJ316:$BT316,,T316)*(1-R316)+INDEX(Models!$BJ316:$BT316,,T316+1)*R316-ERP_i)*Q316*Ramure*Pc/MaxiM</f>
        <v>6.7479791537546518E-2</v>
      </c>
      <c r="Q316" s="305">
        <f t="shared" si="105"/>
        <v>0.8</v>
      </c>
      <c r="R316" s="177">
        <f t="shared" si="106"/>
        <v>0.59772345477311051</v>
      </c>
      <c r="S316" s="809">
        <f t="shared" si="107"/>
        <v>3</v>
      </c>
      <c r="T316" s="176">
        <f t="shared" si="108"/>
        <v>9</v>
      </c>
      <c r="U316" s="251">
        <f t="shared" si="109"/>
        <v>3.5977234547731105</v>
      </c>
      <c r="V316" s="383">
        <f t="shared" si="110"/>
        <v>20.528858687241577</v>
      </c>
      <c r="W316" s="402">
        <f t="shared" si="111"/>
        <v>0</v>
      </c>
      <c r="X316" s="157">
        <f t="shared" si="112"/>
        <v>46689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0.13792535659454622</v>
      </c>
      <c r="AD316" s="231">
        <f>(INDEX(Models!$BJ316:$BT316,,AH316)*(1-AF316)+INDEX(Models!$BJ316:$BT316,,AH316+1)*AF316-ERP_i)*AE316*Ramure*Pc/MaxiM</f>
        <v>0.10092375463226551</v>
      </c>
      <c r="AE316" s="305">
        <f t="shared" si="117"/>
        <v>0.8</v>
      </c>
      <c r="AF316" s="177">
        <f t="shared" si="118"/>
        <v>0.79844020193801413</v>
      </c>
      <c r="AG316" s="809">
        <f t="shared" si="124"/>
        <v>4</v>
      </c>
      <c r="AH316" s="176">
        <f t="shared" si="119"/>
        <v>10</v>
      </c>
      <c r="AI316" s="225">
        <f t="shared" si="120"/>
        <v>4.7984402019380141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IF(t&gt;Tmaj,'2026'!Wh/'2026'!Env_an*'2027'!Env_an,0.001*'[12]mon-tableau (1)'!$B$169)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Wh_hp&gt;='2026'!Maxi_hp</f>
        <v>0</v>
      </c>
      <c r="I317" s="390">
        <f>IF(H317,Wh_hp,'2026'!Maxi_hp)</f>
        <v>23.315037308519852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9.6690993486825888E-2</v>
      </c>
      <c r="M317" s="843"/>
      <c r="N317" s="843"/>
      <c r="O317" s="48">
        <f>IF(t&lt;Tnet,'2026'!Resal+('2026'!Salim-'2026'!Resal)*(1-EXP(('2026'!Tnet-t)/('2026'!Tau_j))),Resal+(Salim-Resal)*(1-EXP((Tnet-t)/(Tau_j))))*Salcycl</f>
        <v>5.579144767713478E-2</v>
      </c>
      <c r="P317" s="169">
        <f>(INDEX(Models!$BJ317:$BT317,,T317)*(1-R317)+INDEX(Models!$BJ317:$BT317,,T317+1)*R317-ERP_i)*Q317*Ramure*Pc/MaxiM</f>
        <v>6.7843987416171495E-2</v>
      </c>
      <c r="Q317" s="305">
        <f t="shared" si="105"/>
        <v>0.8</v>
      </c>
      <c r="R317" s="177">
        <f t="shared" si="106"/>
        <v>0.59779668474916159</v>
      </c>
      <c r="S317" s="809">
        <f t="shared" si="107"/>
        <v>3</v>
      </c>
      <c r="T317" s="176">
        <f t="shared" si="108"/>
        <v>9</v>
      </c>
      <c r="U317" s="251">
        <f t="shared" si="109"/>
        <v>3.5977966847491616</v>
      </c>
      <c r="V317" s="383">
        <f t="shared" si="110"/>
        <v>20.249113013218761</v>
      </c>
      <c r="W317" s="402">
        <f t="shared" si="111"/>
        <v>0</v>
      </c>
      <c r="X317" s="157">
        <f t="shared" si="112"/>
        <v>46690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0.13789346617458606</v>
      </c>
      <c r="AD317" s="231">
        <f>(INDEX(Models!$BJ317:$BT317,,AH317)*(1-AF317)+INDEX(Models!$BJ317:$BT317,,AH317+1)*AF317-ERP_i)*AE317*Ramure*Pc/MaxiM</f>
        <v>0.10087239416615687</v>
      </c>
      <c r="AE317" s="305">
        <f t="shared" si="117"/>
        <v>0.8</v>
      </c>
      <c r="AF317" s="177">
        <f t="shared" si="118"/>
        <v>0.79851343191406521</v>
      </c>
      <c r="AG317" s="809">
        <f t="shared" si="124"/>
        <v>4</v>
      </c>
      <c r="AH317" s="176">
        <f t="shared" si="119"/>
        <v>10</v>
      </c>
      <c r="AI317" s="225">
        <f t="shared" si="120"/>
        <v>4.7985134319140652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IF(t&gt;Tmaj,'2026'!Wh/'2026'!Env_an*'2027'!Env_an,0.001*'[12]mon-tableau (1)'!$B$170)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Wh_hp&gt;='2026'!Maxi_hp</f>
        <v>0</v>
      </c>
      <c r="I318" s="390">
        <f>IF(H318,Wh_hp,'2026'!Maxi_hp)</f>
        <v>25.066473522391494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9.6712506093453859E-2</v>
      </c>
      <c r="M318" s="843"/>
      <c r="N318" s="843"/>
      <c r="O318" s="48">
        <f>IF(t&lt;Tnet,'2026'!Resal+('2026'!Salim-'2026'!Resal)*(1-EXP(('2026'!Tnet-t)/('2026'!Tau_j))),Resal+(Salim-Resal)*(1-EXP((Tnet-t)/(Tau_j))))*Salcycl</f>
        <v>5.5931084601509425E-2</v>
      </c>
      <c r="P318" s="169">
        <f>(INDEX(Models!$BJ318:$BT318,,T318)*(1-R318)+INDEX(Models!$BJ318:$BT318,,T318+1)*R318-ERP_i)*Q318*Ramure*Pc/MaxiM</f>
        <v>6.8227375578058497E-2</v>
      </c>
      <c r="Q318" s="305">
        <f t="shared" si="105"/>
        <v>0.8</v>
      </c>
      <c r="R318" s="177">
        <f t="shared" si="106"/>
        <v>0.59786698310819464</v>
      </c>
      <c r="S318" s="809">
        <f t="shared" si="107"/>
        <v>3</v>
      </c>
      <c r="T318" s="176">
        <f t="shared" si="108"/>
        <v>9</v>
      </c>
      <c r="U318" s="251">
        <f t="shared" si="109"/>
        <v>3.5978669831081946</v>
      </c>
      <c r="V318" s="383">
        <f t="shared" si="110"/>
        <v>19.969892244328729</v>
      </c>
      <c r="W318" s="402">
        <f t="shared" si="111"/>
        <v>0</v>
      </c>
      <c r="X318" s="157">
        <f t="shared" si="112"/>
        <v>46691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0.13786105827843398</v>
      </c>
      <c r="AD318" s="231">
        <f>(INDEX(Models!$BJ318:$BT318,,AH318)*(1-AF318)+INDEX(Models!$BJ318:$BT318,,AH318+1)*AF318-ERP_i)*AE318*Ramure*Pc/MaxiM</f>
        <v>0.10072845337737234</v>
      </c>
      <c r="AE318" s="305">
        <f t="shared" si="117"/>
        <v>0.8</v>
      </c>
      <c r="AF318" s="177">
        <f t="shared" si="118"/>
        <v>0.7985837302730987</v>
      </c>
      <c r="AG318" s="809">
        <f t="shared" si="124"/>
        <v>4</v>
      </c>
      <c r="AH318" s="176">
        <f t="shared" si="119"/>
        <v>10</v>
      </c>
      <c r="AI318" s="225">
        <f t="shared" si="120"/>
        <v>4.7985837302730987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IF(t&gt;Tmaj,'2026'!Wh/'2026'!Env_an*'2027'!Env_an,0.001*'[13]mon-tableau (3)'!$B$136)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Wh_hp&gt;='2026'!Maxi_hp</f>
        <v>0</v>
      </c>
      <c r="I319" s="390">
        <f>IF(H319,Wh_hp,'2026'!Maxi_hp)</f>
        <v>24.353652394890183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9.6734018199452071E-2</v>
      </c>
      <c r="M319" s="843"/>
      <c r="N319" s="843"/>
      <c r="O319" s="48">
        <f>IF(t&lt;Tnet,'2026'!Resal+('2026'!Salim-'2026'!Resal)*(1-EXP(('2026'!Tnet-t)/('2026'!Tau_j))),Resal+(Salim-Resal)*(1-EXP((Tnet-t)/(Tau_j))))*Salcycl</f>
        <v>5.6070139517280904E-2</v>
      </c>
      <c r="P319" s="169">
        <f>(INDEX(Models!$BJ319:$BT319,,T319)*(1-R319)+INDEX(Models!$BJ319:$BT319,,T319+1)*R319-ERP_i)*Q319*Ramure*Pc/MaxiM</f>
        <v>6.8607138655050151E-2</v>
      </c>
      <c r="Q319" s="305">
        <f t="shared" si="105"/>
        <v>0.8</v>
      </c>
      <c r="R319" s="177">
        <f t="shared" si="106"/>
        <v>0.59793446656276483</v>
      </c>
      <c r="S319" s="809">
        <f t="shared" si="107"/>
        <v>3</v>
      </c>
      <c r="T319" s="176">
        <f t="shared" si="108"/>
        <v>9</v>
      </c>
      <c r="U319" s="251">
        <f t="shared" si="109"/>
        <v>3.5979344665627648</v>
      </c>
      <c r="V319" s="383">
        <f t="shared" si="110"/>
        <v>19.692310082752982</v>
      </c>
      <c r="W319" s="402">
        <f t="shared" si="111"/>
        <v>0</v>
      </c>
      <c r="X319" s="157">
        <f t="shared" si="112"/>
        <v>46692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0.13782827040153964</v>
      </c>
      <c r="AD319" s="231">
        <f>(INDEX(Models!$BJ319:$BT319,,AH319)*(1-AF319)+INDEX(Models!$BJ319:$BT319,,AH319+1)*AF319-ERP_i)*AE319*Ramure*Pc/MaxiM</f>
        <v>0.10053812167412327</v>
      </c>
      <c r="AE319" s="305">
        <f t="shared" si="117"/>
        <v>0.8</v>
      </c>
      <c r="AF319" s="177">
        <f t="shared" si="118"/>
        <v>0.79865121372766801</v>
      </c>
      <c r="AG319" s="809">
        <f t="shared" si="124"/>
        <v>4</v>
      </c>
      <c r="AH319" s="176">
        <f t="shared" si="119"/>
        <v>10</v>
      </c>
      <c r="AI319" s="225">
        <f t="shared" si="120"/>
        <v>4.798651213727668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IF(t&gt;Tmaj,'2026'!Wh/'2026'!Env_an*'2027'!Env_an,0.001*'[13]mon-tableau (3)'!$B$137)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Wh_hp&gt;='2026'!Maxi_hp</f>
        <v>0</v>
      </c>
      <c r="I320" s="390">
        <f>IF(H320,Wh_hp,'2026'!Maxi_hp)</f>
        <v>23.216009548028094</v>
      </c>
      <c r="J320" s="85">
        <f>IF(H320,An,'2026'!An_max)</f>
        <v>2021</v>
      </c>
      <c r="K320" s="197">
        <f t="shared" si="104"/>
        <v>46693</v>
      </c>
      <c r="L320" s="147">
        <f>IF(t&lt;Tvie,1-EXP((T0-t)*PertePVj)+'2026'!Pspv,1-EXP((T0-t)*PertePVj)+Pspv)</f>
        <v>9.6755529804832069E-2</v>
      </c>
      <c r="M320" s="843"/>
      <c r="N320" s="843"/>
      <c r="O320" s="48">
        <f>IF(t&lt;Tnet,'2026'!Resal+('2026'!Salim-'2026'!Resal)*(1-EXP(('2026'!Tnet-t)/('2026'!Tau_j))),Resal+(Salim-Resal)*(1-EXP((Tnet-t)/(Tau_j))))*Salcycl</f>
        <v>5.6208669645092572E-2</v>
      </c>
      <c r="P320" s="169">
        <f>(INDEX(Models!$BJ320:$BT320,,T320)*(1-R320)+INDEX(Models!$BJ320:$BT320,,T320+1)*R320-ERP_i)*Q320*Ramure*Pc/MaxiM</f>
        <v>6.898172492670758E-2</v>
      </c>
      <c r="Q320" s="305">
        <f t="shared" si="105"/>
        <v>0.8</v>
      </c>
      <c r="R320" s="177">
        <f t="shared" si="106"/>
        <v>0.59799924722998954</v>
      </c>
      <c r="S320" s="809">
        <f t="shared" si="107"/>
        <v>3</v>
      </c>
      <c r="T320" s="176">
        <f t="shared" si="108"/>
        <v>9</v>
      </c>
      <c r="U320" s="251">
        <f t="shared" si="109"/>
        <v>3.5979992472299895</v>
      </c>
      <c r="V320" s="383">
        <f t="shared" si="110"/>
        <v>19.417008913736215</v>
      </c>
      <c r="W320" s="402">
        <f t="shared" si="111"/>
        <v>0</v>
      </c>
      <c r="X320" s="157">
        <f t="shared" si="112"/>
        <v>46693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0.13779524260724405</v>
      </c>
      <c r="AD320" s="231">
        <f>(INDEX(Models!$BJ320:$BT320,,AH320)*(1-AF320)+INDEX(Models!$BJ320:$BT320,,AH320+1)*AF320-ERP_i)*AE320*Ramure*Pc/MaxiM</f>
        <v>0.10029832306177723</v>
      </c>
      <c r="AE320" s="305">
        <f t="shared" si="117"/>
        <v>0.8</v>
      </c>
      <c r="AF320" s="177">
        <f t="shared" si="118"/>
        <v>0.79871599439489316</v>
      </c>
      <c r="AG320" s="809">
        <f t="shared" si="124"/>
        <v>4</v>
      </c>
      <c r="AH320" s="176">
        <f t="shared" si="119"/>
        <v>10</v>
      </c>
      <c r="AI320" s="225">
        <f t="shared" si="120"/>
        <v>4.7987159943948932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IF(t&gt;Tmaj,'2026'!Wh/'2026'!Env_an*'2027'!Env_an,0.001*'[13]mon-tableau (3)'!$B$138)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Wh_hp&gt;='2026'!Maxi_hp</f>
        <v>0</v>
      </c>
      <c r="I321" s="390">
        <f>IF(H321,Wh_hp,'2026'!Maxi_hp)</f>
        <v>24.561857270116509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9.6777040909605733E-2</v>
      </c>
      <c r="M321" s="843"/>
      <c r="N321" s="843"/>
      <c r="O321" s="48">
        <f>IF(t&lt;Tnet,'2026'!Resal+('2026'!Salim-'2026'!Resal)*(1-EXP(('2026'!Tnet-t)/('2026'!Tau_j))),Resal+(Salim-Resal)*(1-EXP((Tnet-t)/(Tau_j))))*Salcycl</f>
        <v>5.6346733625868749E-2</v>
      </c>
      <c r="P321" s="169">
        <f>(INDEX(Models!$BJ321:$BT321,,T321)*(1-R321)+INDEX(Models!$BJ321:$BT321,,T321+1)*R321-ERP_i)*Q321*Ramure*Pc/MaxiM</f>
        <v>6.934946194709482E-2</v>
      </c>
      <c r="Q321" s="305">
        <f t="shared" si="105"/>
        <v>0.8</v>
      </c>
      <c r="R321" s="177">
        <f t="shared" si="106"/>
        <v>0.59806143280846147</v>
      </c>
      <c r="S321" s="809">
        <f t="shared" si="107"/>
        <v>3</v>
      </c>
      <c r="T321" s="176">
        <f t="shared" si="108"/>
        <v>9</v>
      </c>
      <c r="U321" s="251">
        <f t="shared" si="109"/>
        <v>3.5980614328084615</v>
      </c>
      <c r="V321" s="383">
        <f t="shared" si="110"/>
        <v>19.144630506769154</v>
      </c>
      <c r="W321" s="402">
        <f t="shared" si="111"/>
        <v>0</v>
      </c>
      <c r="X321" s="157">
        <f t="shared" si="112"/>
        <v>46694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0.13776211692317769</v>
      </c>
      <c r="AD321" s="231">
        <f>(INDEX(Models!$BJ321:$BT321,,AH321)*(1-AF321)+INDEX(Models!$BJ321:$BT321,,AH321+1)*AF321-ERP_i)*AE321*Ramure*Pc/MaxiM</f>
        <v>0.10000585425373848</v>
      </c>
      <c r="AE321" s="305">
        <f t="shared" si="117"/>
        <v>0.8</v>
      </c>
      <c r="AF321" s="177">
        <f t="shared" si="118"/>
        <v>0.79877817997336553</v>
      </c>
      <c r="AG321" s="809">
        <f t="shared" si="124"/>
        <v>4</v>
      </c>
      <c r="AH321" s="176">
        <f t="shared" si="119"/>
        <v>10</v>
      </c>
      <c r="AI321" s="225">
        <f t="shared" si="120"/>
        <v>4.7987781799733655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IF(t&gt;Tmaj,'2026'!Wh/'2026'!Env_an*'2027'!Env_an,0.001*'[13]mon-tableau (3)'!$B$139)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Wh_hp&gt;='2026'!Maxi_hp</f>
        <v>0</v>
      </c>
      <c r="I322" s="390">
        <f>IF(H322,Wh_hp,'2026'!Maxi_hp)</f>
        <v>20.723995905929119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9.6798551513784498E-2</v>
      </c>
      <c r="M322" s="843"/>
      <c r="N322" s="843"/>
      <c r="O322" s="48">
        <f>IF(t&lt;Tnet,'2026'!Resal+('2026'!Salim-'2026'!Resal)*(1-EXP(('2026'!Tnet-t)/('2026'!Tau_j))),Resal+(Salim-Resal)*(1-EXP((Tnet-t)/(Tau_j))))*Salcycl</f>
        <v>5.6484391272345114E-2</v>
      </c>
      <c r="P322" s="169">
        <f>(INDEX(Models!$BJ322:$BT322,,T322)*(1-R322)+INDEX(Models!$BJ322:$BT322,,T322+1)*R322-ERP_i)*Q322*Ramure*Pc/MaxiM</f>
        <v>6.9708547582404246E-2</v>
      </c>
      <c r="Q322" s="305">
        <f t="shared" si="105"/>
        <v>0.8</v>
      </c>
      <c r="R322" s="177">
        <f t="shared" si="106"/>
        <v>0.59812112674866835</v>
      </c>
      <c r="S322" s="809">
        <f t="shared" si="107"/>
        <v>3</v>
      </c>
      <c r="T322" s="176">
        <f t="shared" si="108"/>
        <v>9</v>
      </c>
      <c r="U322" s="251">
        <f t="shared" si="109"/>
        <v>3.5981211267486684</v>
      </c>
      <c r="V322" s="383">
        <f t="shared" si="110"/>
        <v>18.875816119822424</v>
      </c>
      <c r="W322" s="402">
        <f t="shared" si="111"/>
        <v>0</v>
      </c>
      <c r="X322" s="157">
        <f t="shared" si="112"/>
        <v>46695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0.13772903671785205</v>
      </c>
      <c r="AD322" s="231">
        <f>(INDEX(Models!$BJ322:$BT322,,AH322)*(1-AF322)+INDEX(Models!$BJ322:$BT322,,AH322+1)*AF322-ERP_i)*AE322*Ramure*Pc/MaxiM</f>
        <v>9.9657385863839293E-2</v>
      </c>
      <c r="AE322" s="305">
        <f t="shared" si="117"/>
        <v>0.8</v>
      </c>
      <c r="AF322" s="177">
        <f t="shared" si="118"/>
        <v>0.79883787391357153</v>
      </c>
      <c r="AG322" s="809">
        <f t="shared" si="124"/>
        <v>4</v>
      </c>
      <c r="AH322" s="176">
        <f t="shared" si="119"/>
        <v>10</v>
      </c>
      <c r="AI322" s="225">
        <f t="shared" si="120"/>
        <v>4.7988378739135715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IF(t&gt;Tmaj,'2026'!Wh/'2026'!Env_an*'2027'!Env_an,0.001*'[13]mon-tableau (3)'!$B$140)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Wh_hp&gt;='2026'!Maxi_hp</f>
        <v>0</v>
      </c>
      <c r="I323" s="390">
        <f>IF(H323,Wh_hp,'2026'!Maxi_hp)</f>
        <v>15.637654954165301</v>
      </c>
      <c r="J323" s="85">
        <f>IF(H323,An,'2026'!An_max)</f>
        <v>2020</v>
      </c>
      <c r="K323" s="197">
        <f t="shared" si="104"/>
        <v>46696</v>
      </c>
      <c r="L323" s="147">
        <f>IF(t&lt;Tvie,1-EXP((T0-t)*PertePVj)+'2026'!Pspv,1-EXP((T0-t)*PertePVj)+Pspv)</f>
        <v>9.6820061617380021E-2</v>
      </c>
      <c r="M323" s="843"/>
      <c r="N323" s="843"/>
      <c r="O323" s="48">
        <f>IF(t&lt;Tnet,'2026'!Resal+('2026'!Salim-'2026'!Resal)*(1-EXP(('2026'!Tnet-t)/('2026'!Tau_j))),Resal+(Salim-Resal)*(1-EXP((Tnet-t)/(Tau_j))))*Salcycl</f>
        <v>5.662170331001698E-2</v>
      </c>
      <c r="P323" s="169">
        <f>(INDEX(Models!$BJ323:$BT323,,T323)*(1-R323)+INDEX(Models!$BJ323:$BT323,,T323+1)*R323-ERP_i)*Q323*Ramure*Pc/MaxiM</f>
        <v>7.0057041664263769E-2</v>
      </c>
      <c r="Q323" s="305">
        <f t="shared" si="105"/>
        <v>0.8</v>
      </c>
      <c r="R323" s="177">
        <f t="shared" si="106"/>
        <v>0.59817842841713542</v>
      </c>
      <c r="S323" s="809">
        <f t="shared" si="107"/>
        <v>3</v>
      </c>
      <c r="T323" s="176">
        <f t="shared" si="108"/>
        <v>9</v>
      </c>
      <c r="U323" s="251">
        <f t="shared" si="109"/>
        <v>3.5981784284171354</v>
      </c>
      <c r="V323" s="383">
        <f t="shared" si="110"/>
        <v>18.611206588318481</v>
      </c>
      <c r="W323" s="402">
        <f t="shared" si="111"/>
        <v>0</v>
      </c>
      <c r="X323" s="157">
        <f t="shared" si="112"/>
        <v>46696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0.13769614606160824</v>
      </c>
      <c r="AD323" s="231">
        <f>(INDEX(Models!$BJ323:$BT323,,AH323)*(1-AF323)+INDEX(Models!$BJ323:$BT323,,AH323+1)*AF323-ERP_i)*AE323*Ramure*Pc/MaxiM</f>
        <v>9.924946623468664E-2</v>
      </c>
      <c r="AE323" s="305">
        <f t="shared" si="117"/>
        <v>0.8</v>
      </c>
      <c r="AF323" s="177">
        <f t="shared" si="118"/>
        <v>0.79889517558203949</v>
      </c>
      <c r="AG323" s="809">
        <f t="shared" si="124"/>
        <v>4</v>
      </c>
      <c r="AH323" s="176">
        <f t="shared" si="119"/>
        <v>10</v>
      </c>
      <c r="AI323" s="225">
        <f t="shared" si="120"/>
        <v>4.7988951755820395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IF(t&gt;Tmaj,'2026'!Wh/'2026'!Env_an*'2027'!Env_an,0.001*'[13]mon-tableau (3)'!$B$141)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Wh_hp&gt;='2026'!Maxi_hp</f>
        <v>0</v>
      </c>
      <c r="I324" s="390">
        <f>IF(H324,Wh_hp,'2026'!Maxi_hp)</f>
        <v>19.931335355516538</v>
      </c>
      <c r="J324" s="85">
        <f>IF(H324,An,'2026'!An_max)</f>
        <v>2020</v>
      </c>
      <c r="K324" s="197">
        <f t="shared" si="104"/>
        <v>46697</v>
      </c>
      <c r="L324" s="147">
        <f>IF(t&lt;Tvie,1-EXP((T0-t)*PertePVj)+'2026'!Pspv,1-EXP((T0-t)*PertePVj)+Pspv)</f>
        <v>9.6841571220404071E-2</v>
      </c>
      <c r="M324" s="843"/>
      <c r="N324" s="843"/>
      <c r="O324" s="48">
        <f>IF(t&lt;Tnet,'2026'!Resal+('2026'!Salim-'2026'!Resal)*(1-EXP(('2026'!Tnet-t)/('2026'!Tau_j))),Resal+(Salim-Resal)*(1-EXP((Tnet-t)/(Tau_j))))*Salcycl</f>
        <v>5.6758731109206477E-2</v>
      </c>
      <c r="P324" s="169">
        <f>(INDEX(Models!$BJ324:$BT324,,T324)*(1-R324)+INDEX(Models!$BJ324:$BT324,,T324+1)*R324-ERP_i)*Q324*Ramure*Pc/MaxiM</f>
        <v>7.036537745084967E-2</v>
      </c>
      <c r="Q324" s="305">
        <f t="shared" si="105"/>
        <v>0.8</v>
      </c>
      <c r="R324" s="177">
        <f t="shared" si="106"/>
        <v>0.59823343325449851</v>
      </c>
      <c r="S324" s="809">
        <f t="shared" si="107"/>
        <v>3</v>
      </c>
      <c r="T324" s="176">
        <f t="shared" si="108"/>
        <v>9</v>
      </c>
      <c r="U324" s="251">
        <f t="shared" si="109"/>
        <v>3.5982334332544985</v>
      </c>
      <c r="V324" s="383">
        <f t="shared" si="110"/>
        <v>18.351984936037031</v>
      </c>
      <c r="W324" s="402">
        <f t="shared" si="111"/>
        <v>0</v>
      </c>
      <c r="X324" s="157">
        <f t="shared" si="112"/>
        <v>46697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0.13766358907625625</v>
      </c>
      <c r="AD324" s="231">
        <f>(INDEX(Models!$BJ324:$BT324,,AH324)*(1-AF324)+INDEX(Models!$BJ324:$BT324,,AH324+1)*AF324-ERP_i)*AE324*Ramure*Pc/MaxiM</f>
        <v>9.8760121856341143E-2</v>
      </c>
      <c r="AE324" s="305">
        <f t="shared" si="117"/>
        <v>0.8</v>
      </c>
      <c r="AF324" s="177">
        <f t="shared" si="118"/>
        <v>0.79895018041940258</v>
      </c>
      <c r="AG324" s="809">
        <f t="shared" si="124"/>
        <v>4</v>
      </c>
      <c r="AH324" s="176">
        <f t="shared" si="119"/>
        <v>10</v>
      </c>
      <c r="AI324" s="225">
        <f t="shared" si="120"/>
        <v>4.7989501804194026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IF(t&gt;Tmaj,'2026'!Wh/'2026'!Env_an*'2027'!Env_an,0.001*'[13]mon-tableau (3)'!$B$142)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Wh_hp&gt;='2026'!Maxi_hp</f>
        <v>0</v>
      </c>
      <c r="I325" s="390">
        <f>IF(H325,Wh_hp,'2026'!Maxi_hp)</f>
        <v>13.60303974842923</v>
      </c>
      <c r="J325" s="85">
        <f>IF(H325,An,'2026'!An_max)</f>
        <v>2020</v>
      </c>
      <c r="K325" s="197">
        <f t="shared" si="104"/>
        <v>46698</v>
      </c>
      <c r="L325" s="147">
        <f>IF(t&lt;Tvie,1-EXP((T0-t)*PertePVj)+'2026'!Pspv,1-EXP((T0-t)*PertePVj)+Pspv)</f>
        <v>9.6863080322868195E-2</v>
      </c>
      <c r="M325" s="843"/>
      <c r="N325" s="843"/>
      <c r="O325" s="48">
        <f>IF(t&lt;Tnet,'2026'!Resal+('2026'!Salim-'2026'!Resal)*(1-EXP(('2026'!Tnet-t)/('2026'!Tau_j))),Resal+(Salim-Resal)*(1-EXP((Tnet-t)/(Tau_j))))*Salcycl</f>
        <v>5.6895536410039985E-2</v>
      </c>
      <c r="P325" s="169">
        <f>(INDEX(Models!$BJ325:$BT325,,T325)*(1-R325)+INDEX(Models!$BJ325:$BT325,,T325+1)*R325-ERP_i)*Q325*Ramure*Pc/MaxiM</f>
        <v>7.0623159272933694E-2</v>
      </c>
      <c r="Q325" s="305">
        <f t="shared" si="105"/>
        <v>0.8</v>
      </c>
      <c r="R325" s="177">
        <f t="shared" si="106"/>
        <v>0.59828623292770411</v>
      </c>
      <c r="S325" s="809">
        <f t="shared" si="107"/>
        <v>3</v>
      </c>
      <c r="T325" s="176">
        <f t="shared" si="108"/>
        <v>9</v>
      </c>
      <c r="U325" s="251">
        <f t="shared" si="109"/>
        <v>3.5982862329277041</v>
      </c>
      <c r="V325" s="383">
        <f t="shared" si="110"/>
        <v>18.098928339191009</v>
      </c>
      <c r="W325" s="402">
        <f t="shared" si="111"/>
        <v>0</v>
      </c>
      <c r="X325" s="157">
        <f t="shared" si="112"/>
        <v>46698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0.13763150927786519</v>
      </c>
      <c r="AD325" s="231">
        <f>(INDEX(Models!$BJ325:$BT325,,AH325)*(1-AF325)+INDEX(Models!$BJ325:$BT325,,AH325+1)*AF325-ERP_i)*AE325*Ramure*Pc/MaxiM</f>
        <v>9.820059704784273E-2</v>
      </c>
      <c r="AE325" s="305">
        <f t="shared" si="117"/>
        <v>0.8</v>
      </c>
      <c r="AF325" s="177">
        <f t="shared" si="118"/>
        <v>0.79900298009260773</v>
      </c>
      <c r="AG325" s="809">
        <f t="shared" si="124"/>
        <v>4</v>
      </c>
      <c r="AH325" s="176">
        <f t="shared" si="119"/>
        <v>10</v>
      </c>
      <c r="AI325" s="225">
        <f t="shared" si="120"/>
        <v>4.7990029800926077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IF(t&gt;Tmaj,'2026'!Wh/'2026'!Env_an*'2027'!Env_an,0.001*'[13]mon-tableau (3)'!$B$143)</f>
        <v>0.88998306543088168</v>
      </c>
      <c r="C326" s="839"/>
      <c r="D326" s="393">
        <f t="shared" si="102"/>
        <v>0.98545884005157292</v>
      </c>
      <c r="E326" s="385">
        <f t="shared" si="125"/>
        <v>1.0450609450710024</v>
      </c>
      <c r="F326" s="385">
        <f t="shared" si="103"/>
        <v>1.0450609450710024</v>
      </c>
      <c r="G326" s="110">
        <f t="shared" si="126"/>
        <v>4.6320707037819001E-2</v>
      </c>
      <c r="H326" s="414" t="b">
        <f>Wh_hp&gt;='2026'!Maxi_hp</f>
        <v>0</v>
      </c>
      <c r="I326" s="390">
        <f>IF(H326,Wh_hp,'2026'!Maxi_hp)</f>
        <v>20.0155602932596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9.688458892478416E-2</v>
      </c>
      <c r="M326" s="843"/>
      <c r="N326" s="843"/>
      <c r="O326" s="48">
        <f>IF(t&lt;Tnet,'2026'!Resal+('2026'!Salim-'2026'!Resal)*(1-EXP(('2026'!Tnet-t)/('2026'!Tau_j))),Resal+(Salim-Resal)*(1-EXP((Tnet-t)/(Tau_j))))*Salcycl</f>
        <v>5.7032181042207072E-2</v>
      </c>
      <c r="P326" s="169">
        <f>(INDEX(Models!$BJ326:$BT326,,T326)*(1-R326)+INDEX(Models!$BJ326:$BT326,,T326+1)*R326-ERP_i)*Q326*Ramure*Pc/MaxiM</f>
        <v>7.0827336651041239E-2</v>
      </c>
      <c r="Q326" s="305">
        <f t="shared" si="105"/>
        <v>0.8</v>
      </c>
      <c r="R326" s="177">
        <f t="shared" si="106"/>
        <v>0.59833691547654322</v>
      </c>
      <c r="S326" s="809">
        <f t="shared" si="107"/>
        <v>3</v>
      </c>
      <c r="T326" s="176">
        <f t="shared" si="108"/>
        <v>9</v>
      </c>
      <c r="U326" s="251">
        <f t="shared" si="109"/>
        <v>3.5983369154765432</v>
      </c>
      <c r="V326" s="383">
        <f t="shared" si="110"/>
        <v>17.852662192023821</v>
      </c>
      <c r="W326" s="402">
        <f t="shared" si="111"/>
        <v>0.88998306543088168</v>
      </c>
      <c r="X326" s="157">
        <f t="shared" si="112"/>
        <v>46699</v>
      </c>
      <c r="Y326" s="385">
        <f t="shared" si="113"/>
        <v>0.81394225408493226</v>
      </c>
      <c r="Z326" s="385">
        <f t="shared" si="114"/>
        <v>0.90126050790771317</v>
      </c>
      <c r="AA326" s="386">
        <f t="shared" si="115"/>
        <v>1.0450609450710024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0.1376000489172613</v>
      </c>
      <c r="AD326" s="231">
        <f>(INDEX(Models!$BJ326:$BT326,,AH326)*(1-AF326)+INDEX(Models!$BJ326:$BT326,,AH326+1)*AF326-ERP_i)*AE326*Ramure*Pc/MaxiM</f>
        <v>9.7567079727791398E-2</v>
      </c>
      <c r="AE326" s="305">
        <f t="shared" si="117"/>
        <v>0.8</v>
      </c>
      <c r="AF326" s="177">
        <f t="shared" si="118"/>
        <v>0.79905366264144639</v>
      </c>
      <c r="AG326" s="809">
        <f t="shared" si="124"/>
        <v>4</v>
      </c>
      <c r="AH326" s="176">
        <f t="shared" si="119"/>
        <v>10</v>
      </c>
      <c r="AI326" s="225">
        <f t="shared" si="120"/>
        <v>4.7990536626414464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IF(t&gt;Tmaj,'2026'!Wh/'2026'!Env_an*'2027'!Env_an,0.001*'[13]mon-tableau (3)'!$B$144)</f>
        <v>7.0692473186014633</v>
      </c>
      <c r="C327" s="839"/>
      <c r="D327" s="393">
        <f t="shared" si="102"/>
        <v>7.827809816147397</v>
      </c>
      <c r="E327" s="385">
        <f t="shared" si="125"/>
        <v>8.3024503294879786</v>
      </c>
      <c r="F327" s="385">
        <f t="shared" si="103"/>
        <v>8.3886504524307366</v>
      </c>
      <c r="G327" s="110">
        <f t="shared" si="126"/>
        <v>0.37673255879493939</v>
      </c>
      <c r="H327" s="414" t="b">
        <f>Wh_hp&gt;='2026'!Maxi_hp</f>
        <v>0</v>
      </c>
      <c r="I327" s="390">
        <f>IF(H327,Wh_hp,'2026'!Maxi_hp)</f>
        <v>17.157196529957051</v>
      </c>
      <c r="J327" s="85">
        <f>IF(H327,An,'2026'!An_max)</f>
        <v>2021</v>
      </c>
      <c r="K327" s="197">
        <f t="shared" si="104"/>
        <v>46700</v>
      </c>
      <c r="L327" s="147">
        <f>IF(t&lt;Tvie,1-EXP((T0-t)*PertePVj)+'2026'!Pspv,1-EXP((T0-t)*PertePVj)+Pspv)</f>
        <v>9.6906097026163401E-2</v>
      </c>
      <c r="M327" s="843"/>
      <c r="N327" s="843"/>
      <c r="O327" s="48">
        <f>IF(t&lt;Tnet,'2026'!Resal+('2026'!Salim-'2026'!Resal)*(1-EXP(('2026'!Tnet-t)/('2026'!Tau_j))),Resal+(Salim-Resal)*(1-EXP((Tnet-t)/(Tau_j))))*Salcycl</f>
        <v>5.7168726641433944E-2</v>
      </c>
      <c r="P327" s="169">
        <f>(INDEX(Models!$BJ327:$BT327,,T327)*(1-R327)+INDEX(Models!$BJ327:$BT327,,T327+1)*R327-ERP_i)*Q327*Ramure*Pc/MaxiM</f>
        <v>7.0974729013697155E-2</v>
      </c>
      <c r="Q327" s="305">
        <f t="shared" si="105"/>
        <v>0.8</v>
      </c>
      <c r="R327" s="177">
        <f t="shared" si="106"/>
        <v>0.59838556545470656</v>
      </c>
      <c r="S327" s="809">
        <f t="shared" si="107"/>
        <v>3</v>
      </c>
      <c r="T327" s="176">
        <f t="shared" si="108"/>
        <v>9</v>
      </c>
      <c r="U327" s="251">
        <f t="shared" si="109"/>
        <v>3.5983855654547066</v>
      </c>
      <c r="V327" s="383">
        <f t="shared" si="110"/>
        <v>17.613812142991808</v>
      </c>
      <c r="W327" s="402">
        <f t="shared" si="111"/>
        <v>7.0692473186014633</v>
      </c>
      <c r="X327" s="157">
        <f t="shared" si="112"/>
        <v>46700</v>
      </c>
      <c r="Y327" s="385">
        <f t="shared" si="113"/>
        <v>6.441930414432429</v>
      </c>
      <c r="Z327" s="385">
        <f t="shared" si="114"/>
        <v>7.1331789454225305</v>
      </c>
      <c r="AA327" s="386">
        <f t="shared" si="115"/>
        <v>8.271017422155321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0.13756934832284332</v>
      </c>
      <c r="AD327" s="231">
        <f>(INDEX(Models!$BJ327:$BT327,,AH327)*(1-AF327)+INDEX(Models!$BJ327:$BT327,,AH327+1)*AF327-ERP_i)*AE327*Ramure*Pc/MaxiM</f>
        <v>9.6855690709420295E-2</v>
      </c>
      <c r="AE327" s="305">
        <f t="shared" si="117"/>
        <v>0.8</v>
      </c>
      <c r="AF327" s="177">
        <f t="shared" si="118"/>
        <v>0.79910231261961062</v>
      </c>
      <c r="AG327" s="809">
        <f t="shared" si="124"/>
        <v>4</v>
      </c>
      <c r="AH327" s="176">
        <f t="shared" si="119"/>
        <v>10</v>
      </c>
      <c r="AI327" s="225">
        <f t="shared" si="120"/>
        <v>4.7991023126196106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IF(t&gt;Tmaj,'2026'!Wh/'2026'!Env_an*'2027'!Env_an,0.001*'[13]mon-tableau (3)'!$B$145)</f>
        <v>15.818712998994176</v>
      </c>
      <c r="C328" s="839"/>
      <c r="D328" s="393">
        <f t="shared" si="102"/>
        <v>17.516550256705404</v>
      </c>
      <c r="E328" s="385">
        <f t="shared" si="125"/>
        <v>18.581359412661786</v>
      </c>
      <c r="F328" s="385">
        <f t="shared" si="103"/>
        <v>19.808000272609863</v>
      </c>
      <c r="G328" s="110">
        <f t="shared" si="126"/>
        <v>0.90114809903135451</v>
      </c>
      <c r="H328" s="414" t="b">
        <f>Wh_hp&gt;='2026'!Maxi_hp</f>
        <v>0</v>
      </c>
      <c r="I328" s="390">
        <f>IF(H328,Wh_hp,'2026'!Maxi_hp)</f>
        <v>19.985849148012122</v>
      </c>
      <c r="J328" s="85">
        <f>IF(H328,An,'2026'!An_max)</f>
        <v>2022</v>
      </c>
      <c r="K328" s="197">
        <f t="shared" si="104"/>
        <v>46701</v>
      </c>
      <c r="L328" s="147">
        <f>IF(t&lt;Tvie,1-EXP((T0-t)*PertePVj)+'2026'!Pspv,1-EXP((T0-t)*PertePVj)+Pspv)</f>
        <v>9.6927604627017799E-2</v>
      </c>
      <c r="M328" s="843"/>
      <c r="N328" s="843"/>
      <c r="O328" s="48">
        <f>IF(t&lt;Tnet,'2026'!Resal+('2026'!Salim-'2026'!Resal)*(1-EXP(('2026'!Tnet-t)/('2026'!Tau_j))),Resal+(Salim-Resal)*(1-EXP((Tnet-t)/(Tau_j))))*Salcycl</f>
        <v>5.7305234364650209E-2</v>
      </c>
      <c r="P328" s="169">
        <f>(INDEX(Models!$BJ328:$BT328,,T328)*(1-R328)+INDEX(Models!$BJ328:$BT328,,T328+1)*R328-ERP_i)*Q328*Ramure*Pc/MaxiM</f>
        <v>7.106203854341582E-2</v>
      </c>
      <c r="Q328" s="305">
        <f t="shared" si="105"/>
        <v>0.8</v>
      </c>
      <c r="R328" s="177">
        <f t="shared" si="106"/>
        <v>0.59843226406554884</v>
      </c>
      <c r="S328" s="809">
        <f t="shared" si="107"/>
        <v>3</v>
      </c>
      <c r="T328" s="176">
        <f t="shared" si="108"/>
        <v>9</v>
      </c>
      <c r="U328" s="251">
        <f t="shared" si="109"/>
        <v>3.5984322640655488</v>
      </c>
      <c r="V328" s="383">
        <f t="shared" si="110"/>
        <v>17.383004241656433</v>
      </c>
      <c r="W328" s="402">
        <f t="shared" si="111"/>
        <v>15.818712998994176</v>
      </c>
      <c r="X328" s="157">
        <f t="shared" si="112"/>
        <v>46701</v>
      </c>
      <c r="Y328" s="385">
        <f t="shared" si="113"/>
        <v>14.136239761864701</v>
      </c>
      <c r="Z328" s="385">
        <f t="shared" si="114"/>
        <v>15.653495593812526</v>
      </c>
      <c r="AA328" s="386">
        <f t="shared" si="115"/>
        <v>18.149812559645028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0.13753954525034084</v>
      </c>
      <c r="AD328" s="231">
        <f>(INDEX(Models!$BJ328:$BT328,,AH328)*(1-AF328)+INDEX(Models!$BJ328:$BT328,,AH328+1)*AF328-ERP_i)*AE328*Ramure*Pc/MaxiM</f>
        <v>9.6062509425874978E-2</v>
      </c>
      <c r="AE328" s="305">
        <f t="shared" si="117"/>
        <v>0.8</v>
      </c>
      <c r="AF328" s="177">
        <f t="shared" si="118"/>
        <v>0.7991490112304529</v>
      </c>
      <c r="AG328" s="809">
        <f t="shared" si="124"/>
        <v>4</v>
      </c>
      <c r="AH328" s="176">
        <f t="shared" si="119"/>
        <v>10</v>
      </c>
      <c r="AI328" s="225">
        <f t="shared" si="120"/>
        <v>4.7991490112304529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IF(t&gt;Tmaj,'2026'!Wh/'2026'!Env_an*'2027'!Env_an,0.001*'[13]mon-tableau (3)'!$B$146)</f>
        <v>17.12460826680352</v>
      </c>
      <c r="C329" s="839"/>
      <c r="D329" s="393">
        <f t="shared" si="102"/>
        <v>18.963060099037751</v>
      </c>
      <c r="E329" s="385">
        <f t="shared" si="125"/>
        <v>20.118714565268352</v>
      </c>
      <c r="F329" s="385">
        <f t="shared" si="103"/>
        <v>21.6533133229077</v>
      </c>
      <c r="G329" s="110">
        <f t="shared" si="126"/>
        <v>0.99765680594502415</v>
      </c>
      <c r="H329" s="414" t="b">
        <f>Wh_hp&gt;='2026'!Maxi_hp</f>
        <v>0</v>
      </c>
      <c r="I329" s="390">
        <f>IF(H329,Wh_hp,'2026'!Maxi_hp)</f>
        <v>21.657878919803085</v>
      </c>
      <c r="J329" s="85">
        <f>IF(H329,An,'2026'!An_max)</f>
        <v>2022</v>
      </c>
      <c r="K329" s="197">
        <f t="shared" si="104"/>
        <v>46702</v>
      </c>
      <c r="L329" s="147">
        <f>IF(t&lt;Tvie,1-EXP((T0-t)*PertePVj)+'2026'!Pspv,1-EXP((T0-t)*PertePVj)+Pspv)</f>
        <v>9.69491117273589E-2</v>
      </c>
      <c r="M329" s="843"/>
      <c r="N329" s="843"/>
      <c r="O329" s="48">
        <f>IF(t&lt;Tnet,'2026'!Resal+('2026'!Salim-'2026'!Resal)*(1-EXP(('2026'!Tnet-t)/('2026'!Tau_j))),Resal+(Salim-Resal)*(1-EXP((Tnet-t)/(Tau_j))))*Salcycl</f>
        <v>5.7441764605858536E-2</v>
      </c>
      <c r="P329" s="169">
        <f>(INDEX(Models!$BJ329:$BT329,,T329)*(1-R329)+INDEX(Models!$BJ329:$BT329,,T329+1)*R329-ERP_i)*Q329*Ramure*Pc/MaxiM</f>
        <v>7.108586720872595E-2</v>
      </c>
      <c r="Q329" s="305">
        <f t="shared" si="105"/>
        <v>0.8</v>
      </c>
      <c r="R329" s="177">
        <f t="shared" si="106"/>
        <v>0.59847708929274557</v>
      </c>
      <c r="S329" s="809">
        <f t="shared" si="107"/>
        <v>3</v>
      </c>
      <c r="T329" s="176">
        <f t="shared" si="108"/>
        <v>9</v>
      </c>
      <c r="U329" s="251">
        <f t="shared" si="109"/>
        <v>3.5984770892927456</v>
      </c>
      <c r="V329" s="383">
        <f t="shared" si="110"/>
        <v>17.160865102717747</v>
      </c>
      <c r="W329" s="402">
        <f t="shared" si="111"/>
        <v>17.12460826680352</v>
      </c>
      <c r="X329" s="157">
        <f t="shared" si="112"/>
        <v>46702</v>
      </c>
      <c r="Y329" s="385">
        <f t="shared" si="113"/>
        <v>15.26471126686522</v>
      </c>
      <c r="Z329" s="385">
        <f t="shared" si="114"/>
        <v>16.903489565315208</v>
      </c>
      <c r="AA329" s="386">
        <f t="shared" si="115"/>
        <v>19.598493593355983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0.13751077424411839</v>
      </c>
      <c r="AD329" s="231">
        <f>(INDEX(Models!$BJ329:$BT329,,AH329)*(1-AF329)+INDEX(Models!$BJ329:$BT329,,AH329+1)*AF329-ERP_i)*AE329*Ramure*Pc/MaxiM</f>
        <v>9.5183605294636861E-2</v>
      </c>
      <c r="AE329" s="305">
        <f t="shared" si="117"/>
        <v>0.8</v>
      </c>
      <c r="AF329" s="177">
        <f t="shared" si="118"/>
        <v>0.79919383645764874</v>
      </c>
      <c r="AG329" s="809">
        <f t="shared" si="124"/>
        <v>4</v>
      </c>
      <c r="AH329" s="176">
        <f t="shared" si="119"/>
        <v>10</v>
      </c>
      <c r="AI329" s="225">
        <f t="shared" si="120"/>
        <v>4.7991938364576487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IF(t&gt;Tmaj,'2026'!Wh/'2026'!Env_an*'2027'!Env_an,0.001*'[13]mon-tableau (3)'!$B$147)</f>
        <v>17.323195760634693</v>
      </c>
      <c r="C330" s="839"/>
      <c r="D330" s="393">
        <f t="shared" si="102"/>
        <v>19.183424274130072</v>
      </c>
      <c r="E330" s="385">
        <f t="shared" si="125"/>
        <v>20.355458533789633</v>
      </c>
      <c r="F330" s="385">
        <f t="shared" si="103"/>
        <v>21.912158265711369</v>
      </c>
      <c r="G330" s="110">
        <f t="shared" si="126"/>
        <v>1.0221367254498743</v>
      </c>
      <c r="H330" s="414" t="b">
        <f>Wh_hp&gt;='2026'!Maxi_hp</f>
        <v>1</v>
      </c>
      <c r="I330" s="390">
        <f>IF(H330,Wh_hp,'2026'!Maxi_hp)</f>
        <v>21.912158265711369</v>
      </c>
      <c r="J330" s="85">
        <f>IF(H330,An,'2026'!An_max)</f>
        <v>2027</v>
      </c>
      <c r="K330" s="197">
        <f t="shared" si="104"/>
        <v>46703</v>
      </c>
      <c r="L330" s="147">
        <f>IF(t&lt;Tvie,1-EXP((T0-t)*PertePVj)+'2026'!Pspv,1-EXP((T0-t)*PertePVj)+Pspv)</f>
        <v>9.697061832719836E-2</v>
      </c>
      <c r="M330" s="843"/>
      <c r="N330" s="843"/>
      <c r="O330" s="48">
        <f>IF(t&lt;Tnet,'2026'!Resal+('2026'!Salim-'2026'!Resal)*(1-EXP(('2026'!Tnet-t)/('2026'!Tau_j))),Resal+(Salim-Resal)*(1-EXP((Tnet-t)/(Tau_j))))*Salcycl</f>
        <v>5.7578376714727861E-2</v>
      </c>
      <c r="P330" s="169">
        <f>(INDEX(Models!$BJ330:$BT330,,T330)*(1-R330)+INDEX(Models!$BJ330:$BT330,,T330+1)*R330-ERP_i)*Q330*Ramure*Pc/MaxiM</f>
        <v>7.1042738604060421E-2</v>
      </c>
      <c r="Q330" s="305">
        <f t="shared" si="105"/>
        <v>0.8</v>
      </c>
      <c r="R330" s="177">
        <f t="shared" si="106"/>
        <v>0.5985201160260214</v>
      </c>
      <c r="S330" s="809">
        <f t="shared" si="107"/>
        <v>3</v>
      </c>
      <c r="T330" s="176">
        <f t="shared" si="108"/>
        <v>9</v>
      </c>
      <c r="U330" s="251">
        <f t="shared" si="109"/>
        <v>3.5985201160260214</v>
      </c>
      <c r="V330" s="383">
        <f t="shared" si="110"/>
        <v>16.948022049604191</v>
      </c>
      <c r="W330" s="402">
        <f t="shared" si="111"/>
        <v>17.323195760634693</v>
      </c>
      <c r="X330" s="157">
        <f t="shared" si="112"/>
        <v>46703</v>
      </c>
      <c r="Y330" s="385">
        <f t="shared" si="113"/>
        <v>15.45893978342751</v>
      </c>
      <c r="Z330" s="385">
        <f t="shared" si="114"/>
        <v>17.118977629267008</v>
      </c>
      <c r="AA330" s="386">
        <f t="shared" si="115"/>
        <v>19.847702624150813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0.13748316601456301</v>
      </c>
      <c r="AD330" s="231">
        <f>(INDEX(Models!$BJ330:$BT330,,AH330)*(1-AF330)+INDEX(Models!$BJ330:$BT330,,AH330+1)*AF330-ERP_i)*AE330*Ramure*Pc/MaxiM</f>
        <v>9.4215075326060591E-2</v>
      </c>
      <c r="AE330" s="305">
        <f t="shared" si="117"/>
        <v>0.8</v>
      </c>
      <c r="AF330" s="177">
        <f t="shared" si="118"/>
        <v>0.79923686319092457</v>
      </c>
      <c r="AG330" s="809">
        <f t="shared" si="124"/>
        <v>4</v>
      </c>
      <c r="AH330" s="176">
        <f t="shared" si="119"/>
        <v>10</v>
      </c>
      <c r="AI330" s="225">
        <f t="shared" si="120"/>
        <v>4.7992368631909246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IF(t&gt;Tmaj,'2026'!Wh/'2026'!Env_an*'2027'!Env_an,0.001*'[13]mon-tableau (3)'!$B$148)</f>
        <v>16.698832272001663</v>
      </c>
      <c r="C331" s="839"/>
      <c r="D331" s="393">
        <f t="shared" si="102"/>
        <v>18.492454743428592</v>
      </c>
      <c r="E331" s="385">
        <f t="shared" si="125"/>
        <v>19.625121135933128</v>
      </c>
      <c r="F331" s="385">
        <f t="shared" si="103"/>
        <v>21.117440802903321</v>
      </c>
      <c r="G331" s="110">
        <f t="shared" si="126"/>
        <v>0.99705898269177051</v>
      </c>
      <c r="H331" s="414" t="b">
        <f>Wh_hp&gt;='2026'!Maxi_hp</f>
        <v>0</v>
      </c>
      <c r="I331" s="390">
        <f>IF(H331,Wh_hp,'2026'!Maxi_hp)</f>
        <v>21.123000933531273</v>
      </c>
      <c r="J331" s="85">
        <f>IF(H331,An,'2026'!An_max)</f>
        <v>2022</v>
      </c>
      <c r="K331" s="197">
        <f t="shared" si="104"/>
        <v>46704</v>
      </c>
      <c r="L331" s="147">
        <f>IF(t&lt;Tvie,1-EXP((T0-t)*PertePVj)+'2026'!Pspv,1-EXP((T0-t)*PertePVj)+Pspv)</f>
        <v>9.6992124426547838E-2</v>
      </c>
      <c r="M331" s="843"/>
      <c r="N331" s="843"/>
      <c r="O331" s="48">
        <f>IF(t&lt;Tnet,'2026'!Resal+('2026'!Salim-'2026'!Resal)*(1-EXP(('2026'!Tnet-t)/('2026'!Tau_j))),Resal+(Salim-Resal)*(1-EXP((Tnet-t)/(Tau_j))))*Salcycl</f>
        <v>5.771512871992681E-2</v>
      </c>
      <c r="P331" s="169">
        <f>(INDEX(Models!$BJ331:$BT331,,T331)*(1-R331)+INDEX(Models!$BJ331:$BT331,,T331+1)*R331-ERP_i)*Q331*Ramure*Pc/MaxiM</f>
        <v>7.0936440902333309E-2</v>
      </c>
      <c r="Q331" s="305">
        <f t="shared" si="105"/>
        <v>0.8</v>
      </c>
      <c r="R331" s="177">
        <f t="shared" si="106"/>
        <v>0.59856141618212222</v>
      </c>
      <c r="S331" s="809">
        <f t="shared" si="107"/>
        <v>3</v>
      </c>
      <c r="T331" s="176">
        <f t="shared" si="108"/>
        <v>9</v>
      </c>
      <c r="U331" s="251">
        <f t="shared" si="109"/>
        <v>3.5985614161821222</v>
      </c>
      <c r="V331" s="383">
        <f t="shared" si="110"/>
        <v>16.743244427023839</v>
      </c>
      <c r="W331" s="402">
        <f t="shared" si="111"/>
        <v>16.698832272001663</v>
      </c>
      <c r="X331" s="157">
        <f t="shared" si="112"/>
        <v>46704</v>
      </c>
      <c r="Y331" s="385">
        <f t="shared" si="113"/>
        <v>14.92148571533281</v>
      </c>
      <c r="Z331" s="385">
        <f t="shared" si="114"/>
        <v>16.524203297625693</v>
      </c>
      <c r="AA331" s="386">
        <f t="shared" si="115"/>
        <v>19.157538074484837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0.13745684683599177</v>
      </c>
      <c r="AD331" s="231">
        <f>(INDEX(Models!$BJ331:$BT331,,AH331)*(1-AF331)+INDEX(Models!$BJ331:$BT331,,AH331+1)*AF331-ERP_i)*AE331*Ramure*Pc/MaxiM</f>
        <v>9.3162696402068312E-2</v>
      </c>
      <c r="AE331" s="305">
        <f t="shared" si="117"/>
        <v>0.8</v>
      </c>
      <c r="AF331" s="177">
        <f t="shared" si="118"/>
        <v>0.79927816334702584</v>
      </c>
      <c r="AG331" s="809">
        <f t="shared" si="124"/>
        <v>4</v>
      </c>
      <c r="AH331" s="176">
        <f t="shared" si="119"/>
        <v>10</v>
      </c>
      <c r="AI331" s="225">
        <f t="shared" si="120"/>
        <v>4.7992781633470258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IF(t&gt;Tmaj,'2026'!Wh/'2026'!Env_an*'2027'!Env_an,0.001*'[13]mon-tableau (3)'!$B$149)</f>
        <v>6.90816254513547</v>
      </c>
      <c r="C332" s="839"/>
      <c r="D332" s="393">
        <f t="shared" si="102"/>
        <v>7.6503508522835544</v>
      </c>
      <c r="E332" s="385">
        <f t="shared" si="125"/>
        <v>8.1201164551781222</v>
      </c>
      <c r="F332" s="385">
        <f t="shared" si="103"/>
        <v>8.2177463455104256</v>
      </c>
      <c r="G332" s="110">
        <f t="shared" si="126"/>
        <v>0.39265419642682647</v>
      </c>
      <c r="H332" s="414" t="b">
        <f>Wh_hp&gt;='2026'!Maxi_hp</f>
        <v>0</v>
      </c>
      <c r="I332" s="390">
        <f>IF(H332,Wh_hp,'2026'!Maxi_hp)</f>
        <v>16.142697199455277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9.7013630025418879E-2</v>
      </c>
      <c r="M332" s="843"/>
      <c r="N332" s="843"/>
      <c r="O332" s="48">
        <f>IF(t&lt;Tnet,'2026'!Resal+('2026'!Salim-'2026'!Resal)*(1-EXP(('2026'!Tnet-t)/('2026'!Tau_j))),Resal+(Salim-Resal)*(1-EXP((Tnet-t)/(Tau_j))))*Salcycl</f>
        <v>5.7852077059190724E-2</v>
      </c>
      <c r="P332" s="169">
        <f>(INDEX(Models!$BJ332:$BT332,,T332)*(1-R332)+INDEX(Models!$BJ332:$BT332,,T332+1)*R332-ERP_i)*Q332*Ramure*Pc/MaxiM</f>
        <v>7.0757008615150871E-2</v>
      </c>
      <c r="Q332" s="305">
        <f t="shared" si="105"/>
        <v>0.8</v>
      </c>
      <c r="R332" s="177">
        <f t="shared" si="106"/>
        <v>0.5986010588211963</v>
      </c>
      <c r="S332" s="809">
        <f t="shared" si="107"/>
        <v>3</v>
      </c>
      <c r="T332" s="176">
        <f t="shared" si="108"/>
        <v>9</v>
      </c>
      <c r="U332" s="251">
        <f t="shared" si="109"/>
        <v>3.5986010588211963</v>
      </c>
      <c r="V332" s="383">
        <f t="shared" si="110"/>
        <v>16.545201961918576</v>
      </c>
      <c r="W332" s="402">
        <f t="shared" si="111"/>
        <v>6.90816254513547</v>
      </c>
      <c r="X332" s="157">
        <f t="shared" si="112"/>
        <v>46705</v>
      </c>
      <c r="Y332" s="385">
        <f t="shared" si="113"/>
        <v>6.3017708565989503</v>
      </c>
      <c r="Z332" s="385">
        <f t="shared" si="114"/>
        <v>6.9788106068271478</v>
      </c>
      <c r="AA332" s="386">
        <f t="shared" si="115"/>
        <v>8.0907361564001103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0.13743193796937533</v>
      </c>
      <c r="AD332" s="231">
        <f>(INDEX(Models!$BJ332:$BT332,,AH332)*(1-AF332)+INDEX(Models!$BJ332:$BT332,,AH332+1)*AF332-ERP_i)*AE332*Ramure*Pc/MaxiM</f>
        <v>9.2050303595566985E-2</v>
      </c>
      <c r="AE332" s="305">
        <f t="shared" si="117"/>
        <v>0.8</v>
      </c>
      <c r="AF332" s="177">
        <f t="shared" si="118"/>
        <v>0.79931780598609947</v>
      </c>
      <c r="AG332" s="809">
        <f t="shared" si="124"/>
        <v>4</v>
      </c>
      <c r="AH332" s="176">
        <f t="shared" si="119"/>
        <v>10</v>
      </c>
      <c r="AI332" s="225">
        <f t="shared" si="120"/>
        <v>4.7993178059860995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IF(t&gt;Tmaj,'2026'!Wh/'2026'!Env_an*'2027'!Env_an,0.001*'[13]mon-tableau (3)'!$B$150)</f>
        <v>9.433888219383368</v>
      </c>
      <c r="C333" s="839"/>
      <c r="D333" s="393">
        <f t="shared" si="102"/>
        <v>10.447680287844904</v>
      </c>
      <c r="E333" s="385">
        <f t="shared" si="125"/>
        <v>11.090829462120473</v>
      </c>
      <c r="F333" s="385">
        <f t="shared" si="103"/>
        <v>11.40906085285464</v>
      </c>
      <c r="G333" s="110">
        <f t="shared" si="126"/>
        <v>0.5515712978004117</v>
      </c>
      <c r="H333" s="414" t="b">
        <f>Wh_hp&gt;='2026'!Maxi_hp</f>
        <v>0</v>
      </c>
      <c r="I333" s="390">
        <f>IF(H333,Wh_hp,'2026'!Maxi_hp)</f>
        <v>20.45344773267831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9.7035135123823363E-2</v>
      </c>
      <c r="M333" s="843"/>
      <c r="N333" s="843"/>
      <c r="O333" s="48">
        <f>IF(t&lt;Tnet,'2026'!Resal+('2026'!Salim-'2026'!Resal)*(1-EXP(('2026'!Tnet-t)/('2026'!Tau_j))),Resal+(Salim-Resal)*(1-EXP((Tnet-t)/(Tau_j))))*Salcycl</f>
        <v>5.7989276318076606E-2</v>
      </c>
      <c r="P333" s="169">
        <f>(INDEX(Models!$BJ333:$BT333,,T333)*(1-R333)+INDEX(Models!$BJ333:$BT333,,T333+1)*R333-ERP_i)*Q333*Ramure*Pc/MaxiM</f>
        <v>7.0521061248937103E-2</v>
      </c>
      <c r="Q333" s="305">
        <f t="shared" si="105"/>
        <v>0.8</v>
      </c>
      <c r="R333" s="177">
        <f t="shared" si="106"/>
        <v>0.59863911025875005</v>
      </c>
      <c r="S333" s="809">
        <f t="shared" si="107"/>
        <v>3</v>
      </c>
      <c r="T333" s="176">
        <f t="shared" si="108"/>
        <v>9</v>
      </c>
      <c r="U333" s="251">
        <f t="shared" si="109"/>
        <v>3.5986391102587501</v>
      </c>
      <c r="V333" s="383">
        <f t="shared" si="110"/>
        <v>16.353642138269183</v>
      </c>
      <c r="W333" s="402">
        <f t="shared" si="111"/>
        <v>9.433888219383368</v>
      </c>
      <c r="X333" s="157">
        <f t="shared" si="112"/>
        <v>46706</v>
      </c>
      <c r="Y333" s="385">
        <f t="shared" si="113"/>
        <v>8.5668698921458777</v>
      </c>
      <c r="Z333" s="385">
        <f t="shared" si="114"/>
        <v>9.4874897411657884</v>
      </c>
      <c r="AA333" s="386">
        <f t="shared" si="115"/>
        <v>10.998821976978446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0.13740855511399447</v>
      </c>
      <c r="AD333" s="231">
        <f>(INDEX(Models!$BJ333:$BT333,,AH333)*(1-AF333)+INDEX(Models!$BJ333:$BT333,,AH333+1)*AF333-ERP_i)*AE333*Ramure*Pc/MaxiM</f>
        <v>9.0910204758923821E-2</v>
      </c>
      <c r="AE333" s="305">
        <f t="shared" si="117"/>
        <v>0.8</v>
      </c>
      <c r="AF333" s="177">
        <f t="shared" si="118"/>
        <v>0.79935585742365411</v>
      </c>
      <c r="AG333" s="809">
        <f t="shared" si="124"/>
        <v>4</v>
      </c>
      <c r="AH333" s="176">
        <f t="shared" si="119"/>
        <v>10</v>
      </c>
      <c r="AI333" s="225">
        <f t="shared" si="120"/>
        <v>4.7993558574236541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IF(t&gt;Tmaj,'2026'!Wh/'2026'!Env_an*'2027'!Env_an,0.001*'[13]mon-tableau (3)'!$B$151)</f>
        <v>16.907739893497759</v>
      </c>
      <c r="C334" s="839"/>
      <c r="D334" s="393">
        <f t="shared" si="102"/>
        <v>18.725138959201065</v>
      </c>
      <c r="E334" s="385">
        <f t="shared" si="125"/>
        <v>19.880742483482894</v>
      </c>
      <c r="F334" s="385">
        <f t="shared" si="103"/>
        <v>21.382378556542093</v>
      </c>
      <c r="G334" s="110">
        <f t="shared" si="126"/>
        <v>1.0457124086047513</v>
      </c>
      <c r="H334" s="414" t="b">
        <f>Wh_hp&gt;='2026'!Maxi_hp</f>
        <v>1</v>
      </c>
      <c r="I334" s="390">
        <f>IF(H334,Wh_hp,'2026'!Maxi_hp)</f>
        <v>21.382378556542093</v>
      </c>
      <c r="J334" s="85">
        <f>IF(H334,An,'2026'!An_max)</f>
        <v>2027</v>
      </c>
      <c r="K334" s="197">
        <f t="shared" si="104"/>
        <v>46707</v>
      </c>
      <c r="L334" s="147">
        <f>IF(t&lt;Tvie,1-EXP((T0-t)*PertePVj)+'2026'!Pspv,1-EXP((T0-t)*PertePVj)+Pspv)</f>
        <v>9.7056639721772614E-2</v>
      </c>
      <c r="M334" s="843"/>
      <c r="N334" s="843"/>
      <c r="O334" s="48">
        <f>IF(t&lt;Tnet,'2026'!Resal+('2026'!Salim-'2026'!Resal)*(1-EXP(('2026'!Tnet-t)/('2026'!Tau_j))),Resal+(Salim-Resal)*(1-EXP((Tnet-t)/(Tau_j))))*Salcycl</f>
        <v>5.8126778979301935E-2</v>
      </c>
      <c r="P334" s="169">
        <f>(INDEX(Models!$BJ334:$BT334,,T334)*(1-R334)+INDEX(Models!$BJ334:$BT334,,T334+1)*R334-ERP_i)*Q334*Ramure*Pc/MaxiM</f>
        <v>7.0227737718157657E-2</v>
      </c>
      <c r="Q334" s="305">
        <f t="shared" si="105"/>
        <v>0.8</v>
      </c>
      <c r="R334" s="177">
        <f t="shared" si="106"/>
        <v>0.59867563417333791</v>
      </c>
      <c r="S334" s="809">
        <f t="shared" si="107"/>
        <v>3</v>
      </c>
      <c r="T334" s="176">
        <f t="shared" si="108"/>
        <v>9</v>
      </c>
      <c r="U334" s="251">
        <f t="shared" si="109"/>
        <v>3.5986756341733379</v>
      </c>
      <c r="V334" s="383">
        <f t="shared" si="110"/>
        <v>16.168632746796057</v>
      </c>
      <c r="W334" s="402">
        <f t="shared" si="111"/>
        <v>16.907739893497759</v>
      </c>
      <c r="X334" s="157">
        <f t="shared" si="112"/>
        <v>46707</v>
      </c>
      <c r="Y334" s="385">
        <f t="shared" si="113"/>
        <v>15.159921906380463</v>
      </c>
      <c r="Z334" s="385">
        <f t="shared" si="114"/>
        <v>16.789449453074418</v>
      </c>
      <c r="AA334" s="386">
        <f t="shared" si="115"/>
        <v>19.463474019037605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0.13738680789193503</v>
      </c>
      <c r="AD334" s="231">
        <f>(INDEX(Models!$BJ334:$BT334,,AH334)*(1-AF334)+INDEX(Models!$BJ334:$BT334,,AH334+1)*AF334-ERP_i)*AE334*Ramure*Pc/MaxiM</f>
        <v>8.9742333035132973E-2</v>
      </c>
      <c r="AE334" s="305">
        <f t="shared" si="117"/>
        <v>0.8</v>
      </c>
      <c r="AF334" s="177">
        <f t="shared" si="118"/>
        <v>0.79939238133824109</v>
      </c>
      <c r="AG334" s="809">
        <f t="shared" si="124"/>
        <v>4</v>
      </c>
      <c r="AH334" s="176">
        <f t="shared" si="119"/>
        <v>10</v>
      </c>
      <c r="AI334" s="225">
        <f t="shared" si="120"/>
        <v>4.7993923813382411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IF(t&gt;Tmaj,'2026'!Wh/'2026'!Env_an*'2027'!Env_an,0.001*'[13]mon-tableau (3)'!$B$152)</f>
        <v>9.8978158990246072</v>
      </c>
      <c r="C335" s="839"/>
      <c r="D335" s="393">
        <f t="shared" ref="D335:D379" si="127">Wh/(1-Ppv)</f>
        <v>10.961985061355676</v>
      </c>
      <c r="E335" s="385">
        <f t="shared" si="125"/>
        <v>11.640196886418497</v>
      </c>
      <c r="F335" s="385">
        <f t="shared" ref="F335:F379" si="128">Wh_sa/(1-Pvg*MEDIAN((-Sdif+Wh/Env_an)/Csdif,0,1))</f>
        <v>12.023042597387551</v>
      </c>
      <c r="G335" s="110">
        <f t="shared" si="126"/>
        <v>0.59467425050744771</v>
      </c>
      <c r="H335" s="414" t="b">
        <f>Wh_hp&gt;='2026'!Maxi_hp</f>
        <v>0</v>
      </c>
      <c r="I335" s="390">
        <f>IF(H335,Wh_hp,'2026'!Maxi_hp)</f>
        <v>19.633088626435899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9.7078143819278623E-2</v>
      </c>
      <c r="M335" s="843"/>
      <c r="N335" s="843"/>
      <c r="O335" s="48">
        <f>IF(t&lt;Tnet,'2026'!Resal+('2026'!Salim-'2026'!Resal)*(1-EXP(('2026'!Tnet-t)/('2026'!Tau_j))),Resal+(Salim-Resal)*(1-EXP((Tnet-t)/(Tau_j))))*Salcycl</f>
        <v>5.826463518449089E-2</v>
      </c>
      <c r="P335" s="169">
        <f>(INDEX(Models!$BJ335:$BT335,,T335)*(1-R335)+INDEX(Models!$BJ335:$BT335,,T335+1)*R335-ERP_i)*Q335*Ramure*Pc/MaxiM</f>
        <v>6.9876166990852834E-2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0.59871069171013058</v>
      </c>
      <c r="S335" s="809">
        <f t="shared" ref="S335:S379" si="132">INDEX(Echel_vg,T335)</f>
        <v>3</v>
      </c>
      <c r="T335" s="176">
        <f t="shared" ref="T335:T379" si="133">MIN(MATCH(Hp_vg,Echel_vg),10)</f>
        <v>9</v>
      </c>
      <c r="U335" s="251">
        <f t="shared" ref="U335:U379" si="134">IF(OR(t&lt;Ttai,Notai),Hdd+PousH*Croivg,Hdtf+PousH*(Croivg-Croi_tai))</f>
        <v>3.5987106917101306</v>
      </c>
      <c r="V335" s="383">
        <f t="shared" ref="V335:V379" si="135">MaxiM*(1-Ppv)*(1-Pvg)*(1-Psa)</f>
        <v>15.99024323281775</v>
      </c>
      <c r="W335" s="402">
        <f t="shared" ref="W335:W379" si="136">Wh*(A335&gt;Tmaj)</f>
        <v>9.8978158990246072</v>
      </c>
      <c r="X335" s="157">
        <f t="shared" ref="X335:X379" si="137">t</f>
        <v>46708</v>
      </c>
      <c r="Y335" s="385">
        <f t="shared" ref="Y335:Y379" si="138">Wh_pvt_s*(1-Ppv)</f>
        <v>8.9867616723722907</v>
      </c>
      <c r="Z335" s="385">
        <f t="shared" ref="Z335:Z379" si="139">Wh_sa_s*(1-Psa_s)</f>
        <v>9.9529783345653939</v>
      </c>
      <c r="AA335" s="386">
        <f t="shared" ref="AA335:AA379" si="140">Wh_hp*(1-Pvg_s*MEDIAN((-Sdif+Wh/Env_an)/Csdif,0,1))</f>
        <v>11.537903163576207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0.13736679936907717</v>
      </c>
      <c r="AD335" s="231">
        <f>(INDEX(Models!$BJ335:$BT335,,AH335)*(1-AF335)+INDEX(Models!$BJ335:$BT335,,AH335+1)*AF335-ERP_i)*AE335*Ramure*Pc/MaxiM</f>
        <v>8.8546594932571943E-2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0.79942743887503465</v>
      </c>
      <c r="AG335" s="809">
        <f t="shared" si="124"/>
        <v>4</v>
      </c>
      <c r="AH335" s="176">
        <f t="shared" ref="AH335:AH379" si="144">MIN(MATCH(Hp_vg_s,Echel_vg),10)</f>
        <v>10</v>
      </c>
      <c r="AI335" s="225">
        <f t="shared" ref="AI335:AI379" si="145">IF(OR(t&lt;Ttai,Notai),Hdd_s+PousH*Croivg,Hdtai_s+PousH*(Croivg-Croi_tai))</f>
        <v>4.7994274388750346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IF(t&gt;Tmaj,'2026'!Wh/'2026'!Env_an*'2027'!Env_an,0.001*'[13]mon-tableau (3)'!$B$153)</f>
        <v>10.265514495734545</v>
      </c>
      <c r="C336" s="839"/>
      <c r="D336" s="393">
        <f t="shared" si="127"/>
        <v>11.369487747302122</v>
      </c>
      <c r="E336" s="385">
        <f t="shared" si="125"/>
        <v>12.074684232633542</v>
      </c>
      <c r="F336" s="385">
        <f t="shared" si="128"/>
        <v>12.507817114581732</v>
      </c>
      <c r="G336" s="110">
        <f t="shared" si="126"/>
        <v>0.62553616976041515</v>
      </c>
      <c r="H336" s="414" t="b">
        <f>Wh_hp&gt;='2026'!Maxi_hp</f>
        <v>0</v>
      </c>
      <c r="I336" s="390">
        <f>IF(H336,Wh_hp,'2026'!Maxi_hp)</f>
        <v>18.436950655926712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9.7099647416352713E-2</v>
      </c>
      <c r="M336" s="843"/>
      <c r="N336" s="843"/>
      <c r="O336" s="48">
        <f>IF(t&lt;Tnet,'2026'!Resal+('2026'!Salim-'2026'!Resal)*(1-EXP(('2026'!Tnet-t)/('2026'!Tau_j))),Resal+(Salim-Resal)*(1-EXP((Tnet-t)/(Tau_j))))*Salcycl</f>
        <v>5.8402892510060637E-2</v>
      </c>
      <c r="P336" s="169">
        <f>(INDEX(Models!$BJ336:$BT336,,T336)*(1-R336)+INDEX(Models!$BJ336:$BT336,,T336+1)*R336-ERP_i)*Q336*Ramure*Pc/MaxiM</f>
        <v>6.9465469158576043E-2</v>
      </c>
      <c r="Q336" s="305">
        <f t="shared" si="130"/>
        <v>0.8</v>
      </c>
      <c r="R336" s="177">
        <f t="shared" si="131"/>
        <v>0.59874434158052692</v>
      </c>
      <c r="S336" s="809">
        <f t="shared" si="132"/>
        <v>3</v>
      </c>
      <c r="T336" s="176">
        <f t="shared" si="133"/>
        <v>9</v>
      </c>
      <c r="U336" s="251">
        <f t="shared" si="134"/>
        <v>3.5987443415805269</v>
      </c>
      <c r="V336" s="383">
        <f t="shared" si="135"/>
        <v>15.818544774745382</v>
      </c>
      <c r="W336" s="402">
        <f t="shared" si="136"/>
        <v>10.265514495734545</v>
      </c>
      <c r="X336" s="157">
        <f t="shared" si="137"/>
        <v>46709</v>
      </c>
      <c r="Y336" s="385">
        <f t="shared" si="138"/>
        <v>9.3181041721027178</v>
      </c>
      <c r="Z336" s="385">
        <f t="shared" si="139"/>
        <v>10.320191088018721</v>
      </c>
      <c r="AA336" s="386">
        <f t="shared" si="140"/>
        <v>11.963339298436335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0.13734862561595837</v>
      </c>
      <c r="AD336" s="231">
        <f>(INDEX(Models!$BJ336:$BT336,,AH336)*(1-AF336)+INDEX(Models!$BJ336:$BT336,,AH336+1)*AF336-ERP_i)*AE336*Ramure*Pc/MaxiM</f>
        <v>8.7322871389619125E-2</v>
      </c>
      <c r="AE336" s="305">
        <f t="shared" si="142"/>
        <v>0.8</v>
      </c>
      <c r="AF336" s="177">
        <f t="shared" si="143"/>
        <v>0.79946108874543054</v>
      </c>
      <c r="AG336" s="809">
        <f t="shared" ref="AG336:AG379" si="149">INDEX(Echel_vg,AH336)</f>
        <v>4</v>
      </c>
      <c r="AH336" s="176">
        <f t="shared" si="144"/>
        <v>10</v>
      </c>
      <c r="AI336" s="225">
        <f t="shared" si="145"/>
        <v>4.7994610887454305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IF(t&gt;Tmaj,'2026'!Wh/'2026'!Env_an*'2027'!Env_an,0.001*'[13]mon-tableau (3)'!$B$154)</f>
        <v>6.7379365290563733</v>
      </c>
      <c r="C337" s="839"/>
      <c r="D337" s="393">
        <f t="shared" si="127"/>
        <v>7.4627249634707926</v>
      </c>
      <c r="E337" s="385">
        <f t="shared" si="125"/>
        <v>7.926770773782855</v>
      </c>
      <c r="F337" s="385">
        <f t="shared" si="128"/>
        <v>8.0300098657264503</v>
      </c>
      <c r="G337" s="110">
        <f t="shared" si="126"/>
        <v>0.40596098964064131</v>
      </c>
      <c r="H337" s="414" t="b">
        <f>Wh_hp&gt;='2026'!Maxi_hp</f>
        <v>0</v>
      </c>
      <c r="I337" s="390">
        <f>IF(H337,Wh_hp,'2026'!Maxi_hp)</f>
        <v>19.188007096665945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9.7121150513006765E-2</v>
      </c>
      <c r="M337" s="843"/>
      <c r="N337" s="843"/>
      <c r="O337" s="48">
        <f>IF(t&lt;Tnet,'2026'!Resal+('2026'!Salim-'2026'!Resal)*(1-EXP(('2026'!Tnet-t)/('2026'!Tau_j))),Resal+(Salim-Resal)*(1-EXP((Tnet-t)/(Tau_j))))*Salcycl</f>
        <v>5.8541595758875187E-2</v>
      </c>
      <c r="P337" s="169">
        <f>(INDEX(Models!$BJ337:$BT337,,T337)*(1-R337)+INDEX(Models!$BJ337:$BT337,,T337+1)*R337-ERP_i)*Q337*Ramure*Pc/MaxiM</f>
        <v>6.8994757565019993E-2</v>
      </c>
      <c r="Q337" s="305">
        <f t="shared" si="130"/>
        <v>0.8</v>
      </c>
      <c r="R337" s="177">
        <f t="shared" si="131"/>
        <v>0.59877664015793153</v>
      </c>
      <c r="S337" s="809">
        <f t="shared" si="132"/>
        <v>3</v>
      </c>
      <c r="T337" s="176">
        <f t="shared" si="133"/>
        <v>9</v>
      </c>
      <c r="U337" s="251">
        <f t="shared" si="134"/>
        <v>3.5987766401579315</v>
      </c>
      <c r="V337" s="383">
        <f t="shared" si="135"/>
        <v>15.653610343301718</v>
      </c>
      <c r="W337" s="402">
        <f t="shared" si="136"/>
        <v>6.7379365290563733</v>
      </c>
      <c r="X337" s="157">
        <f t="shared" si="137"/>
        <v>46710</v>
      </c>
      <c r="Y337" s="385">
        <f t="shared" si="138"/>
        <v>6.1541358516134821</v>
      </c>
      <c r="Z337" s="385">
        <f t="shared" si="139"/>
        <v>6.8161258347232305</v>
      </c>
      <c r="AA337" s="386">
        <f t="shared" si="140"/>
        <v>7.9012190090999246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0.1373323753115791</v>
      </c>
      <c r="AD337" s="231">
        <f>(INDEX(Models!$BJ337:$BT337,,AH337)*(1-AF337)+INDEX(Models!$BJ337:$BT337,,AH337+1)*AF337-ERP_i)*AE337*Ramure*Pc/MaxiM</f>
        <v>8.6071019826416184E-2</v>
      </c>
      <c r="AE337" s="305">
        <f t="shared" si="142"/>
        <v>0.8</v>
      </c>
      <c r="AF337" s="177">
        <f t="shared" si="143"/>
        <v>0.79949338732283515</v>
      </c>
      <c r="AG337" s="809">
        <f t="shared" si="149"/>
        <v>4</v>
      </c>
      <c r="AH337" s="176">
        <f t="shared" si="144"/>
        <v>10</v>
      </c>
      <c r="AI337" s="225">
        <f t="shared" si="145"/>
        <v>4.7994933873228351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IF(t&gt;Tmaj,'2026'!Wh/'2026'!Env_an*'2027'!Env_an,0.001*'[13]mon-tableau (3)'!$B$155)</f>
        <v>10.732625749588188</v>
      </c>
      <c r="C338" s="839"/>
      <c r="D338" s="393">
        <f t="shared" si="127"/>
        <v>11.887399251442226</v>
      </c>
      <c r="E338" s="385">
        <f t="shared" si="125"/>
        <v>12.628446423229708</v>
      </c>
      <c r="F338" s="385">
        <f t="shared" si="128"/>
        <v>13.132738441281212</v>
      </c>
      <c r="G338" s="110">
        <f t="shared" si="126"/>
        <v>0.67097353335849463</v>
      </c>
      <c r="H338" s="414" t="b">
        <f>Wh_hp&gt;='2026'!Maxi_hp</f>
        <v>0</v>
      </c>
      <c r="I338" s="390">
        <f>IF(H338,Wh_hp,'2026'!Maxi_hp)</f>
        <v>20.296414509075642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9.7142653109252325E-2</v>
      </c>
      <c r="M338" s="843"/>
      <c r="N338" s="843"/>
      <c r="O338" s="48">
        <f>IF(t&lt;Tnet,'2026'!Resal+('2026'!Salim-'2026'!Resal)*(1-EXP(('2026'!Tnet-t)/('2026'!Tau_j))),Resal+(Salim-Resal)*(1-EXP((Tnet-t)/(Tau_j))))*Salcycl</f>
        <v>5.8680786769174119E-2</v>
      </c>
      <c r="P338" s="169">
        <f>(INDEX(Models!$BJ338:$BT338,,T338)*(1-R338)+INDEX(Models!$BJ338:$BT338,,T338+1)*R338-ERP_i)*Q338*Ramure*Pc/MaxiM</f>
        <v>6.8461308680451624E-2</v>
      </c>
      <c r="Q338" s="305">
        <f t="shared" si="130"/>
        <v>0.8</v>
      </c>
      <c r="R338" s="177">
        <f t="shared" si="131"/>
        <v>0.59880764156985844</v>
      </c>
      <c r="S338" s="809">
        <f t="shared" si="132"/>
        <v>3</v>
      </c>
      <c r="T338" s="176">
        <f t="shared" si="133"/>
        <v>9</v>
      </c>
      <c r="U338" s="251">
        <f t="shared" si="134"/>
        <v>3.5988076415698584</v>
      </c>
      <c r="V338" s="383">
        <f t="shared" si="135"/>
        <v>15.495545247524387</v>
      </c>
      <c r="W338" s="402">
        <f t="shared" si="136"/>
        <v>10.732625749588188</v>
      </c>
      <c r="X338" s="157">
        <f t="shared" si="137"/>
        <v>46711</v>
      </c>
      <c r="Y338" s="385">
        <f t="shared" si="138"/>
        <v>9.7422339929177468</v>
      </c>
      <c r="Z338" s="385">
        <f t="shared" si="139"/>
        <v>10.790446604292436</v>
      </c>
      <c r="AA338" s="386">
        <f t="shared" si="140"/>
        <v>12.508025231478033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0.13731812939288707</v>
      </c>
      <c r="AD338" s="231">
        <f>(INDEX(Models!$BJ338:$BT338,,AH338)*(1-AF338)+INDEX(Models!$BJ338:$BT338,,AH338+1)*AF338-ERP_i)*AE338*Ramure*Pc/MaxiM</f>
        <v>8.4809361168042718E-2</v>
      </c>
      <c r="AE338" s="305">
        <f t="shared" si="142"/>
        <v>0.8</v>
      </c>
      <c r="AF338" s="177">
        <f t="shared" si="143"/>
        <v>0.79952438873476162</v>
      </c>
      <c r="AG338" s="809">
        <f t="shared" si="149"/>
        <v>4</v>
      </c>
      <c r="AH338" s="176">
        <f t="shared" si="144"/>
        <v>10</v>
      </c>
      <c r="AI338" s="225">
        <f t="shared" si="145"/>
        <v>4.7995243887347616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IF(t&gt;Tmaj,'2026'!Wh/'2026'!Env_an*'2027'!Env_an,0.001*'[13]mon-tableau (3)'!$B$156)</f>
        <v>2.9192822176507511</v>
      </c>
      <c r="C339" s="839"/>
      <c r="D339" s="393">
        <f t="shared" si="127"/>
        <v>3.2334584791700833</v>
      </c>
      <c r="E339" s="385">
        <f t="shared" si="125"/>
        <v>3.4355385914633247</v>
      </c>
      <c r="F339" s="385">
        <f t="shared" si="128"/>
        <v>3.4355385914633247</v>
      </c>
      <c r="G339" s="110">
        <f t="shared" si="126"/>
        <v>0.17733915271469383</v>
      </c>
      <c r="H339" s="414" t="b">
        <f>Wh_hp&gt;='2026'!Maxi_hp</f>
        <v>0</v>
      </c>
      <c r="I339" s="390">
        <f>IF(H339,Wh_hp,'2026'!Maxi_hp)</f>
        <v>20.252187824566644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9.716415520510116E-2</v>
      </c>
      <c r="M339" s="843"/>
      <c r="N339" s="843"/>
      <c r="O339" s="48">
        <f>IF(t&lt;Tnet,'2026'!Resal+('2026'!Salim-'2026'!Resal)*(1-EXP(('2026'!Tnet-t)/('2026'!Tau_j))),Resal+(Salim-Resal)*(1-EXP((Tnet-t)/(Tau_j))))*Salcycl</f>
        <v>5.8820504242150851E-2</v>
      </c>
      <c r="P339" s="169">
        <f>(INDEX(Models!$BJ339:$BT339,,T339)*(1-R339)+INDEX(Models!$BJ339:$BT339,,T339+1)*R339-ERP_i)*Q339*Ramure*Pc/MaxiM</f>
        <v>6.7893930904621161E-2</v>
      </c>
      <c r="Q339" s="305">
        <f t="shared" si="130"/>
        <v>0.8</v>
      </c>
      <c r="R339" s="177">
        <f t="shared" si="131"/>
        <v>0.59883739778648071</v>
      </c>
      <c r="S339" s="809">
        <f t="shared" si="132"/>
        <v>3</v>
      </c>
      <c r="T339" s="176">
        <f t="shared" si="133"/>
        <v>9</v>
      </c>
      <c r="U339" s="251">
        <f t="shared" si="134"/>
        <v>3.5988373977864807</v>
      </c>
      <c r="V339" s="383">
        <f t="shared" si="135"/>
        <v>15.343936354834183</v>
      </c>
      <c r="W339" s="402">
        <f t="shared" si="136"/>
        <v>2.9192822176507511</v>
      </c>
      <c r="X339" s="157">
        <f t="shared" si="137"/>
        <v>46712</v>
      </c>
      <c r="Y339" s="385">
        <f t="shared" si="138"/>
        <v>2.675841727747347</v>
      </c>
      <c r="Z339" s="385">
        <f t="shared" si="139"/>
        <v>2.9638186644607907</v>
      </c>
      <c r="AA339" s="386">
        <f t="shared" si="140"/>
        <v>3.4355385914633247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0.1373059607523171</v>
      </c>
      <c r="AD339" s="231">
        <f>(INDEX(Models!$BJ339:$BT339,,AH339)*(1-AF339)+INDEX(Models!$BJ339:$BT339,,AH339+1)*AF339-ERP_i)*AE339*Ramure*Pc/MaxiM</f>
        <v>8.3557826765530571E-2</v>
      </c>
      <c r="AE339" s="305">
        <f t="shared" si="142"/>
        <v>0.8</v>
      </c>
      <c r="AF339" s="177">
        <f t="shared" si="143"/>
        <v>0.79955414495138388</v>
      </c>
      <c r="AG339" s="809">
        <f t="shared" si="149"/>
        <v>4</v>
      </c>
      <c r="AH339" s="176">
        <f t="shared" si="144"/>
        <v>10</v>
      </c>
      <c r="AI339" s="225">
        <f t="shared" si="145"/>
        <v>4.7995541449513839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IF(t&gt;Tmaj,'2026'!Wh/'2026'!Env_an*'2027'!Env_an,0.001*'[13]mon-tableau (3)'!$B$157)</f>
        <v>6.512170376235237</v>
      </c>
      <c r="C340" s="839"/>
      <c r="D340" s="393">
        <f t="shared" si="127"/>
        <v>7.213188874644044</v>
      </c>
      <c r="E340" s="385">
        <f t="shared" si="125"/>
        <v>7.6651310050152084</v>
      </c>
      <c r="F340" s="385">
        <f t="shared" si="128"/>
        <v>7.7609747844636905</v>
      </c>
      <c r="G340" s="110">
        <f t="shared" si="126"/>
        <v>0.40462879948439068</v>
      </c>
      <c r="H340" s="414" t="b">
        <f>Wh_hp&gt;='2026'!Maxi_hp</f>
        <v>0</v>
      </c>
      <c r="I340" s="390">
        <f>IF(H340,Wh_hp,'2026'!Maxi_hp)</f>
        <v>19.238098983375799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9.7185656800564707E-2</v>
      </c>
      <c r="M340" s="843"/>
      <c r="N340" s="843"/>
      <c r="O340" s="48">
        <f>IF(t&lt;Tnet,'2026'!Resal+('2026'!Salim-'2026'!Resal)*(1-EXP(('2026'!Tnet-t)/('2026'!Tau_j))),Resal+(Salim-Resal)*(1-EXP((Tnet-t)/(Tau_j))))*Salcycl</f>
        <v>5.8960783589408101E-2</v>
      </c>
      <c r="P340" s="169">
        <f>(INDEX(Models!$BJ340:$BT340,,T340)*(1-R340)+INDEX(Models!$BJ340:$BT340,,T340+1)*R340-ERP_i)*Q340*Ramure*Pc/MaxiM</f>
        <v>6.7292077588902474E-2</v>
      </c>
      <c r="Q340" s="305">
        <f t="shared" si="130"/>
        <v>0.8</v>
      </c>
      <c r="R340" s="177">
        <f t="shared" si="131"/>
        <v>0.59886595870576276</v>
      </c>
      <c r="S340" s="809">
        <f t="shared" si="132"/>
        <v>3</v>
      </c>
      <c r="T340" s="176">
        <f t="shared" si="133"/>
        <v>9</v>
      </c>
      <c r="U340" s="251">
        <f t="shared" si="134"/>
        <v>3.5988659587057628</v>
      </c>
      <c r="V340" s="383">
        <f t="shared" si="135"/>
        <v>15.198870692709432</v>
      </c>
      <c r="W340" s="402">
        <f t="shared" si="136"/>
        <v>6.512170376235237</v>
      </c>
      <c r="X340" s="157">
        <f t="shared" si="137"/>
        <v>46713</v>
      </c>
      <c r="Y340" s="385">
        <f t="shared" si="138"/>
        <v>5.953409018378589</v>
      </c>
      <c r="Z340" s="385">
        <f t="shared" si="139"/>
        <v>6.5942782845924031</v>
      </c>
      <c r="AA340" s="386">
        <f t="shared" si="140"/>
        <v>7.6437315463871824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0.137295933985385</v>
      </c>
      <c r="AD340" s="231">
        <f>(INDEX(Models!$BJ340:$BT340,,AH340)*(1-AF340)+INDEX(Models!$BJ340:$BT340,,AH340+1)*AF340-ERP_i)*AE340*Ramure*Pc/MaxiM</f>
        <v>8.2316673224048897E-2</v>
      </c>
      <c r="AE340" s="305">
        <f t="shared" si="142"/>
        <v>0.8</v>
      </c>
      <c r="AF340" s="177">
        <f t="shared" si="143"/>
        <v>0.79958270587066593</v>
      </c>
      <c r="AG340" s="809">
        <f t="shared" si="149"/>
        <v>4</v>
      </c>
      <c r="AH340" s="176">
        <f t="shared" si="144"/>
        <v>10</v>
      </c>
      <c r="AI340" s="225">
        <f t="shared" si="145"/>
        <v>4.7995827058706659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IF(t&gt;Tmaj,'2026'!Wh/'2026'!Env_an*'2027'!Env_an,0.001*'[13]mon-tableau (3)'!$B$158)</f>
        <v>8.949456852313439</v>
      </c>
      <c r="C341" s="839"/>
      <c r="D341" s="393">
        <f t="shared" si="127"/>
        <v>9.9130790973629104</v>
      </c>
      <c r="E341" s="385">
        <f t="shared" si="125"/>
        <v>10.535759967078731</v>
      </c>
      <c r="F341" s="385">
        <f t="shared" si="128"/>
        <v>10.839454081974177</v>
      </c>
      <c r="G341" s="110">
        <f t="shared" si="126"/>
        <v>0.57061445985645032</v>
      </c>
      <c r="H341" s="414" t="b">
        <f>Wh_hp&gt;='2026'!Maxi_hp</f>
        <v>0</v>
      </c>
      <c r="I341" s="390">
        <f>IF(H341,Wh_hp,'2026'!Maxi_hp)</f>
        <v>18.879598059880493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9.7207157895654733E-2</v>
      </c>
      <c r="M341" s="843"/>
      <c r="N341" s="843"/>
      <c r="O341" s="48">
        <f>IF(t&lt;Tnet,'2026'!Resal+('2026'!Salim-'2026'!Resal)*(1-EXP(('2026'!Tnet-t)/('2026'!Tau_j))),Resal+(Salim-Resal)*(1-EXP((Tnet-t)/(Tau_j))))*Salcycl</f>
        <v>5.9101656801362389E-2</v>
      </c>
      <c r="P341" s="169">
        <f>(INDEX(Models!$BJ341:$BT341,,T341)*(1-R341)+INDEX(Models!$BJ341:$BT341,,T341+1)*R341-ERP_i)*Q341*Ramure*Pc/MaxiM</f>
        <v>6.6654776124501949E-2</v>
      </c>
      <c r="Q341" s="305">
        <f t="shared" si="130"/>
        <v>0.8</v>
      </c>
      <c r="R341" s="177">
        <f t="shared" si="131"/>
        <v>0.59889337223530248</v>
      </c>
      <c r="S341" s="809">
        <f t="shared" si="132"/>
        <v>3</v>
      </c>
      <c r="T341" s="176">
        <f t="shared" si="133"/>
        <v>9</v>
      </c>
      <c r="U341" s="251">
        <f t="shared" si="134"/>
        <v>3.5988933722353025</v>
      </c>
      <c r="V341" s="383">
        <f t="shared" si="135"/>
        <v>15.060443369881227</v>
      </c>
      <c r="W341" s="402">
        <f t="shared" si="136"/>
        <v>8.949456852313439</v>
      </c>
      <c r="X341" s="157">
        <f t="shared" si="137"/>
        <v>46714</v>
      </c>
      <c r="Y341" s="385">
        <f t="shared" si="138"/>
        <v>8.1545684553444886</v>
      </c>
      <c r="Z341" s="385">
        <f t="shared" si="139"/>
        <v>9.0326020267692595</v>
      </c>
      <c r="AA341" s="386">
        <f t="shared" si="140"/>
        <v>10.470009838867373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0.13728810518993839</v>
      </c>
      <c r="AD341" s="231">
        <f>(INDEX(Models!$BJ341:$BT341,,AH341)*(1-AF341)+INDEX(Models!$BJ341:$BT341,,AH341+1)*AF341-ERP_i)*AE341*Ramure*Pc/MaxiM</f>
        <v>8.1085612486260963E-2</v>
      </c>
      <c r="AE341" s="305">
        <f t="shared" si="142"/>
        <v>0.8</v>
      </c>
      <c r="AF341" s="177">
        <f t="shared" si="143"/>
        <v>0.79961011940020654</v>
      </c>
      <c r="AG341" s="809">
        <f t="shared" si="149"/>
        <v>4</v>
      </c>
      <c r="AH341" s="176">
        <f t="shared" si="144"/>
        <v>10</v>
      </c>
      <c r="AI341" s="225">
        <f t="shared" si="145"/>
        <v>4.7996101194002065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IF(t&gt;Tmaj,'2026'!Wh/'2026'!Env_an*'2027'!Env_an,0.001*'[13]mon-tableau (3)'!$B$159)</f>
        <v>9.939790917852557</v>
      </c>
      <c r="C342" s="839"/>
      <c r="D342" s="393">
        <f t="shared" si="127"/>
        <v>11.010308436720205</v>
      </c>
      <c r="E342" s="385">
        <f t="shared" si="125"/>
        <v>11.70367078812933</v>
      </c>
      <c r="F342" s="385">
        <f t="shared" si="128"/>
        <v>12.121642302291221</v>
      </c>
      <c r="G342" s="110">
        <f t="shared" si="126"/>
        <v>0.64409338978039798</v>
      </c>
      <c r="H342" s="414" t="b">
        <f>Wh_hp&gt;='2026'!Maxi_hp</f>
        <v>0</v>
      </c>
      <c r="I342" s="390">
        <f>IF(H342,Wh_hp,'2026'!Maxi_hp)</f>
        <v>17.858943426555001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9.7228658490382786E-2</v>
      </c>
      <c r="M342" s="843"/>
      <c r="N342" s="843"/>
      <c r="O342" s="48">
        <f>IF(t&lt;Tnet,'2026'!Resal+('2026'!Salim-'2026'!Resal)*(1-EXP(('2026'!Tnet-t)/('2026'!Tau_j))),Resal+(Salim-Resal)*(1-EXP((Tnet-t)/(Tau_j))))*Salcycl</f>
        <v>5.9243152337502512E-2</v>
      </c>
      <c r="P342" s="169">
        <f>(INDEX(Models!$BJ342:$BT342,,T342)*(1-R342)+INDEX(Models!$BJ342:$BT342,,T342+1)*R342-ERP_i)*Q342*Ramure*Pc/MaxiM</f>
        <v>6.5981338354464888E-2</v>
      </c>
      <c r="Q342" s="305">
        <f t="shared" si="130"/>
        <v>0.8</v>
      </c>
      <c r="R342" s="177">
        <f t="shared" si="131"/>
        <v>0.59891968437100029</v>
      </c>
      <c r="S342" s="809">
        <f t="shared" si="132"/>
        <v>3</v>
      </c>
      <c r="T342" s="176">
        <f t="shared" si="133"/>
        <v>9</v>
      </c>
      <c r="U342" s="251">
        <f t="shared" si="134"/>
        <v>3.5989196843710003</v>
      </c>
      <c r="V342" s="383">
        <f t="shared" si="135"/>
        <v>14.928745960347342</v>
      </c>
      <c r="W342" s="402">
        <f t="shared" si="136"/>
        <v>9.939790917852557</v>
      </c>
      <c r="X342" s="157">
        <f t="shared" si="137"/>
        <v>46715</v>
      </c>
      <c r="Y342" s="385">
        <f t="shared" si="138"/>
        <v>9.0467512240641721</v>
      </c>
      <c r="Z342" s="385">
        <f t="shared" si="139"/>
        <v>10.021088184895374</v>
      </c>
      <c r="AA342" s="386">
        <f t="shared" si="140"/>
        <v>11.615724079238277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0.13728252181825873</v>
      </c>
      <c r="AD342" s="231">
        <f>(INDEX(Models!$BJ342:$BT342,,AH342)*(1-AF342)+INDEX(Models!$BJ342:$BT342,,AH342+1)*AF342-ERP_i)*AE342*Ramure*Pc/MaxiM</f>
        <v>7.986468054379546E-2</v>
      </c>
      <c r="AE342" s="305">
        <f t="shared" si="142"/>
        <v>0.8</v>
      </c>
      <c r="AF342" s="177">
        <f t="shared" si="143"/>
        <v>0.79963643153590347</v>
      </c>
      <c r="AG342" s="809">
        <f t="shared" si="149"/>
        <v>4</v>
      </c>
      <c r="AH342" s="176">
        <f t="shared" si="144"/>
        <v>10</v>
      </c>
      <c r="AI342" s="225">
        <f t="shared" si="145"/>
        <v>4.7996364315359035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IF(t&gt;Tmaj,'2026'!Wh/'2026'!Env_an*'2027'!Env_an,0.001*'[13]mon-tableau (3)'!$B$160)</f>
        <v>4.78770563698221</v>
      </c>
      <c r="C343" s="839"/>
      <c r="D343" s="393">
        <f t="shared" si="127"/>
        <v>5.3034688208601981</v>
      </c>
      <c r="E343" s="385">
        <f t="shared" si="125"/>
        <v>5.6383009885874573</v>
      </c>
      <c r="F343" s="385">
        <f t="shared" si="128"/>
        <v>5.6506350997667436</v>
      </c>
      <c r="G343" s="110">
        <f t="shared" si="126"/>
        <v>0.30296107142671314</v>
      </c>
      <c r="H343" s="414" t="b">
        <f>Wh_hp&gt;='2026'!Maxi_hp</f>
        <v>0</v>
      </c>
      <c r="I343" s="390">
        <f>IF(H343,Wh_hp,'2026'!Maxi_hp)</f>
        <v>17.941310299000229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9.7250158584760743E-2</v>
      </c>
      <c r="M343" s="843"/>
      <c r="N343" s="843"/>
      <c r="O343" s="48">
        <f>IF(t&lt;Tnet,'2026'!Resal+('2026'!Salim-'2026'!Resal)*(1-EXP(('2026'!Tnet-t)/('2026'!Tau_j))),Resal+(Salim-Resal)*(1-EXP((Tnet-t)/(Tau_j))))*Salcycl</f>
        <v>5.938529503923199E-2</v>
      </c>
      <c r="P343" s="169">
        <f>(INDEX(Models!$BJ343:$BT343,,T343)*(1-R343)+INDEX(Models!$BJ343:$BT343,,T343+1)*R343-ERP_i)*Q343*Ramure*Pc/MaxiM</f>
        <v>6.5271418386428068E-2</v>
      </c>
      <c r="Q343" s="305">
        <f t="shared" si="130"/>
        <v>0.8</v>
      </c>
      <c r="R343" s="177">
        <f t="shared" si="131"/>
        <v>0.59894493927267689</v>
      </c>
      <c r="S343" s="809">
        <f t="shared" si="132"/>
        <v>3</v>
      </c>
      <c r="T343" s="176">
        <f t="shared" si="133"/>
        <v>9</v>
      </c>
      <c r="U343" s="251">
        <f t="shared" si="134"/>
        <v>3.5989449392726769</v>
      </c>
      <c r="V343" s="383">
        <f t="shared" si="135"/>
        <v>14.803865888988177</v>
      </c>
      <c r="W343" s="402">
        <f t="shared" si="136"/>
        <v>4.78770563698221</v>
      </c>
      <c r="X343" s="157">
        <f t="shared" si="137"/>
        <v>46716</v>
      </c>
      <c r="Y343" s="385">
        <f t="shared" si="138"/>
        <v>4.3892578959681963</v>
      </c>
      <c r="Z343" s="385">
        <f t="shared" si="139"/>
        <v>4.8620976649380125</v>
      </c>
      <c r="AA343" s="386">
        <f t="shared" si="140"/>
        <v>5.6357720738962929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0.13727922258278982</v>
      </c>
      <c r="AD343" s="231">
        <f>(INDEX(Models!$BJ343:$BT343,,AH343)*(1-AF343)+INDEX(Models!$BJ343:$BT343,,AH343+1)*AF343-ERP_i)*AE343*Ramure*Pc/MaxiM</f>
        <v>7.8654291823447575E-2</v>
      </c>
      <c r="AE343" s="305">
        <f t="shared" si="142"/>
        <v>0.8</v>
      </c>
      <c r="AF343" s="177">
        <f t="shared" si="143"/>
        <v>0.79966168643758095</v>
      </c>
      <c r="AG343" s="809">
        <f t="shared" si="149"/>
        <v>4</v>
      </c>
      <c r="AH343" s="176">
        <f t="shared" si="144"/>
        <v>10</v>
      </c>
      <c r="AI343" s="225">
        <f t="shared" si="145"/>
        <v>4.799661686437581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IF(t&gt;Tmaj,'2026'!Wh/'2026'!Env_an*'2027'!Env_an,0.001*'[13]mon-tableau (3)'!$B$161)</f>
        <v>9.1749920709286474</v>
      </c>
      <c r="C344" s="839"/>
      <c r="D344" s="393">
        <f t="shared" si="127"/>
        <v>10.163624698454305</v>
      </c>
      <c r="E344" s="385">
        <f t="shared" si="125"/>
        <v>10.806941455675108</v>
      </c>
      <c r="F344" s="385">
        <f t="shared" si="128"/>
        <v>11.140427006249169</v>
      </c>
      <c r="G344" s="110">
        <f t="shared" si="126"/>
        <v>0.60247182477180716</v>
      </c>
      <c r="H344" s="414" t="b">
        <f>Wh_hp&gt;='2026'!Maxi_hp</f>
        <v>0</v>
      </c>
      <c r="I344" s="390">
        <f>IF(H344,Wh_hp,'2026'!Maxi_hp)</f>
        <v>17.978894299225775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9.7271658178800041E-2</v>
      </c>
      <c r="M344" s="843"/>
      <c r="N344" s="843"/>
      <c r="O344" s="48">
        <f>IF(t&lt;Tnet,'2026'!Resal+('2026'!Salim-'2026'!Resal)*(1-EXP(('2026'!Tnet-t)/('2026'!Tau_j))),Resal+(Salim-Resal)*(1-EXP((Tnet-t)/(Tau_j))))*Salcycl</f>
        <v>5.952810606584491E-2</v>
      </c>
      <c r="P344" s="169">
        <f>(INDEX(Models!$BJ344:$BT344,,T344)*(1-R344)+INDEX(Models!$BJ344:$BT344,,T344+1)*R344-ERP_i)*Q344*Ramure*Pc/MaxiM</f>
        <v>6.4524670684635632E-2</v>
      </c>
      <c r="Q344" s="305">
        <f t="shared" si="130"/>
        <v>0.8</v>
      </c>
      <c r="R344" s="177">
        <f t="shared" si="131"/>
        <v>0.59896917933675464</v>
      </c>
      <c r="S344" s="809">
        <f t="shared" si="132"/>
        <v>3</v>
      </c>
      <c r="T344" s="176">
        <f t="shared" si="133"/>
        <v>9</v>
      </c>
      <c r="U344" s="251">
        <f t="shared" si="134"/>
        <v>3.5989691793367546</v>
      </c>
      <c r="V344" s="383">
        <f t="shared" si="135"/>
        <v>14.685892111600161</v>
      </c>
      <c r="W344" s="402">
        <f t="shared" si="136"/>
        <v>9.1749920709286474</v>
      </c>
      <c r="X344" s="157">
        <f t="shared" si="137"/>
        <v>46717</v>
      </c>
      <c r="Y344" s="385">
        <f t="shared" si="138"/>
        <v>8.364437192728893</v>
      </c>
      <c r="Z344" s="385">
        <f t="shared" si="139"/>
        <v>9.2657301263568908</v>
      </c>
      <c r="AA344" s="386">
        <f t="shared" si="140"/>
        <v>10.74011405322935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0.13727823741584388</v>
      </c>
      <c r="AD344" s="231">
        <f>(INDEX(Models!$BJ344:$BT344,,AH344)*(1-AF344)+INDEX(Models!$BJ344:$BT344,,AH344+1)*AF344-ERP_i)*AE344*Ramure*Pc/MaxiM</f>
        <v>7.7454814518752177E-2</v>
      </c>
      <c r="AE344" s="305">
        <f t="shared" si="142"/>
        <v>0.8</v>
      </c>
      <c r="AF344" s="177">
        <f t="shared" si="143"/>
        <v>0.79968592650165871</v>
      </c>
      <c r="AG344" s="809">
        <f t="shared" si="149"/>
        <v>4</v>
      </c>
      <c r="AH344" s="176">
        <f t="shared" si="144"/>
        <v>10</v>
      </c>
      <c r="AI344" s="225">
        <f t="shared" si="145"/>
        <v>4.7996859265016587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IF(t&gt;Tmaj,'2026'!Wh/'2026'!Env_an*'2027'!Env_an,0.001*'[13]mon-tableau (3)'!$B$162)</f>
        <v>10.351047320666606</v>
      </c>
      <c r="C345" s="839"/>
      <c r="D345" s="393">
        <f t="shared" si="127"/>
        <v>11.466676478701974</v>
      </c>
      <c r="E345" s="385">
        <f t="shared" si="125"/>
        <v>12.19433180312811</v>
      </c>
      <c r="F345" s="385">
        <f t="shared" si="128"/>
        <v>12.66759730834211</v>
      </c>
      <c r="G345" s="110">
        <f t="shared" si="126"/>
        <v>0.69078944804907116</v>
      </c>
      <c r="H345" s="414" t="b">
        <f>Wh_hp&gt;='2026'!Maxi_hp</f>
        <v>0</v>
      </c>
      <c r="I345" s="390">
        <f>IF(H345,Wh_hp,'2026'!Maxi_hp)</f>
        <v>16.263070033899286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9.7293157272512337E-2</v>
      </c>
      <c r="M345" s="843"/>
      <c r="N345" s="843"/>
      <c r="O345" s="48">
        <f>IF(t&lt;Tnet,'2026'!Resal+('2026'!Salim-'2026'!Resal)*(1-EXP(('2026'!Tnet-t)/('2026'!Tau_j))),Resal+(Salim-Resal)*(1-EXP((Tnet-t)/(Tau_j))))*Salcycl</f>
        <v>5.9671602853997814E-2</v>
      </c>
      <c r="P345" s="169">
        <f>(INDEX(Models!$BJ345:$BT345,,T345)*(1-R345)+INDEX(Models!$BJ345:$BT345,,T345+1)*R345-ERP_i)*Q345*Ramure*Pc/MaxiM</f>
        <v>6.3745905440963674E-2</v>
      </c>
      <c r="Q345" s="305">
        <f t="shared" si="130"/>
        <v>0.8</v>
      </c>
      <c r="R345" s="177">
        <f t="shared" si="131"/>
        <v>0.59899244526610751</v>
      </c>
      <c r="S345" s="809">
        <f t="shared" si="132"/>
        <v>3</v>
      </c>
      <c r="T345" s="176">
        <f t="shared" si="133"/>
        <v>9</v>
      </c>
      <c r="U345" s="251">
        <f t="shared" si="134"/>
        <v>3.5989924452661075</v>
      </c>
      <c r="V345" s="383">
        <f t="shared" si="135"/>
        <v>14.57365788433431</v>
      </c>
      <c r="W345" s="402">
        <f t="shared" si="136"/>
        <v>10.351047320666606</v>
      </c>
      <c r="X345" s="157">
        <f t="shared" si="137"/>
        <v>46718</v>
      </c>
      <c r="Y345" s="385">
        <f t="shared" si="138"/>
        <v>9.424317190088539</v>
      </c>
      <c r="Z345" s="385">
        <f t="shared" si="139"/>
        <v>10.440063976488084</v>
      </c>
      <c r="AA345" s="386">
        <f t="shared" si="140"/>
        <v>12.10132949796744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0.13727958748320879</v>
      </c>
      <c r="AD345" s="231">
        <f>(INDEX(Models!$BJ345:$BT345,,AH345)*(1-AF345)+INDEX(Models!$BJ345:$BT345,,AH345+1)*AF345-ERP_i)*AE345*Ramure*Pc/MaxiM</f>
        <v>7.6272734642012369E-2</v>
      </c>
      <c r="AE345" s="305">
        <f t="shared" si="142"/>
        <v>0.8</v>
      </c>
      <c r="AF345" s="177">
        <f t="shared" si="143"/>
        <v>0.79970919243101157</v>
      </c>
      <c r="AG345" s="809">
        <f t="shared" si="149"/>
        <v>4</v>
      </c>
      <c r="AH345" s="176">
        <f t="shared" si="144"/>
        <v>10</v>
      </c>
      <c r="AI345" s="225">
        <f t="shared" si="145"/>
        <v>4.7997091924310116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IF(t&gt;Tmaj,'2026'!Wh/'2026'!Env_an*'2027'!Env_an,0.001*'[13]mon-tableau (3)'!$B$163)</f>
        <v>8.8141847846090506</v>
      </c>
      <c r="C346" s="839"/>
      <c r="D346" s="393">
        <f t="shared" si="127"/>
        <v>9.7644044426844427</v>
      </c>
      <c r="E346" s="385">
        <f t="shared" si="125"/>
        <v>10.38562914942222</v>
      </c>
      <c r="F346" s="385">
        <f t="shared" si="128"/>
        <v>10.682803630334426</v>
      </c>
      <c r="G346" s="110">
        <f t="shared" si="126"/>
        <v>0.58728182414708829</v>
      </c>
      <c r="H346" s="414" t="b">
        <f>Wh_hp&gt;='2026'!Maxi_hp</f>
        <v>0</v>
      </c>
      <c r="I346" s="390">
        <f>IF(H346,Wh_hp,'2026'!Maxi_hp)</f>
        <v>12.704962668086491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9.7314655865909289E-2</v>
      </c>
      <c r="M346" s="843"/>
      <c r="N346" s="843"/>
      <c r="O346" s="48">
        <f>IF(t&lt;Tnet,'2026'!Resal+('2026'!Salim-'2026'!Resal)*(1-EXP(('2026'!Tnet-t)/('2026'!Tau_j))),Resal+(Salim-Resal)*(1-EXP((Tnet-t)/(Tau_j))))*Salcycl</f>
        <v>5.9815799100850699E-2</v>
      </c>
      <c r="P346" s="169">
        <f>(INDEX(Models!$BJ346:$BT346,,T346)*(1-R346)+INDEX(Models!$BJ346:$BT346,,T346+1)*R346-ERP_i)*Q346*Ramure*Pc/MaxiM</f>
        <v>6.2956182251263648E-2</v>
      </c>
      <c r="Q346" s="305">
        <f t="shared" si="130"/>
        <v>0.8</v>
      </c>
      <c r="R346" s="177">
        <f t="shared" si="131"/>
        <v>0.59901477613718912</v>
      </c>
      <c r="S346" s="809">
        <f t="shared" si="132"/>
        <v>3</v>
      </c>
      <c r="T346" s="176">
        <f t="shared" si="133"/>
        <v>9</v>
      </c>
      <c r="U346" s="251">
        <f t="shared" si="134"/>
        <v>3.5990147761371891</v>
      </c>
      <c r="V346" s="383">
        <f t="shared" si="135"/>
        <v>14.465982164494228</v>
      </c>
      <c r="W346" s="402">
        <f t="shared" si="136"/>
        <v>8.8141847846090506</v>
      </c>
      <c r="X346" s="157">
        <f t="shared" si="137"/>
        <v>46719</v>
      </c>
      <c r="Y346" s="385">
        <f t="shared" si="138"/>
        <v>8.0431462443454276</v>
      </c>
      <c r="Z346" s="385">
        <f t="shared" si="139"/>
        <v>8.9102435268414482</v>
      </c>
      <c r="AA346" s="386">
        <f t="shared" si="140"/>
        <v>10.328122052712766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0.13728328525115577</v>
      </c>
      <c r="AD346" s="231">
        <f>(INDEX(Models!$BJ346:$BT346,,AH346)*(1-AF346)+INDEX(Models!$BJ346:$BT346,,AH346+1)*AF346-ERP_i)*AE346*Ramure*Pc/MaxiM</f>
        <v>7.5139015885121133E-2</v>
      </c>
      <c r="AE346" s="305">
        <f t="shared" si="142"/>
        <v>0.8</v>
      </c>
      <c r="AF346" s="177">
        <f t="shared" si="143"/>
        <v>0.79973152330209274</v>
      </c>
      <c r="AG346" s="809">
        <f t="shared" si="149"/>
        <v>4</v>
      </c>
      <c r="AH346" s="176">
        <f t="shared" si="144"/>
        <v>10</v>
      </c>
      <c r="AI346" s="225">
        <f t="shared" si="145"/>
        <v>4.7997315233020927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IF(t&gt;Tmaj,'2026'!Wh/'2026'!Env_an*'2027'!Env_an,0.001*'[13]mon-tableau (3)'!$B$164)</f>
        <v>11.76944320756459</v>
      </c>
      <c r="C347" s="839"/>
      <c r="D347" s="393">
        <f t="shared" si="127"/>
        <v>13.038567191080391</v>
      </c>
      <c r="E347" s="385">
        <f t="shared" si="125"/>
        <v>13.870236337197124</v>
      </c>
      <c r="F347" s="385">
        <f t="shared" si="128"/>
        <v>14.541047509065786</v>
      </c>
      <c r="G347" s="110">
        <f t="shared" si="126"/>
        <v>0.80564550807808688</v>
      </c>
      <c r="H347" s="414" t="b">
        <f>Wh_hp&gt;='2026'!Maxi_hp</f>
        <v>0</v>
      </c>
      <c r="I347" s="390">
        <f>IF(H347,Wh_hp,'2026'!Maxi_hp)</f>
        <v>18.062192612165116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9.7336153959002553E-2</v>
      </c>
      <c r="M347" s="843"/>
      <c r="N347" s="843"/>
      <c r="O347" s="48">
        <f>IF(t&lt;Tnet,'2026'!Resal+('2026'!Salim-'2026'!Resal)*(1-EXP(('2026'!Tnet-t)/('2026'!Tau_j))),Resal+(Salim-Resal)*(1-EXP((Tnet-t)/(Tau_j))))*Salcycl</f>
        <v>5.9960704770860081E-2</v>
      </c>
      <c r="P347" s="169">
        <f>(INDEX(Models!$BJ347:$BT347,,T347)*(1-R347)+INDEX(Models!$BJ347:$BT347,,T347+1)*R347-ERP_i)*Q347*Ramure*Pc/MaxiM</f>
        <v>6.2170099587893282E-2</v>
      </c>
      <c r="Q347" s="305">
        <f t="shared" si="130"/>
        <v>0.8</v>
      </c>
      <c r="R347" s="177">
        <f t="shared" si="131"/>
        <v>0.59903620946454428</v>
      </c>
      <c r="S347" s="809">
        <f t="shared" si="132"/>
        <v>3</v>
      </c>
      <c r="T347" s="176">
        <f t="shared" si="133"/>
        <v>9</v>
      </c>
      <c r="U347" s="251">
        <f t="shared" si="134"/>
        <v>3.5990362094645443</v>
      </c>
      <c r="V347" s="383">
        <f t="shared" si="135"/>
        <v>14.363088447831885</v>
      </c>
      <c r="W347" s="402">
        <f t="shared" si="136"/>
        <v>11.76944320756459</v>
      </c>
      <c r="X347" s="157">
        <f t="shared" si="137"/>
        <v>46720</v>
      </c>
      <c r="Y347" s="385">
        <f t="shared" si="138"/>
        <v>10.701580623946773</v>
      </c>
      <c r="Z347" s="385">
        <f t="shared" si="139"/>
        <v>11.855554723813238</v>
      </c>
      <c r="AA347" s="386">
        <f t="shared" si="140"/>
        <v>13.742214162146471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0.13728933460592685</v>
      </c>
      <c r="AD347" s="231">
        <f>(INDEX(Models!$BJ347:$BT347,,AH347)*(1-AF347)+INDEX(Models!$BJ347:$BT347,,AH347+1)*AF347-ERP_i)*AE347*Ramure*Pc/MaxiM</f>
        <v>7.4035065029935898E-2</v>
      </c>
      <c r="AE347" s="305">
        <f t="shared" si="142"/>
        <v>0.8</v>
      </c>
      <c r="AF347" s="177">
        <f t="shared" si="143"/>
        <v>0.79975295662944745</v>
      </c>
      <c r="AG347" s="809">
        <f t="shared" si="149"/>
        <v>4</v>
      </c>
      <c r="AH347" s="176">
        <f t="shared" si="144"/>
        <v>10</v>
      </c>
      <c r="AI347" s="225">
        <f t="shared" si="145"/>
        <v>4.7997529566294475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IF(t&gt;Tmaj,'2026'!Wh/'2026'!Env_an*'2027'!Env_an,0.001*'[13]mon-tableau (3)'!$B$165)</f>
        <v>3.5283882037978906</v>
      </c>
      <c r="C348" s="839"/>
      <c r="D348" s="393">
        <f t="shared" si="127"/>
        <v>3.908954869959095</v>
      </c>
      <c r="E348" s="385">
        <f t="shared" si="125"/>
        <v>4.158933056595064</v>
      </c>
      <c r="F348" s="385">
        <f t="shared" si="128"/>
        <v>4.158933056595064</v>
      </c>
      <c r="G348" s="110">
        <f t="shared" si="126"/>
        <v>0.23215483894389058</v>
      </c>
      <c r="H348" s="414" t="b">
        <f>Wh_hp&gt;='2026'!Maxi_hp</f>
        <v>0</v>
      </c>
      <c r="I348" s="390">
        <f>IF(H348,Wh_hp,'2026'!Maxi_hp)</f>
        <v>16.943177507664462</v>
      </c>
      <c r="J348" s="85">
        <f>IF(H348,An,'2026'!An_max)</f>
        <v>2021</v>
      </c>
      <c r="K348" s="197">
        <f t="shared" si="129"/>
        <v>46721</v>
      </c>
      <c r="L348" s="147">
        <f>IF(t&lt;Tvie,1-EXP((T0-t)*PertePVj)+'2026'!Pspv,1-EXP((T0-t)*PertePVj)+Pspv)</f>
        <v>9.7357651551803898E-2</v>
      </c>
      <c r="M348" s="843"/>
      <c r="N348" s="843"/>
      <c r="O348" s="48">
        <f>IF(t&lt;Tnet,'2026'!Resal+('2026'!Salim-'2026'!Resal)*(1-EXP(('2026'!Tnet-t)/('2026'!Tau_j))),Resal+(Salim-Resal)*(1-EXP((Tnet-t)/(Tau_j))))*Salcycl</f>
        <v>6.0106326126015401E-2</v>
      </c>
      <c r="P348" s="169">
        <f>(INDEX(Models!$BJ348:$BT348,,T348)*(1-R348)+INDEX(Models!$BJ348:$BT348,,T348+1)*R348-ERP_i)*Q348*Ramure*Pc/MaxiM</f>
        <v>6.1385948403739829E-2</v>
      </c>
      <c r="Q348" s="305">
        <f t="shared" si="130"/>
        <v>0.8</v>
      </c>
      <c r="R348" s="177">
        <f t="shared" si="131"/>
        <v>0.59905678126279494</v>
      </c>
      <c r="S348" s="809">
        <f t="shared" si="132"/>
        <v>3</v>
      </c>
      <c r="T348" s="176">
        <f t="shared" si="133"/>
        <v>9</v>
      </c>
      <c r="U348" s="251">
        <f t="shared" si="134"/>
        <v>3.5990567812627949</v>
      </c>
      <c r="V348" s="383">
        <f t="shared" si="135"/>
        <v>14.265456462751636</v>
      </c>
      <c r="W348" s="402">
        <f t="shared" si="136"/>
        <v>3.5283882037978906</v>
      </c>
      <c r="X348" s="157">
        <f t="shared" si="137"/>
        <v>46721</v>
      </c>
      <c r="Y348" s="385">
        <f t="shared" si="138"/>
        <v>3.2386094234435698</v>
      </c>
      <c r="Z348" s="385">
        <f t="shared" si="139"/>
        <v>3.5879209844423094</v>
      </c>
      <c r="AA348" s="386">
        <f t="shared" si="140"/>
        <v>4.158933056595064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0.13729773102437104</v>
      </c>
      <c r="AD348" s="231">
        <f>(INDEX(Models!$BJ348:$BT348,,AH348)*(1-AF348)+INDEX(Models!$BJ348:$BT348,,AH348+1)*AF348-ERP_i)*AE348*Ramure*Pc/MaxiM</f>
        <v>7.2959130073682613E-2</v>
      </c>
      <c r="AE348" s="305">
        <f t="shared" si="142"/>
        <v>0.8</v>
      </c>
      <c r="AF348" s="177">
        <f t="shared" si="143"/>
        <v>0.799773528427699</v>
      </c>
      <c r="AG348" s="809">
        <f t="shared" si="149"/>
        <v>4</v>
      </c>
      <c r="AH348" s="176">
        <f t="shared" si="144"/>
        <v>10</v>
      </c>
      <c r="AI348" s="225">
        <f t="shared" si="145"/>
        <v>4.799773528427699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IF(t&gt;Tmaj,'2026'!Wh/'2026'!Env_an*'2027'!Env_an,0.001*'[14]mon-tableau (2)'!$B$140)</f>
        <v>3.162018329673574</v>
      </c>
      <c r="C349" s="839"/>
      <c r="D349" s="393">
        <f t="shared" si="127"/>
        <v>3.5031523201845349</v>
      </c>
      <c r="E349" s="385">
        <f t="shared" si="125"/>
        <v>3.727759784590305</v>
      </c>
      <c r="F349" s="385">
        <f t="shared" si="128"/>
        <v>3.727759784590305</v>
      </c>
      <c r="G349" s="110">
        <f t="shared" si="126"/>
        <v>0.2095727765186649</v>
      </c>
      <c r="H349" s="414" t="b">
        <f>Wh_hp&gt;='2026'!Maxi_hp</f>
        <v>0</v>
      </c>
      <c r="I349" s="390">
        <f>IF(H349,Wh_hp,'2026'!Maxi_hp)</f>
        <v>17.003353982063814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9.7379148644324759E-2</v>
      </c>
      <c r="M349" s="843"/>
      <c r="N349" s="843"/>
      <c r="O349" s="48">
        <f>IF(t&lt;Tnet,'2026'!Resal+('2026'!Salim-'2026'!Resal)*(1-EXP(('2026'!Tnet-t)/('2026'!Tau_j))),Resal+(Salim-Resal)*(1-EXP((Tnet-t)/(Tau_j))))*Salcycl</f>
        <v>6.0252665779121549E-2</v>
      </c>
      <c r="P349" s="169">
        <f>(INDEX(Models!$BJ349:$BT349,,T349)*(1-R349)+INDEX(Models!$BJ349:$BT349,,T349+1)*R349-ERP_i)*Q349*Ramure*Pc/MaxiM</f>
        <v>6.0602023870080568E-2</v>
      </c>
      <c r="Q349" s="305">
        <f t="shared" si="130"/>
        <v>0.8</v>
      </c>
      <c r="R349" s="177">
        <f t="shared" si="131"/>
        <v>0.59907652610620588</v>
      </c>
      <c r="S349" s="809">
        <f t="shared" si="132"/>
        <v>3</v>
      </c>
      <c r="T349" s="176">
        <f t="shared" si="133"/>
        <v>9</v>
      </c>
      <c r="U349" s="251">
        <f t="shared" si="134"/>
        <v>3.5990765261062059</v>
      </c>
      <c r="V349" s="383">
        <f t="shared" si="135"/>
        <v>14.17356618891059</v>
      </c>
      <c r="W349" s="402">
        <f t="shared" si="136"/>
        <v>3.162018329673574</v>
      </c>
      <c r="X349" s="157">
        <f t="shared" si="137"/>
        <v>46722</v>
      </c>
      <c r="Y349" s="385">
        <f t="shared" si="138"/>
        <v>2.9027445541234234</v>
      </c>
      <c r="Z349" s="385">
        <f t="shared" si="139"/>
        <v>3.2159068226306737</v>
      </c>
      <c r="AA349" s="386">
        <f t="shared" si="140"/>
        <v>3.727759784590305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0.13730846179400102</v>
      </c>
      <c r="AD349" s="231">
        <f>(INDEX(Models!$BJ349:$BT349,,AH349)*(1-AF349)+INDEX(Models!$BJ349:$BT349,,AH349+1)*AF349-ERP_i)*AE349*Ramure*Pc/MaxiM</f>
        <v>7.1909465640003375E-2</v>
      </c>
      <c r="AE349" s="305">
        <f t="shared" si="142"/>
        <v>0.8</v>
      </c>
      <c r="AF349" s="177">
        <f t="shared" si="143"/>
        <v>0.79979327327110905</v>
      </c>
      <c r="AG349" s="809">
        <f t="shared" si="149"/>
        <v>4</v>
      </c>
      <c r="AH349" s="176">
        <f t="shared" si="144"/>
        <v>10</v>
      </c>
      <c r="AI349" s="225">
        <f t="shared" si="145"/>
        <v>4.7997932732711091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IF(t&gt;Tmaj,'2026'!Wh/'2026'!Env_an*'2027'!Env_an,0.001*'[14]mon-tableau (2)'!$B$141)</f>
        <v>5.2837225139249977</v>
      </c>
      <c r="C350" s="839"/>
      <c r="D350" s="393">
        <f t="shared" si="127"/>
        <v>5.8538957357330421</v>
      </c>
      <c r="E350" s="385">
        <f t="shared" si="125"/>
        <v>6.2301979656581823</v>
      </c>
      <c r="F350" s="385">
        <f t="shared" si="128"/>
        <v>6.2704135174990974</v>
      </c>
      <c r="G350" s="110">
        <f t="shared" si="126"/>
        <v>0.35489567608130479</v>
      </c>
      <c r="H350" s="414" t="b">
        <f>Wh_hp&gt;='2026'!Maxi_hp</f>
        <v>0</v>
      </c>
      <c r="I350" s="390">
        <f>IF(H350,Wh_hp,'2026'!Maxi_hp)</f>
        <v>9.0516021673760747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9.7400645236576905E-2</v>
      </c>
      <c r="M350" s="843"/>
      <c r="N350" s="843"/>
      <c r="O350" s="48">
        <f>IF(t&lt;Tnet,'2026'!Resal+('2026'!Salim-'2026'!Resal)*(1-EXP(('2026'!Tnet-t)/('2026'!Tau_j))),Resal+(Salim-Resal)*(1-EXP((Tnet-t)/(Tau_j))))*Salcycl</f>
        <v>6.0399722769545423E-2</v>
      </c>
      <c r="P350" s="169">
        <f>(INDEX(Models!$BJ350:$BT350,,T350)*(1-R350)+INDEX(Models!$BJ350:$BT350,,T350+1)*R350-ERP_i)*Q350*Ramure*Pc/MaxiM</f>
        <v>5.9816638072605559E-2</v>
      </c>
      <c r="Q350" s="305">
        <f t="shared" si="130"/>
        <v>0.8</v>
      </c>
      <c r="R350" s="177">
        <f t="shared" si="131"/>
        <v>0.59909547718591227</v>
      </c>
      <c r="S350" s="809">
        <f t="shared" si="132"/>
        <v>3</v>
      </c>
      <c r="T350" s="176">
        <f t="shared" si="133"/>
        <v>9</v>
      </c>
      <c r="U350" s="251">
        <f t="shared" si="134"/>
        <v>3.5990954771859123</v>
      </c>
      <c r="V350" s="383">
        <f t="shared" si="135"/>
        <v>14.087897742038662</v>
      </c>
      <c r="W350" s="402">
        <f t="shared" si="136"/>
        <v>5.2837225139249977</v>
      </c>
      <c r="X350" s="157">
        <f t="shared" si="137"/>
        <v>46723</v>
      </c>
      <c r="Y350" s="385">
        <f t="shared" si="138"/>
        <v>4.8453687263484513</v>
      </c>
      <c r="Z350" s="385">
        <f t="shared" si="139"/>
        <v>5.3682386329851219</v>
      </c>
      <c r="AA350" s="386">
        <f t="shared" si="140"/>
        <v>6.222756997034562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0.13732150628036063</v>
      </c>
      <c r="AD350" s="231">
        <f>(INDEX(Models!$BJ350:$BT350,,AH350)*(1-AF350)+INDEX(Models!$BJ350:$BT350,,AH350+1)*AF350-ERP_i)*AE350*Ramure*Pc/MaxiM</f>
        <v>7.0884339663009444E-2</v>
      </c>
      <c r="AE350" s="305">
        <f t="shared" si="142"/>
        <v>0.8</v>
      </c>
      <c r="AF350" s="177">
        <f t="shared" si="143"/>
        <v>0.79981222435081545</v>
      </c>
      <c r="AG350" s="809">
        <f t="shared" si="149"/>
        <v>4</v>
      </c>
      <c r="AH350" s="176">
        <f t="shared" si="144"/>
        <v>10</v>
      </c>
      <c r="AI350" s="225">
        <f t="shared" si="145"/>
        <v>4.7998122243508154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IF(t&gt;Tmaj,'2026'!Wh/'2026'!Env_an*'2027'!Env_an,0.001*'[14]mon-tableau (2)'!$B$142)</f>
        <v>5.9386750262948089</v>
      </c>
      <c r="C351" s="839"/>
      <c r="D351" s="393">
        <f t="shared" si="127"/>
        <v>6.5796817074998826</v>
      </c>
      <c r="E351" s="385">
        <f t="shared" si="125"/>
        <v>7.0037406426584434</v>
      </c>
      <c r="F351" s="385">
        <f t="shared" si="128"/>
        <v>7.0777006301308178</v>
      </c>
      <c r="G351" s="110">
        <f t="shared" si="126"/>
        <v>0.40310977375271834</v>
      </c>
      <c r="H351" s="414" t="b">
        <f>Wh_hp&gt;='2026'!Maxi_hp</f>
        <v>0</v>
      </c>
      <c r="I351" s="390">
        <f>IF(H351,Wh_hp,'2026'!Maxi_hp)</f>
        <v>12.664538267846305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9.7422141328571993E-2</v>
      </c>
      <c r="M351" s="843"/>
      <c r="N351" s="843"/>
      <c r="O351" s="48">
        <f>IF(t&lt;Tnet,'2026'!Resal+('2026'!Salim-'2026'!Resal)*(1-EXP(('2026'!Tnet-t)/('2026'!Tau_j))),Resal+(Salim-Resal)*(1-EXP((Tnet-t)/(Tau_j))))*Salcycl</f>
        <v>6.0547492660664601E-2</v>
      </c>
      <c r="P351" s="169">
        <f>(INDEX(Models!$BJ351:$BT351,,T351)*(1-R351)+INDEX(Models!$BJ351:$BT351,,T351+1)*R351-ERP_i)*Q351*Ramure*Pc/MaxiM</f>
        <v>5.9028134014861622E-2</v>
      </c>
      <c r="Q351" s="305">
        <f t="shared" si="130"/>
        <v>0.8</v>
      </c>
      <c r="R351" s="177">
        <f t="shared" si="131"/>
        <v>0.59911366636490726</v>
      </c>
      <c r="S351" s="809">
        <f t="shared" si="132"/>
        <v>3</v>
      </c>
      <c r="T351" s="176">
        <f t="shared" si="133"/>
        <v>9</v>
      </c>
      <c r="U351" s="251">
        <f t="shared" si="134"/>
        <v>3.5991136663649073</v>
      </c>
      <c r="V351" s="383">
        <f t="shared" si="135"/>
        <v>14.008931284980692</v>
      </c>
      <c r="W351" s="402">
        <f t="shared" si="136"/>
        <v>5.9386750262948089</v>
      </c>
      <c r="X351" s="157">
        <f t="shared" si="137"/>
        <v>46724</v>
      </c>
      <c r="Y351" s="385">
        <f t="shared" si="138"/>
        <v>5.4426683651725964</v>
      </c>
      <c r="Z351" s="385">
        <f t="shared" si="139"/>
        <v>6.0301372484187326</v>
      </c>
      <c r="AA351" s="386">
        <f t="shared" si="140"/>
        <v>6.9901411138623812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0.13733683623923323</v>
      </c>
      <c r="AD351" s="231">
        <f>(INDEX(Models!$BJ351:$BT351,,AH351)*(1-AF351)+INDEX(Models!$BJ351:$BT351,,AH351+1)*AF351-ERP_i)*AE351*Ramure*Pc/MaxiM</f>
        <v>6.9882040779147808E-2</v>
      </c>
      <c r="AE351" s="305">
        <f t="shared" si="142"/>
        <v>0.8</v>
      </c>
      <c r="AF351" s="177">
        <f t="shared" si="143"/>
        <v>0.79983041352981044</v>
      </c>
      <c r="AG351" s="809">
        <f t="shared" si="149"/>
        <v>4</v>
      </c>
      <c r="AH351" s="176">
        <f t="shared" si="144"/>
        <v>10</v>
      </c>
      <c r="AI351" s="225">
        <f t="shared" si="145"/>
        <v>4.7998304135298104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IF(t&gt;Tmaj,'2026'!Wh/'2026'!Env_an*'2027'!Env_an,0.001*'[14]mon-tableau (2)'!$B$143)</f>
        <v>11.588668155930737</v>
      </c>
      <c r="C352" s="839"/>
      <c r="D352" s="393">
        <f t="shared" si="127"/>
        <v>12.839827660610798</v>
      </c>
      <c r="E352" s="385">
        <f t="shared" si="125"/>
        <v>13.669511913621767</v>
      </c>
      <c r="F352" s="385">
        <f t="shared" si="128"/>
        <v>14.302215718539626</v>
      </c>
      <c r="G352" s="110">
        <f t="shared" si="126"/>
        <v>0.81931811297844614</v>
      </c>
      <c r="H352" s="414" t="b">
        <f>Wh_hp&gt;='2026'!Maxi_hp</f>
        <v>0</v>
      </c>
      <c r="I352" s="390">
        <f>IF(H352,Wh_hp,'2026'!Maxi_hp)</f>
        <v>14.483247185091793</v>
      </c>
      <c r="J352" s="85">
        <f>IF(H352,An,'2026'!An_max)</f>
        <v>2022</v>
      </c>
      <c r="K352" s="197">
        <f t="shared" si="129"/>
        <v>46725</v>
      </c>
      <c r="L352" s="147">
        <f>IF(t&lt;Tvie,1-EXP((T0-t)*PertePVj)+'2026'!Pspv,1-EXP((T0-t)*PertePVj)+Pspv)</f>
        <v>9.7443636920321569E-2</v>
      </c>
      <c r="M352" s="843"/>
      <c r="N352" s="843"/>
      <c r="O352" s="48">
        <f>IF(t&lt;Tnet,'2026'!Resal+('2026'!Salim-'2026'!Resal)*(1-EXP(('2026'!Tnet-t)/('2026'!Tau_j))),Resal+(Salim-Resal)*(1-EXP((Tnet-t)/(Tau_j))))*Salcycl</f>
        <v>6.0695967658083119E-2</v>
      </c>
      <c r="P352" s="169">
        <f>(INDEX(Models!$BJ352:$BT352,,T352)*(1-R352)+INDEX(Models!$BJ352:$BT352,,T352+1)*R352-ERP_i)*Q352*Ramure*Pc/MaxiM</f>
        <v>5.8260902864419054E-2</v>
      </c>
      <c r="Q352" s="305">
        <f t="shared" si="130"/>
        <v>0.8</v>
      </c>
      <c r="R352" s="177">
        <f t="shared" si="131"/>
        <v>0.59913112423086901</v>
      </c>
      <c r="S352" s="809">
        <f t="shared" si="132"/>
        <v>3</v>
      </c>
      <c r="T352" s="176">
        <f t="shared" si="133"/>
        <v>9</v>
      </c>
      <c r="U352" s="251">
        <f t="shared" si="134"/>
        <v>3.599131124230869</v>
      </c>
      <c r="V352" s="383">
        <f t="shared" si="135"/>
        <v>13.936762144027295</v>
      </c>
      <c r="W352" s="402">
        <f t="shared" si="136"/>
        <v>11.588668155930737</v>
      </c>
      <c r="X352" s="157">
        <f t="shared" si="137"/>
        <v>46725</v>
      </c>
      <c r="Y352" s="385">
        <f t="shared" si="138"/>
        <v>10.552670904187382</v>
      </c>
      <c r="Z352" s="385">
        <f t="shared" si="139"/>
        <v>11.691979953672748</v>
      </c>
      <c r="AA352" s="386">
        <f t="shared" si="140"/>
        <v>13.553631030920359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0.13735441617088179</v>
      </c>
      <c r="AD352" s="231">
        <f>(INDEX(Models!$BJ352:$BT352,,AH352)*(1-AF352)+INDEX(Models!$BJ352:$BT352,,AH352+1)*AF352-ERP_i)*AE352*Ramure*Pc/MaxiM</f>
        <v>6.8931495957796157E-2</v>
      </c>
      <c r="AE352" s="305">
        <f t="shared" si="142"/>
        <v>0.8</v>
      </c>
      <c r="AF352" s="177">
        <f t="shared" si="143"/>
        <v>0.79984787139577307</v>
      </c>
      <c r="AG352" s="809">
        <f t="shared" si="149"/>
        <v>4</v>
      </c>
      <c r="AH352" s="176">
        <f t="shared" si="144"/>
        <v>10</v>
      </c>
      <c r="AI352" s="225">
        <f t="shared" si="145"/>
        <v>4.7998478713957731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IF(t&gt;Tmaj,'2026'!Wh/'2026'!Env_an*'2027'!Env_an,0.001*'[14]mon-tableau (2)'!$B$144)</f>
        <v>14.509313625131959</v>
      </c>
      <c r="C353" s="839"/>
      <c r="D353" s="393">
        <f t="shared" si="127"/>
        <v>16.076180699228406</v>
      </c>
      <c r="E353" s="385">
        <f t="shared" si="125"/>
        <v>17.117710111784266</v>
      </c>
      <c r="F353" s="385">
        <f t="shared" si="128"/>
        <v>18.16232390520457</v>
      </c>
      <c r="G353" s="110">
        <f t="shared" si="126"/>
        <v>1.0459540036296502</v>
      </c>
      <c r="H353" s="414" t="b">
        <f>Wh_hp&gt;='2026'!Maxi_hp</f>
        <v>1</v>
      </c>
      <c r="I353" s="390">
        <f>IF(H353,Wh_hp,'2026'!Maxi_hp)</f>
        <v>18.16232390520457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9.7465132011837291E-2</v>
      </c>
      <c r="M353" s="843"/>
      <c r="N353" s="843"/>
      <c r="O353" s="48">
        <f>IF(t&lt;Tnet,'2026'!Resal+('2026'!Salim-'2026'!Resal)*(1-EXP(('2026'!Tnet-t)/('2026'!Tau_j))),Resal+(Salim-Resal)*(1-EXP((Tnet-t)/(Tau_j))))*Salcycl</f>
        <v>6.0845136747516453E-2</v>
      </c>
      <c r="P353" s="169">
        <f>(INDEX(Models!$BJ353:$BT353,,T353)*(1-R353)+INDEX(Models!$BJ353:$BT353,,T353+1)*R353-ERP_i)*Q353*Ramure*Pc/MaxiM</f>
        <v>5.7515425827251276E-2</v>
      </c>
      <c r="Q353" s="305">
        <f t="shared" si="130"/>
        <v>0.8</v>
      </c>
      <c r="R353" s="177">
        <f t="shared" si="131"/>
        <v>0.59914788014691212</v>
      </c>
      <c r="S353" s="809">
        <f t="shared" si="132"/>
        <v>3</v>
      </c>
      <c r="T353" s="176">
        <f t="shared" si="133"/>
        <v>9</v>
      </c>
      <c r="U353" s="251">
        <f t="shared" si="134"/>
        <v>3.5991478801469121</v>
      </c>
      <c r="V353" s="383">
        <f t="shared" si="135"/>
        <v>13.871846730144927</v>
      </c>
      <c r="W353" s="402">
        <f t="shared" si="136"/>
        <v>14.509313625131959</v>
      </c>
      <c r="X353" s="157">
        <f t="shared" si="137"/>
        <v>46726</v>
      </c>
      <c r="Y353" s="385">
        <f t="shared" si="138"/>
        <v>13.178568218513405</v>
      </c>
      <c r="Z353" s="385">
        <f t="shared" si="139"/>
        <v>14.60172751872701</v>
      </c>
      <c r="AA353" s="386">
        <f t="shared" si="140"/>
        <v>16.927070325952016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0.13737420371320067</v>
      </c>
      <c r="AD353" s="231">
        <f>(INDEX(Models!$BJ353:$BT353,,AH353)*(1-AF353)+INDEX(Models!$BJ353:$BT353,,AH353+1)*AF353-ERP_i)*AE353*Ramure*Pc/MaxiM</f>
        <v>6.8011868178310633E-2</v>
      </c>
      <c r="AE353" s="305">
        <f t="shared" si="142"/>
        <v>0.8</v>
      </c>
      <c r="AF353" s="177">
        <f t="shared" si="143"/>
        <v>0.79986462731181529</v>
      </c>
      <c r="AG353" s="809">
        <f t="shared" si="149"/>
        <v>4</v>
      </c>
      <c r="AH353" s="176">
        <f t="shared" si="144"/>
        <v>10</v>
      </c>
      <c r="AI353" s="225">
        <f t="shared" si="145"/>
        <v>4.7998646273118153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IF(t&gt;Tmaj,'2026'!Wh/'2026'!Env_an*'2027'!Env_an,0.001*'[14]mon-tableau (2)'!$B$145)</f>
        <v>8.0906498747525788</v>
      </c>
      <c r="C354" s="839"/>
      <c r="D354" s="393">
        <f t="shared" si="127"/>
        <v>8.9645761638978119</v>
      </c>
      <c r="E354" s="385">
        <f t="shared" si="125"/>
        <v>9.5468884924145989</v>
      </c>
      <c r="F354" s="385">
        <f t="shared" si="128"/>
        <v>9.7733869559614348</v>
      </c>
      <c r="G354" s="110">
        <f t="shared" si="126"/>
        <v>0.56550235578007513</v>
      </c>
      <c r="H354" s="414" t="b">
        <f>Wh_hp&gt;='2026'!Maxi_hp</f>
        <v>0</v>
      </c>
      <c r="I354" s="390">
        <f>IF(H354,Wh_hp,'2026'!Maxi_hp)</f>
        <v>13.343805020579753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9.7486626603130816E-2</v>
      </c>
      <c r="M354" s="843"/>
      <c r="N354" s="843"/>
      <c r="O354" s="48">
        <f>IF(t&lt;Tnet,'2026'!Resal+('2026'!Salim-'2026'!Resal)*(1-EXP(('2026'!Tnet-t)/('2026'!Tau_j))),Resal+(Salim-Resal)*(1-EXP((Tnet-t)/(Tau_j))))*Salcycl</f>
        <v>6.0994985851092497E-2</v>
      </c>
      <c r="P354" s="169">
        <f>(INDEX(Models!$BJ354:$BT354,,T354)*(1-R354)+INDEX(Models!$BJ354:$BT354,,T354+1)*R354-ERP_i)*Q354*Ramure*Pc/MaxiM</f>
        <v>5.6790304502496801E-2</v>
      </c>
      <c r="Q354" s="305">
        <f t="shared" si="130"/>
        <v>0.8</v>
      </c>
      <c r="R354" s="177">
        <f t="shared" si="131"/>
        <v>0.5991639623003393</v>
      </c>
      <c r="S354" s="809">
        <f t="shared" si="132"/>
        <v>3</v>
      </c>
      <c r="T354" s="176">
        <f t="shared" si="133"/>
        <v>9</v>
      </c>
      <c r="U354" s="251">
        <f t="shared" si="134"/>
        <v>3.5991639623003393</v>
      </c>
      <c r="V354" s="383">
        <f t="shared" si="135"/>
        <v>13.814669177756041</v>
      </c>
      <c r="W354" s="402">
        <f t="shared" si="136"/>
        <v>8.0906498747525788</v>
      </c>
      <c r="X354" s="157">
        <f t="shared" si="137"/>
        <v>46727</v>
      </c>
      <c r="Y354" s="385">
        <f t="shared" si="138"/>
        <v>7.4002844208642351</v>
      </c>
      <c r="Z354" s="385">
        <f t="shared" si="139"/>
        <v>8.1996396275117025</v>
      </c>
      <c r="AA354" s="386">
        <f t="shared" si="140"/>
        <v>9.5056840149515391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0.13739615007037401</v>
      </c>
      <c r="AD354" s="231">
        <f>(INDEX(Models!$BJ354:$BT354,,AH354)*(1-AF354)+INDEX(Models!$BJ354:$BT354,,AH354+1)*AF354-ERP_i)*AE354*Ramure*Pc/MaxiM</f>
        <v>6.7121565851249801E-2</v>
      </c>
      <c r="AE354" s="305">
        <f t="shared" si="142"/>
        <v>0.8</v>
      </c>
      <c r="AF354" s="177">
        <f t="shared" si="143"/>
        <v>0.79988070946524292</v>
      </c>
      <c r="AG354" s="809">
        <f t="shared" si="149"/>
        <v>4</v>
      </c>
      <c r="AH354" s="176">
        <f t="shared" si="144"/>
        <v>10</v>
      </c>
      <c r="AI354" s="225">
        <f t="shared" si="145"/>
        <v>4.7998807094652429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IF(t&gt;Tmaj,'2026'!Wh/'2026'!Env_an*'2027'!Env_an,0.001*'[14]mon-tableau (2)'!$B$146)</f>
        <v>12.92287061194194</v>
      </c>
      <c r="C355" s="839"/>
      <c r="D355" s="393">
        <f t="shared" si="127"/>
        <v>14.319099050378666</v>
      </c>
      <c r="E355" s="385">
        <f t="shared" si="125"/>
        <v>15.251670008383197</v>
      </c>
      <c r="F355" s="385">
        <f t="shared" si="128"/>
        <v>16.074331667838777</v>
      </c>
      <c r="G355" s="110">
        <f t="shared" si="126"/>
        <v>0.93391873438939754</v>
      </c>
      <c r="H355" s="414" t="b">
        <f>Wh_hp&gt;='2026'!Maxi_hp</f>
        <v>0</v>
      </c>
      <c r="I355" s="390">
        <f>IF(H355,Wh_hp,'2026'!Maxi_hp)</f>
        <v>16.145056868445899</v>
      </c>
      <c r="J355" s="85">
        <f>IF(H355,An,'2026'!An_max)</f>
        <v>2022</v>
      </c>
      <c r="K355" s="197">
        <f t="shared" si="129"/>
        <v>46728</v>
      </c>
      <c r="L355" s="147">
        <f>IF(t&lt;Tvie,1-EXP((T0-t)*PertePVj)+'2026'!Pspv,1-EXP((T0-t)*PertePVj)+Pspv)</f>
        <v>9.7508120694213912E-2</v>
      </c>
      <c r="M355" s="843"/>
      <c r="N355" s="843"/>
      <c r="O355" s="48">
        <f>IF(t&lt;Tnet,'2026'!Resal+('2026'!Salim-'2026'!Resal)*(1-EXP(('2026'!Tnet-t)/('2026'!Tau_j))),Resal+(Salim-Resal)*(1-EXP((Tnet-t)/(Tau_j))))*Salcycl</f>
        <v>6.1145498000673773E-2</v>
      </c>
      <c r="P355" s="169">
        <f>(INDEX(Models!$BJ355:$BT355,,T355)*(1-R355)+INDEX(Models!$BJ355:$BT355,,T355+1)*R355-ERP_i)*Q355*Ramure*Pc/MaxiM</f>
        <v>5.6084165414927653E-2</v>
      </c>
      <c r="Q355" s="305">
        <f t="shared" si="130"/>
        <v>0.8</v>
      </c>
      <c r="R355" s="177">
        <f t="shared" si="131"/>
        <v>0.5991793977494817</v>
      </c>
      <c r="S355" s="809">
        <f t="shared" si="132"/>
        <v>3</v>
      </c>
      <c r="T355" s="176">
        <f t="shared" si="133"/>
        <v>9</v>
      </c>
      <c r="U355" s="251">
        <f t="shared" si="134"/>
        <v>3.5991793977494817</v>
      </c>
      <c r="V355" s="383">
        <f t="shared" si="135"/>
        <v>13.765712823106362</v>
      </c>
      <c r="W355" s="402">
        <f t="shared" si="136"/>
        <v>12.92287061194194</v>
      </c>
      <c r="X355" s="157">
        <f t="shared" si="137"/>
        <v>46728</v>
      </c>
      <c r="Y355" s="385">
        <f t="shared" si="138"/>
        <v>11.756801357293481</v>
      </c>
      <c r="Z355" s="385">
        <f t="shared" si="139"/>
        <v>13.027043929012454</v>
      </c>
      <c r="AA355" s="386">
        <f t="shared" si="140"/>
        <v>15.102421754093605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0.13742020047338482</v>
      </c>
      <c r="AD355" s="231">
        <f>(INDEX(Models!$BJ355:$BT355,,AH355)*(1-AF355)+INDEX(Models!$BJ355:$BT355,,AH355+1)*AF355-ERP_i)*AE355*Ramure*Pc/MaxiM</f>
        <v>6.6259021244487071E-2</v>
      </c>
      <c r="AE355" s="305">
        <f t="shared" si="142"/>
        <v>0.8</v>
      </c>
      <c r="AF355" s="177">
        <f t="shared" si="143"/>
        <v>0.79989614491438488</v>
      </c>
      <c r="AG355" s="809">
        <f t="shared" si="149"/>
        <v>4</v>
      </c>
      <c r="AH355" s="176">
        <f t="shared" si="144"/>
        <v>10</v>
      </c>
      <c r="AI355" s="225">
        <f t="shared" si="145"/>
        <v>4.7998961449143849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IF(t&gt;Tmaj,'2026'!Wh/'2026'!Env_an*'2027'!Env_an,0.001*'[14]mon-tableau (2)'!$B$147)</f>
        <v>3.7992077905297901</v>
      </c>
      <c r="C356" s="839"/>
      <c r="D356" s="393">
        <f t="shared" si="127"/>
        <v>4.2097866596699518</v>
      </c>
      <c r="E356" s="385">
        <f t="shared" si="125"/>
        <v>4.4846827013944059</v>
      </c>
      <c r="F356" s="385">
        <f t="shared" si="128"/>
        <v>4.4846827013944059</v>
      </c>
      <c r="G356" s="110">
        <f t="shared" si="126"/>
        <v>0.26146650850241698</v>
      </c>
      <c r="H356" s="414" t="b">
        <f>Wh_hp&gt;='2026'!Maxi_hp</f>
        <v>0</v>
      </c>
      <c r="I356" s="390">
        <f>IF(H356,Wh_hp,'2026'!Maxi_hp)</f>
        <v>13.163873636421526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9.7529614285098015E-2</v>
      </c>
      <c r="M356" s="843"/>
      <c r="N356" s="843"/>
      <c r="O356" s="48">
        <f>IF(t&lt;Tnet,'2026'!Resal+('2026'!Salim-'2026'!Resal)*(1-EXP(('2026'!Tnet-t)/('2026'!Tau_j))),Resal+(Salim-Resal)*(1-EXP((Tnet-t)/(Tau_j))))*Salcycl</f>
        <v>6.1296653526676799E-2</v>
      </c>
      <c r="P356" s="169">
        <f>(INDEX(Models!$BJ356:$BT356,,T356)*(1-R356)+INDEX(Models!$BJ356:$BT356,,T356+1)*R356-ERP_i)*Q356*Ramure*Pc/MaxiM</f>
        <v>5.5395666324697494E-2</v>
      </c>
      <c r="Q356" s="305">
        <f t="shared" si="130"/>
        <v>0.8</v>
      </c>
      <c r="R356" s="177">
        <f t="shared" si="131"/>
        <v>0.59919421246868243</v>
      </c>
      <c r="S356" s="809">
        <f t="shared" si="132"/>
        <v>3</v>
      </c>
      <c r="T356" s="176">
        <f t="shared" si="133"/>
        <v>9</v>
      </c>
      <c r="U356" s="251">
        <f t="shared" si="134"/>
        <v>3.5991942124686824</v>
      </c>
      <c r="V356" s="383">
        <f t="shared" si="135"/>
        <v>13.725460151751088</v>
      </c>
      <c r="W356" s="402">
        <f t="shared" si="136"/>
        <v>3.7992077905297901</v>
      </c>
      <c r="X356" s="157">
        <f t="shared" si="137"/>
        <v>46729</v>
      </c>
      <c r="Y356" s="385">
        <f t="shared" si="138"/>
        <v>3.4910078560574354</v>
      </c>
      <c r="Z356" s="385">
        <f t="shared" si="139"/>
        <v>3.8682796813238305</v>
      </c>
      <c r="AA356" s="386">
        <f t="shared" si="140"/>
        <v>4.4846827013944059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0.13744629466849898</v>
      </c>
      <c r="AD356" s="231">
        <f>(INDEX(Models!$BJ356:$BT356,,AH356)*(1-AF356)+INDEX(Models!$BJ356:$BT356,,AH356+1)*AF356-ERP_i)*AE356*Ramure*Pc/MaxiM</f>
        <v>6.542269566366371E-2</v>
      </c>
      <c r="AE356" s="305">
        <f t="shared" si="142"/>
        <v>0.8</v>
      </c>
      <c r="AF356" s="177">
        <f t="shared" si="143"/>
        <v>0.79991095963358561</v>
      </c>
      <c r="AG356" s="809">
        <f t="shared" si="149"/>
        <v>4</v>
      </c>
      <c r="AH356" s="176">
        <f t="shared" si="144"/>
        <v>10</v>
      </c>
      <c r="AI356" s="225">
        <f t="shared" si="145"/>
        <v>4.7999109596335856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IF(t&gt;Tmaj,'2026'!Wh/'2026'!Env_an*'2027'!Env_an,0.001*'[14]mon-tableau (2)'!$B$148)</f>
        <v>4.4968575594462097</v>
      </c>
      <c r="C357" s="839"/>
      <c r="D357" s="393">
        <f t="shared" si="127"/>
        <v>4.982949833724021</v>
      </c>
      <c r="E357" s="385">
        <f t="shared" si="125"/>
        <v>5.3091913053945259</v>
      </c>
      <c r="F357" s="385">
        <f t="shared" si="128"/>
        <v>5.3209934582755007</v>
      </c>
      <c r="G357" s="110">
        <f t="shared" si="126"/>
        <v>0.31109251561930917</v>
      </c>
      <c r="H357" s="414" t="b">
        <f>Wh_hp&gt;='2026'!Maxi_hp</f>
        <v>0</v>
      </c>
      <c r="I357" s="390">
        <f>IF(H357,Wh_hp,'2026'!Maxi_hp)</f>
        <v>9.5730272396475531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9.7551107375794893E-2</v>
      </c>
      <c r="M357" s="843"/>
      <c r="N357" s="843"/>
      <c r="O357" s="48">
        <f>IF(t&lt;Tnet,'2026'!Resal+('2026'!Salim-'2026'!Resal)*(1-EXP(('2026'!Tnet-t)/('2026'!Tau_j))),Resal+(Salim-Resal)*(1-EXP((Tnet-t)/(Tau_j))))*Salcycl</f>
        <v>6.1448430260748019E-2</v>
      </c>
      <c r="P357" s="169">
        <f>(INDEX(Models!$BJ357:$BT357,,T357)*(1-R357)+INDEX(Models!$BJ357:$BT357,,T357+1)*R357-ERP_i)*Q357*Ramure*Pc/MaxiM</f>
        <v>5.4723502846101467E-2</v>
      </c>
      <c r="Q357" s="305">
        <f t="shared" si="130"/>
        <v>0.8</v>
      </c>
      <c r="R357" s="177">
        <f t="shared" si="131"/>
        <v>0.59920843139151447</v>
      </c>
      <c r="S357" s="809">
        <f t="shared" si="132"/>
        <v>3</v>
      </c>
      <c r="T357" s="176">
        <f t="shared" si="133"/>
        <v>9</v>
      </c>
      <c r="U357" s="251">
        <f t="shared" si="134"/>
        <v>3.5992084313915145</v>
      </c>
      <c r="V357" s="383">
        <f t="shared" si="135"/>
        <v>13.694392743447633</v>
      </c>
      <c r="W357" s="402">
        <f t="shared" si="136"/>
        <v>4.4968575594462097</v>
      </c>
      <c r="X357" s="157">
        <f t="shared" si="137"/>
        <v>46730</v>
      </c>
      <c r="Y357" s="385">
        <f t="shared" si="138"/>
        <v>4.1309366151263296</v>
      </c>
      <c r="Z357" s="385">
        <f t="shared" si="139"/>
        <v>4.5774743022999322</v>
      </c>
      <c r="AA357" s="386">
        <f t="shared" si="140"/>
        <v>5.3070588623076702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0.13747436742966374</v>
      </c>
      <c r="AD357" s="231">
        <f>(INDEX(Models!$BJ357:$BT357,,AH357)*(1-AF357)+INDEX(Models!$BJ357:$BT357,,AH357+1)*AF357-ERP_i)*AE357*Ramure*Pc/MaxiM</f>
        <v>6.4611084926215645E-2</v>
      </c>
      <c r="AE357" s="305">
        <f t="shared" si="142"/>
        <v>0.8</v>
      </c>
      <c r="AF357" s="177">
        <f t="shared" si="143"/>
        <v>0.79992517855641765</v>
      </c>
      <c r="AG357" s="809">
        <f t="shared" si="149"/>
        <v>4</v>
      </c>
      <c r="AH357" s="176">
        <f t="shared" si="144"/>
        <v>10</v>
      </c>
      <c r="AI357" s="225">
        <f t="shared" si="145"/>
        <v>4.7999251785564176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IF(t&gt;Tmaj,'2026'!Wh/'2026'!Env_an*'2027'!Env_an,0.001*'[14]mon-tableau (2)'!$B$149)</f>
        <v>9.1712943194224223</v>
      </c>
      <c r="C358" s="839"/>
      <c r="D358" s="393">
        <f t="shared" si="127"/>
        <v>10.162916506170021</v>
      </c>
      <c r="E358" s="385">
        <f t="shared" si="125"/>
        <v>10.830056703787424</v>
      </c>
      <c r="F358" s="385">
        <f t="shared" si="128"/>
        <v>11.149336413236782</v>
      </c>
      <c r="G358" s="110">
        <f t="shared" si="126"/>
        <v>0.65319978045814131</v>
      </c>
      <c r="H358" s="414" t="b">
        <f>Wh_hp&gt;='2026'!Maxi_hp</f>
        <v>0</v>
      </c>
      <c r="I358" s="390">
        <f>IF(H358,Wh_hp,'2026'!Maxi_hp)</f>
        <v>15.549770066457318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9.7572599966316093E-2</v>
      </c>
      <c r="M358" s="843"/>
      <c r="N358" s="843"/>
      <c r="O358" s="48">
        <f>IF(t&lt;Tnet,'2026'!Resal+('2026'!Salim-'2026'!Resal)*(1-EXP(('2026'!Tnet-t)/('2026'!Tau_j))),Resal+(Salim-Resal)*(1-EXP((Tnet-t)/(Tau_j))))*Salcycl</f>
        <v>6.1600803750556057E-2</v>
      </c>
      <c r="P358" s="169">
        <f>(INDEX(Models!$BJ358:$BT358,,T358)*(1-R358)+INDEX(Models!$BJ358:$BT358,,T358+1)*R358-ERP_i)*Q358*Ramure*Pc/MaxiM</f>
        <v>5.4066415228953467E-2</v>
      </c>
      <c r="Q358" s="305">
        <f t="shared" si="130"/>
        <v>0.8</v>
      </c>
      <c r="R358" s="177">
        <f t="shared" si="131"/>
        <v>0.59922207845228792</v>
      </c>
      <c r="S358" s="809">
        <f t="shared" si="132"/>
        <v>3</v>
      </c>
      <c r="T358" s="176">
        <f t="shared" si="133"/>
        <v>9</v>
      </c>
      <c r="U358" s="251">
        <f t="shared" si="134"/>
        <v>3.5992220784522879</v>
      </c>
      <c r="V358" s="383">
        <f t="shared" si="135"/>
        <v>13.6729912243773</v>
      </c>
      <c r="W358" s="402">
        <f t="shared" si="136"/>
        <v>9.1712943194224223</v>
      </c>
      <c r="X358" s="157">
        <f t="shared" si="137"/>
        <v>46731</v>
      </c>
      <c r="Y358" s="385">
        <f t="shared" si="138"/>
        <v>8.3846197723369933</v>
      </c>
      <c r="Z358" s="385">
        <f t="shared" si="139"/>
        <v>9.2911848332885612</v>
      </c>
      <c r="AA358" s="386">
        <f t="shared" si="140"/>
        <v>10.772442531730164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0.13750434909061401</v>
      </c>
      <c r="AD358" s="231">
        <f>(INDEX(Models!$BJ358:$BT358,,AH358)*(1-AF358)+INDEX(Models!$BJ358:$BT358,,AH358+1)*AF358-ERP_i)*AE358*Ramure*Pc/MaxiM</f>
        <v>6.3822725001636382E-2</v>
      </c>
      <c r="AE358" s="305">
        <f t="shared" si="142"/>
        <v>0.8</v>
      </c>
      <c r="AF358" s="177">
        <f t="shared" si="143"/>
        <v>0.79993882561719154</v>
      </c>
      <c r="AG358" s="809">
        <f t="shared" si="149"/>
        <v>4</v>
      </c>
      <c r="AH358" s="176">
        <f t="shared" si="144"/>
        <v>10</v>
      </c>
      <c r="AI358" s="225">
        <f t="shared" si="145"/>
        <v>4.7999388256171915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IF(t&gt;Tmaj,'2026'!Wh/'2026'!Env_an*'2027'!Env_an,0.001*'[14]mon-tableau (2)'!$B$150)</f>
        <v>11.160568451283078</v>
      </c>
      <c r="C359" s="839"/>
      <c r="D359" s="393">
        <f t="shared" si="127"/>
        <v>12.367570239781708</v>
      </c>
      <c r="E359" s="385">
        <f t="shared" si="125"/>
        <v>13.181582347521644</v>
      </c>
      <c r="F359" s="385">
        <f t="shared" si="128"/>
        <v>13.722903658185828</v>
      </c>
      <c r="G359" s="110">
        <f t="shared" si="126"/>
        <v>0.80500204324254054</v>
      </c>
      <c r="H359" s="414" t="b">
        <f>Wh_hp&gt;='2026'!Maxi_hp</f>
        <v>0</v>
      </c>
      <c r="I359" s="390">
        <f>IF(H359,Wh_hp,'2026'!Maxi_hp)</f>
        <v>14.841331638958879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9.7594092056673382E-2</v>
      </c>
      <c r="M359" s="843"/>
      <c r="N359" s="843"/>
      <c r="O359" s="48">
        <f>IF(t&lt;Tnet,'2026'!Resal+('2026'!Salim-'2026'!Resal)*(1-EXP(('2026'!Tnet-t)/('2026'!Tau_j))),Resal+(Salim-Resal)*(1-EXP((Tnet-t)/(Tau_j))))*Salcycl</f>
        <v>6.1753747484874881E-2</v>
      </c>
      <c r="P359" s="169">
        <f>(INDEX(Models!$BJ359:$BT359,,T359)*(1-R359)+INDEX(Models!$BJ359:$BT359,,T359+1)*R359-ERP_i)*Q359*Ramure*Pc/MaxiM</f>
        <v>5.3421006351082184E-2</v>
      </c>
      <c r="Q359" s="305">
        <f t="shared" si="130"/>
        <v>0.8</v>
      </c>
      <c r="R359" s="177">
        <f t="shared" si="131"/>
        <v>0.59923517662591763</v>
      </c>
      <c r="S359" s="809">
        <f t="shared" si="132"/>
        <v>3</v>
      </c>
      <c r="T359" s="176">
        <f t="shared" si="133"/>
        <v>9</v>
      </c>
      <c r="U359" s="251">
        <f t="shared" si="134"/>
        <v>3.5992351766259176</v>
      </c>
      <c r="V359" s="383">
        <f t="shared" si="135"/>
        <v>13.662326584550334</v>
      </c>
      <c r="W359" s="402">
        <f t="shared" si="136"/>
        <v>11.160568451283078</v>
      </c>
      <c r="X359" s="157">
        <f t="shared" si="137"/>
        <v>46732</v>
      </c>
      <c r="Y359" s="385">
        <f t="shared" si="138"/>
        <v>10.183158302793137</v>
      </c>
      <c r="Z359" s="385">
        <f t="shared" si="139"/>
        <v>11.284454382619872</v>
      </c>
      <c r="AA359" s="386">
        <f t="shared" si="140"/>
        <v>13.083974004443206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0.1375361660923686</v>
      </c>
      <c r="AD359" s="231">
        <f>(INDEX(Models!$BJ359:$BT359,,AH359)*(1-AF359)+INDEX(Models!$BJ359:$BT359,,AH359+1)*AF359-ERP_i)*AE359*Ramure*Pc/MaxiM</f>
        <v>6.3053614217774154E-2</v>
      </c>
      <c r="AE359" s="305">
        <f t="shared" si="142"/>
        <v>0.8</v>
      </c>
      <c r="AF359" s="177">
        <f t="shared" si="143"/>
        <v>0.79995192379082081</v>
      </c>
      <c r="AG359" s="809">
        <f t="shared" si="149"/>
        <v>4</v>
      </c>
      <c r="AH359" s="176">
        <f t="shared" si="144"/>
        <v>10</v>
      </c>
      <c r="AI359" s="225">
        <f t="shared" si="145"/>
        <v>4.7999519237908208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IF(t&gt;Tmaj,'2026'!Wh/'2026'!Env_an*'2027'!Env_an,0.001*'[14]mon-tableau (2)'!$B$151)</f>
        <v>3.7296382444213805</v>
      </c>
      <c r="C360" s="839"/>
      <c r="D360" s="393">
        <f t="shared" si="127"/>
        <v>4.1330924790282459</v>
      </c>
      <c r="E360" s="385">
        <f t="shared" si="125"/>
        <v>4.40584622862578</v>
      </c>
      <c r="F360" s="385">
        <f t="shared" si="128"/>
        <v>4.40584622862578</v>
      </c>
      <c r="G360" s="110">
        <f t="shared" si="126"/>
        <v>0.25857144702751395</v>
      </c>
      <c r="H360" s="414" t="b">
        <f>Wh_hp&gt;='2026'!Maxi_hp</f>
        <v>0</v>
      </c>
      <c r="I360" s="390">
        <f>IF(H360,Wh_hp,'2026'!Maxi_hp)</f>
        <v>16.842886191960798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9.7615583646878307E-2</v>
      </c>
      <c r="M360" s="843"/>
      <c r="N360" s="843"/>
      <c r="O360" s="48">
        <f>IF(t&lt;Tnet,'2026'!Resal+('2026'!Salim-'2026'!Resal)*(1-EXP(('2026'!Tnet-t)/('2026'!Tau_j))),Resal+(Salim-Resal)*(1-EXP((Tnet-t)/(Tau_j))))*Salcycl</f>
        <v>6.1907233127064573E-2</v>
      </c>
      <c r="P360" s="169">
        <f>(INDEX(Models!$BJ360:$BT360,,T360)*(1-R360)+INDEX(Models!$BJ360:$BT360,,T360+1)*R360-ERP_i)*Q360*Ramure*Pc/MaxiM</f>
        <v>5.278717330822303E-2</v>
      </c>
      <c r="Q360" s="305">
        <f t="shared" si="130"/>
        <v>0.8</v>
      </c>
      <c r="R360" s="177">
        <f t="shared" si="131"/>
        <v>0.59924774796621527</v>
      </c>
      <c r="S360" s="809">
        <f t="shared" si="132"/>
        <v>3</v>
      </c>
      <c r="T360" s="176">
        <f t="shared" si="133"/>
        <v>9</v>
      </c>
      <c r="U360" s="251">
        <f t="shared" si="134"/>
        <v>3.5992477479662153</v>
      </c>
      <c r="V360" s="383">
        <f t="shared" si="135"/>
        <v>13.662611338753964</v>
      </c>
      <c r="W360" s="402">
        <f t="shared" si="136"/>
        <v>3.7296382444213805</v>
      </c>
      <c r="X360" s="157">
        <f t="shared" si="137"/>
        <v>46733</v>
      </c>
      <c r="Y360" s="385">
        <f t="shared" si="138"/>
        <v>3.4288217420270031</v>
      </c>
      <c r="Z360" s="385">
        <f t="shared" si="139"/>
        <v>3.7997351016811378</v>
      </c>
      <c r="AA360" s="386">
        <f t="shared" si="140"/>
        <v>4.40584622862578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0.13756974154172716</v>
      </c>
      <c r="AD360" s="231">
        <f>(INDEX(Models!$BJ360:$BT360,,AH360)*(1-AF360)+INDEX(Models!$BJ360:$BT360,,AH360+1)*AF360-ERP_i)*AE360*Ramure*Pc/MaxiM</f>
        <v>6.2303622189349768E-2</v>
      </c>
      <c r="AE360" s="305">
        <f t="shared" si="142"/>
        <v>0.8</v>
      </c>
      <c r="AF360" s="177">
        <f t="shared" si="143"/>
        <v>0.79996449513111845</v>
      </c>
      <c r="AG360" s="809">
        <f t="shared" si="149"/>
        <v>4</v>
      </c>
      <c r="AH360" s="176">
        <f t="shared" si="144"/>
        <v>10</v>
      </c>
      <c r="AI360" s="225">
        <f t="shared" si="145"/>
        <v>4.7999644951311184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IF(t&gt;Tmaj,'2026'!Wh/'2026'!Env_an*'2027'!Env_an,0.001*'[14]mon-tableau (2)'!$B$152)</f>
        <v>4.8461976977722037</v>
      </c>
      <c r="C361" s="839"/>
      <c r="D361" s="393">
        <f t="shared" si="127"/>
        <v>5.3705638408841283</v>
      </c>
      <c r="E361" s="385">
        <f t="shared" ref="E361:E379" si="150">Wh_pvt/(1-Psa)</f>
        <v>5.7259215814346085</v>
      </c>
      <c r="F361" s="385">
        <f t="shared" si="128"/>
        <v>5.7492496591147111</v>
      </c>
      <c r="G361" s="110">
        <f t="shared" ref="G361:G379" si="151">+Wh_hp/MaxiM</f>
        <v>0.33731295161321817</v>
      </c>
      <c r="H361" s="414" t="b">
        <f>Wh_hp&gt;='2026'!Maxi_hp</f>
        <v>0</v>
      </c>
      <c r="I361" s="390">
        <f>IF(H361,Wh_hp,'2026'!Maxi_hp)</f>
        <v>17.504311781575961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9.7637074736942525E-2</v>
      </c>
      <c r="M361" s="843"/>
      <c r="N361" s="843"/>
      <c r="O361" s="48">
        <f>IF(t&lt;Tnet,'2026'!Resal+('2026'!Salim-'2026'!Resal)*(1-EXP(('2026'!Tnet-t)/('2026'!Tau_j))),Resal+(Salim-Resal)*(1-EXP((Tnet-t)/(Tau_j))))*Salcycl</f>
        <v>6.2061230755005671E-2</v>
      </c>
      <c r="P361" s="169">
        <f>(INDEX(Models!$BJ361:$BT361,,T361)*(1-R361)+INDEX(Models!$BJ361:$BT361,,T361+1)*R361-ERP_i)*Q361*Ramure*Pc/MaxiM</f>
        <v>5.2175793124802423E-2</v>
      </c>
      <c r="Q361" s="305">
        <f t="shared" si="130"/>
        <v>0.8</v>
      </c>
      <c r="R361" s="177">
        <f t="shared" si="131"/>
        <v>0.59925981364266612</v>
      </c>
      <c r="S361" s="809">
        <f t="shared" si="132"/>
        <v>3</v>
      </c>
      <c r="T361" s="176">
        <f t="shared" si="133"/>
        <v>9</v>
      </c>
      <c r="U361" s="251">
        <f t="shared" si="134"/>
        <v>3.5992598136426661</v>
      </c>
      <c r="V361" s="383">
        <f t="shared" si="135"/>
        <v>13.67293277230249</v>
      </c>
      <c r="W361" s="402">
        <f t="shared" si="136"/>
        <v>4.8461976977722037</v>
      </c>
      <c r="X361" s="157">
        <f t="shared" si="137"/>
        <v>46734</v>
      </c>
      <c r="Y361" s="385">
        <f t="shared" si="138"/>
        <v>4.4526015666508272</v>
      </c>
      <c r="Z361" s="385">
        <f t="shared" si="139"/>
        <v>4.9343799950034537</v>
      </c>
      <c r="AA361" s="386">
        <f t="shared" si="140"/>
        <v>5.7217168128721809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0.13760499577634658</v>
      </c>
      <c r="AD361" s="231">
        <f>(INDEX(Models!$BJ361:$BT361,,AH361)*(1-AF361)+INDEX(Models!$BJ361:$BT361,,AH361+1)*AF361-ERP_i)*AE361*Ramure*Pc/MaxiM</f>
        <v>6.1580217169482421E-2</v>
      </c>
      <c r="AE361" s="305">
        <f t="shared" si="142"/>
        <v>0.8</v>
      </c>
      <c r="AF361" s="177">
        <f t="shared" si="143"/>
        <v>0.79997656080757018</v>
      </c>
      <c r="AG361" s="809">
        <f t="shared" si="149"/>
        <v>4</v>
      </c>
      <c r="AH361" s="176">
        <f t="shared" si="144"/>
        <v>10</v>
      </c>
      <c r="AI361" s="225">
        <f t="shared" si="145"/>
        <v>4.7999765608075702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IF(t&gt;Tmaj,'2026'!Wh/'2026'!Env_an*'2027'!Env_an,0.001*'[14]mon-tableau (2)'!$B$153)</f>
        <v>12.937190264648892</v>
      </c>
      <c r="C362" s="839"/>
      <c r="D362" s="393">
        <f t="shared" si="127"/>
        <v>14.337355869439214</v>
      </c>
      <c r="E362" s="385">
        <f t="shared" si="150"/>
        <v>15.288543440798909</v>
      </c>
      <c r="F362" s="385">
        <f t="shared" si="128"/>
        <v>16.051382996223005</v>
      </c>
      <c r="G362" s="110">
        <f t="shared" si="151"/>
        <v>0.94080603069850266</v>
      </c>
      <c r="H362" s="414" t="b">
        <f>Wh_hp&gt;='2026'!Maxi_hp</f>
        <v>0</v>
      </c>
      <c r="I362" s="390">
        <f>IF(H362,Wh_hp,'2026'!Maxi_hp)</f>
        <v>17.825188760800483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9.7658565326877694E-2</v>
      </c>
      <c r="M362" s="843"/>
      <c r="N362" s="843"/>
      <c r="O362" s="48">
        <f>IF(t&lt;Tnet,'2026'!Resal+('2026'!Salim-'2026'!Resal)*(1-EXP(('2026'!Tnet-t)/('2026'!Tau_j))),Resal+(Salim-Resal)*(1-EXP((Tnet-t)/(Tau_j))))*Salcycl</f>
        <v>6.221570910550981E-2</v>
      </c>
      <c r="P362" s="169">
        <f>(INDEX(Models!$BJ362:$BT362,,T362)*(1-R362)+INDEX(Models!$BJ362:$BT362,,T362+1)*R362-ERP_i)*Q362*Ramure*Pc/MaxiM</f>
        <v>5.1590246472726642E-2</v>
      </c>
      <c r="Q362" s="305">
        <f t="shared" si="130"/>
        <v>0.8</v>
      </c>
      <c r="R362" s="177">
        <f t="shared" si="131"/>
        <v>0.59927139397574969</v>
      </c>
      <c r="S362" s="809">
        <f t="shared" si="132"/>
        <v>3</v>
      </c>
      <c r="T362" s="176">
        <f t="shared" si="133"/>
        <v>9</v>
      </c>
      <c r="U362" s="251">
        <f t="shared" si="134"/>
        <v>3.5992713939757497</v>
      </c>
      <c r="V362" s="383">
        <f t="shared" si="135"/>
        <v>13.692483621747982</v>
      </c>
      <c r="W362" s="402">
        <f t="shared" si="136"/>
        <v>12.937190264648892</v>
      </c>
      <c r="X362" s="157">
        <f t="shared" si="137"/>
        <v>46735</v>
      </c>
      <c r="Y362" s="385">
        <f t="shared" si="138"/>
        <v>11.789677119692028</v>
      </c>
      <c r="Z362" s="385">
        <f t="shared" si="139"/>
        <v>13.065649727104571</v>
      </c>
      <c r="AA362" s="386">
        <f t="shared" si="140"/>
        <v>15.151071142101214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0.13764184693198059</v>
      </c>
      <c r="AD362" s="231">
        <f>(INDEX(Models!$BJ362:$BT362,,AH362)*(1-AF362)+INDEX(Models!$BJ362:$BT362,,AH362+1)*AF362-ERP_i)*AE362*Ramure*Pc/MaxiM</f>
        <v>6.0887391229521082E-2</v>
      </c>
      <c r="AE362" s="305">
        <f t="shared" si="142"/>
        <v>0.8</v>
      </c>
      <c r="AF362" s="177">
        <f t="shared" si="143"/>
        <v>0.79998814114065286</v>
      </c>
      <c r="AG362" s="809">
        <f t="shared" si="149"/>
        <v>4</v>
      </c>
      <c r="AH362" s="176">
        <f t="shared" si="144"/>
        <v>10</v>
      </c>
      <c r="AI362" s="225">
        <f t="shared" si="145"/>
        <v>4.7999881411406529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IF(t&gt;Tmaj,'2026'!Wh/'2026'!Env_an*'2027'!Env_an,0.001*'[14]mon-tableau (2)'!$B$154)</f>
        <v>5.077351326721133</v>
      </c>
      <c r="C363" s="839"/>
      <c r="D363" s="393">
        <f t="shared" si="127"/>
        <v>5.6269966736309671</v>
      </c>
      <c r="E363" s="385">
        <f t="shared" si="150"/>
        <v>6.0013016748460304</v>
      </c>
      <c r="F363" s="385">
        <f t="shared" si="128"/>
        <v>6.03211085836727</v>
      </c>
      <c r="G363" s="110">
        <f t="shared" si="151"/>
        <v>0.3529744696431466</v>
      </c>
      <c r="H363" s="414" t="b">
        <f>Wh_hp&gt;='2026'!Maxi_hp</f>
        <v>0</v>
      </c>
      <c r="I363" s="390">
        <f>IF(H363,Wh_hp,'2026'!Maxi_hp)</f>
        <v>16.523910631894243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9.7680055416695472E-2</v>
      </c>
      <c r="M363" s="843"/>
      <c r="N363" s="843"/>
      <c r="O363" s="48">
        <f>IF(t&lt;Tnet,'2026'!Resal+('2026'!Salim-'2026'!Resal)*(1-EXP(('2026'!Tnet-t)/('2026'!Tau_j))),Resal+(Salim-Resal)*(1-EXP((Tnet-t)/(Tau_j))))*Salcycl</f>
        <v>6.2370635821213979E-2</v>
      </c>
      <c r="P363" s="169">
        <f>(INDEX(Models!$BJ363:$BT363,,T363)*(1-R363)+INDEX(Models!$BJ363:$BT363,,T363+1)*R363-ERP_i)*Q363*Ramure*Pc/MaxiM</f>
        <v>5.1033717511190284E-2</v>
      </c>
      <c r="Q363" s="305">
        <f t="shared" si="130"/>
        <v>0.8</v>
      </c>
      <c r="R363" s="177">
        <f t="shared" si="131"/>
        <v>0.59928250847085707</v>
      </c>
      <c r="S363" s="809">
        <f t="shared" si="132"/>
        <v>3</v>
      </c>
      <c r="T363" s="176">
        <f t="shared" si="133"/>
        <v>9</v>
      </c>
      <c r="U363" s="251">
        <f t="shared" si="134"/>
        <v>3.5992825084708571</v>
      </c>
      <c r="V363" s="383">
        <f t="shared" si="135"/>
        <v>13.720456423300552</v>
      </c>
      <c r="W363" s="402">
        <f t="shared" si="136"/>
        <v>5.077351326721133</v>
      </c>
      <c r="X363" s="157">
        <f t="shared" si="137"/>
        <v>46736</v>
      </c>
      <c r="Y363" s="385">
        <f t="shared" si="138"/>
        <v>4.665223589967872</v>
      </c>
      <c r="Z363" s="385">
        <f t="shared" si="139"/>
        <v>5.1702543182975891</v>
      </c>
      <c r="AA363" s="386">
        <f t="shared" si="140"/>
        <v>5.9957505177241188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0.13768021150751181</v>
      </c>
      <c r="AD363" s="231">
        <f>(INDEX(Models!$BJ363:$BT363,,AH363)*(1-AF363)+INDEX(Models!$BJ363:$BT363,,AH363+1)*AF363-ERP_i)*AE363*Ramure*Pc/MaxiM</f>
        <v>6.0228903882310808E-2</v>
      </c>
      <c r="AE363" s="305">
        <f t="shared" si="142"/>
        <v>0.8</v>
      </c>
      <c r="AF363" s="177">
        <f t="shared" si="143"/>
        <v>0.79999925563576113</v>
      </c>
      <c r="AG363" s="809">
        <f t="shared" si="149"/>
        <v>4</v>
      </c>
      <c r="AH363" s="176">
        <f t="shared" si="144"/>
        <v>10</v>
      </c>
      <c r="AI363" s="225">
        <f t="shared" si="145"/>
        <v>4.7999992556357611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IF(t&gt;Tmaj,'2026'!Wh/'2026'!Env_an*'2027'!Env_an,0.001*'[14]mon-tableau (2)'!$B$155)</f>
        <v>4.2926711910434525</v>
      </c>
      <c r="C364" s="839"/>
      <c r="D364" s="393">
        <f t="shared" si="127"/>
        <v>4.7574848070353122</v>
      </c>
      <c r="E364" s="385">
        <f t="shared" si="150"/>
        <v>5.0747910809869516</v>
      </c>
      <c r="F364" s="385">
        <f t="shared" si="128"/>
        <v>5.0792099564812307</v>
      </c>
      <c r="G364" s="110">
        <f t="shared" si="151"/>
        <v>0.29655335829754897</v>
      </c>
      <c r="H364" s="414" t="b">
        <f>Wh_hp&gt;='2026'!Maxi_hp</f>
        <v>0</v>
      </c>
      <c r="I364" s="390">
        <f>IF(H364,Wh_hp,'2026'!Maxi_hp)</f>
        <v>16.953885897183909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9.7701545006407403E-2</v>
      </c>
      <c r="M364" s="843"/>
      <c r="N364" s="843"/>
      <c r="O364" s="48">
        <f>IF(t&lt;Tnet,'2026'!Resal+('2026'!Salim-'2026'!Resal)*(1-EXP(('2026'!Tnet-t)/('2026'!Tau_j))),Resal+(Salim-Resal)*(1-EXP((Tnet-t)/(Tau_j))))*Salcycl</f>
        <v>6.2525977697968457E-2</v>
      </c>
      <c r="P364" s="169">
        <f>(INDEX(Models!$BJ364:$BT364,,T364)*(1-R364)+INDEX(Models!$BJ364:$BT364,,T364+1)*R364-ERP_i)*Q364*Ramure*Pc/MaxiM</f>
        <v>5.050918894005995E-2</v>
      </c>
      <c r="Q364" s="305">
        <f t="shared" si="130"/>
        <v>0.8</v>
      </c>
      <c r="R364" s="177">
        <f t="shared" si="131"/>
        <v>0.5992931758508715</v>
      </c>
      <c r="S364" s="809">
        <f t="shared" si="132"/>
        <v>3</v>
      </c>
      <c r="T364" s="176">
        <f t="shared" si="133"/>
        <v>9</v>
      </c>
      <c r="U364" s="251">
        <f t="shared" si="134"/>
        <v>3.5992931758508715</v>
      </c>
      <c r="V364" s="383">
        <f t="shared" si="135"/>
        <v>13.756043509834553</v>
      </c>
      <c r="W364" s="402">
        <f t="shared" si="136"/>
        <v>4.2926711910434525</v>
      </c>
      <c r="X364" s="157">
        <f t="shared" si="137"/>
        <v>46737</v>
      </c>
      <c r="Y364" s="385">
        <f t="shared" si="138"/>
        <v>3.9477401813582969</v>
      </c>
      <c r="Z364" s="385">
        <f t="shared" si="139"/>
        <v>4.3752044121435745</v>
      </c>
      <c r="AA364" s="386">
        <f t="shared" si="140"/>
        <v>5.0739950330812738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0.13772000492348649</v>
      </c>
      <c r="AD364" s="231">
        <f>(INDEX(Models!$BJ364:$BT364,,AH364)*(1-AF364)+INDEX(Models!$BJ364:$BT364,,AH364+1)*AF364-ERP_i)*AE364*Ramure*Pc/MaxiM</f>
        <v>5.9608276281467594E-2</v>
      </c>
      <c r="AE364" s="305">
        <f t="shared" si="142"/>
        <v>0.8</v>
      </c>
      <c r="AF364" s="177">
        <f t="shared" si="143"/>
        <v>0.80000992301577512</v>
      </c>
      <c r="AG364" s="809">
        <f t="shared" si="149"/>
        <v>4</v>
      </c>
      <c r="AH364" s="176">
        <f t="shared" si="144"/>
        <v>10</v>
      </c>
      <c r="AI364" s="225">
        <f t="shared" si="145"/>
        <v>4.8000099230157751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IF(t&gt;Tmaj,'2026'!Wh/'2026'!Env_an*'2027'!Env_an,0.001*'[14]mon-tableau (2)'!$B$156)</f>
        <v>3.1913991389514811</v>
      </c>
      <c r="C365" s="839"/>
      <c r="D365" s="393">
        <f t="shared" si="127"/>
        <v>3.5370504396663578</v>
      </c>
      <c r="E365" s="385">
        <f t="shared" si="150"/>
        <v>3.7735851771789983</v>
      </c>
      <c r="F365" s="385">
        <f t="shared" si="128"/>
        <v>3.7735851771789983</v>
      </c>
      <c r="G365" s="110">
        <f t="shared" si="151"/>
        <v>0.21971815578084222</v>
      </c>
      <c r="H365" s="414" t="b">
        <f>Wh_hp&gt;='2026'!Maxi_hp</f>
        <v>0</v>
      </c>
      <c r="I365" s="390">
        <f>IF(H365,Wh_hp,'2026'!Maxi_hp)</f>
        <v>16.997202859341002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9.7723034096025257E-2</v>
      </c>
      <c r="M365" s="843"/>
      <c r="N365" s="843"/>
      <c r="O365" s="48">
        <f>IF(t&lt;Tnet,'2026'!Resal+('2026'!Salim-'2026'!Resal)*(1-EXP(('2026'!Tnet-t)/('2026'!Tau_j))),Resal+(Salim-Resal)*(1-EXP((Tnet-t)/(Tau_j))))*Salcycl</f>
        <v>6.2681700930748804E-2</v>
      </c>
      <c r="P365" s="169">
        <f>(INDEX(Models!$BJ365:$BT365,,T365)*(1-R365)+INDEX(Models!$BJ365:$BT365,,T365+1)*R365-ERP_i)*Q365*Ramure*Pc/MaxiM</f>
        <v>5.0019442186770791E-2</v>
      </c>
      <c r="Q365" s="305">
        <f t="shared" si="130"/>
        <v>0.8</v>
      </c>
      <c r="R365" s="177">
        <f t="shared" si="131"/>
        <v>0.59930341408744647</v>
      </c>
      <c r="S365" s="809">
        <f t="shared" si="132"/>
        <v>3</v>
      </c>
      <c r="T365" s="176">
        <f t="shared" si="133"/>
        <v>9</v>
      </c>
      <c r="U365" s="251">
        <f t="shared" si="134"/>
        <v>3.5993034140874465</v>
      </c>
      <c r="V365" s="383">
        <f t="shared" si="135"/>
        <v>13.798437017875857</v>
      </c>
      <c r="W365" s="402">
        <f t="shared" si="136"/>
        <v>3.1913991389514811</v>
      </c>
      <c r="X365" s="157">
        <f t="shared" si="137"/>
        <v>46738</v>
      </c>
      <c r="Y365" s="385">
        <f t="shared" si="138"/>
        <v>2.9357672324340904</v>
      </c>
      <c r="Z365" s="385">
        <f t="shared" si="139"/>
        <v>3.2537317734724605</v>
      </c>
      <c r="AA365" s="386">
        <f t="shared" si="140"/>
        <v>3.7735851771789983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0.13776114206998305</v>
      </c>
      <c r="AD365" s="231">
        <f>(INDEX(Models!$BJ365:$BT365,,AH365)*(1-AF365)+INDEX(Models!$BJ365:$BT365,,AH365+1)*AF365-ERP_i)*AE365*Ramure*Pc/MaxiM</f>
        <v>5.9028791485669856E-2</v>
      </c>
      <c r="AE365" s="305">
        <f t="shared" si="142"/>
        <v>0.8</v>
      </c>
      <c r="AF365" s="177">
        <f t="shared" si="143"/>
        <v>0.80002016125235009</v>
      </c>
      <c r="AG365" s="809">
        <f t="shared" si="149"/>
        <v>4</v>
      </c>
      <c r="AH365" s="176">
        <f t="shared" si="144"/>
        <v>10</v>
      </c>
      <c r="AI365" s="225">
        <f t="shared" si="145"/>
        <v>4.8000201612523501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IF(t&gt;Tmaj,'2026'!Wh/'2026'!Env_an*'2027'!Env_an,0.001*'[14]mon-tableau (2)'!$B$157)</f>
        <v>12.830334949399351</v>
      </c>
      <c r="C366" s="839"/>
      <c r="D366" s="393">
        <f t="shared" si="127"/>
        <v>14.220290452088806</v>
      </c>
      <c r="E366" s="385">
        <f t="shared" si="150"/>
        <v>15.173776767195234</v>
      </c>
      <c r="F366" s="385">
        <f t="shared" si="128"/>
        <v>15.878668765109907</v>
      </c>
      <c r="G366" s="110">
        <f t="shared" si="151"/>
        <v>0.92157258293613031</v>
      </c>
      <c r="H366" s="414" t="b">
        <f>Wh_hp&gt;='2026'!Maxi_hp</f>
        <v>0</v>
      </c>
      <c r="I366" s="390">
        <f>IF(H366,Wh_hp,'2026'!Maxi_hp)</f>
        <v>17.776988276378741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9.7744522685560581E-2</v>
      </c>
      <c r="M366" s="843"/>
      <c r="N366" s="843"/>
      <c r="O366" s="48">
        <f>IF(t&lt;Tnet,'2026'!Resal+('2026'!Salim-'2026'!Resal)*(1-EXP(('2026'!Tnet-t)/('2026'!Tau_j))),Resal+(Salim-Resal)*(1-EXP((Tnet-t)/(Tau_j))))*Salcycl</f>
        <v>6.283777135616013E-2</v>
      </c>
      <c r="P366" s="169">
        <f>(INDEX(Models!$BJ366:$BT366,,T366)*(1-R366)+INDEX(Models!$BJ366:$BT366,,T366+1)*R366-ERP_i)*Q366*Ramure*Pc/MaxiM</f>
        <v>4.9591417898073822E-2</v>
      </c>
      <c r="Q366" s="305">
        <f t="shared" si="130"/>
        <v>0.8</v>
      </c>
      <c r="R366" s="177">
        <f t="shared" si="131"/>
        <v>0.59931324043104972</v>
      </c>
      <c r="S366" s="809">
        <f t="shared" si="132"/>
        <v>3</v>
      </c>
      <c r="T366" s="176">
        <f t="shared" si="133"/>
        <v>9</v>
      </c>
      <c r="U366" s="251">
        <f t="shared" si="134"/>
        <v>3.5993132404310497</v>
      </c>
      <c r="V366" s="383">
        <f t="shared" si="135"/>
        <v>13.846474058592225</v>
      </c>
      <c r="W366" s="402">
        <f t="shared" si="136"/>
        <v>12.830334949399351</v>
      </c>
      <c r="X366" s="157">
        <f t="shared" si="137"/>
        <v>46739</v>
      </c>
      <c r="Y366" s="385">
        <f t="shared" si="138"/>
        <v>11.705253742007697</v>
      </c>
      <c r="Z366" s="385">
        <f t="shared" si="139"/>
        <v>12.9733252236366</v>
      </c>
      <c r="AA366" s="386">
        <f t="shared" si="140"/>
        <v>15.046831891576558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0.13780353783979851</v>
      </c>
      <c r="AD366" s="231">
        <f>(INDEX(Models!$BJ366:$BT366,,AH366)*(1-AF366)+INDEX(Models!$BJ366:$BT366,,AH366+1)*AF366-ERP_i)*AE366*Ramure*Pc/MaxiM</f>
        <v>5.8522397956648618E-2</v>
      </c>
      <c r="AE366" s="305">
        <f t="shared" si="142"/>
        <v>0.8</v>
      </c>
      <c r="AF366" s="177">
        <f t="shared" si="143"/>
        <v>0.8000299875959529</v>
      </c>
      <c r="AG366" s="809">
        <f t="shared" si="149"/>
        <v>4</v>
      </c>
      <c r="AH366" s="176">
        <f t="shared" si="144"/>
        <v>10</v>
      </c>
      <c r="AI366" s="225">
        <f t="shared" si="145"/>
        <v>4.8000299875959529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IF(t&gt;Tmaj,'2026'!Wh/'2026'!Env_an*'2027'!Env_an,0.001*'[14]mon-tableau (2)'!$B$158)</f>
        <v>10.677691768190019</v>
      </c>
      <c r="C367" s="839"/>
      <c r="D367" s="393">
        <f t="shared" si="127"/>
        <v>11.834725687249076</v>
      </c>
      <c r="E367" s="385">
        <f t="shared" si="150"/>
        <v>12.630364844020084</v>
      </c>
      <c r="F367" s="385">
        <f t="shared" si="128"/>
        <v>13.060156989002108</v>
      </c>
      <c r="G367" s="110">
        <f t="shared" si="151"/>
        <v>0.75525258796874573</v>
      </c>
      <c r="H367" s="414" t="b">
        <f>Wh_hp&gt;='2026'!Maxi_hp</f>
        <v>0</v>
      </c>
      <c r="I367" s="390">
        <f>IF(H367,Wh_hp,'2026'!Maxi_hp)</f>
        <v>17.087258276429306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9.776601077502492E-2</v>
      </c>
      <c r="M367" s="843"/>
      <c r="N367" s="843"/>
      <c r="O367" s="48">
        <f>IF(t&lt;Tnet,'2026'!Resal+('2026'!Salim-'2026'!Resal)*(1-EXP(('2026'!Tnet-t)/('2026'!Tau_j))),Resal+(Salim-Resal)*(1-EXP((Tnet-t)/(Tau_j))))*Salcycl</f>
        <v>6.2994154689657106E-2</v>
      </c>
      <c r="P367" s="169">
        <f>(INDEX(Models!$BJ367:$BT367,,T367)*(1-R367)+INDEX(Models!$BJ367:$BT367,,T367+1)*R367-ERP_i)*Q367*Ramure*Pc/MaxiM</f>
        <v>4.9201855176685114E-2</v>
      </c>
      <c r="Q367" s="305">
        <f t="shared" si="130"/>
        <v>0.8</v>
      </c>
      <c r="R367" s="177">
        <f t="shared" si="131"/>
        <v>0.599322671439809</v>
      </c>
      <c r="S367" s="809">
        <f t="shared" si="132"/>
        <v>3</v>
      </c>
      <c r="T367" s="176">
        <f t="shared" si="133"/>
        <v>9</v>
      </c>
      <c r="U367" s="251">
        <f t="shared" si="134"/>
        <v>3.599322671439809</v>
      </c>
      <c r="V367" s="383">
        <f t="shared" si="135"/>
        <v>13.899717863518573</v>
      </c>
      <c r="W367" s="402">
        <f t="shared" si="136"/>
        <v>10.677691768190019</v>
      </c>
      <c r="X367" s="157">
        <f t="shared" si="137"/>
        <v>46740</v>
      </c>
      <c r="Y367" s="385">
        <f t="shared" si="138"/>
        <v>9.7645001014865453</v>
      </c>
      <c r="Z367" s="385">
        <f t="shared" si="139"/>
        <v>10.822580636619902</v>
      </c>
      <c r="AA367" s="386">
        <f t="shared" si="140"/>
        <v>12.55297144226255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0.13784710764312558</v>
      </c>
      <c r="AD367" s="231">
        <f>(INDEX(Models!$BJ367:$BT367,,AH367)*(1-AF367)+INDEX(Models!$BJ367:$BT367,,AH367+1)*AF367-ERP_i)*AE367*Ramure*Pc/MaxiM</f>
        <v>5.8061716831589262E-2</v>
      </c>
      <c r="AE367" s="305">
        <f t="shared" si="142"/>
        <v>0.8</v>
      </c>
      <c r="AF367" s="177">
        <f t="shared" si="143"/>
        <v>0.80003941860471262</v>
      </c>
      <c r="AG367" s="809">
        <f t="shared" si="149"/>
        <v>4</v>
      </c>
      <c r="AH367" s="176">
        <f t="shared" si="144"/>
        <v>10</v>
      </c>
      <c r="AI367" s="225">
        <f t="shared" si="145"/>
        <v>4.8000394186047126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IF(t&gt;Tmaj,'2026'!Wh/'2026'!Env_an*'2027'!Env_an,0.001*'[14]mon-tableau (2)'!$B$159)</f>
        <v>4.3185033635710059</v>
      </c>
      <c r="C368" s="839"/>
      <c r="D368" s="393">
        <f t="shared" si="127"/>
        <v>4.7865700771627928</v>
      </c>
      <c r="E368" s="385">
        <f t="shared" si="150"/>
        <v>5.1092215937967893</v>
      </c>
      <c r="F368" s="385">
        <f t="shared" si="128"/>
        <v>5.112578036636954</v>
      </c>
      <c r="G368" s="110">
        <f t="shared" si="151"/>
        <v>0.29448477675967732</v>
      </c>
      <c r="H368" s="414" t="b">
        <f>Wh_hp&gt;='2026'!Maxi_hp</f>
        <v>0</v>
      </c>
      <c r="I368" s="390">
        <f>IF(H368,Wh_hp,'2026'!Maxi_hp)</f>
        <v>17.638070585315422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9.7787498364430153E-2</v>
      </c>
      <c r="M368" s="843"/>
      <c r="N368" s="843"/>
      <c r="O368" s="48">
        <f>IF(t&lt;Tnet,'2026'!Resal+('2026'!Salim-'2026'!Resal)*(1-EXP(('2026'!Tnet-t)/('2026'!Tau_j))),Resal+(Salim-Resal)*(1-EXP((Tnet-t)/(Tau_j))))*Salcycl</f>
        <v>6.3150816755674577E-2</v>
      </c>
      <c r="P368" s="169">
        <f>(INDEX(Models!$BJ368:$BT368,,T368)*(1-R368)+INDEX(Models!$BJ368:$BT368,,T368+1)*R368-ERP_i)*Q368*Ramure*Pc/MaxiM</f>
        <v>4.8852980904513642E-2</v>
      </c>
      <c r="Q368" s="305">
        <f t="shared" si="130"/>
        <v>0.8</v>
      </c>
      <c r="R368" s="177">
        <f t="shared" si="131"/>
        <v>0.59933172300721527</v>
      </c>
      <c r="S368" s="809">
        <f t="shared" si="132"/>
        <v>3</v>
      </c>
      <c r="T368" s="176">
        <f t="shared" si="133"/>
        <v>9</v>
      </c>
      <c r="U368" s="251">
        <f t="shared" si="134"/>
        <v>3.5993317230072153</v>
      </c>
      <c r="V368" s="383">
        <f t="shared" si="135"/>
        <v>13.957359836592055</v>
      </c>
      <c r="W368" s="402">
        <f t="shared" si="136"/>
        <v>4.3185033635710059</v>
      </c>
      <c r="X368" s="157">
        <f t="shared" si="137"/>
        <v>46741</v>
      </c>
      <c r="Y368" s="385">
        <f t="shared" si="138"/>
        <v>3.9735071355734424</v>
      </c>
      <c r="Z368" s="385">
        <f t="shared" si="139"/>
        <v>4.4041809755130821</v>
      </c>
      <c r="AA368" s="386">
        <f t="shared" si="140"/>
        <v>5.1086172379836361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0.13789176790011271</v>
      </c>
      <c r="AD368" s="231">
        <f>(INDEX(Models!$BJ368:$BT368,,AH368)*(1-AF368)+INDEX(Models!$BJ368:$BT368,,AH368+1)*AF368-ERP_i)*AE368*Ramure*Pc/MaxiM</f>
        <v>5.7649371728227067E-2</v>
      </c>
      <c r="AE368" s="305">
        <f t="shared" si="142"/>
        <v>0.8</v>
      </c>
      <c r="AF368" s="177">
        <f t="shared" si="143"/>
        <v>0.80004847017211844</v>
      </c>
      <c r="AG368" s="809">
        <f t="shared" si="149"/>
        <v>4</v>
      </c>
      <c r="AH368" s="176">
        <f t="shared" si="144"/>
        <v>10</v>
      </c>
      <c r="AI368" s="225">
        <f t="shared" si="145"/>
        <v>4.8000484701721184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IF(t&gt;Tmaj,'2026'!Wh/'2026'!Env_an*'2027'!Env_an,0.001*'[14]mon-tableau (2)'!$B$160)</f>
        <v>13.58162092405882</v>
      </c>
      <c r="C369" s="839"/>
      <c r="D369" s="393">
        <f t="shared" si="127"/>
        <v>15.054041444748991</v>
      </c>
      <c r="E369" s="385">
        <f t="shared" si="150"/>
        <v>16.071490953632452</v>
      </c>
      <c r="F369" s="385">
        <f t="shared" si="128"/>
        <v>16.853229590224611</v>
      </c>
      <c r="G369" s="110">
        <f t="shared" si="151"/>
        <v>0.9666329601114253</v>
      </c>
      <c r="H369" s="414" t="b">
        <f>Wh_hp&gt;='2026'!Maxi_hp</f>
        <v>0</v>
      </c>
      <c r="I369" s="390">
        <f>IF(H369,Wh_hp,'2026'!Maxi_hp)</f>
        <v>16.885283849711772</v>
      </c>
      <c r="J369" s="85">
        <f>IF(H369,An,'2026'!An_max)</f>
        <v>2022</v>
      </c>
      <c r="K369" s="197">
        <f t="shared" si="129"/>
        <v>46742</v>
      </c>
      <c r="L369" s="147">
        <f>IF(t&lt;Tvie,1-EXP((T0-t)*PertePVj)+'2026'!Pspv,1-EXP((T0-t)*PertePVj)+Pspv)</f>
        <v>9.7808985453787717E-2</v>
      </c>
      <c r="M369" s="843"/>
      <c r="N369" s="843"/>
      <c r="O369" s="48">
        <f>IF(t&lt;Tnet,'2026'!Resal+('2026'!Salim-'2026'!Resal)*(1-EXP(('2026'!Tnet-t)/('2026'!Tau_j))),Resal+(Salim-Resal)*(1-EXP((Tnet-t)/(Tau_j))))*Salcycl</f>
        <v>6.3307723708950603E-2</v>
      </c>
      <c r="P369" s="169">
        <f>(INDEX(Models!$BJ369:$BT369,,T369)*(1-R369)+INDEX(Models!$BJ369:$BT369,,T369+1)*R369-ERP_i)*Q369*Ramure*Pc/MaxiM</f>
        <v>4.8546870311211153E-2</v>
      </c>
      <c r="Q369" s="305">
        <f t="shared" si="130"/>
        <v>0.8</v>
      </c>
      <c r="R369" s="177">
        <f t="shared" si="131"/>
        <v>0.59934041038871921</v>
      </c>
      <c r="S369" s="809">
        <f t="shared" si="132"/>
        <v>3</v>
      </c>
      <c r="T369" s="176">
        <f t="shared" si="133"/>
        <v>9</v>
      </c>
      <c r="U369" s="251">
        <f t="shared" si="134"/>
        <v>3.5993404103887192</v>
      </c>
      <c r="V369" s="383">
        <f t="shared" si="135"/>
        <v>14.018591259513117</v>
      </c>
      <c r="W369" s="402">
        <f t="shared" si="136"/>
        <v>13.58162092405882</v>
      </c>
      <c r="X369" s="157">
        <f t="shared" si="137"/>
        <v>46742</v>
      </c>
      <c r="Y369" s="385">
        <f t="shared" si="138"/>
        <v>12.390053200666836</v>
      </c>
      <c r="Z369" s="385">
        <f t="shared" si="139"/>
        <v>13.733292618635572</v>
      </c>
      <c r="AA369" s="386">
        <f t="shared" si="140"/>
        <v>15.930737744839108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0.13793743650794929</v>
      </c>
      <c r="AD369" s="231">
        <f>(INDEX(Models!$BJ369:$BT369,,AH369)*(1-AF369)+INDEX(Models!$BJ369:$BT369,,AH369+1)*AF369-ERP_i)*AE369*Ramure*Pc/MaxiM</f>
        <v>5.7287806799862853E-2</v>
      </c>
      <c r="AE369" s="305">
        <f t="shared" si="142"/>
        <v>0.8</v>
      </c>
      <c r="AF369" s="177">
        <f t="shared" si="143"/>
        <v>0.80005715755362328</v>
      </c>
      <c r="AG369" s="809">
        <f t="shared" si="149"/>
        <v>4</v>
      </c>
      <c r="AH369" s="176">
        <f t="shared" si="144"/>
        <v>10</v>
      </c>
      <c r="AI369" s="225">
        <f t="shared" si="145"/>
        <v>4.8000571575536233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IF(t&gt;Tmaj,'2026'!Wh/'2026'!Env_an*'2027'!Env_an,0.001*'[14]mon-tableau (2)'!$B$161)</f>
        <v>10.028274703096704</v>
      </c>
      <c r="C370" s="839"/>
      <c r="D370" s="393">
        <f t="shared" si="127"/>
        <v>11.115732013036796</v>
      </c>
      <c r="E370" s="385">
        <f t="shared" si="150"/>
        <v>11.868995969876616</v>
      </c>
      <c r="F370" s="385">
        <f t="shared" si="128"/>
        <v>12.21626281338796</v>
      </c>
      <c r="G370" s="110">
        <f t="shared" si="151"/>
        <v>0.6975484261545396</v>
      </c>
      <c r="H370" s="414" t="b">
        <f>Wh_hp&gt;='2026'!Maxi_hp</f>
        <v>0</v>
      </c>
      <c r="I370" s="390">
        <f>IF(H370,Wh_hp,'2026'!Maxi_hp)</f>
        <v>16.570747847760565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9.7830472043109379E-2</v>
      </c>
      <c r="M370" s="843"/>
      <c r="N370" s="843"/>
      <c r="O370" s="48">
        <f>IF(t&lt;Tnet,'2026'!Resal+('2026'!Salim-'2026'!Resal)*(1-EXP(('2026'!Tnet-t)/('2026'!Tau_j))),Resal+(Salim-Resal)*(1-EXP((Tnet-t)/(Tau_j))))*Salcycl</f>
        <v>6.3464842245426312E-2</v>
      </c>
      <c r="P370" s="169">
        <f>(INDEX(Models!$BJ370:$BT370,,T370)*(1-R370)+INDEX(Models!$BJ370:$BT370,,T370+1)*R370-ERP_i)*Q370*Ramure*Pc/MaxiM</f>
        <v>4.8285465193120804E-2</v>
      </c>
      <c r="Q370" s="305">
        <f t="shared" si="130"/>
        <v>0.8</v>
      </c>
      <c r="R370" s="177">
        <f t="shared" si="131"/>
        <v>0.59934874822727613</v>
      </c>
      <c r="S370" s="809">
        <f t="shared" si="132"/>
        <v>3</v>
      </c>
      <c r="T370" s="176">
        <f t="shared" si="133"/>
        <v>9</v>
      </c>
      <c r="U370" s="251">
        <f t="shared" si="134"/>
        <v>3.5993487482272761</v>
      </c>
      <c r="V370" s="383">
        <f t="shared" si="135"/>
        <v>14.082603305844502</v>
      </c>
      <c r="W370" s="402">
        <f t="shared" si="136"/>
        <v>10.028274703096704</v>
      </c>
      <c r="X370" s="157">
        <f t="shared" si="137"/>
        <v>46743</v>
      </c>
      <c r="Y370" s="385">
        <f t="shared" si="138"/>
        <v>9.1817093589066925</v>
      </c>
      <c r="Z370" s="385">
        <f t="shared" si="139"/>
        <v>10.177365865703937</v>
      </c>
      <c r="AA370" s="386">
        <f t="shared" si="140"/>
        <v>11.806470249526797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0.13798403327939221</v>
      </c>
      <c r="AD370" s="231">
        <f>(INDEX(Models!$BJ370:$BT370,,AH370)*(1-AF370)+INDEX(Models!$BJ370:$BT370,,AH370+1)*AF370-ERP_i)*AE370*Ramure*Pc/MaxiM</f>
        <v>5.6979308414946757E-2</v>
      </c>
      <c r="AE370" s="305">
        <f t="shared" si="142"/>
        <v>0.8</v>
      </c>
      <c r="AF370" s="177">
        <f t="shared" si="143"/>
        <v>0.80006549539217975</v>
      </c>
      <c r="AG370" s="809">
        <f t="shared" si="149"/>
        <v>4</v>
      </c>
      <c r="AH370" s="176">
        <f t="shared" si="144"/>
        <v>10</v>
      </c>
      <c r="AI370" s="225">
        <f t="shared" si="145"/>
        <v>4.8000654953921797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IF(t&gt;Tmaj,'2026'!Wh/'2026'!Env_an*'2027'!Env_an,0.001*'[14]mon-tableau (2)'!$B$162)</f>
        <v>10.78036366597841</v>
      </c>
      <c r="C371" s="839"/>
      <c r="D371" s="393">
        <f t="shared" si="127"/>
        <v>11.949661436565668</v>
      </c>
      <c r="E371" s="385">
        <f t="shared" si="150"/>
        <v>12.761580494896521</v>
      </c>
      <c r="F371" s="385">
        <f t="shared" si="128"/>
        <v>13.17967124269803</v>
      </c>
      <c r="G371" s="110">
        <f t="shared" si="151"/>
        <v>0.74907481558881039</v>
      </c>
      <c r="H371" s="414" t="b">
        <f>Wh_hp&gt;='2026'!Maxi_hp</f>
        <v>0</v>
      </c>
      <c r="I371" s="390">
        <f>IF(H371,Wh_hp,'2026'!Maxi_hp)</f>
        <v>14.372652723691925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9.7851958132406686E-2</v>
      </c>
      <c r="M371" s="843"/>
      <c r="N371" s="843"/>
      <c r="O371" s="48">
        <f>IF(t&lt;Tnet,'2026'!Resal+('2026'!Salim-'2026'!Resal)*(1-EXP(('2026'!Tnet-t)/('2026'!Tau_j))),Resal+(Salim-Resal)*(1-EXP((Tnet-t)/(Tau_j))))*Salcycl</f>
        <v>6.362213980122193E-2</v>
      </c>
      <c r="P371" s="169">
        <f>(INDEX(Models!$BJ371:$BT371,,T371)*(1-R371)+INDEX(Models!$BJ371:$BT371,,T371+1)*R371-ERP_i)*Q371*Ramure*Pc/MaxiM</f>
        <v>4.8070560878286712E-2</v>
      </c>
      <c r="Q371" s="305">
        <f t="shared" si="130"/>
        <v>0.8</v>
      </c>
      <c r="R371" s="177">
        <f t="shared" si="131"/>
        <v>0.59934874822727613</v>
      </c>
      <c r="S371" s="809">
        <f t="shared" si="132"/>
        <v>3</v>
      </c>
      <c r="T371" s="176">
        <f t="shared" si="133"/>
        <v>9</v>
      </c>
      <c r="U371" s="251">
        <f t="shared" si="134"/>
        <v>3.5993487482272761</v>
      </c>
      <c r="V371" s="383">
        <f t="shared" si="135"/>
        <v>14.148587551653868</v>
      </c>
      <c r="W371" s="402">
        <f t="shared" si="136"/>
        <v>10.78036366597841</v>
      </c>
      <c r="X371" s="157">
        <f t="shared" si="137"/>
        <v>46744</v>
      </c>
      <c r="Y371" s="385">
        <f t="shared" si="138"/>
        <v>9.8651615188880122</v>
      </c>
      <c r="Z371" s="385">
        <f t="shared" si="139"/>
        <v>10.9351914110078</v>
      </c>
      <c r="AA371" s="386">
        <f t="shared" si="140"/>
        <v>12.686300209023173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0.13803148034995191</v>
      </c>
      <c r="AD371" s="231">
        <f>(INDEX(Models!$BJ371:$BT371,,AH371)*(1-AF371)+INDEX(Models!$BJ371:$BT371,,AH371+1)*AF371-ERP_i)*AE371*Ramure*Pc/MaxiM</f>
        <v>5.6726015666603409E-2</v>
      </c>
      <c r="AE371" s="305">
        <f t="shared" si="142"/>
        <v>0.8</v>
      </c>
      <c r="AF371" s="177">
        <f t="shared" si="143"/>
        <v>0.80006549539217975</v>
      </c>
      <c r="AG371" s="809">
        <f t="shared" si="149"/>
        <v>4</v>
      </c>
      <c r="AH371" s="176">
        <f t="shared" si="144"/>
        <v>10</v>
      </c>
      <c r="AI371" s="225">
        <f t="shared" si="145"/>
        <v>4.8000654953921797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IF(t&gt;Tmaj,'2026'!Wh/'2026'!Env_an*'2027'!Env_an,0.001*'[14]mon-tableau (2)'!$B$163)</f>
        <v>14.331405908465889</v>
      </c>
      <c r="C372" s="839"/>
      <c r="D372" s="393">
        <f t="shared" si="127"/>
        <v>15.886247676367713</v>
      </c>
      <c r="E372" s="385">
        <f t="shared" si="150"/>
        <v>16.968490985028726</v>
      </c>
      <c r="F372" s="385">
        <f t="shared" si="128"/>
        <v>17.822245305266634</v>
      </c>
      <c r="G372" s="110">
        <f t="shared" si="151"/>
        <v>1.008136783112872</v>
      </c>
      <c r="H372" s="414" t="b">
        <f>Wh_hp&gt;='2026'!Maxi_hp</f>
        <v>1</v>
      </c>
      <c r="I372" s="390">
        <f>IF(H372,Wh_hp,'2026'!Maxi_hp)</f>
        <v>17.822245305266634</v>
      </c>
      <c r="J372" s="85">
        <f>IF(H372,An,'2026'!An_max)</f>
        <v>2027</v>
      </c>
      <c r="K372" s="197">
        <f t="shared" si="129"/>
        <v>46745</v>
      </c>
      <c r="L372" s="147">
        <f>IF(t&lt;Tvie,1-EXP((T0-t)*PertePVj)+'2026'!Pspv,1-EXP((T0-t)*PertePVj)+Pspv)</f>
        <v>9.7873443721691294E-2</v>
      </c>
      <c r="M372" s="843"/>
      <c r="N372" s="843"/>
      <c r="O372" s="48">
        <f>IF(t&lt;Tnet,'2026'!Resal+('2026'!Salim-'2026'!Resal)*(1-EXP(('2026'!Tnet-t)/('2026'!Tau_j))),Resal+(Salim-Resal)*(1-EXP((Tnet-t)/(Tau_j))))*Salcycl</f>
        <v>6.3779584738317283E-2</v>
      </c>
      <c r="P372" s="169">
        <f>(INDEX(Models!$BJ372:$BT372,,T372)*(1-R372)+INDEX(Models!$BJ372:$BT372,,T372+1)*R372-ERP_i)*Q372*Ramure*Pc/MaxiM</f>
        <v>4.7903858667325973E-2</v>
      </c>
      <c r="Q372" s="305">
        <f t="shared" si="130"/>
        <v>0.8</v>
      </c>
      <c r="R372" s="177">
        <f t="shared" si="131"/>
        <v>0.59934874822727613</v>
      </c>
      <c r="S372" s="809">
        <f t="shared" si="132"/>
        <v>3</v>
      </c>
      <c r="T372" s="176">
        <f t="shared" si="133"/>
        <v>9</v>
      </c>
      <c r="U372" s="251">
        <f t="shared" si="134"/>
        <v>3.5993487482272761</v>
      </c>
      <c r="V372" s="383">
        <f t="shared" si="135"/>
        <v>14.215735551493443</v>
      </c>
      <c r="W372" s="402">
        <f t="shared" si="136"/>
        <v>14.331405908465889</v>
      </c>
      <c r="X372" s="157">
        <f t="shared" si="137"/>
        <v>46745</v>
      </c>
      <c r="Y372" s="385">
        <f t="shared" si="138"/>
        <v>13.074501280642068</v>
      </c>
      <c r="Z372" s="385">
        <f t="shared" si="139"/>
        <v>14.492979050057523</v>
      </c>
      <c r="AA372" s="386">
        <f t="shared" si="140"/>
        <v>16.814755486042728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0.1380797025512753</v>
      </c>
      <c r="AD372" s="231">
        <f>(INDEX(Models!$BJ372:$BT372,,AH372)*(1-AF372)+INDEX(Models!$BJ372:$BT372,,AH372+1)*AF372-ERP_i)*AE372*Ramure*Pc/MaxiM</f>
        <v>5.6529904171287691E-2</v>
      </c>
      <c r="AE372" s="305">
        <f t="shared" si="142"/>
        <v>0.8</v>
      </c>
      <c r="AF372" s="177">
        <f t="shared" si="143"/>
        <v>0.80006549539217975</v>
      </c>
      <c r="AG372" s="809">
        <f t="shared" si="149"/>
        <v>4</v>
      </c>
      <c r="AH372" s="176">
        <f t="shared" si="144"/>
        <v>10</v>
      </c>
      <c r="AI372" s="225">
        <f t="shared" si="145"/>
        <v>4.8000654953921797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IF(t&gt;Tmaj,'2026'!Wh/'2026'!Env_an*'2027'!Env_an,0.001*'[14]mon-tableau (2)'!$B$164)</f>
        <v>8.6037661517073225</v>
      </c>
      <c r="C373" s="839"/>
      <c r="D373" s="393">
        <f t="shared" si="127"/>
        <v>9.5374324194487414</v>
      </c>
      <c r="E373" s="385">
        <f t="shared" si="150"/>
        <v>10.188880355574062</v>
      </c>
      <c r="F373" s="385">
        <f t="shared" si="128"/>
        <v>10.403568646834758</v>
      </c>
      <c r="G373" s="110">
        <f t="shared" si="151"/>
        <v>0.58561634630463999</v>
      </c>
      <c r="H373" s="414" t="b">
        <f>Wh_hp&gt;='2026'!Maxi_hp</f>
        <v>0</v>
      </c>
      <c r="I373" s="390">
        <f>IF(H373,Wh_hp,'2026'!Maxi_hp)</f>
        <v>13.575447760552157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9.7894928810974974E-2</v>
      </c>
      <c r="M373" s="843"/>
      <c r="N373" s="843"/>
      <c r="O373" s="48">
        <f>IF(t&lt;Tnet,'2026'!Resal+('2026'!Salim-'2026'!Resal)*(1-EXP(('2026'!Tnet-t)/('2026'!Tau_j))),Resal+(Salim-Resal)*(1-EXP((Tnet-t)/(Tau_j))))*Salcycl</f>
        <v>6.3937146515704327E-2</v>
      </c>
      <c r="P373" s="169">
        <f>(INDEX(Models!$BJ373:$BT373,,T373)*(1-R373)+INDEX(Models!$BJ373:$BT373,,T373+1)*R373-ERP_i)*Q373*Ramure*Pc/MaxiM</f>
        <v>4.7782552176023549E-2</v>
      </c>
      <c r="Q373" s="305">
        <f t="shared" si="130"/>
        <v>0.8</v>
      </c>
      <c r="R373" s="177">
        <f t="shared" si="131"/>
        <v>0.59934874822727613</v>
      </c>
      <c r="S373" s="809">
        <f t="shared" si="132"/>
        <v>3</v>
      </c>
      <c r="T373" s="176">
        <f t="shared" si="133"/>
        <v>9</v>
      </c>
      <c r="U373" s="251">
        <f t="shared" si="134"/>
        <v>3.5993487482272761</v>
      </c>
      <c r="V373" s="383">
        <f t="shared" si="135"/>
        <v>14.284578064275738</v>
      </c>
      <c r="W373" s="402">
        <f t="shared" si="136"/>
        <v>8.6037661517073225</v>
      </c>
      <c r="X373" s="157">
        <f t="shared" si="137"/>
        <v>46746</v>
      </c>
      <c r="Y373" s="385">
        <f t="shared" si="138"/>
        <v>7.8917791547339622</v>
      </c>
      <c r="Z373" s="385">
        <f t="shared" si="139"/>
        <v>8.7481817881060735</v>
      </c>
      <c r="AA373" s="386">
        <f t="shared" si="140"/>
        <v>10.150217387141996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0.13812862774860174</v>
      </c>
      <c r="AD373" s="231">
        <f>(INDEX(Models!$BJ373:$BT373,,AH373)*(1-AF373)+INDEX(Models!$BJ373:$BT373,,AH373+1)*AF373-ERP_i)*AE373*Ramure*Pc/MaxiM</f>
        <v>5.6387657259010231E-2</v>
      </c>
      <c r="AE373" s="305">
        <f t="shared" si="142"/>
        <v>0.8</v>
      </c>
      <c r="AF373" s="177">
        <f t="shared" si="143"/>
        <v>0.80006549539217975</v>
      </c>
      <c r="AG373" s="809">
        <f t="shared" si="149"/>
        <v>4</v>
      </c>
      <c r="AH373" s="176">
        <f t="shared" si="144"/>
        <v>10</v>
      </c>
      <c r="AI373" s="225">
        <f t="shared" si="145"/>
        <v>4.8000654953921797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IF(t&gt;Tmaj,'2026'!Wh/'2026'!Env_an*'2027'!Env_an,0.001*'[14]mon-tableau (2)'!$B$165)</f>
        <v>14.140660473551746</v>
      </c>
      <c r="C374" s="839"/>
      <c r="D374" s="393">
        <f t="shared" si="127"/>
        <v>15.675554553489714</v>
      </c>
      <c r="E374" s="385">
        <f t="shared" si="150"/>
        <v>16.749083650668968</v>
      </c>
      <c r="F374" s="385">
        <f t="shared" si="128"/>
        <v>17.569170001466144</v>
      </c>
      <c r="G374" s="110">
        <f t="shared" si="151"/>
        <v>0.9839155738337132</v>
      </c>
      <c r="H374" s="414" t="b">
        <f>Wh_hp&gt;='2026'!Maxi_hp</f>
        <v>0</v>
      </c>
      <c r="I374" s="390">
        <f>IF(H374,Wh_hp,'2026'!Maxi_hp)</f>
        <v>17.584999794203402</v>
      </c>
      <c r="J374" s="85">
        <f>IF(H374,An,'2026'!An_max)</f>
        <v>2022</v>
      </c>
      <c r="K374" s="197">
        <f t="shared" si="129"/>
        <v>46747</v>
      </c>
      <c r="L374" s="147">
        <f>IF(t&lt;Tvie,1-EXP((T0-t)*PertePVj)+'2026'!Pspv,1-EXP((T0-t)*PertePVj)+Pspv)</f>
        <v>9.7916413400269048E-2</v>
      </c>
      <c r="M374" s="843"/>
      <c r="N374" s="843"/>
      <c r="O374" s="48">
        <f>IF(t&lt;Tnet,'2026'!Resal+('2026'!Salim-'2026'!Resal)*(1-EXP(('2026'!Tnet-t)/('2026'!Tau_j))),Resal+(Salim-Resal)*(1-EXP((Tnet-t)/(Tau_j))))*Salcycl</f>
        <v>6.4094795844928346E-2</v>
      </c>
      <c r="P374" s="169">
        <f>(INDEX(Models!$BJ374:$BT374,,T374)*(1-R374)+INDEX(Models!$BJ374:$BT374,,T374+1)*R374-ERP_i)*Q374*Ramure*Pc/MaxiM</f>
        <v>4.770155945433837E-2</v>
      </c>
      <c r="Q374" s="305">
        <f t="shared" si="130"/>
        <v>0.8</v>
      </c>
      <c r="R374" s="177">
        <f t="shared" si="131"/>
        <v>0.59934874822727613</v>
      </c>
      <c r="S374" s="809">
        <f t="shared" si="132"/>
        <v>3</v>
      </c>
      <c r="T374" s="176">
        <f t="shared" si="133"/>
        <v>9</v>
      </c>
      <c r="U374" s="251">
        <f t="shared" si="134"/>
        <v>3.5993487482272761</v>
      </c>
      <c r="V374" s="383">
        <f t="shared" si="135"/>
        <v>14.356385996267798</v>
      </c>
      <c r="W374" s="402">
        <f t="shared" si="136"/>
        <v>14.140660473551746</v>
      </c>
      <c r="X374" s="157">
        <f t="shared" si="137"/>
        <v>46747</v>
      </c>
      <c r="Y374" s="385">
        <f t="shared" si="138"/>
        <v>12.906494927579113</v>
      </c>
      <c r="Z374" s="385">
        <f t="shared" si="139"/>
        <v>14.307426849687193</v>
      </c>
      <c r="AA374" s="386">
        <f t="shared" si="140"/>
        <v>16.60137471134076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0.13817818714052169</v>
      </c>
      <c r="AD374" s="231">
        <f>(INDEX(Models!$BJ374:$BT374,,AH374)*(1-AF374)+INDEX(Models!$BJ374:$BT374,,AH374+1)*AF374-ERP_i)*AE374*Ramure*Pc/MaxiM</f>
        <v>5.6293272686064218E-2</v>
      </c>
      <c r="AE374" s="305">
        <f t="shared" si="142"/>
        <v>0.8</v>
      </c>
      <c r="AF374" s="177">
        <f t="shared" si="143"/>
        <v>0.80006549539217975</v>
      </c>
      <c r="AG374" s="809">
        <f t="shared" si="149"/>
        <v>4</v>
      </c>
      <c r="AH374" s="176">
        <f t="shared" si="144"/>
        <v>10</v>
      </c>
      <c r="AI374" s="225">
        <f t="shared" si="145"/>
        <v>4.8000654953921797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IF(t&gt;Tmaj,'2026'!Wh/'2026'!Env_an*'2027'!Env_an,0.001*'[14]mon-tableau (2)'!$B$166)</f>
        <v>6.2953719161078201</v>
      </c>
      <c r="C375" s="839"/>
      <c r="D375" s="393">
        <f t="shared" si="127"/>
        <v>6.9788675287299728</v>
      </c>
      <c r="E375" s="385">
        <f t="shared" si="150"/>
        <v>7.4580670156700073</v>
      </c>
      <c r="F375" s="385">
        <f t="shared" si="128"/>
        <v>7.5279282457461862</v>
      </c>
      <c r="G375" s="110">
        <f t="shared" si="151"/>
        <v>0.41932689670097917</v>
      </c>
      <c r="H375" s="414" t="b">
        <f>Wh_hp&gt;='2026'!Maxi_hp</f>
        <v>0</v>
      </c>
      <c r="I375" s="390">
        <f>IF(H375,Wh_hp,'2026'!Maxi_hp)</f>
        <v>16.697654329104385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9.7937897489585507E-2</v>
      </c>
      <c r="M375" s="843"/>
      <c r="N375" s="843"/>
      <c r="O375" s="48">
        <f>IF(t&lt;Tnet,'2026'!Resal+('2026'!Salim-'2026'!Resal)*(1-EXP(('2026'!Tnet-t)/('2026'!Tau_j))),Resal+(Salim-Resal)*(1-EXP((Tnet-t)/(Tau_j))))*Salcycl</f>
        <v>6.4252504829092769E-2</v>
      </c>
      <c r="P375" s="169">
        <f>(INDEX(Models!$BJ375:$BT375,,T375)*(1-R375)+INDEX(Models!$BJ375:$BT375,,T375+1)*R375-ERP_i)*Q375*Ramure*Pc/MaxiM</f>
        <v>4.768316743458479E-2</v>
      </c>
      <c r="Q375" s="305">
        <f t="shared" si="130"/>
        <v>0.8</v>
      </c>
      <c r="R375" s="177">
        <f t="shared" si="131"/>
        <v>0.59934874822727613</v>
      </c>
      <c r="S375" s="809">
        <f t="shared" si="132"/>
        <v>3</v>
      </c>
      <c r="T375" s="176">
        <f t="shared" si="133"/>
        <v>9</v>
      </c>
      <c r="U375" s="251">
        <f t="shared" si="134"/>
        <v>3.5993487482272761</v>
      </c>
      <c r="V375" s="383">
        <f t="shared" si="135"/>
        <v>14.431096219944013</v>
      </c>
      <c r="W375" s="402">
        <f t="shared" si="136"/>
        <v>6.2953719161078201</v>
      </c>
      <c r="X375" s="157">
        <f t="shared" si="137"/>
        <v>46748</v>
      </c>
      <c r="Y375" s="385">
        <f t="shared" si="138"/>
        <v>5.7879060702284342</v>
      </c>
      <c r="Z375" s="385">
        <f t="shared" si="139"/>
        <v>6.4163055449517801</v>
      </c>
      <c r="AA375" s="386">
        <f t="shared" si="140"/>
        <v>7.4454819768424922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0.13822831551963127</v>
      </c>
      <c r="AD375" s="231">
        <f>(INDEX(Models!$BJ375:$BT375,,AH375)*(1-AF375)+INDEX(Models!$BJ375:$BT375,,AH375+1)*AF375-ERP_i)*AE375*Ramure*Pc/MaxiM</f>
        <v>5.6272974870393747E-2</v>
      </c>
      <c r="AE375" s="305">
        <f t="shared" si="142"/>
        <v>0.8</v>
      </c>
      <c r="AF375" s="177">
        <f t="shared" si="143"/>
        <v>0.80006549539217975</v>
      </c>
      <c r="AG375" s="809">
        <f t="shared" si="149"/>
        <v>4</v>
      </c>
      <c r="AH375" s="176">
        <f t="shared" si="144"/>
        <v>10</v>
      </c>
      <c r="AI375" s="225">
        <f t="shared" si="145"/>
        <v>4.8000654953921797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IF(t&gt;Tmaj,'2026'!Wh/'2026'!Env_an*'2027'!Env_an,0.001*'[14]mon-tableau (2)'!$B$167)</f>
        <v>13.280503953693941</v>
      </c>
      <c r="C376" s="839"/>
      <c r="D376" s="393">
        <f t="shared" si="127"/>
        <v>14.722733849367918</v>
      </c>
      <c r="E376" s="385">
        <f t="shared" si="150"/>
        <v>15.736313703190682</v>
      </c>
      <c r="F376" s="385">
        <f t="shared" si="128"/>
        <v>16.425021763338524</v>
      </c>
      <c r="G376" s="110">
        <f t="shared" si="151"/>
        <v>0.90979180605458609</v>
      </c>
      <c r="H376" s="414" t="b">
        <f>Wh_hp&gt;='2026'!Maxi_hp</f>
        <v>0</v>
      </c>
      <c r="I376" s="390">
        <f>IF(H376,Wh_hp,'2026'!Maxi_hp)</f>
        <v>16.508460643102687</v>
      </c>
      <c r="J376" s="85">
        <f>IF(H376,An,'2026'!An_max)</f>
        <v>2022</v>
      </c>
      <c r="K376" s="197">
        <f t="shared" si="129"/>
        <v>46749</v>
      </c>
      <c r="L376" s="147">
        <f>IF(t&lt;Tvie,1-EXP((T0-t)*PertePVj)+'2026'!Pspv,1-EXP((T0-t)*PertePVj)+Pspv)</f>
        <v>9.7959381078935676E-2</v>
      </c>
      <c r="M376" s="843"/>
      <c r="N376" s="843"/>
      <c r="O376" s="48">
        <f>IF(t&lt;Tnet,'2026'!Resal+('2026'!Salim-'2026'!Resal)*(1-EXP(('2026'!Tnet-t)/('2026'!Tau_j))),Resal+(Salim-Resal)*(1-EXP((Tnet-t)/(Tau_j))))*Salcycl</f>
        <v>6.4410247084566663E-2</v>
      </c>
      <c r="P376" s="169">
        <f>(INDEX(Models!$BJ376:$BT376,,T376)*(1-R376)+INDEX(Models!$BJ376:$BT376,,T376+1)*R376-ERP_i)*Q376*Ramure*Pc/MaxiM</f>
        <v>4.7701966953300277E-2</v>
      </c>
      <c r="Q376" s="305">
        <f t="shared" si="130"/>
        <v>0.8</v>
      </c>
      <c r="R376" s="177">
        <f t="shared" si="131"/>
        <v>0.59934874822727613</v>
      </c>
      <c r="S376" s="809">
        <f t="shared" si="132"/>
        <v>3</v>
      </c>
      <c r="T376" s="176">
        <f t="shared" si="133"/>
        <v>9</v>
      </c>
      <c r="U376" s="251">
        <f t="shared" si="134"/>
        <v>3.5993487482272761</v>
      </c>
      <c r="V376" s="383">
        <f t="shared" si="135"/>
        <v>14.509363820167696</v>
      </c>
      <c r="W376" s="402">
        <f t="shared" si="136"/>
        <v>13.280503953693941</v>
      </c>
      <c r="X376" s="157">
        <f t="shared" si="137"/>
        <v>46749</v>
      </c>
      <c r="Y376" s="385">
        <f t="shared" si="138"/>
        <v>12.135498874021453</v>
      </c>
      <c r="Z376" s="385">
        <f t="shared" si="139"/>
        <v>13.453384048865546</v>
      </c>
      <c r="AA376" s="386">
        <f t="shared" si="140"/>
        <v>15.612226337253029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0.138278951493047</v>
      </c>
      <c r="AD376" s="231">
        <f>(INDEX(Models!$BJ376:$BT376,,AH376)*(1-AF376)+INDEX(Models!$BJ376:$BT376,,AH376+1)*AF376-ERP_i)*AE376*Ramure*Pc/MaxiM</f>
        <v>5.6296626681849753E-2</v>
      </c>
      <c r="AE376" s="305">
        <f t="shared" si="142"/>
        <v>0.8</v>
      </c>
      <c r="AF376" s="177">
        <f t="shared" si="143"/>
        <v>0.80006549539217975</v>
      </c>
      <c r="AG376" s="809">
        <f t="shared" si="149"/>
        <v>4</v>
      </c>
      <c r="AH376" s="176">
        <f t="shared" si="144"/>
        <v>10</v>
      </c>
      <c r="AI376" s="225">
        <f t="shared" si="145"/>
        <v>4.8000654953921797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IF(t&gt;Tmaj,'2026'!Wh/'2026'!Env_an*'2027'!Env_an,0.001*'[14]mon-tableau (2)'!$B$168)</f>
        <v>7.7825485586442849</v>
      </c>
      <c r="C377" s="839"/>
      <c r="D377" s="393">
        <f t="shared" si="127"/>
        <v>8.6279195745317701</v>
      </c>
      <c r="E377" s="385">
        <f t="shared" si="150"/>
        <v>9.223459914406817</v>
      </c>
      <c r="F377" s="385">
        <f t="shared" si="128"/>
        <v>9.3726789522562104</v>
      </c>
      <c r="G377" s="110">
        <f t="shared" si="151"/>
        <v>0.51610762284300582</v>
      </c>
      <c r="H377" s="414" t="b">
        <f>Wh_hp&gt;='2026'!Maxi_hp</f>
        <v>0</v>
      </c>
      <c r="I377" s="390">
        <f>IF(H377,Wh_hp,'2026'!Maxi_hp)</f>
        <v>18.884024419131489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9.7980864168331433E-2</v>
      </c>
      <c r="M377" s="843"/>
      <c r="N377" s="843"/>
      <c r="O377" s="48">
        <f>IF(t&lt;Tnet,'2026'!Resal+('2026'!Salim-'2026'!Resal)*(1-EXP(('2026'!Tnet-t)/('2026'!Tau_j))),Resal+(Salim-Resal)*(1-EXP((Tnet-t)/(Tau_j))))*Salcycl</f>
        <v>6.456799784480316E-2</v>
      </c>
      <c r="P377" s="169">
        <f>(INDEX(Models!$BJ377:$BT377,,T377)*(1-R377)+INDEX(Models!$BJ377:$BT377,,T377+1)*R377-ERP_i)*Q377*Ramure*Pc/MaxiM</f>
        <v>4.7756026253515327E-2</v>
      </c>
      <c r="Q377" s="305">
        <f t="shared" si="130"/>
        <v>0.8</v>
      </c>
      <c r="R377" s="177">
        <f t="shared" si="131"/>
        <v>0.59934874822727613</v>
      </c>
      <c r="S377" s="809">
        <f t="shared" si="132"/>
        <v>3</v>
      </c>
      <c r="T377" s="176">
        <f t="shared" si="133"/>
        <v>9</v>
      </c>
      <c r="U377" s="251">
        <f t="shared" si="134"/>
        <v>3.5993487482272761</v>
      </c>
      <c r="V377" s="383">
        <f t="shared" si="135"/>
        <v>14.591491112173959</v>
      </c>
      <c r="W377" s="402">
        <f t="shared" si="136"/>
        <v>7.7825485586442849</v>
      </c>
      <c r="X377" s="157">
        <f t="shared" si="137"/>
        <v>46750</v>
      </c>
      <c r="Y377" s="385">
        <f t="shared" si="138"/>
        <v>7.1479675796862461</v>
      </c>
      <c r="Z377" s="385">
        <f t="shared" si="139"/>
        <v>7.9244079152442426</v>
      </c>
      <c r="AA377" s="386">
        <f t="shared" si="140"/>
        <v>9.1965697559466655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0.13833003766212068</v>
      </c>
      <c r="AD377" s="231">
        <f>(INDEX(Models!$BJ377:$BT377,,AH377)*(1-AF377)+INDEX(Models!$BJ377:$BT377,,AH377+1)*AF377-ERP_i)*AE377*Ramure*Pc/MaxiM</f>
        <v>5.6361946328407998E-2</v>
      </c>
      <c r="AE377" s="305">
        <f t="shared" si="142"/>
        <v>0.8</v>
      </c>
      <c r="AF377" s="177">
        <f t="shared" si="143"/>
        <v>0.80006549539217975</v>
      </c>
      <c r="AG377" s="809">
        <f t="shared" si="149"/>
        <v>4</v>
      </c>
      <c r="AH377" s="176">
        <f t="shared" si="144"/>
        <v>10</v>
      </c>
      <c r="AI377" s="225">
        <f t="shared" si="145"/>
        <v>4.8000654953921797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IF(t&gt;Tmaj,'2026'!Wh/'2026'!Env_an*'2027'!Env_an,0.001*'[14]mon-tableau (2)'!$B$169)</f>
        <v>10.105442381118843</v>
      </c>
      <c r="C378" s="839"/>
      <c r="D378" s="393">
        <f t="shared" si="127"/>
        <v>11.203402076263721</v>
      </c>
      <c r="E378" s="385">
        <f t="shared" si="150"/>
        <v>11.978734456928773</v>
      </c>
      <c r="F378" s="385">
        <f t="shared" si="128"/>
        <v>12.305470854887167</v>
      </c>
      <c r="G378" s="110">
        <f t="shared" si="151"/>
        <v>0.67342717310970435</v>
      </c>
      <c r="H378" s="414" t="b">
        <f>Wh_hp&gt;='2026'!Maxi_hp</f>
        <v>0</v>
      </c>
      <c r="I378" s="390">
        <f>IF(H378,Wh_hp,'2026'!Maxi_hp)</f>
        <v>17.411891706814348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9.8002346757784325E-2</v>
      </c>
      <c r="M378" s="843"/>
      <c r="N378" s="843"/>
      <c r="O378" s="48">
        <f>IF(t&lt;Tnet,'2026'!Resal+('2026'!Salim-'2026'!Resal)*(1-EXP(('2026'!Tnet-t)/('2026'!Tau_j))),Resal+(Salim-Resal)*(1-EXP((Tnet-t)/(Tau_j))))*Salcycl</f>
        <v>6.4725734045851691E-2</v>
      </c>
      <c r="P378" s="169">
        <f>(INDEX(Models!$BJ378:$BT378,,T378)*(1-R378)+INDEX(Models!$BJ378:$BT378,,T378+1)*R378-ERP_i)*Q378*Ramure*Pc/MaxiM</f>
        <v>4.7843419474746886E-2</v>
      </c>
      <c r="Q378" s="305">
        <f t="shared" si="130"/>
        <v>0.8</v>
      </c>
      <c r="R378" s="177">
        <f t="shared" si="131"/>
        <v>0.59934874822727613</v>
      </c>
      <c r="S378" s="809">
        <f t="shared" si="132"/>
        <v>3</v>
      </c>
      <c r="T378" s="176">
        <f t="shared" si="133"/>
        <v>9</v>
      </c>
      <c r="U378" s="251">
        <f t="shared" si="134"/>
        <v>3.5993487482272761</v>
      </c>
      <c r="V378" s="383">
        <f t="shared" si="135"/>
        <v>14.677779715987487</v>
      </c>
      <c r="W378" s="402">
        <f t="shared" si="136"/>
        <v>10.105442381118843</v>
      </c>
      <c r="X378" s="157">
        <f t="shared" si="137"/>
        <v>46751</v>
      </c>
      <c r="Y378" s="385">
        <f t="shared" si="138"/>
        <v>9.2638386013191862</v>
      </c>
      <c r="Z378" s="385">
        <f t="shared" si="139"/>
        <v>10.270357764258556</v>
      </c>
      <c r="AA378" s="386">
        <f t="shared" si="140"/>
        <v>11.919843888829314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0.13838152076107091</v>
      </c>
      <c r="AD378" s="231">
        <f>(INDEX(Models!$BJ378:$BT378,,AH378)*(1-AF378)+INDEX(Models!$BJ378:$BT378,,AH378+1)*AF378-ERP_i)*AE378*Ramure*Pc/MaxiM</f>
        <v>5.6466658790274092E-2</v>
      </c>
      <c r="AE378" s="305">
        <f t="shared" si="142"/>
        <v>0.8</v>
      </c>
      <c r="AF378" s="177">
        <f t="shared" si="143"/>
        <v>0.80006549539217975</v>
      </c>
      <c r="AG378" s="809">
        <f t="shared" si="149"/>
        <v>4</v>
      </c>
      <c r="AH378" s="176">
        <f t="shared" si="144"/>
        <v>10</v>
      </c>
      <c r="AI378" s="225">
        <f t="shared" si="145"/>
        <v>4.8000654953921797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IF(t&gt;Tmaj,'2026'!Wh/'2026'!Env_an*'2027'!Env_an,0.001*'[14]mon-tableau (2)'!$B$170)</f>
        <v>8.2932321957447428</v>
      </c>
      <c r="C379" s="839"/>
      <c r="D379" s="393">
        <f t="shared" si="127"/>
        <v>9.1945136257272519</v>
      </c>
      <c r="E379" s="385">
        <f t="shared" si="150"/>
        <v>9.8324786063030345</v>
      </c>
      <c r="F379" s="385">
        <f t="shared" si="128"/>
        <v>10.01189756134754</v>
      </c>
      <c r="G379" s="110">
        <f t="shared" si="151"/>
        <v>0.54436990375250283</v>
      </c>
      <c r="H379" s="414" t="b">
        <f>Wh_hp&gt;='2026'!Maxi_hp</f>
        <v>0</v>
      </c>
      <c r="I379" s="390">
        <f>IF(H379,Wh_hp,'2026'!Maxi_hp)</f>
        <v>17.60535838608622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9.8023828847305899E-2</v>
      </c>
      <c r="M379" s="843"/>
      <c r="N379" s="843"/>
      <c r="O379" s="48">
        <f>IF(t&lt;Tnet,'2026'!Resal+('2026'!Salim-'2026'!Resal)*(1-EXP(('2026'!Tnet-t)/('2026'!Tau_j))),Resal+(Salim-Resal)*(1-EXP((Tnet-t)/(Tau_j))))*Salcycl</f>
        <v>6.4883434393319839E-2</v>
      </c>
      <c r="P379" s="169">
        <f>(INDEX(Models!$BJ379:$BT379,,T379)*(1-R379)+INDEX(Models!$BJ379:$BT379,,T379+1)*R379-ERP_i)*Q379*Ramure*Pc/MaxiM</f>
        <v>4.7962223325759425E-2</v>
      </c>
      <c r="Q379" s="306">
        <f t="shared" si="130"/>
        <v>0.8</v>
      </c>
      <c r="R379" s="177">
        <f t="shared" si="131"/>
        <v>0.59934874822727613</v>
      </c>
      <c r="S379" s="809">
        <f t="shared" si="132"/>
        <v>3</v>
      </c>
      <c r="T379" s="176">
        <f t="shared" si="133"/>
        <v>9</v>
      </c>
      <c r="U379" s="307">
        <f t="shared" si="134"/>
        <v>3.5993487482272761</v>
      </c>
      <c r="V379" s="383">
        <f t="shared" si="135"/>
        <v>14.768530597402549</v>
      </c>
      <c r="W379" s="402">
        <f t="shared" si="136"/>
        <v>8.2932321957447428</v>
      </c>
      <c r="X379" s="157">
        <f t="shared" si="137"/>
        <v>46752</v>
      </c>
      <c r="Y379" s="385">
        <f t="shared" si="138"/>
        <v>7.615807720687533</v>
      </c>
      <c r="Z379" s="385">
        <f t="shared" si="139"/>
        <v>8.4434688678690879</v>
      </c>
      <c r="AA379" s="386">
        <f t="shared" si="140"/>
        <v>9.8001343077341492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0.13843335175461804</v>
      </c>
      <c r="AD379" s="231">
        <f>(INDEX(Models!$BJ379:$BT379,,AH379)*(1-AF379)+INDEX(Models!$BJ379:$BT379,,AH379+1)*AF379-ERP_i)*AE379*Ramure*Pc/MaxiM</f>
        <v>5.6608491892483459E-2</v>
      </c>
      <c r="AE379" s="306">
        <f t="shared" si="142"/>
        <v>0.8</v>
      </c>
      <c r="AF379" s="177">
        <f t="shared" si="143"/>
        <v>0.80006549539217975</v>
      </c>
      <c r="AG379" s="809">
        <f t="shared" si="149"/>
        <v>4</v>
      </c>
      <c r="AH379" s="176">
        <f t="shared" si="144"/>
        <v>10</v>
      </c>
      <c r="AI379" s="222">
        <f t="shared" si="145"/>
        <v>4.8000654953921797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6"/>
      <c r="B380" s="803"/>
      <c r="C380" s="840"/>
      <c r="D380" s="607"/>
      <c r="E380" s="387"/>
      <c r="F380" s="387"/>
      <c r="G380" s="608"/>
      <c r="H380" s="601" t="b">
        <f>Wh_hp&gt;='2026'!Maxi_hp</f>
        <v>0</v>
      </c>
      <c r="I380" s="602">
        <f>IF(H380,Wh_hp,'2026'!Maxi_hp)</f>
        <v>12.748654420137802</v>
      </c>
      <c r="J380" s="151">
        <f>IF(H380,An,'2026'!An_max)</f>
        <v>2024</v>
      </c>
      <c r="K380" s="234"/>
      <c r="L380" s="609"/>
      <c r="M380" s="844"/>
      <c r="N380" s="844"/>
      <c r="O380" s="610"/>
      <c r="P380" s="322"/>
      <c r="Q380" s="229"/>
      <c r="R380" s="229"/>
      <c r="S380" s="229"/>
      <c r="T380" s="229"/>
      <c r="U380" s="323"/>
      <c r="V380" s="397">
        <f>(V379+V15)/2</f>
        <v>14.551563506183571</v>
      </c>
      <c r="W380" s="802"/>
      <c r="X380" s="611"/>
      <c r="Y380" s="387"/>
      <c r="Z380" s="387"/>
      <c r="AA380" s="388"/>
      <c r="AB380" s="234"/>
      <c r="AC380" s="612"/>
      <c r="AD380" s="322"/>
      <c r="AE380" s="229"/>
      <c r="AF380" s="229"/>
      <c r="AG380" s="229"/>
      <c r="AH380" s="229"/>
      <c r="AI380" s="613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9.0516021673760747</v>
      </c>
      <c r="J381" s="57">
        <f>MIN(J15:J380)</f>
        <v>2018</v>
      </c>
      <c r="K381" s="200" t="s">
        <v>7</v>
      </c>
      <c r="L381" s="146">
        <f t="shared" ref="L381:T381" si="152">MIN(L15:L380)</f>
        <v>9.0171226859942971E-2</v>
      </c>
      <c r="M381" s="845"/>
      <c r="N381" s="845"/>
      <c r="O381" s="47">
        <f t="shared" si="152"/>
        <v>1.8199148020337074E-2</v>
      </c>
      <c r="P381" s="168">
        <f t="shared" si="152"/>
        <v>1.3765099957347397E-2</v>
      </c>
      <c r="Q381" s="310">
        <f t="shared" si="152"/>
        <v>0.8</v>
      </c>
      <c r="R381" s="311">
        <f t="shared" si="152"/>
        <v>6.172035082263605E-5</v>
      </c>
      <c r="S381" s="809">
        <f t="shared" si="152"/>
        <v>2</v>
      </c>
      <c r="T381" s="176">
        <f t="shared" si="152"/>
        <v>8</v>
      </c>
      <c r="U381" s="252">
        <f>MIN(U15:U380)</f>
        <v>2.9993502758706811</v>
      </c>
      <c r="V381" s="57">
        <f>MIN(V15:V380)</f>
        <v>13.662326584550334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0.12274832758516996</v>
      </c>
      <c r="AD381" s="168">
        <f t="shared" si="153"/>
        <v>2.5255288804850499E-2</v>
      </c>
      <c r="AE381" s="310">
        <f t="shared" si="153"/>
        <v>0.8</v>
      </c>
      <c r="AF381" s="311">
        <f t="shared" si="153"/>
        <v>0.20006702303558477</v>
      </c>
      <c r="AG381" s="809">
        <f t="shared" si="153"/>
        <v>4</v>
      </c>
      <c r="AH381" s="176">
        <f t="shared" si="153"/>
        <v>10</v>
      </c>
      <c r="AI381" s="226">
        <f>MIN(AI15:AI380)</f>
        <v>4.2000670230355848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24.181347270637268</v>
      </c>
      <c r="C382" s="375"/>
      <c r="D382" s="375">
        <f>AVERAGE(D15:D380)</f>
        <v>26.688826698714099</v>
      </c>
      <c r="E382" s="375">
        <f>AVERAGE(E15:E380)</f>
        <v>28.348730254357758</v>
      </c>
      <c r="F382" s="376">
        <f>AVERAGE(F15:F380)</f>
        <v>29.126243360534893</v>
      </c>
      <c r="G382" s="126">
        <f>AVERAGE(G15:G380)</f>
        <v>0.66923556703452436</v>
      </c>
      <c r="H382" s="94"/>
      <c r="I382" s="376">
        <f>AVERAGE(I15:I380)</f>
        <v>39.044491058617467</v>
      </c>
      <c r="J382" s="59">
        <f>AVERAGE(J15:J380)</f>
        <v>2020.4426229508197</v>
      </c>
      <c r="K382" s="200" t="s">
        <v>8</v>
      </c>
      <c r="L382" s="147">
        <f t="shared" ref="L382:V382" si="154">AVERAGE(L15:L380)</f>
        <v>9.4103055842320676E-2</v>
      </c>
      <c r="M382" s="843"/>
      <c r="N382" s="843"/>
      <c r="O382" s="48">
        <f t="shared" si="154"/>
        <v>6.7610099119834829E-2</v>
      </c>
      <c r="P382" s="169">
        <f t="shared" si="154"/>
        <v>4.3450254734815542E-2</v>
      </c>
      <c r="Q382" s="312">
        <f t="shared" si="154"/>
        <v>0.80000000000000548</v>
      </c>
      <c r="R382" s="177">
        <f t="shared" si="154"/>
        <v>0.37630648268061256</v>
      </c>
      <c r="S382" s="809">
        <f t="shared" si="154"/>
        <v>2.9589041095890409</v>
      </c>
      <c r="T382" s="176">
        <f t="shared" si="154"/>
        <v>8.9589041095890405</v>
      </c>
      <c r="U382" s="251">
        <f>AVERAGE(U15:U380)</f>
        <v>3.3352105922696582</v>
      </c>
      <c r="V382" s="59">
        <f t="shared" si="154"/>
        <v>33.821168607654322</v>
      </c>
      <c r="X382" s="112" t="s">
        <v>8</v>
      </c>
      <c r="Y382" s="375">
        <f>AVERAGE(Y15:Y380)</f>
        <v>21.779767988154287</v>
      </c>
      <c r="Z382" s="375">
        <f>AVERAGE(Z15:Z380)</f>
        <v>24.037440520606012</v>
      </c>
      <c r="AA382" s="375">
        <f>AVERAGE(AA15:AA380)</f>
        <v>27.92956080197078</v>
      </c>
      <c r="AB382" s="200" t="s">
        <v>8</v>
      </c>
      <c r="AC382" s="48">
        <f t="shared" ref="AC382:AH382" si="155">AVERAGE(AC15:AC380)</f>
        <v>0.14188218427964502</v>
      </c>
      <c r="AD382" s="169">
        <f t="shared" si="155"/>
        <v>6.3248689697256097E-2</v>
      </c>
      <c r="AE382" s="312">
        <f t="shared" si="155"/>
        <v>0.80000000000000548</v>
      </c>
      <c r="AF382" s="177">
        <f t="shared" si="155"/>
        <v>0.53592733943455739</v>
      </c>
      <c r="AG382" s="809">
        <f t="shared" si="155"/>
        <v>4</v>
      </c>
      <c r="AH382" s="176">
        <f t="shared" si="155"/>
        <v>10</v>
      </c>
      <c r="AI382" s="225">
        <f>AVERAGE(AI15:AI380)</f>
        <v>4.5359273394345552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53.198566522782563</v>
      </c>
      <c r="C383" s="377"/>
      <c r="D383" s="377">
        <f>MAX(D15:D380)</f>
        <v>58.719331440869588</v>
      </c>
      <c r="E383" s="377">
        <f>MAX(E15:E380)</f>
        <v>60.673681582255853</v>
      </c>
      <c r="F383" s="378">
        <f>MAX(F15:F380)</f>
        <v>61.907521444604455</v>
      </c>
      <c r="G383" s="127">
        <f>+MAX(G15:G380)</f>
        <v>1.0459540036296502</v>
      </c>
      <c r="H383" s="94"/>
      <c r="I383" s="378">
        <f>MAX(I15:I380)</f>
        <v>64.737412852018437</v>
      </c>
      <c r="J383" s="60">
        <f>MAX(J15:J380)</f>
        <v>2027</v>
      </c>
      <c r="K383" s="200" t="s">
        <v>9</v>
      </c>
      <c r="L383" s="148">
        <f t="shared" ref="L383:T383" si="156">MAX(L15:L380)</f>
        <v>9.8023828847305899E-2</v>
      </c>
      <c r="M383" s="846"/>
      <c r="N383" s="846"/>
      <c r="O383" s="49">
        <f t="shared" si="156"/>
        <v>0.12260438800696773</v>
      </c>
      <c r="P383" s="170">
        <f t="shared" si="156"/>
        <v>8.8369387512595973E-2</v>
      </c>
      <c r="Q383" s="313">
        <f t="shared" si="156"/>
        <v>0.8</v>
      </c>
      <c r="R383" s="314">
        <f t="shared" si="156"/>
        <v>0.99999953477235026</v>
      </c>
      <c r="S383" s="810">
        <f t="shared" si="156"/>
        <v>3</v>
      </c>
      <c r="T383" s="233">
        <f t="shared" si="156"/>
        <v>9</v>
      </c>
      <c r="U383" s="253">
        <f>MAX(U15:U380)</f>
        <v>3.5993487482272761</v>
      </c>
      <c r="V383" s="60">
        <f>MAX(V15:V380)</f>
        <v>54.248163810214031</v>
      </c>
      <c r="X383" s="112" t="s">
        <v>9</v>
      </c>
      <c r="Y383" s="377">
        <f>MAX(Y15:Y380)</f>
        <v>47.304002231649868</v>
      </c>
      <c r="Z383" s="377">
        <f>MAX(Z15:Z380)</f>
        <v>52.213049468735896</v>
      </c>
      <c r="AA383" s="377">
        <f>MAX(AA15:AA380)</f>
        <v>60.144698980864788</v>
      </c>
      <c r="AB383" s="200" t="s">
        <v>9</v>
      </c>
      <c r="AC383" s="49">
        <f t="shared" ref="AC383:AH383" si="157">MAX(AC15:AC380)</f>
        <v>0.16048311885435343</v>
      </c>
      <c r="AD383" s="170">
        <f t="shared" si="157"/>
        <v>0.12335543711108744</v>
      </c>
      <c r="AE383" s="313">
        <f t="shared" si="157"/>
        <v>0.8</v>
      </c>
      <c r="AF383" s="314">
        <f t="shared" si="157"/>
        <v>0.80006549539217975</v>
      </c>
      <c r="AG383" s="810">
        <f t="shared" si="157"/>
        <v>4</v>
      </c>
      <c r="AH383" s="233">
        <f t="shared" si="157"/>
        <v>10</v>
      </c>
      <c r="AI383" s="227">
        <f>MAX(AI15:AI380)</f>
        <v>4.8000654953921797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4" priority="5" stopIfTrue="1" operator="lessThan">
      <formula>0.01</formula>
    </cfRule>
    <cfRule type="cellIs" dxfId="3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52" activePane="bottomRight" state="frozen"/>
      <selection pane="topRight" activeCell="D1" sqref="D1"/>
      <selection pane="bottomLeft" activeCell="A16" sqref="A16"/>
      <selection pane="bottomRight" activeCell="W3" sqref="W3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3" customWidth="1"/>
    <col min="14" max="14" width="9.140625" style="633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7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3" customWidth="1"/>
    <col min="50" max="51" width="6.85546875" style="15" customWidth="1"/>
    <col min="52" max="16384" width="11.42578125" style="15"/>
  </cols>
  <sheetData>
    <row r="1" spans="1:49" ht="21.75" thickBot="1" x14ac:dyDescent="0.4">
      <c r="A1" s="659" t="str">
        <f>"Calcul Masques  "&amp;Station</f>
        <v>Calcul Masques  Maternelle Labège</v>
      </c>
      <c r="B1" s="1217" t="str">
        <f>Station</f>
        <v>Maternelle Labège</v>
      </c>
      <c r="C1" s="1218"/>
      <c r="D1" s="1218"/>
      <c r="E1" s="1218"/>
      <c r="F1" s="1219"/>
      <c r="H1" s="22" t="s">
        <v>280</v>
      </c>
      <c r="I1" s="1236">
        <v>44600</v>
      </c>
      <c r="J1" s="1237"/>
      <c r="K1" s="887"/>
      <c r="M1" s="789" t="s">
        <v>170</v>
      </c>
      <c r="N1" s="661"/>
      <c r="O1" s="662"/>
      <c r="P1" s="662"/>
      <c r="Q1" s="661"/>
      <c r="R1" s="661"/>
      <c r="S1" s="663"/>
      <c r="T1" s="664"/>
      <c r="U1" s="663"/>
      <c r="V1" s="661"/>
      <c r="W1" s="663"/>
      <c r="X1" s="661"/>
      <c r="Y1" s="15"/>
      <c r="AA1" s="15"/>
    </row>
    <row r="2" spans="1:49" s="6" customFormat="1" ht="12.75" customHeight="1" thickBot="1" x14ac:dyDescent="0.25">
      <c r="A2" s="572"/>
      <c r="C2" s="665"/>
      <c r="D2" s="666"/>
      <c r="E2" s="1031"/>
      <c r="F2" s="1031"/>
      <c r="G2" s="26"/>
      <c r="H2" s="25"/>
      <c r="L2" s="8"/>
      <c r="P2" s="1128" t="s">
        <v>346</v>
      </c>
      <c r="S2" s="26"/>
      <c r="T2" s="1118"/>
      <c r="U2" s="1132" t="s">
        <v>363</v>
      </c>
      <c r="V2" s="1133">
        <f>1.3+B6*2*0.3</f>
        <v>2.3727999999999998</v>
      </c>
      <c r="W2" s="564" t="s">
        <v>85</v>
      </c>
      <c r="X2" s="564"/>
      <c r="Y2" s="564"/>
      <c r="Z2" s="564"/>
      <c r="AA2" s="564"/>
      <c r="AB2" s="564"/>
      <c r="AC2" s="564"/>
      <c r="AD2" s="564"/>
      <c r="AE2" s="564"/>
      <c r="AF2" s="564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7" t="s">
        <v>307</v>
      </c>
      <c r="B3" s="668"/>
      <c r="C3" s="668"/>
      <c r="E3" s="1032"/>
      <c r="F3" s="1033" t="s">
        <v>190</v>
      </c>
      <c r="G3" s="20"/>
      <c r="H3" s="22" t="s">
        <v>15</v>
      </c>
      <c r="I3" s="888">
        <v>0.3</v>
      </c>
      <c r="J3" s="889">
        <f>DEGREES(ATAN(I3))</f>
        <v>16.699244233993621</v>
      </c>
      <c r="K3" s="889"/>
      <c r="L3" s="561" t="s">
        <v>367</v>
      </c>
      <c r="M3" s="890"/>
      <c r="P3" s="22" t="s">
        <v>348</v>
      </c>
      <c r="Q3" s="890" t="s">
        <v>349</v>
      </c>
      <c r="R3" s="1129">
        <f>H_pv</f>
        <v>2.1045999999999996</v>
      </c>
      <c r="T3" s="1123"/>
      <c r="U3" s="1132" t="s">
        <v>364</v>
      </c>
      <c r="V3" s="1133">
        <f>+V5+0.75*(V2-V5)</f>
        <v>2.1045999999999996</v>
      </c>
      <c r="W3" s="1124"/>
      <c r="X3" s="1124"/>
      <c r="Y3" s="1124"/>
      <c r="Z3" s="1124"/>
      <c r="AA3" s="1124"/>
      <c r="AB3" s="1124"/>
      <c r="AC3" s="1124"/>
      <c r="AD3" s="1124"/>
      <c r="AE3" s="1124"/>
      <c r="AF3" s="1124"/>
    </row>
    <row r="4" spans="1:49" s="25" customFormat="1" ht="12" thickBot="1" x14ac:dyDescent="0.25">
      <c r="A4" s="669" t="s">
        <v>139</v>
      </c>
      <c r="B4" s="891" t="s">
        <v>140</v>
      </c>
      <c r="C4" s="891" t="s">
        <v>141</v>
      </c>
      <c r="D4" s="891" t="s">
        <v>142</v>
      </c>
      <c r="E4" s="892" t="s">
        <v>168</v>
      </c>
      <c r="F4" s="670" t="s">
        <v>189</v>
      </c>
      <c r="I4" s="6"/>
      <c r="J4" s="893"/>
      <c r="K4" s="893"/>
      <c r="L4" s="6"/>
      <c r="Q4" s="1130"/>
      <c r="S4" s="893" t="s">
        <v>281</v>
      </c>
      <c r="T4" s="1118"/>
      <c r="U4" s="1132" t="s">
        <v>365</v>
      </c>
      <c r="V4" s="1133">
        <f>+V5+0.25*(V2-V5)</f>
        <v>1.5682</v>
      </c>
      <c r="W4" s="564"/>
      <c r="X4" s="1125"/>
      <c r="Y4" s="1125"/>
      <c r="Z4" s="1125"/>
      <c r="AA4" s="1125"/>
      <c r="AB4" s="1125"/>
      <c r="AC4" s="1125"/>
      <c r="AD4" s="1125"/>
      <c r="AE4" s="1125"/>
      <c r="AF4" s="1125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1" t="s">
        <v>143</v>
      </c>
      <c r="B5" s="894">
        <v>2</v>
      </c>
      <c r="C5" s="895">
        <v>15</v>
      </c>
      <c r="D5" s="171">
        <f>+C5*B5</f>
        <v>30</v>
      </c>
      <c r="E5" s="896">
        <v>0.3</v>
      </c>
      <c r="F5" s="672">
        <f>+D5*E5</f>
        <v>9</v>
      </c>
      <c r="G5" s="633"/>
      <c r="H5" s="22" t="s">
        <v>282</v>
      </c>
      <c r="I5" s="890">
        <v>84</v>
      </c>
      <c r="J5" s="889"/>
      <c r="K5" s="889"/>
      <c r="L5" s="22" t="s">
        <v>283</v>
      </c>
      <c r="M5" s="890">
        <v>84</v>
      </c>
      <c r="P5" s="22" t="s">
        <v>347</v>
      </c>
      <c r="Q5" s="890" t="s">
        <v>135</v>
      </c>
      <c r="R5" s="897">
        <f>+IF($M$3="G",Azi_pvG,Azi_pvD)</f>
        <v>84</v>
      </c>
      <c r="S5" s="898">
        <f>90-$J$3</f>
        <v>73.300755766006375</v>
      </c>
      <c r="T5" s="1123"/>
      <c r="U5" s="1132" t="s">
        <v>366</v>
      </c>
      <c r="V5" s="1133">
        <v>1.3</v>
      </c>
      <c r="W5" s="1124"/>
      <c r="X5" s="1124"/>
      <c r="Y5" s="1124"/>
      <c r="Z5" s="1124"/>
      <c r="AA5" s="1124"/>
      <c r="AB5" s="1124"/>
      <c r="AC5" s="1124"/>
      <c r="AD5" s="1126"/>
      <c r="AE5" s="1126"/>
      <c r="AF5" s="1124"/>
    </row>
    <row r="6" spans="1:49" s="6" customFormat="1" ht="11.25" x14ac:dyDescent="0.2">
      <c r="A6" s="561" t="s">
        <v>138</v>
      </c>
      <c r="B6" s="8">
        <f>1.776+0.002+0.01</f>
        <v>1.788</v>
      </c>
      <c r="C6" s="8">
        <f>1.052+0.002+0.01</f>
        <v>1.0640000000000001</v>
      </c>
      <c r="E6" s="632"/>
      <c r="F6" s="598"/>
      <c r="G6" s="25"/>
      <c r="N6" s="18"/>
      <c r="T6" s="1118"/>
      <c r="U6" s="564"/>
      <c r="V6" s="1118"/>
      <c r="W6" s="564"/>
      <c r="X6" s="564"/>
      <c r="Y6" s="564"/>
      <c r="Z6" s="564"/>
      <c r="AA6" s="564"/>
      <c r="AB6" s="564"/>
      <c r="AC6" s="564"/>
      <c r="AD6" s="1126"/>
      <c r="AE6" s="1126"/>
      <c r="AF6" s="564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3"/>
      <c r="F7" s="8"/>
      <c r="G7" s="26"/>
      <c r="H7" s="564"/>
      <c r="I7" s="564"/>
      <c r="M7" s="674" t="s">
        <v>144</v>
      </c>
      <c r="N7" s="26"/>
      <c r="O7" s="18"/>
      <c r="P7" s="18"/>
      <c r="S7" s="674" t="s">
        <v>144</v>
      </c>
      <c r="U7" s="26"/>
      <c r="V7" s="1118"/>
      <c r="W7" s="564"/>
      <c r="X7" s="564"/>
      <c r="Y7" s="1127"/>
      <c r="Z7" s="1119"/>
      <c r="AA7" s="564"/>
      <c r="AB7" s="564"/>
      <c r="AC7" s="564"/>
      <c r="AD7" s="564"/>
      <c r="AE7" s="564"/>
      <c r="AF7" s="564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7" t="s">
        <v>300</v>
      </c>
      <c r="D8" s="105"/>
      <c r="E8" s="899">
        <v>2.1349999999999998</v>
      </c>
      <c r="F8" s="676" t="s">
        <v>236</v>
      </c>
      <c r="H8" s="29"/>
      <c r="I8" s="31"/>
      <c r="L8" s="675" t="s">
        <v>171</v>
      </c>
      <c r="M8" s="29"/>
      <c r="O8" s="29"/>
      <c r="P8" s="34"/>
      <c r="R8" s="675" t="s">
        <v>172</v>
      </c>
      <c r="S8" s="29"/>
      <c r="U8" s="29"/>
      <c r="V8" s="29"/>
      <c r="Y8" s="675" t="s">
        <v>173</v>
      </c>
      <c r="Z8" s="676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7" t="s">
        <v>174</v>
      </c>
      <c r="B9" s="900" t="s">
        <v>175</v>
      </c>
      <c r="C9" s="900" t="s">
        <v>176</v>
      </c>
      <c r="D9" s="900" t="s">
        <v>179</v>
      </c>
      <c r="E9" s="901" t="s">
        <v>180</v>
      </c>
      <c r="F9" s="677" t="s">
        <v>177</v>
      </c>
      <c r="G9" s="677" t="s">
        <v>178</v>
      </c>
      <c r="H9" s="678" t="s">
        <v>147</v>
      </c>
      <c r="I9" s="679" t="s">
        <v>181</v>
      </c>
      <c r="L9" s="680" t="s">
        <v>149</v>
      </c>
      <c r="M9" s="688" t="s">
        <v>150</v>
      </c>
      <c r="N9" s="688" t="s">
        <v>151</v>
      </c>
      <c r="O9" s="688" t="s">
        <v>152</v>
      </c>
      <c r="P9" s="34"/>
      <c r="R9" s="680" t="s">
        <v>149</v>
      </c>
      <c r="S9" s="688" t="s">
        <v>150</v>
      </c>
      <c r="T9" s="688" t="s">
        <v>151</v>
      </c>
      <c r="U9" s="688" t="s">
        <v>152</v>
      </c>
      <c r="V9" s="559"/>
      <c r="W9" s="794" t="s">
        <v>360</v>
      </c>
      <c r="X9" s="559"/>
      <c r="Y9" s="559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90" t="s">
        <v>341</v>
      </c>
      <c r="B10" s="902">
        <v>-0.36</v>
      </c>
      <c r="C10" s="903">
        <v>-1.6</v>
      </c>
      <c r="D10" s="902">
        <f>Hrm*B10/(B10-C10)</f>
        <v>-0.61983870967741916</v>
      </c>
      <c r="E10" s="903">
        <f>+D10*C10/B10</f>
        <v>-2.7548387096774185</v>
      </c>
      <c r="F10" s="904">
        <f>DEGREES(ATAN2(H10,D10))</f>
        <v>-0.67526657457745642</v>
      </c>
      <c r="G10" s="904">
        <f>DEGREES(ATAN2(H10,E10))</f>
        <v>-2.9985830627464289</v>
      </c>
      <c r="H10" s="555">
        <f>SQRT(POWER(N10-T$10,2)+POWER(M10-S$10,2))</f>
        <v>52.590338466300025</v>
      </c>
      <c r="I10" s="682">
        <f>(F10-G10)/(B10-C10)</f>
        <v>1.8736423291685258</v>
      </c>
      <c r="J10" s="43"/>
      <c r="K10" s="43"/>
      <c r="L10" s="791" t="str">
        <f>A10</f>
        <v>panneaux vitres réfectoire</v>
      </c>
      <c r="M10" s="905">
        <v>994.4</v>
      </c>
      <c r="N10" s="906">
        <v>1002.23</v>
      </c>
      <c r="O10" s="907">
        <v>150.97999999999999</v>
      </c>
      <c r="P10" s="821"/>
      <c r="Q10" s="821"/>
      <c r="R10" s="792" t="s">
        <v>339</v>
      </c>
      <c r="S10" s="905">
        <v>1003.54</v>
      </c>
      <c r="T10" s="906">
        <v>1054.02</v>
      </c>
      <c r="U10" s="907">
        <v>152.5</v>
      </c>
      <c r="V10" s="683" t="s">
        <v>182</v>
      </c>
      <c r="W10" s="908">
        <f>+U10-U11+1.55</f>
        <v>1.7499999999999887</v>
      </c>
      <c r="X10" s="821" t="s">
        <v>85</v>
      </c>
      <c r="Y10" s="622" t="s">
        <v>369</v>
      </c>
      <c r="Z10" s="625"/>
      <c r="AA10" s="559"/>
      <c r="AB10" s="559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90" t="s">
        <v>350</v>
      </c>
      <c r="B11" s="909">
        <v>2.58</v>
      </c>
      <c r="C11" s="910"/>
      <c r="D11" s="909">
        <f>1.791*B11/(B11-C11)</f>
        <v>1.7909999999999999</v>
      </c>
      <c r="E11" s="910">
        <f>+D11*C11/B11</f>
        <v>0</v>
      </c>
      <c r="F11" s="904">
        <f>DEGREES(ATAN2(H11,D11))</f>
        <v>1.1023193810193861</v>
      </c>
      <c r="G11" s="904">
        <f>DEGREES(ATAN2(H11,E11))</f>
        <v>0</v>
      </c>
      <c r="H11" s="555">
        <f>SQRT(POWER(N11-T$11,2)+POWER(M11-S$11,2))</f>
        <v>93.080174043670468</v>
      </c>
      <c r="I11" s="682">
        <f>(F11-G11)/(B11-C11)</f>
        <v>0.42725557403852171</v>
      </c>
      <c r="J11" s="117"/>
      <c r="K11" s="43"/>
      <c r="L11" s="791" t="str">
        <f>A11</f>
        <v>Echelle accès toit réfectoire</v>
      </c>
      <c r="M11" s="911">
        <v>997.67</v>
      </c>
      <c r="N11" s="626">
        <v>1001.23</v>
      </c>
      <c r="O11" s="912">
        <v>151.07</v>
      </c>
      <c r="P11" s="822"/>
      <c r="Q11" s="822"/>
      <c r="R11" s="793" t="s">
        <v>340</v>
      </c>
      <c r="S11" s="911">
        <v>997.49</v>
      </c>
      <c r="T11" s="626">
        <v>1094.31</v>
      </c>
      <c r="U11" s="1131">
        <v>152.30000000000001</v>
      </c>
      <c r="V11" s="684" t="s">
        <v>183</v>
      </c>
      <c r="W11" s="913">
        <v>2.4</v>
      </c>
      <c r="X11" s="822" t="s">
        <v>85</v>
      </c>
      <c r="Y11" s="623" t="s">
        <v>370</v>
      </c>
      <c r="Z11" s="625"/>
      <c r="AA11" s="559"/>
      <c r="AB11" s="559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90"/>
      <c r="B12" s="914"/>
      <c r="C12" s="915"/>
      <c r="D12" s="914"/>
      <c r="E12" s="915"/>
      <c r="F12" s="904" t="e">
        <f>DEGREES(ATAN2(H12,D12))</f>
        <v>#DIV/0!</v>
      </c>
      <c r="G12" s="904" t="e">
        <f>DEGREES(ATAN2(H12,E12))</f>
        <v>#DIV/0!</v>
      </c>
      <c r="H12" s="555">
        <f>SQRT(POWER(N12-T$12,2)+POWER(M12-S$12,2))</f>
        <v>0</v>
      </c>
      <c r="I12" s="682" t="e">
        <f>(F12-G12)/(B12-C12)</f>
        <v>#DIV/0!</v>
      </c>
      <c r="J12" s="117"/>
      <c r="K12" s="43"/>
      <c r="L12" s="791">
        <f>A12</f>
        <v>0</v>
      </c>
      <c r="M12" s="916"/>
      <c r="N12" s="917"/>
      <c r="O12" s="918"/>
      <c r="P12" s="822"/>
      <c r="Q12" s="822"/>
      <c r="R12" s="793"/>
      <c r="S12" s="916"/>
      <c r="T12" s="917"/>
      <c r="U12" s="918"/>
      <c r="V12" s="684" t="s">
        <v>237</v>
      </c>
      <c r="W12" s="919"/>
      <c r="X12" s="822" t="s">
        <v>85</v>
      </c>
      <c r="Y12" s="623"/>
      <c r="Z12" s="625"/>
      <c r="AA12" s="559"/>
      <c r="AB12" s="559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1"/>
      <c r="C13" s="1109" t="s">
        <v>328</v>
      </c>
      <c r="D13" s="10" t="e">
        <f>Hrm*B13/(B13-C13)</f>
        <v>#VALUE!</v>
      </c>
      <c r="E13" s="1110" t="e">
        <f>+D13*C13/B13</f>
        <v>#VALUE!</v>
      </c>
      <c r="F13" s="1114"/>
      <c r="G13" s="1114"/>
      <c r="H13" s="1115"/>
      <c r="I13" s="1116"/>
      <c r="J13" s="564"/>
      <c r="K13" s="564"/>
      <c r="L13" s="564"/>
      <c r="O13" s="18"/>
      <c r="P13" s="1117"/>
      <c r="Q13" s="564"/>
      <c r="R13" s="564"/>
      <c r="U13" s="795"/>
      <c r="V13" s="26"/>
      <c r="Y13" s="1118"/>
      <c r="Z13" s="1119"/>
      <c r="AA13" s="1120"/>
      <c r="AB13" s="1121"/>
      <c r="AC13" s="1122"/>
      <c r="AD13" s="1121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customHeight="1" x14ac:dyDescent="0.3">
      <c r="A14" s="667" t="s">
        <v>162</v>
      </c>
      <c r="B14" s="687"/>
      <c r="C14" s="28"/>
      <c r="D14" s="674" t="s">
        <v>301</v>
      </c>
      <c r="E14" s="71"/>
      <c r="F14" s="82"/>
      <c r="G14" s="892" t="s">
        <v>185</v>
      </c>
      <c r="K14" s="1019" t="s">
        <v>302</v>
      </c>
      <c r="L14" s="1018">
        <f>+CHOOSE(N14,L16,L17,L18,L19)</f>
        <v>2.1045999999999996</v>
      </c>
      <c r="M14" s="136" t="s">
        <v>284</v>
      </c>
      <c r="N14" s="1139">
        <f>IF(Q5&amp;Q3="Dh",4,IF(Q5&amp;Q3="Db",3,IF(Q5&amp;Q3="Gb",2,1)))</f>
        <v>4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8" t="s">
        <v>149</v>
      </c>
      <c r="B15" s="689" t="s">
        <v>184</v>
      </c>
      <c r="C15" s="688" t="s">
        <v>145</v>
      </c>
      <c r="D15" s="688" t="s">
        <v>150</v>
      </c>
      <c r="E15" s="688" t="s">
        <v>151</v>
      </c>
      <c r="F15" s="1030" t="s">
        <v>285</v>
      </c>
      <c r="G15" s="1029" t="s">
        <v>186</v>
      </c>
      <c r="H15" s="688" t="s">
        <v>153</v>
      </c>
      <c r="I15" s="688" t="s">
        <v>155</v>
      </c>
      <c r="J15" s="688" t="s">
        <v>146</v>
      </c>
      <c r="K15" s="688" t="s">
        <v>147</v>
      </c>
      <c r="L15" s="688" t="s">
        <v>148</v>
      </c>
      <c r="M15" s="688" t="s">
        <v>154</v>
      </c>
      <c r="N15" s="690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1" t="s">
        <v>342</v>
      </c>
      <c r="B16" s="920">
        <v>2</v>
      </c>
      <c r="C16" s="980"/>
      <c r="D16" s="921">
        <v>1004.4599999999999</v>
      </c>
      <c r="E16" s="921">
        <v>1018.54</v>
      </c>
      <c r="F16" s="993"/>
      <c r="G16" s="997"/>
      <c r="H16" s="997"/>
      <c r="I16" s="997"/>
      <c r="J16" s="1004">
        <f>IF(B16="",0,C16*CHOOSE(B16,Rata1,Rata2,Rata3))</f>
        <v>0</v>
      </c>
      <c r="K16" s="999">
        <f>IF(B16="",0,SQRT(+POWER(D16-CHOOSE(B16,$S$10,$S$11,$S$12),2)+POWER(E16-CHOOSE(B16,$T$10,$T$11,$T$12),2)))</f>
        <v>76.089906032272083</v>
      </c>
      <c r="L16" s="1134">
        <f>V3</f>
        <v>2.1045999999999996</v>
      </c>
      <c r="M16" s="1005"/>
      <c r="N16" s="1014" t="str">
        <f t="shared" ref="N16:N43" si="0">A16</f>
        <v>Centre du champ PV G.H.: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2" t="s">
        <v>343</v>
      </c>
      <c r="B17" s="922">
        <v>2</v>
      </c>
      <c r="C17" s="981"/>
      <c r="D17" s="923">
        <v>1002.2574999999999</v>
      </c>
      <c r="E17" s="923">
        <v>1018.3150000000001</v>
      </c>
      <c r="F17" s="994"/>
      <c r="G17" s="984"/>
      <c r="H17" s="984"/>
      <c r="I17" s="984"/>
      <c r="J17" s="1006">
        <f>IF(B17="",0,C17*CHOOSE(B17,Rata1,Rata2,Rata3))</f>
        <v>0</v>
      </c>
      <c r="K17" s="1001">
        <f>IF(B17="",0,SQRT(+POWER(D17-CHOOSE(B17,$S$10,$S$11,$S$12),2)+POWER(E17-CHOOSE(B17,$T$10,$T$11,$T$12),2)))</f>
        <v>76.144396256388973</v>
      </c>
      <c r="L17" s="1135">
        <f>V4</f>
        <v>1.5682</v>
      </c>
      <c r="M17" s="1007"/>
      <c r="N17" s="1015" t="str">
        <f t="shared" si="0"/>
        <v>Centre du champ PV G.B.: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2" t="s">
        <v>344</v>
      </c>
      <c r="B18" s="922">
        <v>2</v>
      </c>
      <c r="C18" s="981"/>
      <c r="D18" s="923">
        <v>1001.78</v>
      </c>
      <c r="E18" s="923">
        <v>1023.34</v>
      </c>
      <c r="F18" s="995"/>
      <c r="G18" s="985"/>
      <c r="H18" s="985"/>
      <c r="I18" s="985"/>
      <c r="J18" s="1006">
        <f>IF(B18="",0,C18*CHOOSE(B18,Rata1,Rata2,Rata3))</f>
        <v>0</v>
      </c>
      <c r="K18" s="1001">
        <f>IF(B18="",0,SQRT(+POWER(D18-CHOOSE(B18,$S$10,$S$11,$S$12),2)+POWER(E18-CHOOSE(B18,$T$10,$T$11,$T$12),2)))</f>
        <v>71.099542895858249</v>
      </c>
      <c r="L18" s="1135">
        <f>L17</f>
        <v>1.5682</v>
      </c>
      <c r="M18" s="1007"/>
      <c r="N18" s="1015" t="str">
        <f t="shared" si="0"/>
        <v>Centre du champ PV D.B.: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3" t="s">
        <v>345</v>
      </c>
      <c r="B19" s="970">
        <v>2</v>
      </c>
      <c r="C19" s="1009"/>
      <c r="D19" s="974">
        <v>1003.9725000000001</v>
      </c>
      <c r="E19" s="975">
        <v>1023.485</v>
      </c>
      <c r="F19" s="996"/>
      <c r="G19" s="986"/>
      <c r="H19" s="986"/>
      <c r="I19" s="986"/>
      <c r="J19" s="1008">
        <f>IF(B19="",0,C19*CHOOSE(B19,Rata1,Rata2,Rata3))</f>
        <v>0</v>
      </c>
      <c r="K19" s="1003">
        <f>IF(B19="",0,SQRT(+POWER(D19-CHOOSE(B19,$S$10,$S$11,$S$12),2)+POWER(E19-CHOOSE(B19,$T$10,$T$11,$T$12),2)))</f>
        <v>71.121047737290752</v>
      </c>
      <c r="L19" s="1136">
        <f>L16</f>
        <v>2.1045999999999996</v>
      </c>
      <c r="M19" s="1010"/>
      <c r="N19" s="1016" t="str">
        <f t="shared" si="0"/>
        <v>Centre du champ PV D.H.: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4" t="s">
        <v>286</v>
      </c>
      <c r="B20" s="922"/>
      <c r="C20" s="981"/>
      <c r="D20" s="923"/>
      <c r="E20" s="923"/>
      <c r="F20" s="983"/>
      <c r="G20" s="1011">
        <f t="shared" ref="G20:G42" si="1">IF(AND(H20=H21,H20&gt;=Azi_pv_sel+90),"",P57-P56)</f>
        <v>90</v>
      </c>
      <c r="H20" s="987">
        <f>+Azi_pv_sel-270</f>
        <v>-186</v>
      </c>
      <c r="I20" s="988">
        <v>1</v>
      </c>
      <c r="J20" s="1006">
        <f t="shared" ref="J20:J42" si="2">IF(B20="",0,C20*CHOOSE(B20,Rata1,Rata2,Rata3))</f>
        <v>0</v>
      </c>
      <c r="K20" s="1001">
        <f t="shared" ref="K20:K42" si="3">IF(B20="",0,SQRT(+POWER(D20-CHOOSE(B20,$S$10,$S$11,$S$12),2)+POWER(E20-CHOOSE(B20,$T$10,$T$11,$T$12),2)))</f>
        <v>0</v>
      </c>
      <c r="L20" s="1000">
        <f t="shared" ref="L20:L42" si="4">IF(B20="",0,K20*TAN(RADIANS(J20))+CHOOSE(B20,Hobs1,Hobs2,Hobs3))</f>
        <v>0</v>
      </c>
      <c r="M20" s="1001">
        <f t="shared" ref="M20:M42" si="5">IF(B20="",0,SQRT(POWER($E20-CHOOSE($N$14,E$16,E$17,E$18,E$19),2)+POWER($D20-CHOOSE($N$14,D$16,D$17,D$18,D$19),2)))</f>
        <v>0</v>
      </c>
      <c r="N20" s="1012" t="str">
        <f t="shared" si="0"/>
        <v>Toiture D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4" t="s">
        <v>163</v>
      </c>
      <c r="B21" s="922"/>
      <c r="C21" s="981"/>
      <c r="D21" s="923"/>
      <c r="E21" s="923"/>
      <c r="F21" s="983"/>
      <c r="G21" s="1011">
        <f t="shared" si="1"/>
        <v>57.239114082996082</v>
      </c>
      <c r="H21" s="989">
        <f>+Azi_pv_sel-180</f>
        <v>-96</v>
      </c>
      <c r="I21" s="990">
        <f>$J$3</f>
        <v>16.699244233993621</v>
      </c>
      <c r="J21" s="1006">
        <f t="shared" si="2"/>
        <v>0</v>
      </c>
      <c r="K21" s="1001">
        <f t="shared" si="3"/>
        <v>0</v>
      </c>
      <c r="L21" s="1000">
        <f t="shared" si="4"/>
        <v>0</v>
      </c>
      <c r="M21" s="1001">
        <f t="shared" si="5"/>
        <v>0</v>
      </c>
      <c r="N21" s="1012" t="str">
        <f t="shared" si="0"/>
        <v>Arrière PV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4" t="s">
        <v>330</v>
      </c>
      <c r="B22" s="922">
        <v>2</v>
      </c>
      <c r="C22" s="981">
        <v>7.13</v>
      </c>
      <c r="D22" s="923">
        <v>1054.27</v>
      </c>
      <c r="E22" s="923">
        <v>960.84</v>
      </c>
      <c r="F22" s="983"/>
      <c r="G22" s="1011">
        <f t="shared" si="1"/>
        <v>8.4188364369527378</v>
      </c>
      <c r="H22" s="989">
        <f t="shared" ref="H22:H27" si="6">DEGREES(ATAN2(CHOOSE($N$14,E$16,E$17,E$18,E$19)-$E22,CHOOSE($N$14,D$16,D$17,D$18,D$19)-$D22))</f>
        <v>-38.760885917003918</v>
      </c>
      <c r="I22" s="990">
        <f t="shared" ref="I22:I27" si="7">DEGREES(ATAN2(M22,$L22-L$14))</f>
        <v>5.6969702997278553</v>
      </c>
      <c r="J22" s="1006">
        <f t="shared" si="2"/>
        <v>3.04633224289466</v>
      </c>
      <c r="K22" s="1001">
        <f t="shared" si="3"/>
        <v>145.04554215831652</v>
      </c>
      <c r="L22" s="1000">
        <f t="shared" si="4"/>
        <v>10.119133023510219</v>
      </c>
      <c r="M22" s="1001">
        <f t="shared" si="5"/>
        <v>80.338250735561743</v>
      </c>
      <c r="N22" s="1012" t="str">
        <f t="shared" si="0"/>
        <v>Arbre 0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4" t="s">
        <v>156</v>
      </c>
      <c r="B23" s="922">
        <v>2</v>
      </c>
      <c r="C23" s="981">
        <v>9.0299999999999994</v>
      </c>
      <c r="D23" s="923">
        <v>1044.6300000000001</v>
      </c>
      <c r="E23" s="923">
        <v>951.32</v>
      </c>
      <c r="F23" s="983" t="s">
        <v>368</v>
      </c>
      <c r="G23" s="1011">
        <f t="shared" si="1"/>
        <v>7.5010000000000012</v>
      </c>
      <c r="H23" s="989">
        <f t="shared" si="6"/>
        <v>-29.396753135136681</v>
      </c>
      <c r="I23" s="990">
        <f t="shared" si="7"/>
        <v>7.1898680899922898</v>
      </c>
      <c r="J23" s="1006">
        <f t="shared" si="2"/>
        <v>3.8581178335678508</v>
      </c>
      <c r="K23" s="1001">
        <f t="shared" si="3"/>
        <v>150.56002025770314</v>
      </c>
      <c r="L23" s="1000">
        <f t="shared" si="4"/>
        <v>12.553589828675467</v>
      </c>
      <c r="M23" s="1001">
        <f t="shared" si="5"/>
        <v>82.830064175092829</v>
      </c>
      <c r="N23" s="1012" t="str">
        <f t="shared" si="0"/>
        <v>Arbre 1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4" t="s">
        <v>157</v>
      </c>
      <c r="B24" s="922">
        <v>2</v>
      </c>
      <c r="C24" s="981">
        <v>7.83</v>
      </c>
      <c r="D24" s="923">
        <v>1037.8900000000001</v>
      </c>
      <c r="E24" s="923">
        <v>942.96</v>
      </c>
      <c r="F24" s="983"/>
      <c r="G24" s="1011">
        <f t="shared" si="1"/>
        <v>11.446038055888806</v>
      </c>
      <c r="H24" s="989">
        <f t="shared" si="6"/>
        <v>-22.841049480051179</v>
      </c>
      <c r="I24" s="990">
        <f t="shared" si="7"/>
        <v>6.1741886676644384</v>
      </c>
      <c r="J24" s="1006">
        <f t="shared" si="2"/>
        <v>3.3454111447216248</v>
      </c>
      <c r="K24" s="1001">
        <f t="shared" si="3"/>
        <v>156.6492339591866</v>
      </c>
      <c r="L24" s="1000">
        <f t="shared" si="4"/>
        <v>11.556912601086097</v>
      </c>
      <c r="M24" s="1001">
        <f t="shared" si="5"/>
        <v>87.376612610297485</v>
      </c>
      <c r="N24" s="1012" t="str">
        <f t="shared" si="0"/>
        <v>Arbre 2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4" t="s">
        <v>159</v>
      </c>
      <c r="B25" s="922">
        <v>2</v>
      </c>
      <c r="C25" s="981">
        <v>6.88</v>
      </c>
      <c r="D25" s="923">
        <v>1015.78</v>
      </c>
      <c r="E25" s="923">
        <v>964.9</v>
      </c>
      <c r="F25" s="983"/>
      <c r="G25" s="1011">
        <f t="shared" si="1"/>
        <v>9.5626303833103314</v>
      </c>
      <c r="H25" s="989">
        <f t="shared" si="6"/>
        <v>-11.395011424162373</v>
      </c>
      <c r="I25" s="990">
        <f t="shared" si="7"/>
        <v>6.6867754479654886</v>
      </c>
      <c r="J25" s="1006">
        <f t="shared" si="2"/>
        <v>2.9395183493850294</v>
      </c>
      <c r="K25" s="1001">
        <f t="shared" si="3"/>
        <v>130.69610629242169</v>
      </c>
      <c r="L25" s="1000">
        <f t="shared" si="4"/>
        <v>9.1111580418292384</v>
      </c>
      <c r="M25" s="1001">
        <f t="shared" si="5"/>
        <v>59.763026038262169</v>
      </c>
      <c r="N25" s="1012" t="str">
        <f t="shared" si="0"/>
        <v>Arbre 4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4" t="s">
        <v>160</v>
      </c>
      <c r="B26" s="922">
        <v>1</v>
      </c>
      <c r="C26" s="981">
        <v>2.9</v>
      </c>
      <c r="D26" s="923">
        <v>1005.65</v>
      </c>
      <c r="E26" s="923">
        <v>971.05</v>
      </c>
      <c r="F26" s="983"/>
      <c r="G26" s="1011">
        <f t="shared" si="1"/>
        <v>13.397706774249551</v>
      </c>
      <c r="H26" s="989">
        <f t="shared" si="6"/>
        <v>-1.8323810408520422</v>
      </c>
      <c r="I26" s="990">
        <f t="shared" si="7"/>
        <v>8.1787076641406813</v>
      </c>
      <c r="J26" s="1006">
        <f t="shared" si="2"/>
        <v>5.4335627545887251</v>
      </c>
      <c r="K26" s="1001">
        <f t="shared" si="3"/>
        <v>82.996825240487382</v>
      </c>
      <c r="L26" s="1000">
        <f t="shared" si="4"/>
        <v>9.6445649605859742</v>
      </c>
      <c r="M26" s="1001">
        <f t="shared" si="5"/>
        <v>52.461826419311841</v>
      </c>
      <c r="N26" s="1012" t="str">
        <f t="shared" si="0"/>
        <v>Arbre 5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4" t="s">
        <v>161</v>
      </c>
      <c r="B27" s="922">
        <v>1</v>
      </c>
      <c r="C27" s="981">
        <v>1.76</v>
      </c>
      <c r="D27" s="923">
        <v>991.91</v>
      </c>
      <c r="E27" s="923">
        <v>964.54</v>
      </c>
      <c r="F27" s="983"/>
      <c r="G27" s="1011">
        <f t="shared" si="1"/>
        <v>15.728452810599245</v>
      </c>
      <c r="H27" s="989">
        <f t="shared" si="6"/>
        <v>11.565325733397509</v>
      </c>
      <c r="I27" s="990">
        <f t="shared" si="7"/>
        <v>4.6033278333527541</v>
      </c>
      <c r="J27" s="1006">
        <f t="shared" si="2"/>
        <v>3.2976104993366055</v>
      </c>
      <c r="K27" s="1001">
        <f t="shared" si="3"/>
        <v>90.232628799121244</v>
      </c>
      <c r="L27" s="1000">
        <f t="shared" si="4"/>
        <v>6.9490050187561332</v>
      </c>
      <c r="M27" s="1001">
        <f t="shared" si="5"/>
        <v>60.166576529249269</v>
      </c>
      <c r="N27" s="1012" t="str">
        <f t="shared" si="0"/>
        <v>Arbre 6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4" t="s">
        <v>332</v>
      </c>
      <c r="B28" s="922">
        <v>1</v>
      </c>
      <c r="C28" s="981">
        <v>1.82</v>
      </c>
      <c r="D28" s="923">
        <v>974.31</v>
      </c>
      <c r="E28" s="923">
        <v>969.89</v>
      </c>
      <c r="F28" s="983" t="s">
        <v>368</v>
      </c>
      <c r="G28" s="1011">
        <f>IF(AND(H28=H29,H28&gt;=Azi_pv_sel+90),"",P65-P64)</f>
        <v>7.5010000000000012</v>
      </c>
      <c r="H28" s="989">
        <f t="shared" ref="H28:H33" si="8">DEGREES(ATAN2(CHOOSE($N$14,E$16,E$17,E$18,E$19)-$E28,CHOOSE($N$14,D$16,D$17,D$18,D$19)-$D28))</f>
        <v>28.962619135659587</v>
      </c>
      <c r="I28" s="990">
        <f t="shared" ref="I28:I33" si="9">DEGREES(ATAN2(M28,$L28-L$14))</f>
        <v>4.6221529336109812</v>
      </c>
      <c r="J28" s="1006">
        <f t="shared" ref="J28:J37" si="10">IF(B28="",0,C28*CHOOSE(B28,Rata1,Rata2,Rata3))</f>
        <v>3.4100290390867172</v>
      </c>
      <c r="K28" s="1001">
        <f t="shared" ref="K28:K37" si="11">IF(B28="",0,SQRT(+POWER(D28-CHOOSE(B28,$S$10,$S$11,$S$12),2)+POWER(E28-CHOOSE(B28,$T$10,$T$11,$T$12),2)))</f>
        <v>89.063178699168375</v>
      </c>
      <c r="L28" s="1000">
        <f t="shared" ref="L28:L37" si="12">IF(B28="",0,K28*TAN(RADIANS(J28))+CHOOSE(B28,Hobs1,Hobs2,Hobs3))</f>
        <v>7.0569725808568649</v>
      </c>
      <c r="M28" s="1001">
        <f t="shared" ref="M28:M37" si="13">IF(B28="",0,SQRT(POWER($E28-CHOOSE($N$14,E$16,E$17,E$18,E$19),2)+POWER($D28-CHOOSE($N$14,D$16,D$17,D$18,D$19),2)))</f>
        <v>61.255921601507318</v>
      </c>
      <c r="N28" s="1012" t="str">
        <f t="shared" ref="N28:N37" si="14">A28</f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4" t="s">
        <v>373</v>
      </c>
      <c r="B29" s="922">
        <v>1</v>
      </c>
      <c r="C29" s="981">
        <v>0.95</v>
      </c>
      <c r="D29" s="923">
        <v>997.59</v>
      </c>
      <c r="E29" s="923">
        <v>1014.3</v>
      </c>
      <c r="F29" s="983"/>
      <c r="G29" s="1011">
        <f>IF(AND(H29=H30,H29&gt;=Azi_pv_sel+90),"",P66-P65)</f>
        <v>10.383595418602695</v>
      </c>
      <c r="H29" s="989">
        <f t="shared" si="8"/>
        <v>34.794778543996756</v>
      </c>
      <c r="I29" s="990">
        <f t="shared" si="9"/>
        <v>4.5674605790438907</v>
      </c>
      <c r="J29" s="1006">
        <f t="shared" si="10"/>
        <v>1.7799602127100995</v>
      </c>
      <c r="K29" s="1001">
        <f t="shared" si="11"/>
        <v>40.163178410081059</v>
      </c>
      <c r="L29" s="1000">
        <f t="shared" si="12"/>
        <v>2.9981175262967708</v>
      </c>
      <c r="M29" s="1001">
        <f t="shared" si="13"/>
        <v>11.184834878083883</v>
      </c>
      <c r="N29" s="1012" t="str">
        <f t="shared" si="14"/>
        <v>Arbre 12g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4" t="s">
        <v>374</v>
      </c>
      <c r="B30" s="922">
        <v>1</v>
      </c>
      <c r="C30" s="982">
        <v>1</v>
      </c>
      <c r="D30" s="923">
        <v>996.32</v>
      </c>
      <c r="E30" s="923">
        <v>1015.88</v>
      </c>
      <c r="F30" s="983"/>
      <c r="G30" s="1011">
        <f>IF(AND(H30=H31,H30&gt;=Azi_pv_sel+90),"",P67-P66)</f>
        <v>13.354565024695816</v>
      </c>
      <c r="H30" s="989">
        <f t="shared" si="8"/>
        <v>45.178373962599451</v>
      </c>
      <c r="I30" s="990">
        <f t="shared" si="9"/>
        <v>4.8488974488967393</v>
      </c>
      <c r="J30" s="1006">
        <f t="shared" si="10"/>
        <v>1.8736423291685258</v>
      </c>
      <c r="K30" s="1001">
        <f t="shared" si="11"/>
        <v>38.817367247148511</v>
      </c>
      <c r="L30" s="1000">
        <f t="shared" si="12"/>
        <v>3.019828234207965</v>
      </c>
      <c r="M30" s="1001">
        <f t="shared" si="13"/>
        <v>10.788733996628185</v>
      </c>
      <c r="N30" s="1012" t="str">
        <f t="shared" si="14"/>
        <v>Arbre 12d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4" t="s">
        <v>334</v>
      </c>
      <c r="B31" s="922">
        <v>1</v>
      </c>
      <c r="C31" s="981">
        <v>1.93</v>
      </c>
      <c r="D31" s="923">
        <v>954.39</v>
      </c>
      <c r="E31" s="923">
        <v>993.14</v>
      </c>
      <c r="F31" s="983"/>
      <c r="G31" s="1011">
        <f>IF(AND(H31=H32,H31&gt;=Azi_pv_sel+90),"",P68-P67)</f>
        <v>9.2667534417713426</v>
      </c>
      <c r="H31" s="989">
        <f t="shared" si="8"/>
        <v>58.532938987295267</v>
      </c>
      <c r="I31" s="990">
        <f t="shared" si="9"/>
        <v>4.5148592998506984</v>
      </c>
      <c r="J31" s="1006">
        <f t="shared" si="10"/>
        <v>3.6161296952952546</v>
      </c>
      <c r="K31" s="1001">
        <f t="shared" si="11"/>
        <v>78.243829788680443</v>
      </c>
      <c r="L31" s="1000">
        <f t="shared" si="12"/>
        <v>6.6947990089130265</v>
      </c>
      <c r="M31" s="1001">
        <f t="shared" si="13"/>
        <v>58.131259501665809</v>
      </c>
      <c r="N31" s="1012" t="str">
        <f t="shared" si="14"/>
        <v>Arbre 9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4" t="s">
        <v>371</v>
      </c>
      <c r="B32" s="922">
        <v>1</v>
      </c>
      <c r="C32" s="981">
        <v>1.2</v>
      </c>
      <c r="D32" s="923">
        <v>996.07</v>
      </c>
      <c r="E32" s="923">
        <v>1020.26</v>
      </c>
      <c r="F32" s="983"/>
      <c r="G32" s="1011">
        <f t="shared" ref="G32:G38" si="15">IF(AND(H32=H33,H32&gt;=Azi_pv_sel+90),"",P69-P68)</f>
        <v>11.927085649535499</v>
      </c>
      <c r="H32" s="989">
        <f t="shared" si="8"/>
        <v>67.79969242906661</v>
      </c>
      <c r="I32" s="990">
        <f t="shared" si="9"/>
        <v>6.7018082668887464</v>
      </c>
      <c r="J32" s="1006">
        <f t="shared" si="10"/>
        <v>2.2483707950022307</v>
      </c>
      <c r="K32" s="1001">
        <f t="shared" si="11"/>
        <v>34.57655997926917</v>
      </c>
      <c r="L32" s="1000">
        <f t="shared" si="12"/>
        <v>3.1075320407030249</v>
      </c>
      <c r="M32" s="1001">
        <f t="shared" si="13"/>
        <v>8.5352288340735569</v>
      </c>
      <c r="N32" s="1012" t="str">
        <f t="shared" si="14"/>
        <v>Arbre 13g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4" t="s">
        <v>372</v>
      </c>
      <c r="B33" s="922">
        <v>1</v>
      </c>
      <c r="C33" s="981">
        <v>1.25</v>
      </c>
      <c r="D33" s="923">
        <v>996</v>
      </c>
      <c r="E33" s="923">
        <v>1022.04</v>
      </c>
      <c r="F33" s="983"/>
      <c r="G33" s="1011">
        <f t="shared" si="15"/>
        <v>20</v>
      </c>
      <c r="H33" s="989">
        <f t="shared" si="8"/>
        <v>79.726778078602109</v>
      </c>
      <c r="I33" s="990">
        <f t="shared" si="9"/>
        <v>6.9608000945710513</v>
      </c>
      <c r="J33" s="1006">
        <f t="shared" si="10"/>
        <v>2.3420529114606574</v>
      </c>
      <c r="K33" s="1001">
        <f t="shared" si="11"/>
        <v>32.856840992402184</v>
      </c>
      <c r="L33" s="1000">
        <f t="shared" si="12"/>
        <v>3.0938223400271316</v>
      </c>
      <c r="M33" s="1001">
        <f t="shared" si="13"/>
        <v>8.1023935506738649</v>
      </c>
      <c r="N33" s="1012" t="str">
        <f t="shared" si="14"/>
        <v>Arbre 13d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4" t="s">
        <v>338</v>
      </c>
      <c r="B34" s="922"/>
      <c r="C34" s="982"/>
      <c r="D34" s="923"/>
      <c r="E34" s="923"/>
      <c r="F34" s="983"/>
      <c r="G34" s="1011">
        <f t="shared" si="15"/>
        <v>74.273221921397891</v>
      </c>
      <c r="H34" s="989">
        <f>+H33+20</f>
        <v>99.726778078602109</v>
      </c>
      <c r="I34" s="990">
        <v>1</v>
      </c>
      <c r="J34" s="1006">
        <f t="shared" si="10"/>
        <v>0</v>
      </c>
      <c r="K34" s="1001">
        <f t="shared" si="11"/>
        <v>0</v>
      </c>
      <c r="L34" s="1000">
        <f t="shared" si="12"/>
        <v>0</v>
      </c>
      <c r="M34" s="1001">
        <f t="shared" si="13"/>
        <v>0</v>
      </c>
      <c r="N34" s="1012" t="str">
        <f t="shared" si="14"/>
        <v>creux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4" t="s">
        <v>286</v>
      </c>
      <c r="B35" s="922"/>
      <c r="C35" s="981"/>
      <c r="D35" s="923"/>
      <c r="E35" s="923"/>
      <c r="F35" s="983"/>
      <c r="G35" s="1011" t="str">
        <f t="shared" si="15"/>
        <v/>
      </c>
      <c r="H35" s="989">
        <f>+Azi_pv_sel+90</f>
        <v>174</v>
      </c>
      <c r="I35" s="990">
        <v>1</v>
      </c>
      <c r="J35" s="1006">
        <f t="shared" si="10"/>
        <v>0</v>
      </c>
      <c r="K35" s="1001">
        <f t="shared" si="11"/>
        <v>0</v>
      </c>
      <c r="L35" s="1000">
        <f t="shared" si="12"/>
        <v>0</v>
      </c>
      <c r="M35" s="1001">
        <f t="shared" si="13"/>
        <v>0</v>
      </c>
      <c r="N35" s="1012" t="str">
        <f t="shared" si="14"/>
        <v>Toiture D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4"/>
      <c r="B36" s="922"/>
      <c r="C36" s="982"/>
      <c r="D36" s="923"/>
      <c r="E36" s="923"/>
      <c r="F36" s="983"/>
      <c r="G36" s="1011" t="str">
        <f t="shared" si="15"/>
        <v/>
      </c>
      <c r="H36" s="989">
        <f t="shared" ref="H36:H42" si="16">+H35</f>
        <v>174</v>
      </c>
      <c r="I36" s="990">
        <f t="shared" ref="I36:I41" si="17">+I35</f>
        <v>1</v>
      </c>
      <c r="J36" s="1006">
        <f t="shared" si="10"/>
        <v>0</v>
      </c>
      <c r="K36" s="1001">
        <f t="shared" si="11"/>
        <v>0</v>
      </c>
      <c r="L36" s="1000">
        <f t="shared" si="12"/>
        <v>0</v>
      </c>
      <c r="M36" s="1001">
        <f t="shared" si="13"/>
        <v>0</v>
      </c>
      <c r="N36" s="1012">
        <f t="shared" si="14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4"/>
      <c r="B37" s="922"/>
      <c r="C37" s="981"/>
      <c r="D37" s="923"/>
      <c r="E37" s="923"/>
      <c r="F37" s="983"/>
      <c r="G37" s="1011" t="str">
        <f t="shared" si="15"/>
        <v/>
      </c>
      <c r="H37" s="989">
        <f t="shared" si="16"/>
        <v>174</v>
      </c>
      <c r="I37" s="990">
        <f t="shared" si="17"/>
        <v>1</v>
      </c>
      <c r="J37" s="1006">
        <f t="shared" si="10"/>
        <v>0</v>
      </c>
      <c r="K37" s="1001">
        <f t="shared" si="11"/>
        <v>0</v>
      </c>
      <c r="L37" s="1000">
        <f t="shared" si="12"/>
        <v>0</v>
      </c>
      <c r="M37" s="1001">
        <f t="shared" si="13"/>
        <v>0</v>
      </c>
      <c r="N37" s="1012">
        <f t="shared" si="14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4"/>
      <c r="B38" s="922"/>
      <c r="C38" s="981"/>
      <c r="D38" s="923"/>
      <c r="E38" s="923"/>
      <c r="F38" s="983"/>
      <c r="G38" s="1011" t="str">
        <f t="shared" si="15"/>
        <v/>
      </c>
      <c r="H38" s="989">
        <f t="shared" si="16"/>
        <v>174</v>
      </c>
      <c r="I38" s="990">
        <f t="shared" si="17"/>
        <v>1</v>
      </c>
      <c r="J38" s="1006">
        <f t="shared" si="2"/>
        <v>0</v>
      </c>
      <c r="K38" s="1001">
        <f t="shared" si="3"/>
        <v>0</v>
      </c>
      <c r="L38" s="1000">
        <f t="shared" si="4"/>
        <v>0</v>
      </c>
      <c r="M38" s="1001">
        <f t="shared" si="5"/>
        <v>0</v>
      </c>
      <c r="N38" s="1012">
        <f t="shared" si="0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4"/>
      <c r="B39" s="922"/>
      <c r="C39" s="981"/>
      <c r="D39" s="923"/>
      <c r="E39" s="923"/>
      <c r="F39" s="983"/>
      <c r="G39" s="1011" t="str">
        <f t="shared" ref="G39" si="18">IF(AND(H39=H40,H39&gt;=Azi_pv_sel+90),"",P76-P75)</f>
        <v/>
      </c>
      <c r="H39" s="989">
        <f t="shared" si="16"/>
        <v>174</v>
      </c>
      <c r="I39" s="990">
        <f t="shared" si="17"/>
        <v>1</v>
      </c>
      <c r="J39" s="1006">
        <f t="shared" si="2"/>
        <v>0</v>
      </c>
      <c r="K39" s="1001">
        <f t="shared" si="3"/>
        <v>0</v>
      </c>
      <c r="L39" s="1000">
        <f t="shared" si="4"/>
        <v>0</v>
      </c>
      <c r="M39" s="1001">
        <f t="shared" si="5"/>
        <v>0</v>
      </c>
      <c r="N39" s="1012">
        <f t="shared" si="0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4"/>
      <c r="B40" s="922"/>
      <c r="C40" s="981"/>
      <c r="D40" s="923"/>
      <c r="E40" s="923"/>
      <c r="F40" s="983"/>
      <c r="G40" s="1011" t="str">
        <f t="shared" si="1"/>
        <v/>
      </c>
      <c r="H40" s="989">
        <f t="shared" si="16"/>
        <v>174</v>
      </c>
      <c r="I40" s="990">
        <f t="shared" si="17"/>
        <v>1</v>
      </c>
      <c r="J40" s="1006">
        <f t="shared" si="2"/>
        <v>0</v>
      </c>
      <c r="K40" s="1001">
        <f t="shared" si="3"/>
        <v>0</v>
      </c>
      <c r="L40" s="1000">
        <f t="shared" si="4"/>
        <v>0</v>
      </c>
      <c r="M40" s="1001">
        <f t="shared" si="5"/>
        <v>0</v>
      </c>
      <c r="N40" s="1012">
        <f t="shared" si="0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4"/>
      <c r="B41" s="922"/>
      <c r="C41" s="981"/>
      <c r="D41" s="923"/>
      <c r="E41" s="923"/>
      <c r="F41" s="983"/>
      <c r="G41" s="1011" t="str">
        <f t="shared" si="1"/>
        <v/>
      </c>
      <c r="H41" s="989">
        <f t="shared" si="16"/>
        <v>174</v>
      </c>
      <c r="I41" s="990">
        <f t="shared" si="17"/>
        <v>1</v>
      </c>
      <c r="J41" s="1006">
        <f t="shared" si="2"/>
        <v>0</v>
      </c>
      <c r="K41" s="1001">
        <f t="shared" si="3"/>
        <v>0</v>
      </c>
      <c r="L41" s="1000">
        <f t="shared" si="4"/>
        <v>0</v>
      </c>
      <c r="M41" s="1001">
        <f t="shared" si="5"/>
        <v>0</v>
      </c>
      <c r="N41" s="1012">
        <f t="shared" si="0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4"/>
      <c r="B42" s="922"/>
      <c r="C42" s="981"/>
      <c r="D42" s="923"/>
      <c r="E42" s="923"/>
      <c r="F42" s="983"/>
      <c r="G42" s="1011" t="str">
        <f t="shared" si="1"/>
        <v/>
      </c>
      <c r="H42" s="989">
        <f t="shared" si="16"/>
        <v>174</v>
      </c>
      <c r="I42" s="990">
        <f t="shared" ref="I42:I43" si="19">+I41</f>
        <v>1</v>
      </c>
      <c r="J42" s="1006">
        <f t="shared" si="2"/>
        <v>0</v>
      </c>
      <c r="K42" s="1001">
        <f t="shared" si="3"/>
        <v>0</v>
      </c>
      <c r="L42" s="1000">
        <f t="shared" si="4"/>
        <v>0</v>
      </c>
      <c r="M42" s="1001">
        <f t="shared" si="5"/>
        <v>0</v>
      </c>
      <c r="N42" s="1012">
        <f t="shared" si="0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68"/>
      <c r="B43" s="969"/>
      <c r="C43" s="1138"/>
      <c r="D43" s="979"/>
      <c r="E43" s="979"/>
      <c r="F43" s="998"/>
      <c r="G43" s="1111"/>
      <c r="H43" s="991">
        <f t="shared" ref="H43" si="20">+H42</f>
        <v>174</v>
      </c>
      <c r="I43" s="992">
        <f t="shared" si="19"/>
        <v>1</v>
      </c>
      <c r="J43" s="1008"/>
      <c r="K43" s="1003"/>
      <c r="L43" s="1002"/>
      <c r="M43" s="1003"/>
      <c r="N43" s="1013">
        <f t="shared" si="0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67" t="s">
        <v>187</v>
      </c>
      <c r="B44" s="925"/>
      <c r="C44" s="926"/>
      <c r="D44" s="624"/>
      <c r="E44" s="658"/>
      <c r="F44" s="977"/>
      <c r="G44" s="624"/>
      <c r="H44" s="927"/>
      <c r="I44" s="927"/>
      <c r="J44" s="926"/>
      <c r="K44" s="624"/>
      <c r="L44" s="925"/>
      <c r="M44" s="925"/>
      <c r="N44" s="1017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4" t="s">
        <v>158</v>
      </c>
      <c r="B45" s="922">
        <v>2</v>
      </c>
      <c r="C45" s="981">
        <v>9.0299999999999994</v>
      </c>
      <c r="D45" s="923">
        <v>1038.19</v>
      </c>
      <c r="E45" s="923">
        <v>916.22</v>
      </c>
      <c r="F45" s="983"/>
      <c r="G45" s="1011"/>
      <c r="H45" s="989"/>
      <c r="I45" s="990"/>
      <c r="J45" s="1006"/>
      <c r="K45" s="1001"/>
      <c r="L45" s="1000"/>
      <c r="M45" s="1001"/>
      <c r="N45" s="101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4" t="s">
        <v>333</v>
      </c>
      <c r="B46" s="922">
        <v>1</v>
      </c>
      <c r="C46" s="981">
        <v>1.5</v>
      </c>
      <c r="D46" s="923">
        <v>955.25</v>
      </c>
      <c r="E46" s="923">
        <v>985.89</v>
      </c>
      <c r="F46" s="983"/>
      <c r="G46" s="1011"/>
      <c r="H46" s="989"/>
      <c r="I46" s="990"/>
      <c r="J46" s="1006"/>
      <c r="K46" s="1001"/>
      <c r="L46" s="1000"/>
      <c r="M46" s="1001"/>
      <c r="N46" s="101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24" t="s">
        <v>334</v>
      </c>
      <c r="B47" s="922">
        <v>1</v>
      </c>
      <c r="C47" s="981">
        <v>1.93</v>
      </c>
      <c r="D47" s="923">
        <v>954.39</v>
      </c>
      <c r="E47" s="923">
        <v>993.14</v>
      </c>
      <c r="F47" s="983"/>
      <c r="G47" s="1011"/>
      <c r="H47" s="989"/>
      <c r="I47" s="990"/>
      <c r="J47" s="1006"/>
      <c r="K47" s="1001"/>
      <c r="L47" s="1000"/>
      <c r="M47" s="1001"/>
      <c r="N47" s="101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4" t="s">
        <v>335</v>
      </c>
      <c r="B48" s="922">
        <v>1</v>
      </c>
      <c r="C48" s="981">
        <v>2.27</v>
      </c>
      <c r="D48" s="923">
        <v>954.29</v>
      </c>
      <c r="E48" s="923">
        <v>999.93</v>
      </c>
      <c r="F48" s="983"/>
      <c r="G48" s="1011"/>
      <c r="H48" s="989"/>
      <c r="I48" s="990"/>
      <c r="J48" s="1006"/>
      <c r="K48" s="1001"/>
      <c r="L48" s="1000"/>
      <c r="M48" s="1001"/>
      <c r="N48" s="1012"/>
      <c r="O48" s="696"/>
      <c r="P48" s="69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4" t="s">
        <v>337</v>
      </c>
      <c r="B49" s="922">
        <v>1</v>
      </c>
      <c r="C49" s="981">
        <v>1.53</v>
      </c>
      <c r="D49" s="923">
        <v>978.4</v>
      </c>
      <c r="E49" s="923">
        <v>1014.61</v>
      </c>
      <c r="F49" s="983"/>
      <c r="G49" s="1011"/>
      <c r="H49" s="989"/>
      <c r="I49" s="990"/>
      <c r="J49" s="1006"/>
      <c r="K49" s="1001"/>
      <c r="L49" s="1000"/>
      <c r="M49" s="1001"/>
      <c r="N49" s="101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4" t="s">
        <v>336</v>
      </c>
      <c r="B50" s="922">
        <v>1</v>
      </c>
      <c r="C50" s="981">
        <v>1.88</v>
      </c>
      <c r="D50" s="923">
        <v>987.78</v>
      </c>
      <c r="E50" s="923">
        <v>1010.62</v>
      </c>
      <c r="F50" s="983"/>
      <c r="G50" s="1011"/>
      <c r="H50" s="989"/>
      <c r="I50" s="990"/>
      <c r="J50" s="1006"/>
      <c r="K50" s="1001"/>
      <c r="L50" s="1000"/>
      <c r="M50" s="1001"/>
      <c r="N50" s="1012"/>
      <c r="O50" s="696"/>
      <c r="P50" s="69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4" t="s">
        <v>338</v>
      </c>
      <c r="B51" s="922"/>
      <c r="C51" s="981"/>
      <c r="D51" s="923"/>
      <c r="E51" s="923"/>
      <c r="F51" s="983"/>
      <c r="G51" s="1011">
        <f>IF(AND(H51=H52,H51&gt;=Azi_pv_sel+90),"",P88-P87)</f>
        <v>0</v>
      </c>
      <c r="H51" s="989">
        <f>+H50+20</f>
        <v>20</v>
      </c>
      <c r="I51" s="990">
        <v>1</v>
      </c>
      <c r="J51" s="1006"/>
      <c r="K51" s="1001"/>
      <c r="L51" s="1000"/>
      <c r="M51" s="1001"/>
      <c r="N51" s="1012"/>
      <c r="O51" s="696"/>
      <c r="P51" s="69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9" t="s">
        <v>169</v>
      </c>
      <c r="C52" s="633"/>
      <c r="F52" s="15"/>
      <c r="K52" s="15"/>
      <c r="L52" s="633"/>
      <c r="M52" s="928"/>
      <c r="N52" s="41"/>
      <c r="O52" s="929"/>
      <c r="P52" s="21"/>
      <c r="R52" s="21"/>
      <c r="S52" s="342"/>
    </row>
    <row r="53" spans="1:51" s="36" customFormat="1" ht="15.75" x14ac:dyDescent="0.25">
      <c r="A53" s="694"/>
      <c r="B53" s="694" t="s">
        <v>198</v>
      </c>
      <c r="C53" s="1108">
        <v>1</v>
      </c>
      <c r="E53" s="692"/>
      <c r="G53" s="694" t="s">
        <v>329</v>
      </c>
      <c r="H53" s="1137">
        <f>I1</f>
        <v>44600</v>
      </c>
      <c r="L53" s="1034"/>
      <c r="P53" s="691" t="s">
        <v>287</v>
      </c>
      <c r="R53" s="692"/>
      <c r="V53" s="692"/>
      <c r="X53" s="692"/>
      <c r="Y53" s="698"/>
      <c r="Z53" s="692"/>
      <c r="AA53" s="691" t="s">
        <v>288</v>
      </c>
      <c r="AM53" s="82"/>
      <c r="AN53" s="1226" t="s">
        <v>319</v>
      </c>
      <c r="AO53" s="1227"/>
      <c r="AP53" s="1222" t="s">
        <v>320</v>
      </c>
      <c r="AQ53" s="1223"/>
      <c r="AR53" s="1222" t="s">
        <v>321</v>
      </c>
      <c r="AS53" s="1223"/>
      <c r="AT53" s="1222" t="s">
        <v>322</v>
      </c>
      <c r="AU53" s="1223"/>
      <c r="AV53" s="1222" t="s">
        <v>323</v>
      </c>
      <c r="AW53" s="1223"/>
    </row>
    <row r="54" spans="1:51" s="4" customFormat="1" x14ac:dyDescent="0.25">
      <c r="A54" s="716" t="str">
        <f>Station</f>
        <v>Maternelle Labège</v>
      </c>
      <c r="B54" s="1235" t="s">
        <v>309</v>
      </c>
      <c r="C54" s="1232" t="str">
        <f>"Hauteur fonction de la croissance vue du champ PV "&amp;ZonePV</f>
        <v>Hauteur fonction de la croissance vue du champ PV 4</v>
      </c>
      <c r="D54" s="1233"/>
      <c r="E54" s="1233"/>
      <c r="F54" s="1233"/>
      <c r="G54" s="1233"/>
      <c r="H54" s="1233"/>
      <c r="I54" s="1233"/>
      <c r="J54" s="1233"/>
      <c r="K54" s="1233"/>
      <c r="L54" s="1233"/>
      <c r="M54" s="1234"/>
      <c r="O54" s="930" t="str">
        <f>Station</f>
        <v>Maternelle Labège</v>
      </c>
      <c r="P54" s="931">
        <f>Azi_pv_sel</f>
        <v>84</v>
      </c>
      <c r="Q54" s="1232" t="str">
        <f>"Elevation vue du champ PV zone: "&amp;ZonePV</f>
        <v>Elevation vue du champ PV zone: 4</v>
      </c>
      <c r="R54" s="1233"/>
      <c r="S54" s="1233"/>
      <c r="T54" s="1233"/>
      <c r="U54" s="1233"/>
      <c r="V54" s="1233"/>
      <c r="W54" s="1233"/>
      <c r="X54" s="1233"/>
      <c r="Y54" s="1233"/>
      <c r="Z54" s="1234"/>
      <c r="AA54" s="932">
        <f>Ram_pv</f>
        <v>0.3</v>
      </c>
      <c r="AB54" s="2"/>
      <c r="AC54" s="2"/>
      <c r="AD54" s="28"/>
      <c r="AG54" s="933"/>
      <c r="AH54" s="934" t="s">
        <v>289</v>
      </c>
      <c r="AJ54" s="1230" t="s">
        <v>316</v>
      </c>
      <c r="AK54" s="1075"/>
      <c r="AL54" s="1075"/>
      <c r="AM54" s="1075"/>
      <c r="AN54" s="1228" t="s">
        <v>310</v>
      </c>
      <c r="AO54" s="1229"/>
      <c r="AP54" s="1224" t="s">
        <v>310</v>
      </c>
      <c r="AQ54" s="1225"/>
      <c r="AR54" s="1224" t="s">
        <v>310</v>
      </c>
      <c r="AS54" s="1225"/>
      <c r="AT54" s="1224" t="s">
        <v>310</v>
      </c>
      <c r="AU54" s="1225"/>
      <c r="AV54" s="1224" t="s">
        <v>310</v>
      </c>
      <c r="AW54" s="1225"/>
    </row>
    <row r="55" spans="1:51" s="19" customFormat="1" ht="13.5" thickBot="1" x14ac:dyDescent="0.25">
      <c r="A55" s="717" t="s">
        <v>308</v>
      </c>
      <c r="B55" s="1235"/>
      <c r="C55" s="699">
        <f>+D$55-$C$53</f>
        <v>-5</v>
      </c>
      <c r="D55" s="699">
        <f>+E$55-$C$53</f>
        <v>-4</v>
      </c>
      <c r="E55" s="699">
        <f>+F$55-$C$53</f>
        <v>-3</v>
      </c>
      <c r="F55" s="699">
        <f>+G$55-$C$53</f>
        <v>-2</v>
      </c>
      <c r="G55" s="699">
        <f>+H$55-$C$53</f>
        <v>-1</v>
      </c>
      <c r="H55" s="700">
        <v>0</v>
      </c>
      <c r="I55" s="699">
        <f>$C$53+H$55</f>
        <v>1</v>
      </c>
      <c r="J55" s="699">
        <f>$C$53+I$55</f>
        <v>2</v>
      </c>
      <c r="K55" s="699">
        <f>$C$53+J$55</f>
        <v>3</v>
      </c>
      <c r="L55" s="699">
        <f>$C$53+K$55</f>
        <v>4</v>
      </c>
      <c r="M55" s="699">
        <f>$C$53+L$55</f>
        <v>5</v>
      </c>
      <c r="N55" s="681" t="s">
        <v>154</v>
      </c>
      <c r="O55" s="681" t="str">
        <f>"zone "&amp;ZonePV</f>
        <v>zone 4</v>
      </c>
      <c r="P55" s="701" t="s">
        <v>153</v>
      </c>
      <c r="Q55" s="699">
        <f t="shared" ref="Q55:AA55" si="21">C55</f>
        <v>-5</v>
      </c>
      <c r="R55" s="699">
        <f t="shared" si="21"/>
        <v>-4</v>
      </c>
      <c r="S55" s="699">
        <f t="shared" si="21"/>
        <v>-3</v>
      </c>
      <c r="T55" s="699">
        <f t="shared" si="21"/>
        <v>-2</v>
      </c>
      <c r="U55" s="699">
        <f t="shared" si="21"/>
        <v>-1</v>
      </c>
      <c r="V55" s="700">
        <f t="shared" si="21"/>
        <v>0</v>
      </c>
      <c r="W55" s="699">
        <f t="shared" si="21"/>
        <v>1</v>
      </c>
      <c r="X55" s="699">
        <f t="shared" si="21"/>
        <v>2</v>
      </c>
      <c r="Y55" s="699">
        <f t="shared" si="21"/>
        <v>3</v>
      </c>
      <c r="Z55" s="699">
        <f t="shared" si="21"/>
        <v>4</v>
      </c>
      <c r="AA55" s="699">
        <f t="shared" si="21"/>
        <v>5</v>
      </c>
      <c r="AB55" s="124" t="s">
        <v>296</v>
      </c>
      <c r="AC55" s="936" t="s">
        <v>291</v>
      </c>
      <c r="AD55" s="935" t="s">
        <v>290</v>
      </c>
      <c r="AE55" s="936" t="s">
        <v>292</v>
      </c>
      <c r="AF55" s="937" t="s">
        <v>293</v>
      </c>
      <c r="AG55" s="938" t="s">
        <v>294</v>
      </c>
      <c r="AH55" s="939" t="s">
        <v>295</v>
      </c>
      <c r="AJ55" s="1231"/>
      <c r="AK55" s="82" t="s">
        <v>312</v>
      </c>
      <c r="AL55" s="82" t="s">
        <v>314</v>
      </c>
      <c r="AM55" s="82" t="s">
        <v>315</v>
      </c>
      <c r="AN55" s="1084" t="s">
        <v>313</v>
      </c>
      <c r="AO55" s="1085" t="s">
        <v>311</v>
      </c>
      <c r="AP55" s="1086" t="s">
        <v>313</v>
      </c>
      <c r="AQ55" s="1087" t="s">
        <v>311</v>
      </c>
      <c r="AR55" s="1086" t="s">
        <v>313</v>
      </c>
      <c r="AS55" s="1087" t="s">
        <v>311</v>
      </c>
      <c r="AT55" s="1086" t="s">
        <v>313</v>
      </c>
      <c r="AU55" s="1087" t="s">
        <v>311</v>
      </c>
      <c r="AV55" s="1086" t="s">
        <v>313</v>
      </c>
      <c r="AW55" s="1087" t="s">
        <v>311</v>
      </c>
    </row>
    <row r="56" spans="1:51" s="28" customFormat="1" ht="12.75" x14ac:dyDescent="0.2">
      <c r="A56" s="1035" t="str">
        <f t="shared" ref="A56:A79" si="22">A20</f>
        <v>Toiture D</v>
      </c>
      <c r="B56" s="1038">
        <v>1</v>
      </c>
      <c r="C56" s="1094">
        <f t="shared" ref="C56:M56" si="23">$L20+C$55*Rapous</f>
        <v>-5</v>
      </c>
      <c r="D56" s="1094">
        <f t="shared" si="23"/>
        <v>-4</v>
      </c>
      <c r="E56" s="1094">
        <f t="shared" si="23"/>
        <v>-3</v>
      </c>
      <c r="F56" s="1094">
        <f t="shared" si="23"/>
        <v>-2</v>
      </c>
      <c r="G56" s="1095">
        <f t="shared" si="23"/>
        <v>-1</v>
      </c>
      <c r="H56" s="1096">
        <f t="shared" si="23"/>
        <v>0</v>
      </c>
      <c r="I56" s="1097">
        <f t="shared" si="23"/>
        <v>1</v>
      </c>
      <c r="J56" s="1094">
        <f t="shared" si="23"/>
        <v>2</v>
      </c>
      <c r="K56" s="1094">
        <f t="shared" si="23"/>
        <v>3</v>
      </c>
      <c r="L56" s="1094">
        <f t="shared" si="23"/>
        <v>4</v>
      </c>
      <c r="M56" s="1095">
        <f t="shared" si="23"/>
        <v>5</v>
      </c>
      <c r="N56" s="696">
        <f t="shared" ref="N56:N79" si="24">$M20</f>
        <v>0</v>
      </c>
      <c r="O56" s="940" t="str">
        <f t="shared" ref="O56:O79" si="25">N20</f>
        <v>Toiture D</v>
      </c>
      <c r="P56" s="686">
        <f t="shared" ref="P56:P79" si="26">$H20+Azi_decal</f>
        <v>-186</v>
      </c>
      <c r="Q56" s="1098">
        <f t="shared" ref="Q56:Q79" si="27">MAX(IF($N56=0,$I20,DEGREES(ATAN2($N56,C56-H_pv))),Elev_F+0)</f>
        <v>1</v>
      </c>
      <c r="R56" s="696">
        <f t="shared" ref="R56:R79" si="28">MAX(IF($N56=0,$I20,DEGREES(ATAN2($N56,D56-H_pv))),Elev_F+0)</f>
        <v>1</v>
      </c>
      <c r="S56" s="696">
        <f t="shared" ref="S56:S79" si="29">MAX(IF($N56=0,$I20,DEGREES(ATAN2($N56,E56-H_pv))),Elev_F+0)</f>
        <v>1</v>
      </c>
      <c r="T56" s="696">
        <f t="shared" ref="T56:T79" si="30">MAX(IF($N56=0,$I20,DEGREES(ATAN2($N56,F56-H_pv))),Elev_F+0)</f>
        <v>1</v>
      </c>
      <c r="U56" s="956">
        <f t="shared" ref="U56:U79" si="31">MAX(IF($N56=0,$I20,DEGREES(ATAN2($N56,G56-H_pv))),Elev_F+0)</f>
        <v>1</v>
      </c>
      <c r="V56" s="1099">
        <f t="shared" ref="V56:V79" si="32">MAX(IF($N56=0,$I20,DEGREES(ATAN2($N56,H56-H_pv))),Elev_F+0)</f>
        <v>1</v>
      </c>
      <c r="W56" s="693">
        <f t="shared" ref="W56:W79" si="33">MAX(IF($N56=0,$I20,DEGREES(ATAN2($N56,I56-H_pv))),Elev_F+0)</f>
        <v>1</v>
      </c>
      <c r="X56" s="696">
        <f t="shared" ref="X56:X79" si="34">MAX(IF($N56=0,$I20,DEGREES(ATAN2($N56,J56-H_pv))),Elev_F+0)</f>
        <v>1</v>
      </c>
      <c r="Y56" s="696">
        <f t="shared" ref="Y56:Y79" si="35">MAX(IF($N56=0,$I20,DEGREES(ATAN2($N56,K56-H_pv))),Elev_F+0)</f>
        <v>1</v>
      </c>
      <c r="Z56" s="696">
        <f t="shared" ref="Z56:Z79" si="36">MAX(IF($N56=0,$I20,DEGREES(ATAN2($N56,L56-H_pv))),Elev_F+0)</f>
        <v>1</v>
      </c>
      <c r="AA56" s="956">
        <f t="shared" ref="AA56:AA79" si="37">MAX(IF($N56=0,$I20,DEGREES(ATAN2($N56,M56-H_pv))),Elev_F+0)</f>
        <v>1</v>
      </c>
      <c r="AB56" s="1062">
        <f t="shared" ref="AB56:AB78" si="38">(AA56+AA57)/2</f>
        <v>8.8496221169968106</v>
      </c>
      <c r="AC56" s="1063">
        <f>INDEX($AH$56:$AH$82,MATCH(AB56,$AG$56:$AG$82)+1)</f>
        <v>7.5010000000000003</v>
      </c>
      <c r="AD56" s="1064" t="b">
        <f t="shared" ref="AD56:AD79" si="39">G20&lt;AC56</f>
        <v>0</v>
      </c>
      <c r="AE56" s="1063">
        <f t="shared" ref="AE56:AE79" si="40">H21-H20</f>
        <v>90</v>
      </c>
      <c r="AF56" s="1065">
        <f>+IF(F15="D",AC55-AE55,IF(F20="G",AE56-AC56,0))</f>
        <v>0</v>
      </c>
      <c r="AG56" s="941">
        <v>-10</v>
      </c>
      <c r="AH56" s="942">
        <v>7.5</v>
      </c>
      <c r="AJ56" s="1076">
        <f>AM56+(INDEX($AO$56:$AO$79,$AK56+1)-AM56)/(INDEX($AN$56:$AN$79,AK56+1)-AL56)*($H20-AL56)</f>
        <v>1</v>
      </c>
      <c r="AK56" s="82">
        <f>MATCH($H20,$AN$56:$AN$79)</f>
        <v>1</v>
      </c>
      <c r="AL56" s="1077">
        <f>INDEX($AN$56:$AN$79,$AK56)</f>
        <v>-186</v>
      </c>
      <c r="AM56" s="1077">
        <f>INDEX($AO$56:$AO$79,$AK56)</f>
        <v>1</v>
      </c>
      <c r="AN56" s="1088">
        <f t="shared" ref="AN56:AN67" si="41">IF(AND(AX56=0,AX57=0),MAX(AN55,$H$43+1),AX56)</f>
        <v>-186</v>
      </c>
      <c r="AO56" s="1089">
        <f>IF(AND(AY56=0,AY57=0),$I$43,AY56)</f>
        <v>1</v>
      </c>
      <c r="AP56" s="1081">
        <v>-186</v>
      </c>
      <c r="AQ56" s="1082">
        <v>1</v>
      </c>
      <c r="AR56" s="1081">
        <v>-186</v>
      </c>
      <c r="AS56" s="1082">
        <v>1</v>
      </c>
      <c r="AT56" s="1081">
        <v>-186</v>
      </c>
      <c r="AU56" s="1082">
        <v>1</v>
      </c>
      <c r="AV56" s="1081">
        <v>-186</v>
      </c>
      <c r="AW56" s="1082">
        <v>1</v>
      </c>
      <c r="AX56" s="28">
        <f t="shared" ref="AX56:AX79" si="42">CHOOSE(ZonePV,AP56,AR56,AT56,AV56)</f>
        <v>-186</v>
      </c>
      <c r="AY56" s="28">
        <f t="shared" ref="AY56:AY79" si="43">CHOOSE(ZonePV,AQ56,AS56,AU56,AW56)</f>
        <v>1</v>
      </c>
    </row>
    <row r="57" spans="1:51" s="28" customFormat="1" ht="12.75" x14ac:dyDescent="0.2">
      <c r="A57" s="1035" t="str">
        <f t="shared" si="22"/>
        <v>Arrière PV</v>
      </c>
      <c r="B57" s="1039">
        <v>1</v>
      </c>
      <c r="C57" s="1094">
        <f t="shared" ref="C57:M57" si="44">$L21+C$55*Rapous</f>
        <v>-5</v>
      </c>
      <c r="D57" s="1094">
        <f t="shared" si="44"/>
        <v>-4</v>
      </c>
      <c r="E57" s="1094">
        <f t="shared" si="44"/>
        <v>-3</v>
      </c>
      <c r="F57" s="1094">
        <f t="shared" si="44"/>
        <v>-2</v>
      </c>
      <c r="G57" s="1095">
        <f t="shared" si="44"/>
        <v>-1</v>
      </c>
      <c r="H57" s="1096">
        <f t="shared" si="44"/>
        <v>0</v>
      </c>
      <c r="I57" s="1097">
        <f t="shared" si="44"/>
        <v>1</v>
      </c>
      <c r="J57" s="1094">
        <f t="shared" si="44"/>
        <v>2</v>
      </c>
      <c r="K57" s="1094">
        <f t="shared" si="44"/>
        <v>3</v>
      </c>
      <c r="L57" s="1094">
        <f t="shared" si="44"/>
        <v>4</v>
      </c>
      <c r="M57" s="1095">
        <f t="shared" si="44"/>
        <v>5</v>
      </c>
      <c r="N57" s="696">
        <f t="shared" si="24"/>
        <v>0</v>
      </c>
      <c r="O57" s="940" t="str">
        <f t="shared" si="25"/>
        <v>Arrière PV</v>
      </c>
      <c r="P57" s="686">
        <f t="shared" si="26"/>
        <v>-96</v>
      </c>
      <c r="Q57" s="693">
        <f t="shared" si="27"/>
        <v>16.699244233993621</v>
      </c>
      <c r="R57" s="696">
        <f t="shared" si="28"/>
        <v>16.699244233993621</v>
      </c>
      <c r="S57" s="696">
        <f t="shared" si="29"/>
        <v>16.699244233993621</v>
      </c>
      <c r="T57" s="696">
        <f t="shared" si="30"/>
        <v>16.699244233993621</v>
      </c>
      <c r="U57" s="956">
        <f t="shared" si="31"/>
        <v>16.699244233993621</v>
      </c>
      <c r="V57" s="1099">
        <f t="shared" si="32"/>
        <v>16.699244233993621</v>
      </c>
      <c r="W57" s="693">
        <f t="shared" si="33"/>
        <v>16.699244233993621</v>
      </c>
      <c r="X57" s="696">
        <f t="shared" si="34"/>
        <v>16.699244233993621</v>
      </c>
      <c r="Y57" s="696">
        <f t="shared" si="35"/>
        <v>16.699244233993621</v>
      </c>
      <c r="Z57" s="696">
        <f t="shared" si="36"/>
        <v>16.699244233993621</v>
      </c>
      <c r="AA57" s="956">
        <f t="shared" si="37"/>
        <v>16.699244233993621</v>
      </c>
      <c r="AB57" s="1066">
        <f t="shared" si="38"/>
        <v>12.950517108857898</v>
      </c>
      <c r="AC57" s="1067">
        <f t="shared" ref="AC57:AC79" si="45">INDEX($AH$56:$AH$82,MATCH(AB57,$AG$56:$AG$82)+1)</f>
        <v>7.5010000000000003</v>
      </c>
      <c r="AD57" s="39" t="b">
        <f t="shared" si="39"/>
        <v>0</v>
      </c>
      <c r="AE57" s="1067">
        <f t="shared" si="40"/>
        <v>57.239114082996082</v>
      </c>
      <c r="AF57" s="1068">
        <f t="shared" ref="AF57:AF79" si="46">+IF(F20="D",AC56-AE56,IF(F21="G",AE57-AC57,0))</f>
        <v>0</v>
      </c>
      <c r="AG57" s="941">
        <v>22.98</v>
      </c>
      <c r="AH57" s="942">
        <v>7.5010000000000003</v>
      </c>
      <c r="AJ57" s="1076">
        <f t="shared" ref="AJ57:AJ79" si="47">AM57+(INDEX($AO$56:$AO$79,$AK57+1)-AM57)/(INDEX($AN$56:$AN$79,AK57+1)-AL57)*($H21-AL57)</f>
        <v>16.699244233993621</v>
      </c>
      <c r="AK57" s="82">
        <f t="shared" ref="AK57:AK79" si="48">MATCH($H21,$AN$56:$AN$79)</f>
        <v>2</v>
      </c>
      <c r="AL57" s="1077">
        <f t="shared" ref="AL57:AL79" si="49">INDEX($AN$56:$AN$79,$AK57)</f>
        <v>-96</v>
      </c>
      <c r="AM57" s="1077">
        <f t="shared" ref="AM57:AM79" si="50">INDEX($AO$56:$AO$79,$AK57)</f>
        <v>16.699244233993621</v>
      </c>
      <c r="AN57" s="1088">
        <f t="shared" si="41"/>
        <v>-96</v>
      </c>
      <c r="AO57" s="1089">
        <f t="shared" ref="AO57:AO79" si="51">IF(AND(AY57=0,AY58=0),$I$43,AY57)</f>
        <v>16.699244233993621</v>
      </c>
      <c r="AP57" s="1081">
        <v>-96</v>
      </c>
      <c r="AQ57" s="1082">
        <v>16.699244233993621</v>
      </c>
      <c r="AR57" s="1081">
        <v>-96</v>
      </c>
      <c r="AS57" s="1082">
        <v>16.699244233993621</v>
      </c>
      <c r="AT57" s="1081">
        <v>-96</v>
      </c>
      <c r="AU57" s="1082">
        <v>16.699244233993621</v>
      </c>
      <c r="AV57" s="1081">
        <v>-96</v>
      </c>
      <c r="AW57" s="1082">
        <v>16.699244233993621</v>
      </c>
      <c r="AX57" s="28">
        <f t="shared" si="42"/>
        <v>-96</v>
      </c>
      <c r="AY57" s="28">
        <f t="shared" si="43"/>
        <v>16.699244233993621</v>
      </c>
    </row>
    <row r="58" spans="1:51" s="19" customFormat="1" ht="12.75" x14ac:dyDescent="0.2">
      <c r="A58" s="1035" t="str">
        <f t="shared" si="22"/>
        <v>Arbre 0</v>
      </c>
      <c r="B58" s="1039">
        <v>1</v>
      </c>
      <c r="C58" s="1094">
        <f t="shared" ref="C58:M58" si="52">$L22+C$55*Rapous</f>
        <v>5.1191330235102193</v>
      </c>
      <c r="D58" s="1094">
        <f t="shared" si="52"/>
        <v>6.1191330235102193</v>
      </c>
      <c r="E58" s="1094">
        <f t="shared" si="52"/>
        <v>7.1191330235102193</v>
      </c>
      <c r="F58" s="1094">
        <f t="shared" si="52"/>
        <v>8.1191330235102193</v>
      </c>
      <c r="G58" s="1095">
        <f t="shared" si="52"/>
        <v>9.1191330235102193</v>
      </c>
      <c r="H58" s="1096">
        <f t="shared" si="52"/>
        <v>10.119133023510219</v>
      </c>
      <c r="I58" s="1097">
        <f t="shared" si="52"/>
        <v>11.119133023510219</v>
      </c>
      <c r="J58" s="1094">
        <f t="shared" si="52"/>
        <v>12.119133023510219</v>
      </c>
      <c r="K58" s="1094">
        <f t="shared" si="52"/>
        <v>13.119133023510219</v>
      </c>
      <c r="L58" s="1094">
        <f t="shared" si="52"/>
        <v>14.119133023510219</v>
      </c>
      <c r="M58" s="1095">
        <f t="shared" si="52"/>
        <v>15.119133023510219</v>
      </c>
      <c r="N58" s="696">
        <f t="shared" si="24"/>
        <v>80.338250735561743</v>
      </c>
      <c r="O58" s="940" t="str">
        <f t="shared" si="25"/>
        <v>Arbre 0</v>
      </c>
      <c r="P58" s="686">
        <f t="shared" si="26"/>
        <v>-38.760885917003918</v>
      </c>
      <c r="Q58" s="693">
        <f t="shared" si="27"/>
        <v>6.6648096463145521</v>
      </c>
      <c r="R58" s="696">
        <f t="shared" si="28"/>
        <v>6.6648096463145521</v>
      </c>
      <c r="S58" s="696">
        <f t="shared" si="29"/>
        <v>6.6648096463145521</v>
      </c>
      <c r="T58" s="696">
        <f t="shared" si="30"/>
        <v>6.6648096463145521</v>
      </c>
      <c r="U58" s="956">
        <f t="shared" si="31"/>
        <v>6.6648096463145521</v>
      </c>
      <c r="V58" s="1099">
        <f t="shared" si="32"/>
        <v>6.6648096463145521</v>
      </c>
      <c r="W58" s="693">
        <f t="shared" si="33"/>
        <v>6.6648096463145521</v>
      </c>
      <c r="X58" s="696">
        <f t="shared" si="34"/>
        <v>7.1055303805114214</v>
      </c>
      <c r="Y58" s="696">
        <f t="shared" si="35"/>
        <v>7.8066934415852556</v>
      </c>
      <c r="Z58" s="696">
        <f t="shared" si="36"/>
        <v>8.5055116653035938</v>
      </c>
      <c r="AA58" s="956">
        <f t="shared" si="37"/>
        <v>9.2017899837221773</v>
      </c>
      <c r="AB58" s="1066">
        <f t="shared" si="38"/>
        <v>9.8834380378755693</v>
      </c>
      <c r="AC58" s="1067">
        <f t="shared" si="45"/>
        <v>7.5010000000000003</v>
      </c>
      <c r="AD58" s="39" t="b">
        <f t="shared" si="39"/>
        <v>0</v>
      </c>
      <c r="AE58" s="1067">
        <f t="shared" si="40"/>
        <v>9.3641327818672373</v>
      </c>
      <c r="AF58" s="1068">
        <f t="shared" si="46"/>
        <v>0</v>
      </c>
      <c r="AG58" s="941">
        <v>23.38</v>
      </c>
      <c r="AH58" s="942">
        <v>7.5199999999999818</v>
      </c>
      <c r="AJ58" s="1076">
        <f t="shared" si="47"/>
        <v>6.6648096463145521</v>
      </c>
      <c r="AK58" s="82">
        <f t="shared" si="48"/>
        <v>2</v>
      </c>
      <c r="AL58" s="1077">
        <f t="shared" si="49"/>
        <v>-96</v>
      </c>
      <c r="AM58" s="1077">
        <f t="shared" si="50"/>
        <v>16.699244233993621</v>
      </c>
      <c r="AN58" s="1088">
        <f t="shared" si="41"/>
        <v>-37.145097143562097</v>
      </c>
      <c r="AO58" s="1089">
        <f t="shared" si="51"/>
        <v>6.3815500778471099</v>
      </c>
      <c r="AP58" s="1081">
        <v>-44.653498264966657</v>
      </c>
      <c r="AQ58" s="1082">
        <v>7.672573822056143</v>
      </c>
      <c r="AR58" s="1081">
        <v>-49.290928624656026</v>
      </c>
      <c r="AS58" s="1082">
        <v>8.5674654175530645</v>
      </c>
      <c r="AT58" s="1081">
        <v>-41.318440254895293</v>
      </c>
      <c r="AU58" s="1082">
        <v>7.2635819860775879</v>
      </c>
      <c r="AV58" s="1081">
        <v>-37.145097143562097</v>
      </c>
      <c r="AW58" s="1082">
        <v>6.3815500778471099</v>
      </c>
      <c r="AX58" s="28">
        <f t="shared" si="42"/>
        <v>-37.145097143562097</v>
      </c>
      <c r="AY58" s="28">
        <f t="shared" si="43"/>
        <v>6.3815500778471099</v>
      </c>
    </row>
    <row r="59" spans="1:51" s="19" customFormat="1" ht="12.75" x14ac:dyDescent="0.2">
      <c r="A59" s="1035" t="str">
        <f t="shared" si="22"/>
        <v>Arbre 1</v>
      </c>
      <c r="B59" s="1039">
        <v>1</v>
      </c>
      <c r="C59" s="1094">
        <f t="shared" ref="C59:M59" si="53">$L23+C$55*Rapous</f>
        <v>7.5535898286754666</v>
      </c>
      <c r="D59" s="1094">
        <f t="shared" si="53"/>
        <v>8.5535898286754666</v>
      </c>
      <c r="E59" s="1094">
        <f t="shared" si="53"/>
        <v>9.5535898286754666</v>
      </c>
      <c r="F59" s="1094">
        <f t="shared" si="53"/>
        <v>10.553589828675467</v>
      </c>
      <c r="G59" s="1095">
        <f t="shared" si="53"/>
        <v>11.553589828675467</v>
      </c>
      <c r="H59" s="1096">
        <f t="shared" si="53"/>
        <v>12.553589828675467</v>
      </c>
      <c r="I59" s="1097">
        <f t="shared" si="53"/>
        <v>13.553589828675467</v>
      </c>
      <c r="J59" s="1094">
        <f t="shared" si="53"/>
        <v>14.553589828675467</v>
      </c>
      <c r="K59" s="1094">
        <f t="shared" si="53"/>
        <v>15.553589828675467</v>
      </c>
      <c r="L59" s="1094">
        <f t="shared" si="53"/>
        <v>16.553589828675467</v>
      </c>
      <c r="M59" s="1095">
        <f t="shared" si="53"/>
        <v>17.553589828675467</v>
      </c>
      <c r="N59" s="696">
        <f t="shared" si="24"/>
        <v>82.830064175092829</v>
      </c>
      <c r="O59" s="940" t="str">
        <f t="shared" si="25"/>
        <v>Arbre 1</v>
      </c>
      <c r="P59" s="686">
        <f t="shared" si="26"/>
        <v>-30.34204948005118</v>
      </c>
      <c r="Q59" s="693">
        <f t="shared" si="27"/>
        <v>6.7101407125337653</v>
      </c>
      <c r="R59" s="696">
        <f t="shared" si="28"/>
        <v>6.7101407125337653</v>
      </c>
      <c r="S59" s="696">
        <f t="shared" si="29"/>
        <v>6.7101407125337653</v>
      </c>
      <c r="T59" s="696">
        <f t="shared" si="30"/>
        <v>6.7101407125337653</v>
      </c>
      <c r="U59" s="956">
        <f t="shared" si="31"/>
        <v>6.7101407125337653</v>
      </c>
      <c r="V59" s="1099">
        <f t="shared" si="32"/>
        <v>7.1898680899922898</v>
      </c>
      <c r="W59" s="693">
        <f t="shared" si="33"/>
        <v>7.8697082771137419</v>
      </c>
      <c r="X59" s="696">
        <f t="shared" si="34"/>
        <v>8.5473258825335066</v>
      </c>
      <c r="Y59" s="696">
        <f t="shared" si="35"/>
        <v>9.2225432098652416</v>
      </c>
      <c r="Z59" s="696">
        <f t="shared" si="36"/>
        <v>9.895186484788022</v>
      </c>
      <c r="AA59" s="956">
        <f t="shared" si="37"/>
        <v>10.565086092028961</v>
      </c>
      <c r="AB59" s="1066">
        <f t="shared" si="38"/>
        <v>9.978460815077618</v>
      </c>
      <c r="AC59" s="1067">
        <f t="shared" si="45"/>
        <v>7.5010000000000003</v>
      </c>
      <c r="AD59" s="39" t="b">
        <f t="shared" si="39"/>
        <v>0</v>
      </c>
      <c r="AE59" s="1067">
        <f t="shared" si="40"/>
        <v>6.5557036550855017</v>
      </c>
      <c r="AF59" s="1068">
        <f t="shared" si="46"/>
        <v>-0.94529634491449865</v>
      </c>
      <c r="AG59" s="941">
        <v>24.23</v>
      </c>
      <c r="AH59" s="942">
        <v>7.6000000000000227</v>
      </c>
      <c r="AJ59" s="1076">
        <f t="shared" si="47"/>
        <v>6.7101407125337653</v>
      </c>
      <c r="AK59" s="82">
        <f t="shared" si="48"/>
        <v>3</v>
      </c>
      <c r="AL59" s="1077">
        <f t="shared" si="49"/>
        <v>-37.145097143562097</v>
      </c>
      <c r="AM59" s="1077">
        <f t="shared" si="50"/>
        <v>6.3815500778471099</v>
      </c>
      <c r="AN59" s="1088">
        <f t="shared" si="41"/>
        <v>-17.164410644595741</v>
      </c>
      <c r="AO59" s="1089">
        <f t="shared" si="51"/>
        <v>7.2288880962715965</v>
      </c>
      <c r="AP59" s="1081">
        <v>-20.688818169291583</v>
      </c>
      <c r="AQ59" s="1082">
        <v>9.3588329770361476</v>
      </c>
      <c r="AR59" s="1081">
        <v>-27.97806813277052</v>
      </c>
      <c r="AS59" s="1082">
        <v>10.743332577766667</v>
      </c>
      <c r="AT59" s="1081">
        <v>-22.840083237530614</v>
      </c>
      <c r="AU59" s="1082">
        <v>8.4215885792054017</v>
      </c>
      <c r="AV59" s="1081">
        <v>-17.164410644595741</v>
      </c>
      <c r="AW59" s="1082">
        <v>7.2288880962715965</v>
      </c>
      <c r="AX59" s="28">
        <f t="shared" si="42"/>
        <v>-17.164410644595741</v>
      </c>
      <c r="AY59" s="28">
        <f t="shared" si="43"/>
        <v>7.2288880962715965</v>
      </c>
    </row>
    <row r="60" spans="1:51" s="19" customFormat="1" ht="12.75" x14ac:dyDescent="0.2">
      <c r="A60" s="1035" t="str">
        <f t="shared" si="22"/>
        <v>Arbre 2</v>
      </c>
      <c r="B60" s="1039">
        <v>1</v>
      </c>
      <c r="C60" s="1094">
        <f t="shared" ref="C60:M60" si="54">$L24+C$55*Rapous</f>
        <v>6.556912601086097</v>
      </c>
      <c r="D60" s="1094">
        <f t="shared" si="54"/>
        <v>7.556912601086097</v>
      </c>
      <c r="E60" s="1094">
        <f t="shared" si="54"/>
        <v>8.556912601086097</v>
      </c>
      <c r="F60" s="1094">
        <f t="shared" si="54"/>
        <v>9.556912601086097</v>
      </c>
      <c r="G60" s="1095">
        <f t="shared" si="54"/>
        <v>10.556912601086097</v>
      </c>
      <c r="H60" s="1096">
        <f t="shared" si="54"/>
        <v>11.556912601086097</v>
      </c>
      <c r="I60" s="1097">
        <f t="shared" si="54"/>
        <v>12.556912601086097</v>
      </c>
      <c r="J60" s="1094">
        <f t="shared" si="54"/>
        <v>13.556912601086097</v>
      </c>
      <c r="K60" s="1094">
        <f t="shared" si="54"/>
        <v>14.556912601086097</v>
      </c>
      <c r="L60" s="1094">
        <f t="shared" si="54"/>
        <v>15.556912601086097</v>
      </c>
      <c r="M60" s="1095">
        <f t="shared" si="54"/>
        <v>16.556912601086097</v>
      </c>
      <c r="N60" s="696">
        <f t="shared" si="24"/>
        <v>87.376612610297485</v>
      </c>
      <c r="O60" s="940" t="str">
        <f t="shared" si="25"/>
        <v>Arbre 2</v>
      </c>
      <c r="P60" s="686">
        <f t="shared" si="26"/>
        <v>-22.841049480051179</v>
      </c>
      <c r="Q60" s="693">
        <f t="shared" si="27"/>
        <v>6.9881540302826659</v>
      </c>
      <c r="R60" s="696">
        <f t="shared" si="28"/>
        <v>6.9881540302826659</v>
      </c>
      <c r="S60" s="696">
        <f t="shared" si="29"/>
        <v>6.9881540302826659</v>
      </c>
      <c r="T60" s="696">
        <f t="shared" si="30"/>
        <v>6.9881540302826659</v>
      </c>
      <c r="U60" s="956">
        <f t="shared" si="31"/>
        <v>6.9881540302826659</v>
      </c>
      <c r="V60" s="1099">
        <f t="shared" si="32"/>
        <v>6.9881540302826659</v>
      </c>
      <c r="W60" s="693">
        <f t="shared" si="33"/>
        <v>6.9881540302826659</v>
      </c>
      <c r="X60" s="696">
        <f t="shared" si="34"/>
        <v>7.4671012228811078</v>
      </c>
      <c r="Y60" s="696">
        <f t="shared" si="35"/>
        <v>8.1107838956755156</v>
      </c>
      <c r="Z60" s="696">
        <f t="shared" si="36"/>
        <v>8.7524121012011413</v>
      </c>
      <c r="AA60" s="956">
        <f t="shared" si="37"/>
        <v>9.3918355381262746</v>
      </c>
      <c r="AB60" s="1066">
        <f t="shared" si="38"/>
        <v>10.375747690236455</v>
      </c>
      <c r="AC60" s="1067">
        <f t="shared" si="45"/>
        <v>7.5010000000000003</v>
      </c>
      <c r="AD60" s="39" t="b">
        <f t="shared" si="39"/>
        <v>0</v>
      </c>
      <c r="AE60" s="1067">
        <f t="shared" si="40"/>
        <v>11.446038055888806</v>
      </c>
      <c r="AF60" s="1068">
        <f t="shared" si="46"/>
        <v>0</v>
      </c>
      <c r="AG60" s="941">
        <v>25.31</v>
      </c>
      <c r="AH60" s="942">
        <v>7.7300000000000182</v>
      </c>
      <c r="AJ60" s="1076">
        <f t="shared" si="47"/>
        <v>6.9881540302826659</v>
      </c>
      <c r="AK60" s="82">
        <f t="shared" si="48"/>
        <v>3</v>
      </c>
      <c r="AL60" s="1077">
        <f t="shared" si="49"/>
        <v>-37.145097143562097</v>
      </c>
      <c r="AM60" s="1077">
        <f t="shared" si="50"/>
        <v>6.3815500778471099</v>
      </c>
      <c r="AN60" s="1088">
        <f t="shared" si="41"/>
        <v>16.573858390642808</v>
      </c>
      <c r="AO60" s="1089">
        <f t="shared" si="51"/>
        <v>6.6826487989110106</v>
      </c>
      <c r="AP60" s="1081">
        <v>22.77450563047454</v>
      </c>
      <c r="AQ60" s="1082">
        <v>8.3897684770133143</v>
      </c>
      <c r="AR60" s="1081">
        <v>15.984888766335116</v>
      </c>
      <c r="AS60" s="1082">
        <v>10.679765077566804</v>
      </c>
      <c r="AT60" s="1081">
        <v>11.002804619793386</v>
      </c>
      <c r="AU60" s="1082">
        <v>8.312726534589574</v>
      </c>
      <c r="AV60" s="1081">
        <v>16.573858390642808</v>
      </c>
      <c r="AW60" s="1082">
        <v>6.6826487989110106</v>
      </c>
      <c r="AX60" s="28">
        <f t="shared" si="42"/>
        <v>16.573858390642808</v>
      </c>
      <c r="AY60" s="28">
        <f t="shared" si="43"/>
        <v>6.6826487989110106</v>
      </c>
    </row>
    <row r="61" spans="1:51" s="19" customFormat="1" ht="12.75" x14ac:dyDescent="0.2">
      <c r="A61" s="1035" t="str">
        <f t="shared" si="22"/>
        <v>Arbre 4</v>
      </c>
      <c r="B61" s="1039">
        <v>1</v>
      </c>
      <c r="C61" s="1094">
        <f t="shared" ref="C61:M61" si="55">$L25+C$55*Rapous</f>
        <v>4.1111580418292384</v>
      </c>
      <c r="D61" s="1094">
        <f t="shared" si="55"/>
        <v>5.1111580418292384</v>
      </c>
      <c r="E61" s="1094">
        <f t="shared" si="55"/>
        <v>6.1111580418292384</v>
      </c>
      <c r="F61" s="1094">
        <f t="shared" si="55"/>
        <v>7.1111580418292384</v>
      </c>
      <c r="G61" s="1095">
        <f t="shared" si="55"/>
        <v>8.1111580418292384</v>
      </c>
      <c r="H61" s="1096">
        <f t="shared" si="55"/>
        <v>9.1111580418292384</v>
      </c>
      <c r="I61" s="1097">
        <f t="shared" si="55"/>
        <v>10.111158041829238</v>
      </c>
      <c r="J61" s="1094">
        <f t="shared" si="55"/>
        <v>11.111158041829238</v>
      </c>
      <c r="K61" s="1094">
        <f t="shared" si="55"/>
        <v>12.111158041829238</v>
      </c>
      <c r="L61" s="1094">
        <f t="shared" si="55"/>
        <v>13.111158041829238</v>
      </c>
      <c r="M61" s="1095">
        <f t="shared" si="55"/>
        <v>14.111158041829238</v>
      </c>
      <c r="N61" s="696">
        <f t="shared" si="24"/>
        <v>59.763026038262169</v>
      </c>
      <c r="O61" s="940" t="str">
        <f t="shared" si="25"/>
        <v>Arbre 4</v>
      </c>
      <c r="P61" s="686">
        <f t="shared" si="26"/>
        <v>-11.395011424162373</v>
      </c>
      <c r="Q61" s="693">
        <f t="shared" si="27"/>
        <v>7.1354786634085583</v>
      </c>
      <c r="R61" s="696">
        <f t="shared" si="28"/>
        <v>7.1354786634085583</v>
      </c>
      <c r="S61" s="696">
        <f t="shared" si="29"/>
        <v>7.1354786634085583</v>
      </c>
      <c r="T61" s="696">
        <f t="shared" si="30"/>
        <v>7.1354786634085583</v>
      </c>
      <c r="U61" s="956">
        <f t="shared" si="31"/>
        <v>7.1354786634085583</v>
      </c>
      <c r="V61" s="1099">
        <f t="shared" si="32"/>
        <v>7.1354786634085583</v>
      </c>
      <c r="W61" s="693">
        <f t="shared" si="33"/>
        <v>7.6305808199549592</v>
      </c>
      <c r="X61" s="696">
        <f t="shared" si="34"/>
        <v>8.5702391926242711</v>
      </c>
      <c r="Y61" s="696">
        <f t="shared" si="35"/>
        <v>9.5052759524299741</v>
      </c>
      <c r="Z61" s="696">
        <f t="shared" si="36"/>
        <v>10.435230979868747</v>
      </c>
      <c r="AA61" s="956">
        <f t="shared" si="37"/>
        <v>11.359659842346638</v>
      </c>
      <c r="AB61" s="1066">
        <f t="shared" si="38"/>
        <v>12.401423309023073</v>
      </c>
      <c r="AC61" s="1067">
        <f t="shared" si="45"/>
        <v>7.5010000000000003</v>
      </c>
      <c r="AD61" s="39" t="b">
        <f t="shared" si="39"/>
        <v>0</v>
      </c>
      <c r="AE61" s="1067">
        <f t="shared" si="40"/>
        <v>9.5626303833103314</v>
      </c>
      <c r="AF61" s="1068">
        <f t="shared" si="46"/>
        <v>0</v>
      </c>
      <c r="AG61" s="941">
        <v>26.83</v>
      </c>
      <c r="AH61" s="942">
        <v>7.9000000000000057</v>
      </c>
      <c r="AJ61" s="1076">
        <f t="shared" si="47"/>
        <v>7.1354786634085583</v>
      </c>
      <c r="AK61" s="82">
        <f t="shared" si="48"/>
        <v>4</v>
      </c>
      <c r="AL61" s="1077">
        <f t="shared" si="49"/>
        <v>-17.164410644595741</v>
      </c>
      <c r="AM61" s="1077">
        <f t="shared" si="50"/>
        <v>7.2288880962715965</v>
      </c>
      <c r="AN61" s="1088">
        <f t="shared" si="41"/>
        <v>21.120347559779987</v>
      </c>
      <c r="AO61" s="1089">
        <f t="shared" si="51"/>
        <v>4.0057543139634149</v>
      </c>
      <c r="AP61" s="1081">
        <v>26.286517892873245</v>
      </c>
      <c r="AQ61" s="1082">
        <v>4.7021667126157292</v>
      </c>
      <c r="AR61" s="1081">
        <v>21.755463498702976</v>
      </c>
      <c r="AS61" s="1082">
        <v>6.2022314485143042</v>
      </c>
      <c r="AT61" s="1081">
        <v>17.08487935374772</v>
      </c>
      <c r="AU61" s="1082">
        <v>5.2043089487036198</v>
      </c>
      <c r="AV61" s="1081">
        <v>21.120347559779987</v>
      </c>
      <c r="AW61" s="1082">
        <v>4.0057543139634149</v>
      </c>
      <c r="AX61" s="28">
        <f t="shared" si="42"/>
        <v>21.120347559779987</v>
      </c>
      <c r="AY61" s="28">
        <f t="shared" si="43"/>
        <v>4.0057543139634149</v>
      </c>
    </row>
    <row r="62" spans="1:51" s="19" customFormat="1" ht="12.75" x14ac:dyDescent="0.2">
      <c r="A62" s="1035" t="str">
        <f t="shared" si="22"/>
        <v>Arbre 5</v>
      </c>
      <c r="B62" s="1039">
        <v>1</v>
      </c>
      <c r="C62" s="1094">
        <f t="shared" ref="C62:M62" si="56">$L26+C$55*Rapous</f>
        <v>4.6445649605859742</v>
      </c>
      <c r="D62" s="1094">
        <f t="shared" si="56"/>
        <v>5.6445649605859742</v>
      </c>
      <c r="E62" s="1094">
        <f t="shared" si="56"/>
        <v>6.6445649605859742</v>
      </c>
      <c r="F62" s="1094">
        <f t="shared" si="56"/>
        <v>7.6445649605859742</v>
      </c>
      <c r="G62" s="1095">
        <f t="shared" si="56"/>
        <v>8.6445649605859742</v>
      </c>
      <c r="H62" s="1096">
        <f t="shared" si="56"/>
        <v>9.6445649605859742</v>
      </c>
      <c r="I62" s="1097">
        <f t="shared" si="56"/>
        <v>10.644564960585974</v>
      </c>
      <c r="J62" s="1094">
        <f t="shared" si="56"/>
        <v>11.644564960585974</v>
      </c>
      <c r="K62" s="1094">
        <f t="shared" si="56"/>
        <v>12.644564960585974</v>
      </c>
      <c r="L62" s="1094">
        <f t="shared" si="56"/>
        <v>13.644564960585974</v>
      </c>
      <c r="M62" s="1095">
        <f t="shared" si="56"/>
        <v>14.644564960585974</v>
      </c>
      <c r="N62" s="696">
        <f t="shared" si="24"/>
        <v>52.461826419311841</v>
      </c>
      <c r="O62" s="940" t="str">
        <f t="shared" si="25"/>
        <v>Arbre 5</v>
      </c>
      <c r="P62" s="686">
        <f t="shared" si="26"/>
        <v>-1.8323810408520422</v>
      </c>
      <c r="Q62" s="693">
        <f t="shared" si="27"/>
        <v>6.980654937981428</v>
      </c>
      <c r="R62" s="696">
        <f t="shared" si="28"/>
        <v>6.980654937981428</v>
      </c>
      <c r="S62" s="696">
        <f t="shared" si="29"/>
        <v>6.980654937981428</v>
      </c>
      <c r="T62" s="696">
        <f t="shared" si="30"/>
        <v>6.980654937981428</v>
      </c>
      <c r="U62" s="956">
        <f t="shared" si="31"/>
        <v>7.1059139196642329</v>
      </c>
      <c r="V62" s="1099">
        <f t="shared" si="32"/>
        <v>8.1787076641406813</v>
      </c>
      <c r="W62" s="693">
        <f t="shared" si="33"/>
        <v>9.2457591281248899</v>
      </c>
      <c r="X62" s="696">
        <f t="shared" si="34"/>
        <v>10.306380519366913</v>
      </c>
      <c r="Y62" s="696">
        <f t="shared" si="35"/>
        <v>11.359909914300946</v>
      </c>
      <c r="Z62" s="696">
        <f t="shared" si="36"/>
        <v>12.405713370365632</v>
      </c>
      <c r="AA62" s="956">
        <f t="shared" si="37"/>
        <v>13.443186775699511</v>
      </c>
      <c r="AB62" s="1066">
        <f t="shared" si="38"/>
        <v>11.367767833464381</v>
      </c>
      <c r="AC62" s="1067">
        <f t="shared" si="45"/>
        <v>7.5010000000000003</v>
      </c>
      <c r="AD62" s="39" t="b">
        <f t="shared" si="39"/>
        <v>0</v>
      </c>
      <c r="AE62" s="1067">
        <f t="shared" si="40"/>
        <v>13.397706774249551</v>
      </c>
      <c r="AF62" s="1068">
        <f t="shared" si="46"/>
        <v>0</v>
      </c>
      <c r="AG62" s="941">
        <v>28.54</v>
      </c>
      <c r="AH62" s="942">
        <v>8.1200000000000045</v>
      </c>
      <c r="AJ62" s="1076">
        <f t="shared" si="47"/>
        <v>6.980654937981428</v>
      </c>
      <c r="AK62" s="82">
        <f t="shared" si="48"/>
        <v>4</v>
      </c>
      <c r="AL62" s="1077">
        <f t="shared" si="49"/>
        <v>-17.164410644595741</v>
      </c>
      <c r="AM62" s="1077">
        <f t="shared" si="50"/>
        <v>7.2288880962715965</v>
      </c>
      <c r="AN62" s="1088">
        <f t="shared" si="41"/>
        <v>31.326560571736124</v>
      </c>
      <c r="AO62" s="1089">
        <f t="shared" si="51"/>
        <v>3.5660780819524995</v>
      </c>
      <c r="AP62" s="1081">
        <v>37.318356396303507</v>
      </c>
      <c r="AQ62" s="1082">
        <v>4.0398803674056598</v>
      </c>
      <c r="AR62" s="1081">
        <v>33.90807135514023</v>
      </c>
      <c r="AS62" s="1082">
        <v>5.3810773473686284</v>
      </c>
      <c r="AT62" s="1081">
        <v>28.026068253585226</v>
      </c>
      <c r="AU62" s="1082">
        <v>4.6832229051382788</v>
      </c>
      <c r="AV62" s="1081">
        <v>31.326560571736124</v>
      </c>
      <c r="AW62" s="1082">
        <v>3.5660780819524995</v>
      </c>
      <c r="AX62" s="28">
        <f t="shared" si="42"/>
        <v>31.326560571736124</v>
      </c>
      <c r="AY62" s="28">
        <f t="shared" si="43"/>
        <v>3.5660780819524995</v>
      </c>
    </row>
    <row r="63" spans="1:51" s="19" customFormat="1" ht="12.75" x14ac:dyDescent="0.2">
      <c r="A63" s="1035" t="str">
        <f t="shared" si="22"/>
        <v>Arbre 6</v>
      </c>
      <c r="B63" s="1039">
        <v>1</v>
      </c>
      <c r="C63" s="1094">
        <f t="shared" ref="C63:M63" si="57">$L27+C$55*Rapous</f>
        <v>1.9490050187561332</v>
      </c>
      <c r="D63" s="1094">
        <f t="shared" si="57"/>
        <v>2.9490050187561332</v>
      </c>
      <c r="E63" s="1094">
        <f t="shared" si="57"/>
        <v>3.9490050187561332</v>
      </c>
      <c r="F63" s="1094">
        <f t="shared" si="57"/>
        <v>4.9490050187561332</v>
      </c>
      <c r="G63" s="1095">
        <f t="shared" si="57"/>
        <v>5.9490050187561332</v>
      </c>
      <c r="H63" s="1096">
        <f t="shared" si="57"/>
        <v>6.9490050187561332</v>
      </c>
      <c r="I63" s="1097">
        <f t="shared" si="57"/>
        <v>7.9490050187561332</v>
      </c>
      <c r="J63" s="1094">
        <f t="shared" si="57"/>
        <v>8.9490050187561323</v>
      </c>
      <c r="K63" s="1094">
        <f t="shared" si="57"/>
        <v>9.9490050187561323</v>
      </c>
      <c r="L63" s="1094">
        <f t="shared" si="57"/>
        <v>10.949005018756132</v>
      </c>
      <c r="M63" s="1095">
        <f t="shared" si="57"/>
        <v>11.949005018756132</v>
      </c>
      <c r="N63" s="696">
        <f t="shared" si="24"/>
        <v>60.166576529249269</v>
      </c>
      <c r="O63" s="940" t="str">
        <f t="shared" si="25"/>
        <v>Arbre 6</v>
      </c>
      <c r="P63" s="686">
        <f t="shared" si="26"/>
        <v>11.565325733397509</v>
      </c>
      <c r="Q63" s="693">
        <f t="shared" si="27"/>
        <v>6.7637394250081497</v>
      </c>
      <c r="R63" s="696">
        <f t="shared" si="28"/>
        <v>6.7637394250081497</v>
      </c>
      <c r="S63" s="696">
        <f t="shared" si="29"/>
        <v>6.7637394250081497</v>
      </c>
      <c r="T63" s="696">
        <f t="shared" si="30"/>
        <v>6.7637394250081497</v>
      </c>
      <c r="U63" s="956">
        <f t="shared" si="31"/>
        <v>6.7637394250081497</v>
      </c>
      <c r="V63" s="1099">
        <f t="shared" si="32"/>
        <v>6.7637394250081497</v>
      </c>
      <c r="W63" s="693">
        <f t="shared" si="33"/>
        <v>6.7637394250081497</v>
      </c>
      <c r="X63" s="696">
        <f t="shared" si="34"/>
        <v>6.7637394250081497</v>
      </c>
      <c r="Y63" s="696">
        <f t="shared" si="35"/>
        <v>7.4282156210118</v>
      </c>
      <c r="Z63" s="696">
        <f t="shared" si="36"/>
        <v>8.3625109161279028</v>
      </c>
      <c r="AA63" s="956">
        <f t="shared" si="37"/>
        <v>9.2923488912292527</v>
      </c>
      <c r="AB63" s="1066">
        <f t="shared" si="38"/>
        <v>9.2603362813340802</v>
      </c>
      <c r="AC63" s="1067">
        <f t="shared" si="45"/>
        <v>7.5010000000000003</v>
      </c>
      <c r="AD63" s="39" t="b">
        <f t="shared" si="39"/>
        <v>0</v>
      </c>
      <c r="AE63" s="1067">
        <f t="shared" si="40"/>
        <v>17.397293402262079</v>
      </c>
      <c r="AF63" s="1068">
        <f t="shared" si="46"/>
        <v>0</v>
      </c>
      <c r="AG63" s="941">
        <v>30.6</v>
      </c>
      <c r="AH63" s="942">
        <v>8.3700000000000045</v>
      </c>
      <c r="AJ63" s="1076">
        <f t="shared" si="47"/>
        <v>6.7637394250081497</v>
      </c>
      <c r="AK63" s="82">
        <f t="shared" si="48"/>
        <v>4</v>
      </c>
      <c r="AL63" s="1077">
        <f t="shared" si="49"/>
        <v>-17.164410644595741</v>
      </c>
      <c r="AM63" s="1077">
        <f t="shared" si="50"/>
        <v>7.2288880962715965</v>
      </c>
      <c r="AN63" s="1088">
        <f t="shared" si="41"/>
        <v>39.014618896709877</v>
      </c>
      <c r="AO63" s="1089">
        <f t="shared" si="51"/>
        <v>1.1548581197246766</v>
      </c>
      <c r="AP63" s="1081">
        <v>40.799785118185753</v>
      </c>
      <c r="AQ63" s="1082">
        <v>1.1907123013594398</v>
      </c>
      <c r="AR63" s="1081">
        <v>40.011398458019833</v>
      </c>
      <c r="AS63" s="1082">
        <v>1.4859449494434469</v>
      </c>
      <c r="AT63" s="1081">
        <v>38.204896430242279</v>
      </c>
      <c r="AU63" s="1082">
        <v>1.4390966304805384</v>
      </c>
      <c r="AV63" s="1081">
        <v>39.014618896709877</v>
      </c>
      <c r="AW63" s="1082">
        <v>1.1548581197246766</v>
      </c>
      <c r="AX63" s="28">
        <f t="shared" si="42"/>
        <v>39.014618896709877</v>
      </c>
      <c r="AY63" s="28">
        <f t="shared" si="43"/>
        <v>1.1548581197246766</v>
      </c>
    </row>
    <row r="64" spans="1:51" s="19" customFormat="1" ht="12.75" x14ac:dyDescent="0.2">
      <c r="A64" s="1035" t="str">
        <f t="shared" si="22"/>
        <v>Arbre 7</v>
      </c>
      <c r="B64" s="1039">
        <v>1</v>
      </c>
      <c r="C64" s="1094">
        <f t="shared" ref="C64:M64" si="58">$L28+C$55*Rapous</f>
        <v>2.0569725808568649</v>
      </c>
      <c r="D64" s="1094">
        <f t="shared" si="58"/>
        <v>3.0569725808568649</v>
      </c>
      <c r="E64" s="1094">
        <f t="shared" si="58"/>
        <v>4.0569725808568649</v>
      </c>
      <c r="F64" s="1094">
        <f t="shared" si="58"/>
        <v>5.0569725808568649</v>
      </c>
      <c r="G64" s="1095">
        <f t="shared" si="58"/>
        <v>6.0569725808568649</v>
      </c>
      <c r="H64" s="1096">
        <f t="shared" si="58"/>
        <v>7.0569725808568649</v>
      </c>
      <c r="I64" s="1097">
        <f t="shared" si="58"/>
        <v>8.0569725808568649</v>
      </c>
      <c r="J64" s="1094">
        <f t="shared" si="58"/>
        <v>9.0569725808568649</v>
      </c>
      <c r="K64" s="1094">
        <f t="shared" si="58"/>
        <v>10.056972580856865</v>
      </c>
      <c r="L64" s="1094">
        <f t="shared" si="58"/>
        <v>11.056972580856865</v>
      </c>
      <c r="M64" s="1095">
        <f t="shared" si="58"/>
        <v>12.056972580856865</v>
      </c>
      <c r="N64" s="696">
        <f t="shared" si="24"/>
        <v>61.255921601507318</v>
      </c>
      <c r="O64" s="940" t="str">
        <f t="shared" si="25"/>
        <v>Arbre 7</v>
      </c>
      <c r="P64" s="686">
        <f t="shared" si="26"/>
        <v>27.293778543996755</v>
      </c>
      <c r="Q64" s="693">
        <f t="shared" si="27"/>
        <v>3.6679149593614886</v>
      </c>
      <c r="R64" s="696">
        <f t="shared" si="28"/>
        <v>3.6679149593614886</v>
      </c>
      <c r="S64" s="696">
        <f t="shared" si="29"/>
        <v>3.6679149593614886</v>
      </c>
      <c r="T64" s="696">
        <f t="shared" si="30"/>
        <v>3.6679149593614886</v>
      </c>
      <c r="U64" s="956">
        <f t="shared" si="31"/>
        <v>3.6917377469700794</v>
      </c>
      <c r="V64" s="1099">
        <f t="shared" si="32"/>
        <v>4.6221529336109812</v>
      </c>
      <c r="W64" s="693">
        <f t="shared" si="33"/>
        <v>5.5501317159496324</v>
      </c>
      <c r="X64" s="696">
        <f t="shared" si="34"/>
        <v>6.475198957456537</v>
      </c>
      <c r="Y64" s="696">
        <f t="shared" si="35"/>
        <v>7.3968885639656747</v>
      </c>
      <c r="Z64" s="696">
        <f t="shared" si="36"/>
        <v>8.3147448241055208</v>
      </c>
      <c r="AA64" s="956">
        <f t="shared" si="37"/>
        <v>9.2283236714389094</v>
      </c>
      <c r="AB64" s="1066">
        <f t="shared" si="38"/>
        <v>18.506992061193177</v>
      </c>
      <c r="AC64" s="1067">
        <f t="shared" si="45"/>
        <v>7.5010000000000003</v>
      </c>
      <c r="AD64" s="39" t="b">
        <f t="shared" si="39"/>
        <v>0</v>
      </c>
      <c r="AE64" s="1067">
        <f t="shared" si="40"/>
        <v>5.8321594083371693</v>
      </c>
      <c r="AF64" s="1068">
        <f t="shared" si="46"/>
        <v>-1.6688405916628311</v>
      </c>
      <c r="AG64" s="941">
        <v>32.76</v>
      </c>
      <c r="AH64" s="942">
        <v>8.660000000000025</v>
      </c>
      <c r="AJ64" s="1076">
        <f t="shared" si="47"/>
        <v>3.6679149593614886</v>
      </c>
      <c r="AK64" s="82">
        <f t="shared" si="48"/>
        <v>6</v>
      </c>
      <c r="AL64" s="1077">
        <f t="shared" si="49"/>
        <v>21.120347559779987</v>
      </c>
      <c r="AM64" s="1077">
        <f t="shared" si="50"/>
        <v>4.0057543139634149</v>
      </c>
      <c r="AN64" s="1088">
        <f t="shared" si="41"/>
        <v>174</v>
      </c>
      <c r="AO64" s="1089">
        <f t="shared" si="51"/>
        <v>1</v>
      </c>
      <c r="AP64" s="1081">
        <v>174</v>
      </c>
      <c r="AQ64" s="1082">
        <v>1</v>
      </c>
      <c r="AR64" s="1081">
        <v>174</v>
      </c>
      <c r="AS64" s="1082">
        <v>1</v>
      </c>
      <c r="AT64" s="1081">
        <v>174</v>
      </c>
      <c r="AU64" s="1082">
        <v>1</v>
      </c>
      <c r="AV64" s="1081">
        <v>174</v>
      </c>
      <c r="AW64" s="1082">
        <v>1</v>
      </c>
      <c r="AX64" s="28">
        <f t="shared" si="42"/>
        <v>174</v>
      </c>
      <c r="AY64" s="28">
        <f t="shared" si="43"/>
        <v>1</v>
      </c>
    </row>
    <row r="65" spans="1:51" s="19" customFormat="1" ht="12.75" x14ac:dyDescent="0.2">
      <c r="A65" s="1035" t="str">
        <f t="shared" si="22"/>
        <v>Arbre 12g</v>
      </c>
      <c r="B65" s="1039">
        <v>1</v>
      </c>
      <c r="C65" s="1094">
        <f t="shared" ref="C65:M65" si="59">$L29+C$55*Rapous</f>
        <v>-2.0018824737032292</v>
      </c>
      <c r="D65" s="1094">
        <f t="shared" si="59"/>
        <v>-1.0018824737032292</v>
      </c>
      <c r="E65" s="1094">
        <f t="shared" si="59"/>
        <v>-1.8824737032292482E-3</v>
      </c>
      <c r="F65" s="1094">
        <f t="shared" si="59"/>
        <v>0.99811752629677075</v>
      </c>
      <c r="G65" s="1095">
        <f t="shared" si="59"/>
        <v>1.9981175262967708</v>
      </c>
      <c r="H65" s="1096">
        <f t="shared" si="59"/>
        <v>2.9981175262967708</v>
      </c>
      <c r="I65" s="1097">
        <f t="shared" si="59"/>
        <v>3.9981175262967708</v>
      </c>
      <c r="J65" s="1094">
        <f t="shared" si="59"/>
        <v>4.9981175262967703</v>
      </c>
      <c r="K65" s="1094">
        <f t="shared" si="59"/>
        <v>5.9981175262967703</v>
      </c>
      <c r="L65" s="1094">
        <f t="shared" si="59"/>
        <v>6.9981175262967703</v>
      </c>
      <c r="M65" s="1095">
        <f t="shared" si="59"/>
        <v>7.9981175262967703</v>
      </c>
      <c r="N65" s="696">
        <f t="shared" si="24"/>
        <v>11.184834878083883</v>
      </c>
      <c r="O65" s="940" t="str">
        <f t="shared" si="25"/>
        <v>Arbre 12g</v>
      </c>
      <c r="P65" s="686">
        <f t="shared" si="26"/>
        <v>34.794778543996756</v>
      </c>
      <c r="Q65" s="693">
        <f t="shared" si="27"/>
        <v>2.4783344600152026</v>
      </c>
      <c r="R65" s="696">
        <f t="shared" si="28"/>
        <v>2.4783344600152026</v>
      </c>
      <c r="S65" s="696">
        <f t="shared" si="29"/>
        <v>2.4783344600152026</v>
      </c>
      <c r="T65" s="696">
        <f t="shared" si="30"/>
        <v>2.4783344600152026</v>
      </c>
      <c r="U65" s="956">
        <f t="shared" si="31"/>
        <v>2.4783344600152026</v>
      </c>
      <c r="V65" s="1099">
        <f t="shared" si="32"/>
        <v>4.5674605790438907</v>
      </c>
      <c r="W65" s="693">
        <f t="shared" si="33"/>
        <v>9.6086867193052683</v>
      </c>
      <c r="X65" s="696">
        <f t="shared" si="34"/>
        <v>14.504429521954425</v>
      </c>
      <c r="Y65" s="696">
        <f t="shared" si="35"/>
        <v>19.193356653831302</v>
      </c>
      <c r="Z65" s="696">
        <f t="shared" si="36"/>
        <v>23.63003242288698</v>
      </c>
      <c r="AA65" s="956">
        <f t="shared" si="37"/>
        <v>27.785660450947443</v>
      </c>
      <c r="AB65" s="1066">
        <f t="shared" si="38"/>
        <v>28.260330545043146</v>
      </c>
      <c r="AC65" s="1067">
        <f t="shared" si="45"/>
        <v>8.1200000000000045</v>
      </c>
      <c r="AD65" s="39" t="b">
        <f t="shared" si="39"/>
        <v>0</v>
      </c>
      <c r="AE65" s="1067">
        <f t="shared" si="40"/>
        <v>10.383595418602695</v>
      </c>
      <c r="AF65" s="1068">
        <f t="shared" si="46"/>
        <v>0</v>
      </c>
      <c r="AG65" s="941">
        <v>35.270000000000003</v>
      </c>
      <c r="AH65" s="942">
        <v>9</v>
      </c>
      <c r="AJ65" s="1076">
        <f t="shared" si="47"/>
        <v>2.4783344600152026</v>
      </c>
      <c r="AK65" s="82">
        <f t="shared" si="48"/>
        <v>7</v>
      </c>
      <c r="AL65" s="1077">
        <f t="shared" si="49"/>
        <v>31.326560571736124</v>
      </c>
      <c r="AM65" s="1077">
        <f t="shared" si="50"/>
        <v>3.5660780819524995</v>
      </c>
      <c r="AN65" s="1088">
        <f t="shared" si="41"/>
        <v>175</v>
      </c>
      <c r="AO65" s="1089">
        <f t="shared" si="51"/>
        <v>1</v>
      </c>
      <c r="AP65" s="1081"/>
      <c r="AQ65" s="1082"/>
      <c r="AR65" s="1081"/>
      <c r="AS65" s="1082"/>
      <c r="AT65" s="1081"/>
      <c r="AU65" s="1082"/>
      <c r="AV65" s="1081"/>
      <c r="AW65" s="1082"/>
      <c r="AX65" s="28">
        <f t="shared" si="42"/>
        <v>0</v>
      </c>
      <c r="AY65" s="28">
        <f t="shared" si="43"/>
        <v>0</v>
      </c>
    </row>
    <row r="66" spans="1:51" s="19" customFormat="1" ht="12.75" x14ac:dyDescent="0.2">
      <c r="A66" s="1035" t="str">
        <f t="shared" si="22"/>
        <v>Arbre 12d</v>
      </c>
      <c r="B66" s="1039">
        <v>1</v>
      </c>
      <c r="C66" s="1094">
        <f t="shared" ref="C66:M66" si="60">$L30+C$55*Rapous</f>
        <v>-1.980171765792035</v>
      </c>
      <c r="D66" s="1094">
        <f t="shared" si="60"/>
        <v>-0.98017176579203502</v>
      </c>
      <c r="E66" s="1094">
        <f t="shared" si="60"/>
        <v>1.9828234207964979E-2</v>
      </c>
      <c r="F66" s="1094">
        <f t="shared" si="60"/>
        <v>1.019828234207965</v>
      </c>
      <c r="G66" s="1095">
        <f t="shared" si="60"/>
        <v>2.019828234207965</v>
      </c>
      <c r="H66" s="1096">
        <f t="shared" si="60"/>
        <v>3.019828234207965</v>
      </c>
      <c r="I66" s="1097">
        <f t="shared" si="60"/>
        <v>4.0198282342079654</v>
      </c>
      <c r="J66" s="1094">
        <f t="shared" si="60"/>
        <v>5.0198282342079654</v>
      </c>
      <c r="K66" s="1094">
        <f t="shared" si="60"/>
        <v>6.0198282342079654</v>
      </c>
      <c r="L66" s="1094">
        <f t="shared" si="60"/>
        <v>7.0198282342079654</v>
      </c>
      <c r="M66" s="1095">
        <f t="shared" si="60"/>
        <v>8.0198282342079654</v>
      </c>
      <c r="N66" s="696">
        <f t="shared" si="24"/>
        <v>10.788733996628185</v>
      </c>
      <c r="O66" s="940" t="str">
        <f t="shared" si="25"/>
        <v>Arbre 12d</v>
      </c>
      <c r="P66" s="686">
        <f t="shared" si="26"/>
        <v>45.178373962599451</v>
      </c>
      <c r="Q66" s="693">
        <f t="shared" si="27"/>
        <v>1.1477869279249013</v>
      </c>
      <c r="R66" s="696">
        <f t="shared" si="28"/>
        <v>1.1477869279249013</v>
      </c>
      <c r="S66" s="696">
        <f t="shared" si="29"/>
        <v>1.1477869279249013</v>
      </c>
      <c r="T66" s="696">
        <f t="shared" si="30"/>
        <v>1.1477869279249013</v>
      </c>
      <c r="U66" s="956">
        <f t="shared" si="31"/>
        <v>1.1477869279249013</v>
      </c>
      <c r="V66" s="1099">
        <f t="shared" si="32"/>
        <v>4.8488974488967393</v>
      </c>
      <c r="W66" s="693">
        <f t="shared" si="33"/>
        <v>10.066342946899002</v>
      </c>
      <c r="X66" s="696">
        <f t="shared" si="34"/>
        <v>15.12081098191805</v>
      </c>
      <c r="Y66" s="696">
        <f t="shared" si="35"/>
        <v>19.945818903377848</v>
      </c>
      <c r="Z66" s="696">
        <f t="shared" si="36"/>
        <v>24.493486590765528</v>
      </c>
      <c r="AA66" s="956">
        <f t="shared" si="37"/>
        <v>28.73500063913885</v>
      </c>
      <c r="AB66" s="1066">
        <f t="shared" si="38"/>
        <v>19.051492997669513</v>
      </c>
      <c r="AC66" s="1067">
        <f t="shared" si="45"/>
        <v>7.5010000000000003</v>
      </c>
      <c r="AD66" s="39" t="b">
        <f t="shared" si="39"/>
        <v>0</v>
      </c>
      <c r="AE66" s="1067">
        <f t="shared" si="40"/>
        <v>13.354565024695816</v>
      </c>
      <c r="AF66" s="1068">
        <f t="shared" si="46"/>
        <v>0</v>
      </c>
      <c r="AG66" s="941">
        <v>37.65</v>
      </c>
      <c r="AH66" s="942">
        <v>9.3500000000000227</v>
      </c>
      <c r="AJ66" s="1076">
        <f t="shared" si="47"/>
        <v>1.1477869279249013</v>
      </c>
      <c r="AK66" s="82">
        <f t="shared" si="48"/>
        <v>8</v>
      </c>
      <c r="AL66" s="1077">
        <f t="shared" si="49"/>
        <v>39.014618896709877</v>
      </c>
      <c r="AM66" s="1077">
        <f t="shared" si="50"/>
        <v>1.1548581197246766</v>
      </c>
      <c r="AN66" s="1088">
        <f t="shared" si="41"/>
        <v>175</v>
      </c>
      <c r="AO66" s="1089">
        <f t="shared" si="51"/>
        <v>1</v>
      </c>
      <c r="AP66" s="1081"/>
      <c r="AQ66" s="1082"/>
      <c r="AR66" s="1081"/>
      <c r="AS66" s="1082"/>
      <c r="AT66" s="1081"/>
      <c r="AU66" s="1082"/>
      <c r="AV66" s="1081"/>
      <c r="AW66" s="1082"/>
      <c r="AX66" s="28">
        <f t="shared" si="42"/>
        <v>0</v>
      </c>
      <c r="AY66" s="28">
        <f t="shared" si="43"/>
        <v>0</v>
      </c>
    </row>
    <row r="67" spans="1:51" s="19" customFormat="1" ht="12.75" x14ac:dyDescent="0.2">
      <c r="A67" s="1035" t="str">
        <f t="shared" si="22"/>
        <v>Arbre 9</v>
      </c>
      <c r="B67" s="1039">
        <v>1</v>
      </c>
      <c r="C67" s="1094">
        <f t="shared" ref="C67:M67" si="61">$L31+C$55*Rapous</f>
        <v>1.6947990089130265</v>
      </c>
      <c r="D67" s="1094">
        <f t="shared" si="61"/>
        <v>2.6947990089130265</v>
      </c>
      <c r="E67" s="1094">
        <f t="shared" si="61"/>
        <v>3.6947990089130265</v>
      </c>
      <c r="F67" s="1094">
        <f t="shared" si="61"/>
        <v>4.6947990089130265</v>
      </c>
      <c r="G67" s="1095">
        <f t="shared" si="61"/>
        <v>5.6947990089130265</v>
      </c>
      <c r="H67" s="1096">
        <f t="shared" si="61"/>
        <v>6.6947990089130265</v>
      </c>
      <c r="I67" s="1097">
        <f t="shared" si="61"/>
        <v>7.6947990089130265</v>
      </c>
      <c r="J67" s="1094">
        <f t="shared" si="61"/>
        <v>8.6947990089130265</v>
      </c>
      <c r="K67" s="1094">
        <f t="shared" si="61"/>
        <v>9.6947990089130265</v>
      </c>
      <c r="L67" s="1094">
        <f t="shared" si="61"/>
        <v>10.694799008913026</v>
      </c>
      <c r="M67" s="1095">
        <f t="shared" si="61"/>
        <v>11.694799008913026</v>
      </c>
      <c r="N67" s="696">
        <f t="shared" si="24"/>
        <v>58.131259501665809</v>
      </c>
      <c r="O67" s="940" t="str">
        <f t="shared" si="25"/>
        <v>Arbre 9</v>
      </c>
      <c r="P67" s="686">
        <f t="shared" si="26"/>
        <v>58.532938987295267</v>
      </c>
      <c r="Q67" s="693">
        <f t="shared" si="27"/>
        <v>1.1324662849592542</v>
      </c>
      <c r="R67" s="696">
        <f t="shared" si="28"/>
        <v>1.1324662849592542</v>
      </c>
      <c r="S67" s="696">
        <f t="shared" si="29"/>
        <v>1.5669534098810731</v>
      </c>
      <c r="T67" s="696">
        <f t="shared" si="30"/>
        <v>2.5512843455384395</v>
      </c>
      <c r="U67" s="956">
        <f t="shared" si="31"/>
        <v>3.5341107332081743</v>
      </c>
      <c r="V67" s="1099">
        <f t="shared" si="32"/>
        <v>4.5148592998506984</v>
      </c>
      <c r="W67" s="693">
        <f t="shared" si="33"/>
        <v>5.4929640585872344</v>
      </c>
      <c r="X67" s="696">
        <f t="shared" si="34"/>
        <v>6.4678682265565355</v>
      </c>
      <c r="Y67" s="696">
        <f t="shared" si="35"/>
        <v>7.4390260634515348</v>
      </c>
      <c r="Z67" s="696">
        <f t="shared" si="36"/>
        <v>8.4059046161347268</v>
      </c>
      <c r="AA67" s="956">
        <f t="shared" si="37"/>
        <v>9.3679853562001743</v>
      </c>
      <c r="AB67" s="1066">
        <f t="shared" si="38"/>
        <v>22.243589950459292</v>
      </c>
      <c r="AC67" s="1067">
        <f t="shared" si="45"/>
        <v>7.5010000000000003</v>
      </c>
      <c r="AD67" s="39" t="b">
        <f t="shared" si="39"/>
        <v>0</v>
      </c>
      <c r="AE67" s="1067">
        <f t="shared" si="40"/>
        <v>9.2667534417713426</v>
      </c>
      <c r="AF67" s="1068">
        <f t="shared" si="46"/>
        <v>0</v>
      </c>
      <c r="AG67" s="941">
        <v>40.520000000000003</v>
      </c>
      <c r="AH67" s="942">
        <v>9.789999999999992</v>
      </c>
      <c r="AJ67" s="1076">
        <f t="shared" si="47"/>
        <v>1.1324662849592542</v>
      </c>
      <c r="AK67" s="82">
        <f t="shared" si="48"/>
        <v>8</v>
      </c>
      <c r="AL67" s="1077">
        <f t="shared" si="49"/>
        <v>39.014618896709877</v>
      </c>
      <c r="AM67" s="1077">
        <f t="shared" si="50"/>
        <v>1.1548581197246766</v>
      </c>
      <c r="AN67" s="1088">
        <f t="shared" si="41"/>
        <v>175</v>
      </c>
      <c r="AO67" s="1089">
        <f t="shared" si="51"/>
        <v>1</v>
      </c>
      <c r="AP67" s="1081"/>
      <c r="AQ67" s="1082"/>
      <c r="AR67" s="1081"/>
      <c r="AS67" s="1082"/>
      <c r="AT67" s="1081"/>
      <c r="AU67" s="1082"/>
      <c r="AV67" s="1081"/>
      <c r="AW67" s="1082"/>
      <c r="AX67" s="28">
        <f t="shared" si="42"/>
        <v>0</v>
      </c>
      <c r="AY67" s="28">
        <f t="shared" si="43"/>
        <v>0</v>
      </c>
    </row>
    <row r="68" spans="1:51" s="19" customFormat="1" ht="12.75" x14ac:dyDescent="0.2">
      <c r="A68" s="1035" t="str">
        <f t="shared" si="22"/>
        <v>Arbre 13g</v>
      </c>
      <c r="B68" s="1039">
        <v>1</v>
      </c>
      <c r="C68" s="1094">
        <f t="shared" ref="C68:M68" si="62">$L32+C$55*Rapous</f>
        <v>-1.8924679592969751</v>
      </c>
      <c r="D68" s="1094">
        <f t="shared" si="62"/>
        <v>-0.89246795929697509</v>
      </c>
      <c r="E68" s="1094">
        <f t="shared" si="62"/>
        <v>0.10753204070302491</v>
      </c>
      <c r="F68" s="1094">
        <f t="shared" si="62"/>
        <v>1.1075320407030249</v>
      </c>
      <c r="G68" s="1095">
        <f t="shared" si="62"/>
        <v>2.1075320407030249</v>
      </c>
      <c r="H68" s="1096">
        <f t="shared" si="62"/>
        <v>3.1075320407030249</v>
      </c>
      <c r="I68" s="1097">
        <f t="shared" si="62"/>
        <v>4.1075320407030249</v>
      </c>
      <c r="J68" s="1094">
        <f t="shared" si="62"/>
        <v>5.1075320407030249</v>
      </c>
      <c r="K68" s="1094">
        <f t="shared" si="62"/>
        <v>6.1075320407030249</v>
      </c>
      <c r="L68" s="1094">
        <f t="shared" si="62"/>
        <v>7.1075320407030249</v>
      </c>
      <c r="M68" s="1095">
        <f t="shared" si="62"/>
        <v>8.107532040703024</v>
      </c>
      <c r="N68" s="696">
        <f t="shared" si="24"/>
        <v>8.5352288340735569</v>
      </c>
      <c r="O68" s="940" t="str">
        <f t="shared" si="25"/>
        <v>Arbre 13g</v>
      </c>
      <c r="P68" s="686">
        <f t="shared" si="26"/>
        <v>67.79969242906661</v>
      </c>
      <c r="Q68" s="693">
        <f t="shared" si="27"/>
        <v>1.121835266976301</v>
      </c>
      <c r="R68" s="696">
        <f t="shared" si="28"/>
        <v>1.121835266976301</v>
      </c>
      <c r="S68" s="696">
        <f t="shared" si="29"/>
        <v>1.121835266976301</v>
      </c>
      <c r="T68" s="696">
        <f t="shared" si="30"/>
        <v>1.121835266976301</v>
      </c>
      <c r="U68" s="956">
        <f t="shared" si="31"/>
        <v>1.121835266976301</v>
      </c>
      <c r="V68" s="1099">
        <f t="shared" si="32"/>
        <v>6.7018082668887464</v>
      </c>
      <c r="W68" s="693">
        <f t="shared" si="33"/>
        <v>13.206440221698106</v>
      </c>
      <c r="X68" s="696">
        <f t="shared" si="34"/>
        <v>19.383296922755118</v>
      </c>
      <c r="Y68" s="696">
        <f t="shared" si="35"/>
        <v>25.126080545276039</v>
      </c>
      <c r="Z68" s="696">
        <f t="shared" si="36"/>
        <v>30.376738023281966</v>
      </c>
      <c r="AA68" s="956">
        <f t="shared" si="37"/>
        <v>35.119194544718411</v>
      </c>
      <c r="AB68" s="1066">
        <f t="shared" si="38"/>
        <v>35.79535010231892</v>
      </c>
      <c r="AC68" s="1067">
        <f t="shared" si="45"/>
        <v>9.3500000000000227</v>
      </c>
      <c r="AD68" s="39" t="b">
        <f t="shared" si="39"/>
        <v>0</v>
      </c>
      <c r="AE68" s="1067">
        <f t="shared" si="40"/>
        <v>11.927085649535499</v>
      </c>
      <c r="AF68" s="1068">
        <f t="shared" si="46"/>
        <v>0</v>
      </c>
      <c r="AG68" s="941">
        <v>42.91</v>
      </c>
      <c r="AH68" s="942">
        <v>10.22999999999999</v>
      </c>
      <c r="AJ68" s="1076">
        <f t="shared" si="47"/>
        <v>1.121835266976301</v>
      </c>
      <c r="AK68" s="82">
        <f t="shared" si="48"/>
        <v>8</v>
      </c>
      <c r="AL68" s="1077">
        <f t="shared" si="49"/>
        <v>39.014618896709877</v>
      </c>
      <c r="AM68" s="1077">
        <f t="shared" si="50"/>
        <v>1.1548581197246766</v>
      </c>
      <c r="AN68" s="1088">
        <f>IF(AND(AX68=0,AX69=0),MAX(AN67,$H$43+1),AX68)</f>
        <v>175</v>
      </c>
      <c r="AO68" s="1089">
        <f t="shared" si="51"/>
        <v>1</v>
      </c>
      <c r="AP68" s="1081"/>
      <c r="AQ68" s="1082"/>
      <c r="AR68" s="1081"/>
      <c r="AS68" s="1082"/>
      <c r="AT68" s="1081"/>
      <c r="AU68" s="1082"/>
      <c r="AV68" s="1081"/>
      <c r="AW68" s="1082"/>
      <c r="AX68" s="28">
        <f t="shared" si="42"/>
        <v>0</v>
      </c>
      <c r="AY68" s="28">
        <f t="shared" si="43"/>
        <v>0</v>
      </c>
    </row>
    <row r="69" spans="1:51" s="19" customFormat="1" ht="12.75" x14ac:dyDescent="0.2">
      <c r="A69" s="1035" t="str">
        <f t="shared" si="22"/>
        <v>Arbre 13d</v>
      </c>
      <c r="B69" s="1039">
        <v>1</v>
      </c>
      <c r="C69" s="1094">
        <f t="shared" ref="C69:M69" si="63">$L33+C$55*Rapous</f>
        <v>-1.9061776599728684</v>
      </c>
      <c r="D69" s="1094">
        <f t="shared" si="63"/>
        <v>-0.90617765997286837</v>
      </c>
      <c r="E69" s="1094">
        <f t="shared" si="63"/>
        <v>9.3822340027131634E-2</v>
      </c>
      <c r="F69" s="1094">
        <f t="shared" si="63"/>
        <v>1.0938223400271316</v>
      </c>
      <c r="G69" s="1095">
        <f t="shared" si="63"/>
        <v>2.0938223400271316</v>
      </c>
      <c r="H69" s="1096">
        <f t="shared" si="63"/>
        <v>3.0938223400271316</v>
      </c>
      <c r="I69" s="1097">
        <f t="shared" si="63"/>
        <v>4.0938223400271312</v>
      </c>
      <c r="J69" s="1094">
        <f t="shared" si="63"/>
        <v>5.0938223400271312</v>
      </c>
      <c r="K69" s="1094">
        <f t="shared" si="63"/>
        <v>6.0938223400271312</v>
      </c>
      <c r="L69" s="1094">
        <f t="shared" si="63"/>
        <v>7.0938223400271312</v>
      </c>
      <c r="M69" s="1095">
        <f t="shared" si="63"/>
        <v>8.0938223400271312</v>
      </c>
      <c r="N69" s="696">
        <f t="shared" si="24"/>
        <v>8.1023935506738649</v>
      </c>
      <c r="O69" s="940" t="str">
        <f t="shared" si="25"/>
        <v>Arbre 13d</v>
      </c>
      <c r="P69" s="686">
        <f t="shared" si="26"/>
        <v>79.726778078602109</v>
      </c>
      <c r="Q69" s="693">
        <f t="shared" si="27"/>
        <v>1.1081522589173103</v>
      </c>
      <c r="R69" s="696">
        <f t="shared" si="28"/>
        <v>1.1081522589173103</v>
      </c>
      <c r="S69" s="696">
        <f t="shared" si="29"/>
        <v>1.1081522589173103</v>
      </c>
      <c r="T69" s="696">
        <f t="shared" si="30"/>
        <v>1.1081522589173103</v>
      </c>
      <c r="U69" s="956">
        <f t="shared" si="31"/>
        <v>1.1081522589173103</v>
      </c>
      <c r="V69" s="1099">
        <f t="shared" si="32"/>
        <v>6.9608000945710513</v>
      </c>
      <c r="W69" s="693">
        <f t="shared" si="33"/>
        <v>13.793888294545173</v>
      </c>
      <c r="X69" s="696">
        <f t="shared" si="34"/>
        <v>20.250569822089453</v>
      </c>
      <c r="Y69" s="696">
        <f t="shared" si="35"/>
        <v>26.213379657801134</v>
      </c>
      <c r="Z69" s="696">
        <f t="shared" si="36"/>
        <v>31.623574036220521</v>
      </c>
      <c r="AA69" s="956">
        <f t="shared" si="37"/>
        <v>36.47150565991943</v>
      </c>
      <c r="AB69" s="1066">
        <f t="shared" si="38"/>
        <v>18.77835674528237</v>
      </c>
      <c r="AC69" s="1067">
        <f t="shared" si="45"/>
        <v>7.5010000000000003</v>
      </c>
      <c r="AD69" s="39" t="b">
        <f t="shared" si="39"/>
        <v>0</v>
      </c>
      <c r="AE69" s="1067">
        <f t="shared" si="40"/>
        <v>20</v>
      </c>
      <c r="AF69" s="1068">
        <f t="shared" si="46"/>
        <v>0</v>
      </c>
      <c r="AG69" s="941">
        <v>46.04</v>
      </c>
      <c r="AH69" s="942">
        <v>10.759999999999991</v>
      </c>
      <c r="AJ69" s="1076">
        <f t="shared" si="47"/>
        <v>1.1081522589173103</v>
      </c>
      <c r="AK69" s="82">
        <f t="shared" si="48"/>
        <v>8</v>
      </c>
      <c r="AL69" s="1077">
        <f t="shared" si="49"/>
        <v>39.014618896709877</v>
      </c>
      <c r="AM69" s="1077">
        <f t="shared" si="50"/>
        <v>1.1548581197246766</v>
      </c>
      <c r="AN69" s="1088">
        <f>IF(AND(AX69=0,AX70=0),MAX(AN68,$H$43+1),AX69)</f>
        <v>175</v>
      </c>
      <c r="AO69" s="1089">
        <f t="shared" si="51"/>
        <v>1</v>
      </c>
      <c r="AP69" s="1081"/>
      <c r="AQ69" s="1082"/>
      <c r="AR69" s="1081"/>
      <c r="AS69" s="1082"/>
      <c r="AT69" s="1081"/>
      <c r="AU69" s="1082"/>
      <c r="AV69" s="1081"/>
      <c r="AW69" s="1082"/>
      <c r="AX69" s="28">
        <f t="shared" si="42"/>
        <v>0</v>
      </c>
      <c r="AY69" s="28">
        <f t="shared" si="43"/>
        <v>0</v>
      </c>
    </row>
    <row r="70" spans="1:51" s="28" customFormat="1" ht="12.75" x14ac:dyDescent="0.2">
      <c r="A70" s="1036" t="str">
        <f t="shared" si="22"/>
        <v>creux</v>
      </c>
      <c r="B70" s="1039">
        <v>1</v>
      </c>
      <c r="C70" s="1094">
        <f t="shared" ref="C70:M70" si="64">$L34+C$55*Rapous</f>
        <v>-5</v>
      </c>
      <c r="D70" s="1094">
        <f t="shared" si="64"/>
        <v>-4</v>
      </c>
      <c r="E70" s="1094">
        <f t="shared" si="64"/>
        <v>-3</v>
      </c>
      <c r="F70" s="1094">
        <f t="shared" si="64"/>
        <v>-2</v>
      </c>
      <c r="G70" s="1095">
        <f t="shared" si="64"/>
        <v>-1</v>
      </c>
      <c r="H70" s="1096">
        <f t="shared" si="64"/>
        <v>0</v>
      </c>
      <c r="I70" s="1097">
        <f t="shared" si="64"/>
        <v>1</v>
      </c>
      <c r="J70" s="1094">
        <f t="shared" si="64"/>
        <v>2</v>
      </c>
      <c r="K70" s="1094">
        <f t="shared" si="64"/>
        <v>3</v>
      </c>
      <c r="L70" s="1094">
        <f t="shared" si="64"/>
        <v>4</v>
      </c>
      <c r="M70" s="1095">
        <f t="shared" si="64"/>
        <v>5</v>
      </c>
      <c r="N70" s="696">
        <f t="shared" si="24"/>
        <v>0</v>
      </c>
      <c r="O70" s="940" t="str">
        <f t="shared" si="25"/>
        <v>creux</v>
      </c>
      <c r="P70" s="686">
        <f t="shared" si="26"/>
        <v>99.726778078602109</v>
      </c>
      <c r="Q70" s="693">
        <f t="shared" si="27"/>
        <v>1.0852078306453066</v>
      </c>
      <c r="R70" s="696">
        <f t="shared" si="28"/>
        <v>1.0852078306453066</v>
      </c>
      <c r="S70" s="696">
        <f t="shared" si="29"/>
        <v>1.0852078306453066</v>
      </c>
      <c r="T70" s="696">
        <f t="shared" si="30"/>
        <v>1.0852078306453066</v>
      </c>
      <c r="U70" s="956">
        <f t="shared" si="31"/>
        <v>1.0852078306453066</v>
      </c>
      <c r="V70" s="1099">
        <f t="shared" si="32"/>
        <v>1.0852078306453066</v>
      </c>
      <c r="W70" s="693">
        <f t="shared" si="33"/>
        <v>1.0852078306453066</v>
      </c>
      <c r="X70" s="696">
        <f t="shared" si="34"/>
        <v>1.0852078306453066</v>
      </c>
      <c r="Y70" s="696">
        <f t="shared" si="35"/>
        <v>1.0852078306453066</v>
      </c>
      <c r="Z70" s="696">
        <f t="shared" si="36"/>
        <v>1.0852078306453066</v>
      </c>
      <c r="AA70" s="956">
        <f t="shared" si="37"/>
        <v>1.0852078306453066</v>
      </c>
      <c r="AB70" s="1066">
        <f t="shared" si="38"/>
        <v>1.0426039153226534</v>
      </c>
      <c r="AC70" s="1067">
        <f t="shared" si="45"/>
        <v>7.5010000000000003</v>
      </c>
      <c r="AD70" s="39" t="b">
        <f t="shared" si="39"/>
        <v>0</v>
      </c>
      <c r="AE70" s="1067">
        <f t="shared" si="40"/>
        <v>74.273221921397891</v>
      </c>
      <c r="AF70" s="1068">
        <f t="shared" si="46"/>
        <v>0</v>
      </c>
      <c r="AG70" s="941">
        <v>48.37</v>
      </c>
      <c r="AH70" s="942">
        <v>11.280000000000001</v>
      </c>
      <c r="AJ70" s="1076">
        <f t="shared" si="47"/>
        <v>1.0852078306453066</v>
      </c>
      <c r="AK70" s="82">
        <f t="shared" si="48"/>
        <v>8</v>
      </c>
      <c r="AL70" s="1077">
        <f t="shared" si="49"/>
        <v>39.014618896709877</v>
      </c>
      <c r="AM70" s="1077">
        <f t="shared" si="50"/>
        <v>1.1548581197246766</v>
      </c>
      <c r="AN70" s="1088">
        <f t="shared" ref="AN70:AN79" si="65">IF(AND(AX70=0,AX71=0),MAX(AN69,$H$43+1),AX70)</f>
        <v>175</v>
      </c>
      <c r="AO70" s="1089">
        <f t="shared" si="51"/>
        <v>1</v>
      </c>
      <c r="AP70" s="1081"/>
      <c r="AQ70" s="1082"/>
      <c r="AR70" s="1081"/>
      <c r="AS70" s="1082"/>
      <c r="AT70" s="1081"/>
      <c r="AU70" s="1082"/>
      <c r="AV70" s="1081"/>
      <c r="AW70" s="1082"/>
      <c r="AX70" s="28">
        <f t="shared" si="42"/>
        <v>0</v>
      </c>
      <c r="AY70" s="28">
        <f t="shared" si="43"/>
        <v>0</v>
      </c>
    </row>
    <row r="71" spans="1:51" s="28" customFormat="1" ht="12.75" x14ac:dyDescent="0.2">
      <c r="A71" s="1036" t="str">
        <f t="shared" si="22"/>
        <v>Toiture D</v>
      </c>
      <c r="B71" s="1039">
        <v>1</v>
      </c>
      <c r="C71" s="1094">
        <f t="shared" ref="C71:M71" si="66">$L35+C$55*Rapous</f>
        <v>-5</v>
      </c>
      <c r="D71" s="1094">
        <f t="shared" si="66"/>
        <v>-4</v>
      </c>
      <c r="E71" s="1094">
        <f t="shared" si="66"/>
        <v>-3</v>
      </c>
      <c r="F71" s="1094">
        <f t="shared" si="66"/>
        <v>-2</v>
      </c>
      <c r="G71" s="1095">
        <f t="shared" si="66"/>
        <v>-1</v>
      </c>
      <c r="H71" s="1096">
        <f t="shared" si="66"/>
        <v>0</v>
      </c>
      <c r="I71" s="1097">
        <f t="shared" si="66"/>
        <v>1</v>
      </c>
      <c r="J71" s="1094">
        <f t="shared" si="66"/>
        <v>2</v>
      </c>
      <c r="K71" s="1094">
        <f t="shared" si="66"/>
        <v>3</v>
      </c>
      <c r="L71" s="1094">
        <f t="shared" si="66"/>
        <v>4</v>
      </c>
      <c r="M71" s="1095">
        <f t="shared" si="66"/>
        <v>5</v>
      </c>
      <c r="N71" s="696">
        <f t="shared" si="24"/>
        <v>0</v>
      </c>
      <c r="O71" s="940" t="str">
        <f t="shared" si="25"/>
        <v>Toiture D</v>
      </c>
      <c r="P71" s="686">
        <f t="shared" si="26"/>
        <v>174</v>
      </c>
      <c r="Q71" s="693">
        <f t="shared" si="27"/>
        <v>1</v>
      </c>
      <c r="R71" s="696">
        <f t="shared" si="28"/>
        <v>1</v>
      </c>
      <c r="S71" s="696">
        <f t="shared" si="29"/>
        <v>1</v>
      </c>
      <c r="T71" s="696">
        <f t="shared" si="30"/>
        <v>1</v>
      </c>
      <c r="U71" s="956">
        <f t="shared" si="31"/>
        <v>1</v>
      </c>
      <c r="V71" s="1099">
        <f t="shared" si="32"/>
        <v>1</v>
      </c>
      <c r="W71" s="693">
        <f t="shared" si="33"/>
        <v>1</v>
      </c>
      <c r="X71" s="696">
        <f t="shared" si="34"/>
        <v>1</v>
      </c>
      <c r="Y71" s="696">
        <f t="shared" si="35"/>
        <v>1</v>
      </c>
      <c r="Z71" s="696">
        <f t="shared" si="36"/>
        <v>1</v>
      </c>
      <c r="AA71" s="956">
        <f t="shared" si="37"/>
        <v>1</v>
      </c>
      <c r="AB71" s="1066">
        <f t="shared" si="38"/>
        <v>1</v>
      </c>
      <c r="AC71" s="1067">
        <f t="shared" si="45"/>
        <v>7.5010000000000003</v>
      </c>
      <c r="AD71" s="39" t="b">
        <f t="shared" si="39"/>
        <v>0</v>
      </c>
      <c r="AE71" s="1067">
        <f t="shared" si="40"/>
        <v>0</v>
      </c>
      <c r="AF71" s="1068">
        <f t="shared" si="46"/>
        <v>0</v>
      </c>
      <c r="AG71" s="941">
        <v>51.52</v>
      </c>
      <c r="AH71" s="942">
        <v>11.930000000000007</v>
      </c>
      <c r="AJ71" s="1076">
        <f t="shared" si="47"/>
        <v>1</v>
      </c>
      <c r="AK71" s="82">
        <f t="shared" si="48"/>
        <v>9</v>
      </c>
      <c r="AL71" s="1077">
        <f t="shared" si="49"/>
        <v>174</v>
      </c>
      <c r="AM71" s="1077">
        <f t="shared" si="50"/>
        <v>1</v>
      </c>
      <c r="AN71" s="1088">
        <f t="shared" si="65"/>
        <v>175</v>
      </c>
      <c r="AO71" s="1089">
        <f t="shared" si="51"/>
        <v>1</v>
      </c>
      <c r="AP71" s="1081"/>
      <c r="AQ71" s="1082"/>
      <c r="AR71" s="1081"/>
      <c r="AS71" s="1082"/>
      <c r="AT71" s="1081"/>
      <c r="AU71" s="1082"/>
      <c r="AV71" s="1081"/>
      <c r="AW71" s="1082"/>
      <c r="AX71" s="28">
        <f t="shared" si="42"/>
        <v>0</v>
      </c>
      <c r="AY71" s="28">
        <f t="shared" si="43"/>
        <v>0</v>
      </c>
    </row>
    <row r="72" spans="1:51" s="28" customFormat="1" ht="12.75" x14ac:dyDescent="0.2">
      <c r="A72" s="1036">
        <f t="shared" si="22"/>
        <v>0</v>
      </c>
      <c r="B72" s="1039">
        <v>1</v>
      </c>
      <c r="C72" s="1094">
        <f t="shared" ref="C72:M72" si="67">$L36+C$55*Rapous</f>
        <v>-5</v>
      </c>
      <c r="D72" s="1094">
        <f t="shared" si="67"/>
        <v>-4</v>
      </c>
      <c r="E72" s="1094">
        <f t="shared" si="67"/>
        <v>-3</v>
      </c>
      <c r="F72" s="1094">
        <f t="shared" si="67"/>
        <v>-2</v>
      </c>
      <c r="G72" s="1095">
        <f t="shared" si="67"/>
        <v>-1</v>
      </c>
      <c r="H72" s="1096">
        <f t="shared" si="67"/>
        <v>0</v>
      </c>
      <c r="I72" s="1097">
        <f t="shared" si="67"/>
        <v>1</v>
      </c>
      <c r="J72" s="1094">
        <f t="shared" si="67"/>
        <v>2</v>
      </c>
      <c r="K72" s="1094">
        <f t="shared" si="67"/>
        <v>3</v>
      </c>
      <c r="L72" s="1094">
        <f t="shared" si="67"/>
        <v>4</v>
      </c>
      <c r="M72" s="1095">
        <f t="shared" si="67"/>
        <v>5</v>
      </c>
      <c r="N72" s="696">
        <f t="shared" si="24"/>
        <v>0</v>
      </c>
      <c r="O72" s="940">
        <f t="shared" si="25"/>
        <v>0</v>
      </c>
      <c r="P72" s="686">
        <f t="shared" si="26"/>
        <v>174</v>
      </c>
      <c r="Q72" s="693">
        <f t="shared" si="27"/>
        <v>1</v>
      </c>
      <c r="R72" s="696">
        <f t="shared" si="28"/>
        <v>1</v>
      </c>
      <c r="S72" s="696">
        <f t="shared" si="29"/>
        <v>1</v>
      </c>
      <c r="T72" s="696">
        <f t="shared" si="30"/>
        <v>1</v>
      </c>
      <c r="U72" s="956">
        <f t="shared" si="31"/>
        <v>1</v>
      </c>
      <c r="V72" s="1099">
        <f t="shared" si="32"/>
        <v>1</v>
      </c>
      <c r="W72" s="693">
        <f t="shared" si="33"/>
        <v>1</v>
      </c>
      <c r="X72" s="696">
        <f t="shared" si="34"/>
        <v>1</v>
      </c>
      <c r="Y72" s="696">
        <f t="shared" si="35"/>
        <v>1</v>
      </c>
      <c r="Z72" s="696">
        <f t="shared" si="36"/>
        <v>1</v>
      </c>
      <c r="AA72" s="956">
        <f t="shared" si="37"/>
        <v>1</v>
      </c>
      <c r="AB72" s="1066">
        <f t="shared" si="38"/>
        <v>1</v>
      </c>
      <c r="AC72" s="1067">
        <f t="shared" si="45"/>
        <v>7.5010000000000003</v>
      </c>
      <c r="AD72" s="39" t="b">
        <f t="shared" si="39"/>
        <v>0</v>
      </c>
      <c r="AE72" s="1067">
        <f t="shared" si="40"/>
        <v>0</v>
      </c>
      <c r="AF72" s="1068">
        <f t="shared" si="46"/>
        <v>0</v>
      </c>
      <c r="AG72" s="941">
        <v>53.73</v>
      </c>
      <c r="AH72" s="944">
        <v>12.530000000000001</v>
      </c>
      <c r="AJ72" s="1076">
        <f t="shared" si="47"/>
        <v>1</v>
      </c>
      <c r="AK72" s="82">
        <f t="shared" si="48"/>
        <v>9</v>
      </c>
      <c r="AL72" s="1077">
        <f t="shared" si="49"/>
        <v>174</v>
      </c>
      <c r="AM72" s="1077">
        <f t="shared" si="50"/>
        <v>1</v>
      </c>
      <c r="AN72" s="1088">
        <f t="shared" si="65"/>
        <v>175</v>
      </c>
      <c r="AO72" s="1089">
        <f t="shared" si="51"/>
        <v>1</v>
      </c>
      <c r="AP72" s="1081"/>
      <c r="AQ72" s="1082"/>
      <c r="AR72" s="1081"/>
      <c r="AS72" s="1082"/>
      <c r="AT72" s="1081"/>
      <c r="AU72" s="1082"/>
      <c r="AV72" s="1081"/>
      <c r="AW72" s="1082"/>
      <c r="AX72" s="28">
        <f t="shared" si="42"/>
        <v>0</v>
      </c>
      <c r="AY72" s="28">
        <f t="shared" si="43"/>
        <v>0</v>
      </c>
    </row>
    <row r="73" spans="1:51" s="28" customFormat="1" ht="12.75" x14ac:dyDescent="0.2">
      <c r="A73" s="1036">
        <f t="shared" si="22"/>
        <v>0</v>
      </c>
      <c r="B73" s="1039">
        <v>1</v>
      </c>
      <c r="C73" s="1094">
        <f t="shared" ref="C73:M73" si="68">$L37+C$55*Rapous</f>
        <v>-5</v>
      </c>
      <c r="D73" s="1094">
        <f t="shared" si="68"/>
        <v>-4</v>
      </c>
      <c r="E73" s="1094">
        <f t="shared" si="68"/>
        <v>-3</v>
      </c>
      <c r="F73" s="1094">
        <f t="shared" si="68"/>
        <v>-2</v>
      </c>
      <c r="G73" s="1095">
        <f t="shared" si="68"/>
        <v>-1</v>
      </c>
      <c r="H73" s="1096">
        <f t="shared" si="68"/>
        <v>0</v>
      </c>
      <c r="I73" s="1097">
        <f t="shared" si="68"/>
        <v>1</v>
      </c>
      <c r="J73" s="1094">
        <f t="shared" si="68"/>
        <v>2</v>
      </c>
      <c r="K73" s="1094">
        <f t="shared" si="68"/>
        <v>3</v>
      </c>
      <c r="L73" s="1094">
        <f t="shared" si="68"/>
        <v>4</v>
      </c>
      <c r="M73" s="1095">
        <f t="shared" si="68"/>
        <v>5</v>
      </c>
      <c r="N73" s="696">
        <f t="shared" si="24"/>
        <v>0</v>
      </c>
      <c r="O73" s="940">
        <f t="shared" si="25"/>
        <v>0</v>
      </c>
      <c r="P73" s="686">
        <f t="shared" si="26"/>
        <v>174</v>
      </c>
      <c r="Q73" s="693">
        <f t="shared" si="27"/>
        <v>1</v>
      </c>
      <c r="R73" s="696">
        <f t="shared" si="28"/>
        <v>1</v>
      </c>
      <c r="S73" s="696">
        <f t="shared" si="29"/>
        <v>1</v>
      </c>
      <c r="T73" s="696">
        <f t="shared" si="30"/>
        <v>1</v>
      </c>
      <c r="U73" s="956">
        <f t="shared" si="31"/>
        <v>1</v>
      </c>
      <c r="V73" s="1099">
        <f t="shared" si="32"/>
        <v>1</v>
      </c>
      <c r="W73" s="693">
        <f t="shared" si="33"/>
        <v>1</v>
      </c>
      <c r="X73" s="696">
        <f t="shared" si="34"/>
        <v>1</v>
      </c>
      <c r="Y73" s="696">
        <f t="shared" si="35"/>
        <v>1</v>
      </c>
      <c r="Z73" s="696">
        <f t="shared" si="36"/>
        <v>1</v>
      </c>
      <c r="AA73" s="956">
        <f t="shared" si="37"/>
        <v>1</v>
      </c>
      <c r="AB73" s="1066">
        <f t="shared" si="38"/>
        <v>1</v>
      </c>
      <c r="AC73" s="1067">
        <f t="shared" si="45"/>
        <v>7.5010000000000003</v>
      </c>
      <c r="AD73" s="39" t="b">
        <f t="shared" si="39"/>
        <v>0</v>
      </c>
      <c r="AE73" s="1067">
        <f t="shared" si="40"/>
        <v>0</v>
      </c>
      <c r="AF73" s="1068">
        <f t="shared" si="46"/>
        <v>0</v>
      </c>
      <c r="AG73" s="941">
        <v>56.67</v>
      </c>
      <c r="AH73" s="944">
        <v>13.370000000000005</v>
      </c>
      <c r="AJ73" s="1076">
        <f t="shared" si="47"/>
        <v>1</v>
      </c>
      <c r="AK73" s="82">
        <f t="shared" si="48"/>
        <v>9</v>
      </c>
      <c r="AL73" s="1077">
        <f t="shared" si="49"/>
        <v>174</v>
      </c>
      <c r="AM73" s="1077">
        <f t="shared" si="50"/>
        <v>1</v>
      </c>
      <c r="AN73" s="1088">
        <f t="shared" si="65"/>
        <v>175</v>
      </c>
      <c r="AO73" s="1089">
        <f t="shared" si="51"/>
        <v>1</v>
      </c>
      <c r="AP73" s="1081"/>
      <c r="AQ73" s="1082"/>
      <c r="AR73" s="1081"/>
      <c r="AS73" s="1082"/>
      <c r="AT73" s="1081"/>
      <c r="AU73" s="1082"/>
      <c r="AV73" s="1081"/>
      <c r="AW73" s="1082"/>
      <c r="AX73" s="28">
        <f t="shared" si="42"/>
        <v>0</v>
      </c>
      <c r="AY73" s="28">
        <f t="shared" si="43"/>
        <v>0</v>
      </c>
    </row>
    <row r="74" spans="1:51" s="28" customFormat="1" ht="12.75" x14ac:dyDescent="0.2">
      <c r="A74" s="1036">
        <f t="shared" si="22"/>
        <v>0</v>
      </c>
      <c r="B74" s="1039">
        <v>1</v>
      </c>
      <c r="C74" s="1094">
        <f t="shared" ref="C74:M74" si="69">$L38+C$55*Rapous</f>
        <v>-5</v>
      </c>
      <c r="D74" s="1094">
        <f t="shared" si="69"/>
        <v>-4</v>
      </c>
      <c r="E74" s="1094">
        <f t="shared" si="69"/>
        <v>-3</v>
      </c>
      <c r="F74" s="1094">
        <f t="shared" si="69"/>
        <v>-2</v>
      </c>
      <c r="G74" s="1095">
        <f t="shared" si="69"/>
        <v>-1</v>
      </c>
      <c r="H74" s="1096">
        <f t="shared" si="69"/>
        <v>0</v>
      </c>
      <c r="I74" s="1097">
        <f t="shared" si="69"/>
        <v>1</v>
      </c>
      <c r="J74" s="1094">
        <f t="shared" si="69"/>
        <v>2</v>
      </c>
      <c r="K74" s="1094">
        <f t="shared" si="69"/>
        <v>3</v>
      </c>
      <c r="L74" s="1094">
        <f t="shared" si="69"/>
        <v>4</v>
      </c>
      <c r="M74" s="1095">
        <f t="shared" si="69"/>
        <v>5</v>
      </c>
      <c r="N74" s="696">
        <f t="shared" si="24"/>
        <v>0</v>
      </c>
      <c r="O74" s="940">
        <f t="shared" si="25"/>
        <v>0</v>
      </c>
      <c r="P74" s="686">
        <f t="shared" si="26"/>
        <v>174</v>
      </c>
      <c r="Q74" s="693">
        <f t="shared" si="27"/>
        <v>1</v>
      </c>
      <c r="R74" s="696">
        <f t="shared" si="28"/>
        <v>1</v>
      </c>
      <c r="S74" s="696">
        <f t="shared" si="29"/>
        <v>1</v>
      </c>
      <c r="T74" s="696">
        <f t="shared" si="30"/>
        <v>1</v>
      </c>
      <c r="U74" s="956">
        <f t="shared" si="31"/>
        <v>1</v>
      </c>
      <c r="V74" s="1099">
        <f t="shared" si="32"/>
        <v>1</v>
      </c>
      <c r="W74" s="693">
        <f t="shared" si="33"/>
        <v>1</v>
      </c>
      <c r="X74" s="696">
        <f t="shared" si="34"/>
        <v>1</v>
      </c>
      <c r="Y74" s="696">
        <f t="shared" si="35"/>
        <v>1</v>
      </c>
      <c r="Z74" s="696">
        <f t="shared" si="36"/>
        <v>1</v>
      </c>
      <c r="AA74" s="956">
        <f t="shared" si="37"/>
        <v>1</v>
      </c>
      <c r="AB74" s="1066">
        <f t="shared" si="38"/>
        <v>1</v>
      </c>
      <c r="AC74" s="1067">
        <f t="shared" si="45"/>
        <v>7.5010000000000003</v>
      </c>
      <c r="AD74" s="39" t="b">
        <f t="shared" si="39"/>
        <v>0</v>
      </c>
      <c r="AE74" s="1067">
        <f t="shared" si="40"/>
        <v>0</v>
      </c>
      <c r="AF74" s="1068">
        <f t="shared" si="46"/>
        <v>0</v>
      </c>
      <c r="AG74" s="941">
        <v>58.66</v>
      </c>
      <c r="AH74" s="944">
        <v>13.969999999999999</v>
      </c>
      <c r="AJ74" s="1076">
        <f t="shared" si="47"/>
        <v>1</v>
      </c>
      <c r="AK74" s="82">
        <f t="shared" si="48"/>
        <v>9</v>
      </c>
      <c r="AL74" s="1077">
        <f t="shared" si="49"/>
        <v>174</v>
      </c>
      <c r="AM74" s="1077">
        <f t="shared" si="50"/>
        <v>1</v>
      </c>
      <c r="AN74" s="1088">
        <f t="shared" si="65"/>
        <v>175</v>
      </c>
      <c r="AO74" s="1089">
        <f t="shared" si="51"/>
        <v>1</v>
      </c>
      <c r="AP74" s="1081"/>
      <c r="AQ74" s="1082"/>
      <c r="AR74" s="1081"/>
      <c r="AS74" s="1082"/>
      <c r="AT74" s="1081"/>
      <c r="AU74" s="1082"/>
      <c r="AV74" s="1081"/>
      <c r="AW74" s="1082"/>
      <c r="AX74" s="28">
        <f t="shared" si="42"/>
        <v>0</v>
      </c>
      <c r="AY74" s="28">
        <f t="shared" si="43"/>
        <v>0</v>
      </c>
    </row>
    <row r="75" spans="1:51" s="28" customFormat="1" ht="12.75" x14ac:dyDescent="0.2">
      <c r="A75" s="1036">
        <f t="shared" si="22"/>
        <v>0</v>
      </c>
      <c r="B75" s="1039">
        <v>1</v>
      </c>
      <c r="C75" s="696">
        <f t="shared" ref="C75:M75" si="70">$L39+C$55*Rapous</f>
        <v>-5</v>
      </c>
      <c r="D75" s="696">
        <f t="shared" si="70"/>
        <v>-4</v>
      </c>
      <c r="E75" s="696">
        <f t="shared" si="70"/>
        <v>-3</v>
      </c>
      <c r="F75" s="696">
        <f t="shared" si="70"/>
        <v>-2</v>
      </c>
      <c r="G75" s="956">
        <f t="shared" si="70"/>
        <v>-1</v>
      </c>
      <c r="H75" s="1096">
        <f t="shared" si="70"/>
        <v>0</v>
      </c>
      <c r="I75" s="1097">
        <f t="shared" si="70"/>
        <v>1</v>
      </c>
      <c r="J75" s="1100">
        <f t="shared" si="70"/>
        <v>2</v>
      </c>
      <c r="K75" s="1094">
        <f t="shared" si="70"/>
        <v>3</v>
      </c>
      <c r="L75" s="1100">
        <f t="shared" si="70"/>
        <v>4</v>
      </c>
      <c r="M75" s="1095">
        <f t="shared" si="70"/>
        <v>5</v>
      </c>
      <c r="N75" s="696">
        <f t="shared" si="24"/>
        <v>0</v>
      </c>
      <c r="O75" s="940">
        <f t="shared" si="25"/>
        <v>0</v>
      </c>
      <c r="P75" s="696">
        <f t="shared" si="26"/>
        <v>174</v>
      </c>
      <c r="Q75" s="693">
        <f t="shared" si="27"/>
        <v>1</v>
      </c>
      <c r="R75" s="696">
        <f t="shared" si="28"/>
        <v>1</v>
      </c>
      <c r="S75" s="696">
        <f t="shared" si="29"/>
        <v>1</v>
      </c>
      <c r="T75" s="696">
        <f t="shared" si="30"/>
        <v>1</v>
      </c>
      <c r="U75" s="956">
        <f t="shared" si="31"/>
        <v>1</v>
      </c>
      <c r="V75" s="1099">
        <f t="shared" si="32"/>
        <v>1</v>
      </c>
      <c r="W75" s="693">
        <f t="shared" si="33"/>
        <v>1</v>
      </c>
      <c r="X75" s="696">
        <f t="shared" si="34"/>
        <v>1</v>
      </c>
      <c r="Y75" s="696">
        <f t="shared" si="35"/>
        <v>1</v>
      </c>
      <c r="Z75" s="696">
        <f t="shared" si="36"/>
        <v>1</v>
      </c>
      <c r="AA75" s="956">
        <f t="shared" si="37"/>
        <v>1</v>
      </c>
      <c r="AB75" s="1066">
        <f t="shared" si="38"/>
        <v>1</v>
      </c>
      <c r="AC75" s="1067">
        <f t="shared" si="45"/>
        <v>7.5010000000000003</v>
      </c>
      <c r="AD75" s="39" t="b">
        <f t="shared" si="39"/>
        <v>0</v>
      </c>
      <c r="AE75" s="1067">
        <f t="shared" si="40"/>
        <v>0</v>
      </c>
      <c r="AF75" s="1068">
        <f t="shared" si="46"/>
        <v>0</v>
      </c>
      <c r="AG75" s="941">
        <v>61.27</v>
      </c>
      <c r="AH75" s="944">
        <v>15.02000000000001</v>
      </c>
      <c r="AJ75" s="1076">
        <f t="shared" si="47"/>
        <v>1</v>
      </c>
      <c r="AK75" s="82">
        <f t="shared" si="48"/>
        <v>9</v>
      </c>
      <c r="AL75" s="1077">
        <f t="shared" si="49"/>
        <v>174</v>
      </c>
      <c r="AM75" s="1077">
        <f t="shared" si="50"/>
        <v>1</v>
      </c>
      <c r="AN75" s="1088">
        <f t="shared" si="65"/>
        <v>175</v>
      </c>
      <c r="AO75" s="1089">
        <f t="shared" si="51"/>
        <v>1</v>
      </c>
      <c r="AP75" s="1081"/>
      <c r="AQ75" s="1082"/>
      <c r="AR75" s="1081"/>
      <c r="AS75" s="1082"/>
      <c r="AT75" s="1081"/>
      <c r="AU75" s="1082"/>
      <c r="AV75" s="1081"/>
      <c r="AW75" s="1082"/>
      <c r="AX75" s="28">
        <f t="shared" si="42"/>
        <v>0</v>
      </c>
      <c r="AY75" s="28">
        <f t="shared" si="43"/>
        <v>0</v>
      </c>
    </row>
    <row r="76" spans="1:51" s="28" customFormat="1" ht="12.75" x14ac:dyDescent="0.2">
      <c r="A76" s="1036">
        <f t="shared" si="22"/>
        <v>0</v>
      </c>
      <c r="B76" s="1039">
        <v>1</v>
      </c>
      <c r="C76" s="696">
        <f t="shared" ref="C76:M76" si="71">$L40+C$55*Rapous</f>
        <v>-5</v>
      </c>
      <c r="D76" s="696">
        <f t="shared" si="71"/>
        <v>-4</v>
      </c>
      <c r="E76" s="696">
        <f t="shared" si="71"/>
        <v>-3</v>
      </c>
      <c r="F76" s="696">
        <f t="shared" si="71"/>
        <v>-2</v>
      </c>
      <c r="G76" s="956">
        <f t="shared" si="71"/>
        <v>-1</v>
      </c>
      <c r="H76" s="1096">
        <f t="shared" si="71"/>
        <v>0</v>
      </c>
      <c r="I76" s="1097">
        <f t="shared" si="71"/>
        <v>1</v>
      </c>
      <c r="J76" s="1100">
        <f t="shared" si="71"/>
        <v>2</v>
      </c>
      <c r="K76" s="1094">
        <f t="shared" si="71"/>
        <v>3</v>
      </c>
      <c r="L76" s="1100">
        <f t="shared" si="71"/>
        <v>4</v>
      </c>
      <c r="M76" s="1095">
        <f t="shared" si="71"/>
        <v>5</v>
      </c>
      <c r="N76" s="696">
        <f t="shared" si="24"/>
        <v>0</v>
      </c>
      <c r="O76" s="940">
        <f t="shared" si="25"/>
        <v>0</v>
      </c>
      <c r="P76" s="696">
        <f t="shared" si="26"/>
        <v>174</v>
      </c>
      <c r="Q76" s="693">
        <f t="shared" si="27"/>
        <v>1</v>
      </c>
      <c r="R76" s="696">
        <f t="shared" si="28"/>
        <v>1</v>
      </c>
      <c r="S76" s="696">
        <f t="shared" si="29"/>
        <v>1</v>
      </c>
      <c r="T76" s="696">
        <f t="shared" si="30"/>
        <v>1</v>
      </c>
      <c r="U76" s="956">
        <f t="shared" si="31"/>
        <v>1</v>
      </c>
      <c r="V76" s="1099">
        <f t="shared" si="32"/>
        <v>1</v>
      </c>
      <c r="W76" s="693">
        <f t="shared" si="33"/>
        <v>1</v>
      </c>
      <c r="X76" s="696">
        <f t="shared" si="34"/>
        <v>1</v>
      </c>
      <c r="Y76" s="696">
        <f t="shared" si="35"/>
        <v>1</v>
      </c>
      <c r="Z76" s="696">
        <f t="shared" si="36"/>
        <v>1</v>
      </c>
      <c r="AA76" s="956">
        <f t="shared" si="37"/>
        <v>1</v>
      </c>
      <c r="AB76" s="1066">
        <f t="shared" si="38"/>
        <v>1</v>
      </c>
      <c r="AC76" s="1067">
        <f t="shared" si="45"/>
        <v>7.5010000000000003</v>
      </c>
      <c r="AD76" s="39" t="b">
        <f t="shared" si="39"/>
        <v>0</v>
      </c>
      <c r="AE76" s="1067">
        <f t="shared" si="40"/>
        <v>0</v>
      </c>
      <c r="AF76" s="1068">
        <f t="shared" si="46"/>
        <v>0</v>
      </c>
      <c r="AG76" s="941">
        <v>62.95</v>
      </c>
      <c r="AH76" s="944">
        <v>15.569999999999993</v>
      </c>
      <c r="AJ76" s="1076">
        <f t="shared" si="47"/>
        <v>1</v>
      </c>
      <c r="AK76" s="82">
        <f t="shared" si="48"/>
        <v>9</v>
      </c>
      <c r="AL76" s="1077">
        <f t="shared" si="49"/>
        <v>174</v>
      </c>
      <c r="AM76" s="1077">
        <f t="shared" si="50"/>
        <v>1</v>
      </c>
      <c r="AN76" s="1088">
        <f t="shared" si="65"/>
        <v>175</v>
      </c>
      <c r="AO76" s="1089">
        <f t="shared" si="51"/>
        <v>1</v>
      </c>
      <c r="AP76" s="1081"/>
      <c r="AQ76" s="1082"/>
      <c r="AR76" s="1081"/>
      <c r="AS76" s="1082"/>
      <c r="AT76" s="1081"/>
      <c r="AU76" s="1082"/>
      <c r="AV76" s="1081"/>
      <c r="AW76" s="1082"/>
      <c r="AX76" s="28">
        <f t="shared" si="42"/>
        <v>0</v>
      </c>
      <c r="AY76" s="28">
        <f t="shared" si="43"/>
        <v>0</v>
      </c>
    </row>
    <row r="77" spans="1:51" s="28" customFormat="1" ht="12.75" x14ac:dyDescent="0.2">
      <c r="A77" s="1036">
        <f t="shared" si="22"/>
        <v>0</v>
      </c>
      <c r="B77" s="1039">
        <v>1</v>
      </c>
      <c r="C77" s="696">
        <f t="shared" ref="C77:M77" si="72">$L41+C$55*Rapous</f>
        <v>-5</v>
      </c>
      <c r="D77" s="696">
        <f t="shared" si="72"/>
        <v>-4</v>
      </c>
      <c r="E77" s="696">
        <f t="shared" si="72"/>
        <v>-3</v>
      </c>
      <c r="F77" s="696">
        <f t="shared" si="72"/>
        <v>-2</v>
      </c>
      <c r="G77" s="956">
        <f t="shared" si="72"/>
        <v>-1</v>
      </c>
      <c r="H77" s="1096">
        <f t="shared" si="72"/>
        <v>0</v>
      </c>
      <c r="I77" s="1097">
        <f t="shared" si="72"/>
        <v>1</v>
      </c>
      <c r="J77" s="1100">
        <f t="shared" si="72"/>
        <v>2</v>
      </c>
      <c r="K77" s="1094">
        <f t="shared" si="72"/>
        <v>3</v>
      </c>
      <c r="L77" s="1100">
        <f t="shared" si="72"/>
        <v>4</v>
      </c>
      <c r="M77" s="1095">
        <f t="shared" si="72"/>
        <v>5</v>
      </c>
      <c r="N77" s="696">
        <f t="shared" si="24"/>
        <v>0</v>
      </c>
      <c r="O77" s="940">
        <f t="shared" si="25"/>
        <v>0</v>
      </c>
      <c r="P77" s="696">
        <f t="shared" si="26"/>
        <v>174</v>
      </c>
      <c r="Q77" s="693">
        <f t="shared" si="27"/>
        <v>1</v>
      </c>
      <c r="R77" s="696">
        <f t="shared" si="28"/>
        <v>1</v>
      </c>
      <c r="S77" s="696">
        <f t="shared" si="29"/>
        <v>1</v>
      </c>
      <c r="T77" s="696">
        <f t="shared" si="30"/>
        <v>1</v>
      </c>
      <c r="U77" s="956">
        <f t="shared" si="31"/>
        <v>1</v>
      </c>
      <c r="V77" s="1099">
        <f t="shared" si="32"/>
        <v>1</v>
      </c>
      <c r="W77" s="693">
        <f t="shared" si="33"/>
        <v>1</v>
      </c>
      <c r="X77" s="696">
        <f t="shared" si="34"/>
        <v>1</v>
      </c>
      <c r="Y77" s="696">
        <f t="shared" si="35"/>
        <v>1</v>
      </c>
      <c r="Z77" s="696">
        <f t="shared" si="36"/>
        <v>1</v>
      </c>
      <c r="AA77" s="956">
        <f t="shared" si="37"/>
        <v>1</v>
      </c>
      <c r="AB77" s="1066">
        <f t="shared" si="38"/>
        <v>1</v>
      </c>
      <c r="AC77" s="1067">
        <f t="shared" si="45"/>
        <v>7.5010000000000003</v>
      </c>
      <c r="AD77" s="39" t="b">
        <f t="shared" si="39"/>
        <v>0</v>
      </c>
      <c r="AE77" s="1067">
        <f t="shared" si="40"/>
        <v>0</v>
      </c>
      <c r="AF77" s="1068">
        <f t="shared" si="46"/>
        <v>0</v>
      </c>
      <c r="AG77" s="941">
        <v>65.069999999999993</v>
      </c>
      <c r="AH77" s="944">
        <v>16.789999999999992</v>
      </c>
      <c r="AJ77" s="1076">
        <f t="shared" si="47"/>
        <v>1</v>
      </c>
      <c r="AK77" s="82">
        <f t="shared" si="48"/>
        <v>9</v>
      </c>
      <c r="AL77" s="1077">
        <f t="shared" si="49"/>
        <v>174</v>
      </c>
      <c r="AM77" s="1077">
        <f t="shared" si="50"/>
        <v>1</v>
      </c>
      <c r="AN77" s="1088">
        <f t="shared" si="65"/>
        <v>175</v>
      </c>
      <c r="AO77" s="1089">
        <f t="shared" si="51"/>
        <v>1</v>
      </c>
      <c r="AP77" s="1081"/>
      <c r="AQ77" s="1082"/>
      <c r="AR77" s="1081"/>
      <c r="AS77" s="1082"/>
      <c r="AT77" s="1081"/>
      <c r="AU77" s="1082"/>
      <c r="AV77" s="1081"/>
      <c r="AW77" s="1082"/>
      <c r="AX77" s="28">
        <f t="shared" si="42"/>
        <v>0</v>
      </c>
      <c r="AY77" s="28">
        <f t="shared" si="43"/>
        <v>0</v>
      </c>
    </row>
    <row r="78" spans="1:51" s="28" customFormat="1" ht="12.75" x14ac:dyDescent="0.2">
      <c r="A78" s="1036">
        <f t="shared" si="22"/>
        <v>0</v>
      </c>
      <c r="B78" s="1039">
        <v>1</v>
      </c>
      <c r="C78" s="696">
        <f t="shared" ref="C78:M78" si="73">$L42+C$55*Rapous</f>
        <v>-5</v>
      </c>
      <c r="D78" s="696">
        <f t="shared" si="73"/>
        <v>-4</v>
      </c>
      <c r="E78" s="696">
        <f t="shared" si="73"/>
        <v>-3</v>
      </c>
      <c r="F78" s="696">
        <f t="shared" si="73"/>
        <v>-2</v>
      </c>
      <c r="G78" s="956">
        <f t="shared" si="73"/>
        <v>-1</v>
      </c>
      <c r="H78" s="1096">
        <f t="shared" si="73"/>
        <v>0</v>
      </c>
      <c r="I78" s="1097">
        <f t="shared" si="73"/>
        <v>1</v>
      </c>
      <c r="J78" s="1100">
        <f t="shared" si="73"/>
        <v>2</v>
      </c>
      <c r="K78" s="1094">
        <f t="shared" si="73"/>
        <v>3</v>
      </c>
      <c r="L78" s="1100">
        <f t="shared" si="73"/>
        <v>4</v>
      </c>
      <c r="M78" s="1095">
        <f t="shared" si="73"/>
        <v>5</v>
      </c>
      <c r="N78" s="696">
        <f t="shared" si="24"/>
        <v>0</v>
      </c>
      <c r="O78" s="940">
        <f t="shared" si="25"/>
        <v>0</v>
      </c>
      <c r="P78" s="696">
        <f t="shared" si="26"/>
        <v>174</v>
      </c>
      <c r="Q78" s="693">
        <f t="shared" si="27"/>
        <v>1</v>
      </c>
      <c r="R78" s="696">
        <f t="shared" si="28"/>
        <v>1</v>
      </c>
      <c r="S78" s="696">
        <f t="shared" si="29"/>
        <v>1</v>
      </c>
      <c r="T78" s="696">
        <f t="shared" si="30"/>
        <v>1</v>
      </c>
      <c r="U78" s="956">
        <f t="shared" si="31"/>
        <v>1</v>
      </c>
      <c r="V78" s="1099">
        <f t="shared" si="32"/>
        <v>1</v>
      </c>
      <c r="W78" s="693">
        <f t="shared" si="33"/>
        <v>1</v>
      </c>
      <c r="X78" s="696">
        <f t="shared" si="34"/>
        <v>1</v>
      </c>
      <c r="Y78" s="696">
        <f t="shared" si="35"/>
        <v>1</v>
      </c>
      <c r="Z78" s="696">
        <f t="shared" si="36"/>
        <v>1</v>
      </c>
      <c r="AA78" s="956">
        <f t="shared" si="37"/>
        <v>1</v>
      </c>
      <c r="AB78" s="1066">
        <f t="shared" si="38"/>
        <v>1</v>
      </c>
      <c r="AC78" s="1067">
        <f t="shared" si="45"/>
        <v>7.5010000000000003</v>
      </c>
      <c r="AD78" s="39" t="b">
        <f t="shared" si="39"/>
        <v>0</v>
      </c>
      <c r="AE78" s="1067">
        <f t="shared" si="40"/>
        <v>0</v>
      </c>
      <c r="AF78" s="1068">
        <f t="shared" si="46"/>
        <v>0</v>
      </c>
      <c r="AG78" s="941">
        <v>66.36</v>
      </c>
      <c r="AH78" s="944">
        <v>17.259999999999991</v>
      </c>
      <c r="AJ78" s="1076">
        <f t="shared" si="47"/>
        <v>1</v>
      </c>
      <c r="AK78" s="82">
        <f t="shared" si="48"/>
        <v>9</v>
      </c>
      <c r="AL78" s="1077">
        <f t="shared" si="49"/>
        <v>174</v>
      </c>
      <c r="AM78" s="1077">
        <f t="shared" si="50"/>
        <v>1</v>
      </c>
      <c r="AN78" s="1088">
        <f t="shared" si="65"/>
        <v>175</v>
      </c>
      <c r="AO78" s="1089">
        <f t="shared" si="51"/>
        <v>1</v>
      </c>
      <c r="AP78" s="1081"/>
      <c r="AQ78" s="1082"/>
      <c r="AR78" s="1081"/>
      <c r="AS78" s="1082"/>
      <c r="AT78" s="1081"/>
      <c r="AU78" s="1082"/>
      <c r="AV78" s="1081"/>
      <c r="AW78" s="1082"/>
      <c r="AX78" s="28">
        <f t="shared" si="42"/>
        <v>0</v>
      </c>
      <c r="AY78" s="28">
        <f t="shared" si="43"/>
        <v>0</v>
      </c>
    </row>
    <row r="79" spans="1:51" s="28" customFormat="1" ht="13.5" thickBot="1" x14ac:dyDescent="0.25">
      <c r="A79" s="1037">
        <f t="shared" si="22"/>
        <v>0</v>
      </c>
      <c r="B79" s="1040">
        <v>1</v>
      </c>
      <c r="C79" s="705">
        <f t="shared" ref="C79:M79" si="74">$L43+C$55*Rapous</f>
        <v>-5</v>
      </c>
      <c r="D79" s="705">
        <f t="shared" si="74"/>
        <v>-4</v>
      </c>
      <c r="E79" s="705">
        <f t="shared" si="74"/>
        <v>-3</v>
      </c>
      <c r="F79" s="705">
        <f t="shared" si="74"/>
        <v>-2</v>
      </c>
      <c r="G79" s="962">
        <f t="shared" si="74"/>
        <v>-1</v>
      </c>
      <c r="H79" s="1101">
        <f t="shared" si="74"/>
        <v>0</v>
      </c>
      <c r="I79" s="1102">
        <f t="shared" si="74"/>
        <v>1</v>
      </c>
      <c r="J79" s="1103">
        <f t="shared" si="74"/>
        <v>2</v>
      </c>
      <c r="K79" s="1104">
        <f t="shared" si="74"/>
        <v>3</v>
      </c>
      <c r="L79" s="1103">
        <f t="shared" si="74"/>
        <v>4</v>
      </c>
      <c r="M79" s="1105">
        <f t="shared" si="74"/>
        <v>5</v>
      </c>
      <c r="N79" s="705">
        <f t="shared" si="24"/>
        <v>0</v>
      </c>
      <c r="O79" s="945">
        <f t="shared" si="25"/>
        <v>0</v>
      </c>
      <c r="P79" s="705">
        <f t="shared" si="26"/>
        <v>174</v>
      </c>
      <c r="Q79" s="961">
        <f t="shared" si="27"/>
        <v>1</v>
      </c>
      <c r="R79" s="705">
        <f t="shared" si="28"/>
        <v>1</v>
      </c>
      <c r="S79" s="705">
        <f t="shared" si="29"/>
        <v>1</v>
      </c>
      <c r="T79" s="705">
        <f t="shared" si="30"/>
        <v>1</v>
      </c>
      <c r="U79" s="962">
        <f t="shared" si="31"/>
        <v>1</v>
      </c>
      <c r="V79" s="1106">
        <f t="shared" si="32"/>
        <v>1</v>
      </c>
      <c r="W79" s="961">
        <f t="shared" si="33"/>
        <v>1</v>
      </c>
      <c r="X79" s="705">
        <f t="shared" si="34"/>
        <v>1</v>
      </c>
      <c r="Y79" s="705">
        <f t="shared" si="35"/>
        <v>1</v>
      </c>
      <c r="Z79" s="705">
        <f t="shared" si="36"/>
        <v>1</v>
      </c>
      <c r="AA79" s="962">
        <f t="shared" si="37"/>
        <v>1</v>
      </c>
      <c r="AB79" s="1069">
        <f>(AA79+Z80)/2</f>
        <v>0.5</v>
      </c>
      <c r="AC79" s="1070">
        <f t="shared" si="45"/>
        <v>7.5010000000000003</v>
      </c>
      <c r="AD79" s="1071" t="b">
        <f t="shared" si="39"/>
        <v>1</v>
      </c>
      <c r="AE79" s="1070">
        <f t="shared" si="40"/>
        <v>-174</v>
      </c>
      <c r="AF79" s="1072">
        <f t="shared" si="46"/>
        <v>0</v>
      </c>
      <c r="AG79" s="941">
        <v>67.87</v>
      </c>
      <c r="AH79" s="944">
        <v>18.400000000000006</v>
      </c>
      <c r="AJ79" s="1078">
        <f t="shared" si="47"/>
        <v>1</v>
      </c>
      <c r="AK79" s="1079">
        <f t="shared" si="48"/>
        <v>9</v>
      </c>
      <c r="AL79" s="1080">
        <f t="shared" si="49"/>
        <v>174</v>
      </c>
      <c r="AM79" s="1080">
        <f t="shared" si="50"/>
        <v>1</v>
      </c>
      <c r="AN79" s="1090">
        <f t="shared" si="65"/>
        <v>175</v>
      </c>
      <c r="AO79" s="1091">
        <f t="shared" si="51"/>
        <v>1</v>
      </c>
      <c r="AP79" s="1092"/>
      <c r="AQ79" s="1093"/>
      <c r="AR79" s="1092"/>
      <c r="AS79" s="1093"/>
      <c r="AT79" s="1092"/>
      <c r="AU79" s="1093"/>
      <c r="AV79" s="1092"/>
      <c r="AW79" s="1093"/>
      <c r="AX79" s="28">
        <f t="shared" si="42"/>
        <v>0</v>
      </c>
      <c r="AY79" s="28">
        <f t="shared" si="43"/>
        <v>0</v>
      </c>
    </row>
    <row r="80" spans="1:51" s="19" customFormat="1" ht="12.75" x14ac:dyDescent="0.2">
      <c r="G80" s="31"/>
      <c r="H80" s="31"/>
      <c r="U80" s="29"/>
      <c r="W80" s="29"/>
      <c r="X80" s="702"/>
      <c r="Y80" s="29"/>
      <c r="AB80" s="1041"/>
      <c r="AC80" s="29"/>
      <c r="AG80" s="941">
        <v>68.69</v>
      </c>
      <c r="AH80" s="944">
        <v>18.659999999999997</v>
      </c>
      <c r="AJ80" s="94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60" t="s">
        <v>196</v>
      </c>
      <c r="F81" s="30"/>
      <c r="G81" s="29"/>
      <c r="H81" s="31"/>
      <c r="K81" s="30"/>
      <c r="Q81" s="29"/>
      <c r="R81" s="676"/>
      <c r="S81" s="29"/>
      <c r="U81" s="29"/>
      <c r="W81" s="29"/>
      <c r="X81" s="702"/>
      <c r="Y81" s="29"/>
      <c r="AB81" s="1041"/>
      <c r="AC81" s="29"/>
      <c r="AG81" s="941">
        <v>69.48</v>
      </c>
      <c r="AH81" s="944">
        <v>19.439999999999998</v>
      </c>
      <c r="AJ81" s="94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9" t="str">
        <f t="array" ref="A82:Z94">TRANSPOSE(O54:AA79)</f>
        <v>Maternelle Labège</v>
      </c>
      <c r="B82" s="946" t="str">
        <v>zone 4</v>
      </c>
      <c r="C82" s="947" t="str">
        <v>Toiture D</v>
      </c>
      <c r="D82" s="947" t="str">
        <v>Arrière PV</v>
      </c>
      <c r="E82" s="947" t="str">
        <v>Arbre 0</v>
      </c>
      <c r="F82" s="947" t="str">
        <v>Arbre 1</v>
      </c>
      <c r="G82" s="947" t="str">
        <v>Arbre 2</v>
      </c>
      <c r="H82" s="947" t="str">
        <v>Arbre 4</v>
      </c>
      <c r="I82" s="947" t="str">
        <v>Arbre 5</v>
      </c>
      <c r="J82" s="947" t="str">
        <v>Arbre 6</v>
      </c>
      <c r="K82" s="947" t="str">
        <v>Arbre 7</v>
      </c>
      <c r="L82" s="947" t="str">
        <v>Arbre 12g</v>
      </c>
      <c r="M82" s="947" t="str">
        <v>Arbre 12d</v>
      </c>
      <c r="N82" s="947" t="str">
        <v>Arbre 9</v>
      </c>
      <c r="O82" s="947" t="str">
        <v>Arbre 13g</v>
      </c>
      <c r="P82" s="947" t="str">
        <v>Arbre 13d</v>
      </c>
      <c r="Q82" s="947" t="str">
        <v>creux</v>
      </c>
      <c r="R82" s="947" t="str">
        <v>Toiture D</v>
      </c>
      <c r="S82" s="947">
        <v>0</v>
      </c>
      <c r="T82" s="947">
        <v>0</v>
      </c>
      <c r="U82" s="947">
        <v>0</v>
      </c>
      <c r="V82" s="947">
        <v>0</v>
      </c>
      <c r="W82" s="947">
        <v>0</v>
      </c>
      <c r="X82" s="947">
        <v>0</v>
      </c>
      <c r="Y82" s="947">
        <v>0</v>
      </c>
      <c r="Z82" s="947">
        <v>0</v>
      </c>
      <c r="AB82" s="1042"/>
      <c r="AG82" s="963">
        <v>69.760000000000005</v>
      </c>
      <c r="AH82" s="964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48">
        <v>84</v>
      </c>
      <c r="B83" s="949" t="str">
        <v>Azi.S / PV</v>
      </c>
      <c r="C83" s="950">
        <v>-186</v>
      </c>
      <c r="D83" s="703">
        <v>-96</v>
      </c>
      <c r="E83" s="703">
        <v>-38.760885917003918</v>
      </c>
      <c r="F83" s="703">
        <v>-30.34204948005118</v>
      </c>
      <c r="G83" s="703">
        <v>-22.841049480051179</v>
      </c>
      <c r="H83" s="703">
        <v>-11.395011424162373</v>
      </c>
      <c r="I83" s="703">
        <v>-1.8323810408520422</v>
      </c>
      <c r="J83" s="703">
        <v>11.565325733397509</v>
      </c>
      <c r="K83" s="703">
        <v>27.293778543996755</v>
      </c>
      <c r="L83" s="703">
        <v>34.794778543996756</v>
      </c>
      <c r="M83" s="703">
        <v>45.178373962599451</v>
      </c>
      <c r="N83" s="703">
        <v>58.532938987295267</v>
      </c>
      <c r="O83" s="703">
        <v>67.79969242906661</v>
      </c>
      <c r="P83" s="703">
        <v>79.726778078602109</v>
      </c>
      <c r="Q83" s="703">
        <v>99.726778078602109</v>
      </c>
      <c r="R83" s="703">
        <v>174</v>
      </c>
      <c r="S83" s="703">
        <v>174</v>
      </c>
      <c r="T83" s="703">
        <v>174</v>
      </c>
      <c r="U83" s="703">
        <v>174</v>
      </c>
      <c r="V83" s="703">
        <v>174</v>
      </c>
      <c r="W83" s="703">
        <v>174</v>
      </c>
      <c r="X83" s="703">
        <v>174</v>
      </c>
      <c r="Y83" s="703">
        <v>174</v>
      </c>
      <c r="Z83" s="951">
        <v>174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52" t="str">
        <v>Elevation vue du champ PV zone: 4</v>
      </c>
      <c r="B84" s="953">
        <v>-5</v>
      </c>
      <c r="C84" s="823">
        <v>1</v>
      </c>
      <c r="D84" s="704">
        <v>16.699244233993621</v>
      </c>
      <c r="E84" s="704">
        <v>6.6648096463145521</v>
      </c>
      <c r="F84" s="704">
        <v>6.7101407125337653</v>
      </c>
      <c r="G84" s="704">
        <v>6.9881540302826659</v>
      </c>
      <c r="H84" s="704">
        <v>7.1354786634085583</v>
      </c>
      <c r="I84" s="704">
        <v>6.980654937981428</v>
      </c>
      <c r="J84" s="704">
        <v>6.7637394250081497</v>
      </c>
      <c r="K84" s="704">
        <v>3.6679149593614886</v>
      </c>
      <c r="L84" s="704">
        <v>2.4783344600152026</v>
      </c>
      <c r="M84" s="704">
        <v>1.1477869279249013</v>
      </c>
      <c r="N84" s="704">
        <v>1.1324662849592542</v>
      </c>
      <c r="O84" s="704">
        <v>1.121835266976301</v>
      </c>
      <c r="P84" s="704">
        <v>1.1081522589173103</v>
      </c>
      <c r="Q84" s="704">
        <v>1.0852078306453066</v>
      </c>
      <c r="R84" s="704">
        <v>1</v>
      </c>
      <c r="S84" s="704">
        <v>1</v>
      </c>
      <c r="T84" s="704">
        <v>1</v>
      </c>
      <c r="U84" s="704">
        <v>1</v>
      </c>
      <c r="V84" s="704">
        <v>1</v>
      </c>
      <c r="W84" s="704">
        <v>1</v>
      </c>
      <c r="X84" s="704">
        <v>1</v>
      </c>
      <c r="Y84" s="704">
        <v>1</v>
      </c>
      <c r="Z84" s="954">
        <v>1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5">
        <v>0</v>
      </c>
      <c r="B85" s="953">
        <v>-4</v>
      </c>
      <c r="C85" s="693">
        <v>1</v>
      </c>
      <c r="D85" s="696">
        <v>16.699244233993621</v>
      </c>
      <c r="E85" s="696">
        <v>6.6648096463145521</v>
      </c>
      <c r="F85" s="696">
        <v>6.7101407125337653</v>
      </c>
      <c r="G85" s="696">
        <v>6.9881540302826659</v>
      </c>
      <c r="H85" s="696">
        <v>7.1354786634085583</v>
      </c>
      <c r="I85" s="696">
        <v>6.980654937981428</v>
      </c>
      <c r="J85" s="696">
        <v>6.7637394250081497</v>
      </c>
      <c r="K85" s="696">
        <v>3.6679149593614886</v>
      </c>
      <c r="L85" s="696">
        <v>2.4783344600152026</v>
      </c>
      <c r="M85" s="696">
        <v>1.1477869279249013</v>
      </c>
      <c r="N85" s="696">
        <v>1.1324662849592542</v>
      </c>
      <c r="O85" s="696">
        <v>1.121835266976301</v>
      </c>
      <c r="P85" s="696">
        <v>1.1081522589173103</v>
      </c>
      <c r="Q85" s="696">
        <v>1.0852078306453066</v>
      </c>
      <c r="R85" s="696">
        <v>1</v>
      </c>
      <c r="S85" s="696">
        <v>1</v>
      </c>
      <c r="T85" s="696">
        <v>1</v>
      </c>
      <c r="U85" s="696">
        <v>1</v>
      </c>
      <c r="V85" s="696">
        <v>1</v>
      </c>
      <c r="W85" s="696">
        <v>1</v>
      </c>
      <c r="X85" s="696">
        <v>1</v>
      </c>
      <c r="Y85" s="696">
        <v>1</v>
      </c>
      <c r="Z85" s="956">
        <v>1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5">
        <v>0</v>
      </c>
      <c r="B86" s="953">
        <v>-3</v>
      </c>
      <c r="C86" s="693">
        <v>1</v>
      </c>
      <c r="D86" s="696">
        <v>16.699244233993621</v>
      </c>
      <c r="E86" s="696">
        <v>6.6648096463145521</v>
      </c>
      <c r="F86" s="696">
        <v>6.7101407125337653</v>
      </c>
      <c r="G86" s="696">
        <v>6.9881540302826659</v>
      </c>
      <c r="H86" s="696">
        <v>7.1354786634085583</v>
      </c>
      <c r="I86" s="696">
        <v>6.980654937981428</v>
      </c>
      <c r="J86" s="696">
        <v>6.7637394250081497</v>
      </c>
      <c r="K86" s="696">
        <v>3.6679149593614886</v>
      </c>
      <c r="L86" s="696">
        <v>2.4783344600152026</v>
      </c>
      <c r="M86" s="696">
        <v>1.1477869279249013</v>
      </c>
      <c r="N86" s="696">
        <v>1.5669534098810731</v>
      </c>
      <c r="O86" s="696">
        <v>1.121835266976301</v>
      </c>
      <c r="P86" s="696">
        <v>1.1081522589173103</v>
      </c>
      <c r="Q86" s="696">
        <v>1.0852078306453066</v>
      </c>
      <c r="R86" s="696">
        <v>1</v>
      </c>
      <c r="S86" s="696">
        <v>1</v>
      </c>
      <c r="T86" s="696">
        <v>1</v>
      </c>
      <c r="U86" s="696">
        <v>1</v>
      </c>
      <c r="V86" s="696">
        <v>1</v>
      </c>
      <c r="W86" s="696">
        <v>1</v>
      </c>
      <c r="X86" s="696">
        <v>1</v>
      </c>
      <c r="Y86" s="696">
        <v>1</v>
      </c>
      <c r="Z86" s="956">
        <v>1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5">
        <v>0</v>
      </c>
      <c r="B87" s="953">
        <v>-2</v>
      </c>
      <c r="C87" s="693">
        <v>1</v>
      </c>
      <c r="D87" s="696">
        <v>16.699244233993621</v>
      </c>
      <c r="E87" s="696">
        <v>6.6648096463145521</v>
      </c>
      <c r="F87" s="696">
        <v>6.7101407125337653</v>
      </c>
      <c r="G87" s="696">
        <v>6.9881540302826659</v>
      </c>
      <c r="H87" s="696">
        <v>7.1354786634085583</v>
      </c>
      <c r="I87" s="696">
        <v>6.980654937981428</v>
      </c>
      <c r="J87" s="696">
        <v>6.7637394250081497</v>
      </c>
      <c r="K87" s="696">
        <v>3.6679149593614886</v>
      </c>
      <c r="L87" s="696">
        <v>2.4783344600152026</v>
      </c>
      <c r="M87" s="696">
        <v>1.1477869279249013</v>
      </c>
      <c r="N87" s="696">
        <v>2.5512843455384395</v>
      </c>
      <c r="O87" s="696">
        <v>1.121835266976301</v>
      </c>
      <c r="P87" s="696">
        <v>1.1081522589173103</v>
      </c>
      <c r="Q87" s="696">
        <v>1.0852078306453066</v>
      </c>
      <c r="R87" s="696">
        <v>1</v>
      </c>
      <c r="S87" s="696">
        <v>1</v>
      </c>
      <c r="T87" s="696">
        <v>1</v>
      </c>
      <c r="U87" s="696">
        <v>1</v>
      </c>
      <c r="V87" s="696">
        <v>1</v>
      </c>
      <c r="W87" s="696">
        <v>1</v>
      </c>
      <c r="X87" s="696">
        <v>1</v>
      </c>
      <c r="Y87" s="696">
        <v>1</v>
      </c>
      <c r="Z87" s="956">
        <v>1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5">
        <v>0</v>
      </c>
      <c r="B88" s="957">
        <v>-1</v>
      </c>
      <c r="C88" s="693">
        <v>1</v>
      </c>
      <c r="D88" s="696">
        <v>16.699244233993621</v>
      </c>
      <c r="E88" s="696">
        <v>6.6648096463145521</v>
      </c>
      <c r="F88" s="696">
        <v>6.7101407125337653</v>
      </c>
      <c r="G88" s="696">
        <v>6.9881540302826659</v>
      </c>
      <c r="H88" s="696">
        <v>7.1354786634085583</v>
      </c>
      <c r="I88" s="696">
        <v>7.1059139196642329</v>
      </c>
      <c r="J88" s="696">
        <v>6.7637394250081497</v>
      </c>
      <c r="K88" s="696">
        <v>3.6917377469700794</v>
      </c>
      <c r="L88" s="696">
        <v>2.4783344600152026</v>
      </c>
      <c r="M88" s="696">
        <v>1.1477869279249013</v>
      </c>
      <c r="N88" s="696">
        <v>3.5341107332081743</v>
      </c>
      <c r="O88" s="696">
        <v>1.121835266976301</v>
      </c>
      <c r="P88" s="696">
        <v>1.1081522589173103</v>
      </c>
      <c r="Q88" s="696">
        <v>1.0852078306453066</v>
      </c>
      <c r="R88" s="696">
        <v>1</v>
      </c>
      <c r="S88" s="696">
        <v>1</v>
      </c>
      <c r="T88" s="696">
        <v>1</v>
      </c>
      <c r="U88" s="696">
        <v>1</v>
      </c>
      <c r="V88" s="696">
        <v>1</v>
      </c>
      <c r="W88" s="696">
        <v>1</v>
      </c>
      <c r="X88" s="696">
        <v>1</v>
      </c>
      <c r="Y88" s="696">
        <v>1</v>
      </c>
      <c r="Z88" s="956">
        <v>1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5">
        <v>0</v>
      </c>
      <c r="B89" s="953">
        <v>0</v>
      </c>
      <c r="C89" s="958">
        <v>1</v>
      </c>
      <c r="D89" s="685">
        <v>16.699244233993621</v>
      </c>
      <c r="E89" s="685">
        <v>6.6648096463145521</v>
      </c>
      <c r="F89" s="685">
        <v>7.1898680899922898</v>
      </c>
      <c r="G89" s="685">
        <v>6.9881540302826659</v>
      </c>
      <c r="H89" s="685">
        <v>7.1354786634085583</v>
      </c>
      <c r="I89" s="685">
        <v>8.1787076641406813</v>
      </c>
      <c r="J89" s="685">
        <v>6.7637394250081497</v>
      </c>
      <c r="K89" s="685">
        <v>4.6221529336109812</v>
      </c>
      <c r="L89" s="685">
        <v>4.5674605790438907</v>
      </c>
      <c r="M89" s="685">
        <v>4.8488974488967393</v>
      </c>
      <c r="N89" s="685">
        <v>4.5148592998506984</v>
      </c>
      <c r="O89" s="685">
        <v>6.7018082668887464</v>
      </c>
      <c r="P89" s="685">
        <v>6.9608000945710513</v>
      </c>
      <c r="Q89" s="685">
        <v>1.0852078306453066</v>
      </c>
      <c r="R89" s="685">
        <v>1</v>
      </c>
      <c r="S89" s="685">
        <v>1</v>
      </c>
      <c r="T89" s="685">
        <v>1</v>
      </c>
      <c r="U89" s="685">
        <v>1</v>
      </c>
      <c r="V89" s="685">
        <v>1</v>
      </c>
      <c r="W89" s="685">
        <v>1</v>
      </c>
      <c r="X89" s="685">
        <v>1</v>
      </c>
      <c r="Y89" s="685">
        <v>1</v>
      </c>
      <c r="Z89" s="695">
        <v>1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5">
        <v>0</v>
      </c>
      <c r="B90" s="959">
        <v>1</v>
      </c>
      <c r="C90" s="693">
        <v>1</v>
      </c>
      <c r="D90" s="696">
        <v>16.699244233993621</v>
      </c>
      <c r="E90" s="696">
        <v>6.6648096463145521</v>
      </c>
      <c r="F90" s="696">
        <v>7.8697082771137419</v>
      </c>
      <c r="G90" s="696">
        <v>6.9881540302826659</v>
      </c>
      <c r="H90" s="696">
        <v>7.6305808199549592</v>
      </c>
      <c r="I90" s="696">
        <v>9.2457591281248899</v>
      </c>
      <c r="J90" s="696">
        <v>6.7637394250081497</v>
      </c>
      <c r="K90" s="696">
        <v>5.5501317159496324</v>
      </c>
      <c r="L90" s="696">
        <v>9.6086867193052683</v>
      </c>
      <c r="M90" s="696">
        <v>10.066342946899002</v>
      </c>
      <c r="N90" s="696">
        <v>5.4929640585872344</v>
      </c>
      <c r="O90" s="696">
        <v>13.206440221698106</v>
      </c>
      <c r="P90" s="696">
        <v>13.793888294545173</v>
      </c>
      <c r="Q90" s="696">
        <v>1.0852078306453066</v>
      </c>
      <c r="R90" s="696">
        <v>1</v>
      </c>
      <c r="S90" s="696">
        <v>1</v>
      </c>
      <c r="T90" s="696">
        <v>1</v>
      </c>
      <c r="U90" s="696">
        <v>1</v>
      </c>
      <c r="V90" s="696">
        <v>1</v>
      </c>
      <c r="W90" s="696">
        <v>1</v>
      </c>
      <c r="X90" s="696">
        <v>1</v>
      </c>
      <c r="Y90" s="696">
        <v>1</v>
      </c>
      <c r="Z90" s="956">
        <v>1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5">
        <v>0</v>
      </c>
      <c r="B91" s="953">
        <v>2</v>
      </c>
      <c r="C91" s="693">
        <v>1</v>
      </c>
      <c r="D91" s="696">
        <v>16.699244233993621</v>
      </c>
      <c r="E91" s="696">
        <v>7.1055303805114214</v>
      </c>
      <c r="F91" s="696">
        <v>8.5473258825335066</v>
      </c>
      <c r="G91" s="696">
        <v>7.4671012228811078</v>
      </c>
      <c r="H91" s="696">
        <v>8.5702391926242711</v>
      </c>
      <c r="I91" s="696">
        <v>10.306380519366913</v>
      </c>
      <c r="J91" s="696">
        <v>6.7637394250081497</v>
      </c>
      <c r="K91" s="696">
        <v>6.475198957456537</v>
      </c>
      <c r="L91" s="696">
        <v>14.504429521954425</v>
      </c>
      <c r="M91" s="696">
        <v>15.12081098191805</v>
      </c>
      <c r="N91" s="696">
        <v>6.4678682265565355</v>
      </c>
      <c r="O91" s="696">
        <v>19.383296922755118</v>
      </c>
      <c r="P91" s="696">
        <v>20.250569822089453</v>
      </c>
      <c r="Q91" s="696">
        <v>1.0852078306453066</v>
      </c>
      <c r="R91" s="696">
        <v>1</v>
      </c>
      <c r="S91" s="696">
        <v>1</v>
      </c>
      <c r="T91" s="696">
        <v>1</v>
      </c>
      <c r="U91" s="696">
        <v>1</v>
      </c>
      <c r="V91" s="696">
        <v>1</v>
      </c>
      <c r="W91" s="696">
        <v>1</v>
      </c>
      <c r="X91" s="696">
        <v>1</v>
      </c>
      <c r="Y91" s="696">
        <v>1</v>
      </c>
      <c r="Z91" s="956">
        <v>1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5">
        <v>0</v>
      </c>
      <c r="B92" s="953">
        <v>3</v>
      </c>
      <c r="C92" s="693">
        <v>1</v>
      </c>
      <c r="D92" s="696">
        <v>16.699244233993621</v>
      </c>
      <c r="E92" s="696">
        <v>7.8066934415852556</v>
      </c>
      <c r="F92" s="696">
        <v>9.2225432098652416</v>
      </c>
      <c r="G92" s="696">
        <v>8.1107838956755156</v>
      </c>
      <c r="H92" s="696">
        <v>9.5052759524299741</v>
      </c>
      <c r="I92" s="696">
        <v>11.359909914300946</v>
      </c>
      <c r="J92" s="696">
        <v>7.4282156210118</v>
      </c>
      <c r="K92" s="696">
        <v>7.3968885639656747</v>
      </c>
      <c r="L92" s="696">
        <v>19.193356653831302</v>
      </c>
      <c r="M92" s="696">
        <v>19.945818903377848</v>
      </c>
      <c r="N92" s="696">
        <v>7.4390260634515348</v>
      </c>
      <c r="O92" s="696">
        <v>25.126080545276039</v>
      </c>
      <c r="P92" s="696">
        <v>26.213379657801134</v>
      </c>
      <c r="Q92" s="696">
        <v>1.0852078306453066</v>
      </c>
      <c r="R92" s="696">
        <v>1</v>
      </c>
      <c r="S92" s="696">
        <v>1</v>
      </c>
      <c r="T92" s="696">
        <v>1</v>
      </c>
      <c r="U92" s="696">
        <v>1</v>
      </c>
      <c r="V92" s="696">
        <v>1</v>
      </c>
      <c r="W92" s="696">
        <v>1</v>
      </c>
      <c r="X92" s="696">
        <v>1</v>
      </c>
      <c r="Y92" s="696">
        <v>1</v>
      </c>
      <c r="Z92" s="956">
        <v>1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5">
        <v>0</v>
      </c>
      <c r="B93" s="953">
        <v>4</v>
      </c>
      <c r="C93" s="693">
        <v>1</v>
      </c>
      <c r="D93" s="696">
        <v>16.699244233993621</v>
      </c>
      <c r="E93" s="696">
        <v>8.5055116653035938</v>
      </c>
      <c r="F93" s="696">
        <v>9.895186484788022</v>
      </c>
      <c r="G93" s="696">
        <v>8.7524121012011413</v>
      </c>
      <c r="H93" s="696">
        <v>10.435230979868747</v>
      </c>
      <c r="I93" s="696">
        <v>12.405713370365632</v>
      </c>
      <c r="J93" s="696">
        <v>8.3625109161279028</v>
      </c>
      <c r="K93" s="696">
        <v>8.3147448241055208</v>
      </c>
      <c r="L93" s="696">
        <v>23.63003242288698</v>
      </c>
      <c r="M93" s="696">
        <v>24.493486590765528</v>
      </c>
      <c r="N93" s="696">
        <v>8.4059046161347268</v>
      </c>
      <c r="O93" s="696">
        <v>30.376738023281966</v>
      </c>
      <c r="P93" s="696">
        <v>31.623574036220521</v>
      </c>
      <c r="Q93" s="696">
        <v>1.0852078306453066</v>
      </c>
      <c r="R93" s="696">
        <v>1</v>
      </c>
      <c r="S93" s="696">
        <v>1</v>
      </c>
      <c r="T93" s="696">
        <v>1</v>
      </c>
      <c r="U93" s="696">
        <v>1</v>
      </c>
      <c r="V93" s="696">
        <v>1</v>
      </c>
      <c r="W93" s="696">
        <v>1</v>
      </c>
      <c r="X93" s="696">
        <v>1</v>
      </c>
      <c r="Y93" s="696">
        <v>1</v>
      </c>
      <c r="Z93" s="956">
        <v>1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60">
        <v>0.3</v>
      </c>
      <c r="B94" s="953">
        <v>5</v>
      </c>
      <c r="C94" s="961">
        <v>1</v>
      </c>
      <c r="D94" s="705">
        <v>16.699244233993621</v>
      </c>
      <c r="E94" s="705">
        <v>9.2017899837221773</v>
      </c>
      <c r="F94" s="705">
        <v>10.565086092028961</v>
      </c>
      <c r="G94" s="705">
        <v>9.3918355381262746</v>
      </c>
      <c r="H94" s="705">
        <v>11.359659842346638</v>
      </c>
      <c r="I94" s="705">
        <v>13.443186775699511</v>
      </c>
      <c r="J94" s="705">
        <v>9.2923488912292527</v>
      </c>
      <c r="K94" s="705">
        <v>9.2283236714389094</v>
      </c>
      <c r="L94" s="705">
        <v>27.785660450947443</v>
      </c>
      <c r="M94" s="705">
        <v>28.73500063913885</v>
      </c>
      <c r="N94" s="705">
        <v>9.3679853562001743</v>
      </c>
      <c r="O94" s="705">
        <v>35.119194544718411</v>
      </c>
      <c r="P94" s="705">
        <v>36.47150565991943</v>
      </c>
      <c r="Q94" s="705">
        <v>1.0852078306453066</v>
      </c>
      <c r="R94" s="705">
        <v>1</v>
      </c>
      <c r="S94" s="705">
        <v>1</v>
      </c>
      <c r="T94" s="705">
        <v>1</v>
      </c>
      <c r="U94" s="705">
        <v>1</v>
      </c>
      <c r="V94" s="705">
        <v>1</v>
      </c>
      <c r="W94" s="705">
        <v>1</v>
      </c>
      <c r="X94" s="705">
        <v>1</v>
      </c>
      <c r="Y94" s="705">
        <v>1</v>
      </c>
      <c r="Z94" s="962">
        <v>1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75" customFormat="1" x14ac:dyDescent="0.25">
      <c r="A96" s="1107" t="s">
        <v>306</v>
      </c>
      <c r="F96" s="1025"/>
      <c r="G96" s="1026"/>
      <c r="H96" s="697"/>
      <c r="I96" s="1107" t="s">
        <v>305</v>
      </c>
      <c r="N96" s="1025"/>
      <c r="Q96" s="1107" t="s">
        <v>303</v>
      </c>
      <c r="V96" s="1025"/>
      <c r="W96" s="1026"/>
      <c r="X96" s="697"/>
      <c r="Y96" s="1107" t="s">
        <v>304</v>
      </c>
      <c r="AD96" s="1025"/>
      <c r="AH96" s="1027"/>
      <c r="AM96" s="1074"/>
      <c r="AN96" s="1074"/>
      <c r="AO96" s="1074"/>
      <c r="AP96" s="1074"/>
      <c r="AQ96" s="1074"/>
      <c r="AR96" s="1074"/>
      <c r="AS96" s="1074"/>
      <c r="AT96" s="1074"/>
      <c r="AU96" s="1074"/>
      <c r="AV96" s="1074"/>
      <c r="AW96" s="1074"/>
    </row>
    <row r="97" spans="1:49" s="19" customFormat="1" ht="12.75" x14ac:dyDescent="0.2">
      <c r="A97" s="1020" t="s">
        <v>286</v>
      </c>
      <c r="B97" s="1021"/>
      <c r="C97" s="1022"/>
      <c r="D97" s="1023"/>
      <c r="E97" s="1023"/>
      <c r="F97" s="1024"/>
      <c r="G97" s="29"/>
      <c r="H97" s="31"/>
      <c r="I97" s="1020" t="s">
        <v>286</v>
      </c>
      <c r="J97" s="1021"/>
      <c r="K97" s="1022"/>
      <c r="L97" s="1023"/>
      <c r="M97" s="1023"/>
      <c r="N97" s="1024"/>
      <c r="Q97" s="1020" t="s">
        <v>286</v>
      </c>
      <c r="R97" s="1021"/>
      <c r="S97" s="1022"/>
      <c r="T97" s="1023"/>
      <c r="U97" s="1023"/>
      <c r="V97" s="1024"/>
      <c r="W97" s="29"/>
      <c r="X97" s="702"/>
      <c r="Y97" s="1020" t="s">
        <v>286</v>
      </c>
      <c r="Z97" s="1021"/>
      <c r="AA97" s="1022"/>
      <c r="AB97" s="1023"/>
      <c r="AC97" s="1023"/>
      <c r="AD97" s="1024"/>
      <c r="AH97" s="1028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24" t="s">
        <v>163</v>
      </c>
      <c r="B98" s="922"/>
      <c r="C98" s="981"/>
      <c r="D98" s="923"/>
      <c r="E98" s="923"/>
      <c r="F98" s="983"/>
      <c r="G98" s="29"/>
      <c r="H98" s="31"/>
      <c r="I98" s="924" t="s">
        <v>163</v>
      </c>
      <c r="J98" s="922"/>
      <c r="K98" s="981"/>
      <c r="L98" s="923"/>
      <c r="M98" s="923"/>
      <c r="N98" s="983"/>
      <c r="Q98" s="924" t="s">
        <v>163</v>
      </c>
      <c r="R98" s="922"/>
      <c r="S98" s="981"/>
      <c r="T98" s="923"/>
      <c r="U98" s="923"/>
      <c r="V98" s="983"/>
      <c r="W98" s="29"/>
      <c r="X98" s="702"/>
      <c r="Y98" s="924" t="s">
        <v>163</v>
      </c>
      <c r="Z98" s="922"/>
      <c r="AA98" s="981"/>
      <c r="AB98" s="923"/>
      <c r="AC98" s="923"/>
      <c r="AD98" s="983"/>
      <c r="AH98" s="1028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4" t="s">
        <v>330</v>
      </c>
      <c r="B99" s="922">
        <v>2</v>
      </c>
      <c r="C99" s="981">
        <v>7.13</v>
      </c>
      <c r="D99" s="923">
        <v>1054.27</v>
      </c>
      <c r="E99" s="923">
        <v>960.84</v>
      </c>
      <c r="F99" s="983"/>
      <c r="G99" s="29"/>
      <c r="H99" s="31"/>
      <c r="I99" s="924" t="s">
        <v>330</v>
      </c>
      <c r="J99" s="922">
        <v>2</v>
      </c>
      <c r="K99" s="981">
        <v>7.13</v>
      </c>
      <c r="L99" s="923">
        <v>1054.27</v>
      </c>
      <c r="M99" s="923">
        <v>960.84</v>
      </c>
      <c r="N99" s="983"/>
      <c r="Q99" s="924" t="s">
        <v>330</v>
      </c>
      <c r="R99" s="922">
        <v>2</v>
      </c>
      <c r="S99" s="981">
        <v>7.13</v>
      </c>
      <c r="T99" s="923">
        <v>1054.27</v>
      </c>
      <c r="U99" s="923">
        <v>960.84</v>
      </c>
      <c r="V99" s="983"/>
      <c r="W99" s="29"/>
      <c r="X99" s="702"/>
      <c r="Y99" s="924" t="s">
        <v>330</v>
      </c>
      <c r="Z99" s="922">
        <v>2</v>
      </c>
      <c r="AA99" s="981">
        <v>7.13</v>
      </c>
      <c r="AB99" s="923">
        <v>1054.27</v>
      </c>
      <c r="AC99" s="923">
        <v>960.84</v>
      </c>
      <c r="AD99" s="983"/>
      <c r="AH99" s="1028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4" t="s">
        <v>156</v>
      </c>
      <c r="B100" s="922">
        <v>2</v>
      </c>
      <c r="C100" s="981">
        <v>9.0299999999999994</v>
      </c>
      <c r="D100" s="923">
        <v>1044.6300000000001</v>
      </c>
      <c r="E100" s="923">
        <v>951.32</v>
      </c>
      <c r="F100" s="983" t="s">
        <v>368</v>
      </c>
      <c r="G100" s="29"/>
      <c r="H100" s="31"/>
      <c r="I100" s="924" t="s">
        <v>156</v>
      </c>
      <c r="J100" s="922">
        <v>2</v>
      </c>
      <c r="K100" s="981">
        <v>9.0299999999999994</v>
      </c>
      <c r="L100" s="923">
        <v>1044.6300000000001</v>
      </c>
      <c r="M100" s="923">
        <v>951.32</v>
      </c>
      <c r="N100" s="983" t="s">
        <v>368</v>
      </c>
      <c r="Q100" s="924" t="s">
        <v>156</v>
      </c>
      <c r="R100" s="922">
        <v>2</v>
      </c>
      <c r="S100" s="981">
        <v>9.0299999999999994</v>
      </c>
      <c r="T100" s="923">
        <v>1044.6300000000001</v>
      </c>
      <c r="U100" s="923">
        <v>951.32</v>
      </c>
      <c r="V100" s="983" t="s">
        <v>368</v>
      </c>
      <c r="W100" s="29"/>
      <c r="X100" s="702"/>
      <c r="Y100" s="924" t="s">
        <v>156</v>
      </c>
      <c r="Z100" s="922">
        <v>2</v>
      </c>
      <c r="AA100" s="981">
        <v>9.0299999999999994</v>
      </c>
      <c r="AB100" s="923">
        <v>1044.6300000000001</v>
      </c>
      <c r="AC100" s="923">
        <v>951.32</v>
      </c>
      <c r="AD100" s="983" t="s">
        <v>368</v>
      </c>
      <c r="AH100" s="1028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4" t="s">
        <v>157</v>
      </c>
      <c r="B101" s="922">
        <v>2</v>
      </c>
      <c r="C101" s="981">
        <v>7.83</v>
      </c>
      <c r="D101" s="923">
        <v>1037.8900000000001</v>
      </c>
      <c r="E101" s="923">
        <v>942.96</v>
      </c>
      <c r="F101" s="983"/>
      <c r="G101" s="29"/>
      <c r="H101" s="31"/>
      <c r="I101" s="924" t="s">
        <v>157</v>
      </c>
      <c r="J101" s="922">
        <v>2</v>
      </c>
      <c r="K101" s="981">
        <v>7.83</v>
      </c>
      <c r="L101" s="923">
        <v>1037.8900000000001</v>
      </c>
      <c r="M101" s="923">
        <v>942.96</v>
      </c>
      <c r="N101" s="983"/>
      <c r="Q101" s="924" t="s">
        <v>157</v>
      </c>
      <c r="R101" s="922">
        <v>2</v>
      </c>
      <c r="S101" s="981">
        <v>7.83</v>
      </c>
      <c r="T101" s="923">
        <v>1037.8900000000001</v>
      </c>
      <c r="U101" s="923">
        <v>942.96</v>
      </c>
      <c r="V101" s="983"/>
      <c r="W101" s="29"/>
      <c r="X101" s="702"/>
      <c r="Y101" s="924" t="s">
        <v>157</v>
      </c>
      <c r="Z101" s="922">
        <v>2</v>
      </c>
      <c r="AA101" s="981">
        <v>7.83</v>
      </c>
      <c r="AB101" s="923">
        <v>1037.8900000000001</v>
      </c>
      <c r="AC101" s="923">
        <v>942.96</v>
      </c>
      <c r="AD101" s="983"/>
      <c r="AH101" s="1028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4" t="s">
        <v>159</v>
      </c>
      <c r="B102" s="922">
        <v>2</v>
      </c>
      <c r="C102" s="981">
        <v>6.88</v>
      </c>
      <c r="D102" s="923">
        <v>1015.78</v>
      </c>
      <c r="E102" s="923">
        <v>964.9</v>
      </c>
      <c r="F102" s="983"/>
      <c r="G102" s="29"/>
      <c r="H102" s="31"/>
      <c r="I102" s="924" t="s">
        <v>159</v>
      </c>
      <c r="J102" s="922">
        <v>2</v>
      </c>
      <c r="K102" s="981">
        <v>6.88</v>
      </c>
      <c r="L102" s="923">
        <v>1015.78</v>
      </c>
      <c r="M102" s="923">
        <v>964.9</v>
      </c>
      <c r="N102" s="983"/>
      <c r="Q102" s="924" t="s">
        <v>159</v>
      </c>
      <c r="R102" s="922">
        <v>2</v>
      </c>
      <c r="S102" s="981">
        <v>6.88</v>
      </c>
      <c r="T102" s="923">
        <v>1015.78</v>
      </c>
      <c r="U102" s="923">
        <v>964.9</v>
      </c>
      <c r="V102" s="983"/>
      <c r="W102" s="29"/>
      <c r="X102" s="702"/>
      <c r="Y102" s="924" t="s">
        <v>159</v>
      </c>
      <c r="Z102" s="922">
        <v>2</v>
      </c>
      <c r="AA102" s="981">
        <v>6.88</v>
      </c>
      <c r="AB102" s="923">
        <v>1015.78</v>
      </c>
      <c r="AC102" s="923">
        <v>964.9</v>
      </c>
      <c r="AD102" s="983"/>
      <c r="AH102" s="1028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4" t="s">
        <v>160</v>
      </c>
      <c r="B103" s="922">
        <v>1</v>
      </c>
      <c r="C103" s="981">
        <v>2.9</v>
      </c>
      <c r="D103" s="923">
        <v>1005.65</v>
      </c>
      <c r="E103" s="923">
        <v>971.05</v>
      </c>
      <c r="F103" s="983"/>
      <c r="G103" s="29"/>
      <c r="H103" s="31"/>
      <c r="I103" s="924" t="s">
        <v>160</v>
      </c>
      <c r="J103" s="922">
        <v>1</v>
      </c>
      <c r="K103" s="981">
        <v>2.9</v>
      </c>
      <c r="L103" s="923">
        <v>1005.65</v>
      </c>
      <c r="M103" s="923">
        <v>971.05</v>
      </c>
      <c r="N103" s="983"/>
      <c r="Q103" s="924" t="s">
        <v>160</v>
      </c>
      <c r="R103" s="922">
        <v>1</v>
      </c>
      <c r="S103" s="981">
        <v>2.9</v>
      </c>
      <c r="T103" s="923">
        <v>1005.65</v>
      </c>
      <c r="U103" s="923">
        <v>971.05</v>
      </c>
      <c r="V103" s="983"/>
      <c r="W103" s="29"/>
      <c r="X103" s="702"/>
      <c r="Y103" s="924" t="s">
        <v>160</v>
      </c>
      <c r="Z103" s="922">
        <v>1</v>
      </c>
      <c r="AA103" s="981">
        <v>2.9</v>
      </c>
      <c r="AB103" s="923">
        <v>1005.65</v>
      </c>
      <c r="AC103" s="923">
        <v>971.05</v>
      </c>
      <c r="AD103" s="983"/>
      <c r="AH103" s="1028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4" t="s">
        <v>161</v>
      </c>
      <c r="B104" s="922">
        <v>1</v>
      </c>
      <c r="C104" s="981">
        <v>1.76</v>
      </c>
      <c r="D104" s="923">
        <v>991.91</v>
      </c>
      <c r="E104" s="923">
        <v>964.54</v>
      </c>
      <c r="F104" s="983"/>
      <c r="G104" s="29"/>
      <c r="H104" s="31"/>
      <c r="I104" s="924" t="s">
        <v>161</v>
      </c>
      <c r="J104" s="922">
        <v>1</v>
      </c>
      <c r="K104" s="981">
        <v>1.76</v>
      </c>
      <c r="L104" s="923">
        <v>991.91</v>
      </c>
      <c r="M104" s="923">
        <v>964.54</v>
      </c>
      <c r="N104" s="983"/>
      <c r="Q104" s="924" t="s">
        <v>161</v>
      </c>
      <c r="R104" s="922">
        <v>1</v>
      </c>
      <c r="S104" s="981">
        <v>1.76</v>
      </c>
      <c r="T104" s="923">
        <v>991.91</v>
      </c>
      <c r="U104" s="923">
        <v>964.54</v>
      </c>
      <c r="V104" s="983"/>
      <c r="W104" s="29"/>
      <c r="X104" s="702"/>
      <c r="Y104" s="924" t="s">
        <v>161</v>
      </c>
      <c r="Z104" s="922">
        <v>1</v>
      </c>
      <c r="AA104" s="981">
        <v>1.76</v>
      </c>
      <c r="AB104" s="923">
        <v>991.91</v>
      </c>
      <c r="AC104" s="923">
        <v>964.54</v>
      </c>
      <c r="AD104" s="983"/>
      <c r="AH104" s="1028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4" t="s">
        <v>373</v>
      </c>
      <c r="B105" s="922">
        <v>1</v>
      </c>
      <c r="C105" s="981">
        <v>0.95</v>
      </c>
      <c r="D105" s="923">
        <v>997.59</v>
      </c>
      <c r="E105" s="923">
        <v>1014.3</v>
      </c>
      <c r="F105" s="983"/>
      <c r="G105" s="29"/>
      <c r="H105" s="31"/>
      <c r="I105" s="924" t="s">
        <v>373</v>
      </c>
      <c r="J105" s="922">
        <v>1</v>
      </c>
      <c r="K105" s="981">
        <v>0.95</v>
      </c>
      <c r="L105" s="923">
        <v>997.59</v>
      </c>
      <c r="M105" s="923">
        <v>1014.3</v>
      </c>
      <c r="N105" s="983"/>
      <c r="Q105" s="924" t="s">
        <v>373</v>
      </c>
      <c r="R105" s="922">
        <v>1</v>
      </c>
      <c r="S105" s="981">
        <v>0.95</v>
      </c>
      <c r="T105" s="923">
        <v>997.59</v>
      </c>
      <c r="U105" s="923">
        <v>1014.3</v>
      </c>
      <c r="V105" s="983"/>
      <c r="W105" s="29"/>
      <c r="X105" s="702"/>
      <c r="Y105" s="924" t="s">
        <v>332</v>
      </c>
      <c r="Z105" s="922">
        <v>1</v>
      </c>
      <c r="AA105" s="981">
        <v>1.82</v>
      </c>
      <c r="AB105" s="923">
        <v>974.31</v>
      </c>
      <c r="AC105" s="923">
        <v>969.89</v>
      </c>
      <c r="AD105" s="983" t="s">
        <v>368</v>
      </c>
      <c r="AH105" s="1028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4" t="s">
        <v>374</v>
      </c>
      <c r="B106" s="922">
        <v>1</v>
      </c>
      <c r="C106" s="981">
        <v>1</v>
      </c>
      <c r="D106" s="923">
        <v>996.32</v>
      </c>
      <c r="E106" s="923">
        <v>1015.88</v>
      </c>
      <c r="F106" s="983"/>
      <c r="G106" s="29"/>
      <c r="H106" s="31"/>
      <c r="I106" s="924" t="s">
        <v>374</v>
      </c>
      <c r="J106" s="922">
        <v>1</v>
      </c>
      <c r="K106" s="981">
        <v>1</v>
      </c>
      <c r="L106" s="923">
        <v>996.32</v>
      </c>
      <c r="M106" s="923">
        <v>1015.88</v>
      </c>
      <c r="N106" s="983"/>
      <c r="Q106" s="924" t="s">
        <v>374</v>
      </c>
      <c r="R106" s="922">
        <v>1</v>
      </c>
      <c r="S106" s="981">
        <v>1</v>
      </c>
      <c r="T106" s="923">
        <v>996.32</v>
      </c>
      <c r="U106" s="923">
        <v>1015.88</v>
      </c>
      <c r="V106" s="983"/>
      <c r="W106" s="29"/>
      <c r="X106" s="702"/>
      <c r="Y106" s="924" t="s">
        <v>373</v>
      </c>
      <c r="Z106" s="922">
        <v>1</v>
      </c>
      <c r="AA106" s="981">
        <v>0.95</v>
      </c>
      <c r="AB106" s="923">
        <v>997.59</v>
      </c>
      <c r="AC106" s="923">
        <v>1014.3</v>
      </c>
      <c r="AD106" s="983"/>
      <c r="AH106" s="1028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4" t="s">
        <v>337</v>
      </c>
      <c r="B107" s="922">
        <v>1</v>
      </c>
      <c r="C107" s="981">
        <v>1.53</v>
      </c>
      <c r="D107" s="923">
        <v>978.4</v>
      </c>
      <c r="E107" s="923">
        <v>1014.61</v>
      </c>
      <c r="F107" s="983"/>
      <c r="G107" s="29"/>
      <c r="H107" s="31"/>
      <c r="I107" s="924" t="s">
        <v>337</v>
      </c>
      <c r="J107" s="922">
        <v>1</v>
      </c>
      <c r="K107" s="981">
        <v>1.53</v>
      </c>
      <c r="L107" s="923">
        <v>978.4</v>
      </c>
      <c r="M107" s="923">
        <v>1014.61</v>
      </c>
      <c r="N107" s="983"/>
      <c r="Q107" s="924" t="s">
        <v>334</v>
      </c>
      <c r="R107" s="922">
        <v>1</v>
      </c>
      <c r="S107" s="981">
        <v>1.93</v>
      </c>
      <c r="T107" s="923">
        <v>954.39</v>
      </c>
      <c r="U107" s="923">
        <v>993.14</v>
      </c>
      <c r="V107" s="983" t="s">
        <v>368</v>
      </c>
      <c r="W107" s="29"/>
      <c r="X107" s="702"/>
      <c r="Y107" s="924" t="s">
        <v>374</v>
      </c>
      <c r="Z107" s="922">
        <v>1</v>
      </c>
      <c r="AA107" s="981">
        <v>1</v>
      </c>
      <c r="AB107" s="923">
        <v>996.32</v>
      </c>
      <c r="AC107" s="923">
        <v>1015.88</v>
      </c>
      <c r="AD107" s="983"/>
      <c r="AH107" s="1028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4" t="s">
        <v>371</v>
      </c>
      <c r="B108" s="922">
        <v>1</v>
      </c>
      <c r="C108" s="981">
        <v>1.2</v>
      </c>
      <c r="D108" s="923">
        <v>996.07</v>
      </c>
      <c r="E108" s="923">
        <v>1020.26</v>
      </c>
      <c r="F108" s="983"/>
      <c r="G108" s="29"/>
      <c r="H108" s="31"/>
      <c r="I108" s="924" t="s">
        <v>371</v>
      </c>
      <c r="J108" s="922">
        <v>1</v>
      </c>
      <c r="K108" s="981">
        <v>1.2</v>
      </c>
      <c r="L108" s="923">
        <v>996.07</v>
      </c>
      <c r="M108" s="923">
        <v>1020.26</v>
      </c>
      <c r="N108" s="983"/>
      <c r="Q108" s="924" t="s">
        <v>371</v>
      </c>
      <c r="R108" s="922">
        <v>1</v>
      </c>
      <c r="S108" s="981">
        <v>1.2</v>
      </c>
      <c r="T108" s="923">
        <v>996.07</v>
      </c>
      <c r="U108" s="923">
        <v>1020.26</v>
      </c>
      <c r="V108" s="983"/>
      <c r="W108" s="29"/>
      <c r="X108" s="702"/>
      <c r="Y108" s="924" t="s">
        <v>334</v>
      </c>
      <c r="Z108" s="922">
        <v>1</v>
      </c>
      <c r="AA108" s="981">
        <v>1.93</v>
      </c>
      <c r="AB108" s="923">
        <v>954.39</v>
      </c>
      <c r="AC108" s="923">
        <v>993.14</v>
      </c>
      <c r="AD108" s="983"/>
      <c r="AH108" s="1028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4" t="s">
        <v>372</v>
      </c>
      <c r="B109" s="922">
        <v>1</v>
      </c>
      <c r="C109" s="982">
        <v>1.25</v>
      </c>
      <c r="D109" s="923">
        <v>996</v>
      </c>
      <c r="E109" s="923">
        <v>1022.04</v>
      </c>
      <c r="F109" s="983"/>
      <c r="G109" s="29"/>
      <c r="H109" s="31"/>
      <c r="I109" s="924" t="s">
        <v>372</v>
      </c>
      <c r="J109" s="922">
        <v>1</v>
      </c>
      <c r="K109" s="982">
        <v>1.25</v>
      </c>
      <c r="L109" s="923">
        <v>996</v>
      </c>
      <c r="M109" s="923">
        <v>1022.04</v>
      </c>
      <c r="N109" s="983"/>
      <c r="Q109" s="924" t="s">
        <v>372</v>
      </c>
      <c r="R109" s="922">
        <v>1</v>
      </c>
      <c r="S109" s="982">
        <v>1.25</v>
      </c>
      <c r="T109" s="923">
        <v>996</v>
      </c>
      <c r="U109" s="923">
        <v>1022.04</v>
      </c>
      <c r="V109" s="983"/>
      <c r="W109" s="29"/>
      <c r="X109" s="702"/>
      <c r="Y109" s="924" t="s">
        <v>371</v>
      </c>
      <c r="Z109" s="922">
        <v>1</v>
      </c>
      <c r="AA109" s="982">
        <v>1.2</v>
      </c>
      <c r="AB109" s="923">
        <v>996.07</v>
      </c>
      <c r="AC109" s="923">
        <v>1020.26</v>
      </c>
      <c r="AD109" s="983"/>
      <c r="AH109" s="1028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4" t="s">
        <v>286</v>
      </c>
      <c r="B110" s="922"/>
      <c r="C110" s="982"/>
      <c r="D110" s="923"/>
      <c r="E110" s="923"/>
      <c r="F110" s="983"/>
      <c r="G110" s="29"/>
      <c r="H110" s="31"/>
      <c r="I110" s="924" t="s">
        <v>286</v>
      </c>
      <c r="J110" s="922"/>
      <c r="K110" s="982"/>
      <c r="L110" s="923"/>
      <c r="M110" s="923"/>
      <c r="N110" s="983"/>
      <c r="Q110" s="924" t="s">
        <v>338</v>
      </c>
      <c r="R110" s="922"/>
      <c r="S110" s="982"/>
      <c r="T110" s="923"/>
      <c r="U110" s="923"/>
      <c r="V110" s="983"/>
      <c r="W110" s="29"/>
      <c r="X110" s="702"/>
      <c r="Y110" s="924" t="s">
        <v>372</v>
      </c>
      <c r="Z110" s="922">
        <v>1</v>
      </c>
      <c r="AA110" s="982">
        <v>1.25</v>
      </c>
      <c r="AB110" s="923">
        <v>996</v>
      </c>
      <c r="AC110" s="923">
        <v>1022.04</v>
      </c>
      <c r="AD110" s="983"/>
      <c r="AH110" s="1028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4"/>
      <c r="B111" s="922"/>
      <c r="C111" s="982"/>
      <c r="D111" s="923"/>
      <c r="E111" s="923"/>
      <c r="F111" s="983"/>
      <c r="G111" s="29"/>
      <c r="H111" s="31"/>
      <c r="I111" s="924"/>
      <c r="J111" s="922"/>
      <c r="K111" s="982"/>
      <c r="L111" s="923"/>
      <c r="M111" s="923"/>
      <c r="N111" s="983"/>
      <c r="Q111" s="924" t="s">
        <v>286</v>
      </c>
      <c r="R111" s="922"/>
      <c r="S111" s="982"/>
      <c r="T111" s="923"/>
      <c r="U111" s="923"/>
      <c r="V111" s="983"/>
      <c r="W111" s="29"/>
      <c r="X111" s="702"/>
      <c r="Y111" s="924" t="s">
        <v>338</v>
      </c>
      <c r="Z111" s="922"/>
      <c r="AA111" s="982"/>
      <c r="AB111" s="923"/>
      <c r="AC111" s="923"/>
      <c r="AD111" s="983"/>
      <c r="AH111" s="1028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4"/>
      <c r="B112" s="922"/>
      <c r="C112" s="976"/>
      <c r="D112" s="923"/>
      <c r="E112" s="923"/>
      <c r="F112" s="983"/>
      <c r="G112" s="29"/>
      <c r="H112" s="31"/>
      <c r="I112" s="924"/>
      <c r="J112" s="922"/>
      <c r="K112" s="976"/>
      <c r="L112" s="923"/>
      <c r="M112" s="923"/>
      <c r="N112" s="983"/>
      <c r="Q112" s="924"/>
      <c r="R112" s="922"/>
      <c r="S112" s="976"/>
      <c r="T112" s="923"/>
      <c r="U112" s="923"/>
      <c r="V112" s="983"/>
      <c r="W112" s="29"/>
      <c r="X112" s="702"/>
      <c r="Y112" s="924" t="s">
        <v>286</v>
      </c>
      <c r="Z112" s="922"/>
      <c r="AA112" s="976"/>
      <c r="AB112" s="923"/>
      <c r="AC112" s="923"/>
      <c r="AD112" s="983"/>
      <c r="AH112" s="1028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4"/>
      <c r="B113" s="922"/>
      <c r="C113" s="976"/>
      <c r="D113" s="923"/>
      <c r="E113" s="923"/>
      <c r="F113" s="983"/>
      <c r="G113" s="29"/>
      <c r="H113" s="31"/>
      <c r="I113" s="924"/>
      <c r="J113" s="922"/>
      <c r="K113" s="976"/>
      <c r="L113" s="923"/>
      <c r="M113" s="923"/>
      <c r="N113" s="983"/>
      <c r="Q113" s="924"/>
      <c r="R113" s="922"/>
      <c r="S113" s="976"/>
      <c r="T113" s="923"/>
      <c r="U113" s="923"/>
      <c r="V113" s="983"/>
      <c r="W113" s="29"/>
      <c r="X113" s="702"/>
      <c r="Y113" s="924"/>
      <c r="Z113" s="922"/>
      <c r="AA113" s="976"/>
      <c r="AB113" s="923"/>
      <c r="AC113" s="923"/>
      <c r="AD113" s="983"/>
      <c r="AH113" s="1028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4"/>
      <c r="B114" s="922"/>
      <c r="C114" s="976"/>
      <c r="D114" s="923"/>
      <c r="E114" s="923"/>
      <c r="F114" s="983"/>
      <c r="G114" s="29"/>
      <c r="H114" s="31"/>
      <c r="I114" s="924"/>
      <c r="J114" s="922"/>
      <c r="K114" s="976"/>
      <c r="L114" s="923"/>
      <c r="M114" s="923"/>
      <c r="N114" s="983"/>
      <c r="Q114" s="924"/>
      <c r="R114" s="922"/>
      <c r="S114" s="976"/>
      <c r="T114" s="923"/>
      <c r="U114" s="923"/>
      <c r="V114" s="983"/>
      <c r="W114" s="29"/>
      <c r="X114" s="702"/>
      <c r="Y114" s="924"/>
      <c r="Z114" s="922"/>
      <c r="AA114" s="976"/>
      <c r="AB114" s="923"/>
      <c r="AC114" s="923"/>
      <c r="AD114" s="983"/>
      <c r="AH114" s="1028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4"/>
      <c r="B115" s="922"/>
      <c r="C115" s="976"/>
      <c r="D115" s="923"/>
      <c r="E115" s="923"/>
      <c r="F115" s="983"/>
      <c r="G115" s="29"/>
      <c r="H115" s="31"/>
      <c r="I115" s="924"/>
      <c r="J115" s="922"/>
      <c r="K115" s="976"/>
      <c r="L115" s="923"/>
      <c r="M115" s="923"/>
      <c r="N115" s="983"/>
      <c r="Q115" s="924"/>
      <c r="R115" s="922"/>
      <c r="S115" s="976"/>
      <c r="T115" s="923"/>
      <c r="U115" s="923"/>
      <c r="V115" s="983"/>
      <c r="W115" s="29"/>
      <c r="X115" s="702"/>
      <c r="Y115" s="924"/>
      <c r="Z115" s="922"/>
      <c r="AA115" s="976"/>
      <c r="AB115" s="923"/>
      <c r="AC115" s="923"/>
      <c r="AD115" s="983"/>
      <c r="AH115" s="1028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4"/>
      <c r="B116" s="922"/>
      <c r="C116" s="976"/>
      <c r="D116" s="923"/>
      <c r="E116" s="923"/>
      <c r="F116" s="983"/>
      <c r="G116" s="29"/>
      <c r="H116" s="31"/>
      <c r="I116" s="924"/>
      <c r="J116" s="922"/>
      <c r="K116" s="976"/>
      <c r="L116" s="923"/>
      <c r="M116" s="923"/>
      <c r="N116" s="983"/>
      <c r="Q116" s="924"/>
      <c r="R116" s="922"/>
      <c r="S116" s="976"/>
      <c r="T116" s="923"/>
      <c r="U116" s="923"/>
      <c r="V116" s="983"/>
      <c r="W116" s="29"/>
      <c r="X116" s="702"/>
      <c r="Y116" s="924"/>
      <c r="Z116" s="922"/>
      <c r="AA116" s="976"/>
      <c r="AB116" s="923"/>
      <c r="AC116" s="923"/>
      <c r="AD116" s="983"/>
      <c r="AH116" s="1028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4"/>
      <c r="B117" s="922"/>
      <c r="C117" s="976"/>
      <c r="D117" s="923"/>
      <c r="E117" s="923"/>
      <c r="F117" s="983"/>
      <c r="G117" s="29"/>
      <c r="H117" s="31"/>
      <c r="I117" s="924"/>
      <c r="J117" s="922"/>
      <c r="K117" s="976"/>
      <c r="L117" s="923"/>
      <c r="M117" s="923"/>
      <c r="N117" s="983"/>
      <c r="Q117" s="924"/>
      <c r="R117" s="922"/>
      <c r="S117" s="976"/>
      <c r="T117" s="923"/>
      <c r="U117" s="923"/>
      <c r="V117" s="983"/>
      <c r="W117" s="29"/>
      <c r="X117" s="702"/>
      <c r="Y117" s="924"/>
      <c r="Z117" s="922"/>
      <c r="AA117" s="976"/>
      <c r="AB117" s="923"/>
      <c r="AC117" s="923"/>
      <c r="AD117" s="983"/>
      <c r="AH117" s="1028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4"/>
      <c r="B118" s="922"/>
      <c r="C118" s="976"/>
      <c r="D118" s="923"/>
      <c r="E118" s="923"/>
      <c r="F118" s="983"/>
      <c r="G118" s="29"/>
      <c r="H118" s="31"/>
      <c r="I118" s="924"/>
      <c r="J118" s="922"/>
      <c r="K118" s="976"/>
      <c r="L118" s="923"/>
      <c r="M118" s="923"/>
      <c r="N118" s="983"/>
      <c r="Q118" s="924"/>
      <c r="R118" s="922"/>
      <c r="S118" s="976"/>
      <c r="T118" s="923"/>
      <c r="U118" s="923"/>
      <c r="V118" s="983"/>
      <c r="W118" s="29"/>
      <c r="X118" s="702"/>
      <c r="Y118" s="924"/>
      <c r="Z118" s="922"/>
      <c r="AA118" s="976"/>
      <c r="AB118" s="923"/>
      <c r="AC118" s="923"/>
      <c r="AD118" s="983"/>
      <c r="AH118" s="1028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4"/>
      <c r="B119" s="922"/>
      <c r="C119" s="976"/>
      <c r="D119" s="923"/>
      <c r="E119" s="923"/>
      <c r="F119" s="983"/>
      <c r="G119" s="29"/>
      <c r="H119" s="31"/>
      <c r="I119" s="924"/>
      <c r="J119" s="922"/>
      <c r="K119" s="976"/>
      <c r="L119" s="923"/>
      <c r="M119" s="923"/>
      <c r="N119" s="983"/>
      <c r="Q119" s="924"/>
      <c r="R119" s="922"/>
      <c r="S119" s="976"/>
      <c r="T119" s="923"/>
      <c r="U119" s="923"/>
      <c r="V119" s="983"/>
      <c r="W119" s="29"/>
      <c r="X119" s="702"/>
      <c r="Y119" s="924"/>
      <c r="Z119" s="922"/>
      <c r="AA119" s="976"/>
      <c r="AB119" s="923"/>
      <c r="AC119" s="923"/>
      <c r="AD119" s="983"/>
      <c r="AH119" s="1028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68"/>
      <c r="B120" s="969"/>
      <c r="C120" s="978"/>
      <c r="D120" s="979"/>
      <c r="E120" s="979"/>
      <c r="F120" s="998"/>
      <c r="G120" s="29"/>
      <c r="H120" s="31"/>
      <c r="I120" s="968"/>
      <c r="J120" s="969"/>
      <c r="K120" s="978"/>
      <c r="L120" s="979"/>
      <c r="M120" s="979"/>
      <c r="N120" s="998"/>
      <c r="Q120" s="968"/>
      <c r="R120" s="969"/>
      <c r="S120" s="978"/>
      <c r="T120" s="979"/>
      <c r="U120" s="979"/>
      <c r="V120" s="998"/>
      <c r="W120" s="29"/>
      <c r="X120" s="702"/>
      <c r="Y120" s="968"/>
      <c r="Z120" s="969"/>
      <c r="AA120" s="978"/>
      <c r="AB120" s="979"/>
      <c r="AC120" s="979"/>
      <c r="AD120" s="998"/>
      <c r="AH120" s="1028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75" customFormat="1" x14ac:dyDescent="0.25">
      <c r="A121" s="1107" t="s">
        <v>324</v>
      </c>
      <c r="F121" s="1025"/>
      <c r="G121" s="1026"/>
      <c r="H121" s="697"/>
      <c r="I121" s="1107" t="s">
        <v>325</v>
      </c>
      <c r="N121" s="1025"/>
      <c r="Q121" s="1107" t="s">
        <v>326</v>
      </c>
      <c r="V121" s="1025"/>
      <c r="W121" s="1026"/>
      <c r="X121" s="697"/>
      <c r="Y121" s="1107" t="s">
        <v>327</v>
      </c>
      <c r="AD121" s="1025"/>
      <c r="AH121" s="1027"/>
      <c r="AM121" s="1074"/>
      <c r="AN121" s="1074"/>
      <c r="AO121" s="1074"/>
      <c r="AP121" s="1074"/>
      <c r="AQ121" s="1074"/>
      <c r="AR121" s="1074"/>
      <c r="AS121" s="1074"/>
      <c r="AT121" s="1074"/>
      <c r="AU121" s="1074"/>
      <c r="AV121" s="1074"/>
      <c r="AW121" s="1074"/>
    </row>
    <row r="122" spans="1:49" s="19" customFormat="1" ht="12.75" x14ac:dyDescent="0.2">
      <c r="A122" s="1020" t="s">
        <v>286</v>
      </c>
      <c r="B122" s="1021"/>
      <c r="C122" s="1022"/>
      <c r="D122" s="1023"/>
      <c r="E122" s="1023"/>
      <c r="F122" s="1024"/>
      <c r="G122" s="29"/>
      <c r="H122" s="31"/>
      <c r="I122" s="1020" t="s">
        <v>286</v>
      </c>
      <c r="J122" s="1021"/>
      <c r="K122" s="1022"/>
      <c r="L122" s="1023"/>
      <c r="M122" s="1023"/>
      <c r="N122" s="1024"/>
      <c r="Q122" s="1020" t="s">
        <v>286</v>
      </c>
      <c r="R122" s="1021"/>
      <c r="S122" s="1022"/>
      <c r="T122" s="1023"/>
      <c r="U122" s="1023"/>
      <c r="V122" s="1024"/>
      <c r="W122" s="29"/>
      <c r="X122" s="702"/>
      <c r="Y122" s="1020" t="s">
        <v>286</v>
      </c>
      <c r="Z122" s="1021"/>
      <c r="AA122" s="1022"/>
      <c r="AB122" s="1023"/>
      <c r="AC122" s="1023"/>
      <c r="AD122" s="1024"/>
      <c r="AH122" s="1028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24" t="s">
        <v>163</v>
      </c>
      <c r="B123" s="922"/>
      <c r="C123" s="981"/>
      <c r="D123" s="923"/>
      <c r="E123" s="923"/>
      <c r="F123" s="983"/>
      <c r="G123" s="29"/>
      <c r="H123" s="31"/>
      <c r="I123" s="924" t="s">
        <v>163</v>
      </c>
      <c r="J123" s="922"/>
      <c r="K123" s="981"/>
      <c r="L123" s="923"/>
      <c r="M123" s="923"/>
      <c r="N123" s="983"/>
      <c r="Q123" s="924" t="s">
        <v>163</v>
      </c>
      <c r="R123" s="922"/>
      <c r="S123" s="981"/>
      <c r="T123" s="923"/>
      <c r="U123" s="923"/>
      <c r="V123" s="983"/>
      <c r="W123" s="29"/>
      <c r="X123" s="702"/>
      <c r="Y123" s="924" t="s">
        <v>163</v>
      </c>
      <c r="Z123" s="922"/>
      <c r="AA123" s="981"/>
      <c r="AB123" s="923"/>
      <c r="AC123" s="923"/>
      <c r="AD123" s="983"/>
      <c r="AH123" s="1028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4" t="s">
        <v>351</v>
      </c>
      <c r="B124" s="922">
        <v>2</v>
      </c>
      <c r="C124" s="981">
        <v>3.46</v>
      </c>
      <c r="D124" s="923">
        <v>1018.43</v>
      </c>
      <c r="E124" s="923">
        <v>1004.4</v>
      </c>
      <c r="F124" s="983"/>
      <c r="G124" s="29"/>
      <c r="H124" s="31"/>
      <c r="I124" s="924" t="s">
        <v>351</v>
      </c>
      <c r="J124" s="922">
        <v>2</v>
      </c>
      <c r="K124" s="981">
        <v>3.46</v>
      </c>
      <c r="L124" s="923">
        <v>1018.43</v>
      </c>
      <c r="M124" s="923">
        <v>1004.4</v>
      </c>
      <c r="N124" s="983"/>
      <c r="Q124" s="924" t="s">
        <v>351</v>
      </c>
      <c r="R124" s="922">
        <v>2</v>
      </c>
      <c r="S124" s="981">
        <v>3.46</v>
      </c>
      <c r="T124" s="923">
        <v>1018.43</v>
      </c>
      <c r="U124" s="923">
        <v>1004.4</v>
      </c>
      <c r="V124" s="983"/>
      <c r="W124" s="29"/>
      <c r="X124" s="702"/>
      <c r="Y124" s="924" t="s">
        <v>351</v>
      </c>
      <c r="Z124" s="922">
        <v>2</v>
      </c>
      <c r="AA124" s="981">
        <v>3.46</v>
      </c>
      <c r="AB124" s="923">
        <v>1018.43</v>
      </c>
      <c r="AC124" s="923">
        <v>1004.4</v>
      </c>
      <c r="AD124" s="983"/>
      <c r="AH124" s="1028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4" t="s">
        <v>352</v>
      </c>
      <c r="B125" s="922">
        <v>2</v>
      </c>
      <c r="C125" s="981">
        <v>3.46</v>
      </c>
      <c r="D125" s="923">
        <v>1010.17</v>
      </c>
      <c r="E125" s="923">
        <v>1003.42</v>
      </c>
      <c r="F125" s="983"/>
      <c r="G125" s="29"/>
      <c r="H125" s="31"/>
      <c r="I125" s="924" t="s">
        <v>352</v>
      </c>
      <c r="J125" s="922">
        <v>2</v>
      </c>
      <c r="K125" s="981">
        <v>3.46</v>
      </c>
      <c r="L125" s="923">
        <v>1010.17</v>
      </c>
      <c r="M125" s="923">
        <v>1003.42</v>
      </c>
      <c r="N125" s="983"/>
      <c r="Q125" s="924" t="s">
        <v>352</v>
      </c>
      <c r="R125" s="922">
        <v>2</v>
      </c>
      <c r="S125" s="981">
        <v>3.46</v>
      </c>
      <c r="T125" s="923">
        <v>1010.17</v>
      </c>
      <c r="U125" s="923">
        <v>1003.42</v>
      </c>
      <c r="V125" s="983"/>
      <c r="W125" s="29"/>
      <c r="X125" s="702"/>
      <c r="Y125" s="924" t="s">
        <v>352</v>
      </c>
      <c r="Z125" s="922">
        <v>2</v>
      </c>
      <c r="AA125" s="981">
        <v>3.46</v>
      </c>
      <c r="AB125" s="923">
        <v>1010.17</v>
      </c>
      <c r="AC125" s="923">
        <v>1003.42</v>
      </c>
      <c r="AD125" s="983"/>
      <c r="AH125" s="1028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4" t="s">
        <v>353</v>
      </c>
      <c r="B126" s="922">
        <v>1</v>
      </c>
      <c r="C126" s="981">
        <v>1.72</v>
      </c>
      <c r="D126" s="923">
        <v>997.73</v>
      </c>
      <c r="E126" s="923">
        <v>1002.51</v>
      </c>
      <c r="F126" s="983" t="s">
        <v>368</v>
      </c>
      <c r="G126" s="29"/>
      <c r="H126" s="31"/>
      <c r="I126" s="924" t="s">
        <v>353</v>
      </c>
      <c r="J126" s="922">
        <v>1</v>
      </c>
      <c r="K126" s="981">
        <v>1.72</v>
      </c>
      <c r="L126" s="923">
        <v>997.73</v>
      </c>
      <c r="M126" s="923">
        <v>1002.51</v>
      </c>
      <c r="N126" s="983" t="s">
        <v>135</v>
      </c>
      <c r="Q126" s="924" t="s">
        <v>353</v>
      </c>
      <c r="R126" s="922">
        <v>1</v>
      </c>
      <c r="S126" s="981">
        <v>1.72</v>
      </c>
      <c r="T126" s="923">
        <v>997.73</v>
      </c>
      <c r="U126" s="923">
        <v>1002.51</v>
      </c>
      <c r="V126" s="983" t="s">
        <v>368</v>
      </c>
      <c r="W126" s="29"/>
      <c r="X126" s="702"/>
      <c r="Y126" s="924" t="s">
        <v>353</v>
      </c>
      <c r="Z126" s="922">
        <v>1</v>
      </c>
      <c r="AA126" s="981">
        <v>1.72</v>
      </c>
      <c r="AB126" s="923">
        <v>997.73</v>
      </c>
      <c r="AC126" s="923">
        <v>1002.51</v>
      </c>
      <c r="AD126" s="983" t="s">
        <v>368</v>
      </c>
      <c r="AH126" s="1028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4" t="s">
        <v>354</v>
      </c>
      <c r="B127" s="922">
        <v>1</v>
      </c>
      <c r="C127" s="981">
        <v>1.25</v>
      </c>
      <c r="D127" s="923">
        <v>993.46</v>
      </c>
      <c r="E127" s="923">
        <v>996.27</v>
      </c>
      <c r="F127" s="983"/>
      <c r="G127" s="29"/>
      <c r="H127" s="31"/>
      <c r="I127" s="924" t="s">
        <v>354</v>
      </c>
      <c r="J127" s="922">
        <v>1</v>
      </c>
      <c r="K127" s="981">
        <v>1.25</v>
      </c>
      <c r="L127" s="923">
        <v>993.46</v>
      </c>
      <c r="M127" s="923">
        <v>996.27</v>
      </c>
      <c r="N127" s="983"/>
      <c r="Q127" s="924" t="s">
        <v>354</v>
      </c>
      <c r="R127" s="922">
        <v>1</v>
      </c>
      <c r="S127" s="981">
        <v>1.25</v>
      </c>
      <c r="T127" s="923">
        <v>993.46</v>
      </c>
      <c r="U127" s="923">
        <v>996.27</v>
      </c>
      <c r="V127" s="983"/>
      <c r="W127" s="29"/>
      <c r="X127" s="702"/>
      <c r="Y127" s="924" t="s">
        <v>354</v>
      </c>
      <c r="Z127" s="922">
        <v>1</v>
      </c>
      <c r="AA127" s="981">
        <v>1.25</v>
      </c>
      <c r="AB127" s="923">
        <v>993.46</v>
      </c>
      <c r="AC127" s="923">
        <v>996.27</v>
      </c>
      <c r="AD127" s="983"/>
      <c r="AH127" s="1028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4" t="s">
        <v>355</v>
      </c>
      <c r="B128" s="922">
        <v>1</v>
      </c>
      <c r="C128" s="981">
        <v>1.2</v>
      </c>
      <c r="D128" s="923">
        <v>987.11</v>
      </c>
      <c r="E128" s="923">
        <v>995.78</v>
      </c>
      <c r="F128" s="983" t="s">
        <v>135</v>
      </c>
      <c r="G128" s="29"/>
      <c r="H128" s="31"/>
      <c r="I128" s="924" t="s">
        <v>355</v>
      </c>
      <c r="J128" s="922">
        <v>1</v>
      </c>
      <c r="K128" s="981">
        <v>1.2</v>
      </c>
      <c r="L128" s="923">
        <v>987.11</v>
      </c>
      <c r="M128" s="923">
        <v>995.78</v>
      </c>
      <c r="N128" s="983" t="s">
        <v>135</v>
      </c>
      <c r="Q128" s="924" t="s">
        <v>355</v>
      </c>
      <c r="R128" s="922">
        <v>1</v>
      </c>
      <c r="S128" s="981">
        <v>1.2</v>
      </c>
      <c r="T128" s="923">
        <v>987.11</v>
      </c>
      <c r="U128" s="923">
        <v>995.78</v>
      </c>
      <c r="V128" s="983"/>
      <c r="W128" s="29"/>
      <c r="X128" s="702"/>
      <c r="Y128" s="924" t="s">
        <v>355</v>
      </c>
      <c r="Z128" s="922">
        <v>1</v>
      </c>
      <c r="AA128" s="981">
        <v>1.2</v>
      </c>
      <c r="AB128" s="923">
        <v>987.11</v>
      </c>
      <c r="AC128" s="923">
        <v>995.78</v>
      </c>
      <c r="AD128" s="983"/>
      <c r="AH128" s="1028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4" t="s">
        <v>358</v>
      </c>
      <c r="B129" s="922">
        <v>2</v>
      </c>
      <c r="C129" s="981">
        <v>1.57</v>
      </c>
      <c r="D129" s="923">
        <v>931.22</v>
      </c>
      <c r="E129" s="923">
        <v>933.69</v>
      </c>
      <c r="F129" s="983"/>
      <c r="G129" s="29"/>
      <c r="H129" s="31"/>
      <c r="I129" s="924" t="s">
        <v>358</v>
      </c>
      <c r="J129" s="922">
        <v>2</v>
      </c>
      <c r="K129" s="981">
        <v>1.57</v>
      </c>
      <c r="L129" s="923">
        <v>931.22</v>
      </c>
      <c r="M129" s="923">
        <v>933.69</v>
      </c>
      <c r="N129" s="983"/>
      <c r="Q129" s="924" t="s">
        <v>358</v>
      </c>
      <c r="R129" s="922">
        <v>2</v>
      </c>
      <c r="S129" s="981">
        <v>1.57</v>
      </c>
      <c r="T129" s="923">
        <v>931.22</v>
      </c>
      <c r="U129" s="923">
        <v>933.69</v>
      </c>
      <c r="V129" s="983"/>
      <c r="W129" s="29"/>
      <c r="X129" s="702"/>
      <c r="Y129" s="924" t="s">
        <v>358</v>
      </c>
      <c r="Z129" s="922">
        <v>2</v>
      </c>
      <c r="AA129" s="981">
        <v>1.57</v>
      </c>
      <c r="AB129" s="923">
        <v>931.22</v>
      </c>
      <c r="AC129" s="923">
        <v>933.69</v>
      </c>
      <c r="AD129" s="983"/>
      <c r="AH129" s="1028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4" t="s">
        <v>286</v>
      </c>
      <c r="B130" s="922"/>
      <c r="C130" s="981"/>
      <c r="D130" s="923"/>
      <c r="E130" s="923"/>
      <c r="F130" s="983"/>
      <c r="G130" s="29"/>
      <c r="H130" s="31"/>
      <c r="I130" s="924" t="s">
        <v>286</v>
      </c>
      <c r="J130" s="922"/>
      <c r="K130" s="981"/>
      <c r="L130" s="923"/>
      <c r="M130" s="923"/>
      <c r="N130" s="983"/>
      <c r="Q130" s="924" t="s">
        <v>286</v>
      </c>
      <c r="R130" s="922"/>
      <c r="S130" s="981"/>
      <c r="T130" s="923"/>
      <c r="U130" s="923"/>
      <c r="V130" s="983"/>
      <c r="W130" s="29"/>
      <c r="X130" s="702"/>
      <c r="Y130" s="924" t="s">
        <v>286</v>
      </c>
      <c r="Z130" s="922"/>
      <c r="AA130" s="981"/>
      <c r="AB130" s="923"/>
      <c r="AC130" s="923"/>
      <c r="AD130" s="983"/>
      <c r="AH130" s="1028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4"/>
      <c r="B131" s="922"/>
      <c r="C131" s="981"/>
      <c r="D131" s="923"/>
      <c r="E131" s="923"/>
      <c r="F131" s="983"/>
      <c r="G131" s="29"/>
      <c r="H131" s="31"/>
      <c r="I131" s="924"/>
      <c r="J131" s="922"/>
      <c r="K131" s="981"/>
      <c r="L131" s="923"/>
      <c r="M131" s="923"/>
      <c r="N131" s="983"/>
      <c r="Q131" s="924"/>
      <c r="R131" s="922"/>
      <c r="S131" s="981"/>
      <c r="T131" s="923"/>
      <c r="U131" s="923"/>
      <c r="V131" s="983"/>
      <c r="W131" s="29"/>
      <c r="X131" s="702"/>
      <c r="Y131" s="924"/>
      <c r="Z131" s="922"/>
      <c r="AA131" s="981"/>
      <c r="AB131" s="923"/>
      <c r="AC131" s="923"/>
      <c r="AD131" s="983"/>
      <c r="AH131" s="1028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4"/>
      <c r="B132" s="922"/>
      <c r="C132" s="981"/>
      <c r="D132" s="923"/>
      <c r="E132" s="923"/>
      <c r="F132" s="983"/>
      <c r="G132" s="29"/>
      <c r="H132" s="31"/>
      <c r="I132" s="924"/>
      <c r="J132" s="922"/>
      <c r="K132" s="981"/>
      <c r="L132" s="923"/>
      <c r="M132" s="923"/>
      <c r="N132" s="983"/>
      <c r="Q132" s="924"/>
      <c r="R132" s="922"/>
      <c r="S132" s="981"/>
      <c r="T132" s="923"/>
      <c r="U132" s="923"/>
      <c r="V132" s="983"/>
      <c r="W132" s="29"/>
      <c r="X132" s="702"/>
      <c r="Y132" s="924"/>
      <c r="Z132" s="922"/>
      <c r="AA132" s="981"/>
      <c r="AB132" s="923"/>
      <c r="AC132" s="923"/>
      <c r="AD132" s="983"/>
      <c r="AH132" s="1028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4"/>
      <c r="B133" s="922"/>
      <c r="C133" s="981"/>
      <c r="D133" s="923"/>
      <c r="E133" s="923"/>
      <c r="F133" s="983"/>
      <c r="G133" s="29"/>
      <c r="H133" s="31"/>
      <c r="I133" s="924"/>
      <c r="J133" s="922"/>
      <c r="K133" s="981"/>
      <c r="L133" s="923"/>
      <c r="M133" s="923"/>
      <c r="N133" s="983"/>
      <c r="Q133" s="924"/>
      <c r="R133" s="922"/>
      <c r="S133" s="981"/>
      <c r="T133" s="923"/>
      <c r="U133" s="923"/>
      <c r="V133" s="983"/>
      <c r="W133" s="29"/>
      <c r="X133" s="702"/>
      <c r="Y133" s="924"/>
      <c r="Z133" s="922"/>
      <c r="AA133" s="981"/>
      <c r="AB133" s="923"/>
      <c r="AC133" s="923"/>
      <c r="AD133" s="983"/>
      <c r="AH133" s="1028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4"/>
      <c r="B134" s="922"/>
      <c r="C134" s="982"/>
      <c r="D134" s="923"/>
      <c r="E134" s="923"/>
      <c r="F134" s="983"/>
      <c r="G134" s="29"/>
      <c r="H134" s="31"/>
      <c r="I134" s="924"/>
      <c r="J134" s="922"/>
      <c r="K134" s="982"/>
      <c r="L134" s="923"/>
      <c r="M134" s="923"/>
      <c r="N134" s="983"/>
      <c r="Q134" s="924"/>
      <c r="R134" s="922"/>
      <c r="S134" s="982"/>
      <c r="T134" s="923"/>
      <c r="U134" s="923"/>
      <c r="V134" s="983"/>
      <c r="W134" s="29"/>
      <c r="X134" s="702"/>
      <c r="Y134" s="924"/>
      <c r="Z134" s="922"/>
      <c r="AA134" s="982"/>
      <c r="AB134" s="923"/>
      <c r="AC134" s="923"/>
      <c r="AD134" s="983"/>
      <c r="AH134" s="1028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4"/>
      <c r="B135" s="922"/>
      <c r="C135" s="982"/>
      <c r="D135" s="923"/>
      <c r="E135" s="923"/>
      <c r="F135" s="983"/>
      <c r="G135" s="29"/>
      <c r="H135" s="31"/>
      <c r="I135" s="924"/>
      <c r="J135" s="922"/>
      <c r="K135" s="982"/>
      <c r="L135" s="923"/>
      <c r="M135" s="923"/>
      <c r="N135" s="983"/>
      <c r="Q135" s="924"/>
      <c r="R135" s="922"/>
      <c r="S135" s="982"/>
      <c r="T135" s="923"/>
      <c r="U135" s="923"/>
      <c r="V135" s="983"/>
      <c r="W135" s="29"/>
      <c r="X135" s="702"/>
      <c r="Y135" s="924"/>
      <c r="Z135" s="922"/>
      <c r="AA135" s="982"/>
      <c r="AB135" s="923"/>
      <c r="AC135" s="923"/>
      <c r="AD135" s="983"/>
      <c r="AH135" s="1028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4"/>
      <c r="B136" s="922"/>
      <c r="C136" s="982"/>
      <c r="D136" s="923"/>
      <c r="E136" s="923"/>
      <c r="F136" s="983"/>
      <c r="G136" s="29"/>
      <c r="H136" s="31"/>
      <c r="I136" s="924"/>
      <c r="J136" s="922"/>
      <c r="K136" s="982"/>
      <c r="L136" s="923"/>
      <c r="M136" s="923"/>
      <c r="N136" s="983"/>
      <c r="Q136" s="924"/>
      <c r="R136" s="922"/>
      <c r="S136" s="982"/>
      <c r="T136" s="923"/>
      <c r="U136" s="923"/>
      <c r="V136" s="983"/>
      <c r="W136" s="29"/>
      <c r="X136" s="702"/>
      <c r="Y136" s="924"/>
      <c r="Z136" s="922"/>
      <c r="AA136" s="982"/>
      <c r="AB136" s="923"/>
      <c r="AC136" s="923"/>
      <c r="AD136" s="983"/>
      <c r="AH136" s="1028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4" t="s">
        <v>356</v>
      </c>
      <c r="B137" s="922">
        <v>2</v>
      </c>
      <c r="C137" s="976">
        <v>1.7</v>
      </c>
      <c r="D137" s="923">
        <v>966.35</v>
      </c>
      <c r="E137" s="923">
        <v>936.79</v>
      </c>
      <c r="F137" s="983"/>
      <c r="G137" s="29"/>
      <c r="H137" s="31"/>
      <c r="I137" s="924"/>
      <c r="J137" s="922"/>
      <c r="K137" s="976"/>
      <c r="L137" s="923"/>
      <c r="M137" s="923"/>
      <c r="N137" s="983"/>
      <c r="Q137" s="924"/>
      <c r="R137" s="922"/>
      <c r="S137" s="976"/>
      <c r="T137" s="923"/>
      <c r="U137" s="923"/>
      <c r="V137" s="983"/>
      <c r="W137" s="29"/>
      <c r="X137" s="702"/>
      <c r="Y137" s="924"/>
      <c r="Z137" s="922"/>
      <c r="AA137" s="976"/>
      <c r="AB137" s="923"/>
      <c r="AC137" s="923"/>
      <c r="AD137" s="983"/>
      <c r="AH137" s="1028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4" t="s">
        <v>357</v>
      </c>
      <c r="B138" s="922">
        <v>1</v>
      </c>
      <c r="C138" s="976">
        <v>1.42</v>
      </c>
      <c r="D138" s="923">
        <v>949.56</v>
      </c>
      <c r="E138" s="923">
        <v>934.84</v>
      </c>
      <c r="F138" s="983"/>
      <c r="G138" s="29"/>
      <c r="H138" s="31"/>
      <c r="I138" s="924"/>
      <c r="J138" s="922"/>
      <c r="K138" s="976"/>
      <c r="L138" s="923"/>
      <c r="M138" s="923"/>
      <c r="N138" s="983"/>
      <c r="Q138" s="924"/>
      <c r="R138" s="922"/>
      <c r="S138" s="976"/>
      <c r="T138" s="923"/>
      <c r="U138" s="923"/>
      <c r="V138" s="983"/>
      <c r="W138" s="29"/>
      <c r="X138" s="702"/>
      <c r="Y138" s="924"/>
      <c r="Z138" s="922"/>
      <c r="AA138" s="976"/>
      <c r="AB138" s="923"/>
      <c r="AC138" s="923"/>
      <c r="AD138" s="983"/>
      <c r="AH138" s="1028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4" t="s">
        <v>358</v>
      </c>
      <c r="B139" s="922">
        <v>2</v>
      </c>
      <c r="C139" s="976">
        <v>1.57</v>
      </c>
      <c r="D139" s="923">
        <v>931.22</v>
      </c>
      <c r="E139" s="923">
        <v>933.69</v>
      </c>
      <c r="F139" s="983"/>
      <c r="G139" s="29"/>
      <c r="H139" s="31"/>
      <c r="I139" s="924"/>
      <c r="J139" s="922"/>
      <c r="K139" s="976"/>
      <c r="L139" s="923"/>
      <c r="M139" s="923"/>
      <c r="N139" s="983"/>
      <c r="Q139" s="924"/>
      <c r="R139" s="922"/>
      <c r="S139" s="976"/>
      <c r="T139" s="923"/>
      <c r="U139" s="923"/>
      <c r="V139" s="983"/>
      <c r="W139" s="29"/>
      <c r="X139" s="702"/>
      <c r="Y139" s="924"/>
      <c r="Z139" s="922"/>
      <c r="AA139" s="976"/>
      <c r="AB139" s="923"/>
      <c r="AC139" s="923"/>
      <c r="AD139" s="983"/>
      <c r="AH139" s="1028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4" t="s">
        <v>350</v>
      </c>
      <c r="B140" s="922">
        <v>1</v>
      </c>
      <c r="C140" s="976">
        <v>1.35</v>
      </c>
      <c r="D140" s="923">
        <v>997.67</v>
      </c>
      <c r="E140" s="923">
        <v>1001.23</v>
      </c>
      <c r="F140" s="983"/>
      <c r="G140" s="29"/>
      <c r="H140" s="31"/>
      <c r="I140" s="924"/>
      <c r="J140" s="922"/>
      <c r="K140" s="976"/>
      <c r="L140" s="923"/>
      <c r="M140" s="923"/>
      <c r="N140" s="983"/>
      <c r="Q140" s="924"/>
      <c r="R140" s="922"/>
      <c r="S140" s="976"/>
      <c r="T140" s="923"/>
      <c r="U140" s="923"/>
      <c r="V140" s="983"/>
      <c r="W140" s="29"/>
      <c r="X140" s="702"/>
      <c r="Y140" s="924"/>
      <c r="Z140" s="922"/>
      <c r="AA140" s="976"/>
      <c r="AB140" s="923"/>
      <c r="AC140" s="923"/>
      <c r="AD140" s="983"/>
      <c r="AH140" s="1028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4" t="s">
        <v>359</v>
      </c>
      <c r="B141" s="922">
        <v>1</v>
      </c>
      <c r="C141" s="976">
        <v>0.32</v>
      </c>
      <c r="D141" s="923">
        <v>997.67</v>
      </c>
      <c r="E141" s="923">
        <v>1001.23</v>
      </c>
      <c r="F141" s="983"/>
      <c r="G141" s="29"/>
      <c r="H141" s="31"/>
      <c r="I141" s="924"/>
      <c r="J141" s="922"/>
      <c r="K141" s="976"/>
      <c r="L141" s="923"/>
      <c r="M141" s="923"/>
      <c r="N141" s="983"/>
      <c r="Q141" s="924"/>
      <c r="R141" s="922"/>
      <c r="S141" s="976"/>
      <c r="T141" s="923"/>
      <c r="U141" s="923"/>
      <c r="V141" s="983"/>
      <c r="W141" s="29"/>
      <c r="X141" s="702"/>
      <c r="Y141" s="924"/>
      <c r="Z141" s="922"/>
      <c r="AA141" s="976"/>
      <c r="AB141" s="923"/>
      <c r="AC141" s="923"/>
      <c r="AD141" s="983"/>
      <c r="AH141" s="1028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4"/>
      <c r="B142" s="922"/>
      <c r="C142" s="976"/>
      <c r="D142" s="923"/>
      <c r="E142" s="923"/>
      <c r="F142" s="983"/>
      <c r="G142" s="29"/>
      <c r="H142" s="31"/>
      <c r="I142" s="924"/>
      <c r="J142" s="922"/>
      <c r="K142" s="976"/>
      <c r="L142" s="923"/>
      <c r="M142" s="923"/>
      <c r="N142" s="983"/>
      <c r="Q142" s="924"/>
      <c r="R142" s="922"/>
      <c r="S142" s="976"/>
      <c r="T142" s="923"/>
      <c r="U142" s="923"/>
      <c r="V142" s="983"/>
      <c r="W142" s="29"/>
      <c r="X142" s="702"/>
      <c r="Y142" s="924"/>
      <c r="Z142" s="922"/>
      <c r="AA142" s="976"/>
      <c r="AB142" s="923"/>
      <c r="AC142" s="923"/>
      <c r="AD142" s="983"/>
      <c r="AH142" s="1028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4" t="s">
        <v>361</v>
      </c>
      <c r="B143" s="922">
        <v>2</v>
      </c>
      <c r="C143" s="976">
        <v>3.32</v>
      </c>
      <c r="D143" s="923">
        <v>1007.35</v>
      </c>
      <c r="E143" s="923">
        <v>1036.96</v>
      </c>
      <c r="F143" s="983"/>
      <c r="G143" s="29"/>
      <c r="H143" s="31"/>
      <c r="I143" s="924"/>
      <c r="J143" s="922"/>
      <c r="K143" s="976"/>
      <c r="L143" s="923"/>
      <c r="M143" s="923"/>
      <c r="N143" s="983"/>
      <c r="Q143" s="924"/>
      <c r="R143" s="922"/>
      <c r="S143" s="976"/>
      <c r="T143" s="923"/>
      <c r="U143" s="923"/>
      <c r="V143" s="983"/>
      <c r="W143" s="29"/>
      <c r="X143" s="702"/>
      <c r="Y143" s="924"/>
      <c r="Z143" s="922"/>
      <c r="AA143" s="976"/>
      <c r="AB143" s="923"/>
      <c r="AC143" s="923"/>
      <c r="AD143" s="983"/>
      <c r="AH143" s="1028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4" t="s">
        <v>362</v>
      </c>
      <c r="B144" s="922">
        <v>2</v>
      </c>
      <c r="C144" s="976">
        <v>-2.0099999999999998</v>
      </c>
      <c r="D144" s="923">
        <v>999.93</v>
      </c>
      <c r="E144" s="923">
        <v>1028.1199999999999</v>
      </c>
      <c r="F144" s="983"/>
      <c r="G144" s="29"/>
      <c r="H144" s="31"/>
      <c r="I144" s="924"/>
      <c r="J144" s="922"/>
      <c r="K144" s="976"/>
      <c r="L144" s="923"/>
      <c r="M144" s="923"/>
      <c r="N144" s="983"/>
      <c r="Q144" s="924"/>
      <c r="R144" s="922"/>
      <c r="S144" s="976"/>
      <c r="T144" s="923"/>
      <c r="U144" s="923"/>
      <c r="V144" s="983"/>
      <c r="W144" s="29"/>
      <c r="X144" s="702"/>
      <c r="Y144" s="924"/>
      <c r="Z144" s="922"/>
      <c r="AA144" s="976"/>
      <c r="AB144" s="923"/>
      <c r="AC144" s="923"/>
      <c r="AD144" s="983"/>
      <c r="AH144" s="1028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68" t="s">
        <v>362</v>
      </c>
      <c r="B145" s="969">
        <v>1</v>
      </c>
      <c r="C145" s="978">
        <v>-0.53</v>
      </c>
      <c r="D145" s="979">
        <v>999.93</v>
      </c>
      <c r="E145" s="979">
        <v>1028.1199999999999</v>
      </c>
      <c r="F145" s="998"/>
      <c r="G145" s="29"/>
      <c r="H145" s="31"/>
      <c r="I145" s="968"/>
      <c r="J145" s="969"/>
      <c r="K145" s="978"/>
      <c r="L145" s="979"/>
      <c r="M145" s="979"/>
      <c r="N145" s="998"/>
      <c r="Q145" s="968"/>
      <c r="R145" s="969"/>
      <c r="S145" s="978"/>
      <c r="T145" s="979"/>
      <c r="U145" s="979"/>
      <c r="V145" s="998"/>
      <c r="W145" s="29"/>
      <c r="X145" s="702"/>
      <c r="Y145" s="968"/>
      <c r="Z145" s="969"/>
      <c r="AA145" s="978"/>
      <c r="AB145" s="979"/>
      <c r="AC145" s="979"/>
      <c r="AD145" s="998"/>
      <c r="AH145" s="1028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sortState ref="A29:I37">
    <sortCondition ref="H29:H37"/>
  </sortState>
  <mergeCells count="16">
    <mergeCell ref="Q54:Z54"/>
    <mergeCell ref="B54:B55"/>
    <mergeCell ref="B1:F1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3" priority="2086" stopIfTrue="1">
      <formula>C$82=0</formula>
    </cfRule>
  </conditionalFormatting>
  <conditionalFormatting sqref="A16:N43">
    <cfRule type="expression" dxfId="42" priority="13" stopIfTrue="1">
      <formula>$B16=""</formula>
    </cfRule>
  </conditionalFormatting>
  <conditionalFormatting sqref="A56:A79 C56:AA79">
    <cfRule type="expression" dxfId="41" priority="2094" stopIfTrue="1">
      <formula>$N56=0</formula>
    </cfRule>
  </conditionalFormatting>
  <conditionalFormatting sqref="F20:G43">
    <cfRule type="expression" dxfId="40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6" activePane="bottomLeft" state="frozen"/>
      <selection pane="bottomLeft" activeCell="B382" sqref="B38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3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2" customWidth="1"/>
    <col min="66" max="69" width="10.140625" style="6" customWidth="1"/>
    <col min="70" max="70" width="10.140625" style="572" customWidth="1"/>
    <col min="71" max="71" width="10.140625" style="568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5" t="s">
        <v>195</v>
      </c>
      <c r="B1" s="90"/>
      <c r="K1" s="4"/>
      <c r="L1" s="4"/>
      <c r="M1" s="4"/>
      <c r="N1" s="273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1">
        <v>1.016</v>
      </c>
      <c r="Z1" s="676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0" t="s">
        <v>75</v>
      </c>
      <c r="AN1" s="4"/>
      <c r="AO1" s="4"/>
      <c r="AT1" s="763"/>
      <c r="AY1" s="763"/>
      <c r="BC1" s="1247" t="s">
        <v>208</v>
      </c>
      <c r="BD1" s="1247"/>
      <c r="BE1" s="1247"/>
      <c r="BF1" s="807"/>
      <c r="BH1" s="733" t="s">
        <v>200</v>
      </c>
      <c r="BJ1" s="718"/>
      <c r="BK1" s="718"/>
      <c r="BL1" s="718"/>
      <c r="BM1" s="718"/>
      <c r="BN1" s="718"/>
      <c r="BO1" s="718"/>
      <c r="BP1" s="718"/>
      <c r="BQ1" s="718"/>
      <c r="BR1" s="573"/>
      <c r="BS1" s="574"/>
      <c r="BT1" s="461"/>
    </row>
    <row r="2" spans="1:84" s="4" customFormat="1" ht="12.75" customHeight="1" thickBot="1" x14ac:dyDescent="0.3">
      <c r="A2" s="1238" t="str">
        <f>'Réglage perte'!B2</f>
        <v>Maternelle Labège</v>
      </c>
      <c r="B2" s="1239"/>
      <c r="C2" s="1239"/>
      <c r="D2" s="1240"/>
      <c r="I2" s="1194" t="s">
        <v>389</v>
      </c>
      <c r="J2" s="1195">
        <f>AVERAGEIF($BW$15:$CF$380,"&gt;0,97")</f>
        <v>0.99984364524446456</v>
      </c>
      <c r="L2" s="175">
        <v>43079</v>
      </c>
      <c r="M2" s="175">
        <v>43093</v>
      </c>
      <c r="N2" s="760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1"/>
      <c r="BC2" s="1247"/>
      <c r="BD2" s="1247"/>
      <c r="BE2" s="1247"/>
      <c r="BF2" s="807"/>
      <c r="BH2" s="28"/>
      <c r="BI2" s="565"/>
      <c r="BJ2" s="566"/>
      <c r="BK2" s="282"/>
      <c r="BL2" s="566"/>
      <c r="BM2" s="567"/>
      <c r="BN2" s="282"/>
      <c r="BP2" s="6"/>
      <c r="BQ2" s="282"/>
      <c r="BR2" s="567"/>
      <c r="BS2" s="568"/>
      <c r="BT2" s="6"/>
    </row>
    <row r="3" spans="1:84" s="4" customFormat="1" ht="12.75" customHeight="1" thickBot="1" x14ac:dyDescent="0.3">
      <c r="A3" s="1241"/>
      <c r="B3" s="1242"/>
      <c r="C3" s="1242"/>
      <c r="D3" s="1243"/>
      <c r="E3" s="3"/>
      <c r="L3" s="755">
        <f>AL3</f>
        <v>168</v>
      </c>
      <c r="M3" s="759">
        <f>+AM3</f>
        <v>174</v>
      </c>
      <c r="N3" s="171">
        <v>193</v>
      </c>
      <c r="O3" s="171">
        <v>226</v>
      </c>
      <c r="P3" s="171">
        <v>267</v>
      </c>
      <c r="Q3" s="171">
        <v>314</v>
      </c>
      <c r="R3" s="171">
        <v>371</v>
      </c>
      <c r="S3" s="171">
        <v>434</v>
      </c>
      <c r="T3" s="171">
        <v>495</v>
      </c>
      <c r="U3" s="171">
        <v>543</v>
      </c>
      <c r="V3" s="171">
        <v>579</v>
      </c>
      <c r="W3" s="171">
        <v>603</v>
      </c>
      <c r="X3" s="171">
        <v>613</v>
      </c>
      <c r="Y3" s="171">
        <v>613</v>
      </c>
      <c r="Z3" s="171">
        <v>606</v>
      </c>
      <c r="AA3" s="171">
        <v>592</v>
      </c>
      <c r="AB3" s="171">
        <v>571</v>
      </c>
      <c r="AC3" s="171">
        <v>546</v>
      </c>
      <c r="AD3" s="171">
        <v>513</v>
      </c>
      <c r="AE3" s="171">
        <v>471</v>
      </c>
      <c r="AF3" s="171">
        <v>419</v>
      </c>
      <c r="AG3" s="171">
        <v>359</v>
      </c>
      <c r="AH3" s="171">
        <v>304</v>
      </c>
      <c r="AI3" s="171">
        <v>254</v>
      </c>
      <c r="AJ3" s="171">
        <v>211</v>
      </c>
      <c r="AK3" s="171">
        <v>182</v>
      </c>
      <c r="AL3" s="171">
        <v>168</v>
      </c>
      <c r="AM3" s="171">
        <v>174</v>
      </c>
      <c r="AN3" s="755">
        <f>+N3</f>
        <v>193</v>
      </c>
      <c r="AO3" s="756">
        <f>+O3</f>
        <v>226</v>
      </c>
      <c r="BC3" s="1247"/>
      <c r="BD3" s="1247"/>
      <c r="BE3" s="1247"/>
      <c r="BF3" s="807"/>
      <c r="BH3" s="28"/>
      <c r="BI3" s="6"/>
      <c r="BJ3" s="6"/>
      <c r="BK3" s="6"/>
      <c r="BL3" s="6"/>
      <c r="BM3" s="6"/>
      <c r="BN3" s="6"/>
      <c r="BO3" s="796" t="s">
        <v>238</v>
      </c>
      <c r="BP3" s="797">
        <v>0.3</v>
      </c>
      <c r="BQ3" s="798" t="s">
        <v>239</v>
      </c>
      <c r="BR3" s="799" t="s">
        <v>244</v>
      </c>
      <c r="BS3" s="566"/>
    </row>
    <row r="4" spans="1:84" s="4" customFormat="1" ht="12.75" customHeight="1" x14ac:dyDescent="0.25">
      <c r="A4" s="2"/>
      <c r="B4" s="418"/>
      <c r="E4" s="33"/>
      <c r="F4" s="569"/>
      <c r="K4" s="2"/>
      <c r="M4" s="635" t="s">
        <v>192</v>
      </c>
      <c r="N4" s="761">
        <f>MAX($BA15:$BA28)-1</f>
        <v>3.3157590047653729E-2</v>
      </c>
      <c r="O4" s="651">
        <f>MAX($BA29:$BA42)-1</f>
        <v>2.8894002474546543E-2</v>
      </c>
      <c r="P4" s="651">
        <f>MAX($BA43:$BA56)-1</f>
        <v>1.11341044850648E-2</v>
      </c>
      <c r="Q4" s="651">
        <f>MAX(BA57:BA70)-1</f>
        <v>3.4985146919264354E-2</v>
      </c>
      <c r="R4" s="651">
        <f>MAX(BA71:BA84)-1</f>
        <v>3.1290897084685021E-2</v>
      </c>
      <c r="S4" s="651">
        <f>MAX(BA85:BA98)-1</f>
        <v>2.6330158871908038E-2</v>
      </c>
      <c r="T4" s="651">
        <f>MAX(BA99:BA112)-1</f>
        <v>4.457527350254753E-2</v>
      </c>
      <c r="U4" s="651">
        <f>MAX(BA113:BA126)-1</f>
        <v>2.1790551891878618E-2</v>
      </c>
      <c r="V4" s="651">
        <f>MAX(BA127:BA140)-1</f>
        <v>2.5410608451331029E-2</v>
      </c>
      <c r="W4" s="651">
        <f>MAX(BA141:BA154)-1</f>
        <v>3.3172723484226951E-2</v>
      </c>
      <c r="X4" s="651">
        <f>MAX(BA155:BA168)-1</f>
        <v>4.8209013916753474E-3</v>
      </c>
      <c r="Y4" s="651">
        <f>MAX(BA169:BA182)-1</f>
        <v>4.2328705623015273E-2</v>
      </c>
      <c r="Z4" s="651">
        <f>MAX(BA183:BA196)-1</f>
        <v>2.1374000694769579E-2</v>
      </c>
      <c r="AA4" s="651">
        <f>MAX(BA197:BA210)-1</f>
        <v>4.2469216361481044E-2</v>
      </c>
      <c r="AB4" s="651">
        <f>MAX(BA211:BA224)-1</f>
        <v>1.4639607517938025E-2</v>
      </c>
      <c r="AC4" s="651">
        <f>MAX(BA225:BA238)-1</f>
        <v>-6.4530950835532952E-3</v>
      </c>
      <c r="AD4" s="651">
        <f>MAX(BA239:BA252)-1</f>
        <v>1.6955567952974482E-2</v>
      </c>
      <c r="AE4" s="651">
        <f>MAX(BA253:BA266)-1</f>
        <v>4.5467663037300099E-2</v>
      </c>
      <c r="AF4" s="651">
        <f>MAX(BA267:BA280)-1</f>
        <v>3.059692099825817E-3</v>
      </c>
      <c r="AG4" s="651">
        <f>MAX(BA281:BA294)-1</f>
        <v>2.0511066234327968E-2</v>
      </c>
      <c r="AH4" s="651">
        <f>MAX(BA295:BA308)-1</f>
        <v>3.0582673529880866E-2</v>
      </c>
      <c r="AI4" s="651">
        <f>MAX(BA309:BA322)-1</f>
        <v>4.6055850205999116E-2</v>
      </c>
      <c r="AJ4" s="651">
        <f>MAX(BA323:BA336)-1</f>
        <v>4.571240860475112E-2</v>
      </c>
      <c r="AK4" s="651">
        <f>MAX(BA337:BA350)-1</f>
        <v>4.5398191233162688E-2</v>
      </c>
      <c r="AL4" s="651">
        <f>MAX(BA351:BA364)-1</f>
        <v>4.595400362965063E-2</v>
      </c>
      <c r="AM4" s="651">
        <f>MAX(BA365:BA380)-1</f>
        <v>3.9850932941760897E-2</v>
      </c>
      <c r="AN4" s="639"/>
      <c r="AP4" s="569"/>
      <c r="AU4" s="569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240</v>
      </c>
      <c r="BP4" s="800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4" t="s">
        <v>191</v>
      </c>
      <c r="B5" s="1245"/>
      <c r="C5" s="1245"/>
      <c r="D5" s="1245"/>
      <c r="E5" s="1245"/>
      <c r="F5" s="1245"/>
      <c r="G5" s="1245"/>
      <c r="H5" s="1245"/>
      <c r="I5" s="1245"/>
      <c r="J5" s="1246"/>
      <c r="K5" s="89"/>
      <c r="N5" s="88"/>
      <c r="O5" s="88"/>
      <c r="P5" s="19"/>
      <c r="Q5" s="70"/>
      <c r="R5" s="70"/>
      <c r="S5" s="70"/>
      <c r="T5" s="70"/>
      <c r="U5" s="70"/>
      <c r="V5" s="636"/>
      <c r="W5" s="70"/>
      <c r="X5" s="70"/>
      <c r="Y5" s="70"/>
      <c r="Z5" s="70"/>
      <c r="AA5" s="70"/>
      <c r="AB5" s="70"/>
      <c r="AC5" s="70"/>
      <c r="AD5" s="70"/>
      <c r="AE5" s="637"/>
      <c r="AF5" s="19"/>
      <c r="AG5" s="19"/>
      <c r="AH5" s="71"/>
      <c r="AI5" s="650"/>
      <c r="AJ5" s="650"/>
      <c r="AK5" s="650"/>
      <c r="AL5" s="650"/>
      <c r="AM5" s="88"/>
      <c r="AN5" s="649"/>
      <c r="AP5" s="757"/>
      <c r="AQ5" s="757"/>
      <c r="AR5" s="757"/>
      <c r="AS5" s="757"/>
      <c r="AT5" s="764"/>
      <c r="AU5" s="757"/>
      <c r="AV5" s="757"/>
      <c r="AW5" s="757"/>
      <c r="AX5" s="757"/>
      <c r="AY5" s="764"/>
      <c r="AZ5" s="757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68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3.1348678997142221E-2</v>
      </c>
      <c r="B7" s="269">
        <f>'2019'!Dépas_env</f>
        <v>4.5467663037300099E-2</v>
      </c>
      <c r="C7" s="269">
        <f>'2020'!Dépas_env</f>
        <v>4.457527350254753E-2</v>
      </c>
      <c r="D7" s="269">
        <f>'2021'!Dépas_env</f>
        <v>4.6055850205999116E-2</v>
      </c>
      <c r="E7" s="269">
        <f>'2022'!Dépas_env</f>
        <v>4.5954003629650408E-2</v>
      </c>
      <c r="F7" s="269">
        <f>'2023'!Dépas_env</f>
        <v>4.595400362965063E-2</v>
      </c>
      <c r="G7" s="599">
        <f>'2024'!Dépas_env</f>
        <v>4.5954003629650186E-2</v>
      </c>
      <c r="H7" s="599">
        <f>'2025'!Dépas_env</f>
        <v>4.5954003629649964E-2</v>
      </c>
      <c r="I7" s="599">
        <f>'2026'!Dépas_env</f>
        <v>4.5954003629650408E-2</v>
      </c>
      <c r="J7" s="599">
        <f>'2027'!Dépas_env</f>
        <v>4.5954003629650186E-2</v>
      </c>
      <c r="K7" s="2"/>
      <c r="BA7" s="640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40"/>
      <c r="BC8" s="6"/>
      <c r="BD8" s="282"/>
      <c r="BE8" s="282"/>
      <c r="BF8" s="282"/>
      <c r="BH8" s="2">
        <f>PousHi*($A$6-BP12-INDEX(Croivg,MIN(MAX(BO12-DATE(BP12,1,1)+1,0),366)))</f>
        <v>1210.7999985654021</v>
      </c>
      <c r="BI8" s="2" t="s">
        <v>386</v>
      </c>
      <c r="BJ8" s="6"/>
      <c r="BK8" s="6"/>
      <c r="BL8" s="6"/>
      <c r="BM8" s="6"/>
      <c r="BN8" s="6"/>
      <c r="BO8" s="570"/>
      <c r="BP8" s="570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0"/>
      <c r="BB9" s="19"/>
      <c r="BC9" s="19"/>
      <c r="BD9" s="283"/>
      <c r="BE9" s="283"/>
      <c r="BF9" s="283"/>
      <c r="BH9" s="1184">
        <v>0</v>
      </c>
      <c r="BI9" s="965" t="s">
        <v>297</v>
      </c>
      <c r="BJ9" s="6"/>
      <c r="BK9" s="6"/>
      <c r="BL9" s="6"/>
      <c r="BM9" s="6"/>
      <c r="BN9" s="6"/>
      <c r="BO9" s="570"/>
      <c r="BP9" s="570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9"/>
      <c r="BD10" s="282"/>
      <c r="BE10" s="282"/>
      <c r="BF10" s="282"/>
      <c r="BH10" s="1044">
        <f>MIN(MATCH(H_i,Echel_vg),10)</f>
        <v>6</v>
      </c>
      <c r="BI10" s="561"/>
      <c r="BO10" s="732"/>
      <c r="BP10" s="732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1" t="s">
        <v>317</v>
      </c>
      <c r="D11" s="1083">
        <v>0.97</v>
      </c>
      <c r="E11" s="8"/>
      <c r="J11" s="9"/>
      <c r="K11" s="7"/>
      <c r="L11" s="758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7" t="s">
        <v>230</v>
      </c>
      <c r="AT11" s="27"/>
      <c r="AU11" s="687" t="s">
        <v>231</v>
      </c>
      <c r="AY11" s="27"/>
      <c r="AZ11" s="769" t="s">
        <v>234</v>
      </c>
      <c r="BA11" s="640"/>
      <c r="BB11" s="19"/>
      <c r="BC11" s="15"/>
      <c r="BD11" s="1248" t="s">
        <v>250</v>
      </c>
      <c r="BE11" s="1249"/>
      <c r="BF11" s="1252" t="s">
        <v>245</v>
      </c>
      <c r="BH11" s="1045">
        <f>INDEX(Echel_vg,$BH$10)</f>
        <v>0</v>
      </c>
      <c r="BI11" s="56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9.0516021673760747</v>
      </c>
      <c r="C12" s="12">
        <f>+MIN(C15:C379)</f>
        <v>2018</v>
      </c>
      <c r="D12" s="1056">
        <f>+MIN(D15:D379)</f>
        <v>0.97005887669472446</v>
      </c>
      <c r="E12" s="12">
        <f t="shared" ref="E12:J12" si="1">+MIN(E15:E379)</f>
        <v>17.0688</v>
      </c>
      <c r="F12" s="417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17.039183093394549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7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17.006919675500228</v>
      </c>
      <c r="AU12" s="417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17.272366990787642</v>
      </c>
      <c r="AZ12" s="391">
        <f t="shared" si="3"/>
        <v>17.139715999504318</v>
      </c>
      <c r="BA12" s="638"/>
      <c r="BC12" s="15"/>
      <c r="BD12" s="1250"/>
      <c r="BE12" s="1251"/>
      <c r="BF12" s="1253"/>
      <c r="BH12" s="1046">
        <f>(H_i-BH11)/(INDEX(Echel_vg,$BH$10+1)-BH$11)</f>
        <v>0</v>
      </c>
      <c r="BJ12" s="6"/>
      <c r="BK12" s="6"/>
      <c r="BL12" s="6"/>
      <c r="BN12" s="356" t="str">
        <f>Masques!B53</f>
        <v>Pas de calcul pousse en hauteur:</v>
      </c>
      <c r="BO12" s="1112">
        <f>+Masques!C53</f>
        <v>1</v>
      </c>
      <c r="BP12" s="570"/>
      <c r="BQ12" s="570"/>
      <c r="BR12" s="571"/>
      <c r="BS12" s="568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64.737412852018437</v>
      </c>
      <c r="C13" s="12">
        <f>+MAX(C15:C379)</f>
        <v>2023</v>
      </c>
      <c r="D13" s="1056">
        <f>+MAX(D15:D379)</f>
        <v>1.0460558502059991</v>
      </c>
      <c r="E13" s="12">
        <f t="shared" ref="E13:J13" si="4">+MAX(E15:E379)</f>
        <v>62.280799999999999</v>
      </c>
      <c r="F13" s="417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62.389212828768152</v>
      </c>
      <c r="K13" s="6"/>
      <c r="L13" s="772">
        <f>AL13</f>
        <v>170.68799999999999</v>
      </c>
      <c r="M13" s="772">
        <f>+AM13</f>
        <v>176.78399999999999</v>
      </c>
      <c r="N13" s="771">
        <f t="shared" ref="N13:AM13" si="5">Ajust_M*N3</f>
        <v>196.08799999999999</v>
      </c>
      <c r="O13" s="762">
        <f t="shared" si="5"/>
        <v>229.61600000000001</v>
      </c>
      <c r="P13" s="762">
        <f t="shared" si="5"/>
        <v>271.27199999999999</v>
      </c>
      <c r="Q13" s="762">
        <f t="shared" si="5"/>
        <v>319.024</v>
      </c>
      <c r="R13" s="762">
        <f t="shared" si="5"/>
        <v>376.93599999999998</v>
      </c>
      <c r="S13" s="762">
        <f t="shared" si="5"/>
        <v>440.94400000000002</v>
      </c>
      <c r="T13" s="762">
        <f t="shared" si="5"/>
        <v>502.92</v>
      </c>
      <c r="U13" s="762">
        <f t="shared" si="5"/>
        <v>551.68799999999999</v>
      </c>
      <c r="V13" s="762">
        <f t="shared" si="5"/>
        <v>588.26400000000001</v>
      </c>
      <c r="W13" s="762">
        <f t="shared" si="5"/>
        <v>612.64800000000002</v>
      </c>
      <c r="X13" s="762">
        <f t="shared" si="5"/>
        <v>622.80799999999999</v>
      </c>
      <c r="Y13" s="762">
        <f t="shared" si="5"/>
        <v>622.80799999999999</v>
      </c>
      <c r="Z13" s="762">
        <f t="shared" si="5"/>
        <v>615.69600000000003</v>
      </c>
      <c r="AA13" s="762">
        <f t="shared" si="5"/>
        <v>601.47199999999998</v>
      </c>
      <c r="AB13" s="762">
        <f t="shared" si="5"/>
        <v>580.13599999999997</v>
      </c>
      <c r="AC13" s="762">
        <f t="shared" si="5"/>
        <v>554.73599999999999</v>
      </c>
      <c r="AD13" s="762">
        <f t="shared" si="5"/>
        <v>521.20799999999997</v>
      </c>
      <c r="AE13" s="762">
        <f t="shared" si="5"/>
        <v>478.536</v>
      </c>
      <c r="AF13" s="762">
        <f t="shared" si="5"/>
        <v>425.70400000000001</v>
      </c>
      <c r="AG13" s="762">
        <f t="shared" si="5"/>
        <v>364.74400000000003</v>
      </c>
      <c r="AH13" s="762">
        <f t="shared" si="5"/>
        <v>308.86400000000003</v>
      </c>
      <c r="AI13" s="762">
        <f t="shared" si="5"/>
        <v>258.06400000000002</v>
      </c>
      <c r="AJ13" s="762">
        <f t="shared" si="5"/>
        <v>214.376</v>
      </c>
      <c r="AK13" s="762">
        <f t="shared" si="5"/>
        <v>184.91200000000001</v>
      </c>
      <c r="AL13" s="762">
        <f t="shared" si="5"/>
        <v>170.68799999999999</v>
      </c>
      <c r="AM13" s="762">
        <f t="shared" si="5"/>
        <v>176.78399999999999</v>
      </c>
      <c r="AN13" s="772">
        <f>+N13</f>
        <v>196.08799999999999</v>
      </c>
      <c r="AO13" s="772">
        <f>+O13</f>
        <v>229.61600000000001</v>
      </c>
      <c r="AP13" s="417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62.464153934908765</v>
      </c>
      <c r="AU13" s="417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62.368181923989731</v>
      </c>
      <c r="AZ13" s="391">
        <f t="shared" si="6"/>
        <v>62.414943749643861</v>
      </c>
      <c r="BA13" s="638"/>
      <c r="BC13" s="37"/>
      <c r="BD13" s="285" t="s">
        <v>49</v>
      </c>
      <c r="BE13" s="285" t="s">
        <v>48</v>
      </c>
      <c r="BF13" s="285" t="s">
        <v>248</v>
      </c>
      <c r="BH13" s="1047" t="s">
        <v>89</v>
      </c>
      <c r="BJ13" s="6"/>
      <c r="BN13" s="33" t="str">
        <f>Masques!G53</f>
        <v>Date de relevés hauteurs (ref. 0m):</v>
      </c>
      <c r="BO13" s="1113">
        <f>+Masques!I1</f>
        <v>44600</v>
      </c>
      <c r="BP13" s="799">
        <f>YEAR(BO13)</f>
        <v>2022</v>
      </c>
      <c r="BW13" s="675" t="s">
        <v>388</v>
      </c>
    </row>
    <row r="14" spans="1:84" ht="37.5" customHeight="1" thickBot="1" x14ac:dyDescent="0.3">
      <c r="A14" s="356" t="s">
        <v>114</v>
      </c>
      <c r="B14" s="1055" t="s">
        <v>3</v>
      </c>
      <c r="C14" s="1055" t="s">
        <v>13</v>
      </c>
      <c r="D14" s="1057" t="s">
        <v>318</v>
      </c>
      <c r="E14" s="174" t="s">
        <v>224</v>
      </c>
      <c r="F14" s="174" t="s">
        <v>220</v>
      </c>
      <c r="G14" s="174" t="s">
        <v>221</v>
      </c>
      <c r="H14" s="174" t="s">
        <v>222</v>
      </c>
      <c r="I14" s="742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220</v>
      </c>
      <c r="AQ14" s="174" t="s">
        <v>221</v>
      </c>
      <c r="AR14" s="174" t="s">
        <v>222</v>
      </c>
      <c r="AS14" s="742" t="s">
        <v>223</v>
      </c>
      <c r="AT14" s="765" t="s">
        <v>232</v>
      </c>
      <c r="AU14" s="174" t="s">
        <v>220</v>
      </c>
      <c r="AV14" s="174" t="s">
        <v>221</v>
      </c>
      <c r="AW14" s="174" t="s">
        <v>222</v>
      </c>
      <c r="AX14" s="742" t="s">
        <v>223</v>
      </c>
      <c r="AY14" s="765" t="s">
        <v>233</v>
      </c>
      <c r="AZ14" s="78" t="s">
        <v>235</v>
      </c>
      <c r="BA14" s="641" t="s">
        <v>193</v>
      </c>
      <c r="BB14" s="72"/>
      <c r="BC14" s="356" t="s">
        <v>114</v>
      </c>
      <c r="BD14" s="286" t="s">
        <v>19</v>
      </c>
      <c r="BE14" s="287" t="s">
        <v>21</v>
      </c>
      <c r="BF14" s="812" t="s">
        <v>249</v>
      </c>
      <c r="BH14" s="1048" t="s">
        <v>90</v>
      </c>
      <c r="BI14" s="1043" t="s">
        <v>298</v>
      </c>
      <c r="BJ14" s="719">
        <f>+Masques!C55</f>
        <v>-5</v>
      </c>
      <c r="BK14" s="719">
        <f>+Masques!D55</f>
        <v>-4</v>
      </c>
      <c r="BL14" s="719">
        <f>+Masques!E55</f>
        <v>-3</v>
      </c>
      <c r="BM14" s="720">
        <f>+Masques!F55</f>
        <v>-2</v>
      </c>
      <c r="BN14" s="720">
        <f>+Masques!G55</f>
        <v>-1</v>
      </c>
      <c r="BO14" s="721">
        <f>+Masques!H55</f>
        <v>0</v>
      </c>
      <c r="BP14" s="719">
        <f>+Masques!I55</f>
        <v>1</v>
      </c>
      <c r="BQ14" s="719">
        <f>+Masques!J55</f>
        <v>2</v>
      </c>
      <c r="BR14" s="719">
        <f>+Masques!K55</f>
        <v>3</v>
      </c>
      <c r="BS14" s="719">
        <f>+Masques!L55</f>
        <v>4</v>
      </c>
      <c r="BT14" s="719">
        <f>+Masques!M55</f>
        <v>5</v>
      </c>
      <c r="BU14" s="966" t="s">
        <v>199</v>
      </c>
      <c r="BW14" s="1186">
        <v>2018</v>
      </c>
      <c r="BX14" s="1186">
        <v>2019</v>
      </c>
      <c r="BY14" s="1186">
        <v>2020</v>
      </c>
      <c r="BZ14" s="1186">
        <v>2021</v>
      </c>
      <c r="CA14" s="1186">
        <v>2022</v>
      </c>
      <c r="CB14" s="1186">
        <v>2023</v>
      </c>
      <c r="CC14" s="1186">
        <v>2024</v>
      </c>
      <c r="CD14" s="1186">
        <v>2025</v>
      </c>
      <c r="CE14" s="1186">
        <v>2026</v>
      </c>
      <c r="CF14" s="1186">
        <v>2027</v>
      </c>
    </row>
    <row r="15" spans="1:84" s="6" customFormat="1" ht="11.25" x14ac:dyDescent="0.2">
      <c r="A15" s="11">
        <v>43101</v>
      </c>
      <c r="B15" s="379">
        <f>'2023'!Maxi_hp</f>
        <v>18.425979166910196</v>
      </c>
      <c r="C15" s="748">
        <f>'2023'!An_max</f>
        <v>2022</v>
      </c>
      <c r="D15" s="1058">
        <f t="shared" ref="D15:D78" si="7">IF($BA15&gt;$D$11,BA15,"")</f>
        <v>0.99507856354429802</v>
      </c>
      <c r="E15" s="1053"/>
      <c r="F15" s="748">
        <f>INT(MATCH($A15,x.2m)/2)*2+1</f>
        <v>1</v>
      </c>
      <c r="G15" s="748">
        <f>INT((MATCH($A15,x.2m)+1)/2)*2</f>
        <v>2</v>
      </c>
      <c r="H15" s="749">
        <f t="shared" ref="H15:H78" si="8">INDEX(x.2m,F15)</f>
        <v>43093</v>
      </c>
      <c r="I15" s="750">
        <f t="shared" ref="I15:I78" si="9">($A15-H15)/(INDEX(x.2m,G15)-H15)</f>
        <v>0.53333333333333333</v>
      </c>
      <c r="J15" s="743">
        <f>((1-I15)*(INDEX(a.m,F15)*$A15*$A15+INDEX(b.m,F15)*$A15+INDEX(c.m,F15))+I15*(INDEX(a.m,G15)*$A15*$A15+INDEX(b.m,G15)*$A15+INDEX(c.m,G15)))/10</f>
        <v>18.517109946856898</v>
      </c>
      <c r="L15" s="752" t="s">
        <v>209</v>
      </c>
      <c r="M15" s="782">
        <f t="shared" ref="M15:AN15" si="10">L12</f>
        <v>43079</v>
      </c>
      <c r="N15" s="783">
        <f t="shared" si="10"/>
        <v>43093</v>
      </c>
      <c r="O15" s="773">
        <f t="shared" si="10"/>
        <v>43108</v>
      </c>
      <c r="P15" s="773">
        <f t="shared" si="10"/>
        <v>43122</v>
      </c>
      <c r="Q15" s="773">
        <f t="shared" si="10"/>
        <v>43136</v>
      </c>
      <c r="R15" s="773">
        <f t="shared" si="10"/>
        <v>43150</v>
      </c>
      <c r="S15" s="773">
        <f t="shared" si="10"/>
        <v>43164</v>
      </c>
      <c r="T15" s="773">
        <f t="shared" si="10"/>
        <v>43178</v>
      </c>
      <c r="U15" s="773">
        <f t="shared" si="10"/>
        <v>43192</v>
      </c>
      <c r="V15" s="773">
        <f t="shared" si="10"/>
        <v>43206</v>
      </c>
      <c r="W15" s="773">
        <f t="shared" si="10"/>
        <v>43220</v>
      </c>
      <c r="X15" s="773">
        <f t="shared" si="10"/>
        <v>43234</v>
      </c>
      <c r="Y15" s="773">
        <f t="shared" si="10"/>
        <v>43248</v>
      </c>
      <c r="Z15" s="773">
        <f t="shared" si="10"/>
        <v>43262</v>
      </c>
      <c r="AA15" s="773">
        <f t="shared" si="10"/>
        <v>43276</v>
      </c>
      <c r="AB15" s="773">
        <f t="shared" si="10"/>
        <v>43290</v>
      </c>
      <c r="AC15" s="773">
        <f t="shared" si="10"/>
        <v>43304</v>
      </c>
      <c r="AD15" s="773">
        <f t="shared" si="10"/>
        <v>43318</v>
      </c>
      <c r="AE15" s="773">
        <f t="shared" si="10"/>
        <v>43332</v>
      </c>
      <c r="AF15" s="773">
        <f t="shared" si="10"/>
        <v>43346</v>
      </c>
      <c r="AG15" s="773">
        <f t="shared" si="10"/>
        <v>43360</v>
      </c>
      <c r="AH15" s="773">
        <f t="shared" si="10"/>
        <v>43374</v>
      </c>
      <c r="AI15" s="773">
        <f t="shared" si="10"/>
        <v>43388</v>
      </c>
      <c r="AJ15" s="773">
        <f t="shared" si="10"/>
        <v>43402</v>
      </c>
      <c r="AK15" s="773">
        <f t="shared" si="10"/>
        <v>43416</v>
      </c>
      <c r="AL15" s="773">
        <f t="shared" si="10"/>
        <v>43430</v>
      </c>
      <c r="AM15" s="773">
        <f t="shared" si="10"/>
        <v>43444</v>
      </c>
      <c r="AN15" s="775">
        <f t="shared" si="10"/>
        <v>43458</v>
      </c>
      <c r="AO15" s="1052">
        <v>43101</v>
      </c>
      <c r="AP15" s="748">
        <f t="shared" ref="AP15:AP78" si="11">INT(MATCH($A15,x.2lg)/2)*2+1</f>
        <v>1</v>
      </c>
      <c r="AQ15" s="748">
        <f t="shared" ref="AQ15:AQ78" si="12">INT((MATCH($A15,x.2lg)+1)/2)*2</f>
        <v>2</v>
      </c>
      <c r="AR15" s="749">
        <f t="shared" ref="AR15:AR78" si="13">INDEX(x.2lg,AP15)</f>
        <v>43079</v>
      </c>
      <c r="AS15" s="750">
        <f t="shared" ref="AS15:AS78" si="14">($A15-AR15)/(INDEX(x.2lg,AQ15)-AR15)</f>
        <v>0.75862068965517238</v>
      </c>
      <c r="AT15" s="766">
        <f t="shared" ref="AT15:AT78" si="15">((1-AS15)*(INDEX(a.lg,AP15)*$A15*$A15+INDEX(b.lg,AP15)*$A15+INDEX(c.lg,AP15))+AS15*(INDEX(a.lg,AQ15)*$A15*$A15+INDEX(b.lg,AQ15)*$A15+INDEX(c.lg,AQ15)))/10</f>
        <v>18.465992340702435</v>
      </c>
      <c r="AU15" s="748">
        <f t="shared" ref="AU15:AU78" si="16">INT(MATCH($A15,x.2ld)/2)*2+1</f>
        <v>1</v>
      </c>
      <c r="AV15" s="748">
        <f t="shared" ref="AV15:AV78" si="17">INT((MATCH($A15,x.2ld)+1)/2)*2</f>
        <v>2</v>
      </c>
      <c r="AW15" s="749">
        <f t="shared" ref="AW15:AW78" si="18">INDEX(x.2ld,AU15)</f>
        <v>43093</v>
      </c>
      <c r="AX15" s="750">
        <f t="shared" ref="AX15:AX78" si="19">($A15-AW15)/(INDEX(x.2ld,AV15)-AW15)</f>
        <v>0.27586206896551724</v>
      </c>
      <c r="AY15" s="766">
        <f t="shared" ref="AY15:AY78" si="20">((1-AX15)*(INDEX(a.ld,AU15)*$A15*$A15+INDEX(b.ld,AU15)*$A15+INDEX(c.ld,AU15))+AX15*(INDEX(a.ld,AV15)*$A15*$A15+INDEX(b.ld,AV15)*$A15+INDEX(c.ld,AV15)))/10</f>
        <v>18.573553286801125</v>
      </c>
      <c r="AZ15" s="743">
        <f>(AY15+AT15)/2</f>
        <v>18.519772813751779</v>
      </c>
      <c r="BA15" s="642">
        <f t="shared" ref="BA15:BA78" si="21">+B15/J15</f>
        <v>0.99507856354429802</v>
      </c>
      <c r="BC15" s="11">
        <v>43101</v>
      </c>
      <c r="BD15" s="288">
        <f>[2]!FeuilCaduc*(1-Persistant)+Persistant</f>
        <v>0.60457829942861385</v>
      </c>
      <c r="BE15" s="289">
        <f>[2]!CroissVégét</f>
        <v>2.3909964587625958E-6</v>
      </c>
      <c r="BF15" s="813">
        <f>1+[2]!Salcycl*Ksac</f>
        <v>1.0005722874285767</v>
      </c>
      <c r="BH15" s="1049">
        <f t="shared" ref="BH15:BH78" si="22">INDEX($BJ15:$BT15,,$BH$10)*(1-Ratini)+INDEX($BJ15:$BT15,,$BH$10+1)*Ratini</f>
        <v>3.0408870001478423E-2</v>
      </c>
      <c r="BI15" s="11">
        <v>44197</v>
      </c>
      <c r="BJ15" s="819">
        <v>1.953570509292427E-6</v>
      </c>
      <c r="BK15" s="722">
        <v>3.5780116047720248E-6</v>
      </c>
      <c r="BL15" s="722">
        <v>3.347594678828418E-5</v>
      </c>
      <c r="BM15" s="722">
        <v>1.7921524036117761E-4</v>
      </c>
      <c r="BN15" s="722">
        <v>5.5705537717475632E-3</v>
      </c>
      <c r="BO15" s="723">
        <v>3.0408870001478423E-2</v>
      </c>
      <c r="BP15" s="722">
        <v>8.6710152914012073E-2</v>
      </c>
      <c r="BQ15" s="722">
        <v>0.15432530929580346</v>
      </c>
      <c r="BR15" s="722">
        <v>0.21344327525319404</v>
      </c>
      <c r="BS15" s="722">
        <v>0.24952131339305963</v>
      </c>
      <c r="BT15" s="722">
        <v>0.27757713460842576</v>
      </c>
      <c r="BW15" s="1187">
        <f>'2018'!R\Max</f>
        <v>0</v>
      </c>
      <c r="BX15" s="1188">
        <f>'2019'!R\Max</f>
        <v>9.3394438062031626E-2</v>
      </c>
      <c r="BY15" s="1188">
        <f>'2020'!R\Max</f>
        <v>0.68359156604510996</v>
      </c>
      <c r="BZ15" s="1188">
        <f>'2021'!R\Max</f>
        <v>0.42237844727676088</v>
      </c>
      <c r="CA15" s="1188">
        <f>'2022'!R\Max</f>
        <v>0.99507856354429802</v>
      </c>
      <c r="CB15" s="1188">
        <f>'2023'!R\Max</f>
        <v>0.37902194135851686</v>
      </c>
      <c r="CC15" s="1188">
        <f>'2024'!R\Max</f>
        <v>0.37615770970056761</v>
      </c>
      <c r="CD15" s="1188">
        <f>'2025'!R\Max</f>
        <v>0.37292639618471796</v>
      </c>
      <c r="CE15" s="1188">
        <f>'2026'!R\Max</f>
        <v>0.36995902058231023</v>
      </c>
      <c r="CF15" s="1189">
        <f>'2027'!R\Max</f>
        <v>0.36712206336154252</v>
      </c>
    </row>
    <row r="16" spans="1:84" s="6" customFormat="1" ht="11.25" x14ac:dyDescent="0.2">
      <c r="A16" s="11">
        <v>43102</v>
      </c>
      <c r="B16" s="380">
        <f>'2023'!Maxi_hp</f>
        <v>16.317377222864518</v>
      </c>
      <c r="C16" s="13">
        <f>'2023'!An_max</f>
        <v>2020</v>
      </c>
      <c r="D16" s="1059" t="str">
        <f t="shared" si="7"/>
        <v/>
      </c>
      <c r="E16" s="1054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51">
        <f t="shared" si="9"/>
        <v>0.6</v>
      </c>
      <c r="J16" s="744">
        <f>((1-I16)*(INDEX(a.m,F16)*$A16*$A16+INDEX(b.m,F16)*$A16+INDEX(c.m,F16))+I16*(INDEX(a.m,G16)*$A16*$A16+INDEX(b.m,G16)*$A16+INDEX(c.m,G16)))/10</f>
        <v>18.64943574398756</v>
      </c>
      <c r="L16" s="753" t="s">
        <v>210</v>
      </c>
      <c r="M16" s="739">
        <f t="shared" ref="M16:AN16" si="25">L13</f>
        <v>170.68799999999999</v>
      </c>
      <c r="N16" s="778">
        <f t="shared" si="25"/>
        <v>176.78399999999999</v>
      </c>
      <c r="O16" s="740">
        <f t="shared" si="25"/>
        <v>196.08799999999999</v>
      </c>
      <c r="P16" s="740">
        <f t="shared" si="25"/>
        <v>229.61600000000001</v>
      </c>
      <c r="Q16" s="740">
        <f t="shared" si="25"/>
        <v>271.27199999999999</v>
      </c>
      <c r="R16" s="740">
        <f t="shared" si="25"/>
        <v>319.024</v>
      </c>
      <c r="S16" s="740">
        <f t="shared" si="25"/>
        <v>376.93599999999998</v>
      </c>
      <c r="T16" s="740">
        <f t="shared" si="25"/>
        <v>440.94400000000002</v>
      </c>
      <c r="U16" s="740">
        <f t="shared" si="25"/>
        <v>502.92</v>
      </c>
      <c r="V16" s="740">
        <f t="shared" si="25"/>
        <v>551.68799999999999</v>
      </c>
      <c r="W16" s="740">
        <f t="shared" si="25"/>
        <v>588.26400000000001</v>
      </c>
      <c r="X16" s="740">
        <f t="shared" si="25"/>
        <v>612.64800000000002</v>
      </c>
      <c r="Y16" s="740">
        <f t="shared" si="25"/>
        <v>622.80799999999999</v>
      </c>
      <c r="Z16" s="740">
        <f t="shared" si="25"/>
        <v>622.80799999999999</v>
      </c>
      <c r="AA16" s="740">
        <f t="shared" si="25"/>
        <v>615.69600000000003</v>
      </c>
      <c r="AB16" s="740">
        <f t="shared" si="25"/>
        <v>601.47199999999998</v>
      </c>
      <c r="AC16" s="740">
        <f t="shared" si="25"/>
        <v>580.13599999999997</v>
      </c>
      <c r="AD16" s="740">
        <f t="shared" si="25"/>
        <v>554.73599999999999</v>
      </c>
      <c r="AE16" s="740">
        <f t="shared" si="25"/>
        <v>521.20799999999997</v>
      </c>
      <c r="AF16" s="740">
        <f t="shared" si="25"/>
        <v>478.536</v>
      </c>
      <c r="AG16" s="740">
        <f t="shared" si="25"/>
        <v>425.70400000000001</v>
      </c>
      <c r="AH16" s="740">
        <f t="shared" si="25"/>
        <v>364.74400000000003</v>
      </c>
      <c r="AI16" s="740">
        <f t="shared" si="25"/>
        <v>308.86400000000003</v>
      </c>
      <c r="AJ16" s="740">
        <f t="shared" si="25"/>
        <v>258.06400000000002</v>
      </c>
      <c r="AK16" s="740">
        <f t="shared" si="25"/>
        <v>214.376</v>
      </c>
      <c r="AL16" s="740">
        <f t="shared" si="25"/>
        <v>184.91200000000001</v>
      </c>
      <c r="AM16" s="740">
        <f t="shared" si="25"/>
        <v>170.68799999999999</v>
      </c>
      <c r="AN16" s="776">
        <f t="shared" si="25"/>
        <v>176.78399999999999</v>
      </c>
      <c r="AO16" s="1052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51">
        <f t="shared" si="14"/>
        <v>0.7931034482758621</v>
      </c>
      <c r="AT16" s="767">
        <f t="shared" si="15"/>
        <v>18.613846125094028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51">
        <f t="shared" si="19"/>
        <v>0.31034482758620691</v>
      </c>
      <c r="AY16" s="767">
        <f t="shared" si="20"/>
        <v>18.723635669078295</v>
      </c>
      <c r="AZ16" s="744">
        <f t="shared" ref="AZ16:AZ79" si="26">(AY16+AT16)/2</f>
        <v>18.66874089708616</v>
      </c>
      <c r="BA16" s="642">
        <f>+B16/J16</f>
        <v>0.87495286435811448</v>
      </c>
      <c r="BC16" s="11">
        <v>43102</v>
      </c>
      <c r="BD16" s="290">
        <f>[2]!FeuilCaduc*(1-Persistant)+Persistant</f>
        <v>0.60425825265103927</v>
      </c>
      <c r="BE16" s="291">
        <f>[2]!CroissVégét</f>
        <v>6.0820224447240291E-5</v>
      </c>
      <c r="BF16" s="814">
        <f>1+[2]!Salcycl*Ksac</f>
        <v>1.00053228158138</v>
      </c>
      <c r="BH16" s="1050">
        <f t="shared" si="22"/>
        <v>3.0174468975010277E-2</v>
      </c>
      <c r="BI16" s="11">
        <v>44198</v>
      </c>
      <c r="BJ16" s="724">
        <v>2.1650657647950494E-6</v>
      </c>
      <c r="BK16" s="724">
        <v>3.9653702769791992E-6</v>
      </c>
      <c r="BL16" s="724">
        <v>3.3780887615079431E-5</v>
      </c>
      <c r="BM16" s="724">
        <v>1.8285479935237052E-4</v>
      </c>
      <c r="BN16" s="724">
        <v>5.5879331702379277E-3</v>
      </c>
      <c r="BO16" s="725">
        <v>3.0174468975010277E-2</v>
      </c>
      <c r="BP16" s="724">
        <v>8.6782659273057353E-2</v>
      </c>
      <c r="BQ16" s="724">
        <v>0.15503778659928877</v>
      </c>
      <c r="BR16" s="724">
        <v>0.21518068424779144</v>
      </c>
      <c r="BS16" s="724">
        <v>0.25180216462423904</v>
      </c>
      <c r="BT16" s="724">
        <v>0.28013839882446079</v>
      </c>
      <c r="BW16" s="1190">
        <f>'2018'!R\Max</f>
        <v>0</v>
      </c>
      <c r="BX16" s="1188">
        <f>'2019'!R\Max</f>
        <v>0.39264413230476047</v>
      </c>
      <c r="BY16" s="1188">
        <f>'2020'!R\Max</f>
        <v>0.87495286435811448</v>
      </c>
      <c r="BZ16" s="1188">
        <f>'2021'!R\Max</f>
        <v>0.25033051474599233</v>
      </c>
      <c r="CA16" s="1188">
        <f>'2022'!R\Max</f>
        <v>0.80190552666288328</v>
      </c>
      <c r="CB16" s="1188">
        <f>'2023'!R\Max</f>
        <v>0.11546756832763576</v>
      </c>
      <c r="CC16" s="1188">
        <f>'2024'!R\Max</f>
        <v>0.1144823023939756</v>
      </c>
      <c r="CD16" s="1188">
        <f>'2025'!R\Max</f>
        <v>0.1133703474660535</v>
      </c>
      <c r="CE16" s="1188">
        <f>'2026'!R\Max</f>
        <v>0.11234636225035835</v>
      </c>
      <c r="CF16" s="1189">
        <f>'2027'!R\Max</f>
        <v>0.11136656492172506</v>
      </c>
    </row>
    <row r="17" spans="1:84" s="6" customFormat="1" ht="11.25" x14ac:dyDescent="0.2">
      <c r="A17" s="11">
        <v>43103</v>
      </c>
      <c r="B17" s="380">
        <f>'2023'!Maxi_hp</f>
        <v>18.889891187353829</v>
      </c>
      <c r="C17" s="13">
        <f>'2023'!An_max</f>
        <v>2021</v>
      </c>
      <c r="D17" s="1059">
        <f t="shared" si="7"/>
        <v>1.0053670877885372</v>
      </c>
      <c r="E17" s="1054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51">
        <f t="shared" si="9"/>
        <v>0.66666666666666663</v>
      </c>
      <c r="J17" s="744">
        <f t="shared" ref="J17:J78" si="27">((1-I17)*(INDEX(a.m,F17)*$A17*$A17+INDEX(b.m,F17)*$A17+INDEX(c.m,F17))+I17*(INDEX(a.m,G17)*$A17*$A17+INDEX(b.m,G17)*$A17+INDEX(c.m,G17)))/10</f>
        <v>18.789048713445663</v>
      </c>
      <c r="L17" s="753" t="s">
        <v>211</v>
      </c>
      <c r="M17" s="779">
        <f t="shared" ref="M17:AN17" si="28">M12</f>
        <v>43093</v>
      </c>
      <c r="N17" s="735">
        <f t="shared" si="28"/>
        <v>43108</v>
      </c>
      <c r="O17" s="735">
        <f t="shared" si="28"/>
        <v>43122</v>
      </c>
      <c r="P17" s="735">
        <f t="shared" si="28"/>
        <v>43136</v>
      </c>
      <c r="Q17" s="735">
        <f t="shared" si="28"/>
        <v>43150</v>
      </c>
      <c r="R17" s="735">
        <f t="shared" si="28"/>
        <v>43164</v>
      </c>
      <c r="S17" s="735">
        <f t="shared" si="28"/>
        <v>43178</v>
      </c>
      <c r="T17" s="735">
        <f t="shared" si="28"/>
        <v>43192</v>
      </c>
      <c r="U17" s="735">
        <f t="shared" si="28"/>
        <v>43206</v>
      </c>
      <c r="V17" s="735">
        <f t="shared" si="28"/>
        <v>43220</v>
      </c>
      <c r="W17" s="735">
        <f t="shared" si="28"/>
        <v>43234</v>
      </c>
      <c r="X17" s="735">
        <f t="shared" si="28"/>
        <v>43248</v>
      </c>
      <c r="Y17" s="735">
        <f t="shared" si="28"/>
        <v>43262</v>
      </c>
      <c r="Z17" s="735">
        <f t="shared" si="28"/>
        <v>43276</v>
      </c>
      <c r="AA17" s="735">
        <f t="shared" si="28"/>
        <v>43290</v>
      </c>
      <c r="AB17" s="735">
        <f t="shared" si="28"/>
        <v>43304</v>
      </c>
      <c r="AC17" s="735">
        <f t="shared" si="28"/>
        <v>43318</v>
      </c>
      <c r="AD17" s="735">
        <f t="shared" si="28"/>
        <v>43332</v>
      </c>
      <c r="AE17" s="735">
        <f t="shared" si="28"/>
        <v>43346</v>
      </c>
      <c r="AF17" s="735">
        <f t="shared" si="28"/>
        <v>43360</v>
      </c>
      <c r="AG17" s="735">
        <f t="shared" si="28"/>
        <v>43374</v>
      </c>
      <c r="AH17" s="735">
        <f t="shared" si="28"/>
        <v>43388</v>
      </c>
      <c r="AI17" s="735">
        <f t="shared" si="28"/>
        <v>43402</v>
      </c>
      <c r="AJ17" s="735">
        <f t="shared" si="28"/>
        <v>43416</v>
      </c>
      <c r="AK17" s="735">
        <f t="shared" si="28"/>
        <v>43430</v>
      </c>
      <c r="AL17" s="735">
        <f t="shared" si="28"/>
        <v>43444</v>
      </c>
      <c r="AM17" s="777">
        <f t="shared" si="28"/>
        <v>43458</v>
      </c>
      <c r="AN17" s="784">
        <f t="shared" si="28"/>
        <v>43473</v>
      </c>
      <c r="AO17" s="1052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51">
        <f t="shared" si="14"/>
        <v>0.82758620689655171</v>
      </c>
      <c r="AT17" s="767">
        <f t="shared" si="15"/>
        <v>18.767213955418818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51">
        <f t="shared" si="19"/>
        <v>0.34482758620689657</v>
      </c>
      <c r="AY17" s="767">
        <f t="shared" si="20"/>
        <v>18.881308100398247</v>
      </c>
      <c r="AZ17" s="744">
        <f t="shared" si="26"/>
        <v>18.824261027908534</v>
      </c>
      <c r="BA17" s="642">
        <f t="shared" si="21"/>
        <v>1.0053670877885372</v>
      </c>
      <c r="BC17" s="11">
        <v>43103</v>
      </c>
      <c r="BD17" s="290">
        <f>[2]!FeuilCaduc*(1-Persistant)+Persistant</f>
        <v>0.60395621458428694</v>
      </c>
      <c r="BE17" s="291">
        <f>[2]!CroissVégét</f>
        <v>1.216934154264056E-4</v>
      </c>
      <c r="BF17" s="814">
        <f>1+[2]!Salcycl*Ksac</f>
        <v>1.0004945268230359</v>
      </c>
      <c r="BH17" s="1050">
        <f t="shared" si="22"/>
        <v>2.9930171771357612E-2</v>
      </c>
      <c r="BI17" s="11">
        <v>44199</v>
      </c>
      <c r="BJ17" s="724">
        <v>2.3430195702349753E-6</v>
      </c>
      <c r="BK17" s="724">
        <v>4.2912969727133664E-6</v>
      </c>
      <c r="BL17" s="724">
        <v>3.3820947572776935E-5</v>
      </c>
      <c r="BM17" s="724">
        <v>1.8603091735020275E-4</v>
      </c>
      <c r="BN17" s="724">
        <v>5.6059098025673096E-3</v>
      </c>
      <c r="BO17" s="725">
        <v>2.9930171771357612E-2</v>
      </c>
      <c r="BP17" s="724">
        <v>8.6839857048382388E-2</v>
      </c>
      <c r="BQ17" s="724">
        <v>0.15578893117017892</v>
      </c>
      <c r="BR17" s="724">
        <v>0.21703221617099702</v>
      </c>
      <c r="BS17" s="724">
        <v>0.2542753518437299</v>
      </c>
      <c r="BT17" s="724">
        <v>0.28291743577817541</v>
      </c>
      <c r="BW17" s="1190">
        <f>'2018'!R\Max</f>
        <v>0</v>
      </c>
      <c r="BX17" s="1188">
        <f>'2019'!R\Max</f>
        <v>0.98495898556658645</v>
      </c>
      <c r="BY17" s="1188">
        <f>'2020'!R\Max</f>
        <v>0.42672179633203899</v>
      </c>
      <c r="BZ17" s="1188">
        <f>'2021'!R\Max</f>
        <v>1.0053670877885372</v>
      </c>
      <c r="CA17" s="1188">
        <f>'2022'!R\Max</f>
        <v>0.75041708517673211</v>
      </c>
      <c r="CB17" s="1188">
        <f>'2023'!R\Max</f>
        <v>0.82568516946634452</v>
      </c>
      <c r="CC17" s="1188">
        <f>'2024'!R\Max</f>
        <v>0.82392683919680021</v>
      </c>
      <c r="CD17" s="1188">
        <f>'2025'!R\Max</f>
        <v>0.82190890390190341</v>
      </c>
      <c r="CE17" s="1188">
        <f>'2026'!R\Max</f>
        <v>0.82001446338687078</v>
      </c>
      <c r="CF17" s="1189">
        <f>'2027'!R\Max</f>
        <v>0.81817190593560518</v>
      </c>
    </row>
    <row r="18" spans="1:84" s="6" customFormat="1" ht="11.25" x14ac:dyDescent="0.2">
      <c r="A18" s="11">
        <v>43104</v>
      </c>
      <c r="B18" s="380">
        <f>'2023'!Maxi_hp</f>
        <v>18.708529066845525</v>
      </c>
      <c r="C18" s="13">
        <f>'2023'!An_max</f>
        <v>2019</v>
      </c>
      <c r="D18" s="1059">
        <f t="shared" si="7"/>
        <v>0.98797159733788376</v>
      </c>
      <c r="E18" s="1054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51">
        <f t="shared" si="9"/>
        <v>0.73333333333333328</v>
      </c>
      <c r="J18" s="744">
        <f t="shared" si="27"/>
        <v>18.936302538712816</v>
      </c>
      <c r="L18" s="753" t="s">
        <v>212</v>
      </c>
      <c r="M18" s="778">
        <f t="shared" ref="M18:AN18" si="29">M13</f>
        <v>176.78399999999999</v>
      </c>
      <c r="N18" s="741">
        <f t="shared" si="29"/>
        <v>196.08799999999999</v>
      </c>
      <c r="O18" s="741">
        <f t="shared" si="29"/>
        <v>229.61600000000001</v>
      </c>
      <c r="P18" s="741">
        <f t="shared" si="29"/>
        <v>271.27199999999999</v>
      </c>
      <c r="Q18" s="741">
        <f t="shared" si="29"/>
        <v>319.024</v>
      </c>
      <c r="R18" s="741">
        <f t="shared" si="29"/>
        <v>376.93599999999998</v>
      </c>
      <c r="S18" s="741">
        <f t="shared" si="29"/>
        <v>440.94400000000002</v>
      </c>
      <c r="T18" s="741">
        <f t="shared" si="29"/>
        <v>502.92</v>
      </c>
      <c r="U18" s="741">
        <f t="shared" si="29"/>
        <v>551.68799999999999</v>
      </c>
      <c r="V18" s="741">
        <f t="shared" si="29"/>
        <v>588.26400000000001</v>
      </c>
      <c r="W18" s="741">
        <f t="shared" si="29"/>
        <v>612.64800000000002</v>
      </c>
      <c r="X18" s="741">
        <f t="shared" si="29"/>
        <v>622.80799999999999</v>
      </c>
      <c r="Y18" s="741">
        <f t="shared" si="29"/>
        <v>622.80799999999999</v>
      </c>
      <c r="Z18" s="741">
        <f t="shared" si="29"/>
        <v>615.69600000000003</v>
      </c>
      <c r="AA18" s="741">
        <f t="shared" si="29"/>
        <v>601.47199999999998</v>
      </c>
      <c r="AB18" s="741">
        <f t="shared" si="29"/>
        <v>580.13599999999997</v>
      </c>
      <c r="AC18" s="741">
        <f t="shared" si="29"/>
        <v>554.73599999999999</v>
      </c>
      <c r="AD18" s="741">
        <f t="shared" si="29"/>
        <v>521.20799999999997</v>
      </c>
      <c r="AE18" s="741">
        <f t="shared" si="29"/>
        <v>478.536</v>
      </c>
      <c r="AF18" s="741">
        <f t="shared" si="29"/>
        <v>425.70400000000001</v>
      </c>
      <c r="AG18" s="741">
        <f t="shared" si="29"/>
        <v>364.74400000000003</v>
      </c>
      <c r="AH18" s="741">
        <f t="shared" si="29"/>
        <v>308.86400000000003</v>
      </c>
      <c r="AI18" s="741">
        <f t="shared" si="29"/>
        <v>258.06400000000002</v>
      </c>
      <c r="AJ18" s="741">
        <f t="shared" si="29"/>
        <v>214.376</v>
      </c>
      <c r="AK18" s="741">
        <f t="shared" si="29"/>
        <v>184.91200000000001</v>
      </c>
      <c r="AL18" s="741">
        <f t="shared" si="29"/>
        <v>170.68799999999999</v>
      </c>
      <c r="AM18" s="776">
        <f t="shared" si="29"/>
        <v>176.78399999999999</v>
      </c>
      <c r="AN18" s="774">
        <f t="shared" si="29"/>
        <v>196.08799999999999</v>
      </c>
      <c r="AO18" s="1052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51">
        <f t="shared" si="14"/>
        <v>0.86206896551724133</v>
      </c>
      <c r="AT18" s="767">
        <f t="shared" si="15"/>
        <v>18.925868296546152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51">
        <f t="shared" si="19"/>
        <v>0.37931034482758619</v>
      </c>
      <c r="AY18" s="767">
        <f t="shared" si="20"/>
        <v>19.046301711787436</v>
      </c>
      <c r="AZ18" s="744">
        <f t="shared" si="26"/>
        <v>18.986085004166796</v>
      </c>
      <c r="BA18" s="642">
        <f t="shared" si="21"/>
        <v>0.98797159733788376</v>
      </c>
      <c r="BC18" s="11">
        <v>43104</v>
      </c>
      <c r="BD18" s="290">
        <f>[2]!FeuilCaduc*(1-Persistant)+Persistant</f>
        <v>0.60367031220166523</v>
      </c>
      <c r="BE18" s="291">
        <f>[2]!CroissVégét</f>
        <v>1.8511247801664469E-4</v>
      </c>
      <c r="BF18" s="814">
        <f>1+[2]!Salcycl*Ksac</f>
        <v>1.0004587890252081</v>
      </c>
      <c r="BH18" s="1050">
        <f t="shared" si="22"/>
        <v>2.9675883962975939E-2</v>
      </c>
      <c r="BI18" s="11">
        <v>44200</v>
      </c>
      <c r="BJ18" s="724">
        <v>2.4873804173504829E-6</v>
      </c>
      <c r="BK18" s="724">
        <v>4.5556973533482528E-6</v>
      </c>
      <c r="BL18" s="724">
        <v>3.3595661307667704E-5</v>
      </c>
      <c r="BM18" s="724">
        <v>1.8874249843894096E-4</v>
      </c>
      <c r="BN18" s="724">
        <v>5.6244703900188613E-3</v>
      </c>
      <c r="BO18" s="725">
        <v>2.9675883962975939E-2</v>
      </c>
      <c r="BP18" s="724">
        <v>8.6881502266010935E-2</v>
      </c>
      <c r="BQ18" s="724">
        <v>0.15657840913136226</v>
      </c>
      <c r="BR18" s="724">
        <v>0.21899750350075911</v>
      </c>
      <c r="BS18" s="724">
        <v>0.25694053266790978</v>
      </c>
      <c r="BT18" s="724">
        <v>0.28591387030236814</v>
      </c>
      <c r="BW18" s="1190">
        <f>'2018'!R\Max</f>
        <v>0</v>
      </c>
      <c r="BX18" s="1188">
        <f>'2019'!R\Max</f>
        <v>0.98797159733788376</v>
      </c>
      <c r="BY18" s="1188">
        <f>'2020'!R\Max</f>
        <v>0.34437892238866558</v>
      </c>
      <c r="BZ18" s="1188">
        <f>'2021'!R\Max</f>
        <v>0.82867066928474553</v>
      </c>
      <c r="CA18" s="1188">
        <f>'2022'!R\Max</f>
        <v>0.77923213349390952</v>
      </c>
      <c r="CB18" s="1188">
        <f>'2023'!R\Max</f>
        <v>0.68973811867848644</v>
      </c>
      <c r="CC18" s="1188">
        <f>'2024'!R\Max</f>
        <v>0.687130678376075</v>
      </c>
      <c r="CD18" s="1188">
        <f>'2025'!R\Max</f>
        <v>0.68413849105432567</v>
      </c>
      <c r="CE18" s="1188">
        <f>'2026'!R\Max</f>
        <v>0.68132484407455707</v>
      </c>
      <c r="CF18" s="1189">
        <f>'2027'!R\Max</f>
        <v>0.67858947867390829</v>
      </c>
    </row>
    <row r="19" spans="1:84" s="6" customFormat="1" ht="11.25" x14ac:dyDescent="0.2">
      <c r="A19" s="11">
        <v>43105</v>
      </c>
      <c r="B19" s="380">
        <f>'2023'!Maxi_hp</f>
        <v>18.453425057954192</v>
      </c>
      <c r="C19" s="13">
        <f>'2023'!An_max</f>
        <v>2019</v>
      </c>
      <c r="D19" s="1059" t="str">
        <f t="shared" si="7"/>
        <v/>
      </c>
      <c r="E19" s="1054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51">
        <f t="shared" si="9"/>
        <v>0.8</v>
      </c>
      <c r="J19" s="744">
        <f t="shared" si="27"/>
        <v>19.091550897806883</v>
      </c>
      <c r="L19" s="753" t="s">
        <v>213</v>
      </c>
      <c r="M19" s="780">
        <f t="shared" ref="M19:AN19" si="30">N12</f>
        <v>43108</v>
      </c>
      <c r="N19" s="736">
        <f t="shared" si="30"/>
        <v>43122</v>
      </c>
      <c r="O19" s="736">
        <f t="shared" si="30"/>
        <v>43136</v>
      </c>
      <c r="P19" s="736">
        <f t="shared" si="30"/>
        <v>43150</v>
      </c>
      <c r="Q19" s="736">
        <f t="shared" si="30"/>
        <v>43164</v>
      </c>
      <c r="R19" s="736">
        <f t="shared" si="30"/>
        <v>43178</v>
      </c>
      <c r="S19" s="736">
        <f t="shared" si="30"/>
        <v>43192</v>
      </c>
      <c r="T19" s="736">
        <f t="shared" si="30"/>
        <v>43206</v>
      </c>
      <c r="U19" s="736">
        <f t="shared" si="30"/>
        <v>43220</v>
      </c>
      <c r="V19" s="736">
        <f t="shared" si="30"/>
        <v>43234</v>
      </c>
      <c r="W19" s="736">
        <f t="shared" si="30"/>
        <v>43248</v>
      </c>
      <c r="X19" s="736">
        <f t="shared" si="30"/>
        <v>43262</v>
      </c>
      <c r="Y19" s="736">
        <f t="shared" si="30"/>
        <v>43276</v>
      </c>
      <c r="Z19" s="736">
        <f t="shared" si="30"/>
        <v>43290</v>
      </c>
      <c r="AA19" s="736">
        <f t="shared" si="30"/>
        <v>43304</v>
      </c>
      <c r="AB19" s="736">
        <f t="shared" si="30"/>
        <v>43318</v>
      </c>
      <c r="AC19" s="736">
        <f t="shared" si="30"/>
        <v>43332</v>
      </c>
      <c r="AD19" s="736">
        <f t="shared" si="30"/>
        <v>43346</v>
      </c>
      <c r="AE19" s="736">
        <f t="shared" si="30"/>
        <v>43360</v>
      </c>
      <c r="AF19" s="736">
        <f t="shared" si="30"/>
        <v>43374</v>
      </c>
      <c r="AG19" s="736">
        <f t="shared" si="30"/>
        <v>43388</v>
      </c>
      <c r="AH19" s="736">
        <f t="shared" si="30"/>
        <v>43402</v>
      </c>
      <c r="AI19" s="736">
        <f t="shared" si="30"/>
        <v>43416</v>
      </c>
      <c r="AJ19" s="736">
        <f t="shared" si="30"/>
        <v>43430</v>
      </c>
      <c r="AK19" s="736">
        <f t="shared" si="30"/>
        <v>43444</v>
      </c>
      <c r="AL19" s="777">
        <f t="shared" si="30"/>
        <v>43458</v>
      </c>
      <c r="AM19" s="737">
        <f t="shared" si="30"/>
        <v>43473</v>
      </c>
      <c r="AN19" s="737">
        <f t="shared" si="30"/>
        <v>43487</v>
      </c>
      <c r="AO19" s="1052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51">
        <f t="shared" si="14"/>
        <v>0.89655172413793105</v>
      </c>
      <c r="AT19" s="767">
        <f t="shared" si="15"/>
        <v>19.089581610776229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51">
        <f t="shared" si="19"/>
        <v>0.41379310344827586</v>
      </c>
      <c r="AY19" s="767">
        <f t="shared" si="20"/>
        <v>19.21834763679011</v>
      </c>
      <c r="AZ19" s="744">
        <f t="shared" si="26"/>
        <v>19.153964623783168</v>
      </c>
      <c r="BA19" s="642">
        <f t="shared" si="21"/>
        <v>0.96657548445024466</v>
      </c>
      <c r="BC19" s="11">
        <v>43105</v>
      </c>
      <c r="BD19" s="290">
        <f>[2]!FeuilCaduc*(1-Persistant)+Persistant</f>
        <v>0.60339891408843827</v>
      </c>
      <c r="BE19" s="291">
        <f>[2]!CroissVégét</f>
        <v>2.5118354313997834E-4</v>
      </c>
      <c r="BF19" s="814">
        <f>1+[2]!Salcycl*Ksac</f>
        <v>1.0004248642610547</v>
      </c>
      <c r="BH19" s="1050">
        <f t="shared" si="22"/>
        <v>2.9411513608656265E-2</v>
      </c>
      <c r="BI19" s="11">
        <v>44201</v>
      </c>
      <c r="BJ19" s="724">
        <v>2.5980944654544953E-6</v>
      </c>
      <c r="BK19" s="724">
        <v>4.7584728083641673E-6</v>
      </c>
      <c r="BL19" s="724">
        <v>3.3104559078516508E-5</v>
      </c>
      <c r="BM19" s="724">
        <v>1.9098840787729347E-4</v>
      </c>
      <c r="BN19" s="724">
        <v>5.6436015062521433E-3</v>
      </c>
      <c r="BO19" s="725">
        <v>2.9411513608656265E-2</v>
      </c>
      <c r="BP19" s="724">
        <v>8.6907350543638295E-2</v>
      </c>
      <c r="BQ19" s="724">
        <v>0.15740588027608987</v>
      </c>
      <c r="BR19" s="724">
        <v>0.22107616260741106</v>
      </c>
      <c r="BS19" s="724">
        <v>0.25979734365036994</v>
      </c>
      <c r="BT19" s="724">
        <v>0.28912730357468441</v>
      </c>
      <c r="BW19" s="1190">
        <f>'2018'!R\Max</f>
        <v>0</v>
      </c>
      <c r="BX19" s="1188">
        <f>'2019'!R\Max</f>
        <v>0.96657548445024466</v>
      </c>
      <c r="BY19" s="1188">
        <f>'2020'!R\Max</f>
        <v>0.6977942550350239</v>
      </c>
      <c r="BZ19" s="1188">
        <f>'2021'!R\Max</f>
        <v>0.17468365186512236</v>
      </c>
      <c r="CA19" s="1188">
        <f>'2022'!R\Max</f>
        <v>0.69670333061539957</v>
      </c>
      <c r="CB19" s="1188">
        <f>'2023'!R\Max</f>
        <v>0.68332836902077965</v>
      </c>
      <c r="CC19" s="1188">
        <f>'2024'!R\Max</f>
        <v>0.68069502752327604</v>
      </c>
      <c r="CD19" s="1188">
        <f>'2025'!R\Max</f>
        <v>0.67766163898952492</v>
      </c>
      <c r="CE19" s="1188">
        <f>'2026'!R\Max</f>
        <v>0.67479416832163286</v>
      </c>
      <c r="CF19" s="1189">
        <f>'2027'!R\Max</f>
        <v>0.67199824125649377</v>
      </c>
    </row>
    <row r="20" spans="1:84" s="6" customFormat="1" ht="11.25" x14ac:dyDescent="0.2">
      <c r="A20" s="11">
        <v>43106</v>
      </c>
      <c r="B20" s="380">
        <f>'2023'!Maxi_hp</f>
        <v>17.976062678070381</v>
      </c>
      <c r="C20" s="13">
        <f>'2023'!An_max</f>
        <v>2020</v>
      </c>
      <c r="D20" s="1059" t="str">
        <f t="shared" si="7"/>
        <v/>
      </c>
      <c r="E20" s="1054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51">
        <f t="shared" si="9"/>
        <v>0.8666666666666667</v>
      </c>
      <c r="J20" s="744">
        <f t="shared" si="27"/>
        <v>19.255147474904852</v>
      </c>
      <c r="L20" s="753" t="s">
        <v>214</v>
      </c>
      <c r="M20" s="781">
        <f>N13</f>
        <v>196.08799999999999</v>
      </c>
      <c r="N20" s="741">
        <f t="shared" ref="N20:AN20" si="31">O13</f>
        <v>229.61600000000001</v>
      </c>
      <c r="O20" s="741">
        <f t="shared" si="31"/>
        <v>271.27199999999999</v>
      </c>
      <c r="P20" s="741">
        <f t="shared" si="31"/>
        <v>319.024</v>
      </c>
      <c r="Q20" s="741">
        <f t="shared" si="31"/>
        <v>376.93599999999998</v>
      </c>
      <c r="R20" s="741">
        <f t="shared" si="31"/>
        <v>440.94400000000002</v>
      </c>
      <c r="S20" s="741">
        <f t="shared" si="31"/>
        <v>502.92</v>
      </c>
      <c r="T20" s="741">
        <f t="shared" si="31"/>
        <v>551.68799999999999</v>
      </c>
      <c r="U20" s="741">
        <f t="shared" si="31"/>
        <v>588.26400000000001</v>
      </c>
      <c r="V20" s="741">
        <f t="shared" si="31"/>
        <v>612.64800000000002</v>
      </c>
      <c r="W20" s="741">
        <f t="shared" si="31"/>
        <v>622.80799999999999</v>
      </c>
      <c r="X20" s="741">
        <f t="shared" si="31"/>
        <v>622.80799999999999</v>
      </c>
      <c r="Y20" s="741">
        <f t="shared" si="31"/>
        <v>615.69600000000003</v>
      </c>
      <c r="Z20" s="741">
        <f t="shared" si="31"/>
        <v>601.47199999999998</v>
      </c>
      <c r="AA20" s="741">
        <f t="shared" si="31"/>
        <v>580.13599999999997</v>
      </c>
      <c r="AB20" s="741">
        <f t="shared" si="31"/>
        <v>554.73599999999999</v>
      </c>
      <c r="AC20" s="741">
        <f t="shared" si="31"/>
        <v>521.20799999999997</v>
      </c>
      <c r="AD20" s="741">
        <f t="shared" si="31"/>
        <v>478.536</v>
      </c>
      <c r="AE20" s="741">
        <f t="shared" si="31"/>
        <v>425.70400000000001</v>
      </c>
      <c r="AF20" s="741">
        <f t="shared" si="31"/>
        <v>364.74400000000003</v>
      </c>
      <c r="AG20" s="741">
        <f t="shared" si="31"/>
        <v>308.86400000000003</v>
      </c>
      <c r="AH20" s="741">
        <f t="shared" si="31"/>
        <v>258.06400000000002</v>
      </c>
      <c r="AI20" s="741">
        <f t="shared" si="31"/>
        <v>214.376</v>
      </c>
      <c r="AJ20" s="741">
        <f t="shared" si="31"/>
        <v>184.91200000000001</v>
      </c>
      <c r="AK20" s="741">
        <f t="shared" si="31"/>
        <v>170.68799999999999</v>
      </c>
      <c r="AL20" s="776">
        <f t="shared" si="31"/>
        <v>176.78399999999999</v>
      </c>
      <c r="AM20" s="774">
        <f t="shared" si="31"/>
        <v>196.08799999999999</v>
      </c>
      <c r="AN20" s="774">
        <f t="shared" si="31"/>
        <v>229.61600000000001</v>
      </c>
      <c r="AO20" s="1052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51">
        <f t="shared" si="14"/>
        <v>0.93103448275862066</v>
      </c>
      <c r="AT20" s="767">
        <f>((1-AS20)*(INDEX(a.lg,AP20)*$A20*$A20+INDEX(b.lg,AP20)*$A20+INDEX(c.lg,AP20))+AS20*(INDEX(a.lg,AQ20)*$A20*$A20+INDEX(b.lg,AQ20)*$A20+INDEX(c.lg,AQ20)))/10</f>
        <v>19.258126356195785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51">
        <f t="shared" si="19"/>
        <v>0.44827586206896552</v>
      </c>
      <c r="AY20" s="767">
        <f t="shared" si="20"/>
        <v>19.39717700733193</v>
      </c>
      <c r="AZ20" s="744">
        <f t="shared" si="26"/>
        <v>19.327651681763857</v>
      </c>
      <c r="BA20" s="642">
        <f t="shared" si="21"/>
        <v>0.93357179951483116</v>
      </c>
      <c r="BC20" s="11">
        <v>43106</v>
      </c>
      <c r="BD20" s="290">
        <f>[2]!FeuilCaduc*(1-Persistant)+Persistant</f>
        <v>0.6031406226112801</v>
      </c>
      <c r="BE20" s="291">
        <f>[2]!CroissVégét</f>
        <v>3.2001713664140156E-4</v>
      </c>
      <c r="BF20" s="814">
        <f>1+[2]!Salcycl*Ksac</f>
        <v>1.00039257782641</v>
      </c>
      <c r="BH20" s="1050">
        <f t="shared" si="22"/>
        <v>2.9136971504522647E-2</v>
      </c>
      <c r="BI20" s="11">
        <v>44202</v>
      </c>
      <c r="BJ20" s="724">
        <v>2.6751064025431346E-6</v>
      </c>
      <c r="BK20" s="724">
        <v>4.8995220324891409E-6</v>
      </c>
      <c r="BL20" s="724">
        <v>3.2347173526101725E-5</v>
      </c>
      <c r="BM20" s="724">
        <v>1.9276748403503172E-4</v>
      </c>
      <c r="BN20" s="724">
        <v>5.6632895632676662E-3</v>
      </c>
      <c r="BO20" s="725">
        <v>2.9136971504522647E-2</v>
      </c>
      <c r="BP20" s="724">
        <v>8.691715749503881E-2</v>
      </c>
      <c r="BQ20" s="724">
        <v>0.15827099712041706</v>
      </c>
      <c r="BR20" s="724">
        <v>0.22326779091436114</v>
      </c>
      <c r="BS20" s="724">
        <v>0.26284539546556462</v>
      </c>
      <c r="BT20" s="724">
        <v>0.29255730766308841</v>
      </c>
      <c r="BW20" s="1190">
        <f>'2018'!R\Max</f>
        <v>0</v>
      </c>
      <c r="BX20" s="1188">
        <f>'2019'!R\Max</f>
        <v>0.23738661837528943</v>
      </c>
      <c r="BY20" s="1188">
        <f>'2020'!R\Max</f>
        <v>0.93357179951483116</v>
      </c>
      <c r="BZ20" s="1188">
        <f>'2021'!R\Max</f>
        <v>0.386041351710047</v>
      </c>
      <c r="CA20" s="1188">
        <f>'2022'!R\Max</f>
        <v>0.80468522712857049</v>
      </c>
      <c r="CB20" s="1188">
        <f>'2023'!R\Max</f>
        <v>0.29464977997996922</v>
      </c>
      <c r="CC20" s="1188">
        <f>'2024'!R\Max</f>
        <v>0.29214645874440232</v>
      </c>
      <c r="CD20" s="1188">
        <f>'2025'!R\Max</f>
        <v>0.2892790789280566</v>
      </c>
      <c r="CE20" s="1188">
        <f>'2026'!R\Max</f>
        <v>0.28658181047594544</v>
      </c>
      <c r="CF20" s="1189">
        <f>'2027'!R\Max</f>
        <v>0.28396989084232194</v>
      </c>
    </row>
    <row r="21" spans="1:84" s="6" customFormat="1" ht="11.25" x14ac:dyDescent="0.2">
      <c r="A21" s="11">
        <v>43107</v>
      </c>
      <c r="B21" s="380">
        <f>'2023'!Maxi_hp</f>
        <v>13.106878010800106</v>
      </c>
      <c r="C21" s="13">
        <f>'2023'!An_max</f>
        <v>2023</v>
      </c>
      <c r="D21" s="1059" t="str">
        <f t="shared" si="7"/>
        <v/>
      </c>
      <c r="E21" s="1054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51">
        <f t="shared" si="9"/>
        <v>0.93333333333333335</v>
      </c>
      <c r="J21" s="744">
        <f t="shared" si="27"/>
        <v>19.427445945839089</v>
      </c>
      <c r="L21" s="754" t="s">
        <v>215</v>
      </c>
      <c r="M21" s="738">
        <f>x.1m*x.1m-x.2m*x.2m</f>
        <v>-1206408</v>
      </c>
      <c r="N21" s="738">
        <f t="shared" ref="N21:AM21" si="32">x.1m*x.1m-x.2m*x.2m</f>
        <v>-1293015</v>
      </c>
      <c r="O21" s="738">
        <f t="shared" si="32"/>
        <v>-1207220</v>
      </c>
      <c r="P21" s="738">
        <f t="shared" si="32"/>
        <v>-1207612</v>
      </c>
      <c r="Q21" s="738">
        <f t="shared" si="32"/>
        <v>-1208004</v>
      </c>
      <c r="R21" s="738">
        <f t="shared" si="32"/>
        <v>-1208396</v>
      </c>
      <c r="S21" s="738">
        <f t="shared" si="32"/>
        <v>-1208788</v>
      </c>
      <c r="T21" s="738">
        <f t="shared" si="32"/>
        <v>-1209180</v>
      </c>
      <c r="U21" s="738">
        <f t="shared" si="32"/>
        <v>-1209572</v>
      </c>
      <c r="V21" s="738">
        <f t="shared" si="32"/>
        <v>-1209964</v>
      </c>
      <c r="W21" s="738">
        <f t="shared" si="32"/>
        <v>-1210356</v>
      </c>
      <c r="X21" s="738">
        <f t="shared" si="32"/>
        <v>-1210748</v>
      </c>
      <c r="Y21" s="738">
        <f t="shared" si="32"/>
        <v>-1211140</v>
      </c>
      <c r="Z21" s="738">
        <f t="shared" si="32"/>
        <v>-1211532</v>
      </c>
      <c r="AA21" s="738">
        <f t="shared" si="32"/>
        <v>-1211924</v>
      </c>
      <c r="AB21" s="738">
        <f t="shared" si="32"/>
        <v>-1212316</v>
      </c>
      <c r="AC21" s="738">
        <f t="shared" si="32"/>
        <v>-1212708</v>
      </c>
      <c r="AD21" s="738">
        <f t="shared" si="32"/>
        <v>-1213100</v>
      </c>
      <c r="AE21" s="738">
        <f t="shared" si="32"/>
        <v>-1213492</v>
      </c>
      <c r="AF21" s="738">
        <f t="shared" si="32"/>
        <v>-1213884</v>
      </c>
      <c r="AG21" s="738">
        <f t="shared" si="32"/>
        <v>-1214276</v>
      </c>
      <c r="AH21" s="738">
        <f t="shared" si="32"/>
        <v>-1214668</v>
      </c>
      <c r="AI21" s="738">
        <f t="shared" si="32"/>
        <v>-1215060</v>
      </c>
      <c r="AJ21" s="738">
        <f t="shared" si="32"/>
        <v>-1215452</v>
      </c>
      <c r="AK21" s="738">
        <f t="shared" si="32"/>
        <v>-1215844</v>
      </c>
      <c r="AL21" s="738">
        <f t="shared" si="32"/>
        <v>-1216236</v>
      </c>
      <c r="AM21" s="738">
        <f t="shared" si="32"/>
        <v>-1216628</v>
      </c>
      <c r="AN21" s="738">
        <f>x.1m*x.1m-x.2m*x.2m</f>
        <v>-1303965</v>
      </c>
      <c r="AO21" s="1052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51">
        <f t="shared" si="14"/>
        <v>0.96551724137931039</v>
      </c>
      <c r="AT21" s="767">
        <f t="shared" si="15"/>
        <v>19.431274999369833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51">
        <f t="shared" si="19"/>
        <v>0.48275862068965519</v>
      </c>
      <c r="AY21" s="767">
        <f t="shared" si="20"/>
        <v>19.582520957085592</v>
      </c>
      <c r="AZ21" s="744">
        <f t="shared" si="26"/>
        <v>19.506897978227713</v>
      </c>
      <c r="BA21" s="642">
        <f t="shared" si="21"/>
        <v>0.67465780357027816</v>
      </c>
      <c r="BC21" s="11">
        <v>43107</v>
      </c>
      <c r="BD21" s="290">
        <f>[2]!FeuilCaduc*(1-Persistant)+Persistant</f>
        <v>0.60289426432719972</v>
      </c>
      <c r="BE21" s="291">
        <f>[2]!CroissVégét</f>
        <v>3.9172835876776901E-4</v>
      </c>
      <c r="BF21" s="814">
        <f>1+[2]!Salcycl*Ksac</f>
        <v>1.0003617830409</v>
      </c>
      <c r="BH21" s="1050">
        <f t="shared" si="22"/>
        <v>2.8852171435402321E-2</v>
      </c>
      <c r="BI21" s="11">
        <v>44203</v>
      </c>
      <c r="BJ21" s="724">
        <v>2.7183603064388388E-6</v>
      </c>
      <c r="BK21" s="724">
        <v>4.9787426029033501E-6</v>
      </c>
      <c r="BL21" s="724">
        <v>3.1323046443172826E-5</v>
      </c>
      <c r="BM21" s="724">
        <v>1.9407855033208045E-4</v>
      </c>
      <c r="BN21" s="724">
        <v>5.6835207974437647E-3</v>
      </c>
      <c r="BO21" s="725">
        <v>2.8852171435402321E-2</v>
      </c>
      <c r="BP21" s="724">
        <v>8.6910679135584271E-2</v>
      </c>
      <c r="BQ21" s="724">
        <v>0.15917340395766588</v>
      </c>
      <c r="BR21" s="724">
        <v>0.22557196406163235</v>
      </c>
      <c r="BS21" s="724">
        <v>0.26608426809581581</v>
      </c>
      <c r="BT21" s="724">
        <v>0.29620342007506933</v>
      </c>
      <c r="BW21" s="1190">
        <f>'2018'!R\Max</f>
        <v>0</v>
      </c>
      <c r="BX21" s="1188">
        <f>'2019'!R\Max</f>
        <v>0.14503973201588002</v>
      </c>
      <c r="BY21" s="1188">
        <f>'2020'!R\Max</f>
        <v>0.37138135232670116</v>
      </c>
      <c r="BZ21" s="1188">
        <f>'2021'!R\Max</f>
        <v>0.60136919750494799</v>
      </c>
      <c r="CA21" s="1188">
        <f>'2022'!R\Max</f>
        <v>0.56701649617331285</v>
      </c>
      <c r="CB21" s="1188">
        <f>'2023'!R\Max</f>
        <v>0.67465780357027816</v>
      </c>
      <c r="CC21" s="1188">
        <f>'2024'!R\Max</f>
        <v>0.6719945789973425</v>
      </c>
      <c r="CD21" s="1188">
        <f>'2025'!R\Max</f>
        <v>0.66889892923342686</v>
      </c>
      <c r="CE21" s="1188">
        <f>'2026'!R\Max</f>
        <v>0.66594026937307471</v>
      </c>
      <c r="CF21" s="1189">
        <f>'2027'!R\Max</f>
        <v>0.66303774272114213</v>
      </c>
    </row>
    <row r="22" spans="1:84" s="6" customFormat="1" ht="11.25" x14ac:dyDescent="0.2">
      <c r="A22" s="11">
        <v>43108</v>
      </c>
      <c r="B22" s="380">
        <f>'2023'!Maxi_hp</f>
        <v>14.204515850119641</v>
      </c>
      <c r="C22" s="13">
        <f>'2023'!An_max</f>
        <v>2021</v>
      </c>
      <c r="D22" s="1059" t="str">
        <f t="shared" si="7"/>
        <v/>
      </c>
      <c r="E22" s="1054">
        <f>N$13/10</f>
        <v>19.608799999999999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51">
        <f t="shared" si="9"/>
        <v>1</v>
      </c>
      <c r="J22" s="744">
        <f t="shared" si="27"/>
        <v>19.608799999952318</v>
      </c>
      <c r="L22" s="754" t="s">
        <v>216</v>
      </c>
      <c r="M22" s="738">
        <f t="shared" ref="M22:AM22" si="33">x.2m*x.2m-x.3m*x.3m</f>
        <v>-1293015</v>
      </c>
      <c r="N22" s="738">
        <f>x.2m*x.2m-x.3m*x.3m</f>
        <v>-1207220</v>
      </c>
      <c r="O22" s="738">
        <f t="shared" si="33"/>
        <v>-1207612</v>
      </c>
      <c r="P22" s="738">
        <f t="shared" si="33"/>
        <v>-1208004</v>
      </c>
      <c r="Q22" s="738">
        <f t="shared" si="33"/>
        <v>-1208396</v>
      </c>
      <c r="R22" s="738">
        <f t="shared" si="33"/>
        <v>-1208788</v>
      </c>
      <c r="S22" s="738">
        <f t="shared" si="33"/>
        <v>-1209180</v>
      </c>
      <c r="T22" s="738">
        <f t="shared" si="33"/>
        <v>-1209572</v>
      </c>
      <c r="U22" s="738">
        <f t="shared" si="33"/>
        <v>-1209964</v>
      </c>
      <c r="V22" s="738">
        <f t="shared" si="33"/>
        <v>-1210356</v>
      </c>
      <c r="W22" s="738">
        <f t="shared" si="33"/>
        <v>-1210748</v>
      </c>
      <c r="X22" s="738">
        <f t="shared" si="33"/>
        <v>-1211140</v>
      </c>
      <c r="Y22" s="738">
        <f t="shared" si="33"/>
        <v>-1211532</v>
      </c>
      <c r="Z22" s="738">
        <f t="shared" si="33"/>
        <v>-1211924</v>
      </c>
      <c r="AA22" s="738">
        <f t="shared" si="33"/>
        <v>-1212316</v>
      </c>
      <c r="AB22" s="738">
        <f t="shared" si="33"/>
        <v>-1212708</v>
      </c>
      <c r="AC22" s="738">
        <f t="shared" si="33"/>
        <v>-1213100</v>
      </c>
      <c r="AD22" s="738">
        <f t="shared" si="33"/>
        <v>-1213492</v>
      </c>
      <c r="AE22" s="738">
        <f t="shared" si="33"/>
        <v>-1213884</v>
      </c>
      <c r="AF22" s="738">
        <f t="shared" si="33"/>
        <v>-1214276</v>
      </c>
      <c r="AG22" s="738">
        <f t="shared" si="33"/>
        <v>-1214668</v>
      </c>
      <c r="AH22" s="738">
        <f t="shared" si="33"/>
        <v>-1215060</v>
      </c>
      <c r="AI22" s="738">
        <f t="shared" si="33"/>
        <v>-1215452</v>
      </c>
      <c r="AJ22" s="738">
        <f t="shared" si="33"/>
        <v>-1215844</v>
      </c>
      <c r="AK22" s="738">
        <f t="shared" si="33"/>
        <v>-1216236</v>
      </c>
      <c r="AL22" s="738">
        <f t="shared" si="33"/>
        <v>-1216628</v>
      </c>
      <c r="AM22" s="738">
        <f t="shared" si="33"/>
        <v>-1303965</v>
      </c>
      <c r="AN22" s="738">
        <f>x.2m*x.2m-x.3m*x.3m</f>
        <v>-1217440</v>
      </c>
      <c r="AO22" s="1052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51">
        <f t="shared" si="14"/>
        <v>1</v>
      </c>
      <c r="AT22" s="767">
        <f t="shared" si="15"/>
        <v>19.608800000697375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51">
        <f t="shared" si="19"/>
        <v>0.51724137931034486</v>
      </c>
      <c r="AY22" s="767">
        <f t="shared" si="20"/>
        <v>19.774110618798897</v>
      </c>
      <c r="AZ22" s="744">
        <f t="shared" si="26"/>
        <v>19.691455309748136</v>
      </c>
      <c r="BA22" s="642">
        <f t="shared" si="21"/>
        <v>0.7243949578839185</v>
      </c>
      <c r="BC22" s="11">
        <v>43108</v>
      </c>
      <c r="BD22" s="290">
        <f>[2]!FeuilCaduc*(1-Persistant)+Persistant</f>
        <v>0.60265887878487523</v>
      </c>
      <c r="BE22" s="291">
        <f>[2]!CroissVégét</f>
        <v>4.664370707620742E-4</v>
      </c>
      <c r="BF22" s="814">
        <f>1+[2]!Salcycl*Ksac</f>
        <v>1.0003323598481093</v>
      </c>
      <c r="BH22" s="1050">
        <f t="shared" si="22"/>
        <v>2.8557030425535045E-2</v>
      </c>
      <c r="BI22" s="11">
        <v>44204</v>
      </c>
      <c r="BJ22" s="724">
        <v>2.7278005058742185E-6</v>
      </c>
      <c r="BK22" s="724">
        <v>4.9960325563350202E-6</v>
      </c>
      <c r="BL22" s="724">
        <v>3.0031735543662329E-5</v>
      </c>
      <c r="BM22" s="724">
        <v>1.9492042717329447E-4</v>
      </c>
      <c r="BN22" s="724">
        <v>5.704281255446377E-3</v>
      </c>
      <c r="BO22" s="725">
        <v>2.8557030425535045E-2</v>
      </c>
      <c r="BP22" s="724">
        <v>8.688767228580592E-2</v>
      </c>
      <c r="BQ22" s="724">
        <v>0.16011273590934119</v>
      </c>
      <c r="BR22" s="724">
        <v>0.22798823306441754</v>
      </c>
      <c r="BS22" s="724">
        <v>0.26951350601245722</v>
      </c>
      <c r="BT22" s="724">
        <v>0.30006513830032622</v>
      </c>
      <c r="BW22" s="1190">
        <f>'2018'!R\Max</f>
        <v>0</v>
      </c>
      <c r="BX22" s="1188">
        <f>'2019'!R\Max</f>
        <v>0.22713864389008279</v>
      </c>
      <c r="BY22" s="1188">
        <f>'2020'!R\Max</f>
        <v>0.60648598924054475</v>
      </c>
      <c r="BZ22" s="1188">
        <f>'2021'!R\Max</f>
        <v>0.7243949578839185</v>
      </c>
      <c r="CA22" s="1188">
        <f>'2022'!R\Max</f>
        <v>0.41493299004597961</v>
      </c>
      <c r="CB22" s="1188">
        <f>'2023'!R\Max</f>
        <v>0.33638902019337158</v>
      </c>
      <c r="CC22" s="1188">
        <f>'2024'!R\Max</f>
        <v>0.33369618454193029</v>
      </c>
      <c r="CD22" s="1188">
        <f>'2025'!R\Max</f>
        <v>0.33057731087204922</v>
      </c>
      <c r="CE22" s="1188">
        <f>'2026'!R\Max</f>
        <v>0.32760706732513462</v>
      </c>
      <c r="CF22" s="1189">
        <f>'2027'!R\Max</f>
        <v>0.32471005474506581</v>
      </c>
    </row>
    <row r="23" spans="1:84" s="6" customFormat="1" ht="11.25" x14ac:dyDescent="0.2">
      <c r="A23" s="11">
        <v>43109</v>
      </c>
      <c r="B23" s="380">
        <f>'2023'!Maxi_hp</f>
        <v>18.029266819342844</v>
      </c>
      <c r="C23" s="13">
        <f>'2023'!An_max</f>
        <v>2020</v>
      </c>
      <c r="D23" s="1059" t="str">
        <f t="shared" si="7"/>
        <v/>
      </c>
      <c r="E23" s="1054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51">
        <f t="shared" si="9"/>
        <v>0.9285714285714286</v>
      </c>
      <c r="J23" s="744">
        <f t="shared" si="27"/>
        <v>19.800242339127831</v>
      </c>
      <c r="L23" s="754" t="s">
        <v>217</v>
      </c>
      <c r="M23" s="738">
        <f t="shared" ref="M23:AM23" si="34">(y.1m-y.2m-b.m*(x.1m-x.2m))/D2x12</f>
        <v>2.9362233169120261E-2</v>
      </c>
      <c r="N23" s="738">
        <f>(y.1m-y.2m-b.m*(x.1m-x.2m))/D2x12</f>
        <v>3.8204269293913184E-2</v>
      </c>
      <c r="O23" s="738">
        <f t="shared" si="34"/>
        <v>2.073469387755256E-2</v>
      </c>
      <c r="P23" s="738">
        <f t="shared" si="34"/>
        <v>1.5551020408167185E-2</v>
      </c>
      <c r="Q23" s="738">
        <f t="shared" si="34"/>
        <v>2.5918367346942337E-2</v>
      </c>
      <c r="R23" s="738">
        <f t="shared" si="34"/>
        <v>1.5551020408161548E-2</v>
      </c>
      <c r="S23" s="738">
        <f t="shared" si="34"/>
        <v>-5.1836734693870602E-3</v>
      </c>
      <c r="T23" s="738">
        <f t="shared" si="34"/>
        <v>-3.369387755102142E-2</v>
      </c>
      <c r="U23" s="738">
        <f t="shared" si="34"/>
        <v>-3.1102040816325074E-2</v>
      </c>
      <c r="V23" s="738">
        <f t="shared" si="34"/>
        <v>-3.1102040816330861E-2</v>
      </c>
      <c r="W23" s="738">
        <f t="shared" si="34"/>
        <v>-3.6285714285713234E-2</v>
      </c>
      <c r="X23" s="738">
        <f t="shared" si="34"/>
        <v>-2.5918367346933188E-2</v>
      </c>
      <c r="Y23" s="738">
        <f t="shared" si="34"/>
        <v>-1.8142857142860815E-2</v>
      </c>
      <c r="Z23" s="738">
        <f t="shared" si="34"/>
        <v>-1.8142857142858085E-2</v>
      </c>
      <c r="AA23" s="738">
        <f t="shared" si="34"/>
        <v>-1.8142857142852294E-2</v>
      </c>
      <c r="AB23" s="738">
        <f t="shared" si="34"/>
        <v>-1.0367346938775536E-2</v>
      </c>
      <c r="AC23" s="738">
        <f t="shared" si="34"/>
        <v>-2.073469387754651E-2</v>
      </c>
      <c r="AD23" s="738">
        <f t="shared" si="34"/>
        <v>-2.3326530612251165E-2</v>
      </c>
      <c r="AE23" s="738">
        <f t="shared" si="34"/>
        <v>-2.591836734694548E-2</v>
      </c>
      <c r="AF23" s="738">
        <f t="shared" si="34"/>
        <v>-2.0734693877553306E-2</v>
      </c>
      <c r="AG23" s="738">
        <f t="shared" si="34"/>
        <v>1.2959183673466787E-2</v>
      </c>
      <c r="AH23" s="738">
        <f t="shared" si="34"/>
        <v>1.2959183673472501E-2</v>
      </c>
      <c r="AI23" s="738">
        <f t="shared" si="34"/>
        <v>1.8142857142854411E-2</v>
      </c>
      <c r="AJ23" s="738">
        <f t="shared" si="34"/>
        <v>3.6285714285716475E-2</v>
      </c>
      <c r="AK23" s="738">
        <f t="shared" si="34"/>
        <v>3.8877551020400726E-2</v>
      </c>
      <c r="AL23" s="738">
        <f t="shared" si="34"/>
        <v>5.1836734693860999E-2</v>
      </c>
      <c r="AM23" s="738">
        <f t="shared" si="34"/>
        <v>2.9362233169131311E-2</v>
      </c>
      <c r="AN23" s="738">
        <f>(y.1m-y.2m-b.m*(x.1m-x.2m))/D2x12</f>
        <v>3.8204269293926146E-2</v>
      </c>
      <c r="AO23" s="1052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51">
        <f t="shared" si="14"/>
        <v>0.9642857142857143</v>
      </c>
      <c r="AT23" s="767">
        <f t="shared" si="15"/>
        <v>19.792797873461886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51">
        <f t="shared" si="19"/>
        <v>0.55172413793103448</v>
      </c>
      <c r="AY23" s="767">
        <f t="shared" si="20"/>
        <v>19.971677124962724</v>
      </c>
      <c r="AZ23" s="744">
        <f t="shared" si="26"/>
        <v>19.882237499212305</v>
      </c>
      <c r="BA23" s="642">
        <f t="shared" si="21"/>
        <v>0.91055788664337145</v>
      </c>
      <c r="BC23" s="11">
        <v>43109</v>
      </c>
      <c r="BD23" s="290">
        <f>[2]!FeuilCaduc*(1-Persistant)+Persistant</f>
        <v>0.60243370588267942</v>
      </c>
      <c r="BE23" s="291">
        <f>[2]!CroissVégét</f>
        <v>5.4426808883230738E-4</v>
      </c>
      <c r="BF23" s="814">
        <f>1+[2]!Salcycl*Ksac</f>
        <v>1.000304213235335</v>
      </c>
      <c r="BH23" s="1050">
        <f t="shared" si="22"/>
        <v>2.8251468989698453E-2</v>
      </c>
      <c r="BI23" s="11">
        <v>44205</v>
      </c>
      <c r="BJ23" s="724">
        <v>2.7033724416117273E-6</v>
      </c>
      <c r="BK23" s="724">
        <v>4.951291966221911E-6</v>
      </c>
      <c r="BL23" s="724">
        <v>2.8472821232378743E-5</v>
      </c>
      <c r="BM23" s="724">
        <v>1.952919438858894E-4</v>
      </c>
      <c r="BN23" s="724">
        <v>5.7255567802174728E-3</v>
      </c>
      <c r="BO23" s="725">
        <v>2.8251468989698453E-2</v>
      </c>
      <c r="BP23" s="724">
        <v>8.6847894976172887E-2</v>
      </c>
      <c r="BQ23" s="724">
        <v>0.16108861797823551</v>
      </c>
      <c r="BR23" s="724">
        <v>0.23051612147469178</v>
      </c>
      <c r="BS23" s="724">
        <v>0.27313261336056355</v>
      </c>
      <c r="BT23" s="724">
        <v>0.30414191435744065</v>
      </c>
      <c r="BW23" s="1190">
        <f>'2018'!R\Max</f>
        <v>0</v>
      </c>
      <c r="BX23" s="1188">
        <f>'2019'!R\Max</f>
        <v>0.48868578064926632</v>
      </c>
      <c r="BY23" s="1188">
        <f>'2020'!R\Max</f>
        <v>0.91055788664337145</v>
      </c>
      <c r="BZ23" s="1188">
        <f>'2021'!R\Max</f>
        <v>0.33960336462246121</v>
      </c>
      <c r="CA23" s="1188">
        <f>'2022'!R\Max</f>
        <v>0.12419282246632106</v>
      </c>
      <c r="CB23" s="1188">
        <f>'2023'!R\Max</f>
        <v>0.41504366957451183</v>
      </c>
      <c r="CC23" s="1188">
        <f>'2024'!R\Max</f>
        <v>0.41211803369839378</v>
      </c>
      <c r="CD23" s="1188">
        <f>'2025'!R\Max</f>
        <v>0.40870333718518437</v>
      </c>
      <c r="CE23" s="1188">
        <f>'2026'!R\Max</f>
        <v>0.40542555577720191</v>
      </c>
      <c r="CF23" s="1189">
        <f>'2027'!R\Max</f>
        <v>0.40221190595822076</v>
      </c>
    </row>
    <row r="24" spans="1:84" s="6" customFormat="1" ht="11.25" x14ac:dyDescent="0.2">
      <c r="A24" s="11">
        <v>43110</v>
      </c>
      <c r="B24" s="380">
        <f>'2023'!Maxi_hp</f>
        <v>17.81595985452303</v>
      </c>
      <c r="C24" s="13">
        <f>'2023'!An_max</f>
        <v>2023</v>
      </c>
      <c r="D24" s="1059" t="str">
        <f t="shared" si="7"/>
        <v/>
      </c>
      <c r="E24" s="1054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51">
        <f t="shared" si="9"/>
        <v>0.8571428571428571</v>
      </c>
      <c r="J24" s="744">
        <f t="shared" si="27"/>
        <v>20.002070750934738</v>
      </c>
      <c r="L24" s="754" t="s">
        <v>218</v>
      </c>
      <c r="M24" s="738">
        <f t="shared" ref="M24:AM24" si="35">(y.2m-y.3m-(y.1m-y.2m)*D2x23/D2x12)/(x.2m-x.3m)/(1-(x.2m+x.3m)/(x.1m+x.2m))</f>
        <v>-2529.7669280780028</v>
      </c>
      <c r="N24" s="738">
        <f>(y.2m-y.3m-(y.1m-y.2m)*D2x23/D2x12)/(x.2m-x.3m)/(1-(x.2m+x.3m)/(x.1m+x.2m))</f>
        <v>-3291.9592840712776</v>
      </c>
      <c r="O24" s="738">
        <f t="shared" si="35"/>
        <v>-1785.5577959185005</v>
      </c>
      <c r="P24" s="738">
        <f t="shared" si="35"/>
        <v>-1338.4244897962565</v>
      </c>
      <c r="Q24" s="738">
        <f t="shared" si="35"/>
        <v>-2232.9813877554093</v>
      </c>
      <c r="R24" s="738">
        <f t="shared" si="35"/>
        <v>-1338.1342040814845</v>
      </c>
      <c r="S24" s="738">
        <f t="shared" si="35"/>
        <v>452.14073469381754</v>
      </c>
      <c r="T24" s="738">
        <f t="shared" si="35"/>
        <v>2914.5670612245772</v>
      </c>
      <c r="U24" s="738">
        <f t="shared" si="35"/>
        <v>2690.637551020282</v>
      </c>
      <c r="V24" s="738">
        <f t="shared" si="35"/>
        <v>2690.6375510207827</v>
      </c>
      <c r="W24" s="738">
        <f t="shared" si="35"/>
        <v>3138.7868571427662</v>
      </c>
      <c r="X24" s="738">
        <f t="shared" si="35"/>
        <v>2242.1979591831905</v>
      </c>
      <c r="Y24" s="738">
        <f t="shared" si="35"/>
        <v>1569.5385714288891</v>
      </c>
      <c r="Z24" s="738">
        <f t="shared" si="35"/>
        <v>1569.5385714286529</v>
      </c>
      <c r="AA24" s="738">
        <f t="shared" si="35"/>
        <v>1569.5385714281517</v>
      </c>
      <c r="AB24" s="738">
        <f t="shared" si="35"/>
        <v>896.22604081632869</v>
      </c>
      <c r="AC24" s="738">
        <f t="shared" si="35"/>
        <v>1794.2663673465479</v>
      </c>
      <c r="AD24" s="738">
        <f t="shared" si="35"/>
        <v>2018.8490204087063</v>
      </c>
      <c r="AE24" s="738">
        <f t="shared" si="35"/>
        <v>2243.5042448985405</v>
      </c>
      <c r="AF24" s="738">
        <f t="shared" si="35"/>
        <v>1794.0486530614228</v>
      </c>
      <c r="AG24" s="738">
        <f t="shared" si="35"/>
        <v>-1128.3561224487539</v>
      </c>
      <c r="AH24" s="738">
        <f t="shared" si="35"/>
        <v>-1128.3561224492496</v>
      </c>
      <c r="AI24" s="738">
        <f t="shared" si="35"/>
        <v>-1578.2471428569056</v>
      </c>
      <c r="AJ24" s="738">
        <f t="shared" si="35"/>
        <v>-3153.373714285904</v>
      </c>
      <c r="AK24" s="738">
        <f t="shared" si="35"/>
        <v>-3378.4643673462929</v>
      </c>
      <c r="AL24" s="738">
        <f t="shared" si="35"/>
        <v>-4504.2804897944807</v>
      </c>
      <c r="AM24" s="738">
        <f t="shared" si="35"/>
        <v>-2551.2013582924205</v>
      </c>
      <c r="AN24" s="738">
        <f>(y.2m-y.3m-(y.1m-y.2m)*D2x23/D2x12)/(x.2m-x.3m)/(1-(x.2m+x.3m)/(x.1m+x.2m))</f>
        <v>-3319.8484006569606</v>
      </c>
      <c r="AO24" s="1052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51">
        <f t="shared" si="14"/>
        <v>0.9285714285714286</v>
      </c>
      <c r="AT24" s="767">
        <f t="shared" si="15"/>
        <v>19.985341061385618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51">
        <f t="shared" si="19"/>
        <v>0.58620689655172409</v>
      </c>
      <c r="AY24" s="767">
        <f t="shared" si="20"/>
        <v>20.174951608299182</v>
      </c>
      <c r="AZ24" s="744">
        <f t="shared" si="26"/>
        <v>20.0801463348424</v>
      </c>
      <c r="BA24" s="642">
        <f t="shared" si="21"/>
        <v>0.89070577123573336</v>
      </c>
      <c r="BC24" s="11">
        <v>43110</v>
      </c>
      <c r="BD24" s="290">
        <f>[2]!FeuilCaduc*(1-Persistant)+Persistant</f>
        <v>0.60221817195725846</v>
      </c>
      <c r="BE24" s="291">
        <f>[2]!CroissVégét</f>
        <v>6.2535138577142317E-4</v>
      </c>
      <c r="BF24" s="814">
        <f>1+[2]!Salcycl*Ksac</f>
        <v>1.0002772714946573</v>
      </c>
      <c r="BH24" s="1050">
        <f t="shared" si="22"/>
        <v>2.7960433095070195E-2</v>
      </c>
      <c r="BI24" s="1052">
        <v>44206</v>
      </c>
      <c r="BJ24" s="724">
        <v>2.6681170269525881E-6</v>
      </c>
      <c r="BK24" s="724">
        <v>4.8684687550629273E-6</v>
      </c>
      <c r="BL24" s="724">
        <v>2.6746686276671024E-5</v>
      </c>
      <c r="BM24" s="724">
        <v>1.9542804252715474E-4</v>
      </c>
      <c r="BN24" s="724">
        <v>5.7486514212698597E-3</v>
      </c>
      <c r="BO24" s="725">
        <v>2.7960433095070195E-2</v>
      </c>
      <c r="BP24" s="724">
        <v>8.6742767110259078E-2</v>
      </c>
      <c r="BQ24" s="724">
        <v>0.16204404183576154</v>
      </c>
      <c r="BR24" s="724">
        <v>0.23310718981528733</v>
      </c>
      <c r="BS24" s="724">
        <v>0.27700262916062779</v>
      </c>
      <c r="BT24" s="724">
        <v>0.30854203226736648</v>
      </c>
      <c r="BW24" s="1190">
        <f>'2018'!R\Max</f>
        <v>0</v>
      </c>
      <c r="BX24" s="1188">
        <f>'2019'!R\Max</f>
        <v>0.44883258725419423</v>
      </c>
      <c r="BY24" s="1188">
        <f>'2020'!R\Max</f>
        <v>0.44202064816444447</v>
      </c>
      <c r="BZ24" s="1188">
        <f>'2021'!R\Max</f>
        <v>0.29746964808455661</v>
      </c>
      <c r="CA24" s="1188">
        <f>'2022'!R\Max</f>
        <v>9.5035608681478714E-2</v>
      </c>
      <c r="CB24" s="1188">
        <f>'2023'!R\Max</f>
        <v>0.89070577123573336</v>
      </c>
      <c r="CC24" s="1188">
        <f>'2024'!R\Max</f>
        <v>0.88952954396466299</v>
      </c>
      <c r="CD24" s="1188">
        <f>'2025'!R\Max</f>
        <v>0.88813004783768212</v>
      </c>
      <c r="CE24" s="1188">
        <f>'2026'!R\Max</f>
        <v>0.88676046714850065</v>
      </c>
      <c r="CF24" s="1189">
        <f>'2027'!R\Max</f>
        <v>0.88539559653254407</v>
      </c>
    </row>
    <row r="25" spans="1:84" s="6" customFormat="1" ht="11.25" x14ac:dyDescent="0.2">
      <c r="A25" s="11">
        <v>43111</v>
      </c>
      <c r="B25" s="380">
        <f>'2023'!Maxi_hp</f>
        <v>20.883768698219409</v>
      </c>
      <c r="C25" s="13">
        <f>'2023'!An_max</f>
        <v>2022</v>
      </c>
      <c r="D25" s="1059">
        <f t="shared" si="7"/>
        <v>1.0331575900476537</v>
      </c>
      <c r="E25" s="1054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51">
        <f t="shared" si="9"/>
        <v>0.7857142857142857</v>
      </c>
      <c r="J25" s="744">
        <f t="shared" si="27"/>
        <v>20.21353654020599</v>
      </c>
      <c r="L25" s="754" t="s">
        <v>219</v>
      </c>
      <c r="M25" s="738">
        <f t="shared" ref="M25:AM25" si="36">(y.1m+y.2m+y.3m-a.m*(x.3m*x.3m+x.2m*x.2m+x.1m*x.1m)-b.m*(x.3m+x.2m+x.1m))/3</f>
        <v>54489560.791120708</v>
      </c>
      <c r="N25" s="738">
        <f>(y.1m+y.2m+y.3m-a.m*(x.3m*x.3m+x.2m*x.2m+x.1m*x.1m)-b.m*(x.3m+x.2m+x.1m))/3</f>
        <v>70914996.113500252</v>
      </c>
      <c r="O25" s="738">
        <f t="shared" si="36"/>
        <v>38440746.888655931</v>
      </c>
      <c r="P25" s="738">
        <f t="shared" si="36"/>
        <v>28798540.962782804</v>
      </c>
      <c r="Q25" s="738">
        <f t="shared" si="36"/>
        <v>48095474.579108678</v>
      </c>
      <c r="R25" s="738">
        <f t="shared" si="36"/>
        <v>28786015.134200882</v>
      </c>
      <c r="S25" s="738">
        <f t="shared" si="36"/>
        <v>-9857963.540733397</v>
      </c>
      <c r="T25" s="738">
        <f t="shared" si="36"/>
        <v>-63027902.599348836</v>
      </c>
      <c r="U25" s="738">
        <f t="shared" si="36"/>
        <v>-58191137.270691149</v>
      </c>
      <c r="V25" s="738">
        <f t="shared" si="36"/>
        <v>-58191137.270701967</v>
      </c>
      <c r="W25" s="738">
        <f t="shared" si="36"/>
        <v>-67877212.044569463</v>
      </c>
      <c r="X25" s="738">
        <f t="shared" si="36"/>
        <v>-48492512.284234457</v>
      </c>
      <c r="Y25" s="738">
        <f t="shared" si="36"/>
        <v>-33944571.756578289</v>
      </c>
      <c r="Z25" s="738">
        <f t="shared" si="36"/>
        <v>-33944571.756573185</v>
      </c>
      <c r="AA25" s="738">
        <f t="shared" si="36"/>
        <v>-33944571.756562345</v>
      </c>
      <c r="AB25" s="738">
        <f t="shared" si="36"/>
        <v>-19368365.818612289</v>
      </c>
      <c r="AC25" s="738">
        <f t="shared" si="36"/>
        <v>-38815877.601787448</v>
      </c>
      <c r="AD25" s="738">
        <f t="shared" si="36"/>
        <v>-43680899.196746461</v>
      </c>
      <c r="AE25" s="738">
        <f t="shared" si="36"/>
        <v>-48549065.456828929</v>
      </c>
      <c r="AF25" s="738">
        <f t="shared" si="36"/>
        <v>-38806441.574371651</v>
      </c>
      <c r="AG25" s="738">
        <f t="shared" si="36"/>
        <v>24561520.724403266</v>
      </c>
      <c r="AH25" s="738">
        <f t="shared" si="36"/>
        <v>24561520.724414025</v>
      </c>
      <c r="AI25" s="738">
        <f t="shared" si="36"/>
        <v>34323030.885709144</v>
      </c>
      <c r="AJ25" s="738">
        <f t="shared" si="36"/>
        <v>68510364.666289821</v>
      </c>
      <c r="AK25" s="738">
        <f t="shared" si="36"/>
        <v>73397420.25321047</v>
      </c>
      <c r="AL25" s="738">
        <f t="shared" si="36"/>
        <v>97848457.07360144</v>
      </c>
      <c r="AM25" s="738">
        <f t="shared" si="36"/>
        <v>55416837.503403984</v>
      </c>
      <c r="AN25" s="738">
        <f>(y.1m+y.2m+y.3m-a.m*(x.3m*x.3m+x.2m*x.2m+x.1m*x.1m)-b.m*(x.3m+x.2m+x.1m))/3</f>
        <v>72121651.015987411</v>
      </c>
      <c r="AO25" s="1052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51">
        <f t="shared" si="14"/>
        <v>0.8928571428571429</v>
      </c>
      <c r="AT25" s="767">
        <f>((1-AS25)*(INDEX(a.lg,AP25)*$A25*$A25+INDEX(b.lg,AP25)*$A25+INDEX(c.lg,AP25))+AS25*(INDEX(a.lg,AQ25)*$A25*$A25+INDEX(b.lg,AQ25)*$A25+INDEX(c.lg,AQ25)))/10</f>
        <v>20.186165931102419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51">
        <f t="shared" si="19"/>
        <v>0.62068965517241381</v>
      </c>
      <c r="AY25" s="767">
        <f t="shared" si="20"/>
        <v>20.383665201838674</v>
      </c>
      <c r="AZ25" s="744">
        <f t="shared" si="26"/>
        <v>20.284915566470545</v>
      </c>
      <c r="BA25" s="642">
        <f t="shared" si="21"/>
        <v>1.0331575900476537</v>
      </c>
      <c r="BC25" s="11">
        <v>43111</v>
      </c>
      <c r="BD25" s="290">
        <f>[2]!FeuilCaduc*(1-Persistant)+Persistant</f>
        <v>0.60201187478427232</v>
      </c>
      <c r="BE25" s="291">
        <f>[2]!CroissVégét</f>
        <v>7.0982230050345072E-4</v>
      </c>
      <c r="BF25" s="814">
        <f>1+[2]!Salcycl*Ksac</f>
        <v>1.0002514843480341</v>
      </c>
      <c r="BH25" s="1050">
        <f t="shared" si="22"/>
        <v>2.7701519431571165E-2</v>
      </c>
      <c r="BI25" s="11">
        <v>44207</v>
      </c>
      <c r="BJ25" s="724">
        <v>2.6220144571039626E-6</v>
      </c>
      <c r="BK25" s="724">
        <v>4.747502981117472E-6</v>
      </c>
      <c r="BL25" s="724">
        <v>2.4929122122068878E-5</v>
      </c>
      <c r="BM25" s="724">
        <v>1.9537650512194498E-4</v>
      </c>
      <c r="BN25" s="724">
        <v>5.7730020655260257E-3</v>
      </c>
      <c r="BO25" s="725">
        <v>2.7701519431571165E-2</v>
      </c>
      <c r="BP25" s="724">
        <v>8.6576469689007562E-2</v>
      </c>
      <c r="BQ25" s="724">
        <v>0.16295748337060784</v>
      </c>
      <c r="BR25" s="724">
        <v>0.23569084160815315</v>
      </c>
      <c r="BS25" s="724">
        <v>0.2810319944455465</v>
      </c>
      <c r="BT25" s="724">
        <v>0.31316227344794584</v>
      </c>
      <c r="BW25" s="1190">
        <f>'2018'!R\Max</f>
        <v>0</v>
      </c>
      <c r="BX25" s="1188">
        <f>'2019'!R\Max</f>
        <v>0.84600769169771872</v>
      </c>
      <c r="BY25" s="1188">
        <f>'2020'!R\Max</f>
        <v>0.98084170090473533</v>
      </c>
      <c r="BZ25" s="1188">
        <f>'2021'!R\Max</f>
        <v>0.28141084141228395</v>
      </c>
      <c r="CA25" s="1188">
        <f>'2022'!R\Max</f>
        <v>1.0331575900476537</v>
      </c>
      <c r="CB25" s="1188">
        <f>'2023'!R\Max</f>
        <v>0.24396739923551281</v>
      </c>
      <c r="CC25" s="1188">
        <f>'2024'!R\Max</f>
        <v>0.24192091387711115</v>
      </c>
      <c r="CD25" s="1188">
        <f>'2025'!R\Max</f>
        <v>0.23950509335260686</v>
      </c>
      <c r="CE25" s="1188">
        <f>'2026'!R\Max</f>
        <v>0.23716614290560833</v>
      </c>
      <c r="CF25" s="1189">
        <f>'2027'!R\Max</f>
        <v>0.23486569242482722</v>
      </c>
    </row>
    <row r="26" spans="1:84" s="6" customFormat="1" ht="11.25" x14ac:dyDescent="0.2">
      <c r="A26" s="11">
        <v>43112</v>
      </c>
      <c r="B26" s="380">
        <f>'2023'!Maxi_hp</f>
        <v>19.450333694535168</v>
      </c>
      <c r="C26" s="13">
        <f>'2023'!An_max</f>
        <v>2020</v>
      </c>
      <c r="D26" s="1059" t="str">
        <f t="shared" si="7"/>
        <v/>
      </c>
      <c r="E26" s="1054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51">
        <f t="shared" si="9"/>
        <v>0.7142857142857143</v>
      </c>
      <c r="J26" s="744">
        <f t="shared" si="27"/>
        <v>20.433891010071552</v>
      </c>
      <c r="L26" s="10"/>
      <c r="AO26" s="1052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51">
        <f t="shared" si="14"/>
        <v>0.8571428571428571</v>
      </c>
      <c r="AT26" s="767">
        <f>((1-AS26)*(INDEX(a.lg,AP26)*$A26*$A26+INDEX(b.lg,AP26)*$A26+INDEX(c.lg,AP26))+AS26*(INDEX(a.lg,AQ26)*$A26*$A26+INDEX(b.lg,AQ26)*$A26+INDEX(c.lg,AQ26)))/10</f>
        <v>20.395008844137191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51">
        <f t="shared" si="19"/>
        <v>0.65517241379310343</v>
      </c>
      <c r="AY26" s="767">
        <f t="shared" si="20"/>
        <v>20.59754903909975</v>
      </c>
      <c r="AZ26" s="744">
        <f t="shared" si="26"/>
        <v>20.496278941618471</v>
      </c>
      <c r="BA26" s="642">
        <f t="shared" si="21"/>
        <v>0.95186637165424814</v>
      </c>
      <c r="BC26" s="11">
        <v>43112</v>
      </c>
      <c r="BD26" s="290">
        <f>[2]!FeuilCaduc*(1-Persistant)+Persistant</f>
        <v>0.6018145676787835</v>
      </c>
      <c r="BE26" s="291">
        <f>[2]!CroissVégét</f>
        <v>7.9782175584567966E-4</v>
      </c>
      <c r="BF26" s="814">
        <f>1+[2]!Salcycl*Ksac</f>
        <v>1.0002268209598479</v>
      </c>
      <c r="BH26" s="1050">
        <f t="shared" si="22"/>
        <v>2.7474712368664181E-2</v>
      </c>
      <c r="BI26" s="11">
        <v>44208</v>
      </c>
      <c r="BJ26" s="724">
        <v>2.5650462809083045E-6</v>
      </c>
      <c r="BK26" s="724">
        <v>4.588339032675429E-6</v>
      </c>
      <c r="BL26" s="724">
        <v>2.3020033003633385E-5</v>
      </c>
      <c r="BM26" s="724">
        <v>1.9513660213010386E-4</v>
      </c>
      <c r="BN26" s="724">
        <v>5.7985947513715169E-3</v>
      </c>
      <c r="BO26" s="725">
        <v>2.7474712368664181E-2</v>
      </c>
      <c r="BP26" s="724">
        <v>8.6348714599860474E-2</v>
      </c>
      <c r="BQ26" s="724">
        <v>0.16382843764163571</v>
      </c>
      <c r="BR26" s="724">
        <v>0.23826635650749309</v>
      </c>
      <c r="BS26" s="724">
        <v>0.28522002369772187</v>
      </c>
      <c r="BT26" s="724">
        <v>0.31800192301793551</v>
      </c>
      <c r="BW26" s="1190">
        <f>'2018'!R\Max</f>
        <v>0</v>
      </c>
      <c r="BX26" s="1188">
        <f>'2019'!R\Max</f>
        <v>0.44468761274190416</v>
      </c>
      <c r="BY26" s="1188">
        <f>'2020'!R\Max</f>
        <v>0.95186637165424814</v>
      </c>
      <c r="BZ26" s="1188">
        <f>'2021'!R\Max</f>
        <v>0.54228250075825568</v>
      </c>
      <c r="CA26" s="1188">
        <f>'2022'!R\Max</f>
        <v>0.91957280371579853</v>
      </c>
      <c r="CB26" s="1188">
        <f>'2023'!R\Max</f>
        <v>0.84155557353218935</v>
      </c>
      <c r="CC26" s="1188">
        <f>'2024'!R\Max</f>
        <v>0.83996142447719402</v>
      </c>
      <c r="CD26" s="1188">
        <f>'2025'!R\Max</f>
        <v>0.8380360205417372</v>
      </c>
      <c r="CE26" s="1188">
        <f>'2026'!R\Max</f>
        <v>0.83613189312985281</v>
      </c>
      <c r="CF26" s="1189">
        <f>'2027'!R\Max</f>
        <v>0.83422458853817139</v>
      </c>
    </row>
    <row r="27" spans="1:84" s="6" customFormat="1" ht="11.25" x14ac:dyDescent="0.2">
      <c r="A27" s="11">
        <v>43113</v>
      </c>
      <c r="B27" s="380">
        <f>'2023'!Maxi_hp</f>
        <v>13.955743056810109</v>
      </c>
      <c r="C27" s="13">
        <f>'2023'!An_max</f>
        <v>2020</v>
      </c>
      <c r="D27" s="1059" t="str">
        <f t="shared" si="7"/>
        <v/>
      </c>
      <c r="E27" s="1054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51">
        <f t="shared" si="9"/>
        <v>0.6428571428571429</v>
      </c>
      <c r="J27" s="744">
        <f t="shared" si="27"/>
        <v>20.662385464300002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052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51">
        <f t="shared" si="14"/>
        <v>0.8214285714285714</v>
      </c>
      <c r="AT27" s="767">
        <f>((1-AS27)*(INDEX(a.lg,AP27)*$A27*$A27+INDEX(b.lg,AP27)*$A27+INDEX(c.lg,AP27))+AS27*(INDEX(a.lg,AQ27)*$A27*$A27+INDEX(b.lg,AQ27)*$A27+INDEX(c.lg,AQ27)))/10</f>
        <v>20.611606169917753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51">
        <f t="shared" si="19"/>
        <v>0.68965517241379315</v>
      </c>
      <c r="AY27" s="767">
        <f t="shared" si="20"/>
        <v>20.816334252264994</v>
      </c>
      <c r="AZ27" s="744">
        <f t="shared" si="26"/>
        <v>20.713970211091372</v>
      </c>
      <c r="BA27" s="642">
        <f t="shared" si="21"/>
        <v>0.67541780598965806</v>
      </c>
      <c r="BC27" s="11">
        <v>43113</v>
      </c>
      <c r="BD27" s="290">
        <f>[2]!FeuilCaduc*(1-Persistant)+Persistant</f>
        <v>0.60162614288674821</v>
      </c>
      <c r="BE27" s="291">
        <f>[2]!CroissVégét</f>
        <v>8.8949648478391823E-4</v>
      </c>
      <c r="BF27" s="814">
        <f>1+[2]!Salcycl*Ksac</f>
        <v>1.0002032678608435</v>
      </c>
      <c r="BH27" s="1050">
        <f t="shared" si="22"/>
        <v>2.7279995540665399E-2</v>
      </c>
      <c r="BI27" s="11">
        <v>44209</v>
      </c>
      <c r="BJ27" s="724">
        <v>2.4971956747498111E-6</v>
      </c>
      <c r="BK27" s="724">
        <v>4.3909265938258291E-6</v>
      </c>
      <c r="BL27" s="724">
        <v>2.101935128077421E-5</v>
      </c>
      <c r="BM27" s="724">
        <v>1.9470762507278617E-4</v>
      </c>
      <c r="BN27" s="724">
        <v>5.8254151543413206E-3</v>
      </c>
      <c r="BO27" s="725">
        <v>2.7279995540665399E-2</v>
      </c>
      <c r="BP27" s="724">
        <v>8.6059222167218827E-2</v>
      </c>
      <c r="BQ27" s="724">
        <v>0.164656395437113</v>
      </c>
      <c r="BR27" s="724">
        <v>0.24083298959122076</v>
      </c>
      <c r="BS27" s="724">
        <v>0.28956597461806172</v>
      </c>
      <c r="BT27" s="724">
        <v>0.3230601969772342</v>
      </c>
      <c r="BW27" s="1190">
        <f>'2018'!R\Max</f>
        <v>0</v>
      </c>
      <c r="BX27" s="1188">
        <f>'2019'!R\Max</f>
        <v>0.19800777148449789</v>
      </c>
      <c r="BY27" s="1188">
        <f>'2020'!R\Max</f>
        <v>0.67541780598965806</v>
      </c>
      <c r="BZ27" s="1188">
        <f>'2021'!R\Max</f>
        <v>0.48155972461174168</v>
      </c>
      <c r="CA27" s="1188">
        <f>'2022'!R\Max</f>
        <v>0.27003016668492474</v>
      </c>
      <c r="CB27" s="1188">
        <f>'2023'!R\Max</f>
        <v>0.56956733020662398</v>
      </c>
      <c r="CC27" s="1188">
        <f>'2024'!R\Max</f>
        <v>0.56666545004135738</v>
      </c>
      <c r="CD27" s="1188">
        <f>'2025'!R\Max</f>
        <v>0.56315219009204753</v>
      </c>
      <c r="CE27" s="1188">
        <f>'2026'!R\Max</f>
        <v>0.55968449559299771</v>
      </c>
      <c r="CF27" s="1189">
        <f>'2027'!R\Max</f>
        <v>0.55622700974378425</v>
      </c>
    </row>
    <row r="28" spans="1:84" s="6" customFormat="1" ht="11.25" x14ac:dyDescent="0.2">
      <c r="A28" s="11">
        <v>43114</v>
      </c>
      <c r="B28" s="380">
        <f>'2023'!Maxi_hp</f>
        <v>21.54879733993512</v>
      </c>
      <c r="C28" s="13">
        <f>'2023'!An_max</f>
        <v>2022</v>
      </c>
      <c r="D28" s="1059">
        <f t="shared" si="7"/>
        <v>1.0311282272603908</v>
      </c>
      <c r="E28" s="1054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51">
        <f t="shared" si="9"/>
        <v>0.5714285714285714</v>
      </c>
      <c r="J28" s="744">
        <f t="shared" si="27"/>
        <v>20.898271204531191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2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51">
        <f t="shared" si="14"/>
        <v>0.7857142857142857</v>
      </c>
      <c r="AT28" s="767">
        <f t="shared" si="15"/>
        <v>20.835694268931238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51">
        <f t="shared" si="19"/>
        <v>0.72413793103448276</v>
      </c>
      <c r="AY28" s="767">
        <f t="shared" si="20"/>
        <v>21.039751973362833</v>
      </c>
      <c r="AZ28" s="744">
        <f t="shared" si="26"/>
        <v>20.937723121147037</v>
      </c>
      <c r="BA28" s="642">
        <f t="shared" si="21"/>
        <v>1.0311282272603908</v>
      </c>
      <c r="BC28" s="11">
        <v>43114</v>
      </c>
      <c r="BD28" s="290">
        <f>[2]!FeuilCaduc*(1-Persistant)+Persistant</f>
        <v>0.60144661446112435</v>
      </c>
      <c r="BE28" s="291">
        <f>[2]!CroissVégét</f>
        <v>9.849992655628797E-4</v>
      </c>
      <c r="BF28" s="814">
        <f>1+[2]!Salcycl*Ksac</f>
        <v>1.0001808268076406</v>
      </c>
      <c r="BH28" s="1050">
        <f t="shared" si="22"/>
        <v>2.7117351013371982E-2</v>
      </c>
      <c r="BI28" s="11">
        <v>44210</v>
      </c>
      <c r="BJ28" s="724">
        <v>2.4184477164658134E-6</v>
      </c>
      <c r="BK28" s="724">
        <v>4.1552216102338326E-6</v>
      </c>
      <c r="BL28" s="724">
        <v>1.8927039712471796E-5</v>
      </c>
      <c r="BM28" s="724">
        <v>1.9408889123159856E-4</v>
      </c>
      <c r="BN28" s="724">
        <v>5.8534485535679014E-3</v>
      </c>
      <c r="BO28" s="725">
        <v>2.7117351013371982E-2</v>
      </c>
      <c r="BP28" s="724">
        <v>8.5707722672429612E-2</v>
      </c>
      <c r="BQ28" s="724">
        <v>0.16544084430264328</v>
      </c>
      <c r="BR28" s="724">
        <v>0.24338997152040506</v>
      </c>
      <c r="BS28" s="724">
        <v>0.29406904405905238</v>
      </c>
      <c r="BT28" s="724">
        <v>0.32833623659538896</v>
      </c>
      <c r="BW28" s="1190">
        <f>'2018'!R\Max</f>
        <v>0</v>
      </c>
      <c r="BX28" s="1188">
        <f>'2019'!R\Max</f>
        <v>0.27267858665898276</v>
      </c>
      <c r="BY28" s="1188">
        <f>'2020'!R\Max</f>
        <v>0.93206529171308483</v>
      </c>
      <c r="BZ28" s="1188">
        <f>'2021'!R\Max</f>
        <v>0.51356609644816076</v>
      </c>
      <c r="CA28" s="1188">
        <f>'2022'!R\Max</f>
        <v>1.0311282272603908</v>
      </c>
      <c r="CB28" s="1188">
        <f>'2023'!R\Max</f>
        <v>0.71406157418692628</v>
      </c>
      <c r="CC28" s="1188">
        <f>'2024'!R\Max</f>
        <v>0.71165962204680255</v>
      </c>
      <c r="CD28" s="1188">
        <f>'2025'!R\Max</f>
        <v>0.70870994434870371</v>
      </c>
      <c r="CE28" s="1188">
        <f>'2026'!R\Max</f>
        <v>0.70576953763707639</v>
      </c>
      <c r="CF28" s="1189">
        <f>'2027'!R\Max</f>
        <v>0.70281671895194631</v>
      </c>
    </row>
    <row r="29" spans="1:84" s="6" customFormat="1" ht="11.25" x14ac:dyDescent="0.2">
      <c r="A29" s="11">
        <v>43115</v>
      </c>
      <c r="B29" s="380">
        <f>'2023'!Maxi_hp</f>
        <v>20.889632657989388</v>
      </c>
      <c r="C29" s="13">
        <f>'2023'!An_max</f>
        <v>2022</v>
      </c>
      <c r="D29" s="1059">
        <f t="shared" si="7"/>
        <v>0.98811932908150713</v>
      </c>
      <c r="E29" s="1054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51">
        <f t="shared" si="9"/>
        <v>0.5</v>
      </c>
      <c r="J29" s="744">
        <f t="shared" si="27"/>
        <v>21.140799540281296</v>
      </c>
      <c r="L29" s="772">
        <f>AJ13</f>
        <v>214.376</v>
      </c>
      <c r="M29" s="772">
        <f>L13</f>
        <v>170.68799999999999</v>
      </c>
      <c r="N29" s="762">
        <f>N13</f>
        <v>196.08799999999999</v>
      </c>
      <c r="O29" s="762">
        <f>P13</f>
        <v>271.27199999999999</v>
      </c>
      <c r="P29" s="762">
        <f>R13</f>
        <v>376.93599999999998</v>
      </c>
      <c r="Q29" s="762">
        <f>T13</f>
        <v>502.92</v>
      </c>
      <c r="R29" s="762">
        <f>V13</f>
        <v>588.26400000000001</v>
      </c>
      <c r="S29" s="762">
        <f>X13</f>
        <v>622.80799999999999</v>
      </c>
      <c r="T29" s="762">
        <f>Z13</f>
        <v>615.69600000000003</v>
      </c>
      <c r="U29" s="762">
        <f>AB13</f>
        <v>580.13599999999997</v>
      </c>
      <c r="V29" s="762">
        <f>AD13</f>
        <v>521.20799999999997</v>
      </c>
      <c r="W29" s="762">
        <f>AF13</f>
        <v>425.70400000000001</v>
      </c>
      <c r="X29" s="762">
        <f>AH13</f>
        <v>308.86400000000003</v>
      </c>
      <c r="Y29" s="762">
        <f>AJ13</f>
        <v>214.376</v>
      </c>
      <c r="Z29" s="762">
        <f>AL13</f>
        <v>170.68799999999999</v>
      </c>
      <c r="AA29" s="770">
        <f>AN13</f>
        <v>196.08799999999999</v>
      </c>
      <c r="AB29" s="770">
        <f>P13</f>
        <v>271.27199999999999</v>
      </c>
      <c r="AO29" s="1052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51">
        <f t="shared" si="14"/>
        <v>0.75</v>
      </c>
      <c r="AT29" s="767">
        <f t="shared" si="15"/>
        <v>21.067009506747127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51">
        <f t="shared" si="19"/>
        <v>0.75862068965517238</v>
      </c>
      <c r="AY29" s="767">
        <f t="shared" si="20"/>
        <v>21.267533335757669</v>
      </c>
      <c r="AZ29" s="744">
        <f t="shared" si="26"/>
        <v>21.167271421252398</v>
      </c>
      <c r="BA29" s="642">
        <f t="shared" si="21"/>
        <v>0.98811932908150713</v>
      </c>
      <c r="BC29" s="11">
        <v>43115</v>
      </c>
      <c r="BD29" s="290">
        <f>[2]!FeuilCaduc*(1-Persistant)+Persistant</f>
        <v>0.60127610081626426</v>
      </c>
      <c r="BE29" s="291">
        <f>[2]!CroissVégét</f>
        <v>1.0844891659074879E-3</v>
      </c>
      <c r="BF29" s="814">
        <f>1+[2]!Salcycl*Ksac</f>
        <v>1.0001595126020331</v>
      </c>
      <c r="BH29" s="1050">
        <f t="shared" si="22"/>
        <v>2.6986758450227039E-2</v>
      </c>
      <c r="BI29" s="11">
        <v>44211</v>
      </c>
      <c r="BJ29" s="724">
        <v>2.3287896592172173E-6</v>
      </c>
      <c r="BK29" s="724">
        <v>3.8811872548479172E-6</v>
      </c>
      <c r="BL29" s="724">
        <v>1.6743093732189222E-5</v>
      </c>
      <c r="BM29" s="724">
        <v>1.9327974834442246E-4</v>
      </c>
      <c r="BN29" s="724">
        <v>5.8826797981288981E-3</v>
      </c>
      <c r="BO29" s="725">
        <v>2.6986758450227039E-2</v>
      </c>
      <c r="BP29" s="724">
        <v>8.5293957872307924E-2</v>
      </c>
      <c r="BQ29" s="724">
        <v>0.16618126956625834</v>
      </c>
      <c r="BR29" s="724">
        <v>0.24593650869453262</v>
      </c>
      <c r="BS29" s="724">
        <v>0.29872836395276892</v>
      </c>
      <c r="BT29" s="724">
        <v>0.33382910279444772</v>
      </c>
      <c r="BW29" s="1190">
        <f>'2018'!R\Max</f>
        <v>0</v>
      </c>
      <c r="BX29" s="1188">
        <f>'2019'!R\Max</f>
        <v>0.97393296401745044</v>
      </c>
      <c r="BY29" s="1188">
        <f>'2020'!R\Max</f>
        <v>0.82186864109158531</v>
      </c>
      <c r="BZ29" s="1188">
        <f>'2021'!R\Max</f>
        <v>0.67281493323246577</v>
      </c>
      <c r="CA29" s="1188">
        <f>'2022'!R\Max</f>
        <v>0.98811932908150713</v>
      </c>
      <c r="CB29" s="1188">
        <f>'2023'!R\Max</f>
        <v>0.36349660609137435</v>
      </c>
      <c r="CC29" s="1188">
        <f>'2024'!R\Max</f>
        <v>0.360809957375896</v>
      </c>
      <c r="CD29" s="1188">
        <f>'2025'!R\Max</f>
        <v>0.3575033731209874</v>
      </c>
      <c r="CE29" s="1188">
        <f>'2026'!R\Max</f>
        <v>0.35422152196920814</v>
      </c>
      <c r="CF29" s="1189">
        <f>'2027'!R\Max</f>
        <v>0.35094906154756422</v>
      </c>
    </row>
    <row r="30" spans="1:84" s="6" customFormat="1" ht="11.25" x14ac:dyDescent="0.2">
      <c r="A30" s="11">
        <v>43116</v>
      </c>
      <c r="B30" s="380">
        <f>'2023'!Maxi_hp</f>
        <v>20.57239192220748</v>
      </c>
      <c r="C30" s="13">
        <f>'2023'!An_max</f>
        <v>2022</v>
      </c>
      <c r="D30" s="1059" t="str">
        <f t="shared" si="7"/>
        <v/>
      </c>
      <c r="E30" s="1054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51">
        <f t="shared" si="9"/>
        <v>0.42857142857142855</v>
      </c>
      <c r="J30" s="744">
        <f t="shared" si="27"/>
        <v>21.389221770635672</v>
      </c>
      <c r="L30" s="752" t="s">
        <v>209</v>
      </c>
      <c r="M30" s="782">
        <f t="shared" ref="M30:AA30" si="37">L28</f>
        <v>43051</v>
      </c>
      <c r="N30" s="783">
        <f t="shared" si="37"/>
        <v>43079</v>
      </c>
      <c r="O30" s="734">
        <f t="shared" si="37"/>
        <v>43108</v>
      </c>
      <c r="P30" s="734">
        <f t="shared" si="37"/>
        <v>43136</v>
      </c>
      <c r="Q30" s="734">
        <f t="shared" si="37"/>
        <v>43164</v>
      </c>
      <c r="R30" s="734">
        <f t="shared" si="37"/>
        <v>43192</v>
      </c>
      <c r="S30" s="734">
        <f t="shared" si="37"/>
        <v>43220</v>
      </c>
      <c r="T30" s="734">
        <f t="shared" si="37"/>
        <v>43248</v>
      </c>
      <c r="U30" s="734">
        <f t="shared" si="37"/>
        <v>43276</v>
      </c>
      <c r="V30" s="734">
        <f t="shared" si="37"/>
        <v>43304</v>
      </c>
      <c r="W30" s="734">
        <f t="shared" si="37"/>
        <v>43332</v>
      </c>
      <c r="X30" s="734">
        <f t="shared" si="37"/>
        <v>43360</v>
      </c>
      <c r="Y30" s="734">
        <f t="shared" si="37"/>
        <v>43388</v>
      </c>
      <c r="Z30" s="734">
        <f t="shared" si="37"/>
        <v>43416</v>
      </c>
      <c r="AA30" s="775">
        <f t="shared" si="37"/>
        <v>43444</v>
      </c>
      <c r="AO30" s="1052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51">
        <f t="shared" si="14"/>
        <v>0.7142857142857143</v>
      </c>
      <c r="AT30" s="767">
        <f t="shared" si="15"/>
        <v>21.305288248934918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51">
        <f t="shared" si="19"/>
        <v>0.7931034482758621</v>
      </c>
      <c r="AY30" s="767">
        <f t="shared" si="20"/>
        <v>21.499409474072785</v>
      </c>
      <c r="AZ30" s="744">
        <f t="shared" si="26"/>
        <v>21.402348861503853</v>
      </c>
      <c r="BA30" s="642">
        <f t="shared" si="21"/>
        <v>0.96181114688569069</v>
      </c>
      <c r="BC30" s="11">
        <v>43116</v>
      </c>
      <c r="BD30" s="290">
        <f>[2]!FeuilCaduc*(1-Persistant)+Persistant</f>
        <v>0.60111480715254595</v>
      </c>
      <c r="BE30" s="291">
        <f>[2]!CroissVégét</f>
        <v>1.1881317966940647E-3</v>
      </c>
      <c r="BF30" s="814">
        <f>1+[2]!Salcycl*Ksac</f>
        <v>1.0001393508940681</v>
      </c>
      <c r="BH30" s="1050">
        <f t="shared" si="22"/>
        <v>2.6907720602686078E-2</v>
      </c>
      <c r="BI30" s="11">
        <v>44212</v>
      </c>
      <c r="BJ30" s="724">
        <v>2.2457680165350014E-6</v>
      </c>
      <c r="BK30" s="724">
        <v>3.6009506176049762E-6</v>
      </c>
      <c r="BL30" s="724">
        <v>1.4596870870519448E-5</v>
      </c>
      <c r="BM30" s="724">
        <v>1.9247408571467327E-4</v>
      </c>
      <c r="BN30" s="724">
        <v>5.9153262132607158E-3</v>
      </c>
      <c r="BO30" s="725">
        <v>2.6907720602686078E-2</v>
      </c>
      <c r="BP30" s="724">
        <v>8.4822735375038039E-2</v>
      </c>
      <c r="BQ30" s="724">
        <v>0.16681493924216906</v>
      </c>
      <c r="BR30" s="724">
        <v>0.24839573770341228</v>
      </c>
      <c r="BS30" s="724">
        <v>0.30351916978417309</v>
      </c>
      <c r="BT30" s="724">
        <v>0.33965121797188741</v>
      </c>
      <c r="BW30" s="1190">
        <f>'2018'!R\Max</f>
        <v>0</v>
      </c>
      <c r="BX30" s="1188">
        <f>'2019'!R\Max</f>
        <v>0.93786468775650567</v>
      </c>
      <c r="BY30" s="1188">
        <f>'2020'!R\Max</f>
        <v>0.88511797640622925</v>
      </c>
      <c r="BZ30" s="1188">
        <f>'2021'!R\Max</f>
        <v>0.61054714018333511</v>
      </c>
      <c r="CA30" s="1188">
        <f>'2022'!R\Max</f>
        <v>0.96181114688569069</v>
      </c>
      <c r="CB30" s="1188">
        <f>'2023'!R\Max</f>
        <v>0.19242167549100248</v>
      </c>
      <c r="CC30" s="1188">
        <f>'2024'!R\Max</f>
        <v>0.19087023498764055</v>
      </c>
      <c r="CD30" s="1188">
        <f>'2025'!R\Max</f>
        <v>0.18894121181183499</v>
      </c>
      <c r="CE30" s="1188">
        <f>'2026'!R\Max</f>
        <v>0.18701864236608068</v>
      </c>
      <c r="CF30" s="1189">
        <f>'2027'!R\Max</f>
        <v>0.18509936231887245</v>
      </c>
    </row>
    <row r="31" spans="1:84" s="6" customFormat="1" ht="11.25" x14ac:dyDescent="0.2">
      <c r="A31" s="11">
        <v>43117</v>
      </c>
      <c r="B31" s="380">
        <f>'2023'!Maxi_hp</f>
        <v>13.681968685413491</v>
      </c>
      <c r="C31" s="13">
        <f>'2023'!An_max</f>
        <v>2022</v>
      </c>
      <c r="D31" s="1059" t="str">
        <f t="shared" si="7"/>
        <v/>
      </c>
      <c r="E31" s="1054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51">
        <f t="shared" si="9"/>
        <v>0.35714285714285715</v>
      </c>
      <c r="J31" s="744">
        <f t="shared" si="27"/>
        <v>21.642789202556013</v>
      </c>
      <c r="L31" s="753" t="s">
        <v>210</v>
      </c>
      <c r="M31" s="774">
        <f t="shared" ref="M31:AA31" si="38">L29</f>
        <v>214.376</v>
      </c>
      <c r="N31" s="778">
        <f t="shared" si="38"/>
        <v>170.68799999999999</v>
      </c>
      <c r="O31" s="740">
        <f t="shared" si="38"/>
        <v>196.08799999999999</v>
      </c>
      <c r="P31" s="740">
        <f t="shared" si="38"/>
        <v>271.27199999999999</v>
      </c>
      <c r="Q31" s="740">
        <f t="shared" si="38"/>
        <v>376.93599999999998</v>
      </c>
      <c r="R31" s="740">
        <f t="shared" si="38"/>
        <v>502.92</v>
      </c>
      <c r="S31" s="740">
        <f t="shared" si="38"/>
        <v>588.26400000000001</v>
      </c>
      <c r="T31" s="740">
        <f t="shared" si="38"/>
        <v>622.80799999999999</v>
      </c>
      <c r="U31" s="740">
        <f t="shared" si="38"/>
        <v>615.69600000000003</v>
      </c>
      <c r="V31" s="740">
        <f t="shared" si="38"/>
        <v>580.13599999999997</v>
      </c>
      <c r="W31" s="740">
        <f t="shared" si="38"/>
        <v>521.20799999999997</v>
      </c>
      <c r="X31" s="740">
        <f t="shared" si="38"/>
        <v>425.70400000000001</v>
      </c>
      <c r="Y31" s="740">
        <f t="shared" si="38"/>
        <v>308.86400000000003</v>
      </c>
      <c r="Z31" s="740">
        <f t="shared" si="38"/>
        <v>214.376</v>
      </c>
      <c r="AA31" s="776">
        <f t="shared" si="38"/>
        <v>170.68799999999999</v>
      </c>
      <c r="AO31" s="1052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51">
        <f t="shared" si="14"/>
        <v>0.6785714285714286</v>
      </c>
      <c r="AT31" s="767">
        <f t="shared" si="15"/>
        <v>21.550266856886445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51">
        <f t="shared" si="19"/>
        <v>0.82758620689655171</v>
      </c>
      <c r="AY31" s="767">
        <f t="shared" si="20"/>
        <v>21.735111518306979</v>
      </c>
      <c r="AZ31" s="744">
        <f t="shared" si="26"/>
        <v>21.642689187596712</v>
      </c>
      <c r="BA31" s="642">
        <f t="shared" si="21"/>
        <v>0.63217215477003541</v>
      </c>
      <c r="BC31" s="11">
        <v>43117</v>
      </c>
      <c r="BD31" s="290">
        <f>[2]!FeuilCaduc*(1-Persistant)+Persistant</f>
        <v>0.60096300793964963</v>
      </c>
      <c r="BE31" s="291">
        <f>[2]!CroissVégét</f>
        <v>1.2960995754023115E-3</v>
      </c>
      <c r="BF31" s="814">
        <f>1+[2]!Salcycl*Ksac</f>
        <v>1.0001203759924562</v>
      </c>
      <c r="BH31" s="1050">
        <f t="shared" si="22"/>
        <v>2.6872452236233021E-2</v>
      </c>
      <c r="BI31" s="11">
        <v>44213</v>
      </c>
      <c r="BJ31" s="724">
        <v>2.2033436771520844E-6</v>
      </c>
      <c r="BK31" s="724">
        <v>3.3767062846839987E-6</v>
      </c>
      <c r="BL31" s="724">
        <v>1.2679294419007884E-5</v>
      </c>
      <c r="BM31" s="724">
        <v>1.9209346824199203E-4</v>
      </c>
      <c r="BN31" s="724">
        <v>5.9513721426183502E-3</v>
      </c>
      <c r="BO31" s="725">
        <v>2.6872452236233021E-2</v>
      </c>
      <c r="BP31" s="724">
        <v>8.4305290439503675E-2</v>
      </c>
      <c r="BQ31" s="724">
        <v>0.16732503338937529</v>
      </c>
      <c r="BR31" s="724">
        <v>0.25072496358588903</v>
      </c>
      <c r="BS31" s="724">
        <v>0.30834179309156123</v>
      </c>
      <c r="BT31" s="724">
        <v>0.34568944899197468</v>
      </c>
      <c r="BW31" s="1190">
        <f>'2018'!R\Max</f>
        <v>0</v>
      </c>
      <c r="BX31" s="1188">
        <f>'2019'!R\Max</f>
        <v>0.44951868499659547</v>
      </c>
      <c r="BY31" s="1188">
        <f>'2020'!R\Max</f>
        <v>0.22863089601231137</v>
      </c>
      <c r="BZ31" s="1188">
        <f>'2021'!R\Max</f>
        <v>0.44514925472821937</v>
      </c>
      <c r="CA31" s="1188">
        <f>'2022'!R\Max</f>
        <v>0.63217215477003541</v>
      </c>
      <c r="CB31" s="1188">
        <f>'2023'!R\Max</f>
        <v>0.30938942387263541</v>
      </c>
      <c r="CC31" s="1188">
        <f>'2024'!R\Max</f>
        <v>0.30696412209071328</v>
      </c>
      <c r="CD31" s="1188">
        <f>'2025'!R\Max</f>
        <v>0.3039109830663983</v>
      </c>
      <c r="CE31" s="1188">
        <f>'2026'!R\Max</f>
        <v>0.3008475156417591</v>
      </c>
      <c r="CF31" s="1189">
        <f>'2027'!R\Max</f>
        <v>0.29777858054357581</v>
      </c>
    </row>
    <row r="32" spans="1:84" s="6" customFormat="1" ht="11.25" x14ac:dyDescent="0.2">
      <c r="A32" s="11">
        <v>43118</v>
      </c>
      <c r="B32" s="380">
        <f>'2023'!Maxi_hp</f>
        <v>21.36929658640063</v>
      </c>
      <c r="C32" s="13">
        <f>'2023'!An_max</f>
        <v>2021</v>
      </c>
      <c r="D32" s="1059">
        <f t="shared" si="7"/>
        <v>0.9757334121008191</v>
      </c>
      <c r="E32" s="1054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51">
        <f t="shared" si="9"/>
        <v>0.2857142857142857</v>
      </c>
      <c r="J32" s="744">
        <f t="shared" si="27"/>
        <v>21.900753137469291</v>
      </c>
      <c r="L32" s="753" t="s">
        <v>211</v>
      </c>
      <c r="M32" s="785">
        <f t="shared" ref="M32:AA32" si="39">M28</f>
        <v>43079</v>
      </c>
      <c r="N32" s="735">
        <f t="shared" si="39"/>
        <v>43108</v>
      </c>
      <c r="O32" s="735">
        <f t="shared" si="39"/>
        <v>43136</v>
      </c>
      <c r="P32" s="735">
        <f t="shared" si="39"/>
        <v>43164</v>
      </c>
      <c r="Q32" s="735">
        <f t="shared" si="39"/>
        <v>43192</v>
      </c>
      <c r="R32" s="735">
        <f t="shared" si="39"/>
        <v>43220</v>
      </c>
      <c r="S32" s="735">
        <f t="shared" si="39"/>
        <v>43248</v>
      </c>
      <c r="T32" s="735">
        <f t="shared" si="39"/>
        <v>43276</v>
      </c>
      <c r="U32" s="735">
        <f t="shared" si="39"/>
        <v>43304</v>
      </c>
      <c r="V32" s="735">
        <f t="shared" si="39"/>
        <v>43332</v>
      </c>
      <c r="W32" s="735">
        <f t="shared" si="39"/>
        <v>43360</v>
      </c>
      <c r="X32" s="735">
        <f t="shared" si="39"/>
        <v>43388</v>
      </c>
      <c r="Y32" s="735">
        <f t="shared" si="39"/>
        <v>43416</v>
      </c>
      <c r="Z32" s="777">
        <f t="shared" si="39"/>
        <v>43444</v>
      </c>
      <c r="AA32" s="784">
        <f t="shared" si="39"/>
        <v>43473</v>
      </c>
      <c r="AO32" s="1052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51">
        <f t="shared" si="14"/>
        <v>0.6428571428571429</v>
      </c>
      <c r="AT32" s="767">
        <f t="shared" si="15"/>
        <v>21.801681697687933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51">
        <f t="shared" si="19"/>
        <v>0.86206896551724133</v>
      </c>
      <c r="AY32" s="767">
        <f t="shared" si="20"/>
        <v>21.974370603134922</v>
      </c>
      <c r="AZ32" s="744">
        <f t="shared" si="26"/>
        <v>21.888026150411427</v>
      </c>
      <c r="BA32" s="642">
        <f t="shared" si="21"/>
        <v>0.9757334121008191</v>
      </c>
      <c r="BC32" s="11">
        <v>43118</v>
      </c>
      <c r="BD32" s="290">
        <f>[2]!FeuilCaduc*(1-Persistant)+Persistant</f>
        <v>0.60082102964158302</v>
      </c>
      <c r="BE32" s="291">
        <f>[2]!CroissVégét</f>
        <v>1.4085719996856784E-3</v>
      </c>
      <c r="BF32" s="814">
        <f>1+[2]!Salcycl*Ksac</f>
        <v>1.0001026287051979</v>
      </c>
      <c r="BH32" s="1050">
        <f t="shared" si="22"/>
        <v>2.688092809546562E-2</v>
      </c>
      <c r="BI32" s="11">
        <v>44214</v>
      </c>
      <c r="BJ32" s="724">
        <v>2.2015505379509591E-6</v>
      </c>
      <c r="BK32" s="724">
        <v>3.2085153721118335E-6</v>
      </c>
      <c r="BL32" s="724">
        <v>1.0990708612727579E-5</v>
      </c>
      <c r="BM32" s="724">
        <v>1.9213782520067555E-4</v>
      </c>
      <c r="BN32" s="724">
        <v>5.9908024694024578E-3</v>
      </c>
      <c r="BO32" s="725">
        <v>2.688092809546562E-2</v>
      </c>
      <c r="BP32" s="724">
        <v>8.3741420762991445E-2</v>
      </c>
      <c r="BQ32" s="724">
        <v>0.1677109816559996</v>
      </c>
      <c r="BR32" s="724">
        <v>0.25292323635731784</v>
      </c>
      <c r="BS32" s="724">
        <v>0.31319505346443122</v>
      </c>
      <c r="BT32" s="724">
        <v>0.35194257222421937</v>
      </c>
      <c r="BW32" s="1190">
        <f>'2018'!R\Max</f>
        <v>0</v>
      </c>
      <c r="BX32" s="1188">
        <f>'2019'!R\Max</f>
        <v>0.57737245194600617</v>
      </c>
      <c r="BY32" s="1188">
        <f>'2020'!R\Max</f>
        <v>0.77471771916821452</v>
      </c>
      <c r="BZ32" s="1188">
        <f>'2021'!R\Max</f>
        <v>0.9757334121008191</v>
      </c>
      <c r="CA32" s="1188">
        <f>'2022'!R\Max</f>
        <v>0.17483061037829598</v>
      </c>
      <c r="CB32" s="1188">
        <f>'2023'!R\Max</f>
        <v>0.75421399107704634</v>
      </c>
      <c r="CC32" s="1188">
        <f>'2024'!R\Max</f>
        <v>0.75212683106626166</v>
      </c>
      <c r="CD32" s="1188">
        <f>'2025'!R\Max</f>
        <v>0.7494363372361027</v>
      </c>
      <c r="CE32" s="1188">
        <f>'2026'!R\Max</f>
        <v>0.74668306871605383</v>
      </c>
      <c r="CF32" s="1189">
        <f>'2027'!R\Max</f>
        <v>0.74387922906304771</v>
      </c>
    </row>
    <row r="33" spans="1:84" s="6" customFormat="1" ht="11.25" x14ac:dyDescent="0.2">
      <c r="A33" s="11">
        <v>43119</v>
      </c>
      <c r="B33" s="380">
        <f>'2023'!Maxi_hp</f>
        <v>22.802724307103638</v>
      </c>
      <c r="C33" s="13">
        <f>'2023'!An_max</f>
        <v>2020</v>
      </c>
      <c r="D33" s="1059">
        <f t="shared" si="7"/>
        <v>1.0288940024745465</v>
      </c>
      <c r="E33" s="1054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51">
        <f t="shared" si="9"/>
        <v>0.21428571428571427</v>
      </c>
      <c r="J33" s="744">
        <f t="shared" si="27"/>
        <v>22.162364881379261</v>
      </c>
      <c r="L33" s="753" t="s">
        <v>212</v>
      </c>
      <c r="M33" s="778">
        <f t="shared" ref="M33:AA33" si="40">M29</f>
        <v>170.68799999999999</v>
      </c>
      <c r="N33" s="741">
        <f t="shared" si="40"/>
        <v>196.08799999999999</v>
      </c>
      <c r="O33" s="741">
        <f t="shared" si="40"/>
        <v>271.27199999999999</v>
      </c>
      <c r="P33" s="741">
        <f t="shared" si="40"/>
        <v>376.93599999999998</v>
      </c>
      <c r="Q33" s="741">
        <f t="shared" si="40"/>
        <v>502.92</v>
      </c>
      <c r="R33" s="741">
        <f t="shared" si="40"/>
        <v>588.26400000000001</v>
      </c>
      <c r="S33" s="741">
        <f t="shared" si="40"/>
        <v>622.80799999999999</v>
      </c>
      <c r="T33" s="741">
        <f t="shared" si="40"/>
        <v>615.69600000000003</v>
      </c>
      <c r="U33" s="741">
        <f t="shared" si="40"/>
        <v>580.13599999999997</v>
      </c>
      <c r="V33" s="741">
        <f t="shared" si="40"/>
        <v>521.20799999999997</v>
      </c>
      <c r="W33" s="741">
        <f t="shared" si="40"/>
        <v>425.70400000000001</v>
      </c>
      <c r="X33" s="741">
        <f t="shared" si="40"/>
        <v>308.86400000000003</v>
      </c>
      <c r="Y33" s="741">
        <f t="shared" si="40"/>
        <v>214.376</v>
      </c>
      <c r="Z33" s="776">
        <f t="shared" si="40"/>
        <v>170.68799999999999</v>
      </c>
      <c r="AA33" s="774">
        <f t="shared" si="40"/>
        <v>196.08799999999999</v>
      </c>
      <c r="AO33" s="1052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51">
        <f t="shared" si="14"/>
        <v>0.6071428571428571</v>
      </c>
      <c r="AT33" s="767">
        <f t="shared" si="15"/>
        <v>22.059269135498575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51">
        <f t="shared" si="19"/>
        <v>0.89655172413793105</v>
      </c>
      <c r="AY33" s="767">
        <f t="shared" si="20"/>
        <v>22.216917861381482</v>
      </c>
      <c r="AZ33" s="744">
        <f t="shared" si="26"/>
        <v>22.138093498440028</v>
      </c>
      <c r="BA33" s="642">
        <f t="shared" si="21"/>
        <v>1.0288940024745465</v>
      </c>
      <c r="BC33" s="11">
        <v>43119</v>
      </c>
      <c r="BD33" s="290">
        <f>[2]!FeuilCaduc*(1-Persistant)+Persistant</f>
        <v>0.60068923385957229</v>
      </c>
      <c r="BE33" s="291">
        <f>[2]!CroissVégét</f>
        <v>1.5257359314074395E-3</v>
      </c>
      <c r="BF33" s="814">
        <f>1+[2]!Salcycl*Ksac</f>
        <v>1.0000861542324466</v>
      </c>
      <c r="BH33" s="1050">
        <f t="shared" si="22"/>
        <v>2.6933114549190628E-2</v>
      </c>
      <c r="BI33" s="11">
        <v>44215</v>
      </c>
      <c r="BJ33" s="724">
        <v>2.2404148908956427E-6</v>
      </c>
      <c r="BK33" s="724">
        <v>3.0964301668664813E-6</v>
      </c>
      <c r="BL33" s="724">
        <v>9.5314316756163534E-6</v>
      </c>
      <c r="BM33" s="724">
        <v>1.9260700511142641E-4</v>
      </c>
      <c r="BN33" s="724">
        <v>6.033601026313601E-3</v>
      </c>
      <c r="BO33" s="725">
        <v>2.6933114549190628E-2</v>
      </c>
      <c r="BP33" s="724">
        <v>8.3130938116421027E-2</v>
      </c>
      <c r="BQ33" s="724">
        <v>0.16797223251211726</v>
      </c>
      <c r="BR33" s="724">
        <v>0.2549896076523675</v>
      </c>
      <c r="BS33" s="724">
        <v>0.31807771497557763</v>
      </c>
      <c r="BT33" s="724">
        <v>0.35840925980651983</v>
      </c>
      <c r="BW33" s="1190">
        <f>'2018'!R\Max</f>
        <v>0</v>
      </c>
      <c r="BX33" s="1188">
        <f>'2019'!R\Max</f>
        <v>0.63826030181478177</v>
      </c>
      <c r="BY33" s="1188">
        <f>'2020'!R\Max</f>
        <v>1.0288940024745465</v>
      </c>
      <c r="BZ33" s="1188">
        <f>'2021'!R\Max</f>
        <v>0.98912534767288451</v>
      </c>
      <c r="CA33" s="1188">
        <f>'2022'!R\Max</f>
        <v>0.4149365320234436</v>
      </c>
      <c r="CB33" s="1188">
        <f>'2023'!R\Max</f>
        <v>0.39856130343019114</v>
      </c>
      <c r="CC33" s="1188">
        <f>'2024'!R\Max</f>
        <v>0.39591168364928003</v>
      </c>
      <c r="CD33" s="1188">
        <f>'2025'!R\Max</f>
        <v>0.39248443291129242</v>
      </c>
      <c r="CE33" s="1188">
        <f>'2026'!R\Max</f>
        <v>0.38898842946919115</v>
      </c>
      <c r="CF33" s="1189">
        <f>'2027'!R\Max</f>
        <v>0.38545313674509146</v>
      </c>
    </row>
    <row r="34" spans="1:84" s="6" customFormat="1" ht="11.25" x14ac:dyDescent="0.2">
      <c r="A34" s="11">
        <v>43120</v>
      </c>
      <c r="B34" s="380">
        <f>'2023'!Maxi_hp</f>
        <v>17.761021939938079</v>
      </c>
      <c r="C34" s="13">
        <f>'2023'!An_max</f>
        <v>2023</v>
      </c>
      <c r="D34" s="1059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51">
        <f t="shared" si="9"/>
        <v>0.14285714285714285</v>
      </c>
      <c r="J34" s="744">
        <f t="shared" si="27"/>
        <v>22.42687573752233</v>
      </c>
      <c r="L34" s="753" t="s">
        <v>213</v>
      </c>
      <c r="M34" s="780">
        <f t="shared" ref="M34:AA34" si="41">N28</f>
        <v>43108</v>
      </c>
      <c r="N34" s="736">
        <f t="shared" si="41"/>
        <v>43136</v>
      </c>
      <c r="O34" s="736">
        <f t="shared" si="41"/>
        <v>43164</v>
      </c>
      <c r="P34" s="736">
        <f t="shared" si="41"/>
        <v>43192</v>
      </c>
      <c r="Q34" s="736">
        <f t="shared" si="41"/>
        <v>43220</v>
      </c>
      <c r="R34" s="736">
        <f t="shared" si="41"/>
        <v>43248</v>
      </c>
      <c r="S34" s="736">
        <f t="shared" si="41"/>
        <v>43276</v>
      </c>
      <c r="T34" s="736">
        <f t="shared" si="41"/>
        <v>43304</v>
      </c>
      <c r="U34" s="736">
        <f t="shared" si="41"/>
        <v>43332</v>
      </c>
      <c r="V34" s="736">
        <f t="shared" si="41"/>
        <v>43360</v>
      </c>
      <c r="W34" s="736">
        <f t="shared" si="41"/>
        <v>43388</v>
      </c>
      <c r="X34" s="736">
        <f t="shared" si="41"/>
        <v>43416</v>
      </c>
      <c r="Y34" s="736">
        <f t="shared" si="41"/>
        <v>43444</v>
      </c>
      <c r="Z34" s="786">
        <f t="shared" si="41"/>
        <v>43473</v>
      </c>
      <c r="AA34" s="784">
        <f t="shared" si="41"/>
        <v>43501</v>
      </c>
      <c r="AO34" s="1052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51">
        <f t="shared" si="14"/>
        <v>0.5714285714285714</v>
      </c>
      <c r="AT34" s="767">
        <f t="shared" si="15"/>
        <v>22.322765534796886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51">
        <f t="shared" si="19"/>
        <v>0.93103448275862066</v>
      </c>
      <c r="AY34" s="767">
        <f t="shared" si="20"/>
        <v>22.462484424381422</v>
      </c>
      <c r="AZ34" s="744">
        <f t="shared" si="26"/>
        <v>22.392624979589154</v>
      </c>
      <c r="BA34" s="642">
        <f t="shared" si="21"/>
        <v>0.79195257278846798</v>
      </c>
      <c r="BC34" s="11">
        <v>43120</v>
      </c>
      <c r="BD34" s="290">
        <f>[2]!FeuilCaduc*(1-Persistant)+Persistant</f>
        <v>0.60056800106036667</v>
      </c>
      <c r="BE34" s="291">
        <f>[2]!CroissVégét</f>
        <v>1.6477858914927391E-3</v>
      </c>
      <c r="BF34" s="814">
        <f>1+[2]!Salcycl*Ksac</f>
        <v>1.0000710001325459</v>
      </c>
      <c r="BH34" s="1050">
        <f t="shared" si="22"/>
        <v>2.7029119223997405E-2</v>
      </c>
      <c r="BI34" s="11">
        <v>44216</v>
      </c>
      <c r="BJ34" s="724">
        <v>2.3199673309158329E-6</v>
      </c>
      <c r="BK34" s="724">
        <v>3.0405096593321355E-6</v>
      </c>
      <c r="BL34" s="724">
        <v>8.3017962836761754E-6</v>
      </c>
      <c r="BM34" s="724">
        <v>1.9350184413368963E-4</v>
      </c>
      <c r="BN34" s="724">
        <v>6.0797844176847657E-3</v>
      </c>
      <c r="BO34" s="725">
        <v>2.7029119223997405E-2</v>
      </c>
      <c r="BP34" s="724">
        <v>8.2474129476159397E-2</v>
      </c>
      <c r="BQ34" s="724">
        <v>0.16810919396079213</v>
      </c>
      <c r="BR34" s="724">
        <v>0.25692456696730831</v>
      </c>
      <c r="BS34" s="724">
        <v>0.32299028682045483</v>
      </c>
      <c r="BT34" s="724">
        <v>0.36509011042680634</v>
      </c>
      <c r="BW34" s="1190">
        <f>'2018'!R\Max</f>
        <v>0</v>
      </c>
      <c r="BX34" s="1188">
        <f>'2019'!R\Max</f>
        <v>0.30451594620437777</v>
      </c>
      <c r="BY34" s="1188">
        <f>'2020'!R\Max</f>
        <v>0.49591513797170755</v>
      </c>
      <c r="BZ34" s="1188">
        <f>'2021'!R\Max</f>
        <v>0.2828964427032773</v>
      </c>
      <c r="CA34" s="1188">
        <f>'2022'!R\Max</f>
        <v>0.32076250488786989</v>
      </c>
      <c r="CB34" s="1188">
        <f>'2023'!R\Max</f>
        <v>0.79195257278846798</v>
      </c>
      <c r="CC34" s="1188">
        <f>'2024'!R\Max</f>
        <v>0.7901520821622271</v>
      </c>
      <c r="CD34" s="1188">
        <f>'2025'!R\Max</f>
        <v>0.78776951747727286</v>
      </c>
      <c r="CE34" s="1188">
        <f>'2026'!R\Max</f>
        <v>0.78529253943125499</v>
      </c>
      <c r="CF34" s="1189">
        <f>'2027'!R\Max</f>
        <v>0.78274879683204901</v>
      </c>
    </row>
    <row r="35" spans="1:84" s="6" customFormat="1" ht="11.25" x14ac:dyDescent="0.2">
      <c r="A35" s="11">
        <v>43121</v>
      </c>
      <c r="B35" s="380">
        <f>'2023'!Maxi_hp</f>
        <v>16.083260697407649</v>
      </c>
      <c r="C35" s="13">
        <f>'2023'!An_max</f>
        <v>2022</v>
      </c>
      <c r="D35" s="1059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51">
        <f t="shared" si="9"/>
        <v>7.1428571428571425E-2</v>
      </c>
      <c r="J35" s="744">
        <f t="shared" si="27"/>
        <v>22.693537007857646</v>
      </c>
      <c r="L35" s="753" t="s">
        <v>214</v>
      </c>
      <c r="M35" s="781">
        <f t="shared" ref="M35:AA35" si="42">N29</f>
        <v>196.08799999999999</v>
      </c>
      <c r="N35" s="741">
        <f t="shared" si="42"/>
        <v>271.27199999999999</v>
      </c>
      <c r="O35" s="741">
        <f t="shared" si="42"/>
        <v>376.93599999999998</v>
      </c>
      <c r="P35" s="741">
        <f t="shared" si="42"/>
        <v>502.92</v>
      </c>
      <c r="Q35" s="741">
        <f t="shared" si="42"/>
        <v>588.26400000000001</v>
      </c>
      <c r="R35" s="741">
        <f t="shared" si="42"/>
        <v>622.80799999999999</v>
      </c>
      <c r="S35" s="741">
        <f t="shared" si="42"/>
        <v>615.69600000000003</v>
      </c>
      <c r="T35" s="741">
        <f t="shared" si="42"/>
        <v>580.13599999999997</v>
      </c>
      <c r="U35" s="741">
        <f t="shared" si="42"/>
        <v>521.20799999999997</v>
      </c>
      <c r="V35" s="741">
        <f t="shared" si="42"/>
        <v>425.70400000000001</v>
      </c>
      <c r="W35" s="741">
        <f t="shared" si="42"/>
        <v>308.86400000000003</v>
      </c>
      <c r="X35" s="741">
        <f t="shared" si="42"/>
        <v>214.376</v>
      </c>
      <c r="Y35" s="741">
        <f t="shared" si="42"/>
        <v>170.68799999999999</v>
      </c>
      <c r="Z35" s="787">
        <f t="shared" si="42"/>
        <v>196.08799999999999</v>
      </c>
      <c r="AA35" s="774">
        <f t="shared" si="42"/>
        <v>271.27199999999999</v>
      </c>
      <c r="AO35" s="1052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51">
        <f t="shared" si="14"/>
        <v>0.5357142857142857</v>
      </c>
      <c r="AT35" s="767">
        <f t="shared" si="15"/>
        <v>22.591907258890568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51">
        <f t="shared" si="19"/>
        <v>0.96551724137931039</v>
      </c>
      <c r="AY35" s="767">
        <f t="shared" si="20"/>
        <v>22.710801426398341</v>
      </c>
      <c r="AZ35" s="744">
        <f t="shared" si="26"/>
        <v>22.651354342644453</v>
      </c>
      <c r="BA35" s="642">
        <f t="shared" si="21"/>
        <v>0.70871546783733241</v>
      </c>
      <c r="BC35" s="11">
        <v>43121</v>
      </c>
      <c r="BD35" s="290">
        <f>[2]!FeuilCaduc*(1-Persistant)+Persistant</f>
        <v>0.60045771504746426</v>
      </c>
      <c r="BE35" s="291">
        <f>[2]!CroissVégét</f>
        <v>1.7749243659651206E-3</v>
      </c>
      <c r="BF35" s="814">
        <f>1+[2]!Salcycl*Ksac</f>
        <v>1.000057214380933</v>
      </c>
      <c r="BH35" s="1050">
        <f t="shared" si="22"/>
        <v>2.7169110683966227E-2</v>
      </c>
      <c r="BI35" s="11">
        <v>44217</v>
      </c>
      <c r="BJ35" s="724">
        <v>2.4402376144207363E-6</v>
      </c>
      <c r="BK35" s="724">
        <v>3.0408088245955709E-6</v>
      </c>
      <c r="BL35" s="724">
        <v>7.3020935081470277E-6</v>
      </c>
      <c r="BM35" s="724">
        <v>1.9482359614980018E-4</v>
      </c>
      <c r="BN35" s="724">
        <v>6.1293845667527297E-3</v>
      </c>
      <c r="BO35" s="725">
        <v>2.7169110683966227E-2</v>
      </c>
      <c r="BP35" s="724">
        <v>8.1771488442076934E-2</v>
      </c>
      <c r="BQ35" s="724">
        <v>0.16812272275355558</v>
      </c>
      <c r="BR35" s="724">
        <v>0.25872930385333509</v>
      </c>
      <c r="BS35" s="724">
        <v>0.32793415729600844</v>
      </c>
      <c r="BT35" s="724">
        <v>0.3719866983478915</v>
      </c>
      <c r="BW35" s="1190">
        <f>'2018'!R\Max</f>
        <v>0</v>
      </c>
      <c r="BX35" s="1188">
        <f>'2019'!R\Max</f>
        <v>0.27713543226735171</v>
      </c>
      <c r="BY35" s="1188">
        <f>'2020'!R\Max</f>
        <v>0.15598158961338848</v>
      </c>
      <c r="BZ35" s="1188">
        <f>'2021'!R\Max</f>
        <v>0.51309436503656547</v>
      </c>
      <c r="CA35" s="1188">
        <f>'2022'!R\Max</f>
        <v>0.70871546783733241</v>
      </c>
      <c r="CB35" s="1188">
        <f>'2023'!R\Max</f>
        <v>0.29870513467022503</v>
      </c>
      <c r="CC35" s="1188">
        <f>'2024'!R\Max</f>
        <v>0.29646657967658208</v>
      </c>
      <c r="CD35" s="1188">
        <f>'2025'!R\Max</f>
        <v>0.29350211194154635</v>
      </c>
      <c r="CE35" s="1188">
        <f>'2026'!R\Max</f>
        <v>0.29044010074644172</v>
      </c>
      <c r="CF35" s="1189">
        <f>'2027'!R\Max</f>
        <v>0.28732994736952777</v>
      </c>
    </row>
    <row r="36" spans="1:84" s="6" customFormat="1" ht="11.25" x14ac:dyDescent="0.2">
      <c r="A36" s="11">
        <v>43122</v>
      </c>
      <c r="B36" s="380">
        <f>'2023'!Maxi_hp</f>
        <v>22.080002975196251</v>
      </c>
      <c r="C36" s="13">
        <f>'2023'!An_max</f>
        <v>2022</v>
      </c>
      <c r="D36" s="1059" t="str">
        <f t="shared" si="7"/>
        <v/>
      </c>
      <c r="E36" s="1054">
        <f>O$13/10</f>
        <v>22.961600000000001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51">
        <f t="shared" si="9"/>
        <v>0</v>
      </c>
      <c r="J36" s="744">
        <f t="shared" si="27"/>
        <v>22.961599999666213</v>
      </c>
      <c r="L36" s="754" t="s">
        <v>215</v>
      </c>
      <c r="M36" s="738">
        <f t="shared" ref="M36:AA36" si="43">x.1lg*x.1lg-x.2lg*x.2lg</f>
        <v>-2411640</v>
      </c>
      <c r="N36" s="738">
        <f t="shared" si="43"/>
        <v>-2499423</v>
      </c>
      <c r="O36" s="738">
        <f t="shared" si="43"/>
        <v>-2414832</v>
      </c>
      <c r="P36" s="738">
        <f t="shared" si="43"/>
        <v>-2416400</v>
      </c>
      <c r="Q36" s="738">
        <f t="shared" si="43"/>
        <v>-2417968</v>
      </c>
      <c r="R36" s="738">
        <f t="shared" si="43"/>
        <v>-2419536</v>
      </c>
      <c r="S36" s="738">
        <f t="shared" si="43"/>
        <v>-2421104</v>
      </c>
      <c r="T36" s="738">
        <f t="shared" si="43"/>
        <v>-2422672</v>
      </c>
      <c r="U36" s="738">
        <f t="shared" si="43"/>
        <v>-2424240</v>
      </c>
      <c r="V36" s="738">
        <f t="shared" si="43"/>
        <v>-2425808</v>
      </c>
      <c r="W36" s="738">
        <f t="shared" si="43"/>
        <v>-2427376</v>
      </c>
      <c r="X36" s="738">
        <f t="shared" si="43"/>
        <v>-2428944</v>
      </c>
      <c r="Y36" s="738">
        <f t="shared" si="43"/>
        <v>-2430512</v>
      </c>
      <c r="Z36" s="738">
        <f t="shared" si="43"/>
        <v>-2432080</v>
      </c>
      <c r="AA36" s="738">
        <f t="shared" si="43"/>
        <v>-2520593</v>
      </c>
      <c r="AO36" s="1052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51">
        <f t="shared" si="14"/>
        <v>0.5</v>
      </c>
      <c r="AT36" s="767">
        <f t="shared" si="15"/>
        <v>22.866430672630667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51">
        <f t="shared" si="19"/>
        <v>1</v>
      </c>
      <c r="AY36" s="767">
        <f t="shared" si="20"/>
        <v>22.961599999666213</v>
      </c>
      <c r="AZ36" s="744">
        <f t="shared" si="26"/>
        <v>22.914015336148438</v>
      </c>
      <c r="BA36" s="642">
        <f t="shared" si="21"/>
        <v>0.96160559262060241</v>
      </c>
      <c r="BC36" s="11">
        <v>43122</v>
      </c>
      <c r="BD36" s="290">
        <f>[2]!FeuilCaduc*(1-Persistant)+Persistant</f>
        <v>0.60035874832137592</v>
      </c>
      <c r="BE36" s="291">
        <f>[2]!CroissVégét</f>
        <v>1.9073621235293117E-3</v>
      </c>
      <c r="BF36" s="814">
        <f>1+[2]!Salcycl*Ksac</f>
        <v>1.0000448435401721</v>
      </c>
      <c r="BH36" s="1050">
        <f t="shared" si="22"/>
        <v>2.7353135032356771E-2</v>
      </c>
      <c r="BI36" s="11">
        <v>44218</v>
      </c>
      <c r="BJ36" s="724">
        <v>2.6012401395957384E-6</v>
      </c>
      <c r="BK36" s="724">
        <v>3.0973598655646298E-6</v>
      </c>
      <c r="BL36" s="724">
        <v>6.5325254446248741E-6</v>
      </c>
      <c r="BM36" s="724">
        <v>1.9657262352767543E-4</v>
      </c>
      <c r="BN36" s="724">
        <v>6.1824072089709308E-3</v>
      </c>
      <c r="BO36" s="725">
        <v>2.7353135032356771E-2</v>
      </c>
      <c r="BP36" s="724">
        <v>8.102315032517636E-2</v>
      </c>
      <c r="BQ36" s="724">
        <v>0.1680129702748959</v>
      </c>
      <c r="BR36" s="724">
        <v>0.26040394425920649</v>
      </c>
      <c r="BS36" s="724">
        <v>0.33290938082553373</v>
      </c>
      <c r="BT36" s="724">
        <v>0.37909907711182916</v>
      </c>
      <c r="BW36" s="1190">
        <f>'2018'!R\Max</f>
        <v>0</v>
      </c>
      <c r="BX36" s="1188">
        <f>'2019'!R\Max</f>
        <v>0.40879481540444124</v>
      </c>
      <c r="BY36" s="1188">
        <f>'2020'!R\Max</f>
        <v>5.8169900731294702E-2</v>
      </c>
      <c r="BZ36" s="1188">
        <f>'2021'!R\Max</f>
        <v>0.30307564019443545</v>
      </c>
      <c r="CA36" s="1188">
        <f>'2022'!R\Max</f>
        <v>0.96160559262060241</v>
      </c>
      <c r="CB36" s="1188">
        <f>'2023'!R\Max</f>
        <v>0.96128401356933324</v>
      </c>
      <c r="CC36" s="1188">
        <f>'2024'!R\Max</f>
        <v>0.9608907479579103</v>
      </c>
      <c r="CD36" s="1188">
        <f>'2025'!R\Max</f>
        <v>0.96035410054006121</v>
      </c>
      <c r="CE36" s="1188">
        <f>'2026'!R\Max</f>
        <v>0.9597842708312716</v>
      </c>
      <c r="CF36" s="1189">
        <f>'2027'!R\Max</f>
        <v>0.95919140745639131</v>
      </c>
    </row>
    <row r="37" spans="1:84" s="6" customFormat="1" ht="11.25" x14ac:dyDescent="0.2">
      <c r="A37" s="11">
        <v>43123</v>
      </c>
      <c r="B37" s="380">
        <f>'2023'!Maxi_hp</f>
        <v>22.39947454636982</v>
      </c>
      <c r="C37" s="13">
        <f>'2023'!An_max</f>
        <v>2022</v>
      </c>
      <c r="D37" s="1059" t="str">
        <f t="shared" si="7"/>
        <v/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51">
        <f t="shared" si="9"/>
        <v>7.1428571428571425E-2</v>
      </c>
      <c r="J37" s="744">
        <f>((1-I37)*(INDEX(a.m,F37)*$A37*$A37+INDEX(b.m,F37)*$A37+INDEX(c.m,F37))+I37*(INDEX(a.m,G37)*$A37*$A37+INDEX(b.m,G37)*$A37+INDEX(c.m,G37)))/10</f>
        <v>23.232669095083008</v>
      </c>
      <c r="L37" s="754" t="s">
        <v>216</v>
      </c>
      <c r="M37" s="738">
        <f t="shared" ref="M37:AA37" si="44">x.2lg*x.2lg-x.3lg*x.3lg</f>
        <v>-2499423</v>
      </c>
      <c r="N37" s="738">
        <f t="shared" si="44"/>
        <v>-2414832</v>
      </c>
      <c r="O37" s="738">
        <f t="shared" si="44"/>
        <v>-2416400</v>
      </c>
      <c r="P37" s="738">
        <f t="shared" si="44"/>
        <v>-2417968</v>
      </c>
      <c r="Q37" s="738">
        <f t="shared" si="44"/>
        <v>-2419536</v>
      </c>
      <c r="R37" s="738">
        <f t="shared" si="44"/>
        <v>-2421104</v>
      </c>
      <c r="S37" s="738">
        <f t="shared" si="44"/>
        <v>-2422672</v>
      </c>
      <c r="T37" s="738">
        <f t="shared" si="44"/>
        <v>-2424240</v>
      </c>
      <c r="U37" s="738">
        <f t="shared" si="44"/>
        <v>-2425808</v>
      </c>
      <c r="V37" s="738">
        <f t="shared" si="44"/>
        <v>-2427376</v>
      </c>
      <c r="W37" s="738">
        <f t="shared" si="44"/>
        <v>-2428944</v>
      </c>
      <c r="X37" s="738">
        <f t="shared" si="44"/>
        <v>-2430512</v>
      </c>
      <c r="Y37" s="738">
        <f t="shared" si="44"/>
        <v>-2432080</v>
      </c>
      <c r="Z37" s="738">
        <f t="shared" si="44"/>
        <v>-2520593</v>
      </c>
      <c r="AA37" s="738">
        <f t="shared" si="44"/>
        <v>-2435272</v>
      </c>
      <c r="AO37" s="1052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51">
        <f t="shared" si="14"/>
        <v>0.4642857142857143</v>
      </c>
      <c r="AT37" s="767">
        <f t="shared" si="15"/>
        <v>23.146072141373796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51">
        <f t="shared" si="19"/>
        <v>0.9642857142857143</v>
      </c>
      <c r="AY37" s="767">
        <f t="shared" si="20"/>
        <v>23.216276148520411</v>
      </c>
      <c r="AZ37" s="744">
        <f t="shared" si="26"/>
        <v>23.181174144947104</v>
      </c>
      <c r="BA37" s="642">
        <f t="shared" si="21"/>
        <v>0.96413694245361048</v>
      </c>
      <c r="BC37" s="11">
        <v>43123</v>
      </c>
      <c r="BD37" s="290">
        <f>[2]!FeuilCaduc*(1-Persistant)+Persistant</f>
        <v>0.60027144846244596</v>
      </c>
      <c r="BE37" s="291">
        <f>[2]!CroissVégét</f>
        <v>2.045318545083899E-3</v>
      </c>
      <c r="BF37" s="814">
        <f>1+[2]!Salcycl*Ksac</f>
        <v>1.0000339310578057</v>
      </c>
      <c r="BH37" s="1050">
        <f t="shared" si="22"/>
        <v>2.7581232538777128E-2</v>
      </c>
      <c r="BI37" s="11">
        <v>44219</v>
      </c>
      <c r="BJ37" s="724">
        <v>2.8029839621374423E-6</v>
      </c>
      <c r="BK37" s="724">
        <v>3.2101867713845281E-6</v>
      </c>
      <c r="BL37" s="724">
        <v>5.9932555537388845E-6</v>
      </c>
      <c r="BM37" s="724">
        <v>1.9874923214765948E-4</v>
      </c>
      <c r="BN37" s="724">
        <v>6.2388578040844904E-3</v>
      </c>
      <c r="BO37" s="725">
        <v>2.7581232538777128E-2</v>
      </c>
      <c r="BP37" s="724">
        <v>8.0229253189410446E-2</v>
      </c>
      <c r="BQ37" s="724">
        <v>0.16778010520826322</v>
      </c>
      <c r="BR37" s="724">
        <v>0.26194864106955407</v>
      </c>
      <c r="BS37" s="724">
        <v>0.33791603077212717</v>
      </c>
      <c r="BT37" s="724">
        <v>0.38642730197336306</v>
      </c>
      <c r="BW37" s="1190">
        <f>'2018'!R\Max</f>
        <v>0</v>
      </c>
      <c r="BX37" s="1188">
        <f>'2019'!R\Max</f>
        <v>0.42093673096871459</v>
      </c>
      <c r="BY37" s="1188">
        <f>'2020'!R\Max</f>
        <v>0.52423740513943407</v>
      </c>
      <c r="BZ37" s="1188">
        <f>'2021'!R\Max</f>
        <v>0.34555414650927019</v>
      </c>
      <c r="CA37" s="1188">
        <f>'2022'!R\Max</f>
        <v>0.96413694245361048</v>
      </c>
      <c r="CB37" s="1188">
        <f>'2023'!R\Max</f>
        <v>0.96384504396336135</v>
      </c>
      <c r="CC37" s="1188">
        <f>'2024'!R\Max</f>
        <v>0.96348398295466975</v>
      </c>
      <c r="CD37" s="1188">
        <f>'2025'!R\Max</f>
        <v>0.96298440381236861</v>
      </c>
      <c r="CE37" s="1188">
        <f>'2026'!R\Max</f>
        <v>0.96244931381036847</v>
      </c>
      <c r="CF37" s="1189">
        <f>'2027'!R\Max</f>
        <v>0.9618902654128958</v>
      </c>
    </row>
    <row r="38" spans="1:84" s="6" customFormat="1" ht="11.25" x14ac:dyDescent="0.2">
      <c r="A38" s="11">
        <v>43124</v>
      </c>
      <c r="B38" s="380">
        <f>'2023'!Maxi_hp</f>
        <v>22.533015476555242</v>
      </c>
      <c r="C38" s="13">
        <f>'2023'!An_max</f>
        <v>2022</v>
      </c>
      <c r="D38" s="1059" t="str">
        <f t="shared" si="7"/>
        <v/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51">
        <f t="shared" si="9"/>
        <v>0.14285714285714285</v>
      </c>
      <c r="J38" s="744">
        <f t="shared" si="27"/>
        <v>23.508699708006212</v>
      </c>
      <c r="L38" s="754" t="s">
        <v>217</v>
      </c>
      <c r="M38" s="738">
        <f t="shared" ref="M38:AA38" si="45">(y.1lg-y.2lg-b.lg*(x.1lg-x.2lg))/D2x12Lg</f>
        <v>4.2739434793877776E-2</v>
      </c>
      <c r="N38" s="738">
        <f t="shared" si="45"/>
        <v>3.1741768213640477E-2</v>
      </c>
      <c r="O38" s="738">
        <f t="shared" si="45"/>
        <v>1.943877551020123E-2</v>
      </c>
      <c r="P38" s="738">
        <f t="shared" si="45"/>
        <v>1.2959183673469569E-2</v>
      </c>
      <c r="Q38" s="738">
        <f t="shared" si="45"/>
        <v>-2.5918367346941928E-2</v>
      </c>
      <c r="R38" s="738">
        <f t="shared" si="45"/>
        <v>-3.239795918367127E-2</v>
      </c>
      <c r="S38" s="738">
        <f t="shared" si="45"/>
        <v>-2.6566326530612704E-2</v>
      </c>
      <c r="T38" s="738">
        <f t="shared" si="45"/>
        <v>-1.8142857142858047E-2</v>
      </c>
      <c r="U38" s="738">
        <f t="shared" si="45"/>
        <v>-1.4903061224491743E-2</v>
      </c>
      <c r="V38" s="738">
        <f t="shared" si="45"/>
        <v>-2.3326530612248306E-2</v>
      </c>
      <c r="W38" s="738">
        <f t="shared" si="45"/>
        <v>-1.3607142857143371E-2</v>
      </c>
      <c r="X38" s="738">
        <f t="shared" si="45"/>
        <v>1.4255102040818627E-2</v>
      </c>
      <c r="Y38" s="738">
        <f t="shared" si="45"/>
        <v>3.2397959183670506E-2</v>
      </c>
      <c r="Z38" s="738">
        <f t="shared" si="45"/>
        <v>4.2739434793885603E-2</v>
      </c>
      <c r="AA38" s="738">
        <f t="shared" si="45"/>
        <v>3.1741768213634759E-2</v>
      </c>
      <c r="AO38" s="1052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51">
        <f t="shared" si="14"/>
        <v>0.42857142857142855</v>
      </c>
      <c r="AT38" s="767">
        <f t="shared" si="15"/>
        <v>23.430568028134957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51">
        <f t="shared" si="19"/>
        <v>0.9285714285714286</v>
      </c>
      <c r="AY38" s="767">
        <f t="shared" si="20"/>
        <v>23.476357634578434</v>
      </c>
      <c r="AZ38" s="744">
        <f t="shared" si="26"/>
        <v>23.453462831356696</v>
      </c>
      <c r="BA38" s="642">
        <f t="shared" si="21"/>
        <v>0.95849688653266152</v>
      </c>
      <c r="BC38" s="11">
        <v>43124</v>
      </c>
      <c r="BD38" s="290">
        <f>[2]!FeuilCaduc*(1-Persistant)+Persistant</f>
        <v>0.60019612565608527</v>
      </c>
      <c r="BE38" s="291">
        <f>[2]!CroissVégét</f>
        <v>2.1890219655428525E-3</v>
      </c>
      <c r="BF38" s="814">
        <f>1+[2]!Salcycl*Ksac</f>
        <v>1.0000245157070107</v>
      </c>
      <c r="BH38" s="1050">
        <f t="shared" si="22"/>
        <v>2.7867252252401345E-2</v>
      </c>
      <c r="BI38" s="11">
        <v>44220</v>
      </c>
      <c r="BJ38" s="724">
        <v>2.9991111972737052E-6</v>
      </c>
      <c r="BK38" s="724">
        <v>3.3310352335557017E-6</v>
      </c>
      <c r="BL38" s="724">
        <v>5.6220515947342855E-6</v>
      </c>
      <c r="BM38" s="724">
        <v>2.0091341290293246E-4</v>
      </c>
      <c r="BN38" s="724">
        <v>6.300386595604072E-3</v>
      </c>
      <c r="BO38" s="725">
        <v>2.7867252252401345E-2</v>
      </c>
      <c r="BP38" s="724">
        <v>7.9490863954394905E-2</v>
      </c>
      <c r="BQ38" s="724">
        <v>0.16743250043471705</v>
      </c>
      <c r="BR38" s="724">
        <v>0.26331895325825588</v>
      </c>
      <c r="BS38" s="724">
        <v>0.34280753944084691</v>
      </c>
      <c r="BT38" s="724">
        <v>0.39392546684887575</v>
      </c>
      <c r="BW38" s="1190">
        <f>'2018'!R\Max</f>
        <v>0</v>
      </c>
      <c r="BX38" s="1188">
        <f>'2019'!R\Max</f>
        <v>0.4454070602886287</v>
      </c>
      <c r="BY38" s="1188">
        <f>'2020'!R\Max</f>
        <v>0.66202719742465665</v>
      </c>
      <c r="BZ38" s="1188">
        <f>'2021'!R\Max</f>
        <v>0.5756745805048592</v>
      </c>
      <c r="CA38" s="1188">
        <f>'2022'!R\Max</f>
        <v>0.95849688653266152</v>
      </c>
      <c r="CB38" s="1188">
        <f>'2023'!R\Max</f>
        <v>0.95817157162884004</v>
      </c>
      <c r="CC38" s="1188">
        <f>'2024'!R\Max</f>
        <v>0.95776484639404569</v>
      </c>
      <c r="CD38" s="1188">
        <f>'2025'!R\Max</f>
        <v>0.95719493281323931</v>
      </c>
      <c r="CE38" s="1188">
        <f>'2026'!R\Max</f>
        <v>0.95657891677432949</v>
      </c>
      <c r="CF38" s="1189">
        <f>'2027'!R\Max</f>
        <v>0.95593262852622729</v>
      </c>
    </row>
    <row r="39" spans="1:84" s="6" customFormat="1" ht="11.25" x14ac:dyDescent="0.2">
      <c r="A39" s="11">
        <v>43125</v>
      </c>
      <c r="B39" s="380">
        <f>'2023'!Maxi_hp</f>
        <v>22.567351646183756</v>
      </c>
      <c r="C39" s="13">
        <f>'2023'!An_max</f>
        <v>2022</v>
      </c>
      <c r="D39" s="1059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51">
        <f t="shared" si="9"/>
        <v>0.21428571428571427</v>
      </c>
      <c r="J39" s="744">
        <f t="shared" si="27"/>
        <v>23.789469678141177</v>
      </c>
      <c r="L39" s="754" t="s">
        <v>218</v>
      </c>
      <c r="M39" s="738">
        <f t="shared" ref="M39:AA39" si="46">(y.2lg-y.3lg-(y.1lg-y.2lg)*D2x23Lg/D2x12Lg)/(x.2lg-x.3lg)/(1-(x.2lg+x.3lg)/(x.1lg+x.2lg))</f>
        <v>-3682.7078045109783</v>
      </c>
      <c r="N39" s="738">
        <f t="shared" si="46"/>
        <v>-2734.8519149600666</v>
      </c>
      <c r="O39" s="738">
        <f t="shared" si="46"/>
        <v>-1673.792612244652</v>
      </c>
      <c r="P39" s="738">
        <f t="shared" si="46"/>
        <v>-1114.6038367347096</v>
      </c>
      <c r="Q39" s="738">
        <f t="shared" si="46"/>
        <v>2242.7059591839457</v>
      </c>
      <c r="R39" s="738">
        <f t="shared" si="46"/>
        <v>2802.6204489794013</v>
      </c>
      <c r="S39" s="738">
        <f t="shared" si="46"/>
        <v>2298.3708367347335</v>
      </c>
      <c r="T39" s="738">
        <f t="shared" si="46"/>
        <v>1569.5385714286497</v>
      </c>
      <c r="U39" s="738">
        <f t="shared" si="46"/>
        <v>1289.0370408164952</v>
      </c>
      <c r="V39" s="738">
        <f t="shared" si="46"/>
        <v>2018.8127346941728</v>
      </c>
      <c r="W39" s="738">
        <f t="shared" si="46"/>
        <v>1176.2195714286158</v>
      </c>
      <c r="X39" s="738">
        <f t="shared" si="46"/>
        <v>-1240.7744489797913</v>
      </c>
      <c r="Y39" s="738">
        <f t="shared" si="46"/>
        <v>-2815.647020407906</v>
      </c>
      <c r="Z39" s="738">
        <f t="shared" si="46"/>
        <v>-3713.9075919111888</v>
      </c>
      <c r="AA39" s="738">
        <f t="shared" si="46"/>
        <v>-2758.0234057555272</v>
      </c>
      <c r="AO39" s="1052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51">
        <f t="shared" si="14"/>
        <v>0.39285714285714285</v>
      </c>
      <c r="AT39" s="767">
        <f t="shared" si="15"/>
        <v>23.719654699202096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51">
        <f t="shared" si="19"/>
        <v>0.8928571428571429</v>
      </c>
      <c r="AY39" s="767">
        <f t="shared" si="20"/>
        <v>23.741773229943856</v>
      </c>
      <c r="AZ39" s="744">
        <f t="shared" si="26"/>
        <v>23.730713964572978</v>
      </c>
      <c r="BA39" s="642">
        <f t="shared" si="21"/>
        <v>0.9486277731915832</v>
      </c>
      <c r="BC39" s="11">
        <v>43125</v>
      </c>
      <c r="BD39" s="290">
        <f>[2]!FeuilCaduc*(1-Persistant)+Persistant</f>
        <v>0.60013304146569446</v>
      </c>
      <c r="BE39" s="291">
        <f>[2]!CroissVégét</f>
        <v>2.3387100283593187E-3</v>
      </c>
      <c r="BF39" s="814">
        <f>1+[2]!Salcycl*Ksac</f>
        <v>1.0000166301832119</v>
      </c>
      <c r="BH39" s="1050">
        <f t="shared" si="22"/>
        <v>2.8186109117723943E-2</v>
      </c>
      <c r="BI39" s="11">
        <v>44221</v>
      </c>
      <c r="BJ39" s="724">
        <v>3.1664283314796492E-6</v>
      </c>
      <c r="BK39" s="724">
        <v>3.4357666645152933E-6</v>
      </c>
      <c r="BL39" s="724">
        <v>5.3178314944277959E-6</v>
      </c>
      <c r="BM39" s="724">
        <v>2.0282826926847175E-4</v>
      </c>
      <c r="BN39" s="724">
        <v>6.3656754773099497E-3</v>
      </c>
      <c r="BO39" s="725">
        <v>2.8186109117723943E-2</v>
      </c>
      <c r="BP39" s="724">
        <v>7.8856674325376089E-2</v>
      </c>
      <c r="BQ39" s="724">
        <v>0.16702719789587339</v>
      </c>
      <c r="BR39" s="724">
        <v>0.26456319083109148</v>
      </c>
      <c r="BS39" s="724">
        <v>0.3475221677756683</v>
      </c>
      <c r="BT39" s="724">
        <v>0.40148432419834051</v>
      </c>
      <c r="BW39" s="1190">
        <f>'2018'!R\Max</f>
        <v>0</v>
      </c>
      <c r="BX39" s="1188">
        <f>'2019'!R\Max</f>
        <v>0.23170784801505101</v>
      </c>
      <c r="BY39" s="1188">
        <f>'2020'!R\Max</f>
        <v>0.57652169393476871</v>
      </c>
      <c r="BZ39" s="1188">
        <f>'2021'!R\Max</f>
        <v>0.35672723608300644</v>
      </c>
      <c r="CA39" s="1188">
        <f>'2022'!R\Max</f>
        <v>0.9486277731915832</v>
      </c>
      <c r="CB39" s="1188">
        <f>'2023'!R\Max</f>
        <v>0.94824135457930459</v>
      </c>
      <c r="CC39" s="1188">
        <f>'2024'!R\Max</f>
        <v>0.94775364221211</v>
      </c>
      <c r="CD39" s="1188">
        <f>'2025'!R\Max</f>
        <v>0.94706280675377819</v>
      </c>
      <c r="CE39" s="1188">
        <f>'2026'!R\Max</f>
        <v>0.9463088957905631</v>
      </c>
      <c r="CF39" s="1189">
        <f>'2027'!R\Max</f>
        <v>0.94551458248038267</v>
      </c>
    </row>
    <row r="40" spans="1:84" s="6" customFormat="1" ht="11.25" x14ac:dyDescent="0.2">
      <c r="A40" s="11">
        <v>43126</v>
      </c>
      <c r="B40" s="380">
        <f>'2023'!Maxi_hp</f>
        <v>22.879228367903401</v>
      </c>
      <c r="C40" s="13">
        <f>'2023'!An_max</f>
        <v>2022</v>
      </c>
      <c r="D40" s="1059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51">
        <f t="shared" si="9"/>
        <v>0.2857142857142857</v>
      </c>
      <c r="J40" s="744">
        <f t="shared" si="27"/>
        <v>24.074756850727969</v>
      </c>
      <c r="L40" s="754" t="s">
        <v>219</v>
      </c>
      <c r="M40" s="738">
        <f t="shared" ref="M40:AA40" si="47">(y.1lg+y.2lg+y.3lg-a.lg*(x.3lg*x.3lg+x.2lg*x.2lg+x.1lg*x.1lg)-b.lg*(x.3lg+x.2lg+x.1lg))/3</f>
        <v>79331686.807846293</v>
      </c>
      <c r="N40" s="738">
        <f t="shared" si="47"/>
        <v>58908475.231924586</v>
      </c>
      <c r="O40" s="738">
        <f t="shared" si="47"/>
        <v>36030978.017464094</v>
      </c>
      <c r="P40" s="738">
        <f t="shared" si="47"/>
        <v>23966481.455837082</v>
      </c>
      <c r="Q40" s="738">
        <f t="shared" si="47"/>
        <v>-48514472.108250774</v>
      </c>
      <c r="R40" s="738">
        <f t="shared" si="47"/>
        <v>-60610303.561301984</v>
      </c>
      <c r="S40" s="738">
        <f t="shared" si="47"/>
        <v>-49709940.836409025</v>
      </c>
      <c r="T40" s="738">
        <f t="shared" si="47"/>
        <v>-33944571.756573126</v>
      </c>
      <c r="U40" s="738">
        <f t="shared" si="47"/>
        <v>-27873116.761473034</v>
      </c>
      <c r="V40" s="738">
        <f t="shared" si="47"/>
        <v>-43679326.864169665</v>
      </c>
      <c r="W40" s="738">
        <f t="shared" si="47"/>
        <v>-25417807.141715247</v>
      </c>
      <c r="X40" s="738">
        <f t="shared" si="47"/>
        <v>26999536.717881873</v>
      </c>
      <c r="Y40" s="738">
        <f t="shared" si="47"/>
        <v>61175842.834443398</v>
      </c>
      <c r="Z40" s="738">
        <f t="shared" si="47"/>
        <v>80681569.117707953</v>
      </c>
      <c r="AA40" s="738">
        <f t="shared" si="47"/>
        <v>59910924.977944463</v>
      </c>
      <c r="AB40" s="7"/>
      <c r="AC40" s="7"/>
      <c r="AD40" s="7"/>
      <c r="AE40" s="7"/>
      <c r="AF40" s="7"/>
      <c r="AH40" s="7"/>
      <c r="AI40" s="74"/>
      <c r="AO40" s="1052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51">
        <f t="shared" si="14"/>
        <v>0.35714285714285715</v>
      </c>
      <c r="AT40" s="767">
        <f t="shared" si="15"/>
        <v>24.013068517723251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51">
        <f t="shared" si="19"/>
        <v>0.8571428571428571</v>
      </c>
      <c r="AY40" s="767">
        <f t="shared" si="20"/>
        <v>24.012451702782087</v>
      </c>
      <c r="AZ40" s="744">
        <f t="shared" si="26"/>
        <v>24.012760110252671</v>
      </c>
      <c r="BA40" s="642">
        <f t="shared" si="21"/>
        <v>0.95034099450153253</v>
      </c>
      <c r="BC40" s="11">
        <v>43126</v>
      </c>
      <c r="BD40" s="290">
        <f>[2]!FeuilCaduc*(1-Persistant)+Persistant</f>
        <v>0.60008239894324023</v>
      </c>
      <c r="BE40" s="291">
        <f>[2]!CroissVégét</f>
        <v>2.4946300531446561E-3</v>
      </c>
      <c r="BF40" s="814">
        <f>1+[2]!Salcycl*Ksac</f>
        <v>1.000010299867905</v>
      </c>
      <c r="BH40" s="1050">
        <f t="shared" si="22"/>
        <v>2.8537826521471136E-2</v>
      </c>
      <c r="BI40" s="11">
        <v>44222</v>
      </c>
      <c r="BJ40" s="724">
        <v>3.3049224141305245E-6</v>
      </c>
      <c r="BK40" s="724">
        <v>3.5243752296454771E-6</v>
      </c>
      <c r="BL40" s="724">
        <v>5.0806361069344379E-6</v>
      </c>
      <c r="BM40" s="724">
        <v>2.0449388136915865E-4</v>
      </c>
      <c r="BN40" s="724">
        <v>6.4347293055854364E-3</v>
      </c>
      <c r="BO40" s="725">
        <v>2.8537826521471136E-2</v>
      </c>
      <c r="BP40" s="724">
        <v>7.832684670191907E-2</v>
      </c>
      <c r="BQ40" s="724">
        <v>0.16656441974921546</v>
      </c>
      <c r="BR40" s="724">
        <v>0.26568158136706865</v>
      </c>
      <c r="BS40" s="724">
        <v>0.35206002214399607</v>
      </c>
      <c r="BT40" s="724">
        <v>0.40910392753032687</v>
      </c>
      <c r="BW40" s="1190">
        <f>'2018'!R\Max</f>
        <v>0</v>
      </c>
      <c r="BX40" s="1188">
        <f>'2019'!R\Max</f>
        <v>0.49565771025986233</v>
      </c>
      <c r="BY40" s="1188">
        <f>'2020'!R\Max</f>
        <v>0.31284160746415557</v>
      </c>
      <c r="BZ40" s="1188">
        <f>'2021'!R\Max</f>
        <v>0.67967310016848703</v>
      </c>
      <c r="CA40" s="1188">
        <f>'2022'!R\Max</f>
        <v>0.95034099450153253</v>
      </c>
      <c r="CB40" s="1188">
        <f>'2023'!R\Max</f>
        <v>0.94997773568552024</v>
      </c>
      <c r="CC40" s="1188">
        <f>'2024'!R\Max</f>
        <v>0.94951537363871696</v>
      </c>
      <c r="CD40" s="1188">
        <f>'2025'!R\Max</f>
        <v>0.94885424068831981</v>
      </c>
      <c r="CE40" s="1188">
        <f>'2026'!R\Max</f>
        <v>0.94812509257447408</v>
      </c>
      <c r="CF40" s="1189">
        <f>'2027'!R\Max</f>
        <v>0.94735317557635512</v>
      </c>
    </row>
    <row r="41" spans="1:84" s="6" customFormat="1" ht="11.25" x14ac:dyDescent="0.2">
      <c r="A41" s="11">
        <v>43127</v>
      </c>
      <c r="B41" s="380">
        <f>'2023'!Maxi_hp</f>
        <v>23.945029081134049</v>
      </c>
      <c r="C41" s="13">
        <f>'2023'!An_max</f>
        <v>2022</v>
      </c>
      <c r="D41" s="1059">
        <f t="shared" si="7"/>
        <v>0.98279001188485859</v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51">
        <f t="shared" si="9"/>
        <v>0.35714285714285715</v>
      </c>
      <c r="J41" s="744">
        <f t="shared" si="27"/>
        <v>24.364339066908826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2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51">
        <f t="shared" si="14"/>
        <v>0.32142857142857145</v>
      </c>
      <c r="AT41" s="767">
        <f t="shared" si="15"/>
        <v>24.31054584785764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51">
        <f t="shared" si="19"/>
        <v>0.8214285714285714</v>
      </c>
      <c r="AY41" s="767">
        <f t="shared" si="20"/>
        <v>24.288321823334055</v>
      </c>
      <c r="AZ41" s="744">
        <f t="shared" si="26"/>
        <v>24.299433835595849</v>
      </c>
      <c r="BA41" s="642">
        <f t="shared" si="21"/>
        <v>0.98279001188485859</v>
      </c>
      <c r="BC41" s="11">
        <v>43127</v>
      </c>
      <c r="BD41" s="290">
        <f>[2]!FeuilCaduc*(1-Persistant)+Persistant</f>
        <v>0.60004433415154113</v>
      </c>
      <c r="BE41" s="291">
        <f>[2]!CroissVégét</f>
        <v>2.6570394167881404E-3</v>
      </c>
      <c r="BF41" s="814">
        <f>1+[2]!Salcycl*Ksac</f>
        <v>1.0000055417689426</v>
      </c>
      <c r="BH41" s="1050">
        <f t="shared" si="22"/>
        <v>2.8922425571463063E-2</v>
      </c>
      <c r="BI41" s="11">
        <v>44223</v>
      </c>
      <c r="BJ41" s="724">
        <v>3.4145846618322565E-6</v>
      </c>
      <c r="BK41" s="724">
        <v>3.5968574768226508E-6</v>
      </c>
      <c r="BL41" s="724">
        <v>4.9104969879392122E-6</v>
      </c>
      <c r="BM41" s="724">
        <v>2.0591036724688669E-4</v>
      </c>
      <c r="BN41" s="724">
        <v>6.5075528116364046E-3</v>
      </c>
      <c r="BO41" s="725">
        <v>2.8922425571463063E-2</v>
      </c>
      <c r="BP41" s="724">
        <v>7.7901528012453244E-2</v>
      </c>
      <c r="BQ41" s="724">
        <v>0.16604439232755572</v>
      </c>
      <c r="BR41" s="724">
        <v>0.26667437255052312</v>
      </c>
      <c r="BS41" s="724">
        <v>0.35642125210294334</v>
      </c>
      <c r="BT41" s="724">
        <v>0.41678436017566994</v>
      </c>
      <c r="BW41" s="1190">
        <f>'2018'!R\Max</f>
        <v>0</v>
      </c>
      <c r="BX41" s="1188">
        <f>'2019'!R\Max</f>
        <v>0.53096423361751666</v>
      </c>
      <c r="BY41" s="1188">
        <f>'2020'!R\Max</f>
        <v>0.4438124075351555</v>
      </c>
      <c r="BZ41" s="1188">
        <f>'2021'!R\Max</f>
        <v>0.25877716947809243</v>
      </c>
      <c r="CA41" s="1188">
        <f>'2022'!R\Max</f>
        <v>0.98279001188485859</v>
      </c>
      <c r="CB41" s="1188">
        <f>'2023'!R\Max</f>
        <v>0.98266345620785234</v>
      </c>
      <c r="CC41" s="1188">
        <f>'2024'!R\Max</f>
        <v>0.98250113901432012</v>
      </c>
      <c r="CD41" s="1188">
        <f>'2025'!R\Max</f>
        <v>0.98226706514459194</v>
      </c>
      <c r="CE41" s="1188">
        <f>'2026'!R\Max</f>
        <v>0.9820057667954567</v>
      </c>
      <c r="CF41" s="1189">
        <f>'2027'!R\Max</f>
        <v>0.98172748340252936</v>
      </c>
    </row>
    <row r="42" spans="1:84" s="6" customFormat="1" ht="11.25" x14ac:dyDescent="0.2">
      <c r="A42" s="11">
        <v>43128</v>
      </c>
      <c r="B42" s="380">
        <f>'2023'!Maxi_hp</f>
        <v>16.864393920494742</v>
      </c>
      <c r="C42" s="13">
        <f>'2023'!An_max</f>
        <v>2021</v>
      </c>
      <c r="D42" s="1059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51">
        <f t="shared" si="9"/>
        <v>0.42857142857142855</v>
      </c>
      <c r="J42" s="744">
        <f t="shared" si="27"/>
        <v>24.657994168517842</v>
      </c>
      <c r="M42" s="6" t="s">
        <v>229</v>
      </c>
      <c r="AC42" s="7"/>
      <c r="AD42" s="7"/>
      <c r="AE42" s="7"/>
      <c r="AF42" s="7"/>
      <c r="AH42" s="7"/>
      <c r="AI42" s="74"/>
      <c r="AO42" s="1052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51">
        <f t="shared" si="14"/>
        <v>0.2857142857142857</v>
      </c>
      <c r="AT42" s="767">
        <f t="shared" si="15"/>
        <v>24.61182305504169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51">
        <f t="shared" si="19"/>
        <v>0.7857142857142857</v>
      </c>
      <c r="AY42" s="767">
        <f t="shared" si="20"/>
        <v>24.5693123615746</v>
      </c>
      <c r="AZ42" s="744">
        <f t="shared" si="26"/>
        <v>24.590567708308143</v>
      </c>
      <c r="BA42" s="642">
        <f t="shared" si="21"/>
        <v>0.68393210758506873</v>
      </c>
      <c r="BC42" s="11">
        <v>43128</v>
      </c>
      <c r="BD42" s="290">
        <f>[2]!FeuilCaduc*(1-Persistant)+Persistant</f>
        <v>0.60001890915601352</v>
      </c>
      <c r="BE42" s="291">
        <f>[2]!CroissVégét</f>
        <v>2.826205948480045E-3</v>
      </c>
      <c r="BF42" s="814">
        <f>1+[2]!Salcycl*Ksac</f>
        <v>1.0000023636445017</v>
      </c>
      <c r="BH42" s="1050">
        <f t="shared" si="22"/>
        <v>2.9339925513563406E-2</v>
      </c>
      <c r="BI42" s="11">
        <v>44224</v>
      </c>
      <c r="BJ42" s="724">
        <v>3.495410098547841E-6</v>
      </c>
      <c r="BK42" s="724">
        <v>3.6532121354883459E-6</v>
      </c>
      <c r="BL42" s="724">
        <v>4.8074372343977024E-6</v>
      </c>
      <c r="BM42" s="724">
        <v>2.070778797892795E-4</v>
      </c>
      <c r="BN42" s="724">
        <v>6.5841506499559619E-3</v>
      </c>
      <c r="BO42" s="725">
        <v>2.9339925513563406E-2</v>
      </c>
      <c r="BP42" s="724">
        <v>7.7580851038690876E-2</v>
      </c>
      <c r="BQ42" s="724">
        <v>0.16546734546063294</v>
      </c>
      <c r="BR42" s="724">
        <v>0.26754183065824505</v>
      </c>
      <c r="BS42" s="724">
        <v>0.36060604826359732</v>
      </c>
      <c r="BT42" s="724">
        <v>0.42452573612920264</v>
      </c>
      <c r="BW42" s="1190">
        <f>'2018'!R\Max</f>
        <v>0</v>
      </c>
      <c r="BX42" s="1188">
        <f>'2019'!R\Max</f>
        <v>0.51729685004442094</v>
      </c>
      <c r="BY42" s="1188">
        <f>'2020'!R\Max</f>
        <v>0.67442575381224856</v>
      </c>
      <c r="BZ42" s="1188">
        <f>'2021'!R\Max</f>
        <v>0.68393210758506873</v>
      </c>
      <c r="CA42" s="1188">
        <f>'2022'!R\Max</f>
        <v>0.19316003430993312</v>
      </c>
      <c r="CB42" s="1188">
        <f>'2023'!R\Max</f>
        <v>0.19218048204722002</v>
      </c>
      <c r="CC42" s="1188">
        <f>'2024'!R\Max</f>
        <v>0.19093118789736785</v>
      </c>
      <c r="CD42" s="1188">
        <f>'2025'!R\Max</f>
        <v>0.18914661569988592</v>
      </c>
      <c r="CE42" s="1188">
        <f>'2026'!R\Max</f>
        <v>0.18716947979848475</v>
      </c>
      <c r="CF42" s="1189">
        <f>'2027'!R\Max</f>
        <v>0.18509713300471195</v>
      </c>
    </row>
    <row r="43" spans="1:84" s="6" customFormat="1" ht="11.25" x14ac:dyDescent="0.2">
      <c r="A43" s="11">
        <v>43129</v>
      </c>
      <c r="B43" s="380">
        <f>'2023'!Maxi_hp</f>
        <v>15.521194705525005</v>
      </c>
      <c r="C43" s="13">
        <f>'2023'!An_max</f>
        <v>2020</v>
      </c>
      <c r="D43" s="1059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51">
        <f t="shared" si="9"/>
        <v>0.5</v>
      </c>
      <c r="J43" s="744">
        <f t="shared" si="27"/>
        <v>24.955499999783932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2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51">
        <f t="shared" si="14"/>
        <v>0.25</v>
      </c>
      <c r="AT43" s="767">
        <f t="shared" si="15"/>
        <v>24.916636503487826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51">
        <f t="shared" si="19"/>
        <v>0.75</v>
      </c>
      <c r="AY43" s="767">
        <f t="shared" si="20"/>
        <v>24.85535208582878</v>
      </c>
      <c r="AZ43" s="744">
        <f t="shared" si="26"/>
        <v>24.885994294658303</v>
      </c>
      <c r="BA43" s="642">
        <f t="shared" si="21"/>
        <v>0.62195486789122201</v>
      </c>
      <c r="BC43" s="11">
        <v>43129</v>
      </c>
      <c r="BD43" s="290">
        <f>[2]!FeuilCaduc*(1-Persistant)+Persistant</f>
        <v>0.60000610652707764</v>
      </c>
      <c r="BE43" s="291">
        <f>[2]!CroissVégét</f>
        <v>3.0024083390505912E-3</v>
      </c>
      <c r="BF43" s="814">
        <f>1+[2]!Salcycl*Ksac</f>
        <v>1.0000007633158847</v>
      </c>
      <c r="BH43" s="1050">
        <f t="shared" si="22"/>
        <v>2.9790344149246393E-2</v>
      </c>
      <c r="BI43" s="11">
        <v>44225</v>
      </c>
      <c r="BJ43" s="724">
        <v>3.5473971957951964E-6</v>
      </c>
      <c r="BK43" s="724">
        <v>3.6934399157962975E-6</v>
      </c>
      <c r="BL43" s="724">
        <v>4.7714723243462577E-6</v>
      </c>
      <c r="BM43" s="724">
        <v>2.0799660366282229E-4</v>
      </c>
      <c r="BN43" s="724">
        <v>6.6645274469282964E-3</v>
      </c>
      <c r="BO43" s="725">
        <v>2.9790344149246393E-2</v>
      </c>
      <c r="BP43" s="724">
        <v>7.736493574173478E-2</v>
      </c>
      <c r="BQ43" s="724">
        <v>0.16483351180029995</v>
      </c>
      <c r="BR43" s="724">
        <v>0.26828423905233983</v>
      </c>
      <c r="BS43" s="724">
        <v>0.36461464016289491</v>
      </c>
      <c r="BT43" s="724">
        <v>0.43232820090034146</v>
      </c>
      <c r="BW43" s="1190">
        <f>'2018'!R\Max</f>
        <v>0</v>
      </c>
      <c r="BX43" s="1188">
        <f>'2019'!R\Max</f>
        <v>0.22980009813982624</v>
      </c>
      <c r="BY43" s="1188">
        <f>'2020'!R\Max</f>
        <v>0.62195486789122201</v>
      </c>
      <c r="BZ43" s="1188">
        <f>'2021'!R\Max</f>
        <v>0.58921843845019684</v>
      </c>
      <c r="CA43" s="1188">
        <f>'2022'!R\Max</f>
        <v>0.37872321849564933</v>
      </c>
      <c r="CB43" s="1188">
        <f>'2023'!R\Max</f>
        <v>0.37706133363645877</v>
      </c>
      <c r="CC43" s="1188">
        <f>'2024'!R\Max</f>
        <v>0.37492954572888304</v>
      </c>
      <c r="CD43" s="1188">
        <f>'2025'!R\Max</f>
        <v>0.37186488184319161</v>
      </c>
      <c r="CE43" s="1188">
        <f>'2026'!R\Max</f>
        <v>0.36841834710990251</v>
      </c>
      <c r="CF43" s="1189">
        <f>'2027'!R\Max</f>
        <v>0.3647777114832918</v>
      </c>
    </row>
    <row r="44" spans="1:84" s="6" customFormat="1" ht="11.25" x14ac:dyDescent="0.2">
      <c r="A44" s="11">
        <v>43130</v>
      </c>
      <c r="B44" s="380">
        <f>'2023'!Maxi_hp</f>
        <v>11.334187659797209</v>
      </c>
      <c r="C44" s="13">
        <f>'2023'!An_max</f>
        <v>2020</v>
      </c>
      <c r="D44" s="1059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51">
        <f t="shared" si="9"/>
        <v>0.5714285714285714</v>
      </c>
      <c r="J44" s="744">
        <f t="shared" si="27"/>
        <v>25.25663440184934</v>
      </c>
      <c r="L44" s="772">
        <f>AK13</f>
        <v>184.91200000000001</v>
      </c>
      <c r="M44" s="772">
        <f>M13</f>
        <v>176.78399999999999</v>
      </c>
      <c r="N44" s="762">
        <f>O13</f>
        <v>229.61600000000001</v>
      </c>
      <c r="O44" s="762">
        <f>Q13</f>
        <v>319.024</v>
      </c>
      <c r="P44" s="762">
        <f>S13</f>
        <v>440.94400000000002</v>
      </c>
      <c r="Q44" s="762">
        <f>U13</f>
        <v>551.68799999999999</v>
      </c>
      <c r="R44" s="762">
        <f>W13</f>
        <v>612.64800000000002</v>
      </c>
      <c r="S44" s="762">
        <f>Y13</f>
        <v>622.80799999999999</v>
      </c>
      <c r="T44" s="762">
        <f>AA13</f>
        <v>601.47199999999998</v>
      </c>
      <c r="U44" s="762">
        <f>AC13</f>
        <v>554.73599999999999</v>
      </c>
      <c r="V44" s="762">
        <f>AE13</f>
        <v>478.536</v>
      </c>
      <c r="W44" s="762">
        <f>AG13</f>
        <v>364.74400000000003</v>
      </c>
      <c r="X44" s="762">
        <f>AI13</f>
        <v>258.06400000000002</v>
      </c>
      <c r="Y44" s="762">
        <f>AK13</f>
        <v>184.91200000000001</v>
      </c>
      <c r="Z44" s="762">
        <f>AM13</f>
        <v>176.78399999999999</v>
      </c>
      <c r="AA44" s="770">
        <f>AO13</f>
        <v>229.61600000000001</v>
      </c>
      <c r="AB44" s="770">
        <f>Q13</f>
        <v>319.024</v>
      </c>
      <c r="AD44" s="7"/>
      <c r="AE44" s="7"/>
      <c r="AF44" s="7"/>
      <c r="AH44" s="7"/>
      <c r="AI44" s="74"/>
      <c r="AO44" s="1052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51">
        <f t="shared" si="14"/>
        <v>0.21428571428571427</v>
      </c>
      <c r="AT44" s="767">
        <f t="shared" si="15"/>
        <v>25.224722556344101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51">
        <f t="shared" si="19"/>
        <v>0.7142857142857143</v>
      </c>
      <c r="AY44" s="767">
        <f t="shared" si="20"/>
        <v>25.146369768679143</v>
      </c>
      <c r="AZ44" s="744">
        <f t="shared" si="26"/>
        <v>25.185546162511621</v>
      </c>
      <c r="BA44" s="642">
        <f t="shared" si="21"/>
        <v>0.4487608079312142</v>
      </c>
      <c r="BC44" s="11">
        <v>43130</v>
      </c>
      <c r="BD44" s="290">
        <f>[2]!FeuilCaduc*(1-Persistant)+Persistant</f>
        <v>0.60000582537781422</v>
      </c>
      <c r="BE44" s="291">
        <f>[2]!CroissVégét</f>
        <v>3.1859365650375344E-3</v>
      </c>
      <c r="BF44" s="814">
        <f>1+[2]!Salcycl*Ksac</f>
        <v>1.0000007281722267</v>
      </c>
      <c r="BH44" s="1050">
        <f t="shared" si="22"/>
        <v>3.0288669499620838E-2</v>
      </c>
      <c r="BI44" s="11">
        <v>44226</v>
      </c>
      <c r="BJ44" s="724">
        <v>3.5956761041597956E-6</v>
      </c>
      <c r="BK44" s="724">
        <v>3.7426718990701259E-6</v>
      </c>
      <c r="BL44" s="724">
        <v>4.8277395479930309E-6</v>
      </c>
      <c r="BM44" s="724">
        <v>2.0881214711107273E-4</v>
      </c>
      <c r="BN44" s="724">
        <v>6.7522842069006649E-3</v>
      </c>
      <c r="BO44" s="725">
        <v>3.0288669499620838E-2</v>
      </c>
      <c r="BP44" s="724">
        <v>7.7338073510449593E-2</v>
      </c>
      <c r="BQ44" s="724">
        <v>0.16422881531184511</v>
      </c>
      <c r="BR44" s="724">
        <v>0.2689100434888006</v>
      </c>
      <c r="BS44" s="724">
        <v>0.36834434807206179</v>
      </c>
      <c r="BT44" s="724">
        <v>0.44006667468106336</v>
      </c>
      <c r="BW44" s="1190">
        <f>'2018'!R\Max</f>
        <v>0</v>
      </c>
      <c r="BX44" s="1188">
        <f>'2019'!R\Max</f>
        <v>0.29195802164114304</v>
      </c>
      <c r="BY44" s="1188">
        <f>'2020'!R\Max</f>
        <v>0.4487608079312142</v>
      </c>
      <c r="BZ44" s="1188">
        <f>'2021'!R\Max</f>
        <v>0.36106249028713777</v>
      </c>
      <c r="CA44" s="1188">
        <f>'2022'!R\Max</f>
        <v>0.19706998985920554</v>
      </c>
      <c r="CB44" s="1188">
        <f>'2023'!R\Max</f>
        <v>0.19611841557675522</v>
      </c>
      <c r="CC44" s="1188">
        <f>'2024'!R\Max</f>
        <v>0.19489655113132626</v>
      </c>
      <c r="CD44" s="1188">
        <f>'2025'!R\Max</f>
        <v>0.1931391857189565</v>
      </c>
      <c r="CE44" s="1188">
        <f>'2026'!R\Max</f>
        <v>0.19114118928544371</v>
      </c>
      <c r="CF44" s="1189">
        <f>'2027'!R\Max</f>
        <v>0.18902423417481554</v>
      </c>
    </row>
    <row r="45" spans="1:84" s="6" customFormat="1" ht="11.25" x14ac:dyDescent="0.2">
      <c r="A45" s="11">
        <v>43131</v>
      </c>
      <c r="B45" s="380">
        <f>'2023'!Maxi_hp</f>
        <v>19.643738017718885</v>
      </c>
      <c r="C45" s="13">
        <f>'2023'!An_max</f>
        <v>2020</v>
      </c>
      <c r="D45" s="1059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51">
        <f t="shared" si="9"/>
        <v>0.6428571428571429</v>
      </c>
      <c r="J45" s="744">
        <f t="shared" si="27"/>
        <v>25.561175218224527</v>
      </c>
      <c r="L45" s="752" t="s">
        <v>209</v>
      </c>
      <c r="M45" s="782">
        <f t="shared" ref="M45:AA45" si="48">L43</f>
        <v>43065</v>
      </c>
      <c r="N45" s="783">
        <f t="shared" si="48"/>
        <v>43093</v>
      </c>
      <c r="O45" s="734">
        <f t="shared" si="48"/>
        <v>43122</v>
      </c>
      <c r="P45" s="734">
        <f t="shared" si="48"/>
        <v>43150</v>
      </c>
      <c r="Q45" s="734">
        <f t="shared" si="48"/>
        <v>43178</v>
      </c>
      <c r="R45" s="734">
        <f t="shared" si="48"/>
        <v>43206</v>
      </c>
      <c r="S45" s="734">
        <f t="shared" si="48"/>
        <v>43234</v>
      </c>
      <c r="T45" s="734">
        <f t="shared" si="48"/>
        <v>43262</v>
      </c>
      <c r="U45" s="734">
        <f t="shared" si="48"/>
        <v>43290</v>
      </c>
      <c r="V45" s="734">
        <f t="shared" si="48"/>
        <v>43318</v>
      </c>
      <c r="W45" s="734">
        <f t="shared" si="48"/>
        <v>43346</v>
      </c>
      <c r="X45" s="734">
        <f t="shared" si="48"/>
        <v>43374</v>
      </c>
      <c r="Y45" s="734">
        <f t="shared" si="48"/>
        <v>43402</v>
      </c>
      <c r="Z45" s="734">
        <f t="shared" si="48"/>
        <v>43430</v>
      </c>
      <c r="AA45" s="775">
        <f t="shared" si="48"/>
        <v>43458</v>
      </c>
      <c r="AD45" s="7"/>
      <c r="AE45" s="7"/>
      <c r="AF45" s="7"/>
      <c r="AH45" s="7"/>
      <c r="AI45" s="74"/>
      <c r="AO45" s="1052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51">
        <f t="shared" si="14"/>
        <v>0.17857142857142858</v>
      </c>
      <c r="AT45" s="767">
        <f t="shared" si="15"/>
        <v>25.535817580377415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51">
        <f t="shared" si="19"/>
        <v>0.6785714285714286</v>
      </c>
      <c r="AY45" s="767">
        <f t="shared" si="20"/>
        <v>25.442294177785516</v>
      </c>
      <c r="AZ45" s="744">
        <f t="shared" si="26"/>
        <v>25.489055879081466</v>
      </c>
      <c r="BA45" s="642">
        <f t="shared" si="21"/>
        <v>0.76849901657547237</v>
      </c>
      <c r="BC45" s="11">
        <v>43131</v>
      </c>
      <c r="BD45" s="290">
        <f>[2]!FeuilCaduc*(1-Persistant)+Persistant</f>
        <v>0.60001787894495195</v>
      </c>
      <c r="BE45" s="291">
        <f>[2]!CroissVégét</f>
        <v>3.3770923278976551E-3</v>
      </c>
      <c r="BF45" s="814">
        <f>1+[2]!Salcycl*Ksac</f>
        <v>1.000002234868119</v>
      </c>
      <c r="BH45" s="1050">
        <f t="shared" si="22"/>
        <v>3.0815357905994337E-2</v>
      </c>
      <c r="BI45" s="11">
        <v>44227</v>
      </c>
      <c r="BJ45" s="724">
        <v>3.6226633619506221E-6</v>
      </c>
      <c r="BK45" s="724">
        <v>3.7687012302464087E-6</v>
      </c>
      <c r="BL45" s="724">
        <v>4.8466978253332632E-6</v>
      </c>
      <c r="BM45" s="724">
        <v>2.0932990930604944E-4</v>
      </c>
      <c r="BN45" s="724">
        <v>6.8451887431257227E-3</v>
      </c>
      <c r="BO45" s="725">
        <v>3.0815357905994337E-2</v>
      </c>
      <c r="BP45" s="724">
        <v>7.7495295493925462E-2</v>
      </c>
      <c r="BQ45" s="724">
        <v>0.16371580578686185</v>
      </c>
      <c r="BR45" s="724">
        <v>0.26949572849262865</v>
      </c>
      <c r="BS45" s="724">
        <v>0.37181934725347454</v>
      </c>
      <c r="BT45" s="724">
        <v>0.44762774134413497</v>
      </c>
      <c r="BW45" s="1190">
        <f>'2018'!R\Max</f>
        <v>0</v>
      </c>
      <c r="BX45" s="1188">
        <f>'2019'!R\Max</f>
        <v>0.29895156375402487</v>
      </c>
      <c r="BY45" s="1188">
        <f>'2020'!R\Max</f>
        <v>0.76849901657547237</v>
      </c>
      <c r="BZ45" s="1188">
        <f>'2021'!R\Max</f>
        <v>0.34624598344516583</v>
      </c>
      <c r="CA45" s="1188">
        <f>'2022'!R\Max</f>
        <v>0.40203483783315908</v>
      </c>
      <c r="CB45" s="1188">
        <f>'2023'!R\Max</f>
        <v>0.40040801102290163</v>
      </c>
      <c r="CC45" s="1188">
        <f>'2024'!R\Max</f>
        <v>0.39831538849494241</v>
      </c>
      <c r="CD45" s="1188">
        <f>'2025'!R\Max</f>
        <v>0.39529928128871039</v>
      </c>
      <c r="CE45" s="1188">
        <f>'2026'!R\Max</f>
        <v>0.39181589503462394</v>
      </c>
      <c r="CF45" s="1189">
        <f>'2027'!R\Max</f>
        <v>0.38809434574456075</v>
      </c>
    </row>
    <row r="46" spans="1:84" s="6" customFormat="1" ht="11.25" x14ac:dyDescent="0.2">
      <c r="A46" s="11">
        <v>43132</v>
      </c>
      <c r="B46" s="380">
        <f>'2023'!Maxi_hp</f>
        <v>19.85137426834298</v>
      </c>
      <c r="C46" s="13">
        <f>'2023'!An_max</f>
        <v>2019</v>
      </c>
      <c r="D46" s="1059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51">
        <f t="shared" si="9"/>
        <v>0.7142857142857143</v>
      </c>
      <c r="J46" s="744">
        <f t="shared" si="27"/>
        <v>25.868900291249155</v>
      </c>
      <c r="L46" s="753" t="s">
        <v>210</v>
      </c>
      <c r="M46" s="774">
        <f t="shared" ref="M46:AA46" si="49">L44</f>
        <v>184.91200000000001</v>
      </c>
      <c r="N46" s="778">
        <f t="shared" si="49"/>
        <v>176.78399999999999</v>
      </c>
      <c r="O46" s="740">
        <f t="shared" si="49"/>
        <v>229.61600000000001</v>
      </c>
      <c r="P46" s="740">
        <f t="shared" si="49"/>
        <v>319.024</v>
      </c>
      <c r="Q46" s="740">
        <f t="shared" si="49"/>
        <v>440.94400000000002</v>
      </c>
      <c r="R46" s="740">
        <f t="shared" si="49"/>
        <v>551.68799999999999</v>
      </c>
      <c r="S46" s="740">
        <f t="shared" si="49"/>
        <v>612.64800000000002</v>
      </c>
      <c r="T46" s="740">
        <f t="shared" si="49"/>
        <v>622.80799999999999</v>
      </c>
      <c r="U46" s="740">
        <f t="shared" si="49"/>
        <v>601.47199999999998</v>
      </c>
      <c r="V46" s="740">
        <f t="shared" si="49"/>
        <v>554.73599999999999</v>
      </c>
      <c r="W46" s="740">
        <f t="shared" si="49"/>
        <v>478.536</v>
      </c>
      <c r="X46" s="740">
        <f t="shared" si="49"/>
        <v>364.74400000000003</v>
      </c>
      <c r="Y46" s="740">
        <f t="shared" si="49"/>
        <v>258.06400000000002</v>
      </c>
      <c r="Z46" s="740">
        <f t="shared" si="49"/>
        <v>184.91200000000001</v>
      </c>
      <c r="AA46" s="776">
        <f t="shared" si="49"/>
        <v>176.78399999999999</v>
      </c>
      <c r="AD46" s="7"/>
      <c r="AE46" s="7"/>
      <c r="AF46" s="7"/>
      <c r="AH46" s="7"/>
      <c r="AI46" s="74"/>
      <c r="AO46" s="1052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51">
        <f t="shared" si="14"/>
        <v>0.14285714285714285</v>
      </c>
      <c r="AT46" s="767">
        <f t="shared" si="15"/>
        <v>25.849657938522956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51">
        <f t="shared" si="19"/>
        <v>0.6428571428571429</v>
      </c>
      <c r="AY46" s="767">
        <f t="shared" si="20"/>
        <v>25.743054085331302</v>
      </c>
      <c r="AZ46" s="744">
        <f t="shared" si="26"/>
        <v>25.796356011927131</v>
      </c>
      <c r="BA46" s="642">
        <f t="shared" si="21"/>
        <v>0.76738377143377201</v>
      </c>
      <c r="BC46" s="11">
        <v>43132</v>
      </c>
      <c r="BD46" s="290">
        <f>[2]!FeuilCaduc*(1-Persistant)+Persistant</f>
        <v>0.60004199370502986</v>
      </c>
      <c r="BE46" s="291">
        <f>[2]!CroissVégét</f>
        <v>3.5761895087786043E-3</v>
      </c>
      <c r="BF46" s="814">
        <f>1+[2]!Salcycl*Ksac</f>
        <v>1.0000052492131288</v>
      </c>
      <c r="BH46" s="1050">
        <f t="shared" si="22"/>
        <v>3.1370425280590745E-2</v>
      </c>
      <c r="BI46" s="11">
        <v>44228</v>
      </c>
      <c r="BJ46" s="724">
        <v>3.6283638997743138E-6</v>
      </c>
      <c r="BK46" s="724">
        <v>3.7715331911211202E-6</v>
      </c>
      <c r="BL46" s="724">
        <v>4.8283550305104898E-6</v>
      </c>
      <c r="BM46" s="724">
        <v>2.0955015177960543E-4</v>
      </c>
      <c r="BN46" s="724">
        <v>6.9432456120366816E-3</v>
      </c>
      <c r="BO46" s="725">
        <v>3.1370425280590745E-2</v>
      </c>
      <c r="BP46" s="724">
        <v>7.7836679621308483E-2</v>
      </c>
      <c r="BQ46" s="724">
        <v>0.16329470135905633</v>
      </c>
      <c r="BR46" s="724">
        <v>0.2700416103259759</v>
      </c>
      <c r="BS46" s="724">
        <v>0.37503998342469275</v>
      </c>
      <c r="BT46" s="724">
        <v>0.45501167607245108</v>
      </c>
      <c r="BW46" s="1190">
        <f>'2018'!R\Max</f>
        <v>0</v>
      </c>
      <c r="BX46" s="1188">
        <f>'2019'!R\Max</f>
        <v>0.76738377143377201</v>
      </c>
      <c r="BY46" s="1188">
        <f>'2020'!R\Max</f>
        <v>0.54785464551173924</v>
      </c>
      <c r="BZ46" s="1188">
        <f>'2021'!R\Max</f>
        <v>0.32590733584901382</v>
      </c>
      <c r="CA46" s="1188">
        <f>'2022'!R\Max</f>
        <v>0.38904286814254885</v>
      </c>
      <c r="CB46" s="1188">
        <f>'2023'!R\Max</f>
        <v>0.3874609086059963</v>
      </c>
      <c r="CC46" s="1188">
        <f>'2024'!R\Max</f>
        <v>0.38543040140295781</v>
      </c>
      <c r="CD46" s="1188">
        <f>'2025'!R\Max</f>
        <v>0.38251161755219287</v>
      </c>
      <c r="CE46" s="1188">
        <f>'2026'!R\Max</f>
        <v>0.37909821274159083</v>
      </c>
      <c r="CF46" s="1189">
        <f>'2027'!R\Max</f>
        <v>0.37543416162660403</v>
      </c>
    </row>
    <row r="47" spans="1:84" s="6" customFormat="1" ht="11.25" x14ac:dyDescent="0.2">
      <c r="A47" s="11">
        <v>43133</v>
      </c>
      <c r="B47" s="380">
        <f>'2023'!Maxi_hp</f>
        <v>23.358776993635303</v>
      </c>
      <c r="C47" s="13">
        <f>'2023'!An_max</f>
        <v>2021</v>
      </c>
      <c r="D47" s="1059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51">
        <f t="shared" si="9"/>
        <v>0.7857142857142857</v>
      </c>
      <c r="J47" s="744">
        <f t="shared" si="27"/>
        <v>26.179587463183065</v>
      </c>
      <c r="L47" s="753" t="s">
        <v>211</v>
      </c>
      <c r="M47" s="785">
        <f t="shared" ref="M47:AA47" si="50">M43</f>
        <v>43093</v>
      </c>
      <c r="N47" s="735">
        <f t="shared" si="50"/>
        <v>43122</v>
      </c>
      <c r="O47" s="735">
        <f t="shared" si="50"/>
        <v>43150</v>
      </c>
      <c r="P47" s="735">
        <f t="shared" si="50"/>
        <v>43178</v>
      </c>
      <c r="Q47" s="735">
        <f t="shared" si="50"/>
        <v>43206</v>
      </c>
      <c r="R47" s="735">
        <f t="shared" si="50"/>
        <v>43234</v>
      </c>
      <c r="S47" s="735">
        <f t="shared" si="50"/>
        <v>43262</v>
      </c>
      <c r="T47" s="735">
        <f t="shared" si="50"/>
        <v>43290</v>
      </c>
      <c r="U47" s="735">
        <f t="shared" si="50"/>
        <v>43318</v>
      </c>
      <c r="V47" s="735">
        <f t="shared" si="50"/>
        <v>43346</v>
      </c>
      <c r="W47" s="735">
        <f t="shared" si="50"/>
        <v>43374</v>
      </c>
      <c r="X47" s="735">
        <f t="shared" si="50"/>
        <v>43402</v>
      </c>
      <c r="Y47" s="735">
        <f t="shared" si="50"/>
        <v>43430</v>
      </c>
      <c r="Z47" s="777">
        <f t="shared" si="50"/>
        <v>43458</v>
      </c>
      <c r="AA47" s="784">
        <f t="shared" si="50"/>
        <v>43487</v>
      </c>
      <c r="AD47" s="7"/>
      <c r="AE47" s="7"/>
      <c r="AF47" s="7"/>
      <c r="AH47" s="7"/>
      <c r="AI47" s="74"/>
      <c r="AO47" s="1052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51">
        <f t="shared" si="14"/>
        <v>0.10714285714285714</v>
      </c>
      <c r="AT47" s="767">
        <f t="shared" si="15"/>
        <v>26.165979993316746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51">
        <f t="shared" si="19"/>
        <v>0.6071428571428571</v>
      </c>
      <c r="AY47" s="767">
        <f t="shared" si="20"/>
        <v>26.048578258444156</v>
      </c>
      <c r="AZ47" s="744">
        <f t="shared" si="26"/>
        <v>26.107279125880453</v>
      </c>
      <c r="BA47" s="642">
        <f t="shared" si="21"/>
        <v>0.8922515309488841</v>
      </c>
      <c r="BC47" s="11">
        <v>43133</v>
      </c>
      <c r="BD47" s="290">
        <f>[2]!FeuilCaduc*(1-Persistant)+Persistant</f>
        <v>0.60007781000177363</v>
      </c>
      <c r="BE47" s="291">
        <f>[2]!CroissVégét</f>
        <v>3.7835546392683654E-3</v>
      </c>
      <c r="BF47" s="814">
        <f>1+[2]!Salcycl*Ksac</f>
        <v>1.0000097262502217</v>
      </c>
      <c r="BH47" s="1050">
        <f t="shared" si="22"/>
        <v>3.1953888136508464E-2</v>
      </c>
      <c r="BI47" s="11">
        <v>44229</v>
      </c>
      <c r="BJ47" s="724">
        <v>3.6127842862559102E-6</v>
      </c>
      <c r="BK47" s="724">
        <v>3.7511748317786474E-6</v>
      </c>
      <c r="BL47" s="724">
        <v>4.7727217675608365E-6</v>
      </c>
      <c r="BM47" s="724">
        <v>2.0947315954156329E-4</v>
      </c>
      <c r="BN47" s="724">
        <v>7.0464594646430685E-3</v>
      </c>
      <c r="BO47" s="725">
        <v>3.1953888136508464E-2</v>
      </c>
      <c r="BP47" s="724">
        <v>7.8362291521186109E-2</v>
      </c>
      <c r="BQ47" s="724">
        <v>0.16296571097499987</v>
      </c>
      <c r="BR47" s="724">
        <v>0.27054801079172025</v>
      </c>
      <c r="BS47" s="724">
        <v>0.37800663738215917</v>
      </c>
      <c r="BT47" s="724">
        <v>0.4622188040229579</v>
      </c>
      <c r="BW47" s="1190">
        <f>'2018'!R\Max</f>
        <v>0</v>
      </c>
      <c r="BX47" s="1188">
        <f>'2019'!R\Max</f>
        <v>0.13035606866011248</v>
      </c>
      <c r="BY47" s="1188">
        <f>'2020'!R\Max</f>
        <v>0.88870546562636454</v>
      </c>
      <c r="BZ47" s="1188">
        <f>'2021'!R\Max</f>
        <v>0.8922515309488841</v>
      </c>
      <c r="CA47" s="1188">
        <f>'2022'!R\Max</f>
        <v>0.23077501437856116</v>
      </c>
      <c r="CB47" s="1188">
        <f>'2023'!R\Max</f>
        <v>0.22971449343608011</v>
      </c>
      <c r="CC47" s="1188">
        <f>'2024'!R\Max</f>
        <v>0.22836067379395392</v>
      </c>
      <c r="CD47" s="1188">
        <f>'2025'!R\Max</f>
        <v>0.22642732354717726</v>
      </c>
      <c r="CE47" s="1188">
        <f>'2026'!R\Max</f>
        <v>0.22414248196336797</v>
      </c>
      <c r="CF47" s="1189">
        <f>'2027'!R\Max</f>
        <v>0.22168402789530459</v>
      </c>
    </row>
    <row r="48" spans="1:84" s="6" customFormat="1" ht="11.25" x14ac:dyDescent="0.2">
      <c r="A48" s="11">
        <v>43134</v>
      </c>
      <c r="B48" s="380">
        <f>'2023'!Maxi_hp</f>
        <v>21.831324615372054</v>
      </c>
      <c r="C48" s="13">
        <f>'2023'!An_max</f>
        <v>2020</v>
      </c>
      <c r="D48" s="1059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51">
        <f t="shared" si="9"/>
        <v>0.8571428571428571</v>
      </c>
      <c r="J48" s="744">
        <f t="shared" si="27"/>
        <v>26.493014577350447</v>
      </c>
      <c r="L48" s="753" t="s">
        <v>212</v>
      </c>
      <c r="M48" s="778">
        <f t="shared" ref="M48:AA48" si="51">M44</f>
        <v>176.78399999999999</v>
      </c>
      <c r="N48" s="741">
        <f t="shared" si="51"/>
        <v>229.61600000000001</v>
      </c>
      <c r="O48" s="741">
        <f t="shared" si="51"/>
        <v>319.024</v>
      </c>
      <c r="P48" s="741">
        <f t="shared" si="51"/>
        <v>440.94400000000002</v>
      </c>
      <c r="Q48" s="741">
        <f t="shared" si="51"/>
        <v>551.68799999999999</v>
      </c>
      <c r="R48" s="741">
        <f t="shared" si="51"/>
        <v>612.64800000000002</v>
      </c>
      <c r="S48" s="741">
        <f t="shared" si="51"/>
        <v>622.80799999999999</v>
      </c>
      <c r="T48" s="741">
        <f t="shared" si="51"/>
        <v>601.47199999999998</v>
      </c>
      <c r="U48" s="741">
        <f t="shared" si="51"/>
        <v>554.73599999999999</v>
      </c>
      <c r="V48" s="741">
        <f t="shared" si="51"/>
        <v>478.536</v>
      </c>
      <c r="W48" s="741">
        <f t="shared" si="51"/>
        <v>364.74400000000003</v>
      </c>
      <c r="X48" s="741">
        <f t="shared" si="51"/>
        <v>258.06400000000002</v>
      </c>
      <c r="Y48" s="741">
        <f t="shared" si="51"/>
        <v>184.91200000000001</v>
      </c>
      <c r="Z48" s="776">
        <f t="shared" si="51"/>
        <v>176.78399999999999</v>
      </c>
      <c r="AA48" s="774">
        <f t="shared" si="51"/>
        <v>229.61600000000001</v>
      </c>
      <c r="AD48" s="7"/>
      <c r="AE48" s="7"/>
      <c r="AF48" s="7"/>
      <c r="AH48" s="7"/>
      <c r="AI48" s="74"/>
      <c r="AO48" s="1052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51">
        <f t="shared" si="14"/>
        <v>7.1428571428571425E-2</v>
      </c>
      <c r="AT48" s="767">
        <f t="shared" si="15"/>
        <v>26.484520114479324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51">
        <f t="shared" si="19"/>
        <v>0.5714285714285714</v>
      </c>
      <c r="AY48" s="767">
        <f t="shared" si="20"/>
        <v>26.358795468189886</v>
      </c>
      <c r="AZ48" s="744">
        <f t="shared" si="26"/>
        <v>26.421657791334603</v>
      </c>
      <c r="BA48" s="642">
        <f t="shared" si="21"/>
        <v>0.82404078824748805</v>
      </c>
      <c r="BC48" s="11">
        <v>43134</v>
      </c>
      <c r="BD48" s="290">
        <f>[2]!FeuilCaduc*(1-Persistant)+Persistant</f>
        <v>0.60012488414550325</v>
      </c>
      <c r="BE48" s="291">
        <f>[2]!CroissVégét</f>
        <v>3.9995273885343324E-3</v>
      </c>
      <c r="BF48" s="814">
        <f>1+[2]!Salcycl*Ksac</f>
        <v>1.0000156105181879</v>
      </c>
      <c r="BH48" s="1050">
        <f t="shared" si="22"/>
        <v>3.2565763947537983E-2</v>
      </c>
      <c r="BI48" s="11">
        <v>44230</v>
      </c>
      <c r="BJ48" s="724">
        <v>3.57593246247793E-6</v>
      </c>
      <c r="BK48" s="724">
        <v>3.7076346811652441E-6</v>
      </c>
      <c r="BL48" s="724">
        <v>4.6798109048194606E-6</v>
      </c>
      <c r="BM48" s="724">
        <v>2.090992373920297E-4</v>
      </c>
      <c r="BN48" s="724">
        <v>7.1548351120435836E-3</v>
      </c>
      <c r="BO48" s="725">
        <v>3.2565763947537983E-2</v>
      </c>
      <c r="BP48" s="724">
        <v>7.9072186835762795E-2</v>
      </c>
      <c r="BQ48" s="724">
        <v>0.16272903556740406</v>
      </c>
      <c r="BR48" s="724">
        <v>0.27101525677685728</v>
      </c>
      <c r="BS48" s="724">
        <v>0.38071972187968178</v>
      </c>
      <c r="BT48" s="724">
        <v>0.469249498185072</v>
      </c>
      <c r="BW48" s="1190">
        <f>'2018'!R\Max</f>
        <v>0</v>
      </c>
      <c r="BX48" s="1188">
        <f>'2019'!R\Max</f>
        <v>0.4785752844737578</v>
      </c>
      <c r="BY48" s="1188">
        <f>'2020'!R\Max</f>
        <v>0.82404078824748805</v>
      </c>
      <c r="BZ48" s="1188">
        <f>'2021'!R\Max</f>
        <v>0.69051948318568901</v>
      </c>
      <c r="CA48" s="1188">
        <f>'2022'!R\Max</f>
        <v>0.41570791851274608</v>
      </c>
      <c r="CB48" s="1188">
        <f>'2023'!R\Max</f>
        <v>0.41412755401580398</v>
      </c>
      <c r="CC48" s="1188">
        <f>'2024'!R\Max</f>
        <v>0.41211927154506428</v>
      </c>
      <c r="CD48" s="1188">
        <f>'2025'!R\Max</f>
        <v>0.40926502319021374</v>
      </c>
      <c r="CE48" s="1188">
        <f>'2026'!R\Max</f>
        <v>0.40583790661903119</v>
      </c>
      <c r="CF48" s="1189">
        <f>'2027'!R\Max</f>
        <v>0.40211958661950797</v>
      </c>
    </row>
    <row r="49" spans="1:84" s="6" customFormat="1" ht="11.25" x14ac:dyDescent="0.2">
      <c r="A49" s="11">
        <v>43135</v>
      </c>
      <c r="B49" s="380">
        <f>'2023'!Maxi_hp</f>
        <v>19.89663781404116</v>
      </c>
      <c r="C49" s="13">
        <f>'2023'!An_max</f>
        <v>2019</v>
      </c>
      <c r="D49" s="1059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51">
        <f t="shared" si="9"/>
        <v>0.9285714285714286</v>
      </c>
      <c r="J49" s="744">
        <f t="shared" si="27"/>
        <v>26.808959475053207</v>
      </c>
      <c r="L49" s="753" t="s">
        <v>213</v>
      </c>
      <c r="M49" s="780">
        <f t="shared" ref="M49:AA49" si="52">N43</f>
        <v>43122</v>
      </c>
      <c r="N49" s="736">
        <f t="shared" si="52"/>
        <v>43150</v>
      </c>
      <c r="O49" s="736">
        <f t="shared" si="52"/>
        <v>43178</v>
      </c>
      <c r="P49" s="736">
        <f t="shared" si="52"/>
        <v>43206</v>
      </c>
      <c r="Q49" s="736">
        <f t="shared" si="52"/>
        <v>43234</v>
      </c>
      <c r="R49" s="736">
        <f t="shared" si="52"/>
        <v>43262</v>
      </c>
      <c r="S49" s="736">
        <f t="shared" si="52"/>
        <v>43290</v>
      </c>
      <c r="T49" s="736">
        <f t="shared" si="52"/>
        <v>43318</v>
      </c>
      <c r="U49" s="736">
        <f t="shared" si="52"/>
        <v>43346</v>
      </c>
      <c r="V49" s="736">
        <f t="shared" si="52"/>
        <v>43374</v>
      </c>
      <c r="W49" s="736">
        <f t="shared" si="52"/>
        <v>43402</v>
      </c>
      <c r="X49" s="736">
        <f t="shared" si="52"/>
        <v>43430</v>
      </c>
      <c r="Y49" s="736">
        <f t="shared" si="52"/>
        <v>43458</v>
      </c>
      <c r="Z49" s="786">
        <f t="shared" si="52"/>
        <v>43487</v>
      </c>
      <c r="AA49" s="784">
        <f t="shared" si="52"/>
        <v>43515</v>
      </c>
      <c r="AD49" s="7"/>
      <c r="AE49" s="7"/>
      <c r="AF49" s="7"/>
      <c r="AH49" s="7"/>
      <c r="AI49" s="74"/>
      <c r="AO49" s="1052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51">
        <f t="shared" si="14"/>
        <v>3.5714285714285712E-2</v>
      </c>
      <c r="AT49" s="767">
        <f t="shared" si="15"/>
        <v>26.805014662125281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51">
        <f t="shared" si="19"/>
        <v>0.5357142857142857</v>
      </c>
      <c r="AY49" s="767">
        <f t="shared" si="20"/>
        <v>26.673634484436896</v>
      </c>
      <c r="AZ49" s="744">
        <f t="shared" si="26"/>
        <v>26.739324573281088</v>
      </c>
      <c r="BA49" s="642">
        <f t="shared" si="21"/>
        <v>0.74216374688304354</v>
      </c>
      <c r="BC49" s="11">
        <v>43135</v>
      </c>
      <c r="BD49" s="290">
        <f>[2]!FeuilCaduc*(1-Persistant)+Persistant</f>
        <v>0.60018269193090101</v>
      </c>
      <c r="BE49" s="291">
        <f>[2]!CroissVégét</f>
        <v>4.2244610672662677E-3</v>
      </c>
      <c r="BF49" s="814">
        <f>1+[2]!Salcycl*Ksac</f>
        <v>1.0000228364913626</v>
      </c>
      <c r="BH49" s="1050">
        <f t="shared" si="22"/>
        <v>3.3206071508122333E-2</v>
      </c>
      <c r="BI49" s="11">
        <v>44231</v>
      </c>
      <c r="BJ49" s="724">
        <v>3.5178174764361922E-6</v>
      </c>
      <c r="BK49" s="724">
        <v>3.6409224576799089E-6</v>
      </c>
      <c r="BL49" s="724">
        <v>4.5496371093493743E-6</v>
      </c>
      <c r="BM49" s="724">
        <v>2.0842870623466491E-4</v>
      </c>
      <c r="BN49" s="724">
        <v>7.2683775909705975E-3</v>
      </c>
      <c r="BO49" s="725">
        <v>3.3206071508122333E-2</v>
      </c>
      <c r="BP49" s="724">
        <v>7.9966413535387165E-2</v>
      </c>
      <c r="BQ49" s="724">
        <v>0.1625848692291352</v>
      </c>
      <c r="BR49" s="724">
        <v>0.2714436797971177</v>
      </c>
      <c r="BS49" s="724">
        <v>0.38317967850862805</v>
      </c>
      <c r="BT49" s="724">
        <v>0.47610417724117804</v>
      </c>
      <c r="BW49" s="1190">
        <f>'2018'!R\Max</f>
        <v>0</v>
      </c>
      <c r="BX49" s="1188">
        <f>'2019'!R\Max</f>
        <v>0.74216374688304354</v>
      </c>
      <c r="BY49" s="1188">
        <f>'2020'!R\Max</f>
        <v>0.5761057267158417</v>
      </c>
      <c r="BZ49" s="1188">
        <f>'2021'!R\Max</f>
        <v>0.60900514687167284</v>
      </c>
      <c r="CA49" s="1188">
        <f>'2022'!R\Max</f>
        <v>0.37366695711876258</v>
      </c>
      <c r="CB49" s="1188">
        <f>'2023'!R\Max</f>
        <v>0.37215420724318249</v>
      </c>
      <c r="CC49" s="1188">
        <f>'2024'!R\Max</f>
        <v>0.37024908416871893</v>
      </c>
      <c r="CD49" s="1188">
        <f>'2025'!R\Max</f>
        <v>0.36756954861242891</v>
      </c>
      <c r="CE49" s="1188">
        <f>'2026'!R\Max</f>
        <v>0.36431391382015732</v>
      </c>
      <c r="CF49" s="1189">
        <f>'2027'!R\Max</f>
        <v>0.36076889331092771</v>
      </c>
    </row>
    <row r="50" spans="1:84" s="6" customFormat="1" ht="11.25" x14ac:dyDescent="0.2">
      <c r="A50" s="11">
        <v>43136</v>
      </c>
      <c r="B50" s="380">
        <f>'2023'!Maxi_hp</f>
        <v>27.074904186376749</v>
      </c>
      <c r="C50" s="13">
        <f>'2023'!An_max</f>
        <v>2020</v>
      </c>
      <c r="D50" s="1059">
        <f t="shared" si="7"/>
        <v>0.99807220008024544</v>
      </c>
      <c r="E50" s="1054">
        <f>P$13/10</f>
        <v>27.127199999999998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51">
        <f t="shared" si="9"/>
        <v>1</v>
      </c>
      <c r="J50" s="744">
        <f t="shared" si="27"/>
        <v>27.12720000036061</v>
      </c>
      <c r="L50" s="753" t="s">
        <v>214</v>
      </c>
      <c r="M50" s="781">
        <f t="shared" ref="M50:AA50" si="53">N44</f>
        <v>229.61600000000001</v>
      </c>
      <c r="N50" s="741">
        <f t="shared" si="53"/>
        <v>319.024</v>
      </c>
      <c r="O50" s="741">
        <f t="shared" si="53"/>
        <v>440.94400000000002</v>
      </c>
      <c r="P50" s="741">
        <f t="shared" si="53"/>
        <v>551.68799999999999</v>
      </c>
      <c r="Q50" s="741">
        <f t="shared" si="53"/>
        <v>612.64800000000002</v>
      </c>
      <c r="R50" s="741">
        <f t="shared" si="53"/>
        <v>622.80799999999999</v>
      </c>
      <c r="S50" s="741">
        <f t="shared" si="53"/>
        <v>601.47199999999998</v>
      </c>
      <c r="T50" s="741">
        <f t="shared" si="53"/>
        <v>554.73599999999999</v>
      </c>
      <c r="U50" s="741">
        <f t="shared" si="53"/>
        <v>478.536</v>
      </c>
      <c r="V50" s="741">
        <f t="shared" si="53"/>
        <v>364.74400000000003</v>
      </c>
      <c r="W50" s="741">
        <f t="shared" si="53"/>
        <v>258.06400000000002</v>
      </c>
      <c r="X50" s="741">
        <f t="shared" si="53"/>
        <v>184.91200000000001</v>
      </c>
      <c r="Y50" s="741">
        <f t="shared" si="53"/>
        <v>176.78399999999999</v>
      </c>
      <c r="Z50" s="787">
        <f t="shared" si="53"/>
        <v>229.61600000000001</v>
      </c>
      <c r="AA50" s="774">
        <f t="shared" si="53"/>
        <v>319.024</v>
      </c>
      <c r="AD50" s="7"/>
      <c r="AE50" s="7"/>
      <c r="AF50" s="7"/>
      <c r="AH50" s="7"/>
      <c r="AI50" s="74"/>
      <c r="AO50" s="1052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51">
        <f t="shared" si="14"/>
        <v>0</v>
      </c>
      <c r="AT50" s="767">
        <f t="shared" si="15"/>
        <v>27.127200000733136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51">
        <f t="shared" si="19"/>
        <v>0.5</v>
      </c>
      <c r="AY50" s="767">
        <f t="shared" si="20"/>
        <v>26.993024077638985</v>
      </c>
      <c r="AZ50" s="744">
        <f t="shared" si="26"/>
        <v>27.060112039186059</v>
      </c>
      <c r="BA50" s="642">
        <f t="shared" si="21"/>
        <v>0.99807220008024544</v>
      </c>
      <c r="BC50" s="11">
        <v>43136</v>
      </c>
      <c r="BD50" s="290">
        <f>[2]!FeuilCaduc*(1-Persistant)+Persistant</f>
        <v>0.60025063350584451</v>
      </c>
      <c r="BE50" s="291">
        <f>[2]!CroissVégét</f>
        <v>4.4587231488279668E-3</v>
      </c>
      <c r="BF50" s="814">
        <f>1+[2]!Salcycl*Ksac</f>
        <v>1.0000313291882306</v>
      </c>
      <c r="BH50" s="1050">
        <f t="shared" si="22"/>
        <v>3.3874831293299081E-2</v>
      </c>
      <c r="BI50" s="11">
        <v>44232</v>
      </c>
      <c r="BJ50" s="724">
        <v>3.4384492174923626E-6</v>
      </c>
      <c r="BK50" s="724">
        <v>3.5510487797617922E-6</v>
      </c>
      <c r="BL50" s="724">
        <v>4.3822163813654221E-6</v>
      </c>
      <c r="BM50" s="724">
        <v>2.0746189938977957E-4</v>
      </c>
      <c r="BN50" s="724">
        <v>7.3870922293301786E-3</v>
      </c>
      <c r="BO50" s="725">
        <v>3.3874831293299081E-2</v>
      </c>
      <c r="BP50" s="724">
        <v>8.1045014233022933E-2</v>
      </c>
      <c r="BQ50" s="724">
        <v>0.1625334003870928</v>
      </c>
      <c r="BR50" s="724">
        <v>0.27183361554137159</v>
      </c>
      <c r="BS50" s="724">
        <v>0.38538697457784649</v>
      </c>
      <c r="BT50" s="724">
        <v>0.48278330342683884</v>
      </c>
      <c r="BW50" s="1190">
        <f>'2018'!R\Max</f>
        <v>0</v>
      </c>
      <c r="BX50" s="1188">
        <f>'2019'!R\Max</f>
        <v>0.14705285004325155</v>
      </c>
      <c r="BY50" s="1188">
        <f>'2020'!R\Max</f>
        <v>0.99807220008024544</v>
      </c>
      <c r="BZ50" s="1188">
        <f>'2021'!R\Max</f>
        <v>0.47022669932821992</v>
      </c>
      <c r="CA50" s="1188">
        <f>'2022'!R\Max</f>
        <v>0.38320207511230669</v>
      </c>
      <c r="CB50" s="1188">
        <f>'2023'!R\Max</f>
        <v>0.38167876536140932</v>
      </c>
      <c r="CC50" s="1188">
        <f>'2024'!R\Max</f>
        <v>0.37978000865957756</v>
      </c>
      <c r="CD50" s="1188">
        <f>'2025'!R\Max</f>
        <v>0.3771410530305026</v>
      </c>
      <c r="CE50" s="1188">
        <f>'2026'!R\Max</f>
        <v>0.37389189888287772</v>
      </c>
      <c r="CF50" s="1189">
        <f>'2027'!R\Max</f>
        <v>0.37033599878188384</v>
      </c>
    </row>
    <row r="51" spans="1:84" s="6" customFormat="1" ht="11.25" x14ac:dyDescent="0.2">
      <c r="A51" s="11">
        <v>43137</v>
      </c>
      <c r="B51" s="380">
        <f>'2023'!Maxi_hp</f>
        <v>27.752705659425114</v>
      </c>
      <c r="C51" s="13">
        <f>'2023'!An_max</f>
        <v>2020</v>
      </c>
      <c r="D51" s="1059">
        <f t="shared" si="7"/>
        <v>1.0111341044850648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51">
        <f t="shared" si="9"/>
        <v>0.9285714285714286</v>
      </c>
      <c r="J51" s="744">
        <f t="shared" si="27"/>
        <v>27.447106705552766</v>
      </c>
      <c r="L51" s="754" t="s">
        <v>215</v>
      </c>
      <c r="M51" s="738">
        <f t="shared" ref="M51:AA51" si="54">x.1ld*x.1ld-x.2ld*x.2ld</f>
        <v>-2412424</v>
      </c>
      <c r="N51" s="738">
        <f t="shared" si="54"/>
        <v>-2500235</v>
      </c>
      <c r="O51" s="738">
        <f t="shared" si="54"/>
        <v>-2415616</v>
      </c>
      <c r="P51" s="738">
        <f t="shared" si="54"/>
        <v>-2417184</v>
      </c>
      <c r="Q51" s="738">
        <f t="shared" si="54"/>
        <v>-2418752</v>
      </c>
      <c r="R51" s="738">
        <f t="shared" si="54"/>
        <v>-2420320</v>
      </c>
      <c r="S51" s="738">
        <f t="shared" si="54"/>
        <v>-2421888</v>
      </c>
      <c r="T51" s="738">
        <f t="shared" si="54"/>
        <v>-2423456</v>
      </c>
      <c r="U51" s="738">
        <f t="shared" si="54"/>
        <v>-2425024</v>
      </c>
      <c r="V51" s="738">
        <f t="shared" si="54"/>
        <v>-2426592</v>
      </c>
      <c r="W51" s="738">
        <f t="shared" si="54"/>
        <v>-2428160</v>
      </c>
      <c r="X51" s="738">
        <f t="shared" si="54"/>
        <v>-2429728</v>
      </c>
      <c r="Y51" s="738">
        <f t="shared" si="54"/>
        <v>-2431296</v>
      </c>
      <c r="Z51" s="738">
        <f t="shared" si="54"/>
        <v>-2432864</v>
      </c>
      <c r="AA51" s="738">
        <f t="shared" si="54"/>
        <v>-2521405</v>
      </c>
      <c r="AC51" s="7"/>
      <c r="AD51" s="7"/>
      <c r="AE51" s="7"/>
      <c r="AF51" s="7"/>
      <c r="AH51" s="7"/>
      <c r="AI51" s="74"/>
      <c r="AO51" s="1052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51">
        <f t="shared" si="14"/>
        <v>3.5714285714285712E-2</v>
      </c>
      <c r="AT51" s="767">
        <f t="shared" si="15"/>
        <v>27.452711553286228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51">
        <f t="shared" si="19"/>
        <v>0.4642857142857143</v>
      </c>
      <c r="AY51" s="767">
        <f t="shared" si="20"/>
        <v>27.3168930157753</v>
      </c>
      <c r="AZ51" s="744">
        <f t="shared" si="26"/>
        <v>27.384802284530764</v>
      </c>
      <c r="BA51" s="642">
        <f t="shared" si="21"/>
        <v>1.0111341044850648</v>
      </c>
      <c r="BC51" s="11">
        <v>43137</v>
      </c>
      <c r="BD51" s="290">
        <f>[2]!FeuilCaduc*(1-Persistant)+Persistant</f>
        <v>0.60032803951137059</v>
      </c>
      <c r="BE51" s="291">
        <f>[2]!CroissVégét</f>
        <v>4.7026958080162657E-3</v>
      </c>
      <c r="BF51" s="814">
        <f>1+[2]!Salcycl*Ksac</f>
        <v>1.0000410049389212</v>
      </c>
      <c r="BH51" s="1050">
        <f t="shared" si="22"/>
        <v>3.4572065818578405E-2</v>
      </c>
      <c r="BI51" s="11">
        <v>44233</v>
      </c>
      <c r="BJ51" s="724">
        <v>3.337838150818555E-6</v>
      </c>
      <c r="BK51" s="724">
        <v>3.4380248764693401E-6</v>
      </c>
      <c r="BL51" s="724">
        <v>4.1775655886475005E-6</v>
      </c>
      <c r="BM51" s="724">
        <v>2.0619915890699394E-4</v>
      </c>
      <c r="BN51" s="724">
        <v>7.5109847117280542E-3</v>
      </c>
      <c r="BO51" s="725">
        <v>3.4572065818578405E-2</v>
      </c>
      <c r="BP51" s="724">
        <v>8.2308028498565014E-2</v>
      </c>
      <c r="BQ51" s="724">
        <v>0.16257481297575524</v>
      </c>
      <c r="BR51" s="724">
        <v>0.2721854034154782</v>
      </c>
      <c r="BS51" s="724">
        <v>0.38734209999281194</v>
      </c>
      <c r="BT51" s="724">
        <v>0.48928738039006708</v>
      </c>
      <c r="BW51" s="1190">
        <f>'2018'!R\Max</f>
        <v>0</v>
      </c>
      <c r="BX51" s="1188">
        <f>'2019'!R\Max</f>
        <v>0.39142864649718923</v>
      </c>
      <c r="BY51" s="1188">
        <f>'2020'!R\Max</f>
        <v>1.0111341044850648</v>
      </c>
      <c r="BZ51" s="1188">
        <f>'2021'!R\Max</f>
        <v>0.36698307456539569</v>
      </c>
      <c r="CA51" s="1188">
        <f>'2022'!R\Max</f>
        <v>0.65661238736431737</v>
      </c>
      <c r="CB51" s="1188">
        <f>'2023'!R\Max</f>
        <v>0.65515619000458292</v>
      </c>
      <c r="CC51" s="1188">
        <f>'2024'!R\Max</f>
        <v>0.65335639427086745</v>
      </c>
      <c r="CD51" s="1188">
        <f>'2025'!R\Max</f>
        <v>0.65087861348142451</v>
      </c>
      <c r="CE51" s="1188">
        <f>'2026'!R\Max</f>
        <v>0.64776653883492907</v>
      </c>
      <c r="CF51" s="1189">
        <f>'2027'!R\Max</f>
        <v>0.64431743823629128</v>
      </c>
    </row>
    <row r="52" spans="1:84" s="6" customFormat="1" ht="11.25" x14ac:dyDescent="0.2">
      <c r="A52" s="11">
        <v>43138</v>
      </c>
      <c r="B52" s="380">
        <f>'2023'!Maxi_hp</f>
        <v>19.538155508149512</v>
      </c>
      <c r="C52" s="13">
        <f>'2023'!An_max</f>
        <v>2020</v>
      </c>
      <c r="D52" s="1059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51">
        <f t="shared" si="9"/>
        <v>0.8571428571428571</v>
      </c>
      <c r="J52" s="744">
        <f t="shared" si="27"/>
        <v>27.768494461051056</v>
      </c>
      <c r="L52" s="754" t="s">
        <v>216</v>
      </c>
      <c r="M52" s="738">
        <f t="shared" ref="M52:AA52" si="55">x.2ld*x.2ld-x.3ld*x.3ld</f>
        <v>-2500235</v>
      </c>
      <c r="N52" s="738">
        <f t="shared" si="55"/>
        <v>-2415616</v>
      </c>
      <c r="O52" s="738">
        <f t="shared" si="55"/>
        <v>-2417184</v>
      </c>
      <c r="P52" s="738">
        <f t="shared" si="55"/>
        <v>-2418752</v>
      </c>
      <c r="Q52" s="738">
        <f t="shared" si="55"/>
        <v>-2420320</v>
      </c>
      <c r="R52" s="738">
        <f t="shared" si="55"/>
        <v>-2421888</v>
      </c>
      <c r="S52" s="738">
        <f t="shared" si="55"/>
        <v>-2423456</v>
      </c>
      <c r="T52" s="738">
        <f t="shared" si="55"/>
        <v>-2425024</v>
      </c>
      <c r="U52" s="738">
        <f t="shared" si="55"/>
        <v>-2426592</v>
      </c>
      <c r="V52" s="738">
        <f t="shared" si="55"/>
        <v>-2428160</v>
      </c>
      <c r="W52" s="738">
        <f t="shared" si="55"/>
        <v>-2429728</v>
      </c>
      <c r="X52" s="738">
        <f t="shared" si="55"/>
        <v>-2431296</v>
      </c>
      <c r="Y52" s="738">
        <f t="shared" si="55"/>
        <v>-2432864</v>
      </c>
      <c r="Z52" s="738">
        <f t="shared" si="55"/>
        <v>-2521405</v>
      </c>
      <c r="AA52" s="738">
        <f t="shared" si="55"/>
        <v>-2436056</v>
      </c>
      <c r="AC52" s="7"/>
      <c r="AD52" s="7"/>
      <c r="AE52" s="7"/>
      <c r="AF52" s="7"/>
      <c r="AH52" s="7"/>
      <c r="AI52" s="74"/>
      <c r="AO52" s="1052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51">
        <f t="shared" si="14"/>
        <v>7.1428571428571425E-2</v>
      </c>
      <c r="AT52" s="767">
        <f t="shared" si="15"/>
        <v>27.78326793124101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51">
        <f t="shared" si="19"/>
        <v>0.42857142857142855</v>
      </c>
      <c r="AY52" s="767">
        <f t="shared" si="20"/>
        <v>27.645170070656707</v>
      </c>
      <c r="AZ52" s="744">
        <f t="shared" si="26"/>
        <v>27.714219000948859</v>
      </c>
      <c r="BA52" s="642">
        <f t="shared" si="21"/>
        <v>0.70360874391495476</v>
      </c>
      <c r="BC52" s="11">
        <v>43138</v>
      </c>
      <c r="BD52" s="290">
        <f>[2]!FeuilCaduc*(1-Persistant)+Persistant</f>
        <v>0.60041417840130806</v>
      </c>
      <c r="BE52" s="291">
        <f>[2]!CroissVégét</f>
        <v>4.9567764778191995E-3</v>
      </c>
      <c r="BF52" s="814">
        <f>1+[2]!Salcycl*Ksac</f>
        <v>1.0000517723001634</v>
      </c>
      <c r="BH52" s="1050">
        <f t="shared" si="22"/>
        <v>3.531617889855497E-2</v>
      </c>
      <c r="BI52" s="11">
        <v>44234</v>
      </c>
      <c r="BJ52" s="724">
        <v>3.2391697950532213E-6</v>
      </c>
      <c r="BK52" s="724">
        <v>3.325991121783413E-6</v>
      </c>
      <c r="BL52" s="724">
        <v>3.9668734880372496E-6</v>
      </c>
      <c r="BM52" s="724">
        <v>2.0493425160002349E-4</v>
      </c>
      <c r="BN52" s="724">
        <v>7.6462605054284415E-3</v>
      </c>
      <c r="BO52" s="725">
        <v>3.531617889855497E-2</v>
      </c>
      <c r="BP52" s="724">
        <v>8.3799033171499795E-2</v>
      </c>
      <c r="BQ52" s="724">
        <v>0.16288547252274643</v>
      </c>
      <c r="BR52" s="724">
        <v>0.27257940262813518</v>
      </c>
      <c r="BS52" s="724">
        <v>0.38907762608358271</v>
      </c>
      <c r="BT52" s="724">
        <v>0.49554937448930836</v>
      </c>
      <c r="BW52" s="1190">
        <f>'2018'!R\Max</f>
        <v>0</v>
      </c>
      <c r="BX52" s="1188">
        <f>'2019'!R\Max</f>
        <v>0.26402607083978824</v>
      </c>
      <c r="BY52" s="1188">
        <f>'2020'!R\Max</f>
        <v>0.70360874391495476</v>
      </c>
      <c r="BZ52" s="1188">
        <f>'2021'!R\Max</f>
        <v>0.58487253914769355</v>
      </c>
      <c r="CA52" s="1188">
        <f>'2022'!R\Max</f>
        <v>0.37443485500980273</v>
      </c>
      <c r="CB52" s="1188">
        <f>'2023'!R\Max</f>
        <v>0.37291873076178961</v>
      </c>
      <c r="CC52" s="1188">
        <f>'2024'!R\Max</f>
        <v>0.37107793405098743</v>
      </c>
      <c r="CD52" s="1188">
        <f>'2025'!R\Max</f>
        <v>0.36859875861318525</v>
      </c>
      <c r="CE52" s="1188">
        <f>'2026'!R\Max</f>
        <v>0.365470660879464</v>
      </c>
      <c r="CF52" s="1189">
        <f>'2027'!R\Max</f>
        <v>0.36201787067859365</v>
      </c>
    </row>
    <row r="53" spans="1:84" s="6" customFormat="1" ht="11.25" x14ac:dyDescent="0.2">
      <c r="A53" s="11">
        <v>43139</v>
      </c>
      <c r="B53" s="380">
        <f>'2023'!Maxi_hp</f>
        <v>28.35093087832141</v>
      </c>
      <c r="C53" s="13">
        <f>'2023'!An_max</f>
        <v>2023</v>
      </c>
      <c r="D53" s="1059">
        <f t="shared" si="7"/>
        <v>1.009224158935293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51">
        <f t="shared" si="9"/>
        <v>0.7857142857142857</v>
      </c>
      <c r="J53" s="744">
        <f t="shared" si="27"/>
        <v>28.091807580419946</v>
      </c>
      <c r="L53" s="754" t="s">
        <v>217</v>
      </c>
      <c r="M53" s="738">
        <f t="shared" ref="M53:AA53" si="56">(y.1ld-y.2ld-b.ld*(x.1ld-x.2ld))/D2x12Ld</f>
        <v>3.7054014346208274E-2</v>
      </c>
      <c r="N53" s="738">
        <f t="shared" si="56"/>
        <v>2.4058767608673964E-2</v>
      </c>
      <c r="O53" s="738">
        <f t="shared" si="56"/>
        <v>2.0734693877548668E-2</v>
      </c>
      <c r="P53" s="738">
        <f t="shared" si="56"/>
        <v>-7.1275510204092301E-3</v>
      </c>
      <c r="Q53" s="738">
        <f t="shared" si="56"/>
        <v>-3.1750000000001263E-2</v>
      </c>
      <c r="R53" s="738">
        <f t="shared" si="56"/>
        <v>-3.2397959183676169E-2</v>
      </c>
      <c r="S53" s="738">
        <f t="shared" si="56"/>
        <v>-2.0086734693875008E-2</v>
      </c>
      <c r="T53" s="738">
        <f t="shared" si="56"/>
        <v>-1.6198979591839444E-2</v>
      </c>
      <c r="U53" s="738">
        <f t="shared" si="56"/>
        <v>-1.8790816326532497E-2</v>
      </c>
      <c r="V53" s="738">
        <f t="shared" si="56"/>
        <v>-2.3974489795916574E-2</v>
      </c>
      <c r="W53" s="738">
        <f t="shared" si="56"/>
        <v>4.5357142857141274E-3</v>
      </c>
      <c r="X53" s="738">
        <f t="shared" si="56"/>
        <v>2.138265306122315E-2</v>
      </c>
      <c r="Y53" s="738">
        <f t="shared" si="56"/>
        <v>4.1469387755098661E-2</v>
      </c>
      <c r="Z53" s="738">
        <f t="shared" si="56"/>
        <v>3.7054014346205588E-2</v>
      </c>
      <c r="AA53" s="738">
        <f t="shared" si="56"/>
        <v>2.4058767608679588E-2</v>
      </c>
      <c r="AC53" s="7"/>
      <c r="AD53" s="7"/>
      <c r="AE53" s="7"/>
      <c r="AF53" s="7"/>
      <c r="AH53" s="7"/>
      <c r="AI53" s="74"/>
      <c r="AO53" s="1052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51">
        <f t="shared" si="14"/>
        <v>0.10714285714285714</v>
      </c>
      <c r="AT53" s="767">
        <f t="shared" si="15"/>
        <v>28.118730284765896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51">
        <f t="shared" si="19"/>
        <v>0.39285714285714285</v>
      </c>
      <c r="AY53" s="767">
        <f t="shared" si="20"/>
        <v>27.977784010794551</v>
      </c>
      <c r="AZ53" s="744">
        <f t="shared" si="26"/>
        <v>28.048257147780223</v>
      </c>
      <c r="BA53" s="642">
        <f t="shared" si="21"/>
        <v>1.009224158935293</v>
      </c>
      <c r="BC53" s="11">
        <v>43139</v>
      </c>
      <c r="BD53" s="290">
        <f>[2]!FeuilCaduc*(1-Persistant)+Persistant</f>
        <v>0.60050826483977415</v>
      </c>
      <c r="BE53" s="291">
        <f>[2]!CroissVégét</f>
        <v>5.2213784245517241E-3</v>
      </c>
      <c r="BF53" s="814">
        <f>1+[2]!Salcycl*Ksac</f>
        <v>1.0000635331049719</v>
      </c>
      <c r="BH53" s="1050">
        <f t="shared" si="22"/>
        <v>3.609338435909909E-2</v>
      </c>
      <c r="BI53" s="11">
        <v>44235</v>
      </c>
      <c r="BJ53" s="724">
        <v>3.1887944885101952E-6</v>
      </c>
      <c r="BK53" s="724">
        <v>3.2632063665683269E-6</v>
      </c>
      <c r="BL53" s="724">
        <v>3.8124868519436339E-6</v>
      </c>
      <c r="BM53" s="724">
        <v>2.0410755636367968E-4</v>
      </c>
      <c r="BN53" s="724">
        <v>7.7912801791930131E-3</v>
      </c>
      <c r="BO53" s="725">
        <v>3.609338435909909E-2</v>
      </c>
      <c r="BP53" s="724">
        <v>8.5417166948451542E-2</v>
      </c>
      <c r="BQ53" s="724">
        <v>0.16345732656751674</v>
      </c>
      <c r="BR53" s="724">
        <v>0.27306054129980267</v>
      </c>
      <c r="BS53" s="724">
        <v>0.39074067823423358</v>
      </c>
      <c r="BT53" s="724">
        <v>0.50161583257437403</v>
      </c>
      <c r="BW53" s="1190">
        <f>'2018'!R\Max</f>
        <v>0</v>
      </c>
      <c r="BX53" s="1188">
        <f>'2019'!R\Max</f>
        <v>0.82961069083199979</v>
      </c>
      <c r="BY53" s="1188">
        <f>'2020'!R\Max</f>
        <v>0.78575829697161736</v>
      </c>
      <c r="BZ53" s="1188">
        <f>'2021'!R\Max</f>
        <v>0.18936320353891994</v>
      </c>
      <c r="CA53" s="1188">
        <f>'2022'!R\Max</f>
        <v>1.009224158935293</v>
      </c>
      <c r="CB53" s="1188">
        <f>'2023'!R\Max</f>
        <v>1.009224158935293</v>
      </c>
      <c r="CC53" s="1188">
        <f>'2024'!R\Max</f>
        <v>1.009224158935293</v>
      </c>
      <c r="CD53" s="1188">
        <f>'2025'!R\Max</f>
        <v>1.009224158935293</v>
      </c>
      <c r="CE53" s="1188">
        <f>'2026'!R\Max</f>
        <v>1.009224158935293</v>
      </c>
      <c r="CF53" s="1189">
        <f>'2027'!R\Max</f>
        <v>1.009224158935293</v>
      </c>
    </row>
    <row r="54" spans="1:84" s="6" customFormat="1" ht="11.25" x14ac:dyDescent="0.2">
      <c r="A54" s="11">
        <v>43140</v>
      </c>
      <c r="B54" s="380">
        <f>'2023'!Maxi_hp</f>
        <v>28.057262374648079</v>
      </c>
      <c r="C54" s="13">
        <f>'2023'!An_max</f>
        <v>2022</v>
      </c>
      <c r="D54" s="1059">
        <f t="shared" si="7"/>
        <v>0.98732372210507857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51">
        <f t="shared" si="9"/>
        <v>0.7142857142857143</v>
      </c>
      <c r="J54" s="744">
        <f t="shared" si="27"/>
        <v>28.417490379778407</v>
      </c>
      <c r="L54" s="754" t="s">
        <v>218</v>
      </c>
      <c r="M54" s="738">
        <f t="shared" ref="M54:AA54" si="57">(y.2ld-y.3ld-(y.1ld-y.2ld)*D2x23Ld/D2x12Ld)/(x.2ld-x.3ld)/(1-(x.2ld+x.3ld)/(x.1ld+x.2ld))</f>
        <v>-3192.7900537548981</v>
      </c>
      <c r="N54" s="738">
        <f t="shared" si="57"/>
        <v>-2072.4048562783773</v>
      </c>
      <c r="O54" s="738">
        <f t="shared" si="57"/>
        <v>-1785.6303673467357</v>
      </c>
      <c r="P54" s="738">
        <f t="shared" si="57"/>
        <v>619.66151020417374</v>
      </c>
      <c r="Q54" s="738">
        <f t="shared" si="57"/>
        <v>2746.6471428572522</v>
      </c>
      <c r="R54" s="738">
        <f t="shared" si="57"/>
        <v>2802.656734694111</v>
      </c>
      <c r="S54" s="738">
        <f t="shared" si="57"/>
        <v>1737.7850612242698</v>
      </c>
      <c r="T54" s="738">
        <f t="shared" si="57"/>
        <v>1401.2920816328874</v>
      </c>
      <c r="U54" s="738">
        <f t="shared" si="57"/>
        <v>1625.7658775511838</v>
      </c>
      <c r="V54" s="738">
        <f t="shared" si="57"/>
        <v>2075.0037551018854</v>
      </c>
      <c r="W54" s="738">
        <f t="shared" si="57"/>
        <v>-397.40114285712906</v>
      </c>
      <c r="X54" s="738">
        <f t="shared" si="57"/>
        <v>-1859.3111020407</v>
      </c>
      <c r="Y54" s="738">
        <f t="shared" si="57"/>
        <v>-3603.4824489792986</v>
      </c>
      <c r="Z54" s="738">
        <f t="shared" si="57"/>
        <v>-3219.8394842273965</v>
      </c>
      <c r="AA54" s="738">
        <f t="shared" si="57"/>
        <v>-2089.9677566331984</v>
      </c>
      <c r="AC54" s="7"/>
      <c r="AD54" s="7"/>
      <c r="AE54" s="7"/>
      <c r="AF54" s="7"/>
      <c r="AH54" s="7"/>
      <c r="AI54" s="74"/>
      <c r="AO54" s="1052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51">
        <f t="shared" si="14"/>
        <v>0.14285714285714285</v>
      </c>
      <c r="AT54" s="767">
        <f t="shared" si="15"/>
        <v>28.458959767541717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51">
        <f t="shared" si="19"/>
        <v>0.35714285714285715</v>
      </c>
      <c r="AY54" s="767">
        <f t="shared" si="20"/>
        <v>28.314663607733586</v>
      </c>
      <c r="AZ54" s="744">
        <f t="shared" si="26"/>
        <v>28.386811687637653</v>
      </c>
      <c r="BA54" s="642">
        <f t="shared" si="21"/>
        <v>0.98732372210507857</v>
      </c>
      <c r="BC54" s="11">
        <v>43140</v>
      </c>
      <c r="BD54" s="290">
        <f>[2]!FeuilCaduc*(1-Persistant)+Persistant</f>
        <v>0.6006094690656828</v>
      </c>
      <c r="BE54" s="291">
        <f>[2]!CroissVégét</f>
        <v>5.4969313417339892E-3</v>
      </c>
      <c r="BF54" s="814">
        <f>1+[2]!Salcycl*Ksac</f>
        <v>1.0000761836332104</v>
      </c>
      <c r="BH54" s="1050">
        <f t="shared" si="22"/>
        <v>3.6903711665259097E-2</v>
      </c>
      <c r="BI54" s="11">
        <v>44236</v>
      </c>
      <c r="BJ54" s="724">
        <v>3.1867042738971613E-6</v>
      </c>
      <c r="BK54" s="724">
        <v>3.249662614697627E-6</v>
      </c>
      <c r="BL54" s="724">
        <v>3.7143973975811867E-6</v>
      </c>
      <c r="BM54" s="724">
        <v>2.0371922319321572E-4</v>
      </c>
      <c r="BN54" s="724">
        <v>7.946049634149575E-3</v>
      </c>
      <c r="BO54" s="725">
        <v>3.6903711665259097E-2</v>
      </c>
      <c r="BP54" s="724">
        <v>8.7162489050995384E-2</v>
      </c>
      <c r="BQ54" s="724">
        <v>0.16429050697220521</v>
      </c>
      <c r="BR54" s="724">
        <v>0.27362913373164055</v>
      </c>
      <c r="BS54" s="724">
        <v>0.39233174790369013</v>
      </c>
      <c r="BT54" s="724">
        <v>0.50748737585501835</v>
      </c>
      <c r="BW54" s="1190">
        <f>'2018'!R\Max</f>
        <v>0</v>
      </c>
      <c r="BX54" s="1188">
        <f>'2019'!R\Max</f>
        <v>0.881491831435533</v>
      </c>
      <c r="BY54" s="1188">
        <f>'2020'!R\Max</f>
        <v>0.8174817074988695</v>
      </c>
      <c r="BZ54" s="1188">
        <f>'2021'!R\Max</f>
        <v>0.43999787904035803</v>
      </c>
      <c r="CA54" s="1188">
        <f>'2022'!R\Max</f>
        <v>0.98732372210507857</v>
      </c>
      <c r="CB54" s="1188">
        <f>'2023'!R\Max</f>
        <v>0.98724130418756562</v>
      </c>
      <c r="CC54" s="1188">
        <f>'2024'!R\Max</f>
        <v>0.98714303901716816</v>
      </c>
      <c r="CD54" s="1188">
        <f>'2025'!R\Max</f>
        <v>0.98701371464759535</v>
      </c>
      <c r="CE54" s="1188">
        <f>'2026'!R\Max</f>
        <v>0.98684546676459206</v>
      </c>
      <c r="CF54" s="1189">
        <f>'2027'!R\Max</f>
        <v>0.98665549120846818</v>
      </c>
    </row>
    <row r="55" spans="1:84" s="6" customFormat="1" ht="11.25" x14ac:dyDescent="0.2">
      <c r="A55" s="11">
        <v>43141</v>
      </c>
      <c r="B55" s="380">
        <f>'2023'!Maxi_hp</f>
        <v>26.226274713136441</v>
      </c>
      <c r="C55" s="13">
        <f>'2023'!An_max</f>
        <v>2022</v>
      </c>
      <c r="D55" s="1059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51">
        <f t="shared" si="9"/>
        <v>0.6428571428571429</v>
      </c>
      <c r="J55" s="744">
        <f t="shared" si="27"/>
        <v>28.745987172211915</v>
      </c>
      <c r="L55" s="754" t="s">
        <v>219</v>
      </c>
      <c r="M55" s="738">
        <f t="shared" ref="M55:AA55" si="58">(y.1ld+y.2ld+y.3ld-a.ld*(x.3ld*x.3ld+x.2ld*x.2ld+x.1ld*x.1ld)-b.ld*(x.3ld+x.2ld+x.1ld))/3</f>
        <v>68777527.557409659</v>
      </c>
      <c r="N55" s="738">
        <f t="shared" si="58"/>
        <v>44629027.839550726</v>
      </c>
      <c r="O55" s="738">
        <f t="shared" si="58"/>
        <v>38443876.313791536</v>
      </c>
      <c r="P55" s="738">
        <f t="shared" si="58"/>
        <v>-13467127.526512191</v>
      </c>
      <c r="Q55" s="738">
        <f t="shared" si="58"/>
        <v>-59401504.42328807</v>
      </c>
      <c r="R55" s="738">
        <f t="shared" si="58"/>
        <v>-60611871.575882614</v>
      </c>
      <c r="S55" s="738">
        <f t="shared" si="58"/>
        <v>-37585088.921770751</v>
      </c>
      <c r="T55" s="738">
        <f t="shared" si="58"/>
        <v>-30304054.591372412</v>
      </c>
      <c r="U55" s="738">
        <f t="shared" si="58"/>
        <v>-35164360.712595381</v>
      </c>
      <c r="V55" s="738">
        <f t="shared" si="58"/>
        <v>-44897547.551608868</v>
      </c>
      <c r="W55" s="738">
        <f t="shared" si="58"/>
        <v>8704185.0481425561</v>
      </c>
      <c r="X55" s="738">
        <f t="shared" si="58"/>
        <v>40418856.400670938</v>
      </c>
      <c r="Y55" s="738">
        <f t="shared" si="58"/>
        <v>78281324.063014045</v>
      </c>
      <c r="Z55" s="738">
        <f t="shared" si="58"/>
        <v>69947832.448086396</v>
      </c>
      <c r="AA55" s="738">
        <f t="shared" si="58"/>
        <v>45388660.84141764</v>
      </c>
      <c r="AB55" s="7"/>
      <c r="AC55" s="7"/>
      <c r="AD55" s="7"/>
      <c r="AE55" s="7"/>
      <c r="AF55" s="7"/>
      <c r="AH55" s="7"/>
      <c r="AI55" s="74"/>
      <c r="AO55" s="1052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51">
        <f t="shared" si="14"/>
        <v>0.17857142857142858</v>
      </c>
      <c r="AT55" s="767">
        <f t="shared" si="15"/>
        <v>28.80381753045533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51">
        <f t="shared" si="19"/>
        <v>0.32142857142857145</v>
      </c>
      <c r="AY55" s="767">
        <f t="shared" si="20"/>
        <v>28.655737628920804</v>
      </c>
      <c r="AZ55" s="744">
        <f t="shared" si="26"/>
        <v>28.729777579688069</v>
      </c>
      <c r="BA55" s="642">
        <f t="shared" si="21"/>
        <v>0.91234559300467433</v>
      </c>
      <c r="BC55" s="11">
        <v>43141</v>
      </c>
      <c r="BD55" s="290">
        <f>[2]!FeuilCaduc*(1-Persistant)+Persistant</f>
        <v>0.60071692710570546</v>
      </c>
      <c r="BE55" s="291">
        <f>[2]!CroissVégét</f>
        <v>5.7838819630590035E-3</v>
      </c>
      <c r="BF55" s="814">
        <f>1+[2]!Salcycl*Ksac</f>
        <v>1.0000896158882131</v>
      </c>
      <c r="BH55" s="1050">
        <f t="shared" si="22"/>
        <v>3.7747193827649246E-2</v>
      </c>
      <c r="BI55" s="11">
        <v>44237</v>
      </c>
      <c r="BJ55" s="724">
        <v>3.2328904247161041E-6</v>
      </c>
      <c r="BK55" s="724">
        <v>3.2853510285442866E-6</v>
      </c>
      <c r="BL55" s="724">
        <v>3.6725954670103401E-6</v>
      </c>
      <c r="BM55" s="724">
        <v>2.0376939332401165E-4</v>
      </c>
      <c r="BN55" s="724">
        <v>8.1105753950871592E-3</v>
      </c>
      <c r="BO55" s="725">
        <v>3.7747193827649246E-2</v>
      </c>
      <c r="BP55" s="724">
        <v>8.9035065461314566E-2</v>
      </c>
      <c r="BQ55" s="724">
        <v>0.16538514571804133</v>
      </c>
      <c r="BR55" s="724">
        <v>0.27428549580174394</v>
      </c>
      <c r="BS55" s="724">
        <v>0.39385133579818338</v>
      </c>
      <c r="BT55" s="724">
        <v>0.51316465817431012</v>
      </c>
      <c r="BW55" s="1190">
        <f>'2018'!R\Max</f>
        <v>0</v>
      </c>
      <c r="BX55" s="1188">
        <f>'2019'!R\Max</f>
        <v>0.29130014992497283</v>
      </c>
      <c r="BY55" s="1188">
        <f>'2020'!R\Max</f>
        <v>0.31236399696842765</v>
      </c>
      <c r="BZ55" s="1188">
        <f>'2021'!R\Max</f>
        <v>0.52745332644041409</v>
      </c>
      <c r="CA55" s="1188">
        <f>'2022'!R\Max</f>
        <v>0.91234559300467433</v>
      </c>
      <c r="CB55" s="1188">
        <f>'2023'!R\Max</f>
        <v>0.91181447119130643</v>
      </c>
      <c r="CC55" s="1188">
        <f>'2024'!R\Max</f>
        <v>0.91119014224716155</v>
      </c>
      <c r="CD55" s="1188">
        <f>'2025'!R\Max</f>
        <v>0.91038378548151699</v>
      </c>
      <c r="CE55" s="1188">
        <f>'2026'!R\Max</f>
        <v>0.90933200377178192</v>
      </c>
      <c r="CF55" s="1189">
        <f>'2027'!R\Max</f>
        <v>0.9081454122155288</v>
      </c>
    </row>
    <row r="56" spans="1:84" s="6" customFormat="1" ht="11.25" x14ac:dyDescent="0.2">
      <c r="A56" s="11">
        <v>43142</v>
      </c>
      <c r="B56" s="380">
        <f>'2023'!Maxi_hp</f>
        <v>22.96810519767752</v>
      </c>
      <c r="C56" s="13">
        <f>'2023'!An_max</f>
        <v>2021</v>
      </c>
      <c r="D56" s="1059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51">
        <f t="shared" si="9"/>
        <v>0.5714285714285714</v>
      </c>
      <c r="J56" s="744">
        <f t="shared" si="27"/>
        <v>29.077742274850607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2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51">
        <f t="shared" si="14"/>
        <v>0.21428571428571427</v>
      </c>
      <c r="AT56" s="767">
        <f t="shared" si="15"/>
        <v>29.153164723249414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51">
        <f t="shared" si="19"/>
        <v>0.2857142857142857</v>
      </c>
      <c r="AY56" s="767">
        <f t="shared" si="20"/>
        <v>29.000934845634866</v>
      </c>
      <c r="AZ56" s="744">
        <f t="shared" si="26"/>
        <v>29.077049784442139</v>
      </c>
      <c r="BA56" s="642">
        <f t="shared" si="21"/>
        <v>0.78988612597831154</v>
      </c>
      <c r="BC56" s="11">
        <v>43142</v>
      </c>
      <c r="BD56" s="290">
        <f>[2]!FeuilCaduc*(1-Persistant)+Persistant</f>
        <v>0.60082975171083119</v>
      </c>
      <c r="BE56" s="291">
        <f>[2]!CroissVégét</f>
        <v>6.0826946947814143E-3</v>
      </c>
      <c r="BF56" s="814">
        <f>1+[2]!Salcycl*Ksac</f>
        <v>1.000103718963854</v>
      </c>
      <c r="BH56" s="1050">
        <f t="shared" si="22"/>
        <v>3.862386781968994E-2</v>
      </c>
      <c r="BI56" s="11">
        <v>44238</v>
      </c>
      <c r="BJ56" s="724">
        <v>3.327344049266972E-6</v>
      </c>
      <c r="BK56" s="724">
        <v>3.3702625449174826E-6</v>
      </c>
      <c r="BL56" s="724">
        <v>3.6870707311599245E-6</v>
      </c>
      <c r="BM56" s="724">
        <v>2.0425820472021018E-4</v>
      </c>
      <c r="BN56" s="724">
        <v>8.2848647329969872E-3</v>
      </c>
      <c r="BO56" s="725">
        <v>3.862386781968994E-2</v>
      </c>
      <c r="BP56" s="724">
        <v>9.1034970519632941E-2</v>
      </c>
      <c r="BQ56" s="724">
        <v>0.16674137818108806</v>
      </c>
      <c r="BR56" s="724">
        <v>0.27502994606939279</v>
      </c>
      <c r="BS56" s="724">
        <v>0.39529995098764031</v>
      </c>
      <c r="BT56" s="724">
        <v>0.51864836360058775</v>
      </c>
      <c r="BW56" s="1190">
        <f>'2018'!R\Max</f>
        <v>0</v>
      </c>
      <c r="BX56" s="1188">
        <f>'2019'!R\Max</f>
        <v>0.65572729201131508</v>
      </c>
      <c r="BY56" s="1188">
        <f>'2020'!R\Max</f>
        <v>0.32860249783898626</v>
      </c>
      <c r="BZ56" s="1188">
        <f>'2021'!R\Max</f>
        <v>0.78988612597831154</v>
      </c>
      <c r="CA56" s="1188">
        <f>'2022'!R\Max</f>
        <v>0.59632893996817438</v>
      </c>
      <c r="CB56" s="1188">
        <f>'2023'!R\Max</f>
        <v>0.59471688446386584</v>
      </c>
      <c r="CC56" s="1188">
        <f>'2024'!R\Max</f>
        <v>0.59285447768970134</v>
      </c>
      <c r="CD56" s="1188">
        <f>'2025'!R\Max</f>
        <v>0.59050384322292226</v>
      </c>
      <c r="CE56" s="1188">
        <f>'2026'!R\Max</f>
        <v>0.58745365598051236</v>
      </c>
      <c r="CF56" s="1189">
        <f>'2027'!R\Max</f>
        <v>0.58404048332182179</v>
      </c>
    </row>
    <row r="57" spans="1:84" s="6" customFormat="1" ht="11.25" x14ac:dyDescent="0.2">
      <c r="A57" s="11">
        <v>43143</v>
      </c>
      <c r="B57" s="380">
        <f>'2023'!Maxi_hp</f>
        <v>29.947194156112754</v>
      </c>
      <c r="C57" s="13">
        <f>'2023'!An_max</f>
        <v>2019</v>
      </c>
      <c r="D57" s="1059">
        <f t="shared" si="7"/>
        <v>1.0181549153375453</v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51">
        <f t="shared" si="9"/>
        <v>0.5</v>
      </c>
      <c r="J57" s="744">
        <f t="shared" si="27"/>
        <v>29.413200000301003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2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51">
        <f t="shared" si="14"/>
        <v>0.25</v>
      </c>
      <c r="AT57" s="767">
        <f t="shared" si="15"/>
        <v>29.5068625013344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51">
        <f t="shared" si="19"/>
        <v>0.25</v>
      </c>
      <c r="AY57" s="767">
        <f t="shared" si="20"/>
        <v>29.350184028409423</v>
      </c>
      <c r="AZ57" s="744">
        <f t="shared" si="26"/>
        <v>29.428523264871913</v>
      </c>
      <c r="BA57" s="642">
        <f t="shared" si="21"/>
        <v>1.0181549153375453</v>
      </c>
      <c r="BC57" s="11">
        <v>43143</v>
      </c>
      <c r="BD57" s="290">
        <f>[2]!FeuilCaduc*(1-Persistant)+Persistant</f>
        <v>0.60094704388681452</v>
      </c>
      <c r="BE57" s="291">
        <f>[2]!CroissVégét</f>
        <v>6.3938522678270975E-3</v>
      </c>
      <c r="BF57" s="814">
        <f>1+[2]!Salcycl*Ksac</f>
        <v>1.0001183804858518</v>
      </c>
      <c r="BH57" s="1050">
        <f t="shared" si="22"/>
        <v>3.953377499460544E-2</v>
      </c>
      <c r="BI57" s="11">
        <v>44239</v>
      </c>
      <c r="BJ57" s="724">
        <v>3.4700566946298663E-6</v>
      </c>
      <c r="BK57" s="724">
        <v>3.5043884909772946E-6</v>
      </c>
      <c r="BL57" s="724">
        <v>3.7578128938231656E-6</v>
      </c>
      <c r="BM57" s="724">
        <v>2.0518579756194063E-4</v>
      </c>
      <c r="BN57" s="724">
        <v>8.4689257875608989E-3</v>
      </c>
      <c r="BO57" s="725">
        <v>3.953377499460544E-2</v>
      </c>
      <c r="BP57" s="724">
        <v>9.3162288521072445E-2</v>
      </c>
      <c r="BQ57" s="724">
        <v>0.16835934640686312</v>
      </c>
      <c r="BR57" s="724">
        <v>0.27586280687741743</v>
      </c>
      <c r="BS57" s="724">
        <v>0.39667811001938147</v>
      </c>
      <c r="BT57" s="724">
        <v>0.52393920401599225</v>
      </c>
      <c r="BW57" s="1190">
        <f>'2018'!R\Max</f>
        <v>0</v>
      </c>
      <c r="BX57" s="1188">
        <f>'2019'!R\Max</f>
        <v>1.0181549153375453</v>
      </c>
      <c r="BY57" s="1188">
        <f>'2020'!R\Max</f>
        <v>0.63583353794919006</v>
      </c>
      <c r="BZ57" s="1188">
        <f>'2021'!R\Max</f>
        <v>0.20004281520720929</v>
      </c>
      <c r="CA57" s="1188">
        <f>'2022'!R\Max</f>
        <v>0.83617524126088538</v>
      </c>
      <c r="CB57" s="1188">
        <f>'2023'!R\Max</f>
        <v>0.83524555610555962</v>
      </c>
      <c r="CC57" s="1188">
        <f>'2024'!R\Max</f>
        <v>0.83418100572356491</v>
      </c>
      <c r="CD57" s="1188">
        <f>'2025'!R\Max</f>
        <v>0.83285499205477875</v>
      </c>
      <c r="CE57" s="1188">
        <f>'2026'!R\Max</f>
        <v>0.83112588699429113</v>
      </c>
      <c r="CF57" s="1189">
        <f>'2027'!R\Max</f>
        <v>0.82917917046638945</v>
      </c>
    </row>
    <row r="58" spans="1:84" s="6" customFormat="1" ht="11.25" x14ac:dyDescent="0.2">
      <c r="A58" s="11">
        <v>43144</v>
      </c>
      <c r="B58" s="380">
        <f>'2023'!Maxi_hp</f>
        <v>30.793710907907265</v>
      </c>
      <c r="C58" s="13">
        <f>'2023'!An_max</f>
        <v>2019</v>
      </c>
      <c r="D58" s="1059">
        <f t="shared" si="7"/>
        <v>1.0349851469192644</v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51">
        <f t="shared" si="9"/>
        <v>0.42857142857142855</v>
      </c>
      <c r="J58" s="744">
        <f t="shared" si="27"/>
        <v>29.752804665427124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2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51">
        <f t="shared" si="14"/>
        <v>0.2857142857142857</v>
      </c>
      <c r="AT58" s="767">
        <f t="shared" si="15"/>
        <v>29.864772012936214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51">
        <f t="shared" si="19"/>
        <v>0.21428571428571427</v>
      </c>
      <c r="AY58" s="767">
        <f t="shared" si="20"/>
        <v>29.703413945489693</v>
      </c>
      <c r="AZ58" s="744">
        <f t="shared" si="26"/>
        <v>29.784092979212954</v>
      </c>
      <c r="BA58" s="642">
        <f t="shared" si="21"/>
        <v>1.0349851469192644</v>
      </c>
      <c r="BC58" s="11">
        <v>43144</v>
      </c>
      <c r="BD58" s="290">
        <f>[2]!FeuilCaduc*(1-Persistant)+Persistant</f>
        <v>0.60106790488540773</v>
      </c>
      <c r="BE58" s="291">
        <f>[2]!CroissVégét</f>
        <v>6.7178564099054624E-3</v>
      </c>
      <c r="BF58" s="814">
        <f>1+[2]!Salcycl*Ksac</f>
        <v>1.000133488110676</v>
      </c>
      <c r="BH58" s="1050">
        <f t="shared" si="22"/>
        <v>4.0468028312440223E-2</v>
      </c>
      <c r="BI58" s="11">
        <v>44240</v>
      </c>
      <c r="BJ58" s="724">
        <v>3.6108131452971251E-6</v>
      </c>
      <c r="BK58" s="724">
        <v>3.6375133947992743E-6</v>
      </c>
      <c r="BL58" s="724">
        <v>3.8346045903033687E-6</v>
      </c>
      <c r="BM58" s="724">
        <v>2.0616308954659953E-4</v>
      </c>
      <c r="BN58" s="724">
        <v>8.6548426177005325E-3</v>
      </c>
      <c r="BO58" s="725">
        <v>4.0468028312440223E-2</v>
      </c>
      <c r="BP58" s="724">
        <v>9.5433767384967519E-2</v>
      </c>
      <c r="BQ58" s="724">
        <v>0.17036837687255335</v>
      </c>
      <c r="BR58" s="724">
        <v>0.27694866691350639</v>
      </c>
      <c r="BS58" s="724">
        <v>0.3980245306813921</v>
      </c>
      <c r="BT58" s="724">
        <v>0.52873540478925296</v>
      </c>
      <c r="BW58" s="1190">
        <f>'2018'!R\Max</f>
        <v>0</v>
      </c>
      <c r="BX58" s="1188">
        <f>'2019'!R\Max</f>
        <v>1.0349851469192644</v>
      </c>
      <c r="BY58" s="1188">
        <f>'2020'!R\Max</f>
        <v>0.58307957219387629</v>
      </c>
      <c r="BZ58" s="1188">
        <f>'2021'!R\Max</f>
        <v>0.27718739147889687</v>
      </c>
      <c r="CA58" s="1188">
        <f>'2022'!R\Max</f>
        <v>0.94730293578991365</v>
      </c>
      <c r="CB58" s="1188">
        <f>'2023'!R\Max</f>
        <v>0.94695930966656183</v>
      </c>
      <c r="CC58" s="1188">
        <f>'2024'!R\Max</f>
        <v>0.94656969809171332</v>
      </c>
      <c r="CD58" s="1188">
        <f>'2025'!R\Max</f>
        <v>0.94609148146632804</v>
      </c>
      <c r="CE58" s="1188">
        <f>'2026'!R\Max</f>
        <v>0.94546880765648944</v>
      </c>
      <c r="CF58" s="1189">
        <f>'2027'!R\Max</f>
        <v>0.94476681436132603</v>
      </c>
    </row>
    <row r="59" spans="1:84" s="6" customFormat="1" ht="11.25" x14ac:dyDescent="0.2">
      <c r="A59" s="11">
        <v>43145</v>
      </c>
      <c r="B59" s="380">
        <f>'2023'!Maxi_hp</f>
        <v>30.902600245057862</v>
      </c>
      <c r="C59" s="13">
        <f>'2023'!An_max</f>
        <v>2019</v>
      </c>
      <c r="D59" s="1059">
        <f t="shared" si="7"/>
        <v>1.0267667756080083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51">
        <f t="shared" si="9"/>
        <v>0.35714285714285715</v>
      </c>
      <c r="J59" s="744">
        <f t="shared" si="27"/>
        <v>30.097000583953093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2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51">
        <f t="shared" si="14"/>
        <v>0.32142857142857145</v>
      </c>
      <c r="AT59" s="767">
        <f t="shared" si="15"/>
        <v>30.226754410032719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51">
        <f t="shared" si="19"/>
        <v>0.17857142857142858</v>
      </c>
      <c r="AY59" s="767">
        <f t="shared" si="20"/>
        <v>30.060553368739782</v>
      </c>
      <c r="AZ59" s="744">
        <f t="shared" si="26"/>
        <v>30.14365388938625</v>
      </c>
      <c r="BA59" s="642">
        <f t="shared" si="21"/>
        <v>1.0267667756080083</v>
      </c>
      <c r="BC59" s="11">
        <v>43145</v>
      </c>
      <c r="BD59" s="290">
        <f>[2]!FeuilCaduc*(1-Persistant)+Persistant</f>
        <v>0.60119144852134865</v>
      </c>
      <c r="BE59" s="291">
        <f>[2]!CroissVégét</f>
        <v>7.0552285378688686E-3</v>
      </c>
      <c r="BF59" s="814">
        <f>1+[2]!Salcycl*Ksac</f>
        <v>1.0001489310651686</v>
      </c>
      <c r="BH59" s="1050">
        <f t="shared" si="22"/>
        <v>4.1411725962407421E-2</v>
      </c>
      <c r="BI59" s="11">
        <v>44241</v>
      </c>
      <c r="BJ59" s="724">
        <v>3.7245178896973437E-6</v>
      </c>
      <c r="BK59" s="724">
        <v>3.7445414638313506E-6</v>
      </c>
      <c r="BL59" s="724">
        <v>3.8923479539549201E-6</v>
      </c>
      <c r="BM59" s="724">
        <v>2.0704509548307402E-4</v>
      </c>
      <c r="BN59" s="724">
        <v>8.8390348481677383E-3</v>
      </c>
      <c r="BO59" s="725">
        <v>4.1411725962407421E-2</v>
      </c>
      <c r="BP59" s="724">
        <v>9.7765418642209209E-2</v>
      </c>
      <c r="BQ59" s="724">
        <v>0.17268300548666893</v>
      </c>
      <c r="BR59" s="724">
        <v>0.2782796815397211</v>
      </c>
      <c r="BS59" s="724">
        <v>0.39944256921454574</v>
      </c>
      <c r="BT59" s="724">
        <v>0.5331629238243567</v>
      </c>
      <c r="BW59" s="1190">
        <f>'2018'!R\Max</f>
        <v>0</v>
      </c>
      <c r="BX59" s="1188">
        <f>'2019'!R\Max</f>
        <v>1.0267667756080083</v>
      </c>
      <c r="BY59" s="1188">
        <f>'2020'!R\Max</f>
        <v>0.83271664140635382</v>
      </c>
      <c r="BZ59" s="1188">
        <f>'2021'!R\Max</f>
        <v>0.96090654653280427</v>
      </c>
      <c r="CA59" s="1188">
        <f>'2022'!R\Max</f>
        <v>0.49441351493632807</v>
      </c>
      <c r="CB59" s="1188">
        <f>'2023'!R\Max</f>
        <v>0.49267460303716037</v>
      </c>
      <c r="CC59" s="1188">
        <f>'2024'!R\Max</f>
        <v>0.49073579830507513</v>
      </c>
      <c r="CD59" s="1188">
        <f>'2025'!R\Max</f>
        <v>0.48840976577633238</v>
      </c>
      <c r="CE59" s="1188">
        <f>'2026'!R\Max</f>
        <v>0.48543082640214769</v>
      </c>
      <c r="CF59" s="1189">
        <f>'2027'!R\Max</f>
        <v>0.48211984214454928</v>
      </c>
    </row>
    <row r="60" spans="1:84" s="6" customFormat="1" ht="11.25" x14ac:dyDescent="0.2">
      <c r="A60" s="11">
        <v>43146</v>
      </c>
      <c r="B60" s="380">
        <f>'2023'!Maxi_hp</f>
        <v>31.193309368180032</v>
      </c>
      <c r="C60" s="13">
        <f>'2023'!An_max</f>
        <v>2019</v>
      </c>
      <c r="D60" s="1059">
        <f t="shared" si="7"/>
        <v>1.0245375945191337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51">
        <f t="shared" si="9"/>
        <v>0.2857142857142857</v>
      </c>
      <c r="J60" s="744">
        <f t="shared" si="27"/>
        <v>30.446232070986714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2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51">
        <f t="shared" si="14"/>
        <v>0.35714285714285715</v>
      </c>
      <c r="AT60" s="767">
        <f t="shared" si="15"/>
        <v>30.592670846544205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51">
        <f t="shared" si="19"/>
        <v>0.14285714285714285</v>
      </c>
      <c r="AY60" s="767">
        <f t="shared" si="20"/>
        <v>30.421531065340552</v>
      </c>
      <c r="AZ60" s="744">
        <f t="shared" si="26"/>
        <v>30.507100955942377</v>
      </c>
      <c r="BA60" s="642">
        <f t="shared" si="21"/>
        <v>1.0245375945191337</v>
      </c>
      <c r="BC60" s="11">
        <v>43146</v>
      </c>
      <c r="BD60" s="290">
        <f>[2]!FeuilCaduc*(1-Persistant)+Persistant</f>
        <v>0.60131681367960876</v>
      </c>
      <c r="BE60" s="291">
        <f>[2]!CroissVégét</f>
        <v>7.4065104705297478E-3</v>
      </c>
      <c r="BF60" s="814">
        <f>1+[2]!Salcycl*Ksac</f>
        <v>1.000164601709951</v>
      </c>
      <c r="BH60" s="1050">
        <f t="shared" si="22"/>
        <v>4.2364930190005007E-2</v>
      </c>
      <c r="BI60" s="11">
        <v>44242</v>
      </c>
      <c r="BJ60" s="724">
        <v>3.811183617888874E-6</v>
      </c>
      <c r="BK60" s="724">
        <v>3.8254850945199304E-6</v>
      </c>
      <c r="BL60" s="724">
        <v>3.9310532138913251E-6</v>
      </c>
      <c r="BM60" s="724">
        <v>2.0783210958950885E-4</v>
      </c>
      <c r="BN60" s="724">
        <v>9.0215164337126511E-3</v>
      </c>
      <c r="BO60" s="725">
        <v>4.2364930190005007E-2</v>
      </c>
      <c r="BP60" s="724">
        <v>0.10015738152447438</v>
      </c>
      <c r="BQ60" s="724">
        <v>0.17530340616942675</v>
      </c>
      <c r="BR60" s="724">
        <v>0.27985615843228523</v>
      </c>
      <c r="BS60" s="724">
        <v>0.40093272804941765</v>
      </c>
      <c r="BT60" s="724">
        <v>0.53722257720755007</v>
      </c>
      <c r="BW60" s="1190">
        <f>'2018'!R\Max</f>
        <v>0</v>
      </c>
      <c r="BX60" s="1188">
        <f>'2019'!R\Max</f>
        <v>1.0245375945191337</v>
      </c>
      <c r="BY60" s="1188">
        <f>'2020'!R\Max</f>
        <v>0.9609892207736539</v>
      </c>
      <c r="BZ60" s="1188">
        <f>'2021'!R\Max</f>
        <v>0.89413864278379018</v>
      </c>
      <c r="CA60" s="1188">
        <f>'2022'!R\Max</f>
        <v>0.62000561352467343</v>
      </c>
      <c r="CB60" s="1188">
        <f>'2023'!R\Max</f>
        <v>0.61834224987009545</v>
      </c>
      <c r="CC60" s="1188">
        <f>'2024'!R\Max</f>
        <v>0.61650051345090628</v>
      </c>
      <c r="CD60" s="1188">
        <f>'2025'!R\Max</f>
        <v>0.61431552848089221</v>
      </c>
      <c r="CE60" s="1188">
        <f>'2026'!R\Max</f>
        <v>0.61153658408095912</v>
      </c>
      <c r="CF60" s="1189">
        <f>'2027'!R\Max</f>
        <v>0.60844887111234269</v>
      </c>
    </row>
    <row r="61" spans="1:84" s="6" customFormat="1" ht="11.25" x14ac:dyDescent="0.2">
      <c r="A61" s="11">
        <v>43147</v>
      </c>
      <c r="B61" s="380">
        <f>'2023'!Maxi_hp</f>
        <v>31.828917483030121</v>
      </c>
      <c r="C61" s="13">
        <f>'2023'!An_max</f>
        <v>2019</v>
      </c>
      <c r="D61" s="1059">
        <f t="shared" si="7"/>
        <v>1.0333747582479818</v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51">
        <f t="shared" si="9"/>
        <v>0.21428571428571427</v>
      </c>
      <c r="J61" s="744">
        <f t="shared" si="27"/>
        <v>30.800943441848666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2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51">
        <f t="shared" si="14"/>
        <v>0.39285714285714285</v>
      </c>
      <c r="AT61" s="767">
        <f t="shared" si="15"/>
        <v>30.962382472173442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51">
        <f t="shared" si="19"/>
        <v>0.10714285714285714</v>
      </c>
      <c r="AY61" s="767">
        <f t="shared" si="20"/>
        <v>30.786275807901156</v>
      </c>
      <c r="AZ61" s="744">
        <f t="shared" si="26"/>
        <v>30.874329140037297</v>
      </c>
      <c r="BA61" s="642">
        <f t="shared" si="21"/>
        <v>1.0333747582479818</v>
      </c>
      <c r="BC61" s="11">
        <v>43147</v>
      </c>
      <c r="BD61" s="290">
        <f>[2]!FeuilCaduc*(1-Persistant)+Persistant</f>
        <v>0.60144317687837145</v>
      </c>
      <c r="BE61" s="291">
        <f>[2]!CroissVégét</f>
        <v>7.7722651621059055E-3</v>
      </c>
      <c r="BF61" s="814">
        <f>1+[2]!Salcycl*Ksac</f>
        <v>1.0001803971097964</v>
      </c>
      <c r="BH61" s="1050">
        <f t="shared" si="22"/>
        <v>4.3327708304580027E-2</v>
      </c>
      <c r="BI61" s="11">
        <v>44243</v>
      </c>
      <c r="BJ61" s="724">
        <v>3.8708226627640505E-6</v>
      </c>
      <c r="BK61" s="724">
        <v>3.8803563254467108E-6</v>
      </c>
      <c r="BL61" s="724">
        <v>3.9507302362038708E-6</v>
      </c>
      <c r="BM61" s="724">
        <v>2.0852442728948835E-4</v>
      </c>
      <c r="BN61" s="724">
        <v>9.2023021952625794E-3</v>
      </c>
      <c r="BO61" s="725">
        <v>4.3327708304580027E-2</v>
      </c>
      <c r="BP61" s="724">
        <v>0.10260980903743207</v>
      </c>
      <c r="BQ61" s="724">
        <v>0.17822977496797524</v>
      </c>
      <c r="BR61" s="724">
        <v>0.28167842041945973</v>
      </c>
      <c r="BS61" s="724">
        <v>0.40249551928362554</v>
      </c>
      <c r="BT61" s="724">
        <v>0.54091519070487637</v>
      </c>
      <c r="BW61" s="1190">
        <f>'2018'!R\Max</f>
        <v>0</v>
      </c>
      <c r="BX61" s="1188">
        <f>'2019'!R\Max</f>
        <v>1.0333747582479818</v>
      </c>
      <c r="BY61" s="1188">
        <f>'2020'!R\Max</f>
        <v>0.58491737629320384</v>
      </c>
      <c r="BZ61" s="1188">
        <f>'2021'!R\Max</f>
        <v>0.86592496746396341</v>
      </c>
      <c r="CA61" s="1188">
        <f>'2022'!R\Max</f>
        <v>0.37532346778418707</v>
      </c>
      <c r="CB61" s="1188">
        <f>'2023'!R\Max</f>
        <v>0.37364758818271276</v>
      </c>
      <c r="CC61" s="1188">
        <f>'2024'!R\Max</f>
        <v>0.37181259734237831</v>
      </c>
      <c r="CD61" s="1188">
        <f>'2025'!R\Max</f>
        <v>0.36966970778018909</v>
      </c>
      <c r="CE61" s="1188">
        <f>'2026'!R\Max</f>
        <v>0.36699167511081177</v>
      </c>
      <c r="CF61" s="1189">
        <f>'2027'!R\Max</f>
        <v>0.36404705436092683</v>
      </c>
    </row>
    <row r="62" spans="1:84" s="6" customFormat="1" ht="11.25" x14ac:dyDescent="0.2">
      <c r="A62" s="11">
        <v>43148</v>
      </c>
      <c r="B62" s="380">
        <f>'2023'!Maxi_hp</f>
        <v>32.141014438582829</v>
      </c>
      <c r="C62" s="13">
        <f>'2023'!An_max</f>
        <v>2019</v>
      </c>
      <c r="D62" s="1059">
        <f t="shared" si="7"/>
        <v>1.0314308664982712</v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51">
        <f t="shared" si="9"/>
        <v>0.14285714285714285</v>
      </c>
      <c r="J62" s="744">
        <f t="shared" si="27"/>
        <v>31.161579008879407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2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51">
        <f t="shared" si="14"/>
        <v>0.42857142857142855</v>
      </c>
      <c r="AT62" s="767">
        <f t="shared" si="15"/>
        <v>31.335750437793983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51">
        <f t="shared" si="19"/>
        <v>7.1428571428571425E-2</v>
      </c>
      <c r="AY62" s="767">
        <f t="shared" si="20"/>
        <v>31.154716364134639</v>
      </c>
      <c r="AZ62" s="744">
        <f t="shared" si="26"/>
        <v>31.24523340096431</v>
      </c>
      <c r="BA62" s="642">
        <f t="shared" si="21"/>
        <v>1.0314308664982712</v>
      </c>
      <c r="BC62" s="11">
        <v>43148</v>
      </c>
      <c r="BD62" s="290">
        <f>[2]!FeuilCaduc*(1-Persistant)+Persistant</f>
        <v>0.6015697647555619</v>
      </c>
      <c r="BE62" s="291">
        <f>[2]!CroissVégét</f>
        <v>8.1530774564185747E-3</v>
      </c>
      <c r="BF62" s="814">
        <f>1+[2]!Salcycl*Ksac</f>
        <v>1.0001962205944452</v>
      </c>
      <c r="BH62" s="1050">
        <f t="shared" si="22"/>
        <v>4.4300132797715414E-2</v>
      </c>
      <c r="BI62" s="11">
        <v>44244</v>
      </c>
      <c r="BJ62" s="724">
        <v>3.9034466616455691E-6</v>
      </c>
      <c r="BK62" s="724">
        <v>3.9091665108578416E-6</v>
      </c>
      <c r="BL62" s="724">
        <v>3.9513882855741771E-6</v>
      </c>
      <c r="BM62" s="724">
        <v>2.0912234401270836E-4</v>
      </c>
      <c r="BN62" s="724">
        <v>9.3814077983522797E-3</v>
      </c>
      <c r="BO62" s="725">
        <v>4.4300132797715414E-2</v>
      </c>
      <c r="BP62" s="724">
        <v>0.105122868714377</v>
      </c>
      <c r="BQ62" s="724">
        <v>0.18146233387764579</v>
      </c>
      <c r="BR62" s="724">
        <v>0.2837468085398534</v>
      </c>
      <c r="BS62" s="724">
        <v>0.40413146556372403</v>
      </c>
      <c r="BT62" s="724">
        <v>0.54424159513543957</v>
      </c>
      <c r="BW62" s="1190">
        <f>'2018'!R\Max</f>
        <v>0</v>
      </c>
      <c r="BX62" s="1188">
        <f>'2019'!R\Max</f>
        <v>1.0314308664982712</v>
      </c>
      <c r="BY62" s="1188">
        <f>'2020'!R\Max</f>
        <v>0.18136512438743291</v>
      </c>
      <c r="BZ62" s="1188">
        <f>'2021'!R\Max</f>
        <v>0.92923382418805711</v>
      </c>
      <c r="CA62" s="1188">
        <f>'2022'!R\Max</f>
        <v>0.39867176174234398</v>
      </c>
      <c r="CB62" s="1188">
        <f>'2023'!R\Max</f>
        <v>0.39693330141959454</v>
      </c>
      <c r="CC62" s="1188">
        <f>'2024'!R\Max</f>
        <v>0.39504104727097489</v>
      </c>
      <c r="CD62" s="1188">
        <f>'2025'!R\Max</f>
        <v>0.39285215198583107</v>
      </c>
      <c r="CE62" s="1188">
        <f>'2026'!R\Max</f>
        <v>0.39015664731096056</v>
      </c>
      <c r="CF62" s="1189">
        <f>'2027'!R\Max</f>
        <v>0.38720744219559716</v>
      </c>
    </row>
    <row r="63" spans="1:84" s="6" customFormat="1" ht="11.25" x14ac:dyDescent="0.2">
      <c r="A63" s="11">
        <v>43149</v>
      </c>
      <c r="B63" s="380">
        <f>'2023'!Maxi_hp</f>
        <v>31.856589753625187</v>
      </c>
      <c r="C63" s="13">
        <f>'2023'!An_max</f>
        <v>2019</v>
      </c>
      <c r="D63" s="1059">
        <f t="shared" si="7"/>
        <v>1.0104034698014213</v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51">
        <f t="shared" si="9"/>
        <v>7.1428571428571425E-2</v>
      </c>
      <c r="J63" s="744">
        <f t="shared" si="27"/>
        <v>31.528583091550637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2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51">
        <f t="shared" si="14"/>
        <v>0.4642857142857143</v>
      </c>
      <c r="AT63" s="767">
        <f t="shared" si="15"/>
        <v>31.712635897432584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51">
        <f t="shared" si="19"/>
        <v>3.5714285714285712E-2</v>
      </c>
      <c r="AY63" s="767">
        <f t="shared" si="20"/>
        <v>31.526781505532561</v>
      </c>
      <c r="AZ63" s="744">
        <f t="shared" si="26"/>
        <v>31.619708701482573</v>
      </c>
      <c r="BA63" s="642">
        <f t="shared" si="21"/>
        <v>1.0104034698014213</v>
      </c>
      <c r="BC63" s="11">
        <v>43149</v>
      </c>
      <c r="BD63" s="290">
        <f>[2]!FeuilCaduc*(1-Persistant)+Persistant</f>
        <v>0.60169586635044547</v>
      </c>
      <c r="BE63" s="291">
        <f>[2]!CroissVégét</f>
        <v>8.5495548619151183E-3</v>
      </c>
      <c r="BF63" s="814">
        <f>1+[2]!Salcycl*Ksac</f>
        <v>1.0002119832938057</v>
      </c>
      <c r="BH63" s="1050">
        <f t="shared" si="22"/>
        <v>4.5282281461067719E-2</v>
      </c>
      <c r="BI63" s="11">
        <v>44245</v>
      </c>
      <c r="BJ63" s="724">
        <v>3.9090662178335221E-6</v>
      </c>
      <c r="BK63" s="724">
        <v>3.911925994143544E-6</v>
      </c>
      <c r="BL63" s="724">
        <v>3.9330357868356042E-6</v>
      </c>
      <c r="BM63" s="724">
        <v>2.0962615399293879E-4</v>
      </c>
      <c r="BN63" s="724">
        <v>9.5588497314371915E-3</v>
      </c>
      <c r="BO63" s="725">
        <v>4.5282281461067719E-2</v>
      </c>
      <c r="BP63" s="724">
        <v>0.10769674336856484</v>
      </c>
      <c r="BQ63" s="724">
        <v>0.18500133466092508</v>
      </c>
      <c r="BR63" s="724">
        <v>0.28606168509708424</v>
      </c>
      <c r="BS63" s="724">
        <v>0.40584110096186404</v>
      </c>
      <c r="BT63" s="724">
        <v>0.54720262173766665</v>
      </c>
      <c r="BW63" s="1190">
        <f>'2018'!R\Max</f>
        <v>0</v>
      </c>
      <c r="BX63" s="1188">
        <f>'2019'!R\Max</f>
        <v>1.0104034698014213</v>
      </c>
      <c r="BY63" s="1188">
        <f>'2020'!R\Max</f>
        <v>0.79693983964886483</v>
      </c>
      <c r="BZ63" s="1188">
        <f>'2021'!R\Max</f>
        <v>0.51160649264313907</v>
      </c>
      <c r="CA63" s="1188">
        <f>'2022'!R\Max</f>
        <v>0.77778341997997524</v>
      </c>
      <c r="CB63" s="1188">
        <f>'2023'!R\Max</f>
        <v>0.77650840236216456</v>
      </c>
      <c r="CC63" s="1188">
        <f>'2024'!R\Max</f>
        <v>0.77511956838777107</v>
      </c>
      <c r="CD63" s="1188">
        <f>'2025'!R\Max</f>
        <v>0.77351562714835442</v>
      </c>
      <c r="CE63" s="1188">
        <f>'2026'!R\Max</f>
        <v>0.77156050099137663</v>
      </c>
      <c r="CF63" s="1189">
        <f>'2027'!R\Max</f>
        <v>0.7694165146572105</v>
      </c>
    </row>
    <row r="64" spans="1:84" s="6" customFormat="1" ht="11.25" x14ac:dyDescent="0.2">
      <c r="A64" s="11">
        <v>43150</v>
      </c>
      <c r="B64" s="380">
        <f>'2023'!Maxi_hp</f>
        <v>31.674857385546339</v>
      </c>
      <c r="C64" s="13">
        <f>'2023'!An_max</f>
        <v>2021</v>
      </c>
      <c r="D64" s="1059">
        <f t="shared" si="7"/>
        <v>0.99286753928092408</v>
      </c>
      <c r="E64" s="1054">
        <f>Q$13/10</f>
        <v>31.9024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51">
        <f t="shared" si="9"/>
        <v>0</v>
      </c>
      <c r="J64" s="744">
        <f t="shared" si="27"/>
        <v>31.902400000393392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2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51">
        <f t="shared" si="14"/>
        <v>0.5</v>
      </c>
      <c r="AT64" s="767">
        <f t="shared" si="15"/>
        <v>32.092900001071392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51">
        <f t="shared" si="19"/>
        <v>0</v>
      </c>
      <c r="AY64" s="767">
        <f t="shared" si="20"/>
        <v>31.902399999648331</v>
      </c>
      <c r="AZ64" s="744">
        <f t="shared" si="26"/>
        <v>31.997650000359862</v>
      </c>
      <c r="BA64" s="642">
        <f t="shared" si="21"/>
        <v>0.99286753928092408</v>
      </c>
      <c r="BC64" s="11">
        <v>43150</v>
      </c>
      <c r="BD64" s="290">
        <f>[2]!FeuilCaduc*(1-Persistant)+Persistant</f>
        <v>0.60182084505675992</v>
      </c>
      <c r="BE64" s="291">
        <f>[2]!CroissVégét</f>
        <v>8.9623283475330478E-3</v>
      </c>
      <c r="BF64" s="814">
        <f>1+[2]!Salcycl*Ksac</f>
        <v>1.0002276056320949</v>
      </c>
      <c r="BH64" s="1050">
        <f t="shared" si="22"/>
        <v>4.6274237504590109E-2</v>
      </c>
      <c r="BI64" s="11">
        <v>44246</v>
      </c>
      <c r="BJ64" s="724">
        <v>3.8876905621868668E-6</v>
      </c>
      <c r="BK64" s="724">
        <v>3.8886437813522867E-6</v>
      </c>
      <c r="BL64" s="724">
        <v>3.8956800865701453E-6</v>
      </c>
      <c r="BM64" s="724">
        <v>2.1003614906786483E-4</v>
      </c>
      <c r="BN64" s="724">
        <v>9.7346452842886795E-3</v>
      </c>
      <c r="BO64" s="725">
        <v>4.6274237504590109E-2</v>
      </c>
      <c r="BP64" s="724">
        <v>0.11033163184645983</v>
      </c>
      <c r="BQ64" s="724">
        <v>0.18884706266802134</v>
      </c>
      <c r="BR64" s="724">
        <v>0.28862343671697682</v>
      </c>
      <c r="BS64" s="724">
        <v>0.40762497185608443</v>
      </c>
      <c r="BT64" s="724">
        <v>0.54979909754043788</v>
      </c>
      <c r="BW64" s="1190">
        <f>'2018'!R\Max</f>
        <v>0</v>
      </c>
      <c r="BX64" s="1188">
        <f>'2019'!R\Max</f>
        <v>0.90412905620691508</v>
      </c>
      <c r="BY64" s="1188">
        <f>'2020'!R\Max</f>
        <v>0.72919909582430942</v>
      </c>
      <c r="BZ64" s="1188">
        <f>'2021'!R\Max</f>
        <v>0.99286753928092408</v>
      </c>
      <c r="CA64" s="1188">
        <f>'2022'!R\Max</f>
        <v>0.68497083767687539</v>
      </c>
      <c r="CB64" s="1188">
        <f>'2023'!R\Max</f>
        <v>0.68335692315825491</v>
      </c>
      <c r="CC64" s="1188">
        <f>'2024'!R\Max</f>
        <v>0.68160828884035596</v>
      </c>
      <c r="CD64" s="1188">
        <f>'2025'!R\Max</f>
        <v>0.67960495643955088</v>
      </c>
      <c r="CE64" s="1188">
        <f>'2026'!R\Max</f>
        <v>0.67721724993519694</v>
      </c>
      <c r="CF64" s="1189">
        <f>'2027'!R\Max</f>
        <v>0.67462510985108393</v>
      </c>
    </row>
    <row r="65" spans="1:84" s="6" customFormat="1" ht="11.25" x14ac:dyDescent="0.2">
      <c r="A65" s="11">
        <v>43151</v>
      </c>
      <c r="B65" s="380">
        <f>'2023'!Maxi_hp</f>
        <v>32.961384862018924</v>
      </c>
      <c r="C65" s="13">
        <f>'2023'!An_max</f>
        <v>2020</v>
      </c>
      <c r="D65" s="1059">
        <f t="shared" si="7"/>
        <v>1.0210033784788162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51">
        <f t="shared" si="9"/>
        <v>7.1428571428571425E-2</v>
      </c>
      <c r="J65" s="744">
        <f t="shared" si="27"/>
        <v>32.283325948566201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2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51">
        <f t="shared" si="14"/>
        <v>0.5357142857142857</v>
      </c>
      <c r="AT65" s="767">
        <f t="shared" si="15"/>
        <v>32.476403900275805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51">
        <f t="shared" si="19"/>
        <v>3.5714285714285712E-2</v>
      </c>
      <c r="AY65" s="767">
        <f t="shared" si="20"/>
        <v>32.284531614783091</v>
      </c>
      <c r="AZ65" s="744">
        <f t="shared" si="26"/>
        <v>32.380467757529445</v>
      </c>
      <c r="BA65" s="642">
        <f t="shared" si="21"/>
        <v>1.0210033784788162</v>
      </c>
      <c r="BC65" s="11">
        <v>43151</v>
      </c>
      <c r="BD65" s="290">
        <f>[2]!FeuilCaduc*(1-Persistant)+Persistant</f>
        <v>0.60194415012999103</v>
      </c>
      <c r="BE65" s="291">
        <f>[2]!CroissVégét</f>
        <v>9.3920531593536197E-3</v>
      </c>
      <c r="BF65" s="814">
        <f>1+[2]!Salcycl*Ksac</f>
        <v>1.0002430187662488</v>
      </c>
      <c r="BH65" s="1050">
        <f t="shared" si="22"/>
        <v>4.7276089674485801E-2</v>
      </c>
      <c r="BI65" s="11">
        <v>44247</v>
      </c>
      <c r="BJ65" s="724">
        <v>3.8393272146812589E-6</v>
      </c>
      <c r="BK65" s="724">
        <v>3.8393272146812598E-6</v>
      </c>
      <c r="BL65" s="724">
        <v>3.8393272146812598E-6</v>
      </c>
      <c r="BM65" s="724">
        <v>2.1035261747765136E-4</v>
      </c>
      <c r="BN65" s="724">
        <v>9.9088125263320989E-3</v>
      </c>
      <c r="BO65" s="725">
        <v>4.7276089674485801E-2</v>
      </c>
      <c r="BP65" s="724">
        <v>0.11302774978034176</v>
      </c>
      <c r="BQ65" s="724">
        <v>0.1929998406563227</v>
      </c>
      <c r="BR65" s="724">
        <v>0.29143247740302464</v>
      </c>
      <c r="BS65" s="724">
        <v>0.40948363780813124</v>
      </c>
      <c r="BT65" s="724">
        <v>0.55203184073089129</v>
      </c>
      <c r="BW65" s="1190">
        <f>'2018'!R\Max</f>
        <v>0</v>
      </c>
      <c r="BX65" s="1188">
        <f>'2019'!R\Max</f>
        <v>1.0007622536735079</v>
      </c>
      <c r="BY65" s="1188">
        <f>'2020'!R\Max</f>
        <v>1.0210033784788162</v>
      </c>
      <c r="BZ65" s="1188">
        <f>'2021'!R\Max</f>
        <v>0.77411684486880117</v>
      </c>
      <c r="CA65" s="1188">
        <f>'2022'!R\Max</f>
        <v>0.61578727864210714</v>
      </c>
      <c r="CB65" s="1188">
        <f>'2023'!R\Max</f>
        <v>0.61399286476576909</v>
      </c>
      <c r="CC65" s="1188">
        <f>'2024'!R\Max</f>
        <v>0.61205626810946334</v>
      </c>
      <c r="CD65" s="1188">
        <f>'2025'!R\Max</f>
        <v>0.60985080097207123</v>
      </c>
      <c r="CE65" s="1188">
        <f>'2026'!R\Max</f>
        <v>0.60728554999221562</v>
      </c>
      <c r="CF65" s="1189">
        <f>'2027'!R\Max</f>
        <v>0.60452997473306991</v>
      </c>
    </row>
    <row r="66" spans="1:84" s="6" customFormat="1" ht="11.25" x14ac:dyDescent="0.2">
      <c r="A66" s="11">
        <v>43152</v>
      </c>
      <c r="B66" s="380">
        <f>'2023'!Maxi_hp</f>
        <v>32.315694426247191</v>
      </c>
      <c r="C66" s="13">
        <f>'2023'!An_max</f>
        <v>2019</v>
      </c>
      <c r="D66" s="1059">
        <f t="shared" si="7"/>
        <v>0.98912278185787195</v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51">
        <f t="shared" si="9"/>
        <v>0.14285714285714285</v>
      </c>
      <c r="J66" s="744">
        <f t="shared" si="27"/>
        <v>32.671064724187765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2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51">
        <f t="shared" si="14"/>
        <v>0.5714285714285714</v>
      </c>
      <c r="AT66" s="767">
        <f t="shared" si="15"/>
        <v>32.863008747356275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51">
        <f t="shared" si="19"/>
        <v>7.1428571428571425E-2</v>
      </c>
      <c r="AY66" s="767">
        <f t="shared" si="20"/>
        <v>32.675785568130337</v>
      </c>
      <c r="AZ66" s="744">
        <f t="shared" si="26"/>
        <v>32.769397157743306</v>
      </c>
      <c r="BA66" s="642">
        <f t="shared" si="21"/>
        <v>0.98912278185787195</v>
      </c>
      <c r="BC66" s="11">
        <v>43152</v>
      </c>
      <c r="BD66" s="290">
        <f>[2]!FeuilCaduc*(1-Persistant)+Persistant</f>
        <v>0.60206532763862897</v>
      </c>
      <c r="BE66" s="291">
        <f>[2]!CroissVégét</f>
        <v>9.8394096579268626E-3</v>
      </c>
      <c r="BF66" s="814">
        <f>1+[2]!Salcycl*Ksac</f>
        <v>1.0002581659548286</v>
      </c>
      <c r="BH66" s="1050">
        <f t="shared" si="22"/>
        <v>4.8254723057634979E-2</v>
      </c>
      <c r="BI66" s="11">
        <v>44248</v>
      </c>
      <c r="BJ66" s="724">
        <v>3.7758482146072579E-6</v>
      </c>
      <c r="BK66" s="724">
        <v>3.7758482146072588E-6</v>
      </c>
      <c r="BL66" s="724">
        <v>3.7758482146072588E-6</v>
      </c>
      <c r="BM66" s="724">
        <v>2.1040281490402484E-4</v>
      </c>
      <c r="BN66" s="724">
        <v>1.0060203765694956E-2</v>
      </c>
      <c r="BO66" s="725">
        <v>4.8254723057634979E-2</v>
      </c>
      <c r="BP66" s="724">
        <v>0.11576074583875058</v>
      </c>
      <c r="BQ66" s="724">
        <v>0.19748689068153102</v>
      </c>
      <c r="BR66" s="724">
        <v>0.29470388002850567</v>
      </c>
      <c r="BS66" s="724">
        <v>0.4115941533323646</v>
      </c>
      <c r="BT66" s="724">
        <v>0.55381254500320642</v>
      </c>
      <c r="BW66" s="1190">
        <f>'2018'!R\Max</f>
        <v>0</v>
      </c>
      <c r="BX66" s="1188">
        <f>'2019'!R\Max</f>
        <v>0.98912278185787195</v>
      </c>
      <c r="BY66" s="1188">
        <f>'2020'!R\Max</f>
        <v>0.42081196948821514</v>
      </c>
      <c r="BZ66" s="1188">
        <f>'2021'!R\Max</f>
        <v>0.37604999657950117</v>
      </c>
      <c r="CA66" s="1188">
        <f>'2022'!R\Max</f>
        <v>0.6571623433451208</v>
      </c>
      <c r="CB66" s="1188">
        <f>'2023'!R\Max</f>
        <v>0.65542784486496786</v>
      </c>
      <c r="CC66" s="1188">
        <f>'2024'!R\Max</f>
        <v>0.65355773107319326</v>
      </c>
      <c r="CD66" s="1188">
        <f>'2025'!R\Max</f>
        <v>0.65143252151889752</v>
      </c>
      <c r="CE66" s="1188">
        <f>'2026'!R\Max</f>
        <v>0.6490180808955921</v>
      </c>
      <c r="CF66" s="1189">
        <f>'2027'!R\Max</f>
        <v>0.64644746958824117</v>
      </c>
    </row>
    <row r="67" spans="1:84" s="6" customFormat="1" ht="11.25" x14ac:dyDescent="0.2">
      <c r="A67" s="11">
        <v>43153</v>
      </c>
      <c r="B67" s="380">
        <f>'2023'!Maxi_hp</f>
        <v>32.908275792453587</v>
      </c>
      <c r="C67" s="13">
        <f>'2023'!An_max</f>
        <v>2019</v>
      </c>
      <c r="D67" s="1059">
        <f t="shared" si="7"/>
        <v>0.99525494017166394</v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51">
        <f t="shared" si="9"/>
        <v>0.21428571428571427</v>
      </c>
      <c r="J67" s="744">
        <f t="shared" si="27"/>
        <v>33.065172011884201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2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51">
        <f t="shared" si="14"/>
        <v>0.6071428571428571</v>
      </c>
      <c r="AT67" s="767">
        <f t="shared" si="15"/>
        <v>33.252575693186373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51">
        <f t="shared" si="19"/>
        <v>0.10714285714285714</v>
      </c>
      <c r="AY67" s="767">
        <f t="shared" si="20"/>
        <v>33.075564813733635</v>
      </c>
      <c r="AZ67" s="744">
        <f t="shared" si="26"/>
        <v>33.164070253460004</v>
      </c>
      <c r="BA67" s="642">
        <f t="shared" si="21"/>
        <v>0.99525494017166394</v>
      </c>
      <c r="BC67" s="11">
        <v>43153</v>
      </c>
      <c r="BD67" s="290">
        <f>[2]!FeuilCaduc*(1-Persistant)+Persistant</f>
        <v>0.60218403075745885</v>
      </c>
      <c r="BE67" s="291">
        <f>[2]!CroissVégét</f>
        <v>1.0305104176065441E-2</v>
      </c>
      <c r="BF67" s="814">
        <f>1+[2]!Salcycl*Ksac</f>
        <v>1.0002730038446823</v>
      </c>
      <c r="BH67" s="1050">
        <f t="shared" si="22"/>
        <v>4.9191606342663646E-2</v>
      </c>
      <c r="BI67" s="11">
        <v>44249</v>
      </c>
      <c r="BJ67" s="724">
        <v>3.6740836803915941E-6</v>
      </c>
      <c r="BK67" s="724">
        <v>3.6740836803915941E-6</v>
      </c>
      <c r="BL67" s="724">
        <v>3.6740836803915941E-6</v>
      </c>
      <c r="BM67" s="724">
        <v>2.09892726517506E-4</v>
      </c>
      <c r="BN67" s="724">
        <v>1.0182589336655975E-2</v>
      </c>
      <c r="BO67" s="725">
        <v>4.9191606342663646E-2</v>
      </c>
      <c r="BP67" s="724">
        <v>0.11848672387558201</v>
      </c>
      <c r="BQ67" s="724">
        <v>0.20213149338607803</v>
      </c>
      <c r="BR67" s="724">
        <v>0.29835654014154106</v>
      </c>
      <c r="BS67" s="724">
        <v>0.4139227985834637</v>
      </c>
      <c r="BT67" s="724">
        <v>0.55520645793671464</v>
      </c>
      <c r="BW67" s="1190">
        <f>'2018'!R\Max</f>
        <v>0</v>
      </c>
      <c r="BX67" s="1188">
        <f>'2019'!R\Max</f>
        <v>0.99525494017166394</v>
      </c>
      <c r="BY67" s="1188">
        <f>'2020'!R\Max</f>
        <v>0.97163982600614096</v>
      </c>
      <c r="BZ67" s="1188">
        <f>'2021'!R\Max</f>
        <v>0.24469790205817754</v>
      </c>
      <c r="CA67" s="1188">
        <f>'2022'!R\Max</f>
        <v>0.94547978416992684</v>
      </c>
      <c r="CB67" s="1188">
        <f>'2023'!R\Max</f>
        <v>0.9450762707945316</v>
      </c>
      <c r="CC67" s="1188">
        <f>'2024'!R\Max</f>
        <v>0.9446395871608726</v>
      </c>
      <c r="CD67" s="1188">
        <f>'2025'!R\Max</f>
        <v>0.9441416580860813</v>
      </c>
      <c r="CE67" s="1188">
        <f>'2026'!R\Max</f>
        <v>0.94358595030980186</v>
      </c>
      <c r="CF67" s="1189">
        <f>'2027'!R\Max</f>
        <v>0.94299637729882291</v>
      </c>
    </row>
    <row r="68" spans="1:84" s="6" customFormat="1" ht="11.25" x14ac:dyDescent="0.2">
      <c r="A68" s="11">
        <v>43154</v>
      </c>
      <c r="B68" s="380">
        <f>'2023'!Maxi_hp</f>
        <v>33.900366462796477</v>
      </c>
      <c r="C68" s="13">
        <f>'2023'!An_max</f>
        <v>2020</v>
      </c>
      <c r="D68" s="1059">
        <f t="shared" si="7"/>
        <v>1.0130034458992843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51">
        <f t="shared" si="9"/>
        <v>0.2857142857142857</v>
      </c>
      <c r="J68" s="744">
        <f t="shared" si="27"/>
        <v>33.465203499581136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2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51">
        <f t="shared" si="14"/>
        <v>0.6428571428571429</v>
      </c>
      <c r="AT68" s="767">
        <f t="shared" si="15"/>
        <v>33.644965890103151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51">
        <f t="shared" si="19"/>
        <v>0.14285714285714285</v>
      </c>
      <c r="AY68" s="767">
        <f t="shared" si="20"/>
        <v>33.483272303401364</v>
      </c>
      <c r="AZ68" s="744">
        <f t="shared" si="26"/>
        <v>33.564119096752258</v>
      </c>
      <c r="BA68" s="642">
        <f t="shared" si="21"/>
        <v>1.0130034458992843</v>
      </c>
      <c r="BC68" s="11">
        <v>43154</v>
      </c>
      <c r="BD68" s="290">
        <f>[2]!FeuilCaduc*(1-Persistant)+Persistant</f>
        <v>0.60230002931003135</v>
      </c>
      <c r="BE68" s="291">
        <f>[2]!CroissVégét</f>
        <v>1.0789869896821172E-2</v>
      </c>
      <c r="BF68" s="814">
        <f>1+[2]!Salcycl*Ksac</f>
        <v>1.000287503663754</v>
      </c>
      <c r="BH68" s="1050">
        <f t="shared" si="22"/>
        <v>5.0086497928623887E-2</v>
      </c>
      <c r="BI68" s="11">
        <v>44250</v>
      </c>
      <c r="BJ68" s="724">
        <v>3.5340131623046748E-6</v>
      </c>
      <c r="BK68" s="724">
        <v>3.5340131623046753E-6</v>
      </c>
      <c r="BL68" s="724">
        <v>3.5340131623046753E-6</v>
      </c>
      <c r="BM68" s="724">
        <v>2.0882124148475413E-4</v>
      </c>
      <c r="BN68" s="724">
        <v>1.0275918404245769E-2</v>
      </c>
      <c r="BO68" s="725">
        <v>5.0086497928623887E-2</v>
      </c>
      <c r="BP68" s="724">
        <v>0.12120510860339755</v>
      </c>
      <c r="BQ68" s="724">
        <v>0.20693266196627771</v>
      </c>
      <c r="BR68" s="724">
        <v>0.30238893126349403</v>
      </c>
      <c r="BS68" s="724">
        <v>0.41646740967597973</v>
      </c>
      <c r="BT68" s="724">
        <v>0.5562106629599084</v>
      </c>
      <c r="BW68" s="1190">
        <f>'2018'!R\Max</f>
        <v>0</v>
      </c>
      <c r="BX68" s="1188">
        <f>'2019'!R\Max</f>
        <v>0.99584285840927611</v>
      </c>
      <c r="BY68" s="1188">
        <f>'2020'!R\Max</f>
        <v>1.0130034458992843</v>
      </c>
      <c r="BZ68" s="1188">
        <f>'2021'!R\Max</f>
        <v>0.83763527392803638</v>
      </c>
      <c r="CA68" s="1188">
        <f>'2022'!R\Max</f>
        <v>0.93444766190780248</v>
      </c>
      <c r="CB68" s="1188">
        <f>'2023'!R\Max</f>
        <v>0.93396133651245028</v>
      </c>
      <c r="CC68" s="1188">
        <f>'2024'!R\Max</f>
        <v>0.93343528289594035</v>
      </c>
      <c r="CD68" s="1188">
        <f>'2025'!R\Max</f>
        <v>0.93283604131353304</v>
      </c>
      <c r="CE68" s="1188">
        <f>'2026'!R\Max</f>
        <v>0.93218251791054973</v>
      </c>
      <c r="CF68" s="1189">
        <f>'2027'!R\Max</f>
        <v>0.93149618192216477</v>
      </c>
    </row>
    <row r="69" spans="1:84" s="6" customFormat="1" ht="11.25" x14ac:dyDescent="0.2">
      <c r="A69" s="11">
        <v>43155</v>
      </c>
      <c r="B69" s="380">
        <f>'2023'!Maxi_hp</f>
        <v>34.946187395768554</v>
      </c>
      <c r="C69" s="13">
        <f>'2023'!An_max</f>
        <v>2020</v>
      </c>
      <c r="D69" s="1059">
        <f t="shared" si="7"/>
        <v>1.0317522830892667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51">
        <f t="shared" si="9"/>
        <v>0.35714285714285715</v>
      </c>
      <c r="J69" s="744">
        <f t="shared" si="27"/>
        <v>33.870714868818013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2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51">
        <f t="shared" si="14"/>
        <v>0.6785714285714286</v>
      </c>
      <c r="AT69" s="767">
        <f t="shared" si="15"/>
        <v>34.040040488820523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51">
        <f t="shared" si="19"/>
        <v>0.17857142857142858</v>
      </c>
      <c r="AY69" s="767">
        <f t="shared" si="20"/>
        <v>33.89831098717238</v>
      </c>
      <c r="AZ69" s="744">
        <f t="shared" si="26"/>
        <v>33.969175737996451</v>
      </c>
      <c r="BA69" s="642">
        <f t="shared" si="21"/>
        <v>1.0317522830892667</v>
      </c>
      <c r="BC69" s="11">
        <v>43155</v>
      </c>
      <c r="BD69" s="290">
        <f>[2]!FeuilCaduc*(1-Persistant)+Persistant</f>
        <v>0.60241321847730278</v>
      </c>
      <c r="BE69" s="291">
        <f>[2]!CroissVégét</f>
        <v>1.1294467751257744E-2</v>
      </c>
      <c r="BF69" s="814">
        <f>1+[2]!Salcycl*Ksac</f>
        <v>1.0003016523096628</v>
      </c>
      <c r="BH69" s="1050">
        <f t="shared" si="22"/>
        <v>5.0939388355376723E-2</v>
      </c>
      <c r="BI69" s="11">
        <v>44251</v>
      </c>
      <c r="BJ69" s="724">
        <v>3.3556346730326095E-6</v>
      </c>
      <c r="BK69" s="724">
        <v>3.3556346730326091E-6</v>
      </c>
      <c r="BL69" s="724">
        <v>3.3556346730326091E-6</v>
      </c>
      <c r="BM69" s="724">
        <v>2.0718828178469432E-4</v>
      </c>
      <c r="BN69" s="724">
        <v>1.0340188519339669E-2</v>
      </c>
      <c r="BO69" s="725">
        <v>5.0939388355376723E-2</v>
      </c>
      <c r="BP69" s="724">
        <v>0.12391588075489895</v>
      </c>
      <c r="BQ69" s="724">
        <v>0.2118903622350303</v>
      </c>
      <c r="BR69" s="724">
        <v>0.30680097303531567</v>
      </c>
      <c r="BS69" s="724">
        <v>0.41922785283161823</v>
      </c>
      <c r="BT69" s="724">
        <v>0.55682497016348198</v>
      </c>
      <c r="BW69" s="1190">
        <f>'2018'!R\Max</f>
        <v>0</v>
      </c>
      <c r="BX69" s="1188">
        <f>'2019'!R\Max</f>
        <v>0.99152589691626081</v>
      </c>
      <c r="BY69" s="1188">
        <f>'2020'!R\Max</f>
        <v>1.0317522830892667</v>
      </c>
      <c r="BZ69" s="1188">
        <f>'2021'!R\Max</f>
        <v>0.97814361575573028</v>
      </c>
      <c r="CA69" s="1188">
        <f>'2022'!R\Max</f>
        <v>0.52652476568691753</v>
      </c>
      <c r="CB69" s="1188">
        <f>'2023'!R\Max</f>
        <v>0.5245241767720441</v>
      </c>
      <c r="CC69" s="1188">
        <f>'2024'!R\Max</f>
        <v>0.52237425934540183</v>
      </c>
      <c r="CD69" s="1188">
        <f>'2025'!R\Max</f>
        <v>0.51994335794916458</v>
      </c>
      <c r="CE69" s="1188">
        <f>'2026'!R\Max</f>
        <v>0.51737112948680164</v>
      </c>
      <c r="CF69" s="1189">
        <f>'2027'!R\Max</f>
        <v>0.51471927197958511</v>
      </c>
    </row>
    <row r="70" spans="1:84" s="6" customFormat="1" ht="11.25" x14ac:dyDescent="0.2">
      <c r="A70" s="11">
        <v>43156</v>
      </c>
      <c r="B70" s="380">
        <f>'2023'!Maxi_hp</f>
        <v>34.047177423693249</v>
      </c>
      <c r="C70" s="13">
        <f>'2023'!An_max</f>
        <v>2019</v>
      </c>
      <c r="D70" s="1059">
        <f t="shared" si="7"/>
        <v>0.99317165203648616</v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51">
        <f t="shared" si="9"/>
        <v>0.42857142857142855</v>
      </c>
      <c r="J70" s="744">
        <f t="shared" si="27"/>
        <v>34.281261807946223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2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51">
        <f t="shared" si="14"/>
        <v>0.7142857142857143</v>
      </c>
      <c r="AT70" s="767">
        <f t="shared" si="15"/>
        <v>34.437660642606872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51">
        <f t="shared" si="19"/>
        <v>0.21428571428571427</v>
      </c>
      <c r="AY70" s="767">
        <f t="shared" si="20"/>
        <v>34.320083819316437</v>
      </c>
      <c r="AZ70" s="744">
        <f t="shared" si="26"/>
        <v>34.378872230961655</v>
      </c>
      <c r="BA70" s="642">
        <f t="shared" si="21"/>
        <v>0.99317165203648616</v>
      </c>
      <c r="BC70" s="11">
        <v>43156</v>
      </c>
      <c r="BD70" s="290">
        <f>[2]!FeuilCaduc*(1-Persistant)+Persistant</f>
        <v>0.60252362659990943</v>
      </c>
      <c r="BE70" s="291">
        <f>[2]!CroissVégét</f>
        <v>1.1819687335529849E-2</v>
      </c>
      <c r="BF70" s="814">
        <f>1+[2]!Salcycl*Ksac</f>
        <v>1.0003154533249887</v>
      </c>
      <c r="BH70" s="1050">
        <f t="shared" si="22"/>
        <v>5.1750266143005937E-2</v>
      </c>
      <c r="BI70" s="11">
        <v>44252</v>
      </c>
      <c r="BJ70" s="724">
        <v>3.1389458004246712E-6</v>
      </c>
      <c r="BK70" s="724">
        <v>3.1389458004246704E-6</v>
      </c>
      <c r="BL70" s="724">
        <v>3.1389458004246704E-6</v>
      </c>
      <c r="BM70" s="724">
        <v>2.0499376170845032E-4</v>
      </c>
      <c r="BN70" s="724">
        <v>1.0375396614805478E-2</v>
      </c>
      <c r="BO70" s="725">
        <v>5.1750266143005937E-2</v>
      </c>
      <c r="BP70" s="724">
        <v>0.12661901690808738</v>
      </c>
      <c r="BQ70" s="724">
        <v>0.21700455547150355</v>
      </c>
      <c r="BR70" s="724">
        <v>0.31159258537696483</v>
      </c>
      <c r="BS70" s="724">
        <v>0.42220399404402326</v>
      </c>
      <c r="BT70" s="724">
        <v>0.55704918168994433</v>
      </c>
      <c r="BW70" s="1190">
        <f>'2018'!R\Max</f>
        <v>0</v>
      </c>
      <c r="BX70" s="1188">
        <f>'2019'!R\Max</f>
        <v>0.99317165203648616</v>
      </c>
      <c r="BY70" s="1188">
        <f>'2020'!R\Max</f>
        <v>0.52103022605606075</v>
      </c>
      <c r="BZ70" s="1188">
        <f>'2021'!R\Max</f>
        <v>0.86820599522021669</v>
      </c>
      <c r="CA70" s="1188">
        <f>'2022'!R\Max</f>
        <v>0.92955906989715842</v>
      </c>
      <c r="CB70" s="1188">
        <f>'2023'!R\Max</f>
        <v>0.92902457085470669</v>
      </c>
      <c r="CC70" s="1188">
        <f>'2024'!R\Max</f>
        <v>0.92844582796318309</v>
      </c>
      <c r="CD70" s="1188">
        <f>'2025'!R\Max</f>
        <v>0.92778591789527542</v>
      </c>
      <c r="CE70" s="1188">
        <f>'2026'!R\Max</f>
        <v>0.9270964856616345</v>
      </c>
      <c r="CF70" s="1189">
        <f>'2027'!R\Max</f>
        <v>0.92638648568788029</v>
      </c>
    </row>
    <row r="71" spans="1:84" s="6" customFormat="1" ht="11.25" x14ac:dyDescent="0.2">
      <c r="A71" s="11">
        <v>43157</v>
      </c>
      <c r="B71" s="380">
        <f>'2023'!Maxi_hp</f>
        <v>35.782081482153075</v>
      </c>
      <c r="C71" s="13">
        <f>'2023'!An_max</f>
        <v>2023</v>
      </c>
      <c r="D71" s="1059">
        <f t="shared" si="7"/>
        <v>1.031290897084685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51">
        <f t="shared" si="9"/>
        <v>0.5</v>
      </c>
      <c r="J71" s="744">
        <f t="shared" si="27"/>
        <v>34.696400000527504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2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51">
        <f t="shared" si="14"/>
        <v>0.75</v>
      </c>
      <c r="AT71" s="767">
        <f t="shared" si="15"/>
        <v>34.837687500752509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51">
        <f t="shared" si="19"/>
        <v>0.25</v>
      </c>
      <c r="AY71" s="767">
        <f t="shared" si="20"/>
        <v>34.747993749426676</v>
      </c>
      <c r="AZ71" s="744">
        <f t="shared" si="26"/>
        <v>34.792840625089596</v>
      </c>
      <c r="BA71" s="642">
        <f t="shared" si="21"/>
        <v>1.031290897084685</v>
      </c>
      <c r="BC71" s="11">
        <v>43157</v>
      </c>
      <c r="BD71" s="290">
        <f>[2]!FeuilCaduc*(1-Persistant)+Persistant</f>
        <v>0.60263142201250741</v>
      </c>
      <c r="BE71" s="291">
        <f>[2]!CroissVégét</f>
        <v>1.236634784666045E-2</v>
      </c>
      <c r="BF71" s="814">
        <f>1+[2]!Salcycl*Ksac</f>
        <v>1.0003289277515635</v>
      </c>
      <c r="BH71" s="1050">
        <f t="shared" si="22"/>
        <v>5.2519117947695017E-2</v>
      </c>
      <c r="BI71" s="11">
        <v>44253</v>
      </c>
      <c r="BJ71" s="724">
        <v>2.8839438492594599E-6</v>
      </c>
      <c r="BK71" s="724">
        <v>2.8839438492594603E-6</v>
      </c>
      <c r="BL71" s="724">
        <v>2.8839438492594603E-6</v>
      </c>
      <c r="BM71" s="724">
        <v>2.0223758993877423E-4</v>
      </c>
      <c r="BN71" s="724">
        <v>1.0381539113113861E-2</v>
      </c>
      <c r="BO71" s="725">
        <v>5.2519117947695017E-2</v>
      </c>
      <c r="BP71" s="724">
        <v>0.12931448951559096</v>
      </c>
      <c r="BQ71" s="724">
        <v>0.22227519784400321</v>
      </c>
      <c r="BR71" s="724">
        <v>0.31676368708582031</v>
      </c>
      <c r="BS71" s="724">
        <v>0.42539569828447865</v>
      </c>
      <c r="BT71" s="724">
        <v>0.55688309318178075</v>
      </c>
      <c r="BW71" s="1190">
        <f>'2018'!R\Max</f>
        <v>0</v>
      </c>
      <c r="BX71" s="1188">
        <f>'2019'!R\Max</f>
        <v>0.88765504553205032</v>
      </c>
      <c r="BY71" s="1188">
        <f>'2020'!R\Max</f>
        <v>0.518355028835079</v>
      </c>
      <c r="BZ71" s="1188">
        <f>'2021'!R\Max</f>
        <v>0.26125598952179147</v>
      </c>
      <c r="CA71" s="1188">
        <f>'2022'!R\Max</f>
        <v>1.031290897084685</v>
      </c>
      <c r="CB71" s="1188">
        <f>'2023'!R\Max</f>
        <v>1.031290897084685</v>
      </c>
      <c r="CC71" s="1188">
        <f>'2024'!R\Max</f>
        <v>1.0312908970846852</v>
      </c>
      <c r="CD71" s="1188">
        <f>'2025'!R\Max</f>
        <v>1.0312908970846852</v>
      </c>
      <c r="CE71" s="1188">
        <f>'2026'!R\Max</f>
        <v>1.031290897084685</v>
      </c>
      <c r="CF71" s="1189">
        <f>'2027'!R\Max</f>
        <v>1.0312908970846852</v>
      </c>
    </row>
    <row r="72" spans="1:84" s="6" customFormat="1" ht="11.25" x14ac:dyDescent="0.2">
      <c r="A72" s="11">
        <v>43158</v>
      </c>
      <c r="B72" s="380">
        <f>'2023'!Maxi_hp</f>
        <v>35.119765108958404</v>
      </c>
      <c r="C72" s="13">
        <f>'2023'!An_max</f>
        <v>2021</v>
      </c>
      <c r="D72" s="1059">
        <f t="shared" si="7"/>
        <v>1.0001161867595281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51">
        <f t="shared" si="9"/>
        <v>0.5714285714285714</v>
      </c>
      <c r="J72" s="744">
        <f t="shared" si="27"/>
        <v>35.115685131294391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2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51">
        <f t="shared" si="14"/>
        <v>0.7857142857142857</v>
      </c>
      <c r="AT72" s="767">
        <f t="shared" si="15"/>
        <v>35.239982216193212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51">
        <f t="shared" si="19"/>
        <v>0.2857142857142857</v>
      </c>
      <c r="AY72" s="767">
        <f t="shared" si="20"/>
        <v>35.181443731806112</v>
      </c>
      <c r="AZ72" s="744">
        <f t="shared" si="26"/>
        <v>35.210712973999662</v>
      </c>
      <c r="BA72" s="642">
        <f t="shared" si="21"/>
        <v>1.0001161867595281</v>
      </c>
      <c r="BC72" s="11">
        <v>43158</v>
      </c>
      <c r="BD72" s="290">
        <f>[2]!FeuilCaduc*(1-Persistant)+Persistant</f>
        <v>0.6027369188599403</v>
      </c>
      <c r="BE72" s="291">
        <f>[2]!CroissVégét</f>
        <v>1.2935299036280712E-2</v>
      </c>
      <c r="BF72" s="814">
        <f>1+[2]!Salcycl*Ksac</f>
        <v>1.0003421148574925</v>
      </c>
      <c r="BH72" s="1050">
        <f t="shared" si="22"/>
        <v>5.3194357572281248E-2</v>
      </c>
      <c r="BI72" s="11">
        <v>44254</v>
      </c>
      <c r="BJ72" s="724">
        <v>2.6267083404018544E-6</v>
      </c>
      <c r="BK72" s="724">
        <v>2.6267083404018548E-6</v>
      </c>
      <c r="BL72" s="724">
        <v>2.6267083404018548E-6</v>
      </c>
      <c r="BM72" s="724">
        <v>1.9896247980844822E-4</v>
      </c>
      <c r="BN72" s="724">
        <v>1.0355505174503234E-2</v>
      </c>
      <c r="BO72" s="725">
        <v>5.3194357572281248E-2</v>
      </c>
      <c r="BP72" s="724">
        <v>0.13193103689178279</v>
      </c>
      <c r="BQ72" s="724">
        <v>0.22765383831192876</v>
      </c>
      <c r="BR72" s="724">
        <v>0.32243028339059382</v>
      </c>
      <c r="BS72" s="724">
        <v>0.42911989290978347</v>
      </c>
      <c r="BT72" s="724">
        <v>0.55687050053881815</v>
      </c>
      <c r="BW72" s="1190">
        <f>'2018'!R\Max</f>
        <v>0</v>
      </c>
      <c r="BX72" s="1188">
        <f>'2019'!R\Max</f>
        <v>0.99541518187423961</v>
      </c>
      <c r="BY72" s="1188">
        <f>'2020'!R\Max</f>
        <v>0.22947624251776194</v>
      </c>
      <c r="BZ72" s="1188">
        <f>'2021'!R\Max</f>
        <v>1.0001161867595281</v>
      </c>
      <c r="CA72" s="1188">
        <f>'2022'!R\Max</f>
        <v>0.83182538142231199</v>
      </c>
      <c r="CB72" s="1188">
        <f>'2023'!R\Max</f>
        <v>0.83065337499569314</v>
      </c>
      <c r="CC72" s="1188">
        <f>'2024'!R\Max</f>
        <v>0.8293823959955966</v>
      </c>
      <c r="CD72" s="1188">
        <f>'2025'!R\Max</f>
        <v>0.82792948866739224</v>
      </c>
      <c r="CE72" s="1188">
        <f>'2026'!R\Max</f>
        <v>0.82647049802039751</v>
      </c>
      <c r="CF72" s="1189">
        <f>'2027'!R\Max</f>
        <v>0.82499801396007011</v>
      </c>
    </row>
    <row r="73" spans="1:84" s="6" customFormat="1" ht="11.25" x14ac:dyDescent="0.2">
      <c r="A73" s="11">
        <v>43159</v>
      </c>
      <c r="B73" s="380">
        <f>'2023'!Maxi_hp</f>
        <v>30.515146112920245</v>
      </c>
      <c r="C73" s="13">
        <f>'2023'!An_max</f>
        <v>2021</v>
      </c>
      <c r="D73" s="1059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51">
        <f t="shared" si="9"/>
        <v>0.6428571428571429</v>
      </c>
      <c r="J73" s="744">
        <f t="shared" si="27"/>
        <v>35.538672886097004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2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51">
        <f t="shared" si="14"/>
        <v>0.8214285714285714</v>
      </c>
      <c r="AT73" s="767">
        <f t="shared" si="15"/>
        <v>35.644405941186207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51">
        <f t="shared" si="19"/>
        <v>0.32142857142857145</v>
      </c>
      <c r="AY73" s="767">
        <f t="shared" si="20"/>
        <v>35.619836715921494</v>
      </c>
      <c r="AZ73" s="744">
        <f t="shared" si="26"/>
        <v>35.632121328553851</v>
      </c>
      <c r="BA73" s="642">
        <f t="shared" si="21"/>
        <v>0.85864619117102714</v>
      </c>
      <c r="BC73" s="11">
        <v>43159</v>
      </c>
      <c r="BD73" s="290">
        <f>[2]!FeuilCaduc*(1-Persistant)+Persistant</f>
        <v>0.60284058185655764</v>
      </c>
      <c r="BE73" s="291">
        <f>[2]!CroissVégét</f>
        <v>1.352742218145603E-2</v>
      </c>
      <c r="BF73" s="814">
        <f>1+[2]!Salcycl*Ksac</f>
        <v>1.0003550727320698</v>
      </c>
      <c r="BH73" s="1050">
        <f t="shared" si="22"/>
        <v>5.3784896932553068E-2</v>
      </c>
      <c r="BI73" s="11">
        <v>44255</v>
      </c>
      <c r="BJ73" s="724">
        <v>2.4174231778655817E-6</v>
      </c>
      <c r="BK73" s="724">
        <v>2.4174231778655822E-6</v>
      </c>
      <c r="BL73" s="724">
        <v>2.4174231778655822E-6</v>
      </c>
      <c r="BM73" s="724">
        <v>1.9555739813408469E-4</v>
      </c>
      <c r="BN73" s="724">
        <v>1.0305212130383958E-2</v>
      </c>
      <c r="BO73" s="725">
        <v>5.3784896932553068E-2</v>
      </c>
      <c r="BP73" s="724">
        <v>0.13445197729813718</v>
      </c>
      <c r="BQ73" s="724">
        <v>0.23301130150570815</v>
      </c>
      <c r="BR73" s="724">
        <v>0.32842809781999777</v>
      </c>
      <c r="BS73" s="724">
        <v>0.43333826531620612</v>
      </c>
      <c r="BT73" s="724">
        <v>0.55731358093342398</v>
      </c>
      <c r="BW73" s="1190">
        <f>'2018'!R\Max</f>
        <v>0</v>
      </c>
      <c r="BX73" s="1188">
        <f>'2019'!R\Max</f>
        <v>0.77845166437665814</v>
      </c>
      <c r="BY73" s="1188">
        <f>'2020'!R\Max</f>
        <v>0.52389801826445492</v>
      </c>
      <c r="BZ73" s="1188">
        <f>'2021'!R\Max</f>
        <v>0.85864619117102714</v>
      </c>
      <c r="CA73" s="1188">
        <f>'2022'!R\Max</f>
        <v>0.82840066161584502</v>
      </c>
      <c r="CB73" s="1188">
        <f>'2023'!R\Max</f>
        <v>0.8271947931140996</v>
      </c>
      <c r="CC73" s="1188">
        <f>'2024'!R\Max</f>
        <v>0.82588429648940109</v>
      </c>
      <c r="CD73" s="1188">
        <f>'2025'!R\Max</f>
        <v>0.82438169899350844</v>
      </c>
      <c r="CE73" s="1188">
        <f>'2026'!R\Max</f>
        <v>0.82289545590518964</v>
      </c>
      <c r="CF73" s="1189">
        <f>'2027'!R\Max</f>
        <v>0.82140689151266821</v>
      </c>
    </row>
    <row r="74" spans="1:84" s="6" customFormat="1" ht="11.25" x14ac:dyDescent="0.2">
      <c r="A74" s="11">
        <v>43160</v>
      </c>
      <c r="B74" s="380">
        <f>'2023'!Maxi_hp</f>
        <v>36.108802524436257</v>
      </c>
      <c r="C74" s="13">
        <f>'2023'!An_max</f>
        <v>2022</v>
      </c>
      <c r="D74" s="1059">
        <f t="shared" si="7"/>
        <v>1.0040006644989006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51">
        <f t="shared" si="9"/>
        <v>0.7142857142857143</v>
      </c>
      <c r="J74" s="744">
        <f t="shared" si="27"/>
        <v>35.964918949987208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2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51">
        <f t="shared" si="14"/>
        <v>0.8571428571428571</v>
      </c>
      <c r="AT74" s="767">
        <f t="shared" si="15"/>
        <v>36.050819825806791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51">
        <f t="shared" si="19"/>
        <v>0.35714285714285715</v>
      </c>
      <c r="AY74" s="767">
        <f t="shared" si="20"/>
        <v>36.06257565582969</v>
      </c>
      <c r="AZ74" s="744">
        <f t="shared" si="26"/>
        <v>36.056697740818237</v>
      </c>
      <c r="BA74" s="642">
        <f t="shared" si="21"/>
        <v>1.0040006644989006</v>
      </c>
      <c r="BC74" s="11">
        <v>43160</v>
      </c>
      <c r="BD74" s="290">
        <f>[2]!FeuilCaduc*(1-Persistant)+Persistant</f>
        <v>0.60294302996164917</v>
      </c>
      <c r="BE74" s="291">
        <f>[2]!CroissVégét</f>
        <v>1.4143631071573595E-2</v>
      </c>
      <c r="BF74" s="814">
        <f>1+[2]!Salcycl*Ksac</f>
        <v>1.0003678787452062</v>
      </c>
      <c r="BH74" s="1050">
        <f t="shared" si="22"/>
        <v>5.4290717061313165E-2</v>
      </c>
      <c r="BI74" s="11">
        <v>44256</v>
      </c>
      <c r="BJ74" s="724">
        <v>2.2560874149557951E-6</v>
      </c>
      <c r="BK74" s="724">
        <v>2.2560874149557955E-6</v>
      </c>
      <c r="BL74" s="724">
        <v>2.2560874149557955E-6</v>
      </c>
      <c r="BM74" s="724">
        <v>1.920222575740178E-4</v>
      </c>
      <c r="BN74" s="724">
        <v>1.0230655599529291E-2</v>
      </c>
      <c r="BO74" s="725">
        <v>5.4290717061313165E-2</v>
      </c>
      <c r="BP74" s="724">
        <v>0.13687726910208087</v>
      </c>
      <c r="BQ74" s="724">
        <v>0.23834752128309558</v>
      </c>
      <c r="BR74" s="724">
        <v>0.3347570368389014</v>
      </c>
      <c r="BS74" s="724">
        <v>0.43805067890649069</v>
      </c>
      <c r="BT74" s="724">
        <v>0.55821213692296312</v>
      </c>
      <c r="BW74" s="1190">
        <f>'2018'!R\Max</f>
        <v>0</v>
      </c>
      <c r="BX74" s="1188">
        <f>'2019'!R\Max</f>
        <v>0.41238655068094582</v>
      </c>
      <c r="BY74" s="1188">
        <f>'2020'!R\Max</f>
        <v>0.3964578584643399</v>
      </c>
      <c r="BZ74" s="1188">
        <f>'2021'!R\Max</f>
        <v>0.90143127783852117</v>
      </c>
      <c r="CA74" s="1188">
        <f>'2022'!R\Max</f>
        <v>1.0040006644989006</v>
      </c>
      <c r="CB74" s="1188">
        <f>'2023'!R\Max</f>
        <v>1.0040006644989004</v>
      </c>
      <c r="CC74" s="1188">
        <f>'2024'!R\Max</f>
        <v>1.0040006644989006</v>
      </c>
      <c r="CD74" s="1188">
        <f>'2025'!R\Max</f>
        <v>1.0040006644989006</v>
      </c>
      <c r="CE74" s="1188">
        <f>'2026'!R\Max</f>
        <v>1.0040006644989006</v>
      </c>
      <c r="CF74" s="1189">
        <f>'2027'!R\Max</f>
        <v>1.0040006644989006</v>
      </c>
    </row>
    <row r="75" spans="1:84" s="6" customFormat="1" ht="11.25" x14ac:dyDescent="0.2">
      <c r="A75" s="11">
        <v>43161</v>
      </c>
      <c r="B75" s="380">
        <f>'2023'!Maxi_hp</f>
        <v>24.299923659656329</v>
      </c>
      <c r="C75" s="13">
        <f>'2023'!An_max</f>
        <v>2020</v>
      </c>
      <c r="D75" s="1059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51">
        <f t="shared" si="9"/>
        <v>0.7857142857142857</v>
      </c>
      <c r="J75" s="744">
        <f t="shared" si="27"/>
        <v>36.393979008043445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2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51">
        <f t="shared" si="14"/>
        <v>0.8928571428571429</v>
      </c>
      <c r="AT75" s="767">
        <f t="shared" si="15"/>
        <v>36.459085022618197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51">
        <f t="shared" si="19"/>
        <v>0.39285714285714285</v>
      </c>
      <c r="AY75" s="767">
        <f t="shared" si="20"/>
        <v>36.50906350212172</v>
      </c>
      <c r="AZ75" s="744">
        <f t="shared" si="26"/>
        <v>36.484074262369958</v>
      </c>
      <c r="BA75" s="642">
        <f t="shared" si="21"/>
        <v>0.66769076429608853</v>
      </c>
      <c r="BC75" s="11">
        <v>43161</v>
      </c>
      <c r="BD75" s="290">
        <f>[2]!FeuilCaduc*(1-Persistant)+Persistant</f>
        <v>0.60304503895556516</v>
      </c>
      <c r="BE75" s="291">
        <f>[2]!CroissVégét</f>
        <v>1.47848730100967E-2</v>
      </c>
      <c r="BF75" s="814">
        <f>1+[2]!Salcycl*Ksac</f>
        <v>1.0003806298694458</v>
      </c>
      <c r="BH75" s="1050">
        <f t="shared" si="22"/>
        <v>5.4711797660365213E-2</v>
      </c>
      <c r="BI75" s="11">
        <v>44257</v>
      </c>
      <c r="BJ75" s="724">
        <v>2.1427006734607572E-6</v>
      </c>
      <c r="BK75" s="724">
        <v>2.1427006734607576E-6</v>
      </c>
      <c r="BL75" s="724">
        <v>2.1427006734607576E-6</v>
      </c>
      <c r="BM75" s="724">
        <v>1.8835697512439937E-4</v>
      </c>
      <c r="BN75" s="724">
        <v>1.0131831144230044E-2</v>
      </c>
      <c r="BO75" s="725">
        <v>5.4711797660365213E-2</v>
      </c>
      <c r="BP75" s="724">
        <v>0.13920686642443073</v>
      </c>
      <c r="BQ75" s="724">
        <v>0.24366242345918757</v>
      </c>
      <c r="BR75" s="724">
        <v>0.34141699982359608</v>
      </c>
      <c r="BS75" s="724">
        <v>0.44325699350762454</v>
      </c>
      <c r="BT75" s="724">
        <v>0.55956597286830811</v>
      </c>
      <c r="BW75" s="1190">
        <f>'2018'!R\Max</f>
        <v>0</v>
      </c>
      <c r="BX75" s="1188">
        <f>'2019'!R\Max</f>
        <v>0.61420970925738938</v>
      </c>
      <c r="BY75" s="1188">
        <f>'2020'!R\Max</f>
        <v>0.66769076429608853</v>
      </c>
      <c r="BZ75" s="1188">
        <f>'2021'!R\Max</f>
        <v>0.46786191327343024</v>
      </c>
      <c r="CA75" s="1188">
        <f>'2022'!R\Max</f>
        <v>0.28551676881347582</v>
      </c>
      <c r="CB75" s="1188">
        <f>'2023'!R\Max</f>
        <v>0.28378972696548282</v>
      </c>
      <c r="CC75" s="1188">
        <f>'2024'!R\Max</f>
        <v>0.28192110117236746</v>
      </c>
      <c r="CD75" s="1188">
        <f>'2025'!R\Max</f>
        <v>0.27978607576919068</v>
      </c>
      <c r="CE75" s="1188">
        <f>'2026'!R\Max</f>
        <v>0.2777442368245166</v>
      </c>
      <c r="CF75" s="1189">
        <f>'2027'!R\Max</f>
        <v>0.27574503252957999</v>
      </c>
    </row>
    <row r="76" spans="1:84" s="6" customFormat="1" ht="11.25" x14ac:dyDescent="0.2">
      <c r="A76" s="11">
        <v>43162</v>
      </c>
      <c r="B76" s="380">
        <f>'2023'!Maxi_hp</f>
        <v>35.179291593929499</v>
      </c>
      <c r="C76" s="13">
        <f>'2023'!An_max</f>
        <v>2022</v>
      </c>
      <c r="D76" s="1059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51">
        <f t="shared" si="9"/>
        <v>0.8571428571428571</v>
      </c>
      <c r="J76" s="744">
        <f t="shared" si="27"/>
        <v>36.825408746515009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2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51">
        <f t="shared" si="14"/>
        <v>0.9285714285714286</v>
      </c>
      <c r="AT76" s="767">
        <f t="shared" si="15"/>
        <v>36.869062683012871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51">
        <f t="shared" si="19"/>
        <v>0.42857142857142855</v>
      </c>
      <c r="AY76" s="767">
        <f t="shared" si="20"/>
        <v>36.958703207277821</v>
      </c>
      <c r="AZ76" s="744">
        <f t="shared" si="26"/>
        <v>36.913882945145346</v>
      </c>
      <c r="BA76" s="642">
        <f t="shared" si="21"/>
        <v>0.9552994193787111</v>
      </c>
      <c r="BC76" s="11">
        <v>43162</v>
      </c>
      <c r="BD76" s="290">
        <f>[2]!FeuilCaduc*(1-Persistant)+Persistant</f>
        <v>0.60314754291252048</v>
      </c>
      <c r="BE76" s="291">
        <f>[2]!CroissVégét</f>
        <v>1.5452129829812465E-2</v>
      </c>
      <c r="BF76" s="814">
        <f>1+[2]!Salcycl*Ksac</f>
        <v>1.0003934428640651</v>
      </c>
      <c r="BH76" s="1050">
        <f t="shared" si="22"/>
        <v>5.5048117414186672E-2</v>
      </c>
      <c r="BI76" s="11">
        <v>44258</v>
      </c>
      <c r="BJ76" s="724">
        <v>2.0772629662603344E-6</v>
      </c>
      <c r="BK76" s="724">
        <v>2.0772629662603344E-6</v>
      </c>
      <c r="BL76" s="724">
        <v>2.0772629662603344E-6</v>
      </c>
      <c r="BM76" s="724">
        <v>1.8456147260101821E-4</v>
      </c>
      <c r="BN76" s="724">
        <v>1.0008734360099398E-2</v>
      </c>
      <c r="BO76" s="725">
        <v>5.5048117414186672E-2</v>
      </c>
      <c r="BP76" s="724">
        <v>0.14144071949391845</v>
      </c>
      <c r="BQ76" s="724">
        <v>0.24895592588621251</v>
      </c>
      <c r="BR76" s="724">
        <v>0.34840787783839638</v>
      </c>
      <c r="BS76" s="724">
        <v>0.44895706354507253</v>
      </c>
      <c r="BT76" s="724">
        <v>0.56137489325109402</v>
      </c>
      <c r="BW76" s="1190">
        <f>'2018'!R\Max</f>
        <v>0</v>
      </c>
      <c r="BX76" s="1188">
        <f>'2019'!R\Max</f>
        <v>0.8945425547697633</v>
      </c>
      <c r="BY76" s="1188">
        <f>'2020'!R\Max</f>
        <v>0.60969496327954043</v>
      </c>
      <c r="BZ76" s="1188">
        <f>'2021'!R\Max</f>
        <v>0.43745902356613636</v>
      </c>
      <c r="CA76" s="1188">
        <f>'2022'!R\Max</f>
        <v>0.9552994193787111</v>
      </c>
      <c r="CB76" s="1188">
        <f>'2023'!R\Max</f>
        <v>0.95492435551258037</v>
      </c>
      <c r="CC76" s="1188">
        <f>'2024'!R\Max</f>
        <v>0.9545124925018792</v>
      </c>
      <c r="CD76" s="1188">
        <f>'2025'!R\Max</f>
        <v>0.95403367014210771</v>
      </c>
      <c r="CE76" s="1188">
        <f>'2026'!R\Max</f>
        <v>0.95357282972400426</v>
      </c>
      <c r="CF76" s="1189">
        <f>'2027'!R\Max</f>
        <v>0.95311733762263862</v>
      </c>
    </row>
    <row r="77" spans="1:84" s="6" customFormat="1" ht="11.25" x14ac:dyDescent="0.2">
      <c r="A77" s="11">
        <v>43163</v>
      </c>
      <c r="B77" s="380">
        <f>'2023'!Maxi_hp</f>
        <v>28.821969075833852</v>
      </c>
      <c r="C77" s="13">
        <f>'2023'!An_max</f>
        <v>2021</v>
      </c>
      <c r="D77" s="1059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51">
        <f t="shared" si="9"/>
        <v>0.9285714285714286</v>
      </c>
      <c r="J77" s="744">
        <f t="shared" si="27"/>
        <v>37.258763848138706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2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51">
        <f t="shared" si="14"/>
        <v>0.9642857142857143</v>
      </c>
      <c r="AT77" s="767">
        <f t="shared" si="15"/>
        <v>37.280613958290111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51">
        <f t="shared" si="19"/>
        <v>0.4642857142857143</v>
      </c>
      <c r="AY77" s="767">
        <f t="shared" si="20"/>
        <v>37.410897722128517</v>
      </c>
      <c r="AZ77" s="744">
        <f t="shared" si="26"/>
        <v>37.345755840209314</v>
      </c>
      <c r="BA77" s="642">
        <f t="shared" si="21"/>
        <v>0.77356213945551178</v>
      </c>
      <c r="BC77" s="11">
        <v>43163</v>
      </c>
      <c r="BD77" s="290">
        <f>[2]!FeuilCaduc*(1-Persistant)+Persistant</f>
        <v>0.60325163457719966</v>
      </c>
      <c r="BE77" s="291">
        <f>[2]!CroissVégét</f>
        <v>1.6146418920009037E-2</v>
      </c>
      <c r="BF77" s="814">
        <f>1+[2]!Salcycl*Ksac</f>
        <v>1.00040645432215</v>
      </c>
      <c r="BH77" s="1050">
        <f t="shared" si="22"/>
        <v>5.5299654303519415E-2</v>
      </c>
      <c r="BI77" s="11">
        <v>44259</v>
      </c>
      <c r="BJ77" s="724">
        <v>2.0597745199313679E-6</v>
      </c>
      <c r="BK77" s="724">
        <v>2.0597745199313675E-6</v>
      </c>
      <c r="BL77" s="724">
        <v>2.0597745199313675E-6</v>
      </c>
      <c r="BM77" s="724">
        <v>1.8063567712084025E-4</v>
      </c>
      <c r="BN77" s="724">
        <v>9.8613609658626585E-3</v>
      </c>
      <c r="BO77" s="725">
        <v>5.5299654303519415E-2</v>
      </c>
      <c r="BP77" s="724">
        <v>0.14357877500150493</v>
      </c>
      <c r="BQ77" s="724">
        <v>0.25422793853294906</v>
      </c>
      <c r="BR77" s="724">
        <v>0.35572955241172205</v>
      </c>
      <c r="BS77" s="724">
        <v>0.45515073621633989</v>
      </c>
      <c r="BT77" s="724">
        <v>0.56363870099013269</v>
      </c>
      <c r="BW77" s="1190">
        <f>'2018'!R\Max</f>
        <v>0</v>
      </c>
      <c r="BX77" s="1188">
        <f>'2019'!R\Max</f>
        <v>0.36998054505047484</v>
      </c>
      <c r="BY77" s="1188">
        <f>'2020'!R\Max</f>
        <v>0.1508344385482768</v>
      </c>
      <c r="BZ77" s="1188">
        <f>'2021'!R\Max</f>
        <v>0.77356213945551178</v>
      </c>
      <c r="CA77" s="1188">
        <f>'2022'!R\Max</f>
        <v>0.12602803041158675</v>
      </c>
      <c r="CB77" s="1188">
        <f>'2023'!R\Max</f>
        <v>0.12524978013307958</v>
      </c>
      <c r="CC77" s="1188">
        <f>'2024'!R\Max</f>
        <v>0.12440282300677678</v>
      </c>
      <c r="CD77" s="1188">
        <f>'2025'!R\Max</f>
        <v>0.12342736310579373</v>
      </c>
      <c r="CE77" s="1188">
        <f>'2026'!R\Max</f>
        <v>0.12250687972478351</v>
      </c>
      <c r="CF77" s="1189">
        <f>'2027'!R\Max</f>
        <v>0.12161233894098449</v>
      </c>
    </row>
    <row r="78" spans="1:84" s="6" customFormat="1" ht="11.25" x14ac:dyDescent="0.2">
      <c r="A78" s="11">
        <v>43164</v>
      </c>
      <c r="B78" s="380">
        <f>'2023'!Maxi_hp</f>
        <v>37.277702445333496</v>
      </c>
      <c r="C78" s="13">
        <f>'2023'!An_max</f>
        <v>2019</v>
      </c>
      <c r="D78" s="1059">
        <f t="shared" si="7"/>
        <v>0.98896636154769302</v>
      </c>
      <c r="E78" s="1054">
        <f>R$13/10</f>
        <v>37.693599999999996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51">
        <f t="shared" si="9"/>
        <v>1</v>
      </c>
      <c r="J78" s="744">
        <f t="shared" si="27"/>
        <v>37.693599999696019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2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51">
        <f t="shared" si="14"/>
        <v>1</v>
      </c>
      <c r="AT78" s="767">
        <f t="shared" si="15"/>
        <v>37.693600001186134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51">
        <f t="shared" si="19"/>
        <v>0.5</v>
      </c>
      <c r="AY78" s="767">
        <f t="shared" si="20"/>
        <v>37.865050000138581</v>
      </c>
      <c r="AZ78" s="744">
        <f t="shared" si="26"/>
        <v>37.779325000662354</v>
      </c>
      <c r="BA78" s="642">
        <f t="shared" si="21"/>
        <v>0.98896636154769302</v>
      </c>
      <c r="BC78" s="11">
        <v>43164</v>
      </c>
      <c r="BD78" s="290">
        <f>[2]!FeuilCaduc*(1-Persistant)+Persistant</f>
        <v>0.60335856466298265</v>
      </c>
      <c r="BE78" s="291">
        <f>[2]!CroissVégét</f>
        <v>1.6868794263800321E-2</v>
      </c>
      <c r="BF78" s="814">
        <f>1+[2]!Salcycl*Ksac</f>
        <v>1.0004198205828729</v>
      </c>
      <c r="BH78" s="1050">
        <f t="shared" si="22"/>
        <v>5.5466385919125082E-2</v>
      </c>
      <c r="BI78" s="11">
        <v>44260</v>
      </c>
      <c r="BJ78" s="724">
        <v>2.090235597359356E-6</v>
      </c>
      <c r="BK78" s="724">
        <v>2.0902355973593565E-6</v>
      </c>
      <c r="BL78" s="724">
        <v>2.0902355973593565E-6</v>
      </c>
      <c r="BM78" s="724">
        <v>1.7657952158410732E-4</v>
      </c>
      <c r="BN78" s="724">
        <v>9.6897068931771427E-3</v>
      </c>
      <c r="BO78" s="725">
        <v>5.5466385919125082E-2</v>
      </c>
      <c r="BP78" s="724">
        <v>0.14562097645511632</v>
      </c>
      <c r="BQ78" s="724">
        <v>0.25947836356488768</v>
      </c>
      <c r="BR78" s="724">
        <v>0.36338189431321927</v>
      </c>
      <c r="BS78" s="724">
        <v>0.46183784966587943</v>
      </c>
      <c r="BT78" s="724">
        <v>0.5663571957595116</v>
      </c>
      <c r="BW78" s="1190">
        <f>'2018'!R\Max</f>
        <v>0</v>
      </c>
      <c r="BX78" s="1188">
        <f>'2019'!R\Max</f>
        <v>0.98896636154769302</v>
      </c>
      <c r="BY78" s="1188">
        <f>'2020'!R\Max</f>
        <v>0.25095941651371839</v>
      </c>
      <c r="BZ78" s="1188">
        <f>'2021'!R\Max</f>
        <v>0.89176142624647559</v>
      </c>
      <c r="CA78" s="1188">
        <f>'2022'!R\Max</f>
        <v>0.39997016512401351</v>
      </c>
      <c r="CB78" s="1188">
        <f>'2023'!R\Max</f>
        <v>0.39783075922687827</v>
      </c>
      <c r="CC78" s="1188">
        <f>'2024'!R\Max</f>
        <v>0.39549062299251242</v>
      </c>
      <c r="CD78" s="1188">
        <f>'2025'!R\Max</f>
        <v>0.39277800279292224</v>
      </c>
      <c r="CE78" s="1188">
        <f>'2026'!R\Max</f>
        <v>0.39022163453776632</v>
      </c>
      <c r="CF78" s="1189">
        <f>'2027'!R\Max</f>
        <v>0.38773759992879825</v>
      </c>
    </row>
    <row r="79" spans="1:84" s="6" customFormat="1" ht="11.25" x14ac:dyDescent="0.2">
      <c r="A79" s="11">
        <v>43165</v>
      </c>
      <c r="B79" s="380">
        <f>'2023'!Maxi_hp</f>
        <v>22.684826096802258</v>
      </c>
      <c r="C79" s="13">
        <f>'2023'!An_max</f>
        <v>2019</v>
      </c>
      <c r="D79" s="1059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51">
        <f t="shared" ref="I79:I142" si="62">($A79-H79)/(INDEX(x.2m,G79)-H79)</f>
        <v>0.9285714285714286</v>
      </c>
      <c r="J79" s="744">
        <f t="shared" ref="J79:J142" si="63">((1-I79)*(INDEX(a.m,F79)*$A79*$A79+INDEX(b.m,F79)*$A79+INDEX(c.m,F79))+I79*(INDEX(a.m,G79)*$A79*$A79+INDEX(b.m,G79)*$A79+INDEX(c.m,G79)))/10</f>
        <v>38.132509037439846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2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51">
        <f t="shared" ref="AS79:AS142" si="67">($A79-AR79)/(INDEX(x.2lg,AQ79)-AR79)</f>
        <v>0.9642857142857143</v>
      </c>
      <c r="AT79" s="767">
        <f t="shared" ref="AT79:AT142" si="68">((1-AS79)*(INDEX(a.lg,AP79)*$A79*$A79+INDEX(b.lg,AP79)*$A79+INDEX(c.lg,AP79))+AS79*(INDEX(a.lg,AQ79)*$A79*$A79+INDEX(b.lg,AQ79)*$A79+INDEX(c.lg,AQ79)))/10</f>
        <v>38.112301968330783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51">
        <f t="shared" ref="AX79:AX142" si="72">($A79-AW79)/(INDEX(x.2ld,AV79)-AW79)</f>
        <v>0.5357142857142857</v>
      </c>
      <c r="AY79" s="767">
        <f t="shared" ref="AY79:AY142" si="73">((1-AX79)*(INDEX(a.ld,AU79)*$A79*$A79+INDEX(b.ld,AU79)*$A79+INDEX(c.ld,AU79))+AX79*(INDEX(a.ld,AV79)*$A79*$A79+INDEX(b.ld,AV79)*$A79+INDEX(c.ld,AV79)))/10</f>
        <v>38.32056299219839</v>
      </c>
      <c r="AZ79" s="744">
        <f t="shared" si="26"/>
        <v>38.216432480264587</v>
      </c>
      <c r="BA79" s="642">
        <f t="shared" ref="BA79:BA142" si="74">+B79/J79</f>
        <v>0.59489466257070822</v>
      </c>
      <c r="BC79" s="11">
        <v>43165</v>
      </c>
      <c r="BD79" s="290">
        <f>[2]!FeuilCaduc*(1-Persistant)+Persistant</f>
        <v>0.60346974009977061</v>
      </c>
      <c r="BE79" s="291">
        <f>[2]!CroissVégét</f>
        <v>1.7620347483596571E-2</v>
      </c>
      <c r="BF79" s="814">
        <f>1+[2]!Salcycl*Ksac</f>
        <v>1.0004337175124713</v>
      </c>
      <c r="BH79" s="1050">
        <f t="shared" ref="BH79:BH142" si="75">INDEX($BJ79:$BT79,,$BH$10)*(1-Ratini)+INDEX($BJ79:$BT79,,$BH$10+1)*Ratini</f>
        <v>5.5548289775320753E-2</v>
      </c>
      <c r="BI79" s="11">
        <v>44261</v>
      </c>
      <c r="BJ79" s="724">
        <v>2.1686463203417746E-6</v>
      </c>
      <c r="BK79" s="724">
        <v>2.1686463203417742E-6</v>
      </c>
      <c r="BL79" s="724">
        <v>2.1686463203417742E-6</v>
      </c>
      <c r="BM79" s="724">
        <v>1.723929451557017E-4</v>
      </c>
      <c r="BN79" s="724">
        <v>9.4937683764123454E-3</v>
      </c>
      <c r="BO79" s="725">
        <v>5.5548289775320753E-2</v>
      </c>
      <c r="BP79" s="724">
        <v>0.14756726453381452</v>
      </c>
      <c r="BQ79" s="724">
        <v>0.26470709542339382</v>
      </c>
      <c r="BR79" s="724">
        <v>0.37136476232948495</v>
      </c>
      <c r="BS79" s="724">
        <v>0.4690182311581983</v>
      </c>
      <c r="BT79" s="724">
        <v>0.5695301723044478</v>
      </c>
      <c r="BW79" s="1190">
        <f>'2018'!R\Max</f>
        <v>0</v>
      </c>
      <c r="BX79" s="1188">
        <f>'2019'!R\Max</f>
        <v>0.59489466257070822</v>
      </c>
      <c r="BY79" s="1188">
        <f>'2020'!R\Max</f>
        <v>0.28408356534843116</v>
      </c>
      <c r="BZ79" s="1188">
        <f>'2021'!R\Max</f>
        <v>0.31261587430202314</v>
      </c>
      <c r="CA79" s="1188">
        <f>'2022'!R\Max</f>
        <v>0.45596167528773146</v>
      </c>
      <c r="CB79" s="1188">
        <f>'2023'!R\Max</f>
        <v>0.45372904857640811</v>
      </c>
      <c r="CC79" s="1188">
        <f>'2024'!R\Max</f>
        <v>0.45127597000022618</v>
      </c>
      <c r="CD79" s="1188">
        <f>'2025'!R\Max</f>
        <v>0.44841595887863717</v>
      </c>
      <c r="CE79" s="1188">
        <f>'2026'!R\Max</f>
        <v>0.44572144516819556</v>
      </c>
      <c r="CF79" s="1189">
        <f>'2027'!R\Max</f>
        <v>0.44310326145031548</v>
      </c>
    </row>
    <row r="80" spans="1:84" s="6" customFormat="1" ht="11.25" x14ac:dyDescent="0.2">
      <c r="A80" s="11">
        <v>43166</v>
      </c>
      <c r="B80" s="380">
        <f>'2023'!Maxi_hp</f>
        <v>37.005534165316867</v>
      </c>
      <c r="C80" s="13">
        <f>'2023'!An_max</f>
        <v>2022</v>
      </c>
      <c r="D80" s="1059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51">
        <f t="shared" si="62"/>
        <v>0.8571428571428571</v>
      </c>
      <c r="J80" s="744">
        <f t="shared" si="63"/>
        <v>38.577786588828481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2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51">
        <f t="shared" si="67"/>
        <v>0.9285714285714286</v>
      </c>
      <c r="AT80" s="767">
        <f t="shared" si="68"/>
        <v>38.540538192833111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51">
        <f t="shared" si="72"/>
        <v>0.5714285714285714</v>
      </c>
      <c r="AY80" s="767">
        <f t="shared" si="73"/>
        <v>38.776839649783717</v>
      </c>
      <c r="AZ80" s="744">
        <f t="shared" ref="AZ80:AZ143" si="77">(AY80+AT80)/2</f>
        <v>38.658688921308411</v>
      </c>
      <c r="BA80" s="642">
        <f t="shared" si="74"/>
        <v>0.95924461814595363</v>
      </c>
      <c r="BC80" s="11">
        <v>43166</v>
      </c>
      <c r="BD80" s="290">
        <f>[2]!FeuilCaduc*(1-Persistant)+Persistant</f>
        <v>0.60358672126890556</v>
      </c>
      <c r="BE80" s="291">
        <f>[2]!CroissVégét</f>
        <v>1.8402208892467707E-2</v>
      </c>
      <c r="BF80" s="814">
        <f>1+[2]!Salcycl*Ksac</f>
        <v>1.0004483401586133</v>
      </c>
      <c r="BH80" s="1050">
        <f t="shared" si="75"/>
        <v>5.5480699924390593E-2</v>
      </c>
      <c r="BI80" s="11">
        <v>44262</v>
      </c>
      <c r="BJ80" s="724">
        <v>2.2905366493744951E-6</v>
      </c>
      <c r="BK80" s="724">
        <v>2.2905366493744946E-6</v>
      </c>
      <c r="BL80" s="724">
        <v>2.2905366493744946E-6</v>
      </c>
      <c r="BM80" s="724">
        <v>1.6803233409178669E-4</v>
      </c>
      <c r="BN80" s="724">
        <v>9.2775223401086286E-3</v>
      </c>
      <c r="BO80" s="725">
        <v>5.5480699924390593E-2</v>
      </c>
      <c r="BP80" s="724">
        <v>0.14926017581816001</v>
      </c>
      <c r="BQ80" s="724">
        <v>0.26975899650098278</v>
      </c>
      <c r="BR80" s="724">
        <v>0.37962438473277943</v>
      </c>
      <c r="BS80" s="724">
        <v>0.4768902620413738</v>
      </c>
      <c r="BT80" s="724">
        <v>0.57363557553606803</v>
      </c>
      <c r="BW80" s="1190">
        <f>'2018'!R\Max</f>
        <v>0</v>
      </c>
      <c r="BX80" s="1188">
        <f>'2019'!R\Max</f>
        <v>0.95379312549040418</v>
      </c>
      <c r="BY80" s="1188">
        <f>'2020'!R\Max</f>
        <v>0.56542229832000268</v>
      </c>
      <c r="BZ80" s="1188">
        <f>'2021'!R\Max</f>
        <v>0.28773467015547866</v>
      </c>
      <c r="CA80" s="1188">
        <f>'2022'!R\Max</f>
        <v>0.95924461814595363</v>
      </c>
      <c r="CB80" s="1188">
        <f>'2023'!R\Max</f>
        <v>0.95888846400004102</v>
      </c>
      <c r="CC80" s="1188">
        <f>'2024'!R\Max</f>
        <v>0.95849175429211442</v>
      </c>
      <c r="CD80" s="1188">
        <f>'2025'!R\Max</f>
        <v>0.95802158125494785</v>
      </c>
      <c r="CE80" s="1188">
        <f>'2026'!R\Max</f>
        <v>0.95757302805621991</v>
      </c>
      <c r="CF80" s="1189">
        <f>'2027'!R\Max</f>
        <v>0.95713226870823898</v>
      </c>
    </row>
    <row r="81" spans="1:84" s="6" customFormat="1" ht="11.25" x14ac:dyDescent="0.2">
      <c r="A81" s="11">
        <v>43167</v>
      </c>
      <c r="B81" s="380">
        <f>'2023'!Maxi_hp</f>
        <v>28.631009499082833</v>
      </c>
      <c r="C81" s="13">
        <f>'2023'!An_max</f>
        <v>2022</v>
      </c>
      <c r="D81" s="1059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51">
        <f t="shared" si="62"/>
        <v>0.7857142857142857</v>
      </c>
      <c r="J81" s="744">
        <f t="shared" si="63"/>
        <v>39.028544022794811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2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51">
        <f t="shared" si="67"/>
        <v>0.8928571428571429</v>
      </c>
      <c r="AT81" s="767">
        <f t="shared" si="68"/>
        <v>38.977475583952454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51">
        <f t="shared" si="72"/>
        <v>0.6071428571428571</v>
      </c>
      <c r="AY81" s="767">
        <f t="shared" si="73"/>
        <v>39.233282926246261</v>
      </c>
      <c r="AZ81" s="744">
        <f t="shared" si="77"/>
        <v>39.105379255099358</v>
      </c>
      <c r="BA81" s="642">
        <f t="shared" si="74"/>
        <v>0.73359153450256176</v>
      </c>
      <c r="BC81" s="11">
        <v>43167</v>
      </c>
      <c r="BD81" s="290">
        <f>[2]!FeuilCaduc*(1-Persistant)+Persistant</f>
        <v>0.6037112182714589</v>
      </c>
      <c r="BE81" s="291">
        <f>[2]!CroissVégét</f>
        <v>1.9215548548887868E-2</v>
      </c>
      <c r="BF81" s="814">
        <f>1+[2]!Salcycl*Ksac</f>
        <v>1.0004639022839323</v>
      </c>
      <c r="BH81" s="1050">
        <f t="shared" si="75"/>
        <v>5.5296804806694966E-2</v>
      </c>
      <c r="BI81" s="11">
        <v>44263</v>
      </c>
      <c r="BJ81" s="724">
        <v>2.4440387705567374E-6</v>
      </c>
      <c r="BK81" s="724">
        <v>2.444038770556737E-6</v>
      </c>
      <c r="BL81" s="724">
        <v>2.444038770556737E-6</v>
      </c>
      <c r="BM81" s="724">
        <v>1.6367067633377464E-4</v>
      </c>
      <c r="BN81" s="724">
        <v>9.0621333613504704E-3</v>
      </c>
      <c r="BO81" s="725">
        <v>5.5296804806694966E-2</v>
      </c>
      <c r="BP81" s="724">
        <v>0.15072423047981096</v>
      </c>
      <c r="BQ81" s="724">
        <v>0.27460708535141831</v>
      </c>
      <c r="BR81" s="724">
        <v>0.38794595449709829</v>
      </c>
      <c r="BS81" s="724">
        <v>0.48527725571788133</v>
      </c>
      <c r="BT81" s="724">
        <v>0.57876230463315714</v>
      </c>
      <c r="BW81" s="1190">
        <f>'2018'!R\Max</f>
        <v>0</v>
      </c>
      <c r="BX81" s="1188">
        <f>'2019'!R\Max</f>
        <v>0.55472979503109754</v>
      </c>
      <c r="BY81" s="1188">
        <f>'2020'!R\Max</f>
        <v>0.6699251059028678</v>
      </c>
      <c r="BZ81" s="1188">
        <f>'2021'!R\Max</f>
        <v>0.69027263186487486</v>
      </c>
      <c r="CA81" s="1188">
        <f>'2022'!R\Max</f>
        <v>0.73359153450256176</v>
      </c>
      <c r="CB81" s="1188">
        <f>'2023'!R\Max</f>
        <v>0.7318039942022535</v>
      </c>
      <c r="CC81" s="1188">
        <f>'2024'!R\Max</f>
        <v>0.72981255586915994</v>
      </c>
      <c r="CD81" s="1188">
        <f>'2025'!R\Max</f>
        <v>0.72745001660273945</v>
      </c>
      <c r="CE81" s="1188">
        <f>'2026'!R\Max</f>
        <v>0.72520261016132181</v>
      </c>
      <c r="CF81" s="1189">
        <f>'2027'!R\Max</f>
        <v>0.72300362277313823</v>
      </c>
    </row>
    <row r="82" spans="1:84" s="6" customFormat="1" ht="11.25" x14ac:dyDescent="0.2">
      <c r="A82" s="11">
        <v>43168</v>
      </c>
      <c r="B82" s="380">
        <f>'2023'!Maxi_hp</f>
        <v>38.36219098507231</v>
      </c>
      <c r="C82" s="13">
        <f>'2023'!An_max</f>
        <v>2021</v>
      </c>
      <c r="D82" s="1059">
        <f t="shared" si="59"/>
        <v>0.97159090330257925</v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51">
        <f t="shared" si="62"/>
        <v>0.7142857142857143</v>
      </c>
      <c r="J82" s="744">
        <f t="shared" si="63"/>
        <v>39.483892711092317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2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51">
        <f t="shared" si="67"/>
        <v>0.8571428571428571</v>
      </c>
      <c r="AT82" s="767">
        <f t="shared" si="68"/>
        <v>39.422281050362763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51">
        <f t="shared" si="72"/>
        <v>0.6428571428571429</v>
      </c>
      <c r="AY82" s="767">
        <f t="shared" si="73"/>
        <v>39.689295772675962</v>
      </c>
      <c r="AZ82" s="744">
        <f t="shared" si="77"/>
        <v>39.555788411519359</v>
      </c>
      <c r="BA82" s="642">
        <f t="shared" si="74"/>
        <v>0.97159090330257925</v>
      </c>
      <c r="BC82" s="11">
        <v>43168</v>
      </c>
      <c r="BD82" s="290">
        <f>[2]!FeuilCaduc*(1-Persistant)+Persistant</f>
        <v>0.60384508628411104</v>
      </c>
      <c r="BE82" s="291">
        <f>[2]!CroissVégét</f>
        <v>2.0061577312061717E-2</v>
      </c>
      <c r="BF82" s="814">
        <f>1+[2]!Salcycl*Ksac</f>
        <v>1.0004806357855138</v>
      </c>
      <c r="BH82" s="1050">
        <f t="shared" si="75"/>
        <v>5.4996583853063323E-2</v>
      </c>
      <c r="BI82" s="11">
        <v>44264</v>
      </c>
      <c r="BJ82" s="724">
        <v>2.629151285911324E-6</v>
      </c>
      <c r="BK82" s="724">
        <v>2.629151285911324E-6</v>
      </c>
      <c r="BL82" s="724">
        <v>2.629151285911324E-6</v>
      </c>
      <c r="BM82" s="724">
        <v>1.5930793344539156E-4</v>
      </c>
      <c r="BN82" s="724">
        <v>8.8475991878423556E-3</v>
      </c>
      <c r="BO82" s="725">
        <v>5.4996583853063323E-2</v>
      </c>
      <c r="BP82" s="724">
        <v>0.15195936328046758</v>
      </c>
      <c r="BQ82" s="724">
        <v>0.27925123397617274</v>
      </c>
      <c r="BR82" s="724">
        <v>0.39632928647672827</v>
      </c>
      <c r="BS82" s="724">
        <v>0.49417899478293242</v>
      </c>
      <c r="BT82" s="724">
        <v>0.58491012869858927</v>
      </c>
      <c r="BW82" s="1190">
        <f>'2018'!R\Max</f>
        <v>0</v>
      </c>
      <c r="BX82" s="1188">
        <f>'2019'!R\Max</f>
        <v>0.51564704354696689</v>
      </c>
      <c r="BY82" s="1188">
        <f>'2020'!R\Max</f>
        <v>0.72920096759121145</v>
      </c>
      <c r="BZ82" s="1188">
        <f>'2021'!R\Max</f>
        <v>0.97159090330257925</v>
      </c>
      <c r="CA82" s="1188">
        <f>'2022'!R\Max</f>
        <v>0.75692105194310477</v>
      </c>
      <c r="CB82" s="1188">
        <f>'2023'!R\Max</f>
        <v>0.75523004854866438</v>
      </c>
      <c r="CC82" s="1188">
        <f>'2024'!R\Max</f>
        <v>0.75333598190740869</v>
      </c>
      <c r="CD82" s="1188">
        <f>'2025'!R\Max</f>
        <v>0.75107325656604451</v>
      </c>
      <c r="CE82" s="1188">
        <f>'2026'!R\Max</f>
        <v>0.74891172876666912</v>
      </c>
      <c r="CF82" s="1189">
        <f>'2027'!R\Max</f>
        <v>0.74679247551924099</v>
      </c>
    </row>
    <row r="83" spans="1:84" s="6" customFormat="1" ht="11.25" x14ac:dyDescent="0.2">
      <c r="A83" s="11">
        <v>43169</v>
      </c>
      <c r="B83" s="380">
        <f>'2023'!Maxi_hp</f>
        <v>38.414933458593104</v>
      </c>
      <c r="C83" s="13">
        <f>'2023'!An_max</f>
        <v>2021</v>
      </c>
      <c r="D83" s="1059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51">
        <f t="shared" si="62"/>
        <v>0.6428571428571429</v>
      </c>
      <c r="J83" s="744">
        <f t="shared" si="63"/>
        <v>39.942944022986502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2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51">
        <f t="shared" si="67"/>
        <v>0.8214285714285714</v>
      </c>
      <c r="AT83" s="767">
        <f t="shared" si="68"/>
        <v>39.874121502028508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51">
        <f t="shared" si="72"/>
        <v>0.6785714285714286</v>
      </c>
      <c r="AY83" s="767">
        <f t="shared" si="73"/>
        <v>40.14428114082132</v>
      </c>
      <c r="AZ83" s="744">
        <f t="shared" si="77"/>
        <v>40.009201321424911</v>
      </c>
      <c r="BA83" s="642">
        <f t="shared" si="74"/>
        <v>0.96174516922152631</v>
      </c>
      <c r="BC83" s="11">
        <v>43169</v>
      </c>
      <c r="BD83" s="290">
        <f>[2]!FeuilCaduc*(1-Persistant)+Persistant</f>
        <v>0.60399032006389874</v>
      </c>
      <c r="BE83" s="291">
        <f>[2]!CroissVégét</f>
        <v>2.0941547894735235E-2</v>
      </c>
      <c r="BF83" s="814">
        <f>1+[2]!Salcycl*Ksac</f>
        <v>1.0004987900079874</v>
      </c>
      <c r="BH83" s="1050">
        <f t="shared" si="75"/>
        <v>5.4580018203386226E-2</v>
      </c>
      <c r="BI83" s="11">
        <v>44265</v>
      </c>
      <c r="BJ83" s="724">
        <v>2.8458721795420491E-6</v>
      </c>
      <c r="BK83" s="724">
        <v>2.8458721795420491E-6</v>
      </c>
      <c r="BL83" s="724">
        <v>2.8458721795420491E-6</v>
      </c>
      <c r="BM83" s="724">
        <v>1.5494407345496928E-4</v>
      </c>
      <c r="BN83" s="724">
        <v>8.6339178752806913E-3</v>
      </c>
      <c r="BO83" s="725">
        <v>5.4580018203386226E-2</v>
      </c>
      <c r="BP83" s="724">
        <v>0.152965509642537</v>
      </c>
      <c r="BQ83" s="724">
        <v>0.28369130971906054</v>
      </c>
      <c r="BR83" s="724">
        <v>0.40477418244220625</v>
      </c>
      <c r="BS83" s="724">
        <v>0.50359524305016012</v>
      </c>
      <c r="BT83" s="724">
        <v>0.5920787966173201</v>
      </c>
      <c r="BW83" s="1190">
        <f>'2018'!R\Max</f>
        <v>0</v>
      </c>
      <c r="BX83" s="1188">
        <f>'2019'!R\Max</f>
        <v>0.35629460820520636</v>
      </c>
      <c r="BY83" s="1188">
        <f>'2020'!R\Max</f>
        <v>0.6349395995453595</v>
      </c>
      <c r="BZ83" s="1188">
        <f>'2021'!R\Max</f>
        <v>0.96174516922152631</v>
      </c>
      <c r="CA83" s="1188">
        <f>'2022'!R\Max</f>
        <v>0.59355586409659511</v>
      </c>
      <c r="CB83" s="1188">
        <f>'2023'!R\Max</f>
        <v>0.59133473864051678</v>
      </c>
      <c r="CC83" s="1188">
        <f>'2024'!R\Max</f>
        <v>0.5888415241209024</v>
      </c>
      <c r="CD83" s="1188">
        <f>'2025'!R\Max</f>
        <v>0.58585361458054064</v>
      </c>
      <c r="CE83" s="1188">
        <f>'2026'!R\Max</f>
        <v>0.58299695503831395</v>
      </c>
      <c r="CF83" s="1189">
        <f>'2027'!R\Max</f>
        <v>0.58020112482313779</v>
      </c>
    </row>
    <row r="84" spans="1:84" s="6" customFormat="1" ht="11.25" x14ac:dyDescent="0.2">
      <c r="A84" s="11">
        <v>43170</v>
      </c>
      <c r="B84" s="380">
        <f>'2023'!Maxi_hp</f>
        <v>32.677588662609999</v>
      </c>
      <c r="C84" s="13">
        <f>'2023'!An_max</f>
        <v>2020</v>
      </c>
      <c r="D84" s="1059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51">
        <f t="shared" si="62"/>
        <v>0.5714285714285714</v>
      </c>
      <c r="J84" s="744">
        <f t="shared" si="63"/>
        <v>40.404809328993522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2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51">
        <f t="shared" si="67"/>
        <v>0.7857142857142857</v>
      </c>
      <c r="AT84" s="767">
        <f t="shared" si="68"/>
        <v>40.332163848860986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51">
        <f t="shared" si="72"/>
        <v>0.7142857142857143</v>
      </c>
      <c r="AY84" s="767">
        <f t="shared" si="73"/>
        <v>40.597641982324419</v>
      </c>
      <c r="AZ84" s="744">
        <f t="shared" si="77"/>
        <v>40.464902915592702</v>
      </c>
      <c r="BA84" s="642">
        <f t="shared" si="74"/>
        <v>0.80875492807143001</v>
      </c>
      <c r="BC84" s="11">
        <v>43170</v>
      </c>
      <c r="BD84" s="290">
        <f>[2]!FeuilCaduc*(1-Persistant)+Persistant</f>
        <v>0.60414904766919597</v>
      </c>
      <c r="BE84" s="291">
        <f>[2]!CroissVégét</f>
        <v>2.1856755910064932E-2</v>
      </c>
      <c r="BF84" s="814">
        <f>1+[2]!Salcycl*Ksac</f>
        <v>1.0005186309586496</v>
      </c>
      <c r="BH84" s="1050">
        <f t="shared" si="75"/>
        <v>5.4047091136376457E-2</v>
      </c>
      <c r="BI84" s="11">
        <v>44266</v>
      </c>
      <c r="BJ84" s="724">
        <v>3.0941987006709139E-6</v>
      </c>
      <c r="BK84" s="724">
        <v>3.0941987006709139E-6</v>
      </c>
      <c r="BL84" s="724">
        <v>3.0941987006709139E-6</v>
      </c>
      <c r="BM84" s="724">
        <v>1.5057907085769303E-4</v>
      </c>
      <c r="BN84" s="724">
        <v>8.4210877840941063E-3</v>
      </c>
      <c r="BO84" s="725">
        <v>5.4047091136376457E-2</v>
      </c>
      <c r="BP84" s="724">
        <v>0.15374260649447166</v>
      </c>
      <c r="BQ84" s="724">
        <v>0.287927176017931</v>
      </c>
      <c r="BR84" s="724">
        <v>0.41328043084795008</v>
      </c>
      <c r="BS84" s="724">
        <v>0.51352574364247028</v>
      </c>
      <c r="BT84" s="724">
        <v>0.60026803327301792</v>
      </c>
      <c r="BW84" s="1190">
        <f>'2018'!R\Max</f>
        <v>0</v>
      </c>
      <c r="BX84" s="1188">
        <f>'2019'!R\Max</f>
        <v>0.65902750067901938</v>
      </c>
      <c r="BY84" s="1188">
        <f>'2020'!R\Max</f>
        <v>0.80875492807143001</v>
      </c>
      <c r="BZ84" s="1188">
        <f>'2021'!R\Max</f>
        <v>0.73814765130860394</v>
      </c>
      <c r="CA84" s="1188">
        <f>'2022'!R\Max</f>
        <v>0.38270679945474728</v>
      </c>
      <c r="CB84" s="1188">
        <f>'2023'!R\Max</f>
        <v>0.38053162585013423</v>
      </c>
      <c r="CC84" s="1188">
        <f>'2024'!R\Max</f>
        <v>0.37808604048115441</v>
      </c>
      <c r="CD84" s="1188">
        <f>'2025'!R\Max</f>
        <v>0.37514811524554237</v>
      </c>
      <c r="CE84" s="1188">
        <f>'2026'!R\Max</f>
        <v>0.37233747337358974</v>
      </c>
      <c r="CF84" s="1189">
        <f>'2027'!R\Max</f>
        <v>0.36959351698134318</v>
      </c>
    </row>
    <row r="85" spans="1:84" s="6" customFormat="1" ht="11.25" x14ac:dyDescent="0.2">
      <c r="A85" s="11">
        <v>43171</v>
      </c>
      <c r="B85" s="380">
        <f>'2023'!Maxi_hp</f>
        <v>39.534128612030948</v>
      </c>
      <c r="C85" s="13">
        <f>'2023'!An_max</f>
        <v>2020</v>
      </c>
      <c r="D85" s="1059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51">
        <f t="shared" si="62"/>
        <v>0.5</v>
      </c>
      <c r="J85" s="744">
        <f t="shared" si="63"/>
        <v>40.868599999602885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2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51">
        <f t="shared" si="67"/>
        <v>0.75</v>
      </c>
      <c r="AT85" s="767">
        <f t="shared" si="68"/>
        <v>40.795575000438838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51">
        <f t="shared" si="72"/>
        <v>0.75</v>
      </c>
      <c r="AY85" s="767">
        <f t="shared" si="73"/>
        <v>41.048781250277536</v>
      </c>
      <c r="AZ85" s="744">
        <f t="shared" si="77"/>
        <v>40.922178125358187</v>
      </c>
      <c r="BA85" s="642">
        <f t="shared" si="74"/>
        <v>0.96734726935630522</v>
      </c>
      <c r="BC85" s="11">
        <v>43171</v>
      </c>
      <c r="BD85" s="290">
        <f>[2]!FeuilCaduc*(1-Persistant)+Persistant</f>
        <v>0.60432352346937124</v>
      </c>
      <c r="BE85" s="291">
        <f>[2]!CroissVégét</f>
        <v>2.2808540908775418E-2</v>
      </c>
      <c r="BF85" s="814">
        <f>1+[2]!Salcycl*Ksac</f>
        <v>1.0005404404336715</v>
      </c>
      <c r="BH85" s="1050">
        <f t="shared" si="75"/>
        <v>5.3397788499588907E-2</v>
      </c>
      <c r="BI85" s="11">
        <v>44267</v>
      </c>
      <c r="BJ85" s="724">
        <v>3.3741272466866925E-6</v>
      </c>
      <c r="BK85" s="724">
        <v>3.374127246686693E-6</v>
      </c>
      <c r="BL85" s="724">
        <v>3.374127246686693E-6</v>
      </c>
      <c r="BM85" s="724">
        <v>1.4621290661861401E-4</v>
      </c>
      <c r="BN85" s="724">
        <v>8.2091075762261434E-3</v>
      </c>
      <c r="BO85" s="725">
        <v>5.3397788499588907E-2</v>
      </c>
      <c r="BP85" s="724">
        <v>0.15429059311681051</v>
      </c>
      <c r="BQ85" s="724">
        <v>0.29195869315764006</v>
      </c>
      <c r="BR85" s="724">
        <v>0.42184780660169657</v>
      </c>
      <c r="BS85" s="724">
        <v>0.5239702170851529</v>
      </c>
      <c r="BT85" s="724">
        <v>0.60947753576739616</v>
      </c>
      <c r="BW85" s="1190">
        <f>'2018'!R\Max</f>
        <v>0</v>
      </c>
      <c r="BX85" s="1188">
        <f>'2019'!R\Max</f>
        <v>0.82748381199466614</v>
      </c>
      <c r="BY85" s="1188">
        <f>'2020'!R\Max</f>
        <v>0.96734726935630522</v>
      </c>
      <c r="BZ85" s="1188">
        <f>'2021'!R\Max</f>
        <v>0.82428298741716821</v>
      </c>
      <c r="CA85" s="1188">
        <f>'2022'!R\Max</f>
        <v>0.39723122479703343</v>
      </c>
      <c r="CB85" s="1188">
        <f>'2023'!R\Max</f>
        <v>0.39502452317308862</v>
      </c>
      <c r="CC85" s="1188">
        <f>'2024'!R\Max</f>
        <v>0.3925274723715948</v>
      </c>
      <c r="CD85" s="1188">
        <f>'2025'!R\Max</f>
        <v>0.38950391707801463</v>
      </c>
      <c r="CE85" s="1188">
        <f>'2026'!R\Max</f>
        <v>0.38659097625566652</v>
      </c>
      <c r="CF85" s="1189">
        <f>'2027'!R\Max</f>
        <v>0.38373803425533592</v>
      </c>
    </row>
    <row r="86" spans="1:84" s="6" customFormat="1" ht="11.25" x14ac:dyDescent="0.2">
      <c r="A86" s="11">
        <v>43172</v>
      </c>
      <c r="B86" s="380">
        <f>'2023'!Maxi_hp</f>
        <v>38.291818478565958</v>
      </c>
      <c r="C86" s="13">
        <f>'2023'!An_max</f>
        <v>2021</v>
      </c>
      <c r="D86" s="1059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51">
        <f t="shared" si="62"/>
        <v>0.42857142857142855</v>
      </c>
      <c r="J86" s="744">
        <f t="shared" si="63"/>
        <v>41.333427404825173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2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51">
        <f t="shared" si="67"/>
        <v>0.7142857142857143</v>
      </c>
      <c r="AT86" s="767">
        <f t="shared" si="68"/>
        <v>41.263521866713248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51">
        <f t="shared" si="72"/>
        <v>0.7857142857142857</v>
      </c>
      <c r="AY86" s="767">
        <f t="shared" si="73"/>
        <v>41.497101895098709</v>
      </c>
      <c r="AZ86" s="744">
        <f t="shared" si="77"/>
        <v>41.380311880905978</v>
      </c>
      <c r="BA86" s="642">
        <f t="shared" si="74"/>
        <v>0.9264128547466125</v>
      </c>
      <c r="BC86" s="11">
        <v>43172</v>
      </c>
      <c r="BD86" s="290">
        <f>[2]!FeuilCaduc*(1-Persistant)+Persistant</f>
        <v>0.60451612051959969</v>
      </c>
      <c r="BE86" s="291">
        <f>[2]!CroissVégét</f>
        <v>2.3798287402466985E-2</v>
      </c>
      <c r="BF86" s="814">
        <f>1+[2]!Salcycl*Ksac</f>
        <v>1.00056451506495</v>
      </c>
      <c r="BH86" s="1050">
        <f t="shared" si="75"/>
        <v>5.262379279992848E-2</v>
      </c>
      <c r="BI86" s="11">
        <v>44268</v>
      </c>
      <c r="BJ86" s="724">
        <v>3.6636737150997456E-6</v>
      </c>
      <c r="BK86" s="724">
        <v>3.6636737150997451E-6</v>
      </c>
      <c r="BL86" s="724">
        <v>3.6636737150997451E-6</v>
      </c>
      <c r="BM86" s="724">
        <v>1.4195824466891211E-4</v>
      </c>
      <c r="BN86" s="724">
        <v>7.9875815441787981E-3</v>
      </c>
      <c r="BO86" s="725">
        <v>5.262379279992848E-2</v>
      </c>
      <c r="BP86" s="724">
        <v>0.15444237252112217</v>
      </c>
      <c r="BQ86" s="724">
        <v>0.29548539604103341</v>
      </c>
      <c r="BR86" s="724">
        <v>0.43012410455566391</v>
      </c>
      <c r="BS86" s="724">
        <v>0.53478876879392911</v>
      </c>
      <c r="BT86" s="724">
        <v>0.61986827926495303</v>
      </c>
      <c r="BW86" s="1190">
        <f>'2018'!R\Max</f>
        <v>0</v>
      </c>
      <c r="BX86" s="1188">
        <f>'2019'!R\Max</f>
        <v>0.6217030554689249</v>
      </c>
      <c r="BY86" s="1188">
        <f>'2020'!R\Max</f>
        <v>0.38591640322125625</v>
      </c>
      <c r="BZ86" s="1188">
        <f>'2021'!R\Max</f>
        <v>0.9264128547466125</v>
      </c>
      <c r="CA86" s="1188">
        <f>'2022'!R\Max</f>
        <v>0.28307194793269491</v>
      </c>
      <c r="CB86" s="1188">
        <f>'2023'!R\Max</f>
        <v>0.28125066474446497</v>
      </c>
      <c r="CC86" s="1188">
        <f>'2024'!R\Max</f>
        <v>0.27917956891082474</v>
      </c>
      <c r="CD86" s="1188">
        <f>'2025'!R\Max</f>
        <v>0.27665665719611265</v>
      </c>
      <c r="CE86" s="1188">
        <f>'2026'!R\Max</f>
        <v>0.27421271905278177</v>
      </c>
      <c r="CF86" s="1189">
        <f>'2027'!R\Max</f>
        <v>0.27181654258789273</v>
      </c>
    </row>
    <row r="87" spans="1:84" s="6" customFormat="1" ht="11.25" x14ac:dyDescent="0.2">
      <c r="A87" s="11">
        <v>43173</v>
      </c>
      <c r="B87" s="380">
        <f>'2023'!Maxi_hp</f>
        <v>37.562812339887081</v>
      </c>
      <c r="C87" s="13">
        <f>'2023'!An_max</f>
        <v>2020</v>
      </c>
      <c r="D87" s="1059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51">
        <f t="shared" si="62"/>
        <v>0.35714285714285715</v>
      </c>
      <c r="J87" s="744">
        <f t="shared" si="63"/>
        <v>41.798402915562363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2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51">
        <f t="shared" si="67"/>
        <v>0.6785714285714286</v>
      </c>
      <c r="AT87" s="767">
        <f t="shared" si="68"/>
        <v>41.735171355839285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51">
        <f t="shared" si="72"/>
        <v>0.8214285714285714</v>
      </c>
      <c r="AY87" s="767">
        <f t="shared" si="73"/>
        <v>41.942006869634085</v>
      </c>
      <c r="AZ87" s="744">
        <f t="shared" si="77"/>
        <v>41.838589112736685</v>
      </c>
      <c r="BA87" s="642">
        <f t="shared" si="74"/>
        <v>0.898666210184354</v>
      </c>
      <c r="BC87" s="11">
        <v>43173</v>
      </c>
      <c r="BD87" s="290">
        <f>[2]!FeuilCaduc*(1-Persistant)+Persistant</f>
        <v>0.60472932238026522</v>
      </c>
      <c r="BE87" s="291">
        <f>[2]!CroissVégét</f>
        <v>2.4827425868542252E-2</v>
      </c>
      <c r="BF87" s="814">
        <f>1+[2]!Salcycl*Ksac</f>
        <v>1.0005911652975332</v>
      </c>
      <c r="BH87" s="1050">
        <f t="shared" si="75"/>
        <v>5.1776668764934607E-2</v>
      </c>
      <c r="BI87" s="11">
        <v>44269</v>
      </c>
      <c r="BJ87" s="724">
        <v>3.9267503480239161E-6</v>
      </c>
      <c r="BK87" s="724">
        <v>3.926750348023917E-6</v>
      </c>
      <c r="BL87" s="724">
        <v>3.926750348023917E-6</v>
      </c>
      <c r="BM87" s="724">
        <v>1.3777226519995917E-4</v>
      </c>
      <c r="BN87" s="724">
        <v>7.7596162984041768E-3</v>
      </c>
      <c r="BO87" s="725">
        <v>5.1776668764934607E-2</v>
      </c>
      <c r="BP87" s="724">
        <v>0.15426912963325876</v>
      </c>
      <c r="BQ87" s="724">
        <v>0.29855555598036915</v>
      </c>
      <c r="BR87" s="724">
        <v>0.4379929955538599</v>
      </c>
      <c r="BS87" s="724">
        <v>0.54566400417264771</v>
      </c>
      <c r="BT87" s="724">
        <v>0.63089587175624018</v>
      </c>
      <c r="BW87" s="1190">
        <f>'2018'!R\Max</f>
        <v>0</v>
      </c>
      <c r="BX87" s="1188">
        <f>'2019'!R\Max</f>
        <v>0.55521309965167787</v>
      </c>
      <c r="BY87" s="1188">
        <f>'2020'!R\Max</f>
        <v>0.898666210184354</v>
      </c>
      <c r="BZ87" s="1188">
        <f>'2021'!R\Max</f>
        <v>0.68578407602681979</v>
      </c>
      <c r="CA87" s="1188">
        <f>'2022'!R\Max</f>
        <v>0.37336910389205907</v>
      </c>
      <c r="CB87" s="1188">
        <f>'2023'!R\Max</f>
        <v>0.37122641691941216</v>
      </c>
      <c r="CC87" s="1188">
        <f>'2024'!R\Max</f>
        <v>0.36876819584944048</v>
      </c>
      <c r="CD87" s="1188">
        <f>'2025'!R\Max</f>
        <v>0.36574222290517161</v>
      </c>
      <c r="CE87" s="1188">
        <f>'2026'!R\Max</f>
        <v>0.3627809145979608</v>
      </c>
      <c r="CF87" s="1189">
        <f>'2027'!R\Max</f>
        <v>0.35986163131412796</v>
      </c>
    </row>
    <row r="88" spans="1:84" s="6" customFormat="1" ht="11.25" x14ac:dyDescent="0.2">
      <c r="A88" s="11">
        <v>43174</v>
      </c>
      <c r="B88" s="380">
        <f>'2023'!Maxi_hp</f>
        <v>29.969159838266769</v>
      </c>
      <c r="C88" s="13">
        <f>'2023'!An_max</f>
        <v>2020</v>
      </c>
      <c r="D88" s="1059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51">
        <f t="shared" si="62"/>
        <v>0.2857142857142857</v>
      </c>
      <c r="J88" s="744">
        <f t="shared" si="63"/>
        <v>42.262637900986839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2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51">
        <f t="shared" si="67"/>
        <v>0.6428571428571429</v>
      </c>
      <c r="AT88" s="767">
        <f t="shared" si="68"/>
        <v>42.209690379271549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51">
        <f t="shared" si="72"/>
        <v>0.8571428571428571</v>
      </c>
      <c r="AY88" s="767">
        <f t="shared" si="73"/>
        <v>42.382899125612212</v>
      </c>
      <c r="AZ88" s="744">
        <f t="shared" si="77"/>
        <v>42.296294752441881</v>
      </c>
      <c r="BA88" s="642">
        <f t="shared" si="74"/>
        <v>0.70911711447067494</v>
      </c>
      <c r="BC88" s="11">
        <v>43174</v>
      </c>
      <c r="BD88" s="290">
        <f>[2]!FeuilCaduc*(1-Persistant)+Persistant</f>
        <v>0.60496571446227188</v>
      </c>
      <c r="BE88" s="291">
        <f>[2]!CroissVégét</f>
        <v>2.5897433731805454E-2</v>
      </c>
      <c r="BF88" s="814">
        <f>1+[2]!Salcycl*Ksac</f>
        <v>1.0006207143077839</v>
      </c>
      <c r="BH88" s="1050">
        <f t="shared" si="75"/>
        <v>5.0856410268980502E-2</v>
      </c>
      <c r="BI88" s="11">
        <v>44270</v>
      </c>
      <c r="BJ88" s="724">
        <v>4.1633537306605115E-6</v>
      </c>
      <c r="BK88" s="724">
        <v>4.1633537306605124E-6</v>
      </c>
      <c r="BL88" s="724">
        <v>4.1633537306605124E-6</v>
      </c>
      <c r="BM88" s="724">
        <v>1.3365496338229671E-4</v>
      </c>
      <c r="BN88" s="724">
        <v>7.5252119136203126E-3</v>
      </c>
      <c r="BO88" s="725">
        <v>5.0856410268980502E-2</v>
      </c>
      <c r="BP88" s="724">
        <v>0.15377082318006566</v>
      </c>
      <c r="BQ88" s="724">
        <v>0.30116904581970966</v>
      </c>
      <c r="BR88" s="724">
        <v>0.44545424242776366</v>
      </c>
      <c r="BS88" s="724">
        <v>0.55659559118814617</v>
      </c>
      <c r="BT88" s="724">
        <v>0.64255992319708854</v>
      </c>
      <c r="BW88" s="1190">
        <f>'2018'!R\Max</f>
        <v>0</v>
      </c>
      <c r="BX88" s="1188">
        <f>'2019'!R\Max</f>
        <v>0.29855317197941927</v>
      </c>
      <c r="BY88" s="1188">
        <f>'2020'!R\Max</f>
        <v>0.70911711447067494</v>
      </c>
      <c r="BZ88" s="1188">
        <f>'2021'!R\Max</f>
        <v>0.47571610373030848</v>
      </c>
      <c r="CA88" s="1188">
        <f>'2022'!R\Max</f>
        <v>0.37142179929832647</v>
      </c>
      <c r="CB88" s="1188">
        <f>'2023'!R\Max</f>
        <v>0.3692976540647826</v>
      </c>
      <c r="CC88" s="1188">
        <f>'2024'!R\Max</f>
        <v>0.36684124026440801</v>
      </c>
      <c r="CD88" s="1188">
        <f>'2025'!R\Max</f>
        <v>0.36378955328147472</v>
      </c>
      <c r="CE88" s="1188">
        <f>'2026'!R\Max</f>
        <v>0.36077685821117694</v>
      </c>
      <c r="CF88" s="1189">
        <f>'2027'!R\Max</f>
        <v>0.35779569495685504</v>
      </c>
    </row>
    <row r="89" spans="1:84" s="6" customFormat="1" ht="11.25" x14ac:dyDescent="0.2">
      <c r="A89" s="11">
        <v>43175</v>
      </c>
      <c r="B89" s="380">
        <f>'2023'!Maxi_hp</f>
        <v>42.898084527524084</v>
      </c>
      <c r="C89" s="13">
        <f>'2023'!An_max</f>
        <v>2020</v>
      </c>
      <c r="D89" s="1059">
        <f t="shared" si="59"/>
        <v>1.0040454022172012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51">
        <f t="shared" si="62"/>
        <v>0.21428571428571427</v>
      </c>
      <c r="J89" s="744">
        <f t="shared" si="63"/>
        <v>42.725243731800994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2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51">
        <f t="shared" si="67"/>
        <v>0.6071428571428571</v>
      </c>
      <c r="AT89" s="767">
        <f t="shared" si="68"/>
        <v>42.686245846375826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51">
        <f t="shared" si="72"/>
        <v>0.8928571428571429</v>
      </c>
      <c r="AY89" s="767">
        <f t="shared" si="73"/>
        <v>42.819181614535459</v>
      </c>
      <c r="AZ89" s="744">
        <f t="shared" si="77"/>
        <v>42.752713730455639</v>
      </c>
      <c r="BA89" s="642">
        <f t="shared" si="74"/>
        <v>1.0040454022172012</v>
      </c>
      <c r="BC89" s="11">
        <v>43175</v>
      </c>
      <c r="BD89" s="290">
        <f>[2]!FeuilCaduc*(1-Persistant)+Persistant</f>
        <v>0.60522797498038727</v>
      </c>
      <c r="BE89" s="291">
        <f>[2]!CroissVégét</f>
        <v>2.7009836317349309E-2</v>
      </c>
      <c r="BF89" s="814">
        <f>1+[2]!Salcycl*Ksac</f>
        <v>1.0006534968725485</v>
      </c>
      <c r="BH89" s="1050">
        <f t="shared" si="75"/>
        <v>4.9863014312188508E-2</v>
      </c>
      <c r="BI89" s="11">
        <v>44271</v>
      </c>
      <c r="BJ89" s="724">
        <v>4.3734807380300476E-6</v>
      </c>
      <c r="BK89" s="724">
        <v>4.3734807380300476E-6</v>
      </c>
      <c r="BL89" s="724">
        <v>4.3734807380300476E-6</v>
      </c>
      <c r="BM89" s="724">
        <v>1.2960633880300645E-4</v>
      </c>
      <c r="BN89" s="724">
        <v>7.2843689664405424E-3</v>
      </c>
      <c r="BO89" s="725">
        <v>4.9863014312188508E-2</v>
      </c>
      <c r="BP89" s="724">
        <v>0.15294742047284182</v>
      </c>
      <c r="BQ89" s="724">
        <v>0.30332574554649194</v>
      </c>
      <c r="BR89" s="724">
        <v>0.45250760677021279</v>
      </c>
      <c r="BS89" s="724">
        <v>0.56758318018798204</v>
      </c>
      <c r="BT89" s="724">
        <v>0.6548600107902004</v>
      </c>
      <c r="BW89" s="1190">
        <f>'2018'!R\Max</f>
        <v>0</v>
      </c>
      <c r="BX89" s="1188">
        <f>'2019'!R\Max</f>
        <v>0.97865115738229569</v>
      </c>
      <c r="BY89" s="1188">
        <f>'2020'!R\Max</f>
        <v>1.0040454022172012</v>
      </c>
      <c r="BZ89" s="1188">
        <f>'2021'!R\Max</f>
        <v>0.73515564846671078</v>
      </c>
      <c r="CA89" s="1188">
        <f>'2022'!R\Max</f>
        <v>0.33467862172870977</v>
      </c>
      <c r="CB89" s="1188">
        <f>'2023'!R\Max</f>
        <v>0.33267115178147177</v>
      </c>
      <c r="CC89" s="1188">
        <f>'2024'!R\Max</f>
        <v>0.33033121802868254</v>
      </c>
      <c r="CD89" s="1188">
        <f>'2025'!R\Max</f>
        <v>0.32739834967104003</v>
      </c>
      <c r="CE89" s="1188">
        <f>'2026'!R\Max</f>
        <v>0.32447898256613189</v>
      </c>
      <c r="CF89" s="1189">
        <f>'2027'!R\Max</f>
        <v>0.32158143237116799</v>
      </c>
    </row>
    <row r="90" spans="1:84" s="6" customFormat="1" ht="11.25" x14ac:dyDescent="0.2">
      <c r="A90" s="11">
        <v>43176</v>
      </c>
      <c r="B90" s="380">
        <f>'2023'!Maxi_hp</f>
        <v>25.162053403230466</v>
      </c>
      <c r="C90" s="13">
        <f>'2023'!An_max</f>
        <v>2021</v>
      </c>
      <c r="D90" s="1059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51">
        <f t="shared" si="62"/>
        <v>0.14285714285714285</v>
      </c>
      <c r="J90" s="744">
        <f t="shared" si="63"/>
        <v>43.18533177838794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2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51">
        <f t="shared" si="67"/>
        <v>0.5714285714285714</v>
      </c>
      <c r="AT90" s="767">
        <f t="shared" si="68"/>
        <v>43.164004665293859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51">
        <f t="shared" si="72"/>
        <v>0.9285714285714286</v>
      </c>
      <c r="AY90" s="767">
        <f t="shared" si="73"/>
        <v>43.250257288531529</v>
      </c>
      <c r="AZ90" s="744">
        <f t="shared" si="77"/>
        <v>43.207130976912694</v>
      </c>
      <c r="BA90" s="642">
        <f t="shared" si="74"/>
        <v>0.58265277507542024</v>
      </c>
      <c r="BC90" s="11">
        <v>43176</v>
      </c>
      <c r="BD90" s="290">
        <f>[2]!FeuilCaduc*(1-Persistant)+Persistant</f>
        <v>0.60551886559649126</v>
      </c>
      <c r="BE90" s="291">
        <f>[2]!CroissVégét</f>
        <v>2.8166207768877807E-2</v>
      </c>
      <c r="BF90" s="814">
        <f>1+[2]!Salcycl*Ksac</f>
        <v>1.0006898581995614</v>
      </c>
      <c r="BH90" s="1050">
        <f t="shared" si="75"/>
        <v>4.8796481290381166E-2</v>
      </c>
      <c r="BI90" s="11">
        <v>44272</v>
      </c>
      <c r="BJ90" s="724">
        <v>4.5571286328274195E-6</v>
      </c>
      <c r="BK90" s="724">
        <v>4.5571286328274204E-6</v>
      </c>
      <c r="BL90" s="724">
        <v>4.5571286328274204E-6</v>
      </c>
      <c r="BM90" s="724">
        <v>1.2562639521021258E-4</v>
      </c>
      <c r="BN90" s="724">
        <v>7.0370885591151183E-3</v>
      </c>
      <c r="BO90" s="725">
        <v>4.8796481290381166E-2</v>
      </c>
      <c r="BP90" s="724">
        <v>0.15179889860782919</v>
      </c>
      <c r="BQ90" s="724">
        <v>0.30502554397652354</v>
      </c>
      <c r="BR90" s="724">
        <v>0.45915285043651871</v>
      </c>
      <c r="BS90" s="724">
        <v>0.57862640368309415</v>
      </c>
      <c r="BT90" s="724">
        <v>0.66779567662043549</v>
      </c>
      <c r="BW90" s="1190">
        <f>'2018'!R\Max</f>
        <v>0</v>
      </c>
      <c r="BX90" s="1188">
        <f>'2019'!R\Max</f>
        <v>0.38284715751833037</v>
      </c>
      <c r="BY90" s="1188">
        <f>'2020'!R\Max</f>
        <v>0.22235693209713886</v>
      </c>
      <c r="BZ90" s="1188">
        <f>'2021'!R\Max</f>
        <v>0.58265277507542024</v>
      </c>
      <c r="CA90" s="1188">
        <f>'2022'!R\Max</f>
        <v>0.27369442218673928</v>
      </c>
      <c r="CB90" s="1188">
        <f>'2023'!R\Max</f>
        <v>0.27198652450712063</v>
      </c>
      <c r="CC90" s="1188">
        <f>'2024'!R\Max</f>
        <v>0.2699784823787339</v>
      </c>
      <c r="CD90" s="1188">
        <f>'2025'!R\Max</f>
        <v>0.26743780965573932</v>
      </c>
      <c r="CE90" s="1188">
        <f>'2026'!R\Max</f>
        <v>0.26488677650950754</v>
      </c>
      <c r="CF90" s="1189">
        <f>'2027'!R\Max</f>
        <v>0.26234673047702367</v>
      </c>
    </row>
    <row r="91" spans="1:84" s="6" customFormat="1" ht="11.25" x14ac:dyDescent="0.2">
      <c r="A91" s="11">
        <v>43177</v>
      </c>
      <c r="B91" s="380">
        <f>'2023'!Maxi_hp</f>
        <v>31.721839412381989</v>
      </c>
      <c r="C91" s="13">
        <f>'2023'!An_max</f>
        <v>2019</v>
      </c>
      <c r="D91" s="1059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51">
        <f t="shared" si="62"/>
        <v>7.1428571428571425E-2</v>
      </c>
      <c r="J91" s="744">
        <f t="shared" si="63"/>
        <v>43.642013411277105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2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51">
        <f t="shared" si="67"/>
        <v>0.5357142857142857</v>
      </c>
      <c r="AT91" s="767">
        <f t="shared" si="68"/>
        <v>43.642133746309469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51">
        <f t="shared" si="72"/>
        <v>0.9642857142857143</v>
      </c>
      <c r="AY91" s="767">
        <f t="shared" si="73"/>
        <v>43.675529099748069</v>
      </c>
      <c r="AZ91" s="744">
        <f t="shared" si="77"/>
        <v>43.658831423028772</v>
      </c>
      <c r="BA91" s="642">
        <f t="shared" si="74"/>
        <v>0.72686470977952311</v>
      </c>
      <c r="BC91" s="11">
        <v>43177</v>
      </c>
      <c r="BD91" s="290">
        <f>[2]!FeuilCaduc*(1-Persistant)+Persistant</f>
        <v>0.60584122183331646</v>
      </c>
      <c r="BE91" s="291">
        <f>[2]!CroissVégét</f>
        <v>2.9368171926128662E-2</v>
      </c>
      <c r="BF91" s="814">
        <f>1+[2]!Salcycl*Ksac</f>
        <v>1.0007301527291645</v>
      </c>
      <c r="BH91" s="1050">
        <f t="shared" si="75"/>
        <v>4.7656815264874607E-2</v>
      </c>
      <c r="BI91" s="11">
        <v>44273</v>
      </c>
      <c r="BJ91" s="724">
        <v>4.7142951632641221E-6</v>
      </c>
      <c r="BK91" s="724">
        <v>4.7142951632641221E-6</v>
      </c>
      <c r="BL91" s="724">
        <v>4.7142951632641221E-6</v>
      </c>
      <c r="BM91" s="724">
        <v>1.21715140257171E-4</v>
      </c>
      <c r="BN91" s="724">
        <v>6.7833723432495557E-3</v>
      </c>
      <c r="BO91" s="725">
        <v>4.7656815264874607E-2</v>
      </c>
      <c r="BP91" s="724">
        <v>0.15032524566622518</v>
      </c>
      <c r="BQ91" s="724">
        <v>0.30626834043804357</v>
      </c>
      <c r="BR91" s="724">
        <v>0.46538973704419712</v>
      </c>
      <c r="BS91" s="724">
        <v>0.58972487612873015</v>
      </c>
      <c r="BT91" s="724">
        <v>0.68136642528809577</v>
      </c>
      <c r="BW91" s="1190">
        <f>'2018'!R\Max</f>
        <v>0</v>
      </c>
      <c r="BX91" s="1188">
        <f>'2019'!R\Max</f>
        <v>0.72686470977952311</v>
      </c>
      <c r="BY91" s="1188">
        <f>'2020'!R\Max</f>
        <v>0.32355319527257231</v>
      </c>
      <c r="BZ91" s="1188">
        <f>'2021'!R\Max</f>
        <v>0.47105518114874856</v>
      </c>
      <c r="CA91" s="1188">
        <f>'2022'!R\Max</f>
        <v>0.36369736668299713</v>
      </c>
      <c r="CB91" s="1188">
        <f>'2023'!R\Max</f>
        <v>0.3616604778831875</v>
      </c>
      <c r="CC91" s="1188">
        <f>'2024'!R\Max</f>
        <v>0.35923840977792537</v>
      </c>
      <c r="CD91" s="1188">
        <f>'2025'!R\Max</f>
        <v>0.35613606753886212</v>
      </c>
      <c r="CE91" s="1188">
        <f>'2026'!R\Max</f>
        <v>0.35298437031548385</v>
      </c>
      <c r="CF91" s="1189">
        <f>'2027'!R\Max</f>
        <v>0.34982749316449974</v>
      </c>
    </row>
    <row r="92" spans="1:84" s="6" customFormat="1" ht="11.25" x14ac:dyDescent="0.2">
      <c r="A92" s="11">
        <v>43178</v>
      </c>
      <c r="B92" s="380">
        <f>'2023'!Maxi_hp</f>
        <v>41.177223902410979</v>
      </c>
      <c r="C92" s="13">
        <f>'2023'!An_max</f>
        <v>2020</v>
      </c>
      <c r="D92" s="1059" t="str">
        <f t="shared" si="59"/>
        <v/>
      </c>
      <c r="E92" s="1054">
        <f>S$13/10</f>
        <v>44.0944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51">
        <f t="shared" si="62"/>
        <v>0</v>
      </c>
      <c r="J92" s="744">
        <f t="shared" si="63"/>
        <v>44.094400000013408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2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51">
        <f t="shared" si="67"/>
        <v>0.5</v>
      </c>
      <c r="AT92" s="767">
        <f t="shared" si="68"/>
        <v>44.119800000078975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51">
        <f t="shared" si="72"/>
        <v>1</v>
      </c>
      <c r="AY92" s="767">
        <f t="shared" si="73"/>
        <v>44.094400000199677</v>
      </c>
      <c r="AZ92" s="744">
        <f t="shared" si="77"/>
        <v>44.107100000139326</v>
      </c>
      <c r="BA92" s="642">
        <f t="shared" si="74"/>
        <v>0.9338424811857845</v>
      </c>
      <c r="BC92" s="11">
        <v>43178</v>
      </c>
      <c r="BD92" s="290">
        <f>[2]!FeuilCaduc*(1-Persistant)+Persistant</f>
        <v>0.60619794333700627</v>
      </c>
      <c r="BE92" s="291">
        <f>[2]!CroissVégét</f>
        <v>3.0617403154541836E-2</v>
      </c>
      <c r="BF92" s="814">
        <f>1+[2]!Salcycl*Ksac</f>
        <v>1.0007747429171259</v>
      </c>
      <c r="BH92" s="1050">
        <f t="shared" si="75"/>
        <v>4.6444024232433795E-2</v>
      </c>
      <c r="BI92" s="11">
        <v>44274</v>
      </c>
      <c r="BJ92" s="724">
        <v>4.8449786609246376E-6</v>
      </c>
      <c r="BK92" s="724">
        <v>4.8449786609246359E-6</v>
      </c>
      <c r="BL92" s="724">
        <v>4.8449786609246359E-6</v>
      </c>
      <c r="BM92" s="724">
        <v>1.1787258524677816E-4</v>
      </c>
      <c r="BN92" s="724">
        <v>6.5232225435465788E-3</v>
      </c>
      <c r="BO92" s="725">
        <v>4.6444024232433795E-2</v>
      </c>
      <c r="BP92" s="724">
        <v>0.1485264619146911</v>
      </c>
      <c r="BQ92" s="724">
        <v>0.30705404645676798</v>
      </c>
      <c r="BR92" s="724">
        <v>0.47121803347416874</v>
      </c>
      <c r="BS92" s="724">
        <v>0.60087819370721895</v>
      </c>
      <c r="BT92" s="724">
        <v>0.69557172154434121</v>
      </c>
      <c r="BW92" s="1190">
        <f>'2018'!R\Max</f>
        <v>0</v>
      </c>
      <c r="BX92" s="1188">
        <f>'2019'!R\Max</f>
        <v>0.27926460131836961</v>
      </c>
      <c r="BY92" s="1188">
        <f>'2020'!R\Max</f>
        <v>0.9338424811857845</v>
      </c>
      <c r="BZ92" s="1188">
        <f>'2021'!R\Max</f>
        <v>0.2360799182919901</v>
      </c>
      <c r="CA92" s="1188">
        <f>'2022'!R\Max</f>
        <v>0.6619978799504791</v>
      </c>
      <c r="CB92" s="1188">
        <f>'2023'!R\Max</f>
        <v>0.66005362923967148</v>
      </c>
      <c r="CC92" s="1188">
        <f>'2024'!R\Max</f>
        <v>0.65770305814397112</v>
      </c>
      <c r="CD92" s="1188">
        <f>'2025'!R\Max</f>
        <v>0.6546362109022138</v>
      </c>
      <c r="CE92" s="1188">
        <f>'2026'!R\Max</f>
        <v>0.65146193132022856</v>
      </c>
      <c r="CF92" s="1189">
        <f>'2027'!R\Max</f>
        <v>0.64824150713652362</v>
      </c>
    </row>
    <row r="93" spans="1:84" s="6" customFormat="1" ht="11.25" x14ac:dyDescent="0.2">
      <c r="A93" s="11">
        <v>43179</v>
      </c>
      <c r="B93" s="380">
        <f>'2023'!Maxi_hp</f>
        <v>44.675068559280305</v>
      </c>
      <c r="C93" s="13">
        <f>'2023'!An_max</f>
        <v>2019</v>
      </c>
      <c r="D93" s="1059">
        <f t="shared" si="59"/>
        <v>1.0028867986189021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51">
        <f t="shared" si="62"/>
        <v>7.1428571428571425E-2</v>
      </c>
      <c r="J93" s="744">
        <f t="shared" si="63"/>
        <v>44.546471865821097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2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51">
        <f t="shared" si="67"/>
        <v>0.4642857142857143</v>
      </c>
      <c r="AT93" s="767">
        <f t="shared" si="68"/>
        <v>44.59617033567546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51">
        <f t="shared" si="72"/>
        <v>0.9642857142857143</v>
      </c>
      <c r="AY93" s="767">
        <f t="shared" si="73"/>
        <v>44.511532981095044</v>
      </c>
      <c r="AZ93" s="744">
        <f t="shared" si="77"/>
        <v>44.553851658385256</v>
      </c>
      <c r="BA93" s="642">
        <f t="shared" si="74"/>
        <v>1.0028867986189021</v>
      </c>
      <c r="BC93" s="11">
        <v>43179</v>
      </c>
      <c r="BD93" s="290">
        <f>[2]!FeuilCaduc*(1-Persistant)+Persistant</f>
        <v>0.60659198406361292</v>
      </c>
      <c r="BE93" s="291">
        <f>[2]!CroissVégét</f>
        <v>3.1915627119784788E-2</v>
      </c>
      <c r="BF93" s="814">
        <f>1+[2]!Salcycl*Ksac</f>
        <v>1.0008239980079516</v>
      </c>
      <c r="BH93" s="1050">
        <f t="shared" si="75"/>
        <v>4.5158121894361143E-2</v>
      </c>
      <c r="BI93" s="11">
        <v>44275</v>
      </c>
      <c r="BJ93" s="724">
        <v>4.9491783029254549E-6</v>
      </c>
      <c r="BK93" s="724">
        <v>4.9491783029254557E-6</v>
      </c>
      <c r="BL93" s="724">
        <v>4.9491783029254557E-6</v>
      </c>
      <c r="BM93" s="724">
        <v>1.1409874866385745E-4</v>
      </c>
      <c r="BN93" s="724">
        <v>6.2566421892516072E-3</v>
      </c>
      <c r="BO93" s="725">
        <v>4.5158121894361143E-2</v>
      </c>
      <c r="BP93" s="724">
        <v>0.14640256586607034</v>
      </c>
      <c r="BQ93" s="724">
        <v>0.30738259764533571</v>
      </c>
      <c r="BR93" s="724">
        <v>0.47663752719528157</v>
      </c>
      <c r="BS93" s="724">
        <v>0.61208595443069236</v>
      </c>
      <c r="BT93" s="724">
        <v>0.71041101151074604</v>
      </c>
      <c r="BW93" s="1190">
        <f>'2018'!R\Max</f>
        <v>0</v>
      </c>
      <c r="BX93" s="1188">
        <f>'2019'!R\Max</f>
        <v>1.0028867986189021</v>
      </c>
      <c r="BY93" s="1188">
        <f>'2020'!R\Max</f>
        <v>0.93807779869809094</v>
      </c>
      <c r="BZ93" s="1188">
        <f>'2021'!R\Max</f>
        <v>0.96462131239909854</v>
      </c>
      <c r="CA93" s="1188">
        <f>'2022'!R\Max</f>
        <v>0.68216637647081102</v>
      </c>
      <c r="CB93" s="1188">
        <f>'2023'!R\Max</f>
        <v>0.68031544341745198</v>
      </c>
      <c r="CC93" s="1188">
        <f>'2024'!R\Max</f>
        <v>0.67805049988648147</v>
      </c>
      <c r="CD93" s="1188">
        <f>'2025'!R\Max</f>
        <v>0.67505875611349986</v>
      </c>
      <c r="CE93" s="1188">
        <f>'2026'!R\Max</f>
        <v>0.67192653195821106</v>
      </c>
      <c r="CF93" s="1189">
        <f>'2027'!R\Max</f>
        <v>0.66873206191832946</v>
      </c>
    </row>
    <row r="94" spans="1:84" s="6" customFormat="1" ht="11.25" x14ac:dyDescent="0.2">
      <c r="A94" s="11">
        <v>43180</v>
      </c>
      <c r="B94" s="380">
        <f>'2023'!Maxi_hp</f>
        <v>46.027750309068139</v>
      </c>
      <c r="C94" s="13">
        <f>'2023'!An_max</f>
        <v>2020</v>
      </c>
      <c r="D94" s="1059">
        <f t="shared" si="59"/>
        <v>1.0227937298254355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51">
        <f t="shared" si="62"/>
        <v>0.14285714285714285</v>
      </c>
      <c r="J94" s="744">
        <f t="shared" si="63"/>
        <v>45.00198717186494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2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51">
        <f t="shared" si="67"/>
        <v>0.42857142857142855</v>
      </c>
      <c r="AT94" s="767">
        <f t="shared" si="68"/>
        <v>45.070411662278431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51">
        <f t="shared" si="72"/>
        <v>0.9285714285714286</v>
      </c>
      <c r="AY94" s="767">
        <f t="shared" si="73"/>
        <v>44.931637317860229</v>
      </c>
      <c r="AZ94" s="744">
        <f t="shared" si="77"/>
        <v>45.001024490069327</v>
      </c>
      <c r="BA94" s="642">
        <f t="shared" si="74"/>
        <v>1.0227937298254355</v>
      </c>
      <c r="BC94" s="11">
        <v>43180</v>
      </c>
      <c r="BD94" s="290">
        <f>[2]!FeuilCaduc*(1-Persistant)+Persistant</f>
        <v>0.60702634246059539</v>
      </c>
      <c r="BE94" s="291">
        <f>[2]!CroissVégét</f>
        <v>3.3264621499185201E-2</v>
      </c>
      <c r="BF94" s="814">
        <f>1+[2]!Salcycl*Ksac</f>
        <v>1.0008782928075743</v>
      </c>
      <c r="BH94" s="1050">
        <f t="shared" si="75"/>
        <v>4.3789279917162784E-2</v>
      </c>
      <c r="BI94" s="11">
        <v>44276</v>
      </c>
      <c r="BJ94" s="724">
        <v>5.0002592090116822E-6</v>
      </c>
      <c r="BK94" s="724">
        <v>5.0002592090116822E-6</v>
      </c>
      <c r="BL94" s="724">
        <v>5.0002592090116822E-6</v>
      </c>
      <c r="BM94" s="724">
        <v>1.1049092363379482E-4</v>
      </c>
      <c r="BN94" s="724">
        <v>5.9845647530017707E-3</v>
      </c>
      <c r="BO94" s="725">
        <v>4.3789279917162784E-2</v>
      </c>
      <c r="BP94" s="724">
        <v>0.14389384696408375</v>
      </c>
      <c r="BQ94" s="724">
        <v>0.30697914229459289</v>
      </c>
      <c r="BR94" s="724">
        <v>0.48121687446399358</v>
      </c>
      <c r="BS94" s="724">
        <v>0.62290341763281842</v>
      </c>
      <c r="BT94" s="724">
        <v>0.72569480289972077</v>
      </c>
      <c r="BW94" s="1190">
        <f>'2018'!R\Max</f>
        <v>0</v>
      </c>
      <c r="BX94" s="1188">
        <f>'2019'!R\Max</f>
        <v>0.9992822535026421</v>
      </c>
      <c r="BY94" s="1188">
        <f>'2020'!R\Max</f>
        <v>1.0227937298254355</v>
      </c>
      <c r="BZ94" s="1188">
        <f>'2021'!R\Max</f>
        <v>0.79818216541727049</v>
      </c>
      <c r="CA94" s="1188">
        <f>'2022'!R\Max</f>
        <v>0.9354435311280066</v>
      </c>
      <c r="CB94" s="1188">
        <f>'2023'!R\Max</f>
        <v>0.93493756014919838</v>
      </c>
      <c r="CC94" s="1188">
        <f>'2024'!R\Max</f>
        <v>0.93430779692765686</v>
      </c>
      <c r="CD94" s="1188">
        <f>'2025'!R\Max</f>
        <v>0.93346074761548559</v>
      </c>
      <c r="CE94" s="1188">
        <f>'2026'!R\Max</f>
        <v>0.93255705930908228</v>
      </c>
      <c r="CF94" s="1189">
        <f>'2027'!R\Max</f>
        <v>0.93162380516416354</v>
      </c>
    </row>
    <row r="95" spans="1:84" s="6" customFormat="1" ht="11.25" x14ac:dyDescent="0.2">
      <c r="A95" s="11">
        <v>43181</v>
      </c>
      <c r="B95" s="380">
        <f>'2023'!Maxi_hp</f>
        <v>44.110203483465384</v>
      </c>
      <c r="C95" s="13">
        <f>'2023'!An_max</f>
        <v>2019</v>
      </c>
      <c r="D95" s="1059">
        <f t="shared" si="59"/>
        <v>0.97031392958781593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51">
        <f t="shared" si="62"/>
        <v>0.21428571428571427</v>
      </c>
      <c r="J95" s="744">
        <f t="shared" si="63"/>
        <v>45.459724052609609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2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51">
        <f t="shared" si="67"/>
        <v>0.39285714285714285</v>
      </c>
      <c r="AT95" s="767">
        <f t="shared" si="68"/>
        <v>45.541690889519778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51">
        <f t="shared" si="72"/>
        <v>0.8928571428571429</v>
      </c>
      <c r="AY95" s="767">
        <f t="shared" si="73"/>
        <v>45.354185386560857</v>
      </c>
      <c r="AZ95" s="744">
        <f t="shared" si="77"/>
        <v>45.447938138040314</v>
      </c>
      <c r="BA95" s="642">
        <f t="shared" si="74"/>
        <v>0.97031392958781593</v>
      </c>
      <c r="BC95" s="11">
        <v>43181</v>
      </c>
      <c r="BD95" s="290">
        <f>[2]!FeuilCaduc*(1-Persistant)+Persistant</f>
        <v>0.60750405170952115</v>
      </c>
      <c r="BE95" s="291">
        <f>[2]!CroissVégét</f>
        <v>3.4666216621534622E-2</v>
      </c>
      <c r="BF95" s="814">
        <f>1+[2]!Salcycl*Ksac</f>
        <v>1.0009380064636901</v>
      </c>
      <c r="BH95" s="1050">
        <f t="shared" si="75"/>
        <v>4.240224356059269E-2</v>
      </c>
      <c r="BI95" s="11">
        <v>44277</v>
      </c>
      <c r="BJ95" s="724">
        <v>5.0027087476007963E-6</v>
      </c>
      <c r="BK95" s="724">
        <v>5.002708747600798E-6</v>
      </c>
      <c r="BL95" s="724">
        <v>5.002708747600798E-6</v>
      </c>
      <c r="BM95" s="724">
        <v>1.0709291195872893E-4</v>
      </c>
      <c r="BN95" s="724">
        <v>5.7030273999697755E-3</v>
      </c>
      <c r="BO95" s="725">
        <v>4.240224356059269E-2</v>
      </c>
      <c r="BP95" s="724">
        <v>0.14115806342355922</v>
      </c>
      <c r="BQ95" s="724">
        <v>0.305999485051968</v>
      </c>
      <c r="BR95" s="724">
        <v>0.48501090634845551</v>
      </c>
      <c r="BS95" s="724">
        <v>0.63313355029795049</v>
      </c>
      <c r="BT95" s="724">
        <v>0.74094666475576565</v>
      </c>
      <c r="BW95" s="1190">
        <f>'2018'!R\Max</f>
        <v>0</v>
      </c>
      <c r="BX95" s="1188">
        <f>'2019'!R\Max</f>
        <v>0.97031392958781593</v>
      </c>
      <c r="BY95" s="1188">
        <f>'2020'!R\Max</f>
        <v>0.96436942091749711</v>
      </c>
      <c r="BZ95" s="1188">
        <f>'2021'!R\Max</f>
        <v>0.91201861637914772</v>
      </c>
      <c r="CA95" s="1188">
        <f>'2022'!R\Max</f>
        <v>0.88147857608300784</v>
      </c>
      <c r="CB95" s="1188">
        <f>'2023'!R\Max</f>
        <v>0.88062353109178959</v>
      </c>
      <c r="CC95" s="1188">
        <f>'2024'!R\Max</f>
        <v>0.87954709464633873</v>
      </c>
      <c r="CD95" s="1188">
        <f>'2025'!R\Max</f>
        <v>0.87808423113357903</v>
      </c>
      <c r="CE95" s="1188">
        <f>'2026'!R\Max</f>
        <v>0.87650734886779957</v>
      </c>
      <c r="CF95" s="1189">
        <f>'2027'!R\Max</f>
        <v>0.87487333217896268</v>
      </c>
    </row>
    <row r="96" spans="1:84" s="6" customFormat="1" ht="11.25" x14ac:dyDescent="0.2">
      <c r="A96" s="11">
        <v>43182</v>
      </c>
      <c r="B96" s="380">
        <f>'2023'!Maxi_hp</f>
        <v>47.127501005079935</v>
      </c>
      <c r="C96" s="13">
        <f>'2023'!An_max</f>
        <v>2021</v>
      </c>
      <c r="D96" s="1059">
        <f t="shared" si="59"/>
        <v>1.026330158871908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51">
        <f t="shared" si="62"/>
        <v>0.2857142857142857</v>
      </c>
      <c r="J96" s="744">
        <f t="shared" si="63"/>
        <v>45.918460641242561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2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51">
        <f t="shared" si="67"/>
        <v>0.35714285714285715</v>
      </c>
      <c r="AT96" s="767">
        <f t="shared" si="68"/>
        <v>46.009174927510323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51">
        <f t="shared" si="72"/>
        <v>0.8571428571428571</v>
      </c>
      <c r="AY96" s="767">
        <f t="shared" si="73"/>
        <v>45.778649563023023</v>
      </c>
      <c r="AZ96" s="744">
        <f t="shared" si="77"/>
        <v>45.893912245266677</v>
      </c>
      <c r="BA96" s="642">
        <f t="shared" si="74"/>
        <v>1.026330158871908</v>
      </c>
      <c r="BC96" s="11">
        <v>43182</v>
      </c>
      <c r="BD96" s="290">
        <f>[2]!FeuilCaduc*(1-Persistant)+Persistant</f>
        <v>0.60802817009061338</v>
      </c>
      <c r="BE96" s="291">
        <f>[2]!CroissVégét</f>
        <v>3.6122296026123907E-2</v>
      </c>
      <c r="BF96" s="814">
        <f>1+[2]!Salcycl*Ksac</f>
        <v>1.0010035212613266</v>
      </c>
      <c r="BH96" s="1050">
        <f t="shared" si="75"/>
        <v>4.0997002498943745E-2</v>
      </c>
      <c r="BI96" s="11">
        <v>44278</v>
      </c>
      <c r="BJ96" s="724">
        <v>4.9565321848108695E-6</v>
      </c>
      <c r="BK96" s="724">
        <v>4.9565321848108695E-6</v>
      </c>
      <c r="BL96" s="724">
        <v>4.9565321848108695E-6</v>
      </c>
      <c r="BM96" s="724">
        <v>1.0390465137552505E-4</v>
      </c>
      <c r="BN96" s="724">
        <v>5.4120297792393281E-3</v>
      </c>
      <c r="BO96" s="725">
        <v>4.0997002498943745E-2</v>
      </c>
      <c r="BP96" s="724">
        <v>0.13819520345596767</v>
      </c>
      <c r="BQ96" s="724">
        <v>0.30444360976658508</v>
      </c>
      <c r="BR96" s="724">
        <v>0.48801957651570066</v>
      </c>
      <c r="BS96" s="724">
        <v>0.64277622747104679</v>
      </c>
      <c r="BT96" s="724">
        <v>0.75616635662686671</v>
      </c>
      <c r="BW96" s="1190">
        <f>'2018'!R\Max</f>
        <v>0</v>
      </c>
      <c r="BX96" s="1188">
        <f>'2019'!R\Max</f>
        <v>0.9129897598833745</v>
      </c>
      <c r="BY96" s="1188">
        <f>'2020'!R\Max</f>
        <v>0.89126211819993895</v>
      </c>
      <c r="BZ96" s="1188">
        <f>'2021'!R\Max</f>
        <v>1.026330158871908</v>
      </c>
      <c r="CA96" s="1188">
        <f>'2022'!R\Max</f>
        <v>0.99216096372561946</v>
      </c>
      <c r="CB96" s="1188">
        <f>'2023'!R\Max</f>
        <v>0.99209883847907132</v>
      </c>
      <c r="CC96" s="1188">
        <f>'2024'!R\Max</f>
        <v>0.9920194683885869</v>
      </c>
      <c r="CD96" s="1188">
        <f>'2025'!R\Max</f>
        <v>0.99191007307062928</v>
      </c>
      <c r="CE96" s="1188">
        <f>'2026'!R\Max</f>
        <v>0.99179031241639448</v>
      </c>
      <c r="CF96" s="1189">
        <f>'2027'!R\Max</f>
        <v>0.99166514676459983</v>
      </c>
    </row>
    <row r="97" spans="1:84" s="6" customFormat="1" ht="11.25" x14ac:dyDescent="0.2">
      <c r="A97" s="11">
        <v>43183</v>
      </c>
      <c r="B97" s="380">
        <f>'2023'!Maxi_hp</f>
        <v>46.384617938296579</v>
      </c>
      <c r="C97" s="13">
        <f>'2023'!An_max</f>
        <v>2021</v>
      </c>
      <c r="D97" s="1059">
        <f t="shared" si="59"/>
        <v>1.0001647987138009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51">
        <f t="shared" si="62"/>
        <v>0.35714285714285715</v>
      </c>
      <c r="J97" s="744">
        <f t="shared" si="63"/>
        <v>46.376975072454663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2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51">
        <f t="shared" si="67"/>
        <v>0.32142857142857145</v>
      </c>
      <c r="AT97" s="767">
        <f t="shared" si="68"/>
        <v>46.472030685695685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51">
        <f t="shared" si="72"/>
        <v>0.8214285714285714</v>
      </c>
      <c r="AY97" s="767">
        <f t="shared" si="73"/>
        <v>46.204502223259105</v>
      </c>
      <c r="AZ97" s="744">
        <f t="shared" si="77"/>
        <v>46.338266454477392</v>
      </c>
      <c r="BA97" s="642">
        <f t="shared" si="74"/>
        <v>1.0001647987138009</v>
      </c>
      <c r="BC97" s="11">
        <v>43183</v>
      </c>
      <c r="BD97" s="290">
        <f>[2]!FeuilCaduc*(1-Persistant)+Persistant</f>
        <v>0.6086017715236085</v>
      </c>
      <c r="BE97" s="291">
        <f>[2]!CroissVégét</f>
        <v>3.7634796931243539E-2</v>
      </c>
      <c r="BF97" s="814">
        <f>1+[2]!Salcycl*Ksac</f>
        <v>1.001075221440451</v>
      </c>
      <c r="BH97" s="1050">
        <f t="shared" si="75"/>
        <v>3.9573548234175228E-2</v>
      </c>
      <c r="BI97" s="11">
        <v>44279</v>
      </c>
      <c r="BJ97" s="724">
        <v>4.8617349238059367E-6</v>
      </c>
      <c r="BK97" s="724">
        <v>4.8617349238059367E-6</v>
      </c>
      <c r="BL97" s="724">
        <v>4.8617349238059367E-6</v>
      </c>
      <c r="BM97" s="724">
        <v>1.0092608336346945E-4</v>
      </c>
      <c r="BN97" s="724">
        <v>5.1115719277031171E-3</v>
      </c>
      <c r="BO97" s="725">
        <v>3.9573548234175228E-2</v>
      </c>
      <c r="BP97" s="724">
        <v>0.13500525942647937</v>
      </c>
      <c r="BQ97" s="724">
        <v>0.30231150318926842</v>
      </c>
      <c r="BR97" s="724">
        <v>0.49024283600974755</v>
      </c>
      <c r="BS97" s="724">
        <v>0.65183131274458961</v>
      </c>
      <c r="BT97" s="724">
        <v>0.77135361856168116</v>
      </c>
      <c r="BW97" s="1190">
        <f>'2018'!R\Max</f>
        <v>0</v>
      </c>
      <c r="BX97" s="1188">
        <f>'2019'!R\Max</f>
        <v>0.98393165087465984</v>
      </c>
      <c r="BY97" s="1188">
        <f>'2020'!R\Max</f>
        <v>0.72914071124096269</v>
      </c>
      <c r="BZ97" s="1188">
        <f>'2021'!R\Max</f>
        <v>1.0001647987138009</v>
      </c>
      <c r="CA97" s="1188">
        <f>'2022'!R\Max</f>
        <v>0.95742972625498968</v>
      </c>
      <c r="CB97" s="1188">
        <f>'2023'!R\Max</f>
        <v>0.95711307271211965</v>
      </c>
      <c r="CC97" s="1188">
        <f>'2024'!R\Max</f>
        <v>0.95670346308816012</v>
      </c>
      <c r="CD97" s="1188">
        <f>'2025'!R\Max</f>
        <v>0.95613298290572457</v>
      </c>
      <c r="CE97" s="1188">
        <f>'2026'!R\Max</f>
        <v>0.9555011630061232</v>
      </c>
      <c r="CF97" s="1189">
        <f>'2027'!R\Max</f>
        <v>0.9548381230950943</v>
      </c>
    </row>
    <row r="98" spans="1:84" s="6" customFormat="1" ht="11.25" x14ac:dyDescent="0.2">
      <c r="A98" s="11">
        <v>43184</v>
      </c>
      <c r="B98" s="380">
        <f>'2023'!Maxi_hp</f>
        <v>42.344777516113844</v>
      </c>
      <c r="C98" s="13">
        <f>'2023'!An_max</f>
        <v>2022</v>
      </c>
      <c r="D98" s="1059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51">
        <f t="shared" si="62"/>
        <v>0.42857142857142855</v>
      </c>
      <c r="J98" s="744">
        <f t="shared" si="63"/>
        <v>46.834045480936759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2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51">
        <f t="shared" si="67"/>
        <v>0.2857142857142857</v>
      </c>
      <c r="AT98" s="767">
        <f t="shared" si="68"/>
        <v>46.929425072457107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51">
        <f t="shared" si="72"/>
        <v>0.7857142857142857</v>
      </c>
      <c r="AY98" s="767">
        <f t="shared" si="73"/>
        <v>46.63121574388019</v>
      </c>
      <c r="AZ98" s="744">
        <f t="shared" si="77"/>
        <v>46.780320408168649</v>
      </c>
      <c r="BA98" s="642">
        <f t="shared" si="74"/>
        <v>0.90414520209128169</v>
      </c>
      <c r="BC98" s="11">
        <v>43184</v>
      </c>
      <c r="BD98" s="290">
        <f>[2]!FeuilCaduc*(1-Persistant)+Persistant</f>
        <v>0.60922793633269923</v>
      </c>
      <c r="BE98" s="291">
        <f>[2]!CroissVégét</f>
        <v>3.9205710601738018E-2</v>
      </c>
      <c r="BF98" s="814">
        <f>1+[2]!Salcycl*Ksac</f>
        <v>1.0011534920415874</v>
      </c>
      <c r="BH98" s="1050">
        <f t="shared" si="75"/>
        <v>3.8131874154567834E-2</v>
      </c>
      <c r="BI98" s="11">
        <v>44280</v>
      </c>
      <c r="BJ98" s="724">
        <v>4.7183226605671468E-6</v>
      </c>
      <c r="BK98" s="724">
        <v>4.7183226605671468E-6</v>
      </c>
      <c r="BL98" s="724">
        <v>4.7183226605671468E-6</v>
      </c>
      <c r="BM98" s="724">
        <v>9.8157152473104877E-5</v>
      </c>
      <c r="BN98" s="724">
        <v>4.8016543004440193E-3</v>
      </c>
      <c r="BO98" s="725">
        <v>3.8131874154567834E-2</v>
      </c>
      <c r="BP98" s="724">
        <v>0.13158822858198135</v>
      </c>
      <c r="BQ98" s="724">
        <v>0.29960315681822453</v>
      </c>
      <c r="BR98" s="724">
        <v>0.4916806357654942</v>
      </c>
      <c r="BS98" s="724">
        <v>0.66029866013619842</v>
      </c>
      <c r="BT98" s="724">
        <v>0.78650817120645145</v>
      </c>
      <c r="BW98" s="1190">
        <f>'2018'!R\Max</f>
        <v>0</v>
      </c>
      <c r="BX98" s="1188">
        <f>'2019'!R\Max</f>
        <v>0.85535580275692313</v>
      </c>
      <c r="BY98" s="1188">
        <f>'2020'!R\Max</f>
        <v>0.89035788048468145</v>
      </c>
      <c r="BZ98" s="1188">
        <f>'2021'!R\Max</f>
        <v>0.80493356066834421</v>
      </c>
      <c r="CA98" s="1188">
        <f>'2022'!R\Max</f>
        <v>0.90414520209128169</v>
      </c>
      <c r="CB98" s="1188">
        <f>'2023'!R\Max</f>
        <v>0.90349193955078233</v>
      </c>
      <c r="CC98" s="1188">
        <f>'2024'!R\Max</f>
        <v>0.90263617831620191</v>
      </c>
      <c r="CD98" s="1188">
        <f>'2025'!R\Max</f>
        <v>0.90143243121482974</v>
      </c>
      <c r="CE98" s="1188">
        <f>'2026'!R\Max</f>
        <v>0.90008384527197349</v>
      </c>
      <c r="CF98" s="1189">
        <f>'2027'!R\Max</f>
        <v>0.89866358280486347</v>
      </c>
    </row>
    <row r="99" spans="1:84" s="6" customFormat="1" ht="11.25" x14ac:dyDescent="0.2">
      <c r="A99" s="11">
        <v>43185</v>
      </c>
      <c r="B99" s="380">
        <f>'2023'!Maxi_hp</f>
        <v>48.874468185394626</v>
      </c>
      <c r="C99" s="13">
        <f>'2023'!An_max</f>
        <v>2019</v>
      </c>
      <c r="D99" s="1059">
        <f t="shared" si="59"/>
        <v>1.0335392296912354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51">
        <f t="shared" si="62"/>
        <v>0.5</v>
      </c>
      <c r="J99" s="744">
        <f t="shared" si="63"/>
        <v>47.288449999131259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2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51">
        <f t="shared" si="67"/>
        <v>0.25</v>
      </c>
      <c r="AT99" s="767">
        <f t="shared" si="68"/>
        <v>47.380524999462068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51">
        <f t="shared" si="72"/>
        <v>0.75</v>
      </c>
      <c r="AY99" s="767">
        <f t="shared" si="73"/>
        <v>47.058262500120328</v>
      </c>
      <c r="AZ99" s="744">
        <f t="shared" si="77"/>
        <v>47.219393749791195</v>
      </c>
      <c r="BA99" s="642">
        <f t="shared" si="74"/>
        <v>1.0335392296912354</v>
      </c>
      <c r="BC99" s="11">
        <v>43185</v>
      </c>
      <c r="BD99" s="290">
        <f>[2]!FeuilCaduc*(1-Persistant)+Persistant</f>
        <v>0.60990974227623396</v>
      </c>
      <c r="BE99" s="291">
        <f>[2]!CroissVégét</f>
        <v>4.0837082604545251E-2</v>
      </c>
      <c r="BF99" s="814">
        <f>1+[2]!Salcycl*Ksac</f>
        <v>1.0012387177845292</v>
      </c>
      <c r="BH99" s="1050">
        <f t="shared" si="75"/>
        <v>3.6671975593508606E-2</v>
      </c>
      <c r="BI99" s="11">
        <v>44281</v>
      </c>
      <c r="BJ99" s="724">
        <v>4.526301539679749E-6</v>
      </c>
      <c r="BK99" s="724">
        <v>4.526301539679749E-6</v>
      </c>
      <c r="BL99" s="724">
        <v>4.526301539679749E-6</v>
      </c>
      <c r="BM99" s="724">
        <v>9.5597805655398961E-5</v>
      </c>
      <c r="BN99" s="724">
        <v>4.48227780113285E-3</v>
      </c>
      <c r="BO99" s="725">
        <v>3.6671975593508606E-2</v>
      </c>
      <c r="BP99" s="724">
        <v>0.12794411377953979</v>
      </c>
      <c r="BQ99" s="724">
        <v>0.29631856874572748</v>
      </c>
      <c r="BR99" s="724">
        <v>0.49233292912424992</v>
      </c>
      <c r="BS99" s="724">
        <v>0.66817811596842924</v>
      </c>
      <c r="BT99" s="724">
        <v>0.80162971590451826</v>
      </c>
      <c r="BW99" s="1190">
        <f>'2018'!R\Max</f>
        <v>0</v>
      </c>
      <c r="BX99" s="1188">
        <f>'2019'!R\Max</f>
        <v>1.0335392296912354</v>
      </c>
      <c r="BY99" s="1188">
        <f>'2020'!R\Max</f>
        <v>1.01773790090815</v>
      </c>
      <c r="BZ99" s="1188">
        <f>'2021'!R\Max</f>
        <v>0.78250087091693066</v>
      </c>
      <c r="CA99" s="1188">
        <f>'2022'!R\Max</f>
        <v>0.95039201918366389</v>
      </c>
      <c r="CB99" s="1188">
        <f>'2023'!R\Max</f>
        <v>0.95004783077598387</v>
      </c>
      <c r="CC99" s="1188">
        <f>'2024'!R\Max</f>
        <v>0.94959015859884399</v>
      </c>
      <c r="CD99" s="1188">
        <f>'2025'!R\Max</f>
        <v>0.94893841281780267</v>
      </c>
      <c r="CE99" s="1188">
        <f>'2026'!R\Max</f>
        <v>0.94819726422112904</v>
      </c>
      <c r="CF99" s="1189">
        <f>'2027'!R\Max</f>
        <v>0.94741136825194872</v>
      </c>
    </row>
    <row r="100" spans="1:84" s="6" customFormat="1" ht="11.25" x14ac:dyDescent="0.2">
      <c r="A100" s="11">
        <v>43186</v>
      </c>
      <c r="B100" s="380">
        <f>'2023'!Maxi_hp</f>
        <v>48.250977884589958</v>
      </c>
      <c r="C100" s="13">
        <f>'2023'!An_max</f>
        <v>2019</v>
      </c>
      <c r="D100" s="1059">
        <f t="shared" si="59"/>
        <v>1.0107252241957958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51">
        <f t="shared" si="62"/>
        <v>0.5714285714285714</v>
      </c>
      <c r="J100" s="744">
        <f t="shared" si="63"/>
        <v>47.738966763179221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2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51">
        <f t="shared" si="67"/>
        <v>0.21428571428571427</v>
      </c>
      <c r="AT100" s="767">
        <f t="shared" si="68"/>
        <v>47.824497376382354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51">
        <f t="shared" si="72"/>
        <v>0.7142857142857143</v>
      </c>
      <c r="AY100" s="767">
        <f t="shared" si="73"/>
        <v>47.485114868783526</v>
      </c>
      <c r="AZ100" s="744">
        <f t="shared" si="77"/>
        <v>47.65480612258294</v>
      </c>
      <c r="BA100" s="642">
        <f t="shared" si="74"/>
        <v>1.0107252241957958</v>
      </c>
      <c r="BC100" s="11">
        <v>43186</v>
      </c>
      <c r="BD100" s="290">
        <f>[2]!FeuilCaduc*(1-Persistant)+Persistant</f>
        <v>0.61065025587443977</v>
      </c>
      <c r="BE100" s="291">
        <f>[2]!CroissVégét</f>
        <v>4.2531012940474407E-2</v>
      </c>
      <c r="BF100" s="814">
        <f>1+[2]!Salcycl*Ksac</f>
        <v>1.001331281984305</v>
      </c>
      <c r="BH100" s="1050">
        <f t="shared" si="75"/>
        <v>3.5183583324608712E-2</v>
      </c>
      <c r="BI100" s="11">
        <v>44282</v>
      </c>
      <c r="BJ100" s="724">
        <v>4.3044670236098954E-6</v>
      </c>
      <c r="BK100" s="724">
        <v>4.3044670236098946E-6</v>
      </c>
      <c r="BL100" s="724">
        <v>4.3044670236098946E-6</v>
      </c>
      <c r="BM100" s="724">
        <v>9.3392060338603813E-5</v>
      </c>
      <c r="BN100" s="724">
        <v>4.1707126159803345E-3</v>
      </c>
      <c r="BO100" s="725">
        <v>3.5183583324608712E-2</v>
      </c>
      <c r="BP100" s="724">
        <v>0.12410181308418668</v>
      </c>
      <c r="BQ100" s="724">
        <v>0.29232845443034461</v>
      </c>
      <c r="BR100" s="724">
        <v>0.49191126369215188</v>
      </c>
      <c r="BS100" s="724">
        <v>0.67494924867109862</v>
      </c>
      <c r="BT100" s="724">
        <v>0.81614021146254256</v>
      </c>
      <c r="BW100" s="1190">
        <f>'2018'!R\Max</f>
        <v>0</v>
      </c>
      <c r="BX100" s="1188">
        <f>'2019'!R\Max</f>
        <v>1.0107252241957958</v>
      </c>
      <c r="BY100" s="1188">
        <f>'2020'!R\Max</f>
        <v>0.61986870926403936</v>
      </c>
      <c r="BZ100" s="1188">
        <f>'2021'!R\Max</f>
        <v>0.93599552830533594</v>
      </c>
      <c r="CA100" s="1188">
        <f>'2022'!R\Max</f>
        <v>0.90845300483530056</v>
      </c>
      <c r="CB100" s="1188">
        <f>'2023'!R\Max</f>
        <v>0.90786666107856262</v>
      </c>
      <c r="CC100" s="1188">
        <f>'2024'!R\Max</f>
        <v>0.90707643716200814</v>
      </c>
      <c r="CD100" s="1188">
        <f>'2025'!R\Max</f>
        <v>0.90594021900637467</v>
      </c>
      <c r="CE100" s="1188">
        <f>'2026'!R\Max</f>
        <v>0.90463125331561645</v>
      </c>
      <c r="CF100" s="1189">
        <f>'2027'!R\Max</f>
        <v>0.90323754180543203</v>
      </c>
    </row>
    <row r="101" spans="1:84" s="6" customFormat="1" ht="11.25" x14ac:dyDescent="0.2">
      <c r="A101" s="11">
        <v>43187</v>
      </c>
      <c r="B101" s="380">
        <f>'2023'!Maxi_hp</f>
        <v>47.544172268799947</v>
      </c>
      <c r="C101" s="13">
        <f>'2023'!An_max</f>
        <v>2021</v>
      </c>
      <c r="D101" s="1059">
        <f t="shared" si="59"/>
        <v>0.98671350095747978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51">
        <f t="shared" si="62"/>
        <v>0.6428571428571429</v>
      </c>
      <c r="J101" s="744">
        <f t="shared" si="63"/>
        <v>48.184373906574081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2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51">
        <f t="shared" si="67"/>
        <v>0.17857142857142858</v>
      </c>
      <c r="AT101" s="767">
        <f t="shared" si="68"/>
        <v>48.260509111106927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51">
        <f t="shared" si="72"/>
        <v>0.6785714285714286</v>
      </c>
      <c r="AY101" s="767">
        <f t="shared" si="73"/>
        <v>47.911245226387734</v>
      </c>
      <c r="AZ101" s="744">
        <f t="shared" si="77"/>
        <v>48.085877168747331</v>
      </c>
      <c r="BA101" s="642">
        <f t="shared" si="74"/>
        <v>0.98671350095747978</v>
      </c>
      <c r="BC101" s="11">
        <v>43187</v>
      </c>
      <c r="BD101" s="290">
        <f>[2]!FeuilCaduc*(1-Persistant)+Persistant</f>
        <v>0.6114525240608456</v>
      </c>
      <c r="BE101" s="291">
        <f>[2]!CroissVégét</f>
        <v>4.4289656039802887E-2</v>
      </c>
      <c r="BF101" s="814">
        <f>1+[2]!Salcycl*Ksac</f>
        <v>1.0014315655076058</v>
      </c>
      <c r="BH101" s="1050">
        <f t="shared" si="75"/>
        <v>3.3674999823001393E-2</v>
      </c>
      <c r="BI101" s="11">
        <v>44283</v>
      </c>
      <c r="BJ101" s="724">
        <v>4.0747900642028296E-6</v>
      </c>
      <c r="BK101" s="724">
        <v>4.0747900642028296E-6</v>
      </c>
      <c r="BL101" s="724">
        <v>4.0747900642028296E-6</v>
      </c>
      <c r="BM101" s="724">
        <v>9.1427233260732606E-5</v>
      </c>
      <c r="BN101" s="724">
        <v>3.8773463366685262E-3</v>
      </c>
      <c r="BO101" s="725">
        <v>3.3674999823001393E-2</v>
      </c>
      <c r="BP101" s="724">
        <v>0.12022827842655877</v>
      </c>
      <c r="BQ101" s="724">
        <v>0.28793299644020065</v>
      </c>
      <c r="BR101" s="724">
        <v>0.49076740937187874</v>
      </c>
      <c r="BS101" s="724">
        <v>0.68075148695412724</v>
      </c>
      <c r="BT101" s="724">
        <v>0.82987820067707174</v>
      </c>
      <c r="BW101" s="1190">
        <f>'2018'!R\Max</f>
        <v>0</v>
      </c>
      <c r="BX101" s="1188">
        <f>'2019'!R\Max</f>
        <v>0.98486963908081027</v>
      </c>
      <c r="BY101" s="1188">
        <f>'2020'!R\Max</f>
        <v>0.96372497070151419</v>
      </c>
      <c r="BZ101" s="1188">
        <f>'2021'!R\Max</f>
        <v>0.98671350095747978</v>
      </c>
      <c r="CA101" s="1188">
        <f>'2022'!R\Max</f>
        <v>0.68238213325134323</v>
      </c>
      <c r="CB101" s="1188">
        <f>'2023'!R\Max</f>
        <v>0.680909018499959</v>
      </c>
      <c r="CC101" s="1188">
        <f>'2024'!R\Max</f>
        <v>0.67890360359947843</v>
      </c>
      <c r="CD101" s="1188">
        <f>'2025'!R\Max</f>
        <v>0.67600701590885015</v>
      </c>
      <c r="CE101" s="1188">
        <f>'2026'!R\Max</f>
        <v>0.6726431757760607</v>
      </c>
      <c r="CF101" s="1189">
        <f>'2027'!R\Max</f>
        <v>0.66906829408958335</v>
      </c>
    </row>
    <row r="102" spans="1:84" s="6" customFormat="1" ht="11.25" x14ac:dyDescent="0.2">
      <c r="A102" s="11">
        <v>43188</v>
      </c>
      <c r="B102" s="380">
        <f>'2023'!Maxi_hp</f>
        <v>49.462573168637149</v>
      </c>
      <c r="C102" s="13">
        <f>'2023'!An_max</f>
        <v>2021</v>
      </c>
      <c r="D102" s="1059">
        <f t="shared" si="59"/>
        <v>1.0172575910299191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51">
        <f t="shared" si="62"/>
        <v>0.7142857142857143</v>
      </c>
      <c r="J102" s="744">
        <f t="shared" si="63"/>
        <v>48.623449561638495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2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51">
        <f t="shared" si="67"/>
        <v>0.14285714285714285</v>
      </c>
      <c r="AT102" s="767">
        <f t="shared" si="68"/>
        <v>48.68772711349385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51">
        <f t="shared" si="72"/>
        <v>0.6428571428571429</v>
      </c>
      <c r="AY102" s="767">
        <f t="shared" si="73"/>
        <v>48.336125947707998</v>
      </c>
      <c r="AZ102" s="744">
        <f t="shared" si="77"/>
        <v>48.511926530600924</v>
      </c>
      <c r="BA102" s="642">
        <f t="shared" si="74"/>
        <v>1.0172575910299191</v>
      </c>
      <c r="BC102" s="11">
        <v>43188</v>
      </c>
      <c r="BD102" s="290">
        <f>[2]!FeuilCaduc*(1-Persistant)+Persistant</f>
        <v>0.61231956617540229</v>
      </c>
      <c r="BE102" s="291">
        <f>[2]!CroissVégét</f>
        <v>4.6115220608575654E-2</v>
      </c>
      <c r="BF102" s="814">
        <f>1+[2]!Salcycl*Ksac</f>
        <v>1.0015399457719254</v>
      </c>
      <c r="BH102" s="1050">
        <f t="shared" si="75"/>
        <v>3.2146227012165254E-2</v>
      </c>
      <c r="BI102" s="11">
        <v>44284</v>
      </c>
      <c r="BJ102" s="724">
        <v>3.8372720668913596E-6</v>
      </c>
      <c r="BK102" s="724">
        <v>3.8372720668913596E-6</v>
      </c>
      <c r="BL102" s="724">
        <v>3.8372720668913596E-6</v>
      </c>
      <c r="BM102" s="724">
        <v>8.9703268236625408E-5</v>
      </c>
      <c r="BN102" s="724">
        <v>3.6021766001816031E-3</v>
      </c>
      <c r="BO102" s="725">
        <v>3.2146227012165254E-2</v>
      </c>
      <c r="BP102" s="724">
        <v>0.11632350055551947</v>
      </c>
      <c r="BQ102" s="724">
        <v>0.28313219572791709</v>
      </c>
      <c r="BR102" s="724">
        <v>0.48890133308182038</v>
      </c>
      <c r="BS102" s="724">
        <v>0.68558473327399072</v>
      </c>
      <c r="BT102" s="724">
        <v>0.84284345646714953</v>
      </c>
      <c r="BW102" s="1190">
        <f>'2018'!R\Max</f>
        <v>0</v>
      </c>
      <c r="BX102" s="1188">
        <f>'2019'!R\Max</f>
        <v>0.98333525619290207</v>
      </c>
      <c r="BY102" s="1188">
        <f>'2020'!R\Max</f>
        <v>0.96527408840243689</v>
      </c>
      <c r="BZ102" s="1188">
        <f>'2021'!R\Max</f>
        <v>1.0172575910299191</v>
      </c>
      <c r="CA102" s="1188">
        <f>'2022'!R\Max</f>
        <v>0.58073768657497182</v>
      </c>
      <c r="CB102" s="1188">
        <f>'2023'!R\Max</f>
        <v>0.5791417026384108</v>
      </c>
      <c r="CC102" s="1188">
        <f>'2024'!R\Max</f>
        <v>0.57694336789721479</v>
      </c>
      <c r="CD102" s="1188">
        <f>'2025'!R\Max</f>
        <v>0.57374714379329683</v>
      </c>
      <c r="CE102" s="1188">
        <f>'2026'!R\Max</f>
        <v>0.56998986080445291</v>
      </c>
      <c r="CF102" s="1189">
        <f>'2027'!R\Max</f>
        <v>0.5659883299967241</v>
      </c>
    </row>
    <row r="103" spans="1:84" s="6" customFormat="1" ht="11.25" x14ac:dyDescent="0.2">
      <c r="A103" s="11">
        <v>43189</v>
      </c>
      <c r="B103" s="380">
        <f>'2023'!Maxi_hp</f>
        <v>48.853038467776038</v>
      </c>
      <c r="C103" s="13">
        <f>'2023'!An_max</f>
        <v>2019</v>
      </c>
      <c r="D103" s="1059">
        <f t="shared" si="59"/>
        <v>0.99588352841930194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51">
        <f t="shared" si="62"/>
        <v>0.7857142857142857</v>
      </c>
      <c r="J103" s="744">
        <f t="shared" si="63"/>
        <v>49.054971865351703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2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51">
        <f t="shared" si="67"/>
        <v>0.10714285714285714</v>
      </c>
      <c r="AT103" s="767">
        <f t="shared" si="68"/>
        <v>49.105318294066407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51">
        <f t="shared" si="72"/>
        <v>0.6071428571428571</v>
      </c>
      <c r="AY103" s="767">
        <f t="shared" si="73"/>
        <v>48.759229409967418</v>
      </c>
      <c r="AZ103" s="744">
        <f t="shared" si="77"/>
        <v>48.932273852016912</v>
      </c>
      <c r="BA103" s="642">
        <f t="shared" si="74"/>
        <v>0.99588352841930194</v>
      </c>
      <c r="BC103" s="11">
        <v>43189</v>
      </c>
      <c r="BD103" s="290">
        <f>[2]!FeuilCaduc*(1-Persistant)+Persistant</f>
        <v>0.61325436630966779</v>
      </c>
      <c r="BE103" s="291">
        <f>[2]!CroissVégét</f>
        <v>4.8009969311812332E-2</v>
      </c>
      <c r="BF103" s="814">
        <f>1+[2]!Salcycl*Ksac</f>
        <v>1.0016567957887086</v>
      </c>
      <c r="BH103" s="1050">
        <f t="shared" si="75"/>
        <v>3.0597269039375416E-2</v>
      </c>
      <c r="BI103" s="11">
        <v>44285</v>
      </c>
      <c r="BJ103" s="724">
        <v>3.5919148445592606E-6</v>
      </c>
      <c r="BK103" s="724">
        <v>3.5919148445592594E-6</v>
      </c>
      <c r="BL103" s="724">
        <v>3.5919148445592594E-6</v>
      </c>
      <c r="BM103" s="724">
        <v>8.822010811832986E-5</v>
      </c>
      <c r="BN103" s="724">
        <v>3.3452011570673915E-3</v>
      </c>
      <c r="BO103" s="725">
        <v>3.0597269039375416E-2</v>
      </c>
      <c r="BP103" s="724">
        <v>0.11238747562928486</v>
      </c>
      <c r="BQ103" s="724">
        <v>0.277926064705113</v>
      </c>
      <c r="BR103" s="724">
        <v>0.48631301357726148</v>
      </c>
      <c r="BS103" s="724">
        <v>0.68944889655062269</v>
      </c>
      <c r="BT103" s="724">
        <v>0.85503574518447834</v>
      </c>
      <c r="BW103" s="1190">
        <f>'2018'!R\Max</f>
        <v>0</v>
      </c>
      <c r="BX103" s="1188">
        <f>'2019'!R\Max</f>
        <v>0.99588352841930194</v>
      </c>
      <c r="BY103" s="1188">
        <f>'2020'!R\Max</f>
        <v>0.52582685842536414</v>
      </c>
      <c r="BZ103" s="1188">
        <f>'2021'!R\Max</f>
        <v>0.93345535084292286</v>
      </c>
      <c r="CA103" s="1188">
        <f>'2022'!R\Max</f>
        <v>0.17757358043814403</v>
      </c>
      <c r="CB103" s="1188">
        <f>'2023'!R\Max</f>
        <v>0.17678904785959515</v>
      </c>
      <c r="CC103" s="1188">
        <f>'2024'!R\Max</f>
        <v>0.17569904771296094</v>
      </c>
      <c r="CD103" s="1188">
        <f>'2025'!R\Max</f>
        <v>0.17411119971071584</v>
      </c>
      <c r="CE103" s="1188">
        <f>'2026'!R\Max</f>
        <v>0.1722300641558504</v>
      </c>
      <c r="CF103" s="1189">
        <f>'2027'!R\Max</f>
        <v>0.17023357772324646</v>
      </c>
    </row>
    <row r="104" spans="1:84" s="6" customFormat="1" ht="11.25" x14ac:dyDescent="0.2">
      <c r="A104" s="11">
        <v>43190</v>
      </c>
      <c r="B104" s="380">
        <f>'2023'!Maxi_hp</f>
        <v>44.47420567428135</v>
      </c>
      <c r="C104" s="13">
        <f>'2023'!An_max</f>
        <v>2021</v>
      </c>
      <c r="D104" s="1059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51">
        <f t="shared" si="62"/>
        <v>0.8571428571428571</v>
      </c>
      <c r="J104" s="744">
        <f t="shared" si="63"/>
        <v>49.477718948812353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2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51">
        <f t="shared" si="67"/>
        <v>7.1428571428571425E-2</v>
      </c>
      <c r="AT104" s="767">
        <f t="shared" si="68"/>
        <v>49.512449563321262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51">
        <f t="shared" si="72"/>
        <v>0.5714285714285714</v>
      </c>
      <c r="AY104" s="767">
        <f t="shared" si="73"/>
        <v>49.180027988446611</v>
      </c>
      <c r="AZ104" s="744">
        <f t="shared" si="77"/>
        <v>49.346238775883933</v>
      </c>
      <c r="BA104" s="642">
        <f t="shared" si="74"/>
        <v>0.89887340441649233</v>
      </c>
      <c r="BC104" s="11">
        <v>43190</v>
      </c>
      <c r="BD104" s="290">
        <f>[2]!FeuilCaduc*(1-Persistant)+Persistant</f>
        <v>0.6142598660069285</v>
      </c>
      <c r="BE104" s="291">
        <f>[2]!CroissVégét</f>
        <v>4.9976218279140845E-2</v>
      </c>
      <c r="BF104" s="814">
        <f>1+[2]!Salcycl*Ksac</f>
        <v>1.0017824832508662</v>
      </c>
      <c r="BH104" s="1050">
        <f t="shared" si="75"/>
        <v>2.9028132340705063E-2</v>
      </c>
      <c r="BI104" s="11">
        <v>44286</v>
      </c>
      <c r="BJ104" s="724">
        <v>3.3387206427223192E-6</v>
      </c>
      <c r="BK104" s="724">
        <v>3.3387206427223188E-6</v>
      </c>
      <c r="BL104" s="724">
        <v>3.3387206427223188E-6</v>
      </c>
      <c r="BM104" s="724">
        <v>8.6977694023285365E-5</v>
      </c>
      <c r="BN104" s="724">
        <v>3.1064178132006585E-3</v>
      </c>
      <c r="BO104" s="725">
        <v>2.9028132340705063E-2</v>
      </c>
      <c r="BP104" s="724">
        <v>0.1084202053160898</v>
      </c>
      <c r="BQ104" s="724">
        <v>0.27231462854096311</v>
      </c>
      <c r="BR104" s="724">
        <v>0.48300244376188489</v>
      </c>
      <c r="BS104" s="724">
        <v>0.69234389526597095</v>
      </c>
      <c r="BT104" s="724">
        <v>0.86645482907919702</v>
      </c>
      <c r="BW104" s="1190">
        <f>'2018'!R\Max</f>
        <v>0</v>
      </c>
      <c r="BX104" s="1188">
        <f>'2019'!R\Max</f>
        <v>0.81514495351120497</v>
      </c>
      <c r="BY104" s="1188">
        <f>'2020'!R\Max</f>
        <v>0.40347739565012125</v>
      </c>
      <c r="BZ104" s="1188">
        <f>'2021'!R\Max</f>
        <v>0.89887340441649233</v>
      </c>
      <c r="CA104" s="1188">
        <f>'2022'!R\Max</f>
        <v>0.63814453032657625</v>
      </c>
      <c r="CB104" s="1188">
        <f>'2023'!R\Max</f>
        <v>0.63673684494408533</v>
      </c>
      <c r="CC104" s="1188">
        <f>'2024'!R\Max</f>
        <v>0.63474661845777447</v>
      </c>
      <c r="CD104" s="1188">
        <f>'2025'!R\Max</f>
        <v>0.63180512480485818</v>
      </c>
      <c r="CE104" s="1188">
        <f>'2026'!R\Max</f>
        <v>0.62822904037448934</v>
      </c>
      <c r="CF104" s="1189">
        <f>'2027'!R\Max</f>
        <v>0.62437183504909211</v>
      </c>
    </row>
    <row r="105" spans="1:84" s="6" customFormat="1" ht="11.25" x14ac:dyDescent="0.2">
      <c r="A105" s="11">
        <v>43191</v>
      </c>
      <c r="B105" s="380">
        <f>'2023'!Maxi_hp</f>
        <v>45.531723733193161</v>
      </c>
      <c r="C105" s="13">
        <f>'2023'!An_max</f>
        <v>2021</v>
      </c>
      <c r="D105" s="1059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51">
        <f t="shared" si="62"/>
        <v>0.9285714285714286</v>
      </c>
      <c r="J105" s="744">
        <f t="shared" si="63"/>
        <v>49.890468949159342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2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51">
        <f t="shared" si="67"/>
        <v>3.5714285714285712E-2</v>
      </c>
      <c r="AT105" s="767">
        <f t="shared" si="68"/>
        <v>49.908287827417787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51">
        <f t="shared" si="72"/>
        <v>0.5357142857142857</v>
      </c>
      <c r="AY105" s="767">
        <f t="shared" si="73"/>
        <v>49.597994060481767</v>
      </c>
      <c r="AZ105" s="744">
        <f t="shared" si="77"/>
        <v>49.753140943949774</v>
      </c>
      <c r="BA105" s="642">
        <f t="shared" si="74"/>
        <v>0.91263370924799403</v>
      </c>
      <c r="BC105" s="11">
        <v>43191</v>
      </c>
      <c r="BD105" s="290">
        <f>[2]!FeuilCaduc*(1-Persistant)+Persistant</f>
        <v>0.61533895731289323</v>
      </c>
      <c r="BE105" s="291">
        <f>[2]!CroissVégét</f>
        <v>5.201633641771132E-2</v>
      </c>
      <c r="BF105" s="814">
        <f>1+[2]!Salcycl*Ksac</f>
        <v>1.0019173696641117</v>
      </c>
      <c r="BH105" s="1050">
        <f t="shared" si="75"/>
        <v>2.74388257059653E-2</v>
      </c>
      <c r="BI105" s="11">
        <v>44287</v>
      </c>
      <c r="BJ105" s="724">
        <v>3.077692164702226E-6</v>
      </c>
      <c r="BK105" s="724">
        <v>3.0776921647022256E-6</v>
      </c>
      <c r="BL105" s="724">
        <v>3.0776921647022256E-6</v>
      </c>
      <c r="BM105" s="724">
        <v>8.5975964562324709E-5</v>
      </c>
      <c r="BN105" s="724">
        <v>2.8858243715396948E-3</v>
      </c>
      <c r="BO105" s="725">
        <v>2.74388257059653E-2</v>
      </c>
      <c r="BP105" s="724">
        <v>0.10442169689462492</v>
      </c>
      <c r="BQ105" s="724">
        <v>0.26629792646018619</v>
      </c>
      <c r="BR105" s="724">
        <v>0.47896963299826756</v>
      </c>
      <c r="BS105" s="724">
        <v>0.69426966056111139</v>
      </c>
      <c r="BT105" s="724">
        <v>0.8771004687638676</v>
      </c>
      <c r="BW105" s="1190">
        <f>'2018'!R\Max</f>
        <v>0</v>
      </c>
      <c r="BX105" s="1188">
        <f>'2019'!R\Max</f>
        <v>0.7522654936470986</v>
      </c>
      <c r="BY105" s="1188">
        <f>'2020'!R\Max</f>
        <v>0.88925562345074405</v>
      </c>
      <c r="BZ105" s="1188">
        <f>'2021'!R\Max</f>
        <v>0.91263370924799403</v>
      </c>
      <c r="CA105" s="1188">
        <f>'2022'!R\Max</f>
        <v>0.67946821643983413</v>
      </c>
      <c r="CB105" s="1188">
        <f>'2023'!R\Max</f>
        <v>0.67818902451248975</v>
      </c>
      <c r="CC105" s="1188">
        <f>'2024'!R\Max</f>
        <v>0.67635790275123309</v>
      </c>
      <c r="CD105" s="1188">
        <f>'2025'!R\Max</f>
        <v>0.67363206612201576</v>
      </c>
      <c r="CE105" s="1188">
        <f>'2026'!R\Max</f>
        <v>0.67025712126656356</v>
      </c>
      <c r="CF105" s="1189">
        <f>'2027'!R\Max</f>
        <v>0.666591811509743</v>
      </c>
    </row>
    <row r="106" spans="1:84" s="6" customFormat="1" ht="11.25" x14ac:dyDescent="0.2">
      <c r="A106" s="11">
        <v>43192</v>
      </c>
      <c r="B106" s="380">
        <f>'2023'!Maxi_hp</f>
        <v>41.845132643511377</v>
      </c>
      <c r="C106" s="13">
        <f>'2023'!An_max</f>
        <v>2021</v>
      </c>
      <c r="D106" s="1059" t="str">
        <f t="shared" si="59"/>
        <v/>
      </c>
      <c r="E106" s="1054">
        <f>T$13/10</f>
        <v>50.292000000000002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51">
        <f t="shared" si="62"/>
        <v>1</v>
      </c>
      <c r="J106" s="744">
        <f t="shared" si="63"/>
        <v>50.291999999433756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2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51">
        <f t="shared" si="67"/>
        <v>0</v>
      </c>
      <c r="AT106" s="767">
        <f t="shared" si="68"/>
        <v>50.291999999433756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51">
        <f t="shared" si="72"/>
        <v>0.5</v>
      </c>
      <c r="AY106" s="767">
        <f t="shared" si="73"/>
        <v>50.012600000295791</v>
      </c>
      <c r="AZ106" s="744">
        <f t="shared" si="77"/>
        <v>50.152299999864773</v>
      </c>
      <c r="BA106" s="642">
        <f t="shared" si="74"/>
        <v>0.83204351873026561</v>
      </c>
      <c r="BC106" s="11">
        <v>43192</v>
      </c>
      <c r="BD106" s="290">
        <f>[2]!FeuilCaduc*(1-Persistant)+Persistant</f>
        <v>0.61649447616572062</v>
      </c>
      <c r="BE106" s="291">
        <f>[2]!CroissVégét</f>
        <v>5.4132744516590045E-2</v>
      </c>
      <c r="BF106" s="814">
        <f>1+[2]!Salcycl*Ksac</f>
        <v>1.002061809520715</v>
      </c>
      <c r="BH106" s="1050">
        <f t="shared" si="75"/>
        <v>2.582936034375841E-2</v>
      </c>
      <c r="BI106" s="11">
        <v>44288</v>
      </c>
      <c r="BJ106" s="724">
        <v>2.8088325968136672E-6</v>
      </c>
      <c r="BK106" s="724">
        <v>2.8088325968136672E-6</v>
      </c>
      <c r="BL106" s="724">
        <v>2.8088325968136672E-6</v>
      </c>
      <c r="BM106" s="724">
        <v>8.5214855068007774E-5</v>
      </c>
      <c r="BN106" s="724">
        <v>2.6834185738950772E-3</v>
      </c>
      <c r="BO106" s="725">
        <v>2.582936034375841E-2</v>
      </c>
      <c r="BP106" s="724">
        <v>0.10039196335489375</v>
      </c>
      <c r="BQ106" s="724">
        <v>0.2598760130420803</v>
      </c>
      <c r="BR106" s="724">
        <v>0.47421460942022448</v>
      </c>
      <c r="BS106" s="724">
        <v>0.69522613933599919</v>
      </c>
      <c r="BT106" s="724">
        <v>0.88697242568074075</v>
      </c>
      <c r="BW106" s="1190">
        <f>'2018'!R\Max</f>
        <v>0</v>
      </c>
      <c r="BX106" s="1188">
        <f>'2019'!R\Max</f>
        <v>0.34532657787131327</v>
      </c>
      <c r="BY106" s="1188">
        <f>'2020'!R\Max</f>
        <v>0.79183125966617773</v>
      </c>
      <c r="BZ106" s="1188">
        <f>'2021'!R\Max</f>
        <v>0.83204351873026561</v>
      </c>
      <c r="CA106" s="1188">
        <f>'2022'!R\Max</f>
        <v>0.45130890836661536</v>
      </c>
      <c r="CB106" s="1188">
        <f>'2023'!R\Max</f>
        <v>0.44991073245021174</v>
      </c>
      <c r="CC106" s="1188">
        <f>'2024'!R\Max</f>
        <v>0.4478930702357477</v>
      </c>
      <c r="CD106" s="1188">
        <f>'2025'!R\Max</f>
        <v>0.44488703275057495</v>
      </c>
      <c r="CE106" s="1188">
        <f>'2026'!R\Max</f>
        <v>0.44112137206861923</v>
      </c>
      <c r="CF106" s="1189">
        <f>'2027'!R\Max</f>
        <v>0.43703860174336157</v>
      </c>
    </row>
    <row r="107" spans="1:84" s="6" customFormat="1" ht="11.25" x14ac:dyDescent="0.2">
      <c r="A107" s="11">
        <v>43193</v>
      </c>
      <c r="B107" s="380">
        <f>'2023'!Maxi_hp</f>
        <v>50.711672503234396</v>
      </c>
      <c r="C107" s="13">
        <f>'2023'!An_max</f>
        <v>2021</v>
      </c>
      <c r="D107" s="1059">
        <f t="shared" si="59"/>
        <v>1.0005478716982859</v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51">
        <f t="shared" si="62"/>
        <v>0.9285714285714286</v>
      </c>
      <c r="J107" s="744">
        <f t="shared" si="63"/>
        <v>50.683904226550034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2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51">
        <f t="shared" si="67"/>
        <v>3.5714285714285712E-2</v>
      </c>
      <c r="AT107" s="767">
        <f t="shared" si="68"/>
        <v>50.667404409710848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51">
        <f t="shared" si="72"/>
        <v>0.4642857142857143</v>
      </c>
      <c r="AY107" s="767">
        <f t="shared" si="73"/>
        <v>50.423318185304694</v>
      </c>
      <c r="AZ107" s="744">
        <f t="shared" si="77"/>
        <v>50.545361297507768</v>
      </c>
      <c r="BA107" s="642">
        <f t="shared" si="74"/>
        <v>1.0005478716982859</v>
      </c>
      <c r="BC107" s="11">
        <v>43193</v>
      </c>
      <c r="BD107" s="290">
        <f>[2]!FeuilCaduc*(1-Persistant)+Persistant</f>
        <v>0.61772919610771782</v>
      </c>
      <c r="BE107" s="291">
        <f>[2]!CroissVégét</f>
        <v>5.6327914126217182E-2</v>
      </c>
      <c r="BF107" s="814">
        <f>1+[2]!Salcycl*Ksac</f>
        <v>1.0022161495134647</v>
      </c>
      <c r="BH107" s="1050">
        <f t="shared" si="75"/>
        <v>2.4199749946445193E-2</v>
      </c>
      <c r="BI107" s="11">
        <v>44289</v>
      </c>
      <c r="BJ107" s="724">
        <v>2.5321456335411343E-6</v>
      </c>
      <c r="BK107" s="724">
        <v>2.5321456335411339E-6</v>
      </c>
      <c r="BL107" s="724">
        <v>2.5321456335411339E-6</v>
      </c>
      <c r="BM107" s="724">
        <v>8.4694296822716849E-5</v>
      </c>
      <c r="BN107" s="724">
        <v>2.4991980426889407E-3</v>
      </c>
      <c r="BO107" s="725">
        <v>2.4199749946445193E-2</v>
      </c>
      <c r="BP107" s="724">
        <v>9.6331023498758953E-2</v>
      </c>
      <c r="BQ107" s="724">
        <v>0.25304895951880035</v>
      </c>
      <c r="BR107" s="724">
        <v>0.46873742224384146</v>
      </c>
      <c r="BS107" s="724">
        <v>0.69521329734738158</v>
      </c>
      <c r="BT107" s="724">
        <v>0.89607046456676231</v>
      </c>
      <c r="BW107" s="1190">
        <f>'2018'!R\Max</f>
        <v>0</v>
      </c>
      <c r="BX107" s="1188">
        <f>'2019'!R\Max</f>
        <v>0.3172291230244374</v>
      </c>
      <c r="BY107" s="1188">
        <f>'2020'!R\Max</f>
        <v>0.54688965069913453</v>
      </c>
      <c r="BZ107" s="1188">
        <f>'2021'!R\Max</f>
        <v>1.0005478716982859</v>
      </c>
      <c r="CA107" s="1188">
        <f>'2022'!R\Max</f>
        <v>0.44775710966880705</v>
      </c>
      <c r="CB107" s="1188">
        <f>'2023'!R\Max</f>
        <v>0.44641431227063333</v>
      </c>
      <c r="CC107" s="1188">
        <f>'2024'!R\Max</f>
        <v>0.44445577852557772</v>
      </c>
      <c r="CD107" s="1188">
        <f>'2025'!R\Max</f>
        <v>0.44152401710431366</v>
      </c>
      <c r="CE107" s="1188">
        <f>'2026'!R\Max</f>
        <v>0.43778101528021784</v>
      </c>
      <c r="CF107" s="1189">
        <f>'2027'!R\Max</f>
        <v>0.43369988680072896</v>
      </c>
    </row>
    <row r="108" spans="1:84" s="6" customFormat="1" ht="11.25" x14ac:dyDescent="0.2">
      <c r="A108" s="11">
        <v>43194</v>
      </c>
      <c r="B108" s="380">
        <f>'2023'!Maxi_hp</f>
        <v>52.742592428937442</v>
      </c>
      <c r="C108" s="13">
        <f>'2023'!An_max</f>
        <v>2020</v>
      </c>
      <c r="D108" s="1059">
        <f t="shared" si="59"/>
        <v>1.032778027862322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51">
        <f t="shared" si="62"/>
        <v>0.8571428571428571</v>
      </c>
      <c r="J108" s="744">
        <f t="shared" si="63"/>
        <v>51.068662390219316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2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51">
        <f t="shared" si="67"/>
        <v>7.1428571428571425E-2</v>
      </c>
      <c r="AT108" s="767">
        <f t="shared" si="68"/>
        <v>51.038782215544153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51">
        <f t="shared" si="72"/>
        <v>0.42857142857142855</v>
      </c>
      <c r="AY108" s="767">
        <f t="shared" si="73"/>
        <v>50.82962099156741</v>
      </c>
      <c r="AZ108" s="744">
        <f t="shared" si="77"/>
        <v>50.934201603555778</v>
      </c>
      <c r="BA108" s="642">
        <f t="shared" si="74"/>
        <v>1.032778027862322</v>
      </c>
      <c r="BC108" s="11">
        <v>43194</v>
      </c>
      <c r="BD108" s="290">
        <f>[2]!FeuilCaduc*(1-Persistant)+Persistant</f>
        <v>0.6190458222951799</v>
      </c>
      <c r="BE108" s="291">
        <f>[2]!CroissVégét</f>
        <v>5.8604366195922526E-2</v>
      </c>
      <c r="BF108" s="814">
        <f>1+[2]!Salcycl*Ksac</f>
        <v>1.0023807277868975</v>
      </c>
      <c r="BH108" s="1050">
        <f t="shared" si="75"/>
        <v>2.262842391307299E-2</v>
      </c>
      <c r="BI108" s="11">
        <v>44290</v>
      </c>
      <c r="BJ108" s="724">
        <v>2.2668791041272077E-6</v>
      </c>
      <c r="BK108" s="724">
        <v>2.2668791041272077E-6</v>
      </c>
      <c r="BL108" s="724">
        <v>2.2668791041272077E-6</v>
      </c>
      <c r="BM108" s="724">
        <v>8.4429473930670479E-5</v>
      </c>
      <c r="BN108" s="724">
        <v>2.3419397834722037E-3</v>
      </c>
      <c r="BO108" s="725">
        <v>2.262842391307299E-2</v>
      </c>
      <c r="BP108" s="724">
        <v>9.2298870127187418E-2</v>
      </c>
      <c r="BQ108" s="724">
        <v>0.24580639240531946</v>
      </c>
      <c r="BR108" s="724">
        <v>0.46234171838298083</v>
      </c>
      <c r="BS108" s="724">
        <v>0.69387470429337883</v>
      </c>
      <c r="BT108" s="724">
        <v>0.90385905103712116</v>
      </c>
      <c r="BW108" s="1190">
        <f>'2018'!R\Max</f>
        <v>0</v>
      </c>
      <c r="BX108" s="1188">
        <f>'2019'!R\Max</f>
        <v>0.81729636629476898</v>
      </c>
      <c r="BY108" s="1188">
        <f>'2020'!R\Max</f>
        <v>1.032778027862322</v>
      </c>
      <c r="BZ108" s="1188">
        <f>'2021'!R\Max</f>
        <v>0.98457749289583263</v>
      </c>
      <c r="CA108" s="1188">
        <f>'2022'!R\Max</f>
        <v>0.97702836348145605</v>
      </c>
      <c r="CB108" s="1188">
        <f>'2023'!R\Max</f>
        <v>0.97691095776109504</v>
      </c>
      <c r="CC108" s="1188">
        <f>'2024'!R\Max</f>
        <v>0.97673681451047745</v>
      </c>
      <c r="CD108" s="1188">
        <f>'2025'!R\Max</f>
        <v>0.9764724144859005</v>
      </c>
      <c r="CE108" s="1188">
        <f>'2026'!R\Max</f>
        <v>0.97612310245955614</v>
      </c>
      <c r="CF108" s="1189">
        <f>'2027'!R\Max</f>
        <v>0.97573342503545868</v>
      </c>
    </row>
    <row r="109" spans="1:84" s="6" customFormat="1" ht="11.25" x14ac:dyDescent="0.2">
      <c r="A109" s="11">
        <v>43195</v>
      </c>
      <c r="B109" s="380">
        <f>'2023'!Maxi_hp</f>
        <v>53.625563554782609</v>
      </c>
      <c r="C109" s="13">
        <f>'2023'!An_max</f>
        <v>2020</v>
      </c>
      <c r="D109" s="1059">
        <f t="shared" si="59"/>
        <v>1.0423582330148666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51">
        <f t="shared" si="62"/>
        <v>0.7857142857142857</v>
      </c>
      <c r="J109" s="744">
        <f t="shared" si="63"/>
        <v>51.446385567156334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2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51">
        <f t="shared" si="67"/>
        <v>0.10714285714285714</v>
      </c>
      <c r="AT109" s="767">
        <f t="shared" si="68"/>
        <v>51.405994570202061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51">
        <f t="shared" si="72"/>
        <v>0.39285714285714285</v>
      </c>
      <c r="AY109" s="767">
        <f t="shared" si="73"/>
        <v>51.230980794863513</v>
      </c>
      <c r="AZ109" s="744">
        <f t="shared" si="77"/>
        <v>51.31848768253279</v>
      </c>
      <c r="BA109" s="642">
        <f t="shared" si="74"/>
        <v>1.0423582330148666</v>
      </c>
      <c r="BC109" s="11">
        <v>43195</v>
      </c>
      <c r="BD109" s="290">
        <f>[2]!FeuilCaduc*(1-Persistant)+Persistant</f>
        <v>0.62044698577760438</v>
      </c>
      <c r="BE109" s="291">
        <f>[2]!CroissVégét</f>
        <v>6.0964669451959982E-2</v>
      </c>
      <c r="BF109" s="814">
        <f>1+[2]!Salcycl*Ksac</f>
        <v>1.0025558732222006</v>
      </c>
      <c r="BH109" s="1050">
        <f t="shared" si="75"/>
        <v>2.1125389940800612E-2</v>
      </c>
      <c r="BI109" s="11">
        <v>44291</v>
      </c>
      <c r="BJ109" s="724">
        <v>2.0396637989974456E-6</v>
      </c>
      <c r="BK109" s="724">
        <v>2.039663798997446E-6</v>
      </c>
      <c r="BL109" s="724">
        <v>2.039663798997446E-6</v>
      </c>
      <c r="BM109" s="724">
        <v>8.4323547667944428E-5</v>
      </c>
      <c r="BN109" s="724">
        <v>2.210733112301507E-3</v>
      </c>
      <c r="BO109" s="725">
        <v>2.1125389940800612E-2</v>
      </c>
      <c r="BP109" s="724">
        <v>8.8355769643715276E-2</v>
      </c>
      <c r="BQ109" s="724">
        <v>0.23842417663188872</v>
      </c>
      <c r="BR109" s="724">
        <v>0.45546027285487106</v>
      </c>
      <c r="BS109" s="724">
        <v>0.6916568117181634</v>
      </c>
      <c r="BT109" s="724">
        <v>0.91052964701402705</v>
      </c>
      <c r="BW109" s="1190">
        <f>'2018'!R\Max</f>
        <v>0</v>
      </c>
      <c r="BX109" s="1188">
        <f>'2019'!R\Max</f>
        <v>0.91511869550185798</v>
      </c>
      <c r="BY109" s="1188">
        <f>'2020'!R\Max</f>
        <v>1.0423582330148666</v>
      </c>
      <c r="BZ109" s="1188">
        <f>'2021'!R\Max</f>
        <v>0.96583715506976553</v>
      </c>
      <c r="CA109" s="1188">
        <f>'2022'!R\Max</f>
        <v>0.99791779413544413</v>
      </c>
      <c r="CB109" s="1188">
        <f>'2023'!R\Max</f>
        <v>0.9979073591668205</v>
      </c>
      <c r="CC109" s="1188">
        <f>'2024'!R\Max</f>
        <v>0.99789173286270683</v>
      </c>
      <c r="CD109" s="1188">
        <f>'2025'!R\Max</f>
        <v>0.99786792637729127</v>
      </c>
      <c r="CE109" s="1188">
        <f>'2026'!R\Max</f>
        <v>0.99783581434415647</v>
      </c>
      <c r="CF109" s="1189">
        <f>'2027'!R\Max</f>
        <v>0.99779976380446223</v>
      </c>
    </row>
    <row r="110" spans="1:84" s="6" customFormat="1" ht="11.25" x14ac:dyDescent="0.2">
      <c r="A110" s="11">
        <v>43196</v>
      </c>
      <c r="B110" s="380">
        <f>'2023'!Maxi_hp</f>
        <v>54.126950024967606</v>
      </c>
      <c r="C110" s="13">
        <f>'2023'!An_max</f>
        <v>2020</v>
      </c>
      <c r="D110" s="1059">
        <f t="shared" si="59"/>
        <v>1.0445752735025475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51">
        <f t="shared" si="62"/>
        <v>0.7142857142857143</v>
      </c>
      <c r="J110" s="744">
        <f t="shared" si="63"/>
        <v>51.817184838652608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2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51">
        <f t="shared" si="67"/>
        <v>0.14285714285714285</v>
      </c>
      <c r="AT110" s="767">
        <f t="shared" si="68"/>
        <v>51.7689026241856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51">
        <f t="shared" si="72"/>
        <v>0.35714285714285715</v>
      </c>
      <c r="AY110" s="767">
        <f t="shared" si="73"/>
        <v>51.626869971118865</v>
      </c>
      <c r="AZ110" s="744">
        <f t="shared" si="77"/>
        <v>51.697886297652232</v>
      </c>
      <c r="BA110" s="642">
        <f t="shared" si="74"/>
        <v>1.0445752735025475</v>
      </c>
      <c r="BC110" s="11">
        <v>43196</v>
      </c>
      <c r="BD110" s="290">
        <f>[2]!FeuilCaduc*(1-Persistant)+Persistant</f>
        <v>0.621935238012983</v>
      </c>
      <c r="BE110" s="291">
        <f>[2]!CroissVégét</f>
        <v>6.3411438498040387E-2</v>
      </c>
      <c r="BF110" s="814">
        <f>1+[2]!Salcycl*Ksac</f>
        <v>1.0027419047516228</v>
      </c>
      <c r="BH110" s="1050">
        <f t="shared" si="75"/>
        <v>1.9690645523765E-2</v>
      </c>
      <c r="BI110" s="11">
        <v>44292</v>
      </c>
      <c r="BJ110" s="724">
        <v>1.8504929285248755E-6</v>
      </c>
      <c r="BK110" s="724">
        <v>1.8504929285248757E-6</v>
      </c>
      <c r="BL110" s="724">
        <v>1.8504929285248757E-6</v>
      </c>
      <c r="BM110" s="724">
        <v>8.4376453417253294E-5</v>
      </c>
      <c r="BN110" s="724">
        <v>2.1055727771376151E-3</v>
      </c>
      <c r="BO110" s="725">
        <v>1.9690645523765E-2</v>
      </c>
      <c r="BP110" s="724">
        <v>8.4501726884731412E-2</v>
      </c>
      <c r="BQ110" s="724">
        <v>0.23090237263399471</v>
      </c>
      <c r="BR110" s="724">
        <v>0.44809315368613128</v>
      </c>
      <c r="BS110" s="724">
        <v>0.68855964244236689</v>
      </c>
      <c r="BT110" s="724">
        <v>0.91608213872600031</v>
      </c>
      <c r="BW110" s="1190">
        <f>'2018'!R\Max</f>
        <v>0</v>
      </c>
      <c r="BX110" s="1188">
        <f>'2019'!R\Max</f>
        <v>0.41378562423519732</v>
      </c>
      <c r="BY110" s="1188">
        <f>'2020'!R\Max</f>
        <v>1.0445752735025475</v>
      </c>
      <c r="BZ110" s="1188">
        <f>'2021'!R\Max</f>
        <v>0.72337603669943884</v>
      </c>
      <c r="CA110" s="1188">
        <f>'2022'!R\Max</f>
        <v>0.24120426191163305</v>
      </c>
      <c r="CB110" s="1188">
        <f>'2023'!R\Max</f>
        <v>0.24039352443999679</v>
      </c>
      <c r="CC110" s="1188">
        <f>'2024'!R\Max</f>
        <v>0.23917896701263491</v>
      </c>
      <c r="CD110" s="1188">
        <f>'2025'!R\Max</f>
        <v>0.23734760597238908</v>
      </c>
      <c r="CE110" s="1188">
        <f>'2026'!R\Max</f>
        <v>0.23487069900728536</v>
      </c>
      <c r="CF110" s="1189">
        <f>'2027'!R\Max</f>
        <v>0.23213566008343922</v>
      </c>
    </row>
    <row r="111" spans="1:84" s="6" customFormat="1" ht="11.25" x14ac:dyDescent="0.2">
      <c r="A111" s="11">
        <v>43197</v>
      </c>
      <c r="B111" s="380">
        <f>'2023'!Maxi_hp</f>
        <v>53.441018311123912</v>
      </c>
      <c r="C111" s="13">
        <f>'2023'!An_max</f>
        <v>2021</v>
      </c>
      <c r="D111" s="1059">
        <f t="shared" si="59"/>
        <v>1.0241437092634975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51">
        <f t="shared" si="62"/>
        <v>0.6428571428571429</v>
      </c>
      <c r="J111" s="744">
        <f t="shared" si="63"/>
        <v>52.181171282646915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2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51">
        <f t="shared" si="67"/>
        <v>0.17857142857142858</v>
      </c>
      <c r="AT111" s="767">
        <f t="shared" si="68"/>
        <v>52.127367529885042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51">
        <f t="shared" si="72"/>
        <v>0.32142857142857145</v>
      </c>
      <c r="AY111" s="767">
        <f t="shared" si="73"/>
        <v>52.016760896671826</v>
      </c>
      <c r="AZ111" s="744">
        <f t="shared" si="77"/>
        <v>52.072064213278438</v>
      </c>
      <c r="BA111" s="642">
        <f t="shared" si="74"/>
        <v>1.0241437092634975</v>
      </c>
      <c r="BC111" s="11">
        <v>43197</v>
      </c>
      <c r="BD111" s="290">
        <f>[2]!FeuilCaduc*(1-Persistant)+Persistant</f>
        <v>0.62351304558212872</v>
      </c>
      <c r="BE111" s="291">
        <f>[2]!CroissVégét</f>
        <v>6.5947331619938404E-2</v>
      </c>
      <c r="BF111" s="814">
        <f>1+[2]!Salcycl*Ksac</f>
        <v>1.0029391306977662</v>
      </c>
      <c r="BH111" s="1050">
        <f t="shared" si="75"/>
        <v>1.8324188048913444E-2</v>
      </c>
      <c r="BI111" s="11">
        <v>44293</v>
      </c>
      <c r="BJ111" s="724">
        <v>1.6993588603540054E-6</v>
      </c>
      <c r="BK111" s="724">
        <v>1.699358860354006E-6</v>
      </c>
      <c r="BL111" s="724">
        <v>1.699358860354006E-6</v>
      </c>
      <c r="BM111" s="724">
        <v>8.4588121938956786E-5</v>
      </c>
      <c r="BN111" s="724">
        <v>2.0264529174285786E-3</v>
      </c>
      <c r="BO111" s="725">
        <v>1.8324188048913444E-2</v>
      </c>
      <c r="BP111" s="724">
        <v>8.0736749084285755E-2</v>
      </c>
      <c r="BQ111" s="724">
        <v>0.2232410544539366</v>
      </c>
      <c r="BR111" s="724">
        <v>0.44024045213302654</v>
      </c>
      <c r="BS111" s="724">
        <v>0.68458324819241712</v>
      </c>
      <c r="BT111" s="724">
        <v>0.92051643693238416</v>
      </c>
      <c r="BW111" s="1190">
        <f>'2018'!R\Max</f>
        <v>0</v>
      </c>
      <c r="BX111" s="1188">
        <f>'2019'!R\Max</f>
        <v>0.71758699492847045</v>
      </c>
      <c r="BY111" s="1188">
        <f>'2020'!R\Max</f>
        <v>0.59294281802524862</v>
      </c>
      <c r="BZ111" s="1188">
        <f>'2021'!R\Max</f>
        <v>1.0241437092634975</v>
      </c>
      <c r="CA111" s="1188">
        <f>'2022'!R\Max</f>
        <v>0.71485954023019416</v>
      </c>
      <c r="CB111" s="1188">
        <f>'2023'!R\Max</f>
        <v>0.71391949003183819</v>
      </c>
      <c r="CC111" s="1188">
        <f>'2024'!R\Max</f>
        <v>0.71249223872011236</v>
      </c>
      <c r="CD111" s="1188">
        <f>'2025'!R\Max</f>
        <v>0.71031974029196032</v>
      </c>
      <c r="CE111" s="1188">
        <f>'2026'!R\Max</f>
        <v>0.70728477018806313</v>
      </c>
      <c r="CF111" s="1189">
        <f>'2027'!R\Max</f>
        <v>0.70387051980959692</v>
      </c>
    </row>
    <row r="112" spans="1:84" s="6" customFormat="1" ht="11.25" x14ac:dyDescent="0.2">
      <c r="A112" s="11">
        <v>43198</v>
      </c>
      <c r="B112" s="380">
        <f>'2023'!Maxi_hp</f>
        <v>51.207037958344102</v>
      </c>
      <c r="C112" s="13">
        <f>'2023'!An_max</f>
        <v>2021</v>
      </c>
      <c r="D112" s="1059">
        <f t="shared" si="59"/>
        <v>0.97465821954403331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51">
        <f t="shared" si="62"/>
        <v>0.5714285714285714</v>
      </c>
      <c r="J112" s="744">
        <f t="shared" si="63"/>
        <v>52.53845597516213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2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51">
        <f t="shared" si="67"/>
        <v>0.21428571428571427</v>
      </c>
      <c r="AT112" s="767">
        <f t="shared" si="68"/>
        <v>52.481250437987704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51">
        <f t="shared" si="72"/>
        <v>0.2857142857142857</v>
      </c>
      <c r="AY112" s="767">
        <f t="shared" si="73"/>
        <v>52.400125948392919</v>
      </c>
      <c r="AZ112" s="744">
        <f t="shared" si="77"/>
        <v>52.440688193190311</v>
      </c>
      <c r="BA112" s="642">
        <f t="shared" si="74"/>
        <v>0.97465821954403331</v>
      </c>
      <c r="BC112" s="11">
        <v>43198</v>
      </c>
      <c r="BD112" s="290">
        <f>[2]!FeuilCaduc*(1-Persistant)+Persistant</f>
        <v>0.6251827850620636</v>
      </c>
      <c r="BE112" s="291">
        <f>[2]!CroissVégét</f>
        <v>6.8575048275425571E-2</v>
      </c>
      <c r="BF112" s="814">
        <f>1+[2]!Salcycl*Ksac</f>
        <v>1.003147848132758</v>
      </c>
      <c r="BH112" s="1050">
        <f t="shared" si="75"/>
        <v>1.7026014577630203E-2</v>
      </c>
      <c r="BI112" s="11">
        <v>44294</v>
      </c>
      <c r="BJ112" s="724">
        <v>1.5862529975133079E-6</v>
      </c>
      <c r="BK112" s="724">
        <v>1.5862529975133079E-6</v>
      </c>
      <c r="BL112" s="724">
        <v>1.5862529975133079E-6</v>
      </c>
      <c r="BM112" s="724">
        <v>8.4958478860982912E-5</v>
      </c>
      <c r="BN112" s="724">
        <v>1.9733669806407789E-3</v>
      </c>
      <c r="BO112" s="725">
        <v>1.7026014577630203E-2</v>
      </c>
      <c r="BP112" s="724">
        <v>7.7060845589763283E-2</v>
      </c>
      <c r="BQ112" s="724">
        <v>0.21544031019000245</v>
      </c>
      <c r="BR112" s="724">
        <v>0.4319022842379332</v>
      </c>
      <c r="BS112" s="724">
        <v>0.67972771241423213</v>
      </c>
      <c r="BT112" s="724">
        <v>0.9238324804958834</v>
      </c>
      <c r="BW112" s="1190">
        <f>'2018'!R\Max</f>
        <v>0</v>
      </c>
      <c r="BX112" s="1188">
        <f>'2019'!R\Max</f>
        <v>0.63683518186473964</v>
      </c>
      <c r="BY112" s="1188">
        <f>'2020'!R\Max</f>
        <v>0.66876823970151678</v>
      </c>
      <c r="BZ112" s="1188">
        <f>'2021'!R\Max</f>
        <v>0.97465821954403331</v>
      </c>
      <c r="CA112" s="1188">
        <f>'2022'!R\Max</f>
        <v>0.55715717436321965</v>
      </c>
      <c r="CB112" s="1188">
        <f>'2023'!R\Max</f>
        <v>0.55606801728542843</v>
      </c>
      <c r="CC112" s="1188">
        <f>'2024'!R\Max</f>
        <v>0.55440439493094962</v>
      </c>
      <c r="CD112" s="1188">
        <f>'2025'!R\Max</f>
        <v>0.55187570711411305</v>
      </c>
      <c r="CE112" s="1188">
        <f>'2026'!R\Max</f>
        <v>0.54827671022457325</v>
      </c>
      <c r="CF112" s="1189">
        <f>'2027'!R\Max</f>
        <v>0.54422516918857644</v>
      </c>
    </row>
    <row r="113" spans="1:84" s="6" customFormat="1" ht="11.25" x14ac:dyDescent="0.2">
      <c r="A113" s="11">
        <v>43199</v>
      </c>
      <c r="B113" s="380">
        <f>'2023'!Maxi_hp</f>
        <v>43.332487476984227</v>
      </c>
      <c r="C113" s="13">
        <f>'2023'!An_max</f>
        <v>2020</v>
      </c>
      <c r="D113" s="1059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51">
        <f t="shared" si="62"/>
        <v>0.5</v>
      </c>
      <c r="J113" s="744">
        <f t="shared" si="63"/>
        <v>52.889149999618532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2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51">
        <f t="shared" si="67"/>
        <v>0.25</v>
      </c>
      <c r="AT113" s="767">
        <f t="shared" si="68"/>
        <v>52.830412499606609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51">
        <f t="shared" si="72"/>
        <v>0.25</v>
      </c>
      <c r="AY113" s="767">
        <f t="shared" si="73"/>
        <v>52.776437500305477</v>
      </c>
      <c r="AZ113" s="744">
        <f t="shared" si="77"/>
        <v>52.803424999956043</v>
      </c>
      <c r="BA113" s="642">
        <f t="shared" si="74"/>
        <v>0.81930769311468921</v>
      </c>
      <c r="BC113" s="11">
        <v>43199</v>
      </c>
      <c r="BD113" s="290">
        <f>[2]!FeuilCaduc*(1-Persistant)+Persistant</f>
        <v>0.62694673801645262</v>
      </c>
      <c r="BE113" s="291">
        <f>[2]!CroissVégét</f>
        <v>7.1297326250557638E-2</v>
      </c>
      <c r="BF113" s="814">
        <f>1+[2]!Salcycl*Ksac</f>
        <v>1.0033683422520565</v>
      </c>
      <c r="BH113" s="1050">
        <f t="shared" si="75"/>
        <v>1.5796121627177553E-2</v>
      </c>
      <c r="BI113" s="11">
        <v>44295</v>
      </c>
      <c r="BJ113" s="724">
        <v>1.511165656509888E-6</v>
      </c>
      <c r="BK113" s="724">
        <v>1.5111656565098884E-6</v>
      </c>
      <c r="BL113" s="724">
        <v>1.5111656565098884E-6</v>
      </c>
      <c r="BM113" s="724">
        <v>8.5487444168001278E-5</v>
      </c>
      <c r="BN113" s="724">
        <v>1.9463076387704979E-3</v>
      </c>
      <c r="BO113" s="725">
        <v>1.5796121627177553E-2</v>
      </c>
      <c r="BP113" s="724">
        <v>7.3474027576778414E-2</v>
      </c>
      <c r="BQ113" s="724">
        <v>0.20750024244353915</v>
      </c>
      <c r="BR113" s="724">
        <v>0.42307879238176743</v>
      </c>
      <c r="BS113" s="724">
        <v>0.67399315308077024</v>
      </c>
      <c r="BT113" s="724">
        <v>0.92603023994700173</v>
      </c>
      <c r="BW113" s="1190">
        <f>'2018'!R\Max</f>
        <v>0</v>
      </c>
      <c r="BX113" s="1188">
        <f>'2019'!R\Max</f>
        <v>0.80500498860458103</v>
      </c>
      <c r="BY113" s="1188">
        <f>'2020'!R\Max</f>
        <v>0.81930769311468921</v>
      </c>
      <c r="BZ113" s="1188">
        <f>'2021'!R\Max</f>
        <v>0.58766005842077207</v>
      </c>
      <c r="CA113" s="1188">
        <f>'2022'!R\Max</f>
        <v>0.74328904855940614</v>
      </c>
      <c r="CB113" s="1188">
        <f>'2023'!R\Max</f>
        <v>0.74248232249498114</v>
      </c>
      <c r="CC113" s="1188">
        <f>'2024'!R\Max</f>
        <v>0.74123876815516343</v>
      </c>
      <c r="CD113" s="1188">
        <f>'2025'!R\Max</f>
        <v>0.73934152797497565</v>
      </c>
      <c r="CE113" s="1188">
        <f>'2026'!R\Max</f>
        <v>0.73656390319704734</v>
      </c>
      <c r="CF113" s="1189">
        <f>'2027'!R\Max</f>
        <v>0.7334010633463528</v>
      </c>
    </row>
    <row r="114" spans="1:84" s="6" customFormat="1" ht="11.25" x14ac:dyDescent="0.2">
      <c r="A114" s="11">
        <v>43200</v>
      </c>
      <c r="B114" s="380">
        <f>'2023'!Maxi_hp</f>
        <v>53.455243179157556</v>
      </c>
      <c r="C114" s="13">
        <f>'2023'!An_max</f>
        <v>2020</v>
      </c>
      <c r="D114" s="1059">
        <f t="shared" si="59"/>
        <v>1.004168039182616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51">
        <f t="shared" si="62"/>
        <v>0.42857142857142855</v>
      </c>
      <c r="J114" s="744">
        <f t="shared" si="63"/>
        <v>53.233364430389223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2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51">
        <f t="shared" si="67"/>
        <v>0.2857142857142857</v>
      </c>
      <c r="AT114" s="767">
        <f t="shared" si="68"/>
        <v>53.174714868728607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51">
        <f t="shared" si="72"/>
        <v>0.21428571428571427</v>
      </c>
      <c r="AY114" s="767">
        <f t="shared" si="73"/>
        <v>53.145167930849958</v>
      </c>
      <c r="AZ114" s="744">
        <f t="shared" si="77"/>
        <v>53.159941399789282</v>
      </c>
      <c r="BA114" s="642">
        <f t="shared" si="74"/>
        <v>1.004168039182616</v>
      </c>
      <c r="BC114" s="11">
        <v>43200</v>
      </c>
      <c r="BD114" s="290">
        <f>[2]!FeuilCaduc*(1-Persistant)+Persistant</f>
        <v>0.62880708605991731</v>
      </c>
      <c r="BE114" s="291">
        <f>[2]!CroissVégét</f>
        <v>7.4116938463242688E-2</v>
      </c>
      <c r="BF114" s="814">
        <f>1+[2]!Salcycl*Ksac</f>
        <v>1.0036008857574896</v>
      </c>
      <c r="BH114" s="1050">
        <f t="shared" si="75"/>
        <v>1.4694301378729327E-2</v>
      </c>
      <c r="BI114" s="11">
        <v>44296</v>
      </c>
      <c r="BJ114" s="724">
        <v>1.458493092391682E-6</v>
      </c>
      <c r="BK114" s="724">
        <v>1.4584930923916818E-6</v>
      </c>
      <c r="BL114" s="724">
        <v>1.4584930923916818E-6</v>
      </c>
      <c r="BM114" s="724">
        <v>8.6112437445615326E-5</v>
      </c>
      <c r="BN114" s="724">
        <v>1.9453073060007649E-3</v>
      </c>
      <c r="BO114" s="725">
        <v>1.4694301378729327E-2</v>
      </c>
      <c r="BP114" s="724">
        <v>7.0058967898541102E-2</v>
      </c>
      <c r="BQ114" s="724">
        <v>0.19960986042671616</v>
      </c>
      <c r="BR114" s="724">
        <v>0.41374993793053788</v>
      </c>
      <c r="BS114" s="724">
        <v>0.66710310401845474</v>
      </c>
      <c r="BT114" s="724">
        <v>0.9264089181493379</v>
      </c>
      <c r="BW114" s="1190">
        <f>'2018'!R\Max</f>
        <v>0</v>
      </c>
      <c r="BX114" s="1188">
        <f>'2019'!R\Max</f>
        <v>0.65166405685571849</v>
      </c>
      <c r="BY114" s="1188">
        <f>'2020'!R\Max</f>
        <v>1.004168039182616</v>
      </c>
      <c r="BZ114" s="1188">
        <f>'2021'!R\Max</f>
        <v>0.6496340510227866</v>
      </c>
      <c r="CA114" s="1188">
        <f>'2022'!R\Max</f>
        <v>0.97222844031078737</v>
      </c>
      <c r="CB114" s="1188">
        <f>'2023'!R\Max</f>
        <v>0.97211915751684563</v>
      </c>
      <c r="CC114" s="1188">
        <f>'2024'!R\Max</f>
        <v>0.9719491953390309</v>
      </c>
      <c r="CD114" s="1188">
        <f>'2025'!R\Max</f>
        <v>0.97168894961022112</v>
      </c>
      <c r="CE114" s="1188">
        <f>'2026'!R\Max</f>
        <v>0.97129678422746824</v>
      </c>
      <c r="CF114" s="1189">
        <f>'2027'!R\Max</f>
        <v>0.97084463904346252</v>
      </c>
    </row>
    <row r="115" spans="1:84" s="6" customFormat="1" ht="11.25" x14ac:dyDescent="0.2">
      <c r="A115" s="11">
        <v>43201</v>
      </c>
      <c r="B115" s="380">
        <f>'2023'!Maxi_hp</f>
        <v>54.340445908416534</v>
      </c>
      <c r="C115" s="13">
        <f>'2023'!An_max</f>
        <v>2020</v>
      </c>
      <c r="D115" s="1059">
        <f t="shared" si="59"/>
        <v>1.0143591222749075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51">
        <f t="shared" si="62"/>
        <v>0.35714285714285715</v>
      </c>
      <c r="J115" s="744">
        <f t="shared" si="63"/>
        <v>53.571210348606108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2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51">
        <f t="shared" si="67"/>
        <v>0.32142857142857145</v>
      </c>
      <c r="AT115" s="767">
        <f t="shared" si="68"/>
        <v>53.514018695987758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51">
        <f t="shared" si="72"/>
        <v>0.17857142857142858</v>
      </c>
      <c r="AY115" s="767">
        <f t="shared" si="73"/>
        <v>53.505789614235979</v>
      </c>
      <c r="AZ115" s="744">
        <f t="shared" si="77"/>
        <v>53.509904155111869</v>
      </c>
      <c r="BA115" s="642">
        <f t="shared" si="74"/>
        <v>1.0143591222749075</v>
      </c>
      <c r="BC115" s="11">
        <v>43201</v>
      </c>
      <c r="BD115" s="290">
        <f>[2]!FeuilCaduc*(1-Persistant)+Persistant</f>
        <v>0.63076590595284798</v>
      </c>
      <c r="BE115" s="291">
        <f>[2]!CroissVégét</f>
        <v>7.7036689395036897E-2</v>
      </c>
      <c r="BF115" s="814">
        <f>1+[2]!Salcycl*Ksac</f>
        <v>1.0038457382441059</v>
      </c>
      <c r="BH115" s="1050">
        <f t="shared" si="75"/>
        <v>1.3730782151750177E-2</v>
      </c>
      <c r="BI115" s="11">
        <v>44297</v>
      </c>
      <c r="BJ115" s="724">
        <v>1.4094622783048154E-6</v>
      </c>
      <c r="BK115" s="724">
        <v>1.4094622783048156E-6</v>
      </c>
      <c r="BL115" s="724">
        <v>1.4094622783048156E-6</v>
      </c>
      <c r="BM115" s="724">
        <v>8.6689491338191754E-5</v>
      </c>
      <c r="BN115" s="724">
        <v>1.9531087205497729E-3</v>
      </c>
      <c r="BO115" s="725">
        <v>1.3730782151750177E-2</v>
      </c>
      <c r="BP115" s="724">
        <v>6.678679762470334E-2</v>
      </c>
      <c r="BQ115" s="724">
        <v>0.19189836784165223</v>
      </c>
      <c r="BR115" s="724">
        <v>0.40420399279235725</v>
      </c>
      <c r="BS115" s="724">
        <v>0.65957750540821392</v>
      </c>
      <c r="BT115" s="724">
        <v>0.92554583381588729</v>
      </c>
      <c r="BW115" s="1190">
        <f>'2018'!R\Max</f>
        <v>0</v>
      </c>
      <c r="BX115" s="1188">
        <f>'2019'!R\Max</f>
        <v>0.22146262912420295</v>
      </c>
      <c r="BY115" s="1188">
        <f>'2020'!R\Max</f>
        <v>1.0143591222749075</v>
      </c>
      <c r="BZ115" s="1188">
        <f>'2021'!R\Max</f>
        <v>0.17174505048250899</v>
      </c>
      <c r="CA115" s="1188">
        <f>'2022'!R\Max</f>
        <v>0.8155418446044651</v>
      </c>
      <c r="CB115" s="1188">
        <f>'2023'!R\Max</f>
        <v>0.81496065710717802</v>
      </c>
      <c r="CC115" s="1188">
        <f>'2024'!R\Max</f>
        <v>0.81405179750676815</v>
      </c>
      <c r="CD115" s="1188">
        <f>'2025'!R\Max</f>
        <v>0.812663473893523</v>
      </c>
      <c r="CE115" s="1188">
        <f>'2026'!R\Max</f>
        <v>0.81053132613732459</v>
      </c>
      <c r="CF115" s="1189">
        <f>'2027'!R\Max</f>
        <v>0.80807270155820243</v>
      </c>
    </row>
    <row r="116" spans="1:84" s="6" customFormat="1" ht="11.25" x14ac:dyDescent="0.2">
      <c r="A116" s="11">
        <v>43202</v>
      </c>
      <c r="B116" s="380">
        <f>'2023'!Maxi_hp</f>
        <v>55.077370568801221</v>
      </c>
      <c r="C116" s="13">
        <f>'2023'!An_max</f>
        <v>2019</v>
      </c>
      <c r="D116" s="1059">
        <f t="shared" si="59"/>
        <v>1.0217905518918786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51">
        <f t="shared" si="62"/>
        <v>0.2857142857142857</v>
      </c>
      <c r="J116" s="744">
        <f t="shared" si="63"/>
        <v>53.902798833698036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2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51">
        <f t="shared" si="67"/>
        <v>0.35714285714285715</v>
      </c>
      <c r="AT116" s="767">
        <f t="shared" si="68"/>
        <v>53.84818513143275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51">
        <f t="shared" si="72"/>
        <v>0.14285714285714285</v>
      </c>
      <c r="AY116" s="767">
        <f t="shared" si="73"/>
        <v>53.857774927147808</v>
      </c>
      <c r="AZ116" s="744">
        <f t="shared" si="77"/>
        <v>53.852980029290279</v>
      </c>
      <c r="BA116" s="642">
        <f t="shared" si="74"/>
        <v>1.0217905518918786</v>
      </c>
      <c r="BC116" s="11">
        <v>43202</v>
      </c>
      <c r="BD116" s="290">
        <f>[2]!FeuilCaduc*(1-Persistant)+Persistant</f>
        <v>0.63282516468404204</v>
      </c>
      <c r="BE116" s="291">
        <f>[2]!CroissVégét</f>
        <v>8.0059411132293548E-2</v>
      </c>
      <c r="BF116" s="814">
        <f>1+[2]!Salcycl*Ksac</f>
        <v>1.0041031455855052</v>
      </c>
      <c r="BH116" s="1050">
        <f t="shared" si="75"/>
        <v>1.2905530601446433E-2</v>
      </c>
      <c r="BI116" s="11">
        <v>44298</v>
      </c>
      <c r="BJ116" s="724">
        <v>1.3640724638873527E-6</v>
      </c>
      <c r="BK116" s="724">
        <v>1.3640724638873527E-6</v>
      </c>
      <c r="BL116" s="724">
        <v>1.3640724638873527E-6</v>
      </c>
      <c r="BM116" s="724">
        <v>8.7218582837002582E-5</v>
      </c>
      <c r="BN116" s="724">
        <v>1.9697080401026744E-3</v>
      </c>
      <c r="BO116" s="725">
        <v>1.2905530601446433E-2</v>
      </c>
      <c r="BP116" s="724">
        <v>6.3657510283753438E-2</v>
      </c>
      <c r="BQ116" s="724">
        <v>0.18436579295475927</v>
      </c>
      <c r="BR116" s="724">
        <v>0.39444108981631976</v>
      </c>
      <c r="BS116" s="724">
        <v>0.65141651211534957</v>
      </c>
      <c r="BT116" s="724">
        <v>0.92344113354759361</v>
      </c>
      <c r="BW116" s="1190">
        <f>'2018'!R\Max</f>
        <v>0</v>
      </c>
      <c r="BX116" s="1188">
        <f>'2019'!R\Max</f>
        <v>1.0217905518918786</v>
      </c>
      <c r="BY116" s="1188">
        <f>'2020'!R\Max</f>
        <v>0.98514258306645608</v>
      </c>
      <c r="BZ116" s="1188">
        <f>'2021'!R\Max</f>
        <v>0.83318132761341601</v>
      </c>
      <c r="CA116" s="1188">
        <f>'2022'!R\Max</f>
        <v>0.67618762514913022</v>
      </c>
      <c r="CB116" s="1188">
        <f>'2023'!R\Max</f>
        <v>0.6753812752935292</v>
      </c>
      <c r="CC116" s="1188">
        <f>'2024'!R\Max</f>
        <v>0.67411214769072636</v>
      </c>
      <c r="CD116" s="1188">
        <f>'2025'!R\Max</f>
        <v>0.67217690602830449</v>
      </c>
      <c r="CE116" s="1188">
        <f>'2026'!R\Max</f>
        <v>0.66914780388562678</v>
      </c>
      <c r="CF116" s="1189">
        <f>'2027'!R\Max</f>
        <v>0.66565279489229112</v>
      </c>
    </row>
    <row r="117" spans="1:84" s="6" customFormat="1" ht="11.25" x14ac:dyDescent="0.2">
      <c r="A117" s="11">
        <v>43203</v>
      </c>
      <c r="B117" s="380">
        <f>'2023'!Maxi_hp</f>
        <v>54.846872874129055</v>
      </c>
      <c r="C117" s="13">
        <f>'2023'!An_max</f>
        <v>2019</v>
      </c>
      <c r="D117" s="1059">
        <f t="shared" si="59"/>
        <v>1.0114079288180304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51">
        <f t="shared" si="62"/>
        <v>0.21428571428571427</v>
      </c>
      <c r="J117" s="744">
        <f t="shared" si="63"/>
        <v>54.228240961315372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2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51">
        <f t="shared" si="67"/>
        <v>0.39285714285714285</v>
      </c>
      <c r="AT117" s="767">
        <f t="shared" si="68"/>
        <v>54.177075328385193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51">
        <f t="shared" si="72"/>
        <v>0.10714285714285714</v>
      </c>
      <c r="AY117" s="767">
        <f t="shared" si="73"/>
        <v>54.200596246974804</v>
      </c>
      <c r="AZ117" s="744">
        <f t="shared" si="77"/>
        <v>54.188835787679999</v>
      </c>
      <c r="BA117" s="642">
        <f t="shared" si="74"/>
        <v>1.0114079288180304</v>
      </c>
      <c r="BC117" s="11">
        <v>43203</v>
      </c>
      <c r="BD117" s="290">
        <f>[2]!FeuilCaduc*(1-Persistant)+Persistant</f>
        <v>0.63498671450013544</v>
      </c>
      <c r="BE117" s="291">
        <f>[2]!CroissVégét</f>
        <v>8.3187958998136649E-2</v>
      </c>
      <c r="BF117" s="814">
        <f>1+[2]!Salcycl*Ksac</f>
        <v>1.0043733393125169</v>
      </c>
      <c r="BH117" s="1050">
        <f t="shared" si="75"/>
        <v>1.2218508899194189E-2</v>
      </c>
      <c r="BI117" s="11">
        <v>44299</v>
      </c>
      <c r="BJ117" s="724">
        <v>1.3223228108462261E-6</v>
      </c>
      <c r="BK117" s="724">
        <v>1.3223228108462261E-6</v>
      </c>
      <c r="BL117" s="724">
        <v>1.3223228108462261E-6</v>
      </c>
      <c r="BM117" s="724">
        <v>8.7699690135625515E-5</v>
      </c>
      <c r="BN117" s="724">
        <v>1.9951010472238156E-3</v>
      </c>
      <c r="BO117" s="725">
        <v>1.2218508899194189E-2</v>
      </c>
      <c r="BP117" s="724">
        <v>6.0671097691598418E-2</v>
      </c>
      <c r="BQ117" s="724">
        <v>0.17701216651453425</v>
      </c>
      <c r="BR117" s="724">
        <v>0.38446138300244881</v>
      </c>
      <c r="BS117" s="724">
        <v>0.64262031475640824</v>
      </c>
      <c r="BT117" s="724">
        <v>0.92009501606387611</v>
      </c>
      <c r="BW117" s="1190">
        <f>'2018'!R\Max</f>
        <v>0</v>
      </c>
      <c r="BX117" s="1188">
        <f>'2019'!R\Max</f>
        <v>1.0114079288180304</v>
      </c>
      <c r="BY117" s="1188">
        <f>'2020'!R\Max</f>
        <v>0.83412532775144088</v>
      </c>
      <c r="BZ117" s="1188">
        <f>'2021'!R\Max</f>
        <v>0.89798939613768736</v>
      </c>
      <c r="CA117" s="1188">
        <f>'2022'!R\Max</f>
        <v>0.14519853152874795</v>
      </c>
      <c r="CB117" s="1188">
        <f>'2023'!R\Max</f>
        <v>0.14484258118636167</v>
      </c>
      <c r="CC117" s="1188">
        <f>'2024'!R\Max</f>
        <v>0.14427943872835927</v>
      </c>
      <c r="CD117" s="1188">
        <f>'2025'!R\Max</f>
        <v>0.14342475491655021</v>
      </c>
      <c r="CE117" s="1188">
        <f>'2026'!R\Max</f>
        <v>0.14206890941087086</v>
      </c>
      <c r="CF117" s="1189">
        <f>'2027'!R\Max</f>
        <v>0.14051432611790363</v>
      </c>
    </row>
    <row r="118" spans="1:84" s="6" customFormat="1" ht="11.25" x14ac:dyDescent="0.2">
      <c r="A118" s="11">
        <v>43204</v>
      </c>
      <c r="B118" s="380">
        <f>'2023'!Maxi_hp</f>
        <v>54.86097401033841</v>
      </c>
      <c r="C118" s="13">
        <f>'2023'!An_max</f>
        <v>2021</v>
      </c>
      <c r="D118" s="1059">
        <f t="shared" si="59"/>
        <v>1.0057440826318818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51">
        <f t="shared" si="62"/>
        <v>0.14285714285714285</v>
      </c>
      <c r="J118" s="744">
        <f t="shared" si="63"/>
        <v>54.54764781392047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2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51">
        <f t="shared" si="67"/>
        <v>0.42857142857142855</v>
      </c>
      <c r="AT118" s="767">
        <f t="shared" si="68"/>
        <v>54.500550438037934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51">
        <f t="shared" si="72"/>
        <v>7.1428571428571425E-2</v>
      </c>
      <c r="AY118" s="767">
        <f t="shared" si="73"/>
        <v>54.533725947953222</v>
      </c>
      <c r="AZ118" s="744">
        <f t="shared" si="77"/>
        <v>54.517138192995574</v>
      </c>
      <c r="BA118" s="642">
        <f t="shared" si="74"/>
        <v>1.0057440826318818</v>
      </c>
      <c r="BC118" s="11">
        <v>43204</v>
      </c>
      <c r="BD118" s="290">
        <f>[2]!FeuilCaduc*(1-Persistant)+Persistant</f>
        <v>0.63725228784333743</v>
      </c>
      <c r="BE118" s="291">
        <f>[2]!CroissVégét</f>
        <v>8.6425206757263798E-2</v>
      </c>
      <c r="BF118" s="814">
        <f>1+[2]!Salcycl*Ksac</f>
        <v>1.0046565359804172</v>
      </c>
      <c r="BH118" s="1050">
        <f t="shared" si="75"/>
        <v>1.1669674289209028E-2</v>
      </c>
      <c r="BI118" s="11">
        <v>44300</v>
      </c>
      <c r="BJ118" s="724">
        <v>1.2842123812679526E-6</v>
      </c>
      <c r="BK118" s="724">
        <v>1.2842123812679526E-6</v>
      </c>
      <c r="BL118" s="724">
        <v>1.2842123812679526E-6</v>
      </c>
      <c r="BM118" s="724">
        <v>8.8132792780616534E-5</v>
      </c>
      <c r="BN118" s="724">
        <v>2.0292831210596252E-3</v>
      </c>
      <c r="BO118" s="725">
        <v>1.1669674289209028E-2</v>
      </c>
      <c r="BP118" s="724">
        <v>5.7827549493525664E-2</v>
      </c>
      <c r="BQ118" s="724">
        <v>0.16983752117735607</v>
      </c>
      <c r="BR118" s="724">
        <v>0.3742650481923307</v>
      </c>
      <c r="BS118" s="724">
        <v>0.6331891417226686</v>
      </c>
      <c r="BT118" s="724">
        <v>0.91550773615754322</v>
      </c>
      <c r="BW118" s="1190">
        <f>'2018'!R\Max</f>
        <v>0</v>
      </c>
      <c r="BX118" s="1188">
        <f>'2019'!R\Max</f>
        <v>0.54083077828652204</v>
      </c>
      <c r="BY118" s="1188">
        <f>'2020'!R\Max</f>
        <v>0.28641989825255437</v>
      </c>
      <c r="BZ118" s="1188">
        <f>'2021'!R\Max</f>
        <v>1.0057440826318818</v>
      </c>
      <c r="CA118" s="1188">
        <f>'2022'!R\Max</f>
        <v>0.73995745029107285</v>
      </c>
      <c r="CB118" s="1188">
        <f>'2023'!R\Max</f>
        <v>0.73931608741496735</v>
      </c>
      <c r="CC118" s="1188">
        <f>'2024'!R\Max</f>
        <v>0.73828772062671555</v>
      </c>
      <c r="CD118" s="1188">
        <f>'2025'!R\Max</f>
        <v>0.73671612627492988</v>
      </c>
      <c r="CE118" s="1188">
        <f>'2026'!R\Max</f>
        <v>0.73414537539931746</v>
      </c>
      <c r="CF118" s="1189">
        <f>'2027'!R\Max</f>
        <v>0.73114671253534147</v>
      </c>
    </row>
    <row r="119" spans="1:84" s="6" customFormat="1" ht="11.25" x14ac:dyDescent="0.2">
      <c r="A119" s="11">
        <v>43205</v>
      </c>
      <c r="B119" s="380">
        <f>'2023'!Maxi_hp</f>
        <v>55.982036059106356</v>
      </c>
      <c r="C119" s="13">
        <f>'2023'!An_max</f>
        <v>2021</v>
      </c>
      <c r="D119" s="1059">
        <f t="shared" si="59"/>
        <v>1.0204316896927341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51">
        <f t="shared" si="62"/>
        <v>7.1428571428571425E-2</v>
      </c>
      <c r="J119" s="744">
        <f t="shared" si="63"/>
        <v>54.861130465247811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2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51">
        <f t="shared" si="67"/>
        <v>0.4642857142857143</v>
      </c>
      <c r="AT119" s="767">
        <f t="shared" si="68"/>
        <v>54.818471611450818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51">
        <f t="shared" si="72"/>
        <v>3.5714285714285712E-2</v>
      </c>
      <c r="AY119" s="767">
        <f t="shared" si="73"/>
        <v>54.856636407432553</v>
      </c>
      <c r="AZ119" s="744">
        <f t="shared" si="77"/>
        <v>54.837554009441689</v>
      </c>
      <c r="BA119" s="642">
        <f t="shared" si="74"/>
        <v>1.0204316896927341</v>
      </c>
      <c r="BC119" s="11">
        <v>43205</v>
      </c>
      <c r="BD119" s="290">
        <f>[2]!FeuilCaduc*(1-Persistant)+Persistant</f>
        <v>0.63962349216240544</v>
      </c>
      <c r="BE119" s="291">
        <f>[2]!CroissVégét</f>
        <v>8.9774041376326802E-2</v>
      </c>
      <c r="BF119" s="814">
        <f>1+[2]!Salcycl*Ksac</f>
        <v>1.0049529365203007</v>
      </c>
      <c r="BH119" s="1050">
        <f t="shared" si="75"/>
        <v>1.1258978645510018E-2</v>
      </c>
      <c r="BI119" s="11">
        <v>44301</v>
      </c>
      <c r="BJ119" s="724">
        <v>1.2497401259607919E-6</v>
      </c>
      <c r="BK119" s="724">
        <v>1.2497401259607916E-6</v>
      </c>
      <c r="BL119" s="724">
        <v>1.2497401259607916E-6</v>
      </c>
      <c r="BM119" s="724">
        <v>8.8517871824224812E-5</v>
      </c>
      <c r="BN119" s="724">
        <v>2.0722492090877414E-3</v>
      </c>
      <c r="BO119" s="725">
        <v>1.1258978645510018E-2</v>
      </c>
      <c r="BP119" s="724">
        <v>5.5126852707622027E-2</v>
      </c>
      <c r="BQ119" s="724">
        <v>0.16284189093751697</v>
      </c>
      <c r="BR119" s="724">
        <v>0.36385228376886736</v>
      </c>
      <c r="BS119" s="724">
        <v>0.62312326121876327</v>
      </c>
      <c r="BT119" s="724">
        <v>0.90967960867124487</v>
      </c>
      <c r="BW119" s="1190">
        <f>'2018'!R\Max</f>
        <v>0</v>
      </c>
      <c r="BX119" s="1188">
        <f>'2019'!R\Max</f>
        <v>0.68807748610153163</v>
      </c>
      <c r="BY119" s="1188">
        <f>'2020'!R\Max</f>
        <v>0.99023117592639531</v>
      </c>
      <c r="BZ119" s="1188">
        <f>'2021'!R\Max</f>
        <v>1.0204316896927341</v>
      </c>
      <c r="CA119" s="1188">
        <f>'2022'!R\Max</f>
        <v>0.86130964423587819</v>
      </c>
      <c r="CB119" s="1188">
        <f>'2023'!R\Max</f>
        <v>0.86093188386998032</v>
      </c>
      <c r="CC119" s="1188">
        <f>'2024'!R\Max</f>
        <v>0.86031925376877538</v>
      </c>
      <c r="CD119" s="1188">
        <f>'2025'!R\Max</f>
        <v>0.85938058625202018</v>
      </c>
      <c r="CE119" s="1188">
        <f>'2026'!R\Max</f>
        <v>0.85780957899853316</v>
      </c>
      <c r="CF119" s="1189">
        <f>'2027'!R\Max</f>
        <v>0.85596284863486094</v>
      </c>
    </row>
    <row r="120" spans="1:84" s="6" customFormat="1" ht="11.25" x14ac:dyDescent="0.2">
      <c r="A120" s="11">
        <v>43206</v>
      </c>
      <c r="B120" s="380">
        <f>'2023'!Maxi_hp</f>
        <v>49.294140738939028</v>
      </c>
      <c r="C120" s="13">
        <f>'2023'!An_max</f>
        <v>2022</v>
      </c>
      <c r="D120" s="1059" t="str">
        <f t="shared" si="59"/>
        <v/>
      </c>
      <c r="E120" s="1054">
        <f>U$13/10</f>
        <v>55.168799999999997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51">
        <f t="shared" si="62"/>
        <v>0</v>
      </c>
      <c r="J120" s="744">
        <f t="shared" si="63"/>
        <v>55.168800000101328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2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51">
        <f t="shared" si="67"/>
        <v>0.5</v>
      </c>
      <c r="AT120" s="767">
        <f t="shared" si="68"/>
        <v>55.130700000748035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51">
        <f t="shared" si="72"/>
        <v>0</v>
      </c>
      <c r="AY120" s="767">
        <f t="shared" si="73"/>
        <v>55.168800000101328</v>
      </c>
      <c r="AZ120" s="744">
        <f t="shared" si="77"/>
        <v>55.149750000424682</v>
      </c>
      <c r="BA120" s="642">
        <f t="shared" si="74"/>
        <v>0.89351482611273925</v>
      </c>
      <c r="BC120" s="11">
        <v>43206</v>
      </c>
      <c r="BD120" s="290">
        <f>[2]!FeuilCaduc*(1-Persistant)+Persistant</f>
        <v>0.64210180456604782</v>
      </c>
      <c r="BE120" s="291">
        <f>[2]!CroissVégét</f>
        <v>9.3237357323611589E-2</v>
      </c>
      <c r="BF120" s="814">
        <f>1+[2]!Salcycl*Ksac</f>
        <v>1.005262725570756</v>
      </c>
      <c r="BH120" s="1050">
        <f t="shared" si="75"/>
        <v>1.0986368028610196E-2</v>
      </c>
      <c r="BI120" s="11">
        <v>44302</v>
      </c>
      <c r="BJ120" s="724">
        <v>1.2189048727677318E-6</v>
      </c>
      <c r="BK120" s="724">
        <v>1.2189048727677316E-6</v>
      </c>
      <c r="BL120" s="724">
        <v>1.2189048727677316E-6</v>
      </c>
      <c r="BM120" s="724">
        <v>8.8854909975219186E-5</v>
      </c>
      <c r="BN120" s="724">
        <v>2.1239937988234373E-3</v>
      </c>
      <c r="BO120" s="725">
        <v>1.0986368028610196E-2</v>
      </c>
      <c r="BP120" s="724">
        <v>5.2568991266837894E-2</v>
      </c>
      <c r="BQ120" s="724">
        <v>0.15602531055332</v>
      </c>
      <c r="BR120" s="724">
        <v>0.35322331134756818</v>
      </c>
      <c r="BS120" s="724">
        <v>0.61242298328727596</v>
      </c>
      <c r="BT120" s="724">
        <v>0.90261101245398689</v>
      </c>
      <c r="BW120" s="1190">
        <f>'2018'!R\Max</f>
        <v>0</v>
      </c>
      <c r="BX120" s="1188">
        <f>'2019'!R\Max</f>
        <v>0.69485656529099948</v>
      </c>
      <c r="BY120" s="1188">
        <f>'2020'!R\Max</f>
        <v>0.83181017413863334</v>
      </c>
      <c r="BZ120" s="1188">
        <f>'2021'!R\Max</f>
        <v>0.83803572526051251</v>
      </c>
      <c r="CA120" s="1188">
        <f>'2022'!R\Max</f>
        <v>0.89351482611273925</v>
      </c>
      <c r="CB120" s="1188">
        <f>'2023'!R\Max</f>
        <v>0.89323010653427937</v>
      </c>
      <c r="CC120" s="1188">
        <f>'2024'!R\Max</f>
        <v>0.8927629470052576</v>
      </c>
      <c r="CD120" s="1188">
        <f>'2025'!R\Max</f>
        <v>0.8920460024794723</v>
      </c>
      <c r="CE120" s="1188">
        <f>'2026'!R\Max</f>
        <v>0.89082152646436574</v>
      </c>
      <c r="CF120" s="1189">
        <f>'2027'!R\Max</f>
        <v>0.88937491401398405</v>
      </c>
    </row>
    <row r="121" spans="1:84" s="6" customFormat="1" ht="11.25" x14ac:dyDescent="0.2">
      <c r="A121" s="11">
        <v>43207</v>
      </c>
      <c r="B121" s="380">
        <f>'2023'!Maxi_hp</f>
        <v>53.680903826965675</v>
      </c>
      <c r="C121" s="13">
        <f>'2023'!An_max</f>
        <v>2022</v>
      </c>
      <c r="D121" s="1059" t="str">
        <f t="shared" si="59"/>
        <v/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51">
        <f t="shared" si="62"/>
        <v>7.1428571428571425E-2</v>
      </c>
      <c r="J121" s="744">
        <f t="shared" si="63"/>
        <v>55.470489795559217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2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51">
        <f t="shared" si="67"/>
        <v>0.5357142857142857</v>
      </c>
      <c r="AT121" s="767">
        <f t="shared" si="68"/>
        <v>55.437096757388545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51">
        <f t="shared" si="72"/>
        <v>3.5714285714285712E-2</v>
      </c>
      <c r="AY121" s="767">
        <f t="shared" si="73"/>
        <v>55.472301768165622</v>
      </c>
      <c r="AZ121" s="744">
        <f t="shared" si="77"/>
        <v>55.454699262777083</v>
      </c>
      <c r="BA121" s="642">
        <f t="shared" si="74"/>
        <v>0.96773805359950493</v>
      </c>
      <c r="BC121" s="11">
        <v>43207</v>
      </c>
      <c r="BD121" s="290">
        <f>[2]!FeuilCaduc*(1-Persistant)+Persistant</f>
        <v>0.64468856629298599</v>
      </c>
      <c r="BE121" s="291">
        <f>[2]!CroissVégét</f>
        <v>9.6818050392965163E-2</v>
      </c>
      <c r="BF121" s="814">
        <f>1+[2]!Salcycl*Ksac</f>
        <v>1.0055860707866233</v>
      </c>
      <c r="BH121" s="1050">
        <f t="shared" si="75"/>
        <v>1.0851782242357078E-2</v>
      </c>
      <c r="BI121" s="11">
        <v>44303</v>
      </c>
      <c r="BJ121" s="724">
        <v>1.1917053148954624E-6</v>
      </c>
      <c r="BK121" s="724">
        <v>1.1917053148954627E-6</v>
      </c>
      <c r="BL121" s="724">
        <v>1.1917053148954627E-6</v>
      </c>
      <c r="BM121" s="724">
        <v>8.914389175076493E-5</v>
      </c>
      <c r="BN121" s="724">
        <v>2.1845108895500866E-3</v>
      </c>
      <c r="BO121" s="725">
        <v>1.0851782242357078E-2</v>
      </c>
      <c r="BP121" s="724">
        <v>5.0153945561787094E-2</v>
      </c>
      <c r="BQ121" s="724">
        <v>0.14938781497531625</v>
      </c>
      <c r="BR121" s="724">
        <v>0.34237837647247055</v>
      </c>
      <c r="BS121" s="724">
        <v>0.60108866184105547</v>
      </c>
      <c r="BT121" s="724">
        <v>0.89430239432866787</v>
      </c>
      <c r="BW121" s="1190">
        <f>'2018'!R\Max</f>
        <v>0</v>
      </c>
      <c r="BX121" s="1188">
        <f>'2019'!R\Max</f>
        <v>0.66987091859652736</v>
      </c>
      <c r="BY121" s="1188">
        <f>'2020'!R\Max</f>
        <v>0.76901986302041092</v>
      </c>
      <c r="BZ121" s="1188">
        <f>'2021'!R\Max</f>
        <v>0.86733521976639627</v>
      </c>
      <c r="CA121" s="1188">
        <f>'2022'!R\Max</f>
        <v>0.96773805359950493</v>
      </c>
      <c r="CB121" s="1188">
        <f>'2023'!R\Max</f>
        <v>0.96764986676536691</v>
      </c>
      <c r="CC121" s="1188">
        <f>'2024'!R\Max</f>
        <v>0.96750324819384115</v>
      </c>
      <c r="CD121" s="1188">
        <f>'2025'!R\Max</f>
        <v>0.96727768927169877</v>
      </c>
      <c r="CE121" s="1188">
        <f>'2026'!R\Max</f>
        <v>0.96688454650051248</v>
      </c>
      <c r="CF121" s="1189">
        <f>'2027'!R\Max</f>
        <v>0.9664172492895533</v>
      </c>
    </row>
    <row r="122" spans="1:84" s="6" customFormat="1" ht="11.25" x14ac:dyDescent="0.2">
      <c r="A122" s="11">
        <v>43208</v>
      </c>
      <c r="B122" s="380">
        <f>'2023'!Maxi_hp</f>
        <v>41.982059519389949</v>
      </c>
      <c r="C122" s="13">
        <f>'2023'!An_max</f>
        <v>2022</v>
      </c>
      <c r="D122" s="1059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51">
        <f t="shared" si="62"/>
        <v>0.14285714285714285</v>
      </c>
      <c r="J122" s="744">
        <f t="shared" si="63"/>
        <v>55.765959182594507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2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51">
        <f t="shared" si="67"/>
        <v>0.5714285714285714</v>
      </c>
      <c r="AT122" s="767">
        <f t="shared" si="68"/>
        <v>55.737523032724859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51">
        <f t="shared" si="72"/>
        <v>7.1428571428571425E-2</v>
      </c>
      <c r="AY122" s="767">
        <f t="shared" si="73"/>
        <v>55.769569242266677</v>
      </c>
      <c r="AZ122" s="744">
        <f t="shared" si="77"/>
        <v>55.753546137495768</v>
      </c>
      <c r="BA122" s="642">
        <f t="shared" si="74"/>
        <v>0.75282591987574488</v>
      </c>
      <c r="BC122" s="11">
        <v>43208</v>
      </c>
      <c r="BD122" s="290">
        <f>[2]!FeuilCaduc*(1-Persistant)+Persistant</f>
        <v>0.64738497697865482</v>
      </c>
      <c r="BE122" s="291">
        <f>[2]!CroissVégét</f>
        <v>0.10051901103841099</v>
      </c>
      <c r="BF122" s="814">
        <f>1+[2]!Salcycl*Ksac</f>
        <v>1.0059231221223319</v>
      </c>
      <c r="BH122" s="1050">
        <f t="shared" si="75"/>
        <v>1.0857597256123723E-2</v>
      </c>
      <c r="BI122" s="11">
        <v>44304</v>
      </c>
      <c r="BJ122" s="724">
        <v>1.1681399992304908E-6</v>
      </c>
      <c r="BK122" s="724">
        <v>1.1681399992304908E-6</v>
      </c>
      <c r="BL122" s="724">
        <v>1.1681399992304908E-6</v>
      </c>
      <c r="BM122" s="724">
        <v>8.952034598395062E-5</v>
      </c>
      <c r="BN122" s="724">
        <v>2.25441001821943E-3</v>
      </c>
      <c r="BO122" s="725">
        <v>1.0857597256123723E-2</v>
      </c>
      <c r="BP122" s="724">
        <v>4.8000893031867969E-2</v>
      </c>
      <c r="BQ122" s="724">
        <v>0.14311432855797587</v>
      </c>
      <c r="BR122" s="724">
        <v>0.33144004330058413</v>
      </c>
      <c r="BS122" s="724">
        <v>0.5889431142391478</v>
      </c>
      <c r="BT122" s="724">
        <v>0.88420532490087744</v>
      </c>
      <c r="BW122" s="1190">
        <f>'2018'!R\Max</f>
        <v>0</v>
      </c>
      <c r="BX122" s="1188">
        <f>'2019'!R\Max</f>
        <v>0.50535942844322779</v>
      </c>
      <c r="BY122" s="1188">
        <f>'2020'!R\Max</f>
        <v>0.62643451410898299</v>
      </c>
      <c r="BZ122" s="1188">
        <f>'2021'!R\Max</f>
        <v>0.71291439887925656</v>
      </c>
      <c r="CA122" s="1188">
        <f>'2022'!R\Max</f>
        <v>0.75282591987574488</v>
      </c>
      <c r="CB122" s="1188">
        <f>'2023'!R\Max</f>
        <v>0.75233009678674656</v>
      </c>
      <c r="CC122" s="1188">
        <f>'2024'!R\Max</f>
        <v>0.75149669377070216</v>
      </c>
      <c r="CD122" s="1188">
        <f>'2025'!R\Max</f>
        <v>0.75021637926434925</v>
      </c>
      <c r="CE122" s="1188">
        <f>'2026'!R\Max</f>
        <v>0.7479555640047757</v>
      </c>
      <c r="CF122" s="1189">
        <f>'2027'!R\Max</f>
        <v>0.74527368176226971</v>
      </c>
    </row>
    <row r="123" spans="1:84" s="6" customFormat="1" ht="11.25" x14ac:dyDescent="0.2">
      <c r="A123" s="11">
        <v>43209</v>
      </c>
      <c r="B123" s="380">
        <f>'2023'!Maxi_hp</f>
        <v>56.249835170849416</v>
      </c>
      <c r="C123" s="13">
        <f>'2023'!An_max</f>
        <v>2021</v>
      </c>
      <c r="D123" s="1059">
        <f t="shared" si="59"/>
        <v>1.0034720593238584</v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51">
        <f t="shared" si="62"/>
        <v>0.21428571428571427</v>
      </c>
      <c r="J123" s="744">
        <f t="shared" si="63"/>
        <v>56.055208162697298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2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51">
        <f t="shared" si="67"/>
        <v>0.6071428571428571</v>
      </c>
      <c r="AT123" s="767">
        <f t="shared" si="68"/>
        <v>56.031839978987612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51">
        <f t="shared" si="72"/>
        <v>0.10714285714285714</v>
      </c>
      <c r="AY123" s="767">
        <f t="shared" si="73"/>
        <v>56.06058853973768</v>
      </c>
      <c r="AZ123" s="744">
        <f t="shared" si="77"/>
        <v>56.046214259362642</v>
      </c>
      <c r="BA123" s="642">
        <f t="shared" si="74"/>
        <v>1.0034720593238584</v>
      </c>
      <c r="BC123" s="11">
        <v>43209</v>
      </c>
      <c r="BD123" s="290">
        <f>[2]!FeuilCaduc*(1-Persistant)+Persistant</f>
        <v>0.65019208870491529</v>
      </c>
      <c r="BE123" s="291">
        <f>[2]!CroissVégét</f>
        <v>0.1043431172076847</v>
      </c>
      <c r="BF123" s="814">
        <f>1+[2]!Salcycl*Ksac</f>
        <v>1.0062740110881143</v>
      </c>
      <c r="BH123" s="1050">
        <f t="shared" si="75"/>
        <v>1.0925471839499568E-2</v>
      </c>
      <c r="BI123" s="11">
        <v>44305</v>
      </c>
      <c r="BJ123" s="724">
        <v>1.1289998573280194E-6</v>
      </c>
      <c r="BK123" s="724">
        <v>1.1289998573280191E-6</v>
      </c>
      <c r="BL123" s="724">
        <v>1.1289998573280191E-6</v>
      </c>
      <c r="BM123" s="724">
        <v>8.9968959485203274E-5</v>
      </c>
      <c r="BN123" s="724">
        <v>2.3249207213155978E-3</v>
      </c>
      <c r="BO123" s="725">
        <v>1.0925471839499568E-2</v>
      </c>
      <c r="BP123" s="724">
        <v>4.6049886142750802E-2</v>
      </c>
      <c r="BQ123" s="724">
        <v>0.13721522864293156</v>
      </c>
      <c r="BR123" s="724">
        <v>0.32060459840085404</v>
      </c>
      <c r="BS123" s="724">
        <v>0.57634263216811477</v>
      </c>
      <c r="BT123" s="724">
        <v>0.87285499309027681</v>
      </c>
      <c r="BW123" s="1190">
        <f>'2018'!R\Max</f>
        <v>0</v>
      </c>
      <c r="BX123" s="1188">
        <f>'2019'!R\Max</f>
        <v>0.92734761780458486</v>
      </c>
      <c r="BY123" s="1188">
        <f>'2020'!R\Max</f>
        <v>0.79839497976556895</v>
      </c>
      <c r="BZ123" s="1188">
        <f>'2021'!R\Max</f>
        <v>1.0034720593238584</v>
      </c>
      <c r="CA123" s="1188">
        <f>'2022'!R\Max</f>
        <v>0.17206849289704945</v>
      </c>
      <c r="CB123" s="1188">
        <f>'2023'!R\Max</f>
        <v>0.17176559324706814</v>
      </c>
      <c r="CC123" s="1188">
        <f>'2024'!R\Max</f>
        <v>0.1712516994082969</v>
      </c>
      <c r="CD123" s="1188">
        <f>'2025'!R\Max</f>
        <v>0.17046552401202356</v>
      </c>
      <c r="CE123" s="1188">
        <f>'2026'!R\Max</f>
        <v>0.16906702350618333</v>
      </c>
      <c r="CF123" s="1189">
        <f>'2027'!R\Max</f>
        <v>0.16742111965993581</v>
      </c>
    </row>
    <row r="124" spans="1:84" s="6" customFormat="1" ht="11.25" x14ac:dyDescent="0.2">
      <c r="A124" s="11">
        <v>43210</v>
      </c>
      <c r="B124" s="380">
        <f>'2023'!Maxi_hp</f>
        <v>47.97247568092412</v>
      </c>
      <c r="C124" s="13">
        <f>'2023'!An_max</f>
        <v>2019</v>
      </c>
      <c r="D124" s="1059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51">
        <f t="shared" si="62"/>
        <v>0.2857142857142857</v>
      </c>
      <c r="J124" s="744">
        <f t="shared" si="63"/>
        <v>56.338236734696792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2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51">
        <f t="shared" si="67"/>
        <v>0.6428571428571429</v>
      </c>
      <c r="AT124" s="767">
        <f t="shared" si="68"/>
        <v>56.319908746864122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51">
        <f t="shared" si="72"/>
        <v>0.14285714285714285</v>
      </c>
      <c r="AY124" s="767">
        <f t="shared" si="73"/>
        <v>56.345345773015708</v>
      </c>
      <c r="AZ124" s="744">
        <f t="shared" si="77"/>
        <v>56.332627259939912</v>
      </c>
      <c r="BA124" s="642">
        <f t="shared" si="74"/>
        <v>0.85150829101791026</v>
      </c>
      <c r="BC124" s="11">
        <v>43210</v>
      </c>
      <c r="BD124" s="290">
        <f>[2]!FeuilCaduc*(1-Persistant)+Persistant</f>
        <v>0.65311079982610099</v>
      </c>
      <c r="BE124" s="291">
        <f>[2]!CroissVégét</f>
        <v>0.10829322666502313</v>
      </c>
      <c r="BF124" s="814">
        <f>1+[2]!Salcycl*Ksac</f>
        <v>1.0066388499782626</v>
      </c>
      <c r="BH124" s="1050">
        <f t="shared" si="75"/>
        <v>1.1055367157085799E-2</v>
      </c>
      <c r="BI124" s="11">
        <v>44306</v>
      </c>
      <c r="BJ124" s="724">
        <v>1.0742939653095836E-6</v>
      </c>
      <c r="BK124" s="724">
        <v>1.0742939653095838E-6</v>
      </c>
      <c r="BL124" s="724">
        <v>1.0742939653095838E-6</v>
      </c>
      <c r="BM124" s="724">
        <v>9.0489651303837828E-5</v>
      </c>
      <c r="BN124" s="724">
        <v>2.3960399515440072E-3</v>
      </c>
      <c r="BO124" s="725">
        <v>1.1055367157085799E-2</v>
      </c>
      <c r="BP124" s="724">
        <v>4.4300855030697528E-2</v>
      </c>
      <c r="BQ124" s="724">
        <v>0.13169043173438491</v>
      </c>
      <c r="BR124" s="724">
        <v>0.30987217989782545</v>
      </c>
      <c r="BS124" s="724">
        <v>0.56328761759287049</v>
      </c>
      <c r="BT124" s="724">
        <v>0.86025209707195105</v>
      </c>
      <c r="BW124" s="1190">
        <f>'2018'!R\Max</f>
        <v>0</v>
      </c>
      <c r="BX124" s="1188">
        <f>'2019'!R\Max</f>
        <v>0.85150829101791026</v>
      </c>
      <c r="BY124" s="1188">
        <f>'2020'!R\Max</f>
        <v>0.33931351544979188</v>
      </c>
      <c r="BZ124" s="1188">
        <f>'2021'!R\Max</f>
        <v>0.68496531816576356</v>
      </c>
      <c r="CA124" s="1188">
        <f>'2022'!R\Max</f>
        <v>0.19926108869662787</v>
      </c>
      <c r="CB124" s="1188">
        <f>'2023'!R\Max</f>
        <v>0.19892927062824109</v>
      </c>
      <c r="CC124" s="1188">
        <f>'2024'!R\Max</f>
        <v>0.19835938209478321</v>
      </c>
      <c r="CD124" s="1188">
        <f>'2025'!R\Max</f>
        <v>0.19748716025676449</v>
      </c>
      <c r="CE124" s="1188">
        <f>'2026'!R\Max</f>
        <v>0.19591366643885891</v>
      </c>
      <c r="CF124" s="1189">
        <f>'2027'!R\Max</f>
        <v>0.19405475996923649</v>
      </c>
    </row>
    <row r="125" spans="1:84" s="6" customFormat="1" ht="11.25" x14ac:dyDescent="0.2">
      <c r="A125" s="11">
        <v>43211</v>
      </c>
      <c r="B125" s="380">
        <f>'2023'!Maxi_hp</f>
        <v>54.505282357520926</v>
      </c>
      <c r="C125" s="13">
        <f>'2023'!An_max</f>
        <v>2021</v>
      </c>
      <c r="D125" s="1059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51">
        <f t="shared" si="62"/>
        <v>0.35714285714285715</v>
      </c>
      <c r="J125" s="744">
        <f t="shared" si="63"/>
        <v>56.615044898060809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2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51">
        <f t="shared" si="67"/>
        <v>0.6785714285714286</v>
      </c>
      <c r="AT125" s="767">
        <f t="shared" si="68"/>
        <v>56.601590488398713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51">
        <f t="shared" si="72"/>
        <v>0.17857142857142858</v>
      </c>
      <c r="AY125" s="767">
        <f t="shared" si="73"/>
        <v>56.623827059141227</v>
      </c>
      <c r="AZ125" s="744">
        <f t="shared" si="77"/>
        <v>56.612708773769967</v>
      </c>
      <c r="BA125" s="642">
        <f t="shared" si="74"/>
        <v>0.96273494891086542</v>
      </c>
      <c r="BC125" s="11">
        <v>43211</v>
      </c>
      <c r="BD125" s="290">
        <f>[2]!FeuilCaduc*(1-Persistant)+Persistant</f>
        <v>0.65614184857212821</v>
      </c>
      <c r="BE125" s="291">
        <f>[2]!CroissVégét</f>
        <v>0.11237216879596926</v>
      </c>
      <c r="BF125" s="814">
        <f>1+[2]!Salcycl*Ksac</f>
        <v>1.007017731071516</v>
      </c>
      <c r="BH125" s="1050">
        <f t="shared" si="75"/>
        <v>1.1247272782096642E-2</v>
      </c>
      <c r="BI125" s="11">
        <v>44307</v>
      </c>
      <c r="BJ125" s="724">
        <v>1.0040351942635609E-6</v>
      </c>
      <c r="BK125" s="724">
        <v>1.0040351942635609E-6</v>
      </c>
      <c r="BL125" s="724">
        <v>1.0040351942635609E-6</v>
      </c>
      <c r="BM125" s="724">
        <v>9.1082595142124675E-5</v>
      </c>
      <c r="BN125" s="724">
        <v>2.4677715614769241E-3</v>
      </c>
      <c r="BO125" s="725">
        <v>1.1247272782096642E-2</v>
      </c>
      <c r="BP125" s="724">
        <v>4.275384262200891E-2</v>
      </c>
      <c r="BQ125" s="724">
        <v>0.12654020103734462</v>
      </c>
      <c r="BR125" s="724">
        <v>0.29924378621384801</v>
      </c>
      <c r="BS125" s="724">
        <v>0.54978008012863422</v>
      </c>
      <c r="BT125" s="724">
        <v>0.84639983097913318</v>
      </c>
      <c r="BW125" s="1190">
        <f>'2018'!R\Max</f>
        <v>0</v>
      </c>
      <c r="BX125" s="1188">
        <f>'2019'!R\Max</f>
        <v>0.33052770593814246</v>
      </c>
      <c r="BY125" s="1188">
        <f>'2020'!R\Max</f>
        <v>0.30559488129154883</v>
      </c>
      <c r="BZ125" s="1188">
        <f>'2021'!R\Max</f>
        <v>0.96273494891086542</v>
      </c>
      <c r="CA125" s="1188">
        <f>'2022'!R\Max</f>
        <v>0.18686585408743486</v>
      </c>
      <c r="CB125" s="1188">
        <f>'2023'!R\Max</f>
        <v>0.18657103412836754</v>
      </c>
      <c r="CC125" s="1188">
        <f>'2024'!R\Max</f>
        <v>0.18605870411903375</v>
      </c>
      <c r="CD125" s="1188">
        <f>'2025'!R\Max</f>
        <v>0.18527468063174449</v>
      </c>
      <c r="CE125" s="1188">
        <f>'2026'!R\Max</f>
        <v>0.18384337220906702</v>
      </c>
      <c r="CF125" s="1189">
        <f>'2027'!R\Max</f>
        <v>0.18214626190273728</v>
      </c>
    </row>
    <row r="126" spans="1:84" s="6" customFormat="1" ht="11.25" x14ac:dyDescent="0.2">
      <c r="A126" s="11">
        <v>43212</v>
      </c>
      <c r="B126" s="380">
        <f>'2023'!Maxi_hp</f>
        <v>57.608125541806146</v>
      </c>
      <c r="C126" s="13">
        <f>'2023'!An_max</f>
        <v>2021</v>
      </c>
      <c r="D126" s="1059">
        <f t="shared" si="59"/>
        <v>1.0127007972915485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51">
        <f t="shared" si="62"/>
        <v>0.42857142857142855</v>
      </c>
      <c r="J126" s="744">
        <f t="shared" si="63"/>
        <v>56.885632652682922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2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51">
        <f t="shared" si="67"/>
        <v>0.7142857142857143</v>
      </c>
      <c r="AT126" s="767">
        <f t="shared" si="68"/>
        <v>56.876746357232335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51">
        <f t="shared" si="72"/>
        <v>0.21428571428571427</v>
      </c>
      <c r="AY126" s="767">
        <f t="shared" si="73"/>
        <v>56.896018513451722</v>
      </c>
      <c r="AZ126" s="744">
        <f t="shared" si="77"/>
        <v>56.886382435342028</v>
      </c>
      <c r="BA126" s="642">
        <f t="shared" si="74"/>
        <v>1.0127007972915485</v>
      </c>
      <c r="BC126" s="11">
        <v>43212</v>
      </c>
      <c r="BD126" s="290">
        <f>[2]!FeuilCaduc*(1-Persistant)+Persistant</f>
        <v>0.65928580643717583</v>
      </c>
      <c r="BE126" s="291">
        <f>[2]!CroissVégét</f>
        <v>0.11658273588973417</v>
      </c>
      <c r="BF126" s="814">
        <f>1+[2]!Salcycl*Ksac</f>
        <v>1.007410725804647</v>
      </c>
      <c r="BH126" s="1050">
        <f t="shared" si="75"/>
        <v>1.1501178171232604E-2</v>
      </c>
      <c r="BI126" s="11">
        <v>44308</v>
      </c>
      <c r="BJ126" s="724">
        <v>9.1823648834350401E-7</v>
      </c>
      <c r="BK126" s="724">
        <v>9.1823648834350411E-7</v>
      </c>
      <c r="BL126" s="724">
        <v>9.1823648834350411E-7</v>
      </c>
      <c r="BM126" s="724">
        <v>9.1747973792675281E-5</v>
      </c>
      <c r="BN126" s="724">
        <v>2.5401202772696303E-3</v>
      </c>
      <c r="BO126" s="725">
        <v>1.1501178171232604E-2</v>
      </c>
      <c r="BP126" s="724">
        <v>4.1408869831492348E-2</v>
      </c>
      <c r="BQ126" s="724">
        <v>0.12176473908886991</v>
      </c>
      <c r="BR126" s="724">
        <v>0.28872032404965742</v>
      </c>
      <c r="BS126" s="724">
        <v>0.53582195164495061</v>
      </c>
      <c r="BT126" s="724">
        <v>0.83130136521505993</v>
      </c>
      <c r="BW126" s="1190">
        <f>'2018'!R\Max</f>
        <v>0</v>
      </c>
      <c r="BX126" s="1188">
        <f>'2019'!R\Max</f>
        <v>0.58059802430491625</v>
      </c>
      <c r="BY126" s="1188">
        <f>'2020'!R\Max</f>
        <v>0.28915434605895901</v>
      </c>
      <c r="BZ126" s="1188">
        <f>'2021'!R\Max</f>
        <v>1.0127007972915485</v>
      </c>
      <c r="CA126" s="1188">
        <f>'2022'!R\Max</f>
        <v>0.53358494475504692</v>
      </c>
      <c r="CB126" s="1188">
        <f>'2023'!R\Max</f>
        <v>0.53305225315133442</v>
      </c>
      <c r="CC126" s="1188">
        <f>'2024'!R\Max</f>
        <v>0.53211497604226565</v>
      </c>
      <c r="CD126" s="1188">
        <f>'2025'!R\Max</f>
        <v>0.53067857512299599</v>
      </c>
      <c r="CE126" s="1188">
        <f>'2026'!R\Max</f>
        <v>0.52802121412503245</v>
      </c>
      <c r="CF126" s="1189">
        <f>'2027'!R\Max</f>
        <v>0.52484196588214749</v>
      </c>
    </row>
    <row r="127" spans="1:84" s="6" customFormat="1" ht="11.25" x14ac:dyDescent="0.2">
      <c r="A127" s="11">
        <v>43213</v>
      </c>
      <c r="B127" s="380">
        <f>'2023'!Maxi_hp</f>
        <v>57.772460785382194</v>
      </c>
      <c r="C127" s="13">
        <f>'2023'!An_max</f>
        <v>2021</v>
      </c>
      <c r="D127" s="1059">
        <f t="shared" si="59"/>
        <v>1.0108917022748138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51">
        <f t="shared" si="62"/>
        <v>0.5</v>
      </c>
      <c r="J127" s="744">
        <f t="shared" si="63"/>
        <v>57.150000000372529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2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51">
        <f t="shared" si="67"/>
        <v>0.75</v>
      </c>
      <c r="AT127" s="767">
        <f t="shared" si="68"/>
        <v>57.145237501151861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51">
        <f t="shared" si="72"/>
        <v>0.25</v>
      </c>
      <c r="AY127" s="767">
        <f t="shared" si="73"/>
        <v>57.161906249634924</v>
      </c>
      <c r="AZ127" s="744">
        <f t="shared" si="77"/>
        <v>57.153571875393396</v>
      </c>
      <c r="BA127" s="642">
        <f t="shared" si="74"/>
        <v>1.0108917022748138</v>
      </c>
      <c r="BC127" s="11">
        <v>43213</v>
      </c>
      <c r="BD127" s="290">
        <f>[2]!FeuilCaduc*(1-Persistant)+Persistant</f>
        <v>0.66254307137046731</v>
      </c>
      <c r="BE127" s="291">
        <f>[2]!CroissVégét</f>
        <v>0.12092767389780094</v>
      </c>
      <c r="BF127" s="814">
        <f>1+[2]!Salcycl*Ksac</f>
        <v>1.0078178839213083</v>
      </c>
      <c r="BH127" s="1050">
        <f t="shared" si="75"/>
        <v>1.1817040269614115E-2</v>
      </c>
      <c r="BI127" s="11">
        <v>44309</v>
      </c>
      <c r="BJ127" s="724">
        <v>8.1690808123469711E-7</v>
      </c>
      <c r="BK127" s="724">
        <v>8.16908081234697E-7</v>
      </c>
      <c r="BL127" s="724">
        <v>8.16908081234697E-7</v>
      </c>
      <c r="BM127" s="724">
        <v>9.2485714563695018E-5</v>
      </c>
      <c r="BN127" s="724">
        <v>2.613084205663569E-3</v>
      </c>
      <c r="BO127" s="725">
        <v>1.1817040269614115E-2</v>
      </c>
      <c r="BP127" s="724">
        <v>4.0265824163037575E-2</v>
      </c>
      <c r="BQ127" s="724">
        <v>0.11736385727521777</v>
      </c>
      <c r="BR127" s="724">
        <v>0.27830180493373086</v>
      </c>
      <c r="BS127" s="724">
        <v>0.52141356641622771</v>
      </c>
      <c r="BT127" s="724">
        <v>0.81495745945528963</v>
      </c>
      <c r="BW127" s="1190">
        <f>'2018'!R\Max</f>
        <v>0</v>
      </c>
      <c r="BX127" s="1188">
        <f>'2019'!R\Max</f>
        <v>0.5866471879669839</v>
      </c>
      <c r="BY127" s="1188">
        <f>'2020'!R\Max</f>
        <v>0.19100327436024023</v>
      </c>
      <c r="BZ127" s="1188">
        <f>'2021'!R\Max</f>
        <v>1.0108917022748138</v>
      </c>
      <c r="CA127" s="1188">
        <f>'2022'!R\Max</f>
        <v>0.18204568287825071</v>
      </c>
      <c r="CB127" s="1188">
        <f>'2023'!R\Max</f>
        <v>0.18178626505331744</v>
      </c>
      <c r="CC127" s="1188">
        <f>'2024'!R\Max</f>
        <v>0.18132580864367306</v>
      </c>
      <c r="CD127" s="1188">
        <f>'2025'!R\Max</f>
        <v>0.1806227696620589</v>
      </c>
      <c r="CE127" s="1188">
        <f>'2026'!R\Max</f>
        <v>0.17931843120357294</v>
      </c>
      <c r="CF127" s="1189">
        <f>'2027'!R\Max</f>
        <v>0.17776107480747966</v>
      </c>
    </row>
    <row r="128" spans="1:84" s="6" customFormat="1" ht="11.25" x14ac:dyDescent="0.2">
      <c r="A128" s="11">
        <v>43214</v>
      </c>
      <c r="B128" s="380">
        <f>'2023'!Maxi_hp</f>
        <v>52.820731246679635</v>
      </c>
      <c r="C128" s="13">
        <f>'2023'!An_max</f>
        <v>2021</v>
      </c>
      <c r="D128" s="1059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51">
        <f t="shared" si="62"/>
        <v>0.5714285714285714</v>
      </c>
      <c r="J128" s="744">
        <f t="shared" si="63"/>
        <v>57.408146939107347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2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51">
        <f t="shared" si="67"/>
        <v>0.7857142857142857</v>
      </c>
      <c r="AT128" s="767">
        <f t="shared" si="68"/>
        <v>57.406925073212811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51">
        <f t="shared" si="72"/>
        <v>0.2857142857142857</v>
      </c>
      <c r="AY128" s="767">
        <f t="shared" si="73"/>
        <v>57.421476385103801</v>
      </c>
      <c r="AZ128" s="744">
        <f t="shared" si="77"/>
        <v>57.41420072915831</v>
      </c>
      <c r="BA128" s="642">
        <f t="shared" si="74"/>
        <v>0.92009120765919217</v>
      </c>
      <c r="BC128" s="11">
        <v>43214</v>
      </c>
      <c r="BD128" s="290">
        <f>[2]!FeuilCaduc*(1-Persistant)+Persistant</f>
        <v>0.66591386079386361</v>
      </c>
      <c r="BE128" s="291">
        <f>[2]!CroissVégét</f>
        <v>0.12540967267096395</v>
      </c>
      <c r="BF128" s="814">
        <f>1+[2]!Salcycl*Ksac</f>
        <v>1.0082392325992329</v>
      </c>
      <c r="BH128" s="1050">
        <f t="shared" si="75"/>
        <v>1.2195796872011624E-2</v>
      </c>
      <c r="BI128" s="11">
        <v>44310</v>
      </c>
      <c r="BJ128" s="724">
        <v>7.0783915798697071E-7</v>
      </c>
      <c r="BK128" s="724">
        <v>7.0783915798697071E-7</v>
      </c>
      <c r="BL128" s="724">
        <v>7.0783915798697071E-7</v>
      </c>
      <c r="BM128" s="724">
        <v>9.3267663929660137E-5</v>
      </c>
      <c r="BN128" s="724">
        <v>2.6870628903525608E-3</v>
      </c>
      <c r="BO128" s="725">
        <v>1.2195796872011624E-2</v>
      </c>
      <c r="BP128" s="724">
        <v>3.9390954141169415E-2</v>
      </c>
      <c r="BQ128" s="724">
        <v>0.11343570176226213</v>
      </c>
      <c r="BR128" s="724">
        <v>0.26826462484525765</v>
      </c>
      <c r="BS128" s="724">
        <v>0.50679507460903017</v>
      </c>
      <c r="BT128" s="724">
        <v>0.79745520841226414</v>
      </c>
      <c r="BW128" s="1190">
        <f>'2018'!R\Max</f>
        <v>0</v>
      </c>
      <c r="BX128" s="1188">
        <f>'2019'!R\Max</f>
        <v>0.89350402779604987</v>
      </c>
      <c r="BY128" s="1188">
        <f>'2020'!R\Max</f>
        <v>0.30299023570132388</v>
      </c>
      <c r="BZ128" s="1188">
        <f>'2021'!R\Max</f>
        <v>0.92009120765919217</v>
      </c>
      <c r="CA128" s="1188">
        <f>'2022'!R\Max</f>
        <v>0.57781968837091258</v>
      </c>
      <c r="CB128" s="1188">
        <f>'2023'!R\Max</f>
        <v>0.57734447447970383</v>
      </c>
      <c r="CC128" s="1188">
        <f>'2024'!R\Max</f>
        <v>0.57649331021724137</v>
      </c>
      <c r="CD128" s="1188">
        <f>'2025'!R\Max</f>
        <v>0.57519430987884368</v>
      </c>
      <c r="CE128" s="1188">
        <f>'2026'!R\Max</f>
        <v>0.57276402579786756</v>
      </c>
      <c r="CF128" s="1189">
        <f>'2027'!R\Max</f>
        <v>0.56983521985312768</v>
      </c>
    </row>
    <row r="129" spans="1:84" s="6" customFormat="1" ht="11.25" x14ac:dyDescent="0.2">
      <c r="A129" s="11">
        <v>43215</v>
      </c>
      <c r="B129" s="380">
        <f>'2023'!Maxi_hp</f>
        <v>55.359840587650929</v>
      </c>
      <c r="C129" s="13">
        <f>'2023'!An_max</f>
        <v>2020</v>
      </c>
      <c r="D129" s="1059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51">
        <f t="shared" si="62"/>
        <v>0.6428571428571429</v>
      </c>
      <c r="J129" s="744">
        <f t="shared" si="63"/>
        <v>57.660073469313126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2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51">
        <f t="shared" si="67"/>
        <v>0.8214285714285714</v>
      </c>
      <c r="AT129" s="767">
        <f t="shared" si="68"/>
        <v>57.661670227082709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51">
        <f t="shared" si="72"/>
        <v>0.32142857142857145</v>
      </c>
      <c r="AY129" s="767">
        <f t="shared" si="73"/>
        <v>57.674715033040513</v>
      </c>
      <c r="AZ129" s="744">
        <f t="shared" si="77"/>
        <v>57.668192630061611</v>
      </c>
      <c r="BA129" s="642">
        <f t="shared" si="74"/>
        <v>0.96010700744447741</v>
      </c>
      <c r="BC129" s="11">
        <v>43215</v>
      </c>
      <c r="BD129" s="290">
        <f>[2]!FeuilCaduc*(1-Persistant)+Persistant</f>
        <v>0.66939820447918286</v>
      </c>
      <c r="BE129" s="291">
        <f>[2]!CroissVégét</f>
        <v>0.13003135568089563</v>
      </c>
      <c r="BF129" s="814">
        <f>1+[2]!Salcycl*Ksac</f>
        <v>1.0086747755598979</v>
      </c>
      <c r="BH129" s="1050">
        <f t="shared" si="75"/>
        <v>1.2577754507259812E-2</v>
      </c>
      <c r="BI129" s="11">
        <v>44311</v>
      </c>
      <c r="BJ129" s="724">
        <v>6.0658957468341469E-7</v>
      </c>
      <c r="BK129" s="724">
        <v>6.0658957468341458E-7</v>
      </c>
      <c r="BL129" s="724">
        <v>6.0658957468341458E-7</v>
      </c>
      <c r="BM129" s="724">
        <v>9.4156098707071011E-5</v>
      </c>
      <c r="BN129" s="724">
        <v>2.7620135171277059E-3</v>
      </c>
      <c r="BO129" s="725">
        <v>1.2577754507259812E-2</v>
      </c>
      <c r="BP129" s="724">
        <v>3.8701643675954009E-2</v>
      </c>
      <c r="BQ129" s="724">
        <v>0.10979159211235696</v>
      </c>
      <c r="BR129" s="724">
        <v>0.25862878857642441</v>
      </c>
      <c r="BS129" s="724">
        <v>0.49224263138774299</v>
      </c>
      <c r="BT129" s="724">
        <v>0.77949445105700998</v>
      </c>
      <c r="BW129" s="1190">
        <f>'2018'!R\Max</f>
        <v>0</v>
      </c>
      <c r="BX129" s="1188">
        <f>'2019'!R\Max</f>
        <v>0.62094493636131343</v>
      </c>
      <c r="BY129" s="1188">
        <f>'2020'!R\Max</f>
        <v>0.96010700744447741</v>
      </c>
      <c r="BZ129" s="1188">
        <f>'2021'!R\Max</f>
        <v>0.50832856495870293</v>
      </c>
      <c r="CA129" s="1188">
        <f>'2022'!R\Max</f>
        <v>0.92067593894433042</v>
      </c>
      <c r="CB129" s="1188">
        <f>'2023'!R\Max</f>
        <v>0.92053907426046411</v>
      </c>
      <c r="CC129" s="1188">
        <f>'2024'!R\Max</f>
        <v>0.92029250471812518</v>
      </c>
      <c r="CD129" s="1188">
        <f>'2025'!R\Max</f>
        <v>0.9199168725238327</v>
      </c>
      <c r="CE129" s="1188">
        <f>'2026'!R\Max</f>
        <v>0.91920794106994086</v>
      </c>
      <c r="CF129" s="1189">
        <f>'2027'!R\Max</f>
        <v>0.91834467031551215</v>
      </c>
    </row>
    <row r="130" spans="1:84" s="6" customFormat="1" ht="11.25" x14ac:dyDescent="0.2">
      <c r="A130" s="11">
        <v>43216</v>
      </c>
      <c r="B130" s="380">
        <f>'2023'!Maxi_hp</f>
        <v>55.539931860605101</v>
      </c>
      <c r="C130" s="13">
        <f>'2023'!An_max</f>
        <v>2022</v>
      </c>
      <c r="D130" s="1059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51">
        <f t="shared" si="62"/>
        <v>0.7142857142857143</v>
      </c>
      <c r="J130" s="744">
        <f t="shared" si="63"/>
        <v>57.905779591734927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2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51">
        <f t="shared" si="67"/>
        <v>0.8571428571428571</v>
      </c>
      <c r="AT130" s="767">
        <f t="shared" si="68"/>
        <v>57.909334111532999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51">
        <f t="shared" si="72"/>
        <v>0.35714285714285715</v>
      </c>
      <c r="AY130" s="767">
        <f t="shared" si="73"/>
        <v>57.921608309128452</v>
      </c>
      <c r="AZ130" s="744">
        <f t="shared" si="77"/>
        <v>57.915471210330722</v>
      </c>
      <c r="BA130" s="642">
        <f t="shared" si="74"/>
        <v>0.95914315034163689</v>
      </c>
      <c r="BC130" s="11">
        <v>43216</v>
      </c>
      <c r="BD130" s="290">
        <f>[2]!FeuilCaduc*(1-Persistant)+Persistant</f>
        <v>0.67299593732628415</v>
      </c>
      <c r="BE130" s="291">
        <f>[2]!CroissVégét</f>
        <v>0.13479526923661356</v>
      </c>
      <c r="BF130" s="814">
        <f>1+[2]!Salcycl*Ksac</f>
        <v>1.0091244921657856</v>
      </c>
      <c r="BH130" s="1050">
        <f t="shared" si="75"/>
        <v>1.2962902479563819E-2</v>
      </c>
      <c r="BI130" s="11">
        <v>44312</v>
      </c>
      <c r="BJ130" s="724">
        <v>5.1315571981109398E-7</v>
      </c>
      <c r="BK130" s="724">
        <v>5.1315571981109409E-7</v>
      </c>
      <c r="BL130" s="724">
        <v>5.1315571981109409E-7</v>
      </c>
      <c r="BM130" s="724">
        <v>9.5150915882985618E-5</v>
      </c>
      <c r="BN130" s="724">
        <v>2.8379337004952546E-3</v>
      </c>
      <c r="BO130" s="725">
        <v>1.2962902479563819E-2</v>
      </c>
      <c r="BP130" s="724">
        <v>3.8197775522207177E-2</v>
      </c>
      <c r="BQ130" s="724">
        <v>0.10643137686475514</v>
      </c>
      <c r="BR130" s="724">
        <v>0.24939412709140171</v>
      </c>
      <c r="BS130" s="724">
        <v>0.47775630500376165</v>
      </c>
      <c r="BT130" s="724">
        <v>0.76107557930121938</v>
      </c>
      <c r="BW130" s="1190">
        <f>'2018'!R\Max</f>
        <v>0</v>
      </c>
      <c r="BX130" s="1188">
        <f>'2019'!R\Max</f>
        <v>0.52931104983786925</v>
      </c>
      <c r="BY130" s="1188">
        <f>'2020'!R\Max</f>
        <v>0.77504024455851572</v>
      </c>
      <c r="BZ130" s="1188">
        <f>'2021'!R\Max</f>
        <v>0.13940950553835421</v>
      </c>
      <c r="CA130" s="1188">
        <f>'2022'!R\Max</f>
        <v>0.95914315034163689</v>
      </c>
      <c r="CB130" s="1188">
        <f>'2023'!R\Max</f>
        <v>0.95907212943994846</v>
      </c>
      <c r="CC130" s="1188">
        <f>'2024'!R\Max</f>
        <v>0.95894416211942346</v>
      </c>
      <c r="CD130" s="1188">
        <f>'2025'!R\Max</f>
        <v>0.95875044161476053</v>
      </c>
      <c r="CE130" s="1188">
        <f>'2026'!R\Max</f>
        <v>0.95838349452696103</v>
      </c>
      <c r="CF130" s="1189">
        <f>'2027'!R\Max</f>
        <v>0.95793504494537518</v>
      </c>
    </row>
    <row r="131" spans="1:84" s="6" customFormat="1" ht="11.25" x14ac:dyDescent="0.2">
      <c r="A131" s="11">
        <v>43217</v>
      </c>
      <c r="B131" s="380">
        <f>'2023'!Maxi_hp</f>
        <v>40.422363464574303</v>
      </c>
      <c r="C131" s="13">
        <f>'2023'!An_max</f>
        <v>2022</v>
      </c>
      <c r="D131" s="1059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51">
        <f t="shared" si="62"/>
        <v>0.7857142857142857</v>
      </c>
      <c r="J131" s="744">
        <f t="shared" si="63"/>
        <v>58.14526530695813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2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51">
        <f t="shared" si="67"/>
        <v>0.8928571428571429</v>
      </c>
      <c r="AT131" s="767">
        <f t="shared" si="68"/>
        <v>58.149777881109287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51">
        <f t="shared" si="72"/>
        <v>0.39285714285714285</v>
      </c>
      <c r="AY131" s="767">
        <f t="shared" si="73"/>
        <v>58.162142328572067</v>
      </c>
      <c r="AZ131" s="744">
        <f t="shared" si="77"/>
        <v>58.155960104840673</v>
      </c>
      <c r="BA131" s="642">
        <f t="shared" si="74"/>
        <v>0.69519613078000764</v>
      </c>
      <c r="BC131" s="11">
        <v>43217</v>
      </c>
      <c r="BD131" s="290">
        <f>[2]!FeuilCaduc*(1-Persistant)+Persistant</f>
        <v>0.67670669209087531</v>
      </c>
      <c r="BE131" s="291">
        <f>[2]!CroissVégét</f>
        <v>0.13970387121088346</v>
      </c>
      <c r="BF131" s="814">
        <f>1+[2]!Salcycl*Ksac</f>
        <v>1.0095883365113594</v>
      </c>
      <c r="BH131" s="1050">
        <f t="shared" si="75"/>
        <v>1.335122964985906E-2</v>
      </c>
      <c r="BI131" s="11">
        <v>44313</v>
      </c>
      <c r="BJ131" s="724">
        <v>4.2753382755690958E-7</v>
      </c>
      <c r="BK131" s="724">
        <v>4.2753382755690953E-7</v>
      </c>
      <c r="BL131" s="724">
        <v>4.2753382755690953E-7</v>
      </c>
      <c r="BM131" s="724">
        <v>9.6252008300867995E-5</v>
      </c>
      <c r="BN131" s="724">
        <v>2.9148209571508046E-3</v>
      </c>
      <c r="BO131" s="725">
        <v>1.335122964985906E-2</v>
      </c>
      <c r="BP131" s="724">
        <v>3.7879227243779297E-2</v>
      </c>
      <c r="BQ131" s="724">
        <v>0.10335489889299447</v>
      </c>
      <c r="BR131" s="724">
        <v>0.2405604672955266</v>
      </c>
      <c r="BS131" s="724">
        <v>0.4633361743933917</v>
      </c>
      <c r="BT131" s="724">
        <v>0.74219901503260377</v>
      </c>
      <c r="BW131" s="1190">
        <f>'2018'!R\Max</f>
        <v>0</v>
      </c>
      <c r="BX131" s="1188">
        <f>'2019'!R\Max</f>
        <v>0.53367698331862479</v>
      </c>
      <c r="BY131" s="1188">
        <f>'2020'!R\Max</f>
        <v>0.46010018178566625</v>
      </c>
      <c r="BZ131" s="1188">
        <f>'2021'!R\Max</f>
        <v>0.35452878466560395</v>
      </c>
      <c r="CA131" s="1188">
        <f>'2022'!R\Max</f>
        <v>0.69519613078000764</v>
      </c>
      <c r="CB131" s="1188">
        <f>'2023'!R\Max</f>
        <v>0.69482253097534552</v>
      </c>
      <c r="CC131" s="1188">
        <f>'2024'!R\Max</f>
        <v>0.69415327643056113</v>
      </c>
      <c r="CD131" s="1188">
        <f>'2025'!R\Max</f>
        <v>0.69315092605495643</v>
      </c>
      <c r="CE131" s="1188">
        <f>'2026'!R\Max</f>
        <v>0.69125411331690623</v>
      </c>
      <c r="CF131" s="1189">
        <f>'2027'!R\Max</f>
        <v>0.68894182043928642</v>
      </c>
    </row>
    <row r="132" spans="1:84" s="6" customFormat="1" ht="11.25" x14ac:dyDescent="0.2">
      <c r="A132" s="11">
        <v>43218</v>
      </c>
      <c r="B132" s="380">
        <f>'2023'!Maxi_hp</f>
        <v>43.833448045184817</v>
      </c>
      <c r="C132" s="13">
        <f>'2023'!An_max</f>
        <v>2019</v>
      </c>
      <c r="D132" s="1059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51">
        <f t="shared" si="62"/>
        <v>0.8571428571428571</v>
      </c>
      <c r="J132" s="744">
        <f t="shared" si="63"/>
        <v>58.378530613120105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2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51">
        <f t="shared" si="67"/>
        <v>0.9285714285714286</v>
      </c>
      <c r="AT132" s="767">
        <f t="shared" si="68"/>
        <v>58.382862683651695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51">
        <f t="shared" si="72"/>
        <v>0.42857142857142855</v>
      </c>
      <c r="AY132" s="767">
        <f t="shared" si="73"/>
        <v>58.396303207107948</v>
      </c>
      <c r="AZ132" s="744">
        <f t="shared" si="77"/>
        <v>58.389582945379821</v>
      </c>
      <c r="BA132" s="642">
        <f t="shared" si="74"/>
        <v>0.75084877239670711</v>
      </c>
      <c r="BC132" s="11">
        <v>43218</v>
      </c>
      <c r="BD132" s="290">
        <f>[2]!FeuilCaduc*(1-Persistant)+Persistant</f>
        <v>0.68052989211860793</v>
      </c>
      <c r="BE132" s="291">
        <f>[2]!CroissVégét</f>
        <v>0.14475951929663808</v>
      </c>
      <c r="BF132" s="814">
        <f>1+[2]!Salcycl*Ksac</f>
        <v>1.0100662365148261</v>
      </c>
      <c r="BH132" s="1050">
        <f t="shared" si="75"/>
        <v>1.374272442841875E-2</v>
      </c>
      <c r="BI132" s="11">
        <v>44314</v>
      </c>
      <c r="BJ132" s="724">
        <v>3.4971996080523595E-7</v>
      </c>
      <c r="BK132" s="724">
        <v>3.4971996080523595E-7</v>
      </c>
      <c r="BL132" s="724">
        <v>3.4971996080523595E-7</v>
      </c>
      <c r="BM132" s="724">
        <v>9.7459264426661099E-5</v>
      </c>
      <c r="BN132" s="724">
        <v>2.9926727037760908E-3</v>
      </c>
      <c r="BO132" s="725">
        <v>1.374272442841875E-2</v>
      </c>
      <c r="BP132" s="724">
        <v>3.7745870808419173E-2</v>
      </c>
      <c r="BQ132" s="724">
        <v>0.10056199478692007</v>
      </c>
      <c r="BR132" s="724">
        <v>0.23212763116585874</v>
      </c>
      <c r="BS132" s="724">
        <v>0.44898232904499968</v>
      </c>
      <c r="BT132" s="724">
        <v>0.72286521113078217</v>
      </c>
      <c r="BW132" s="1190">
        <f>'2018'!R\Max</f>
        <v>0</v>
      </c>
      <c r="BX132" s="1188">
        <f>'2019'!R\Max</f>
        <v>0.75084877239670711</v>
      </c>
      <c r="BY132" s="1188">
        <f>'2020'!R\Max</f>
        <v>0.38623586031604612</v>
      </c>
      <c r="BZ132" s="1188">
        <f>'2021'!R\Max</f>
        <v>0.32671823127433675</v>
      </c>
      <c r="CA132" s="1188">
        <f>'2022'!R\Max</f>
        <v>0.38746433038756439</v>
      </c>
      <c r="CB132" s="1188">
        <f>'2023'!R\Max</f>
        <v>0.38705439092883748</v>
      </c>
      <c r="CC132" s="1188">
        <f>'2024'!R\Max</f>
        <v>0.38632795271095965</v>
      </c>
      <c r="CD132" s="1188">
        <f>'2025'!R\Max</f>
        <v>0.3852539810628936</v>
      </c>
      <c r="CE132" s="1188">
        <f>'2026'!R\Max</f>
        <v>0.38322520449707131</v>
      </c>
      <c r="CF132" s="1189">
        <f>'2027'!R\Max</f>
        <v>0.38075942414462766</v>
      </c>
    </row>
    <row r="133" spans="1:84" s="6" customFormat="1" ht="11.25" x14ac:dyDescent="0.2">
      <c r="A133" s="11">
        <v>43219</v>
      </c>
      <c r="B133" s="380">
        <f>'2023'!Maxi_hp</f>
        <v>53.521315436728898</v>
      </c>
      <c r="C133" s="13">
        <f>'2023'!An_max</f>
        <v>2019</v>
      </c>
      <c r="D133" s="1059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51">
        <f t="shared" si="62"/>
        <v>0.9285714285714286</v>
      </c>
      <c r="J133" s="744">
        <f t="shared" si="63"/>
        <v>58.605575510061215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2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51">
        <f t="shared" si="67"/>
        <v>0.9642857142857143</v>
      </c>
      <c r="AT133" s="767">
        <f t="shared" si="68"/>
        <v>58.608449673466382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51">
        <f t="shared" si="72"/>
        <v>0.4642857142857143</v>
      </c>
      <c r="AY133" s="767">
        <f t="shared" si="73"/>
        <v>58.624077058822976</v>
      </c>
      <c r="AZ133" s="744">
        <f t="shared" si="77"/>
        <v>58.616263366144679</v>
      </c>
      <c r="BA133" s="642">
        <f t="shared" si="74"/>
        <v>0.9132461369232785</v>
      </c>
      <c r="BC133" s="11">
        <v>43219</v>
      </c>
      <c r="BD133" s="290">
        <f>[2]!FeuilCaduc*(1-Persistant)+Persistant</f>
        <v>0.68446474414919523</v>
      </c>
      <c r="BE133" s="291">
        <f>[2]!CroissVégét</f>
        <v>0.14996445881890225</v>
      </c>
      <c r="BF133" s="814">
        <f>1+[2]!Salcycl*Ksac</f>
        <v>1.0105580930186495</v>
      </c>
      <c r="BH133" s="1050">
        <f t="shared" si="75"/>
        <v>1.4137374767335453E-2</v>
      </c>
      <c r="BI133" s="11">
        <v>44315</v>
      </c>
      <c r="BJ133" s="724">
        <v>2.7970999412909755E-7</v>
      </c>
      <c r="BK133" s="724">
        <v>2.7970999412909755E-7</v>
      </c>
      <c r="BL133" s="724">
        <v>2.7970999412909755E-7</v>
      </c>
      <c r="BM133" s="724">
        <v>9.8772568113908424E-5</v>
      </c>
      <c r="BN133" s="724">
        <v>3.0714862548080358E-3</v>
      </c>
      <c r="BO133" s="725">
        <v>1.4137374767335453E-2</v>
      </c>
      <c r="BP133" s="724">
        <v>3.7797572182243798E-2</v>
      </c>
      <c r="BQ133" s="724">
        <v>9.8052494233582865E-2</v>
      </c>
      <c r="BR133" s="724">
        <v>0.22409543487908548</v>
      </c>
      <c r="BS133" s="724">
        <v>0.4346948688611299</v>
      </c>
      <c r="BT133" s="724">
        <v>0.70307465247521217</v>
      </c>
      <c r="BW133" s="1190">
        <f>'2018'!R\Max</f>
        <v>0</v>
      </c>
      <c r="BX133" s="1188">
        <f>'2019'!R\Max</f>
        <v>0.9132461369232785</v>
      </c>
      <c r="BY133" s="1188">
        <f>'2020'!R\Max</f>
        <v>0.57448836711066487</v>
      </c>
      <c r="BZ133" s="1188">
        <f>'2021'!R\Max</f>
        <v>0.48154117086834752</v>
      </c>
      <c r="CA133" s="1188">
        <f>'2022'!R\Max</f>
        <v>0.71844712606150329</v>
      </c>
      <c r="CB133" s="1188">
        <f>'2023'!R\Max</f>
        <v>0.71810188285812238</v>
      </c>
      <c r="CC133" s="1188">
        <f>'2024'!R\Max</f>
        <v>0.71749796375367525</v>
      </c>
      <c r="CD133" s="1188">
        <f>'2025'!R\Max</f>
        <v>0.71661430433374562</v>
      </c>
      <c r="CE133" s="1188">
        <f>'2026'!R\Max</f>
        <v>0.71493496189722994</v>
      </c>
      <c r="CF133" s="1189">
        <f>'2027'!R\Max</f>
        <v>0.71287537058827088</v>
      </c>
    </row>
    <row r="134" spans="1:84" s="6" customFormat="1" ht="11.25" x14ac:dyDescent="0.2">
      <c r="A134" s="11">
        <v>43220</v>
      </c>
      <c r="B134" s="380">
        <f>'2023'!Maxi_hp</f>
        <v>59.130369018521904</v>
      </c>
      <c r="C134" s="13">
        <f>'2023'!An_max</f>
        <v>2019</v>
      </c>
      <c r="D134" s="1059">
        <f t="shared" si="59"/>
        <v>1.0051672211569245</v>
      </c>
      <c r="E134" s="1054">
        <f>V$13/10</f>
        <v>58.8264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51">
        <f t="shared" si="62"/>
        <v>1</v>
      </c>
      <c r="J134" s="744">
        <f t="shared" si="63"/>
        <v>58.826399999856946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2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51">
        <f t="shared" si="67"/>
        <v>1</v>
      </c>
      <c r="AT134" s="767">
        <f t="shared" si="68"/>
        <v>58.826400001347068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51">
        <f t="shared" si="72"/>
        <v>0.5</v>
      </c>
      <c r="AY134" s="767">
        <f t="shared" si="73"/>
        <v>58.8454499989748</v>
      </c>
      <c r="AZ134" s="744">
        <f t="shared" si="77"/>
        <v>58.835925000160934</v>
      </c>
      <c r="BA134" s="642">
        <f t="shared" si="74"/>
        <v>1.0051672211569245</v>
      </c>
      <c r="BC134" s="11">
        <v>43220</v>
      </c>
      <c r="BD134" s="290">
        <f>[2]!FeuilCaduc*(1-Persistant)+Persistant</f>
        <v>0.68851023126092314</v>
      </c>
      <c r="BE134" s="291">
        <f>[2]!CroissVégét</f>
        <v>0.1553208101334605</v>
      </c>
      <c r="BF134" s="814">
        <f>1+[2]!Salcycl*Ksac</f>
        <v>1.0110637789076153</v>
      </c>
      <c r="BH134" s="1050">
        <f t="shared" si="75"/>
        <v>1.4535168153037356E-2</v>
      </c>
      <c r="BI134" s="11">
        <v>44316</v>
      </c>
      <c r="BJ134" s="724">
        <v>2.1749959678332207E-7</v>
      </c>
      <c r="BK134" s="724">
        <v>2.1749959678332204E-7</v>
      </c>
      <c r="BL134" s="724">
        <v>2.1749959678332204E-7</v>
      </c>
      <c r="BM134" s="724">
        <v>1.0019179836914239E-4</v>
      </c>
      <c r="BN134" s="724">
        <v>3.151258820215492E-3</v>
      </c>
      <c r="BO134" s="725">
        <v>1.4535168153037356E-2</v>
      </c>
      <c r="BP134" s="724">
        <v>3.8034190924319998E-2</v>
      </c>
      <c r="BQ134" s="724">
        <v>9.5826219398460255E-2</v>
      </c>
      <c r="BR134" s="724">
        <v>0.21646368794018875</v>
      </c>
      <c r="BS134" s="724">
        <v>0.42047390402206658</v>
      </c>
      <c r="BT134" s="724">
        <v>0.68282785695539494</v>
      </c>
      <c r="BW134" s="1190">
        <f>'2018'!R\Max</f>
        <v>0</v>
      </c>
      <c r="BX134" s="1188">
        <f>'2019'!R\Max</f>
        <v>1.0051672211569245</v>
      </c>
      <c r="BY134" s="1188">
        <f>'2020'!R\Max</f>
        <v>0.87098237270782564</v>
      </c>
      <c r="BZ134" s="1188">
        <f>'2021'!R\Max</f>
        <v>0.29820239642379864</v>
      </c>
      <c r="CA134" s="1188">
        <f>'2022'!R\Max</f>
        <v>0.8091357800663127</v>
      </c>
      <c r="CB134" s="1188">
        <f>'2023'!R\Max</f>
        <v>0.80887339414038351</v>
      </c>
      <c r="CC134" s="1188">
        <f>'2024'!R\Max</f>
        <v>0.80842325817752114</v>
      </c>
      <c r="CD134" s="1188">
        <f>'2025'!R\Max</f>
        <v>0.8077741043162675</v>
      </c>
      <c r="CE134" s="1188">
        <f>'2026'!R\Max</f>
        <v>0.80653784176136745</v>
      </c>
      <c r="CF134" s="1189">
        <f>'2027'!R\Max</f>
        <v>0.80501536847654431</v>
      </c>
    </row>
    <row r="135" spans="1:84" s="6" customFormat="1" ht="11.25" x14ac:dyDescent="0.2">
      <c r="A135" s="11">
        <v>43221</v>
      </c>
      <c r="B135" s="380">
        <f>'2023'!Maxi_hp</f>
        <v>53.619994148118579</v>
      </c>
      <c r="C135" s="13">
        <f>'2023'!An_max</f>
        <v>2019</v>
      </c>
      <c r="D135" s="1059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51">
        <f t="shared" si="62"/>
        <v>0.9285714285714286</v>
      </c>
      <c r="J135" s="744">
        <f t="shared" si="63"/>
        <v>59.041485423594715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2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51">
        <f t="shared" si="67"/>
        <v>0.9642857142857143</v>
      </c>
      <c r="AT135" s="767">
        <f t="shared" si="68"/>
        <v>59.036683583472453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51">
        <f t="shared" si="72"/>
        <v>0.5357142857142857</v>
      </c>
      <c r="AY135" s="767">
        <f t="shared" si="73"/>
        <v>59.060408145348944</v>
      </c>
      <c r="AZ135" s="744">
        <f t="shared" si="77"/>
        <v>59.048545864410698</v>
      </c>
      <c r="BA135" s="642">
        <f t="shared" si="74"/>
        <v>0.90817488353181663</v>
      </c>
      <c r="BC135" s="11">
        <v>43221</v>
      </c>
      <c r="BD135" s="290">
        <f>[2]!FeuilCaduc*(1-Persistant)+Persistant</f>
        <v>0.69266510603190956</v>
      </c>
      <c r="BE135" s="291">
        <f>[2]!CroissVégét</f>
        <v>0.16083055564958049</v>
      </c>
      <c r="BF135" s="814">
        <f>1+[2]!Salcycl*Ksac</f>
        <v>1.0115831382539886</v>
      </c>
      <c r="BH135" s="1050">
        <f t="shared" si="75"/>
        <v>1.4936091598780706E-2</v>
      </c>
      <c r="BI135" s="11">
        <v>44317</v>
      </c>
      <c r="BJ135" s="724">
        <v>1.6308421569738951E-7</v>
      </c>
      <c r="BK135" s="724">
        <v>1.6308421569738951E-7</v>
      </c>
      <c r="BL135" s="724">
        <v>1.6308421569738951E-7</v>
      </c>
      <c r="BM135" s="724">
        <v>1.0171682911710848E-4</v>
      </c>
      <c r="BN135" s="724">
        <v>3.231987503270787E-3</v>
      </c>
      <c r="BO135" s="725">
        <v>1.4936091598780706E-2</v>
      </c>
      <c r="BP135" s="724">
        <v>3.8455579781183552E-2</v>
      </c>
      <c r="BQ135" s="724">
        <v>9.3882984306524475E-2</v>
      </c>
      <c r="BR135" s="724">
        <v>0.20923219231077425</v>
      </c>
      <c r="BS135" s="724">
        <v>0.40631955484873639</v>
      </c>
      <c r="BT135" s="724">
        <v>0.66212537648001479</v>
      </c>
      <c r="BW135" s="1190">
        <f>'2018'!R\Max</f>
        <v>0</v>
      </c>
      <c r="BX135" s="1188">
        <f>'2019'!R\Max</f>
        <v>0.90817488353181663</v>
      </c>
      <c r="BY135" s="1188">
        <f>'2020'!R\Max</f>
        <v>0.77961770255832485</v>
      </c>
      <c r="BZ135" s="1188">
        <f>'2021'!R\Max</f>
        <v>0.34621218671496756</v>
      </c>
      <c r="CA135" s="1188">
        <f>'2022'!R\Max</f>
        <v>0.82204196044803279</v>
      </c>
      <c r="CB135" s="1188">
        <f>'2023'!R\Max</f>
        <v>0.82179260162827472</v>
      </c>
      <c r="CC135" s="1188">
        <f>'2024'!R\Max</f>
        <v>0.82137544673859508</v>
      </c>
      <c r="CD135" s="1188">
        <f>'2025'!R\Max</f>
        <v>0.82078427732580683</v>
      </c>
      <c r="CE135" s="1188">
        <f>'2026'!R\Max</f>
        <v>0.81965809935698208</v>
      </c>
      <c r="CF135" s="1189">
        <f>'2027'!R\Max</f>
        <v>0.8182678664888684</v>
      </c>
    </row>
    <row r="136" spans="1:84" s="6" customFormat="1" ht="11.25" x14ac:dyDescent="0.2">
      <c r="A136" s="11">
        <v>43222</v>
      </c>
      <c r="B136" s="380">
        <f>'2023'!Maxi_hp</f>
        <v>49.269090767711724</v>
      </c>
      <c r="C136" s="13">
        <f>'2023'!An_max</f>
        <v>2021</v>
      </c>
      <c r="D136" s="1059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51">
        <f t="shared" si="62"/>
        <v>0.8571428571428571</v>
      </c>
      <c r="J136" s="744">
        <f t="shared" si="63"/>
        <v>59.251165015144011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2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51">
        <f t="shared" si="67"/>
        <v>0.9285714285714286</v>
      </c>
      <c r="AT136" s="767">
        <f t="shared" si="68"/>
        <v>59.23944621006293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51">
        <f t="shared" si="72"/>
        <v>0.5714285714285714</v>
      </c>
      <c r="AY136" s="767">
        <f t="shared" si="73"/>
        <v>59.268937608599664</v>
      </c>
      <c r="AZ136" s="744">
        <f t="shared" si="77"/>
        <v>59.254191909331297</v>
      </c>
      <c r="BA136" s="642">
        <f t="shared" si="74"/>
        <v>0.83152948562478113</v>
      </c>
      <c r="BC136" s="11">
        <v>43222</v>
      </c>
      <c r="BD136" s="290">
        <f>[2]!FeuilCaduc*(1-Persistant)+Persistant</f>
        <v>0.69692788399970962</v>
      </c>
      <c r="BE136" s="291">
        <f>[2]!CroissVégét</f>
        <v>0.16649552652045066</v>
      </c>
      <c r="BF136" s="814">
        <f>1+[2]!Salcycl*Ksac</f>
        <v>1.0121159854999637</v>
      </c>
      <c r="BH136" s="1050">
        <f t="shared" si="75"/>
        <v>1.5335349423989288E-2</v>
      </c>
      <c r="BI136" s="11">
        <v>44318</v>
      </c>
      <c r="BJ136" s="724">
        <v>1.1645905846929401E-7</v>
      </c>
      <c r="BK136" s="724">
        <v>1.1645905846929399E-7</v>
      </c>
      <c r="BL136" s="724">
        <v>1.1645905846929399E-7</v>
      </c>
      <c r="BM136" s="724">
        <v>1.0313786031671722E-4</v>
      </c>
      <c r="BN136" s="724">
        <v>3.3127554185848063E-3</v>
      </c>
      <c r="BO136" s="725">
        <v>1.5335349423989288E-2</v>
      </c>
      <c r="BP136" s="724">
        <v>3.905630843033793E-2</v>
      </c>
      <c r="BQ136" s="724">
        <v>9.2343847229148193E-2</v>
      </c>
      <c r="BR136" s="724">
        <v>0.20262381249346262</v>
      </c>
      <c r="BS136" s="724">
        <v>0.39258904883249496</v>
      </c>
      <c r="BT136" s="724">
        <v>0.64136776669897622</v>
      </c>
      <c r="BW136" s="1190">
        <f>'2018'!R\Max</f>
        <v>0</v>
      </c>
      <c r="BX136" s="1188">
        <f>'2019'!R\Max</f>
        <v>0.58050076276794305</v>
      </c>
      <c r="BY136" s="1188">
        <f>'2020'!R\Max</f>
        <v>0.35271403361572767</v>
      </c>
      <c r="BZ136" s="1188">
        <f>'2021'!R\Max</f>
        <v>0.83152948562478113</v>
      </c>
      <c r="CA136" s="1188">
        <f>'2022'!R\Max</f>
        <v>0.53431418104745732</v>
      </c>
      <c r="CB136" s="1188">
        <f>'2023'!R\Max</f>
        <v>0.53388551078646929</v>
      </c>
      <c r="CC136" s="1188">
        <f>'2024'!R\Max</f>
        <v>0.53318962087264721</v>
      </c>
      <c r="CD136" s="1188">
        <f>'2025'!R\Max</f>
        <v>0.5322241139458993</v>
      </c>
      <c r="CE136" s="1188">
        <f>'2026'!R\Max</f>
        <v>0.53039457590405459</v>
      </c>
      <c r="CF136" s="1189">
        <f>'2027'!R\Max</f>
        <v>0.52814312639830652</v>
      </c>
    </row>
    <row r="137" spans="1:84" s="6" customFormat="1" ht="11.25" x14ac:dyDescent="0.2">
      <c r="A137" s="11">
        <v>43223</v>
      </c>
      <c r="B137" s="380">
        <f>'2023'!Maxi_hp</f>
        <v>58.038935188367326</v>
      </c>
      <c r="C137" s="13">
        <f>'2023'!An_max</f>
        <v>2021</v>
      </c>
      <c r="D137" s="1059">
        <f t="shared" si="59"/>
        <v>0.97617902162547765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51">
        <f t="shared" si="62"/>
        <v>0.7857142857142857</v>
      </c>
      <c r="J137" s="744">
        <f t="shared" si="63"/>
        <v>59.455216617669372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2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51">
        <f t="shared" si="67"/>
        <v>0.8928571428571429</v>
      </c>
      <c r="AT137" s="767">
        <f t="shared" si="68"/>
        <v>59.434812848083673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51">
        <f t="shared" si="72"/>
        <v>0.6071428571428571</v>
      </c>
      <c r="AY137" s="767">
        <f t="shared" si="73"/>
        <v>59.471024507470432</v>
      </c>
      <c r="AZ137" s="744">
        <f t="shared" si="77"/>
        <v>59.452918677777049</v>
      </c>
      <c r="BA137" s="642">
        <f t="shared" si="74"/>
        <v>0.97617902162547765</v>
      </c>
      <c r="BC137" s="11">
        <v>43223</v>
      </c>
      <c r="BD137" s="290">
        <f>[2]!FeuilCaduc*(1-Persistant)+Persistant</f>
        <v>0.70129683750527161</v>
      </c>
      <c r="BE137" s="291">
        <f>[2]!CroissVégét</f>
        <v>0.1723173890515782</v>
      </c>
      <c r="BF137" s="814">
        <f>1+[2]!Salcycl*Ksac</f>
        <v>1.012662104688159</v>
      </c>
      <c r="BH137" s="1050">
        <f t="shared" si="75"/>
        <v>1.5730496617485813E-2</v>
      </c>
      <c r="BI137" s="11">
        <v>44319</v>
      </c>
      <c r="BJ137" s="724">
        <v>7.7619076357969265E-8</v>
      </c>
      <c r="BK137" s="724">
        <v>7.7619076357969252E-8</v>
      </c>
      <c r="BL137" s="724">
        <v>7.7619076357969252E-8</v>
      </c>
      <c r="BM137" s="724">
        <v>1.0431982427251853E-4</v>
      </c>
      <c r="BN137" s="724">
        <v>3.3929461443402268E-3</v>
      </c>
      <c r="BO137" s="725">
        <v>1.5730496617485813E-2</v>
      </c>
      <c r="BP137" s="724">
        <v>3.9717411126446292E-2</v>
      </c>
      <c r="BQ137" s="724">
        <v>9.1024229154709133E-2</v>
      </c>
      <c r="BR137" s="724">
        <v>0.19651626728158667</v>
      </c>
      <c r="BS137" s="724">
        <v>0.37945924269990455</v>
      </c>
      <c r="BT137" s="724">
        <v>0.62110247401649987</v>
      </c>
      <c r="BW137" s="1190">
        <f>'2018'!R\Max</f>
        <v>0</v>
      </c>
      <c r="BX137" s="1188">
        <f>'2019'!R\Max</f>
        <v>0.34116134529235365</v>
      </c>
      <c r="BY137" s="1188">
        <f>'2020'!R\Max</f>
        <v>0.69243484056022131</v>
      </c>
      <c r="BZ137" s="1188">
        <f>'2021'!R\Max</f>
        <v>0.97617902162547765</v>
      </c>
      <c r="CA137" s="1188">
        <f>'2022'!R\Max</f>
        <v>0.64994917157572552</v>
      </c>
      <c r="CB137" s="1188">
        <f>'2023'!R\Max</f>
        <v>0.6495516140916926</v>
      </c>
      <c r="CC137" s="1188">
        <f>'2024'!R\Max</f>
        <v>0.64892460327858226</v>
      </c>
      <c r="CD137" s="1188">
        <f>'2025'!R\Max</f>
        <v>0.64807096839850198</v>
      </c>
      <c r="CE137" s="1188">
        <f>'2026'!R\Max</f>
        <v>0.64645584492049402</v>
      </c>
      <c r="CF137" s="1189">
        <f>'2027'!R\Max</f>
        <v>0.64446155880987632</v>
      </c>
    </row>
    <row r="138" spans="1:84" s="6" customFormat="1" ht="11.25" x14ac:dyDescent="0.2">
      <c r="A138" s="11">
        <v>43224</v>
      </c>
      <c r="B138" s="380">
        <f>'2023'!Maxi_hp</f>
        <v>56.165663952413723</v>
      </c>
      <c r="C138" s="13">
        <f>'2023'!An_max</f>
        <v>2020</v>
      </c>
      <c r="D138" s="1059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51">
        <f t="shared" si="62"/>
        <v>0.7142857142857143</v>
      </c>
      <c r="J138" s="744">
        <f t="shared" si="63"/>
        <v>59.653418075080424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2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51">
        <f t="shared" si="67"/>
        <v>0.8571428571428571</v>
      </c>
      <c r="AT138" s="767">
        <f t="shared" si="68"/>
        <v>59.622908455665616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51">
        <f t="shared" si="72"/>
        <v>0.6428571428571429</v>
      </c>
      <c r="AY138" s="767">
        <f t="shared" si="73"/>
        <v>59.666654955169989</v>
      </c>
      <c r="AZ138" s="744">
        <f t="shared" si="77"/>
        <v>59.644781705417799</v>
      </c>
      <c r="BA138" s="642">
        <f t="shared" si="74"/>
        <v>0.94153303808547939</v>
      </c>
      <c r="BC138" s="11">
        <v>43224</v>
      </c>
      <c r="BD138" s="290">
        <f>[2]!FeuilCaduc*(1-Persistant)+Persistant</f>
        <v>0.70576999001073237</v>
      </c>
      <c r="BE138" s="291">
        <f>[2]!CroissVégét</f>
        <v>0.17829763088415901</v>
      </c>
      <c r="BF138" s="814">
        <f>1+[2]!Salcycl*Ksac</f>
        <v>1.0132212487513415</v>
      </c>
      <c r="BH138" s="1050">
        <f t="shared" si="75"/>
        <v>1.6121524636652576E-2</v>
      </c>
      <c r="BI138" s="11">
        <v>44320</v>
      </c>
      <c r="BJ138" s="724">
        <v>4.6558947276336062E-8</v>
      </c>
      <c r="BK138" s="724">
        <v>4.6558947276336068E-8</v>
      </c>
      <c r="BL138" s="724">
        <v>4.6558947276336068E-8</v>
      </c>
      <c r="BM138" s="724">
        <v>1.0526286012324541E-4</v>
      </c>
      <c r="BN138" s="724">
        <v>3.4725576992510492E-3</v>
      </c>
      <c r="BO138" s="725">
        <v>1.6121524636652576E-2</v>
      </c>
      <c r="BP138" s="724">
        <v>4.0438817756463658E-2</v>
      </c>
      <c r="BQ138" s="724">
        <v>8.9923964238113649E-2</v>
      </c>
      <c r="BR138" s="724">
        <v>0.19090924475395729</v>
      </c>
      <c r="BS138" s="724">
        <v>0.36692984906274678</v>
      </c>
      <c r="BT138" s="724">
        <v>0.60132938774827704</v>
      </c>
      <c r="BW138" s="1190">
        <f>'2018'!R\Max</f>
        <v>0</v>
      </c>
      <c r="BX138" s="1188">
        <f>'2019'!R\Max</f>
        <v>0.57678496924614353</v>
      </c>
      <c r="BY138" s="1188">
        <f>'2020'!R\Max</f>
        <v>0.94153303808547939</v>
      </c>
      <c r="BZ138" s="1188">
        <f>'2021'!R\Max</f>
        <v>0.86268684866804335</v>
      </c>
      <c r="CA138" s="1188">
        <f>'2022'!R\Max</f>
        <v>0.38125428071876438</v>
      </c>
      <c r="CB138" s="1188">
        <f>'2023'!R\Max</f>
        <v>0.38083532024596722</v>
      </c>
      <c r="CC138" s="1188">
        <f>'2024'!R\Max</f>
        <v>0.38019474553393057</v>
      </c>
      <c r="CD138" s="1188">
        <f>'2025'!R\Max</f>
        <v>0.37934141980077701</v>
      </c>
      <c r="CE138" s="1188">
        <f>'2026'!R\Max</f>
        <v>0.37773731093304941</v>
      </c>
      <c r="CF138" s="1189">
        <f>'2027'!R\Max</f>
        <v>0.37576251447371828</v>
      </c>
    </row>
    <row r="139" spans="1:84" s="6" customFormat="1" ht="11.25" x14ac:dyDescent="0.2">
      <c r="A139" s="11">
        <v>43225</v>
      </c>
      <c r="B139" s="380">
        <f>'2023'!Maxi_hp</f>
        <v>56.298681599981336</v>
      </c>
      <c r="C139" s="13">
        <f>'2023'!An_max</f>
        <v>2020</v>
      </c>
      <c r="D139" s="1059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51">
        <f t="shared" si="62"/>
        <v>0.6428571428571429</v>
      </c>
      <c r="J139" s="744">
        <f t="shared" si="63"/>
        <v>59.845547231020667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2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51">
        <f t="shared" si="67"/>
        <v>0.8214285714285714</v>
      </c>
      <c r="AT139" s="767">
        <f t="shared" si="68"/>
        <v>59.803857999880407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51">
        <f t="shared" si="72"/>
        <v>0.6785714285714286</v>
      </c>
      <c r="AY139" s="767">
        <f t="shared" si="73"/>
        <v>59.85581506900489</v>
      </c>
      <c r="AZ139" s="744">
        <f t="shared" si="77"/>
        <v>59.829836534442649</v>
      </c>
      <c r="BA139" s="642">
        <f t="shared" si="74"/>
        <v>0.94073300696295026</v>
      </c>
      <c r="BC139" s="11">
        <v>43225</v>
      </c>
      <c r="BD139" s="290">
        <f>[2]!FeuilCaduc*(1-Persistant)+Persistant</f>
        <v>0.71034511098304465</v>
      </c>
      <c r="BE139" s="291">
        <f>[2]!CroissVégét</f>
        <v>0.1844375470173118</v>
      </c>
      <c r="BF139" s="814">
        <f>1+[2]!Salcycl*Ksac</f>
        <v>1.0137931388728807</v>
      </c>
      <c r="BH139" s="1050">
        <f t="shared" si="75"/>
        <v>1.650842474778114E-2</v>
      </c>
      <c r="BI139" s="11">
        <v>44321</v>
      </c>
      <c r="BJ139" s="724">
        <v>2.3273058784033692E-8</v>
      </c>
      <c r="BK139" s="724">
        <v>2.3273058784033689E-8</v>
      </c>
      <c r="BL139" s="724">
        <v>2.3273058784033689E-8</v>
      </c>
      <c r="BM139" s="724">
        <v>1.0596711587818989E-4</v>
      </c>
      <c r="BN139" s="724">
        <v>3.5515880524125479E-3</v>
      </c>
      <c r="BO139" s="725">
        <v>1.650842474778114E-2</v>
      </c>
      <c r="BP139" s="724">
        <v>4.1220455071745356E-2</v>
      </c>
      <c r="BQ139" s="724">
        <v>8.9042878602601558E-2</v>
      </c>
      <c r="BR139" s="724">
        <v>0.18580241745019829</v>
      </c>
      <c r="BS139" s="724">
        <v>0.35500056703010124</v>
      </c>
      <c r="BT139" s="724">
        <v>0.58204839451311863</v>
      </c>
      <c r="BW139" s="1190">
        <f>'2018'!R\Max</f>
        <v>0</v>
      </c>
      <c r="BX139" s="1188">
        <f>'2019'!R\Max</f>
        <v>0.80659406027522551</v>
      </c>
      <c r="BY139" s="1188">
        <f>'2020'!R\Max</f>
        <v>0.94073300696295026</v>
      </c>
      <c r="BZ139" s="1188">
        <f>'2021'!R\Max</f>
        <v>0.60360322233092312</v>
      </c>
      <c r="CA139" s="1188">
        <f>'2022'!R\Max</f>
        <v>0.75603095594210823</v>
      </c>
      <c r="CB139" s="1188">
        <f>'2023'!R\Max</f>
        <v>0.75569674369224604</v>
      </c>
      <c r="CC139" s="1188">
        <f>'2024'!R\Max</f>
        <v>0.75520002199374681</v>
      </c>
      <c r="CD139" s="1188">
        <f>'2025'!R\Max</f>
        <v>0.75455009345659285</v>
      </c>
      <c r="CE139" s="1188">
        <f>'2026'!R\Max</f>
        <v>0.7533292257283567</v>
      </c>
      <c r="CF139" s="1189">
        <f>'2027'!R\Max</f>
        <v>0.75181669182975297</v>
      </c>
    </row>
    <row r="140" spans="1:84" s="6" customFormat="1" ht="11.25" x14ac:dyDescent="0.2">
      <c r="A140" s="11">
        <v>43226</v>
      </c>
      <c r="B140" s="380">
        <f>'2023'!Maxi_hp</f>
        <v>61.556815865324921</v>
      </c>
      <c r="C140" s="13">
        <f>'2023'!An_max</f>
        <v>2019</v>
      </c>
      <c r="D140" s="1059">
        <f t="shared" si="59"/>
        <v>1.025410608451331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51">
        <f t="shared" si="62"/>
        <v>0.5714285714285714</v>
      </c>
      <c r="J140" s="744">
        <f t="shared" si="63"/>
        <v>60.0313819244504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2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51">
        <f t="shared" si="67"/>
        <v>0.7857142857142857</v>
      </c>
      <c r="AT140" s="767">
        <f t="shared" si="68"/>
        <v>59.977786443967901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51">
        <f t="shared" si="72"/>
        <v>0.7142857142857143</v>
      </c>
      <c r="AY140" s="767">
        <f t="shared" si="73"/>
        <v>60.038490961704937</v>
      </c>
      <c r="AZ140" s="744">
        <f t="shared" si="77"/>
        <v>60.008138702836419</v>
      </c>
      <c r="BA140" s="642">
        <f t="shared" si="74"/>
        <v>1.025410608451331</v>
      </c>
      <c r="BC140" s="11">
        <v>43226</v>
      </c>
      <c r="BD140" s="290">
        <f>[2]!FeuilCaduc*(1-Persistant)+Persistant</f>
        <v>0.71501971143686638</v>
      </c>
      <c r="BE140" s="291">
        <f>[2]!CroissVégét</f>
        <v>0.19073822573999455</v>
      </c>
      <c r="BF140" s="814">
        <f>1+[2]!Salcycl*Ksac</f>
        <v>1.0143774639296084</v>
      </c>
      <c r="BH140" s="1050">
        <f t="shared" si="75"/>
        <v>1.6891188034529561E-2</v>
      </c>
      <c r="BI140" s="11">
        <v>44322</v>
      </c>
      <c r="BJ140" s="724">
        <v>7.7554910809735224E-9</v>
      </c>
      <c r="BK140" s="724">
        <v>7.7554910809735224E-9</v>
      </c>
      <c r="BL140" s="724">
        <v>7.7554910809735224E-9</v>
      </c>
      <c r="BM140" s="724">
        <v>1.0643274893873697E-4</v>
      </c>
      <c r="BN140" s="724">
        <v>3.6300351244533857E-3</v>
      </c>
      <c r="BO140" s="725">
        <v>1.6891188034529561E-2</v>
      </c>
      <c r="BP140" s="724">
        <v>4.2062246554829825E-2</v>
      </c>
      <c r="BQ140" s="724">
        <v>8.838078985987112E-2</v>
      </c>
      <c r="BR140" s="724">
        <v>0.18119544127942841</v>
      </c>
      <c r="BS140" s="724">
        <v>0.34367108090492055</v>
      </c>
      <c r="BT140" s="724">
        <v>0.5632593771732114</v>
      </c>
      <c r="BW140" s="1190">
        <f>'2018'!R\Max</f>
        <v>0</v>
      </c>
      <c r="BX140" s="1188">
        <f>'2019'!R\Max</f>
        <v>1.025410608451331</v>
      </c>
      <c r="BY140" s="1188">
        <f>'2020'!R\Max</f>
        <v>0.86669877655704697</v>
      </c>
      <c r="BZ140" s="1188">
        <f>'2021'!R\Max</f>
        <v>0.56894148178435999</v>
      </c>
      <c r="CA140" s="1188">
        <f>'2022'!R\Max</f>
        <v>0.63500147758898273</v>
      </c>
      <c r="CB140" s="1188">
        <f>'2023'!R\Max</f>
        <v>0.63457231389167346</v>
      </c>
      <c r="CC140" s="1188">
        <f>'2024'!R\Max</f>
        <v>0.63395364512774577</v>
      </c>
      <c r="CD140" s="1188">
        <f>'2025'!R\Max</f>
        <v>0.63316111028292765</v>
      </c>
      <c r="CE140" s="1188">
        <f>'2026'!R\Max</f>
        <v>0.63168247859845095</v>
      </c>
      <c r="CF140" s="1189">
        <f>'2027'!R\Max</f>
        <v>0.62985368893728833</v>
      </c>
    </row>
    <row r="141" spans="1:84" s="6" customFormat="1" ht="11.25" x14ac:dyDescent="0.2">
      <c r="A141" s="11">
        <v>43227</v>
      </c>
      <c r="B141" s="380">
        <f>'2023'!Maxi_hp</f>
        <v>58.403819725398094</v>
      </c>
      <c r="C141" s="13">
        <f>'2023'!An_max</f>
        <v>2020</v>
      </c>
      <c r="D141" s="1059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51">
        <f t="shared" si="62"/>
        <v>0.5</v>
      </c>
      <c r="J141" s="744">
        <f t="shared" si="63"/>
        <v>60.210700000450018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2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51">
        <f t="shared" si="67"/>
        <v>0.75</v>
      </c>
      <c r="AT141" s="767">
        <f t="shared" si="68"/>
        <v>60.144818750396368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51">
        <f t="shared" si="72"/>
        <v>0.75</v>
      </c>
      <c r="AY141" s="767">
        <f t="shared" si="73"/>
        <v>60.214668749459086</v>
      </c>
      <c r="AZ141" s="744">
        <f t="shared" si="77"/>
        <v>60.179743749927724</v>
      </c>
      <c r="BA141" s="642">
        <f t="shared" si="74"/>
        <v>0.96999071136793924</v>
      </c>
      <c r="BC141" s="11">
        <v>43227</v>
      </c>
      <c r="BD141" s="290">
        <f>[2]!FeuilCaduc*(1-Persistant)+Persistant</f>
        <v>0.71979104023048723</v>
      </c>
      <c r="BE141" s="291">
        <f>[2]!CroissVégét</f>
        <v>0.19720053455029921</v>
      </c>
      <c r="BF141" s="814">
        <f>1+[2]!Salcycl*Ksac</f>
        <v>1.0149738800288108</v>
      </c>
      <c r="BH141" s="1050">
        <f t="shared" si="75"/>
        <v>1.7269805406157312E-2</v>
      </c>
      <c r="BI141" s="11">
        <v>44323</v>
      </c>
      <c r="BJ141" s="724">
        <v>0</v>
      </c>
      <c r="BK141" s="724">
        <v>0</v>
      </c>
      <c r="BL141" s="724">
        <v>0</v>
      </c>
      <c r="BM141" s="724">
        <v>1.0665992661843394E-4</v>
      </c>
      <c r="BN141" s="724">
        <v>3.7078967886397928E-3</v>
      </c>
      <c r="BO141" s="725">
        <v>1.7269805406157312E-2</v>
      </c>
      <c r="BP141" s="724">
        <v>4.296411228566157E-2</v>
      </c>
      <c r="BQ141" s="724">
        <v>8.7937506628938733E-2</v>
      </c>
      <c r="BR141" s="724">
        <v>0.17708795442623215</v>
      </c>
      <c r="BS141" s="724">
        <v>0.33294105887538378</v>
      </c>
      <c r="BT141" s="724">
        <v>0.54496221376582288</v>
      </c>
      <c r="BW141" s="1190">
        <f>'2018'!R\Max</f>
        <v>0</v>
      </c>
      <c r="BX141" s="1188">
        <f>'2019'!R\Max</f>
        <v>0.72926806785047771</v>
      </c>
      <c r="BY141" s="1188">
        <f>'2020'!R\Max</f>
        <v>0.96999071136793924</v>
      </c>
      <c r="BZ141" s="1188">
        <f>'2021'!R\Max</f>
        <v>0.52375140086666061</v>
      </c>
      <c r="CA141" s="1188">
        <f>'2022'!R\Max</f>
        <v>0.92686684916890305</v>
      </c>
      <c r="CB141" s="1188">
        <f>'2023'!R\Max</f>
        <v>0.92673818190509405</v>
      </c>
      <c r="CC141" s="1188">
        <f>'2024'!R\Max</f>
        <v>0.92655788665747774</v>
      </c>
      <c r="CD141" s="1188">
        <f>'2025'!R\Max</f>
        <v>0.92633118435490436</v>
      </c>
      <c r="CE141" s="1188">
        <f>'2026'!R\Max</f>
        <v>0.92590984748468907</v>
      </c>
      <c r="CF141" s="1189">
        <f>'2027'!R\Max</f>
        <v>0.92538693101021874</v>
      </c>
    </row>
    <row r="142" spans="1:84" s="6" customFormat="1" ht="11.25" x14ac:dyDescent="0.2">
      <c r="A142" s="11">
        <v>43228</v>
      </c>
      <c r="B142" s="380">
        <f>'2023'!Maxi_hp</f>
        <v>55.761522255902449</v>
      </c>
      <c r="C142" s="13">
        <f>'2023'!An_max</f>
        <v>2021</v>
      </c>
      <c r="D142" s="1059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51">
        <f t="shared" si="62"/>
        <v>0.42857142857142855</v>
      </c>
      <c r="J142" s="744">
        <f t="shared" si="63"/>
        <v>60.383279299736024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2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51">
        <f t="shared" si="67"/>
        <v>0.7142857142857143</v>
      </c>
      <c r="AT142" s="767">
        <f t="shared" si="68"/>
        <v>60.305079884933569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51">
        <f t="shared" si="72"/>
        <v>0.7857142857142857</v>
      </c>
      <c r="AY142" s="767">
        <f t="shared" si="73"/>
        <v>60.384334547498398</v>
      </c>
      <c r="AZ142" s="744">
        <f t="shared" si="77"/>
        <v>60.34470721621598</v>
      </c>
      <c r="BA142" s="642">
        <f t="shared" si="74"/>
        <v>0.92345965476814074</v>
      </c>
      <c r="BC142" s="11">
        <v>43228</v>
      </c>
      <c r="BD142" s="290">
        <f>[2]!FeuilCaduc*(1-Persistant)+Persistant</f>
        <v>0.72465608120776859</v>
      </c>
      <c r="BE142" s="291">
        <f>[2]!CroissVégét</f>
        <v>0.2038251061465651</v>
      </c>
      <c r="BF142" s="814">
        <f>1+[2]!Salcycl*Ksac</f>
        <v>1.0155820101509712</v>
      </c>
      <c r="BH142" s="1050">
        <f t="shared" si="75"/>
        <v>1.7635864329467444E-2</v>
      </c>
      <c r="BI142" s="11">
        <v>44324</v>
      </c>
      <c r="BJ142" s="724">
        <v>0</v>
      </c>
      <c r="BK142" s="724">
        <v>0</v>
      </c>
      <c r="BL142" s="724">
        <v>0</v>
      </c>
      <c r="BM142" s="724">
        <v>1.0660485837934526E-4</v>
      </c>
      <c r="BN142" s="724">
        <v>3.7843336862439618E-3</v>
      </c>
      <c r="BO142" s="725">
        <v>1.7635864329467444E-2</v>
      </c>
      <c r="BP142" s="724">
        <v>4.3914513339155116E-2</v>
      </c>
      <c r="BQ142" s="724">
        <v>8.7759284987862077E-2</v>
      </c>
      <c r="BR142" s="724">
        <v>0.17356383601896</v>
      </c>
      <c r="BS142" s="724">
        <v>0.32305680082122407</v>
      </c>
      <c r="BT142" s="724">
        <v>0.52763465601099313</v>
      </c>
      <c r="BW142" s="1190">
        <f>'2018'!R\Max</f>
        <v>0</v>
      </c>
      <c r="BX142" s="1188">
        <f>'2019'!R\Max</f>
        <v>0.50814073514193103</v>
      </c>
      <c r="BY142" s="1188">
        <f>'2020'!R\Max</f>
        <v>0.85132732658945265</v>
      </c>
      <c r="BZ142" s="1188">
        <f>'2021'!R\Max</f>
        <v>0.92345965476814074</v>
      </c>
      <c r="CA142" s="1188">
        <f>'2022'!R\Max</f>
        <v>0.84247934371121702</v>
      </c>
      <c r="CB142" s="1188">
        <f>'2023'!R\Max</f>
        <v>0.84222074391443413</v>
      </c>
      <c r="CC142" s="1188">
        <f>'2024'!R\Max</f>
        <v>0.8418685999170592</v>
      </c>
      <c r="CD142" s="1188">
        <f>'2025'!R\Max</f>
        <v>0.84143467155277574</v>
      </c>
      <c r="CE142" s="1188">
        <f>'2026'!R\Max</f>
        <v>0.8406357051359441</v>
      </c>
      <c r="CF142" s="1189">
        <f>'2027'!R\Max</f>
        <v>0.83964665352643875</v>
      </c>
    </row>
    <row r="143" spans="1:84" s="6" customFormat="1" ht="11.25" x14ac:dyDescent="0.2">
      <c r="A143" s="11">
        <v>43229</v>
      </c>
      <c r="B143" s="380">
        <f>'2023'!Maxi_hp</f>
        <v>56.299279898719327</v>
      </c>
      <c r="C143" s="13">
        <f>'2023'!An_max</f>
        <v>2022</v>
      </c>
      <c r="D143" s="1059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51">
        <f t="shared" ref="I143:I206" si="81">($A143-H143)/(INDEX(x.2m,G143)-H143)</f>
        <v>0.35714285714285715</v>
      </c>
      <c r="J143" s="744">
        <f t="shared" ref="J143:J206" si="82">((1-I143)*(INDEX(a.m,F143)*$A143*$A143+INDEX(b.m,F143)*$A143+INDEX(c.m,F143))+I143*(INDEX(a.m,G143)*$A143*$A143+INDEX(b.m,G143)*$A143+INDEX(c.m,G143)))/10</f>
        <v>60.548897667761352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2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51">
        <f t="shared" ref="AS143:AS206" si="86">($A143-AR143)/(INDEX(x.2lg,AQ143)-AR143)</f>
        <v>0.6785714285714286</v>
      </c>
      <c r="AT143" s="767">
        <f t="shared" ref="AT143:AT206" si="87">((1-AS143)*(INDEX(a.lg,AP143)*$A143*$A143+INDEX(b.lg,AP143)*$A143+INDEX(c.lg,AP143))+AS143*(INDEX(a.lg,AQ143)*$A143*$A143+INDEX(b.lg,AQ143)*$A143+INDEX(c.lg,AQ143)))/10</f>
        <v>60.45869480786579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51">
        <f t="shared" ref="AX143:AX206" si="91">($A143-AW143)/(INDEX(x.2ld,AV143)-AW143)</f>
        <v>0.8214285714285714</v>
      </c>
      <c r="AY143" s="767">
        <f t="shared" ref="AY143:AY206" si="92">((1-AX143)*(INDEX(a.ld,AU143)*$A143*$A143+INDEX(b.ld,AU143)*$A143+INDEX(c.ld,AU143))+AX143*(INDEX(a.ld,AV143)*$A143*$A143+INDEX(b.ld,AV143)*$A143+INDEX(c.ld,AV143)))/10</f>
        <v>60.547474471027293</v>
      </c>
      <c r="AZ143" s="744">
        <f t="shared" si="77"/>
        <v>60.503084639446541</v>
      </c>
      <c r="BA143" s="642">
        <f t="shared" ref="BA143:BA206" si="93">+B143/J143</f>
        <v>0.92981510923022648</v>
      </c>
      <c r="BC143" s="11">
        <v>43229</v>
      </c>
      <c r="BD143" s="290">
        <f>[2]!FeuilCaduc*(1-Persistant)+Persistant</f>
        <v>0.72961155127710708</v>
      </c>
      <c r="BE143" s="291">
        <f>[2]!CroissVégét</f>
        <v>0.21061232458125589</v>
      </c>
      <c r="BF143" s="814">
        <f>1+[2]!Salcycl*Ksac</f>
        <v>1.0162014439096383</v>
      </c>
      <c r="BH143" s="1050">
        <f t="shared" ref="BH143:BH206" si="94">INDEX($BJ143:$BT143,,$BH$10)*(1-Ratini)+INDEX($BJ143:$BT143,,$BH$10+1)*Ratini</f>
        <v>1.7988384129599744E-2</v>
      </c>
      <c r="BI143" s="11">
        <v>44325</v>
      </c>
      <c r="BJ143" s="724">
        <v>0</v>
      </c>
      <c r="BK143" s="724">
        <v>0</v>
      </c>
      <c r="BL143" s="724">
        <v>0</v>
      </c>
      <c r="BM143" s="724">
        <v>1.0629574365326711E-4</v>
      </c>
      <c r="BN143" s="724">
        <v>3.8589443943176181E-3</v>
      </c>
      <c r="BO143" s="725">
        <v>1.7988384129599744E-2</v>
      </c>
      <c r="BP143" s="724">
        <v>4.4847262926044316E-2</v>
      </c>
      <c r="BQ143" s="724">
        <v>8.774790868527077E-2</v>
      </c>
      <c r="BR143" s="724">
        <v>0.17034729250933908</v>
      </c>
      <c r="BS143" s="724">
        <v>0.31377884243689363</v>
      </c>
      <c r="BT143" s="724">
        <v>0.51119017340295714</v>
      </c>
      <c r="BW143" s="1190">
        <f>'2018'!R\Max</f>
        <v>0</v>
      </c>
      <c r="BX143" s="1188">
        <f>'2019'!R\Max</f>
        <v>0.75225303063193516</v>
      </c>
      <c r="BY143" s="1188">
        <f>'2020'!R\Max</f>
        <v>0.88336606089129843</v>
      </c>
      <c r="BZ143" s="1188">
        <f>'2021'!R\Max</f>
        <v>0.36703949519814633</v>
      </c>
      <c r="CA143" s="1188">
        <f>'2022'!R\Max</f>
        <v>0.92981510923022648</v>
      </c>
      <c r="CB143" s="1188">
        <f>'2023'!R\Max</f>
        <v>0.92968457669474414</v>
      </c>
      <c r="CC143" s="1188">
        <f>'2024'!R\Max</f>
        <v>0.92951121458638641</v>
      </c>
      <c r="CD143" s="1188">
        <f>'2025'!R\Max</f>
        <v>0.92930133590387409</v>
      </c>
      <c r="CE143" s="1188">
        <f>'2026'!R\Max</f>
        <v>0.92891912215852934</v>
      </c>
      <c r="CF143" s="1189">
        <f>'2027'!R\Max</f>
        <v>0.92844616210814512</v>
      </c>
    </row>
    <row r="144" spans="1:84" s="6" customFormat="1" ht="11.25" x14ac:dyDescent="0.2">
      <c r="A144" s="11">
        <v>43230</v>
      </c>
      <c r="B144" s="380">
        <f>'2023'!Maxi_hp</f>
        <v>52.257479209340723</v>
      </c>
      <c r="C144" s="13">
        <f>'2023'!An_max</f>
        <v>2022</v>
      </c>
      <c r="D144" s="1059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51">
        <f t="shared" si="81"/>
        <v>0.2857142857142857</v>
      </c>
      <c r="J144" s="744">
        <f t="shared" si="82"/>
        <v>60.707332944018503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2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51">
        <f t="shared" si="86"/>
        <v>0.6428571428571429</v>
      </c>
      <c r="AT144" s="767">
        <f t="shared" si="87"/>
        <v>60.605788484481835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51">
        <f t="shared" si="91"/>
        <v>0.8571428571428571</v>
      </c>
      <c r="AY144" s="767">
        <f t="shared" si="92"/>
        <v>60.704074634505176</v>
      </c>
      <c r="AZ144" s="744">
        <f t="shared" ref="AZ144:AZ207" si="96">(AY144+AT144)/2</f>
        <v>60.654931559493505</v>
      </c>
      <c r="BA144" s="642">
        <f t="shared" si="93"/>
        <v>0.86080999897541466</v>
      </c>
      <c r="BC144" s="11">
        <v>43230</v>
      </c>
      <c r="BD144" s="290">
        <f>[2]!FeuilCaduc*(1-Persistant)+Persistant</f>
        <v>0.7346538995152907</v>
      </c>
      <c r="BE144" s="291">
        <f>[2]!CroissVégét</f>
        <v>0.21756231167469237</v>
      </c>
      <c r="BF144" s="814">
        <f>1+[2]!Salcycl*Ksac</f>
        <v>1.0168317374394114</v>
      </c>
      <c r="BH144" s="1050">
        <f t="shared" si="94"/>
        <v>1.8327364309862745E-2</v>
      </c>
      <c r="BI144" s="11">
        <v>44326</v>
      </c>
      <c r="BJ144" s="724">
        <v>0</v>
      </c>
      <c r="BK144" s="724">
        <v>0</v>
      </c>
      <c r="BL144" s="724">
        <v>0</v>
      </c>
      <c r="BM144" s="724">
        <v>1.05732798797449E-4</v>
      </c>
      <c r="BN144" s="724">
        <v>3.9317278398112755E-3</v>
      </c>
      <c r="BO144" s="725">
        <v>1.8327364309862745E-2</v>
      </c>
      <c r="BP144" s="724">
        <v>4.5762343665214054E-2</v>
      </c>
      <c r="BQ144" s="724">
        <v>8.7903203999193547E-2</v>
      </c>
      <c r="BR144" s="724">
        <v>0.16743808077024336</v>
      </c>
      <c r="BS144" s="724">
        <v>0.30510678236963229</v>
      </c>
      <c r="BT144" s="724">
        <v>0.49562824126061311</v>
      </c>
      <c r="BW144" s="1190">
        <f>'2018'!R\Max</f>
        <v>0</v>
      </c>
      <c r="BX144" s="1188">
        <f>'2019'!R\Max</f>
        <v>0.62002705301751604</v>
      </c>
      <c r="BY144" s="1188">
        <f>'2020'!R\Max</f>
        <v>0.83148866831652812</v>
      </c>
      <c r="BZ144" s="1188">
        <f>'2021'!R\Max</f>
        <v>0.69483958505381116</v>
      </c>
      <c r="CA144" s="1188">
        <f>'2022'!R\Max</f>
        <v>0.86080999897541466</v>
      </c>
      <c r="CB144" s="1188">
        <f>'2023'!R\Max</f>
        <v>0.86056417523333228</v>
      </c>
      <c r="CC144" s="1188">
        <f>'2024'!R\Max</f>
        <v>0.860245062233571</v>
      </c>
      <c r="CD144" s="1188">
        <f>'2025'!R\Max</f>
        <v>0.85986523447580088</v>
      </c>
      <c r="CE144" s="1188">
        <f>'2026'!R\Max</f>
        <v>0.85918439404524471</v>
      </c>
      <c r="CF144" s="1189">
        <f>'2027'!R\Max</f>
        <v>0.8583440665246812</v>
      </c>
    </row>
    <row r="145" spans="1:84" s="6" customFormat="1" ht="11.25" x14ac:dyDescent="0.2">
      <c r="A145" s="11">
        <v>43231</v>
      </c>
      <c r="B145" s="380">
        <f>'2023'!Maxi_hp</f>
        <v>56.498682503617381</v>
      </c>
      <c r="C145" s="13">
        <f>'2023'!An_max</f>
        <v>2022</v>
      </c>
      <c r="D145" s="1059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51">
        <f t="shared" si="81"/>
        <v>0.21428571428571427</v>
      </c>
      <c r="J145" s="744">
        <f t="shared" si="82"/>
        <v>60.858362974120041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2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51">
        <f t="shared" si="86"/>
        <v>0.6071428571428571</v>
      </c>
      <c r="AT145" s="767">
        <f t="shared" si="87"/>
        <v>60.746485879218994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51">
        <f t="shared" si="91"/>
        <v>0.8928571428571429</v>
      </c>
      <c r="AY145" s="767">
        <f t="shared" si="92"/>
        <v>60.85412115345575</v>
      </c>
      <c r="AZ145" s="744">
        <f t="shared" si="96"/>
        <v>60.800303516337372</v>
      </c>
      <c r="BA145" s="642">
        <f t="shared" si="93"/>
        <v>0.92836349422746367</v>
      </c>
      <c r="BC145" s="11">
        <v>43231</v>
      </c>
      <c r="BD145" s="290">
        <f>[2]!FeuilCaduc*(1-Persistant)+Persistant</f>
        <v>0.73977930737980246</v>
      </c>
      <c r="BE145" s="291">
        <f>[2]!CroissVégét</f>
        <v>0.22467491379142088</v>
      </c>
      <c r="BF145" s="814">
        <f>1+[2]!Salcycl*Ksac</f>
        <v>1.0174724134224753</v>
      </c>
      <c r="BH145" s="1050">
        <f t="shared" si="94"/>
        <v>1.8652804715022581E-2</v>
      </c>
      <c r="BI145" s="11">
        <v>44327</v>
      </c>
      <c r="BJ145" s="724">
        <v>0</v>
      </c>
      <c r="BK145" s="724">
        <v>0</v>
      </c>
      <c r="BL145" s="724">
        <v>0</v>
      </c>
      <c r="BM145" s="724">
        <v>1.04916253013124E-4</v>
      </c>
      <c r="BN145" s="724">
        <v>4.0026829702196594E-3</v>
      </c>
      <c r="BO145" s="725">
        <v>1.8652804715022581E-2</v>
      </c>
      <c r="BP145" s="724">
        <v>4.6659738177097738E-2</v>
      </c>
      <c r="BQ145" s="724">
        <v>8.8224988861636641E-2</v>
      </c>
      <c r="BR145" s="724">
        <v>0.16483594518272635</v>
      </c>
      <c r="BS145" s="724">
        <v>0.29704019732252968</v>
      </c>
      <c r="BT145" s="724">
        <v>0.48094830556467488</v>
      </c>
      <c r="BW145" s="1190">
        <f>'2018'!R\Max</f>
        <v>0</v>
      </c>
      <c r="BX145" s="1188">
        <f>'2019'!R\Max</f>
        <v>0.6371376326532564</v>
      </c>
      <c r="BY145" s="1188">
        <f>'2020'!R\Max</f>
        <v>0.20886834679565383</v>
      </c>
      <c r="BZ145" s="1188">
        <f>'2021'!R\Max</f>
        <v>0.67146137787118876</v>
      </c>
      <c r="CA145" s="1188">
        <f>'2022'!R\Max</f>
        <v>0.92836349422746367</v>
      </c>
      <c r="CB145" s="1188">
        <f>'2023'!R\Max</f>
        <v>0.92822355446435167</v>
      </c>
      <c r="CC145" s="1188">
        <f>'2024'!R\Max</f>
        <v>0.92804535141232614</v>
      </c>
      <c r="CD145" s="1188">
        <f>'2025'!R\Max</f>
        <v>0.92783628027435316</v>
      </c>
      <c r="CE145" s="1188">
        <f>'2026'!R\Max</f>
        <v>0.92746828643698642</v>
      </c>
      <c r="CF145" s="1189">
        <f>'2027'!R\Max</f>
        <v>0.92701449978420003</v>
      </c>
    </row>
    <row r="146" spans="1:84" s="6" customFormat="1" ht="11.25" x14ac:dyDescent="0.2">
      <c r="A146" s="11">
        <v>43232</v>
      </c>
      <c r="B146" s="380">
        <f>'2023'!Maxi_hp</f>
        <v>59.943333681324077</v>
      </c>
      <c r="C146" s="13">
        <f>'2023'!An_max</f>
        <v>2019</v>
      </c>
      <c r="D146" s="1059">
        <f t="shared" si="78"/>
        <v>0.98264915931835839</v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51">
        <f t="shared" si="81"/>
        <v>0.14285714285714285</v>
      </c>
      <c r="J146" s="744">
        <f t="shared" si="82"/>
        <v>61.001765597505234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2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51">
        <f t="shared" si="86"/>
        <v>0.5714285714285714</v>
      </c>
      <c r="AT146" s="767">
        <f t="shared" si="87"/>
        <v>60.880911953747272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51">
        <f t="shared" si="91"/>
        <v>0.9285714285714286</v>
      </c>
      <c r="AY146" s="767">
        <f t="shared" si="92"/>
        <v>60.997600145371891</v>
      </c>
      <c r="AZ146" s="744">
        <f t="shared" si="96"/>
        <v>60.939256049559582</v>
      </c>
      <c r="BA146" s="642">
        <f t="shared" si="93"/>
        <v>0.98264915931835839</v>
      </c>
      <c r="BC146" s="11">
        <v>43232</v>
      </c>
      <c r="BD146" s="290">
        <f>[2]!FeuilCaduc*(1-Persistant)+Persistant</f>
        <v>0.74498369010764909</v>
      </c>
      <c r="BE146" s="291">
        <f>[2]!CroissVégét</f>
        <v>0.23194968908707836</v>
      </c>
      <c r="BF146" s="814">
        <f>1+[2]!Salcycl*Ksac</f>
        <v>1.0181229612634561</v>
      </c>
      <c r="BH146" s="1050">
        <f t="shared" si="94"/>
        <v>1.8964705560031297E-2</v>
      </c>
      <c r="BI146" s="11">
        <v>44328</v>
      </c>
      <c r="BJ146" s="724">
        <v>0</v>
      </c>
      <c r="BK146" s="724">
        <v>0</v>
      </c>
      <c r="BL146" s="724">
        <v>0</v>
      </c>
      <c r="BM146" s="724">
        <v>1.0384634890014498E-4</v>
      </c>
      <c r="BN146" s="724">
        <v>4.0718087573807264E-3</v>
      </c>
      <c r="BO146" s="725">
        <v>1.8964705560031297E-2</v>
      </c>
      <c r="BP146" s="724">
        <v>4.7539429119907689E-2</v>
      </c>
      <c r="BQ146" s="724">
        <v>8.8713072490123432E-2</v>
      </c>
      <c r="BR146" s="724">
        <v>0.16254061696068592</v>
      </c>
      <c r="BS146" s="724">
        <v>0.28957864072773282</v>
      </c>
      <c r="BT146" s="724">
        <v>0.46714978102747029</v>
      </c>
      <c r="BW146" s="1190">
        <f>'2018'!R\Max</f>
        <v>0</v>
      </c>
      <c r="BX146" s="1188">
        <f>'2019'!R\Max</f>
        <v>0.98264915931835839</v>
      </c>
      <c r="BY146" s="1188">
        <f>'2020'!R\Max</f>
        <v>0.15505299202576495</v>
      </c>
      <c r="BZ146" s="1188">
        <f>'2021'!R\Max</f>
        <v>0.70385511967020042</v>
      </c>
      <c r="CA146" s="1188">
        <f>'2022'!R\Max</f>
        <v>0.70816465874862011</v>
      </c>
      <c r="CB146" s="1188">
        <f>'2023'!R\Max</f>
        <v>0.70771909209949035</v>
      </c>
      <c r="CC146" s="1188">
        <f>'2024'!R\Max</f>
        <v>0.70716158309597488</v>
      </c>
      <c r="CD146" s="1188">
        <f>'2025'!R\Max</f>
        <v>0.70651676224753213</v>
      </c>
      <c r="CE146" s="1188">
        <f>'2026'!R\Max</f>
        <v>0.70540913629005031</v>
      </c>
      <c r="CF146" s="1189">
        <f>'2027'!R\Max</f>
        <v>0.70404930160274293</v>
      </c>
    </row>
    <row r="147" spans="1:84" s="6" customFormat="1" ht="11.25" x14ac:dyDescent="0.2">
      <c r="A147" s="11">
        <v>43233</v>
      </c>
      <c r="B147" s="380">
        <f>'2023'!Maxi_hp</f>
        <v>63.165410025979916</v>
      </c>
      <c r="C147" s="13">
        <f>'2023'!An_max</f>
        <v>2019</v>
      </c>
      <c r="D147" s="1059">
        <f t="shared" si="78"/>
        <v>1.033172723484227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51">
        <f t="shared" si="81"/>
        <v>7.1428571428571425E-2</v>
      </c>
      <c r="J147" s="744">
        <f t="shared" si="82"/>
        <v>61.137318659520574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2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51">
        <f t="shared" si="86"/>
        <v>0.5357142857142857</v>
      </c>
      <c r="AT147" s="767">
        <f t="shared" si="87"/>
        <v>61.009191672583782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51">
        <f t="shared" si="91"/>
        <v>0.9642857142857143</v>
      </c>
      <c r="AY147" s="767">
        <f t="shared" si="92"/>
        <v>61.134497721094114</v>
      </c>
      <c r="AZ147" s="744">
        <f t="shared" si="96"/>
        <v>61.071844696838951</v>
      </c>
      <c r="BA147" s="642">
        <f t="shared" si="93"/>
        <v>1.033172723484227</v>
      </c>
      <c r="BC147" s="11">
        <v>43233</v>
      </c>
      <c r="BD147" s="290">
        <f>[2]!FeuilCaduc*(1-Persistant)+Persistant</f>
        <v>0.75026269937219203</v>
      </c>
      <c r="BE147" s="291">
        <f>[2]!CroissVégét</f>
        <v>0.23938589533798257</v>
      </c>
      <c r="BF147" s="814">
        <f>1+[2]!Salcycl*Ksac</f>
        <v>1.018782837421524</v>
      </c>
      <c r="BH147" s="1050">
        <f t="shared" si="94"/>
        <v>1.9263067458920403E-2</v>
      </c>
      <c r="BI147" s="11">
        <v>44329</v>
      </c>
      <c r="BJ147" s="724">
        <v>0</v>
      </c>
      <c r="BK147" s="724">
        <v>0</v>
      </c>
      <c r="BL147" s="724">
        <v>0</v>
      </c>
      <c r="BM147" s="724">
        <v>1.0252334301266095E-4</v>
      </c>
      <c r="BN147" s="724">
        <v>4.1391042013100886E-3</v>
      </c>
      <c r="BO147" s="725">
        <v>1.9263067458920403E-2</v>
      </c>
      <c r="BP147" s="724">
        <v>4.840139922627551E-2</v>
      </c>
      <c r="BQ147" s="724">
        <v>8.9367255020074365E-2</v>
      </c>
      <c r="BR147" s="724">
        <v>0.16055181347723887</v>
      </c>
      <c r="BS147" s="724">
        <v>0.28272164142288408</v>
      </c>
      <c r="BT147" s="724">
        <v>0.45423204916803883</v>
      </c>
      <c r="BW147" s="1190">
        <f>'2018'!R\Max</f>
        <v>0</v>
      </c>
      <c r="BX147" s="1188">
        <f>'2019'!R\Max</f>
        <v>1.033172723484227</v>
      </c>
      <c r="BY147" s="1188">
        <f>'2020'!R\Max</f>
        <v>0.36689722475029174</v>
      </c>
      <c r="BZ147" s="1188">
        <f>'2021'!R\Max</f>
        <v>0.69125822459505604</v>
      </c>
      <c r="CA147" s="1188">
        <f>'2022'!R\Max</f>
        <v>0.75485263160335703</v>
      </c>
      <c r="CB147" s="1188">
        <f>'2023'!R\Max</f>
        <v>0.75444377178518884</v>
      </c>
      <c r="CC147" s="1188">
        <f>'2024'!R\Max</f>
        <v>0.75393891185918149</v>
      </c>
      <c r="CD147" s="1188">
        <f>'2025'!R\Max</f>
        <v>0.75336126892436139</v>
      </c>
      <c r="CE147" s="1188">
        <f>'2026'!R\Max</f>
        <v>0.75239436811917126</v>
      </c>
      <c r="CF147" s="1189">
        <f>'2027'!R\Max</f>
        <v>0.75120863182728093</v>
      </c>
    </row>
    <row r="148" spans="1:84" s="6" customFormat="1" ht="11.25" x14ac:dyDescent="0.2">
      <c r="A148" s="11">
        <v>43234</v>
      </c>
      <c r="B148" s="380">
        <f>'2023'!Maxi_hp</f>
        <v>61.55883645461271</v>
      </c>
      <c r="C148" s="13">
        <f>'2023'!An_max</f>
        <v>2019</v>
      </c>
      <c r="D148" s="1059">
        <f t="shared" si="78"/>
        <v>1.0047994354983338</v>
      </c>
      <c r="E148" s="1054">
        <f>W$13/10</f>
        <v>61.264800000000001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51">
        <f t="shared" si="81"/>
        <v>0</v>
      </c>
      <c r="J148" s="744">
        <f t="shared" si="82"/>
        <v>61.264799998700617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2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51">
        <f t="shared" si="86"/>
        <v>0.5</v>
      </c>
      <c r="AT148" s="767">
        <f t="shared" si="87"/>
        <v>61.131450000405309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51">
        <f t="shared" si="91"/>
        <v>1</v>
      </c>
      <c r="AY148" s="767">
        <f t="shared" si="92"/>
        <v>61.264799997955564</v>
      </c>
      <c r="AZ148" s="744">
        <f t="shared" si="96"/>
        <v>61.198124999180436</v>
      </c>
      <c r="BA148" s="642">
        <f t="shared" si="93"/>
        <v>1.0047994354983338</v>
      </c>
      <c r="BC148" s="11">
        <v>43234</v>
      </c>
      <c r="BD148" s="290">
        <f>[2]!FeuilCaduc*(1-Persistant)+Persistant</f>
        <v>0.75561172726176895</v>
      </c>
      <c r="BE148" s="291">
        <f>[2]!CroissVégét</f>
        <v>0.24698247846918731</v>
      </c>
      <c r="BF148" s="814">
        <f>1+[2]!Salcycl*Ksac</f>
        <v>1.0194514659077212</v>
      </c>
      <c r="BH148" s="1050">
        <f t="shared" si="94"/>
        <v>1.9547891453815854E-2</v>
      </c>
      <c r="BI148" s="11">
        <v>44330</v>
      </c>
      <c r="BJ148" s="724">
        <v>0</v>
      </c>
      <c r="BK148" s="724">
        <v>0</v>
      </c>
      <c r="BL148" s="724">
        <v>0</v>
      </c>
      <c r="BM148" s="724">
        <v>1.0094750641544282E-4</v>
      </c>
      <c r="BN148" s="724">
        <v>4.2045683340615177E-3</v>
      </c>
      <c r="BO148" s="725">
        <v>1.9547891453815854E-2</v>
      </c>
      <c r="BP148" s="724">
        <v>4.9245631340197188E-2</v>
      </c>
      <c r="BQ148" s="724">
        <v>9.0187327137741802E-2</v>
      </c>
      <c r="BR148" s="724">
        <v>0.15886923759208851</v>
      </c>
      <c r="BS148" s="724">
        <v>0.27646870232930121</v>
      </c>
      <c r="BT148" s="724">
        <v>0.44219445639002825</v>
      </c>
      <c r="BW148" s="1190">
        <f>'2018'!R\Max</f>
        <v>0</v>
      </c>
      <c r="BX148" s="1188">
        <f>'2019'!R\Max</f>
        <v>1.0047994354983338</v>
      </c>
      <c r="BY148" s="1188">
        <f>'2020'!R\Max</f>
        <v>0.55790933260490982</v>
      </c>
      <c r="BZ148" s="1188">
        <f>'2021'!R\Max</f>
        <v>0.74591536116474999</v>
      </c>
      <c r="CA148" s="1188">
        <f>'2022'!R\Max</f>
        <v>0.82240595536901562</v>
      </c>
      <c r="CB148" s="1188">
        <f>'2023'!R\Max</f>
        <v>0.82207534129891191</v>
      </c>
      <c r="CC148" s="1188">
        <f>'2024'!R\Max</f>
        <v>0.82167116234965243</v>
      </c>
      <c r="CD148" s="1188">
        <f>'2025'!R\Max</f>
        <v>0.82121276669316579</v>
      </c>
      <c r="CE148" s="1188">
        <f>'2026'!R\Max</f>
        <v>0.82046775426258922</v>
      </c>
      <c r="CF148" s="1189">
        <f>'2027'!R\Max</f>
        <v>0.819554853476676</v>
      </c>
    </row>
    <row r="149" spans="1:84" s="6" customFormat="1" ht="11.25" x14ac:dyDescent="0.2">
      <c r="A149" s="11">
        <v>43235</v>
      </c>
      <c r="B149" s="380">
        <f>'2023'!Maxi_hp</f>
        <v>62.517859934391758</v>
      </c>
      <c r="C149" s="13">
        <f>'2023'!An_max</f>
        <v>2019</v>
      </c>
      <c r="D149" s="1059">
        <f t="shared" si="78"/>
        <v>1.0184785533236003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51">
        <f t="shared" si="81"/>
        <v>7.1428571428571425E-2</v>
      </c>
      <c r="J149" s="744">
        <f t="shared" si="82"/>
        <v>61.383580174935716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2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51">
        <f t="shared" si="86"/>
        <v>0.4642857142857143</v>
      </c>
      <c r="AT149" s="767">
        <f t="shared" si="87"/>
        <v>61.247811898855232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51">
        <f t="shared" si="91"/>
        <v>0.9642857142857143</v>
      </c>
      <c r="AY149" s="767">
        <f t="shared" si="92"/>
        <v>61.387373048971803</v>
      </c>
      <c r="AZ149" s="744">
        <f t="shared" si="96"/>
        <v>61.317592473913521</v>
      </c>
      <c r="BA149" s="642">
        <f t="shared" si="93"/>
        <v>1.0184785533236003</v>
      </c>
      <c r="BC149" s="11">
        <v>43235</v>
      </c>
      <c r="BD149" s="290">
        <f>[2]!FeuilCaduc*(1-Persistant)+Persistant</f>
        <v>0.76102591163517674</v>
      </c>
      <c r="BE149" s="291">
        <f>[2]!CroissVégét</f>
        <v>0.25473806189926657</v>
      </c>
      <c r="BF149" s="814">
        <f>1+[2]!Salcycl*Ksac</f>
        <v>1.0201282389543971</v>
      </c>
      <c r="BH149" s="1050">
        <f t="shared" si="94"/>
        <v>1.9819179043859988E-2</v>
      </c>
      <c r="BI149" s="11">
        <v>44331</v>
      </c>
      <c r="BJ149" s="724">
        <v>0</v>
      </c>
      <c r="BK149" s="724">
        <v>0</v>
      </c>
      <c r="BL149" s="724">
        <v>0</v>
      </c>
      <c r="BM149" s="724">
        <v>9.9119125239648822E-5</v>
      </c>
      <c r="BN149" s="724">
        <v>4.2682002235675184E-3</v>
      </c>
      <c r="BO149" s="725">
        <v>1.9819179043859988E-2</v>
      </c>
      <c r="BP149" s="724">
        <v>5.0072108453746954E-2</v>
      </c>
      <c r="BQ149" s="724">
        <v>9.1173069712697188E-2</v>
      </c>
      <c r="BR149" s="724">
        <v>0.15749257697801797</v>
      </c>
      <c r="BS149" s="724">
        <v>0.27081929912854408</v>
      </c>
      <c r="BT149" s="724">
        <v>0.43103631205695803</v>
      </c>
      <c r="BW149" s="1190">
        <f>'2018'!R\Max</f>
        <v>0</v>
      </c>
      <c r="BX149" s="1188">
        <f>'2019'!R\Max</f>
        <v>1.0184785533236003</v>
      </c>
      <c r="BY149" s="1188">
        <f>'2020'!R\Max</f>
        <v>0.35623509209150572</v>
      </c>
      <c r="BZ149" s="1188">
        <f>'2021'!R\Max</f>
        <v>0.3619628707939862</v>
      </c>
      <c r="CA149" s="1188">
        <f>'2022'!R\Max</f>
        <v>0.86359803472247154</v>
      </c>
      <c r="CB149" s="1188">
        <f>'2023'!R\Max</f>
        <v>0.86332494722753916</v>
      </c>
      <c r="CC149" s="1188">
        <f>'2024'!R\Max</f>
        <v>0.86299342369076615</v>
      </c>
      <c r="CD149" s="1188">
        <f>'2025'!R\Max</f>
        <v>0.86262008611647079</v>
      </c>
      <c r="CE149" s="1188">
        <f>'2026'!R\Max</f>
        <v>0.86203325372140949</v>
      </c>
      <c r="CF149" s="1189">
        <f>'2027'!R\Max</f>
        <v>0.86131484378637824</v>
      </c>
    </row>
    <row r="150" spans="1:84" s="6" customFormat="1" ht="11.25" x14ac:dyDescent="0.2">
      <c r="A150" s="11">
        <v>43236</v>
      </c>
      <c r="B150" s="380">
        <f>'2023'!Maxi_hp</f>
        <v>52.342496301263523</v>
      </c>
      <c r="C150" s="13">
        <f>'2023'!An_max</f>
        <v>2019</v>
      </c>
      <c r="D150" s="1059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51">
        <f t="shared" si="81"/>
        <v>0.14285714285714285</v>
      </c>
      <c r="J150" s="744">
        <f t="shared" si="82"/>
        <v>61.493474051143437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2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51">
        <f t="shared" si="86"/>
        <v>0.42857142857142855</v>
      </c>
      <c r="AT150" s="767">
        <f t="shared" si="87"/>
        <v>61.358402332344212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51">
        <f t="shared" si="91"/>
        <v>0.9285714285714286</v>
      </c>
      <c r="AY150" s="767">
        <f t="shared" si="92"/>
        <v>61.501268075140466</v>
      </c>
      <c r="AZ150" s="744">
        <f t="shared" si="96"/>
        <v>61.429835203742343</v>
      </c>
      <c r="BA150" s="642">
        <f t="shared" si="93"/>
        <v>0.85118782291810102</v>
      </c>
      <c r="BC150" s="11">
        <v>43236</v>
      </c>
      <c r="BD150" s="290">
        <f>[2]!FeuilCaduc*(1-Persistant)+Persistant</f>
        <v>0.76650014289941526</v>
      </c>
      <c r="BE150" s="291">
        <f>[2]!CroissVégét</f>
        <v>0.2626509368215188</v>
      </c>
      <c r="BF150" s="814">
        <f>1+[2]!Salcycl*Ksac</f>
        <v>1.020812517862427</v>
      </c>
      <c r="BH150" s="1050">
        <f t="shared" si="94"/>
        <v>2.0074787575086208E-2</v>
      </c>
      <c r="BI150" s="11">
        <v>44332</v>
      </c>
      <c r="BJ150" s="724">
        <v>6.1415724760230225E-9</v>
      </c>
      <c r="BK150" s="724">
        <v>6.1415724760230225E-9</v>
      </c>
      <c r="BL150" s="724">
        <v>6.1415724760230225E-9</v>
      </c>
      <c r="BM150" s="724">
        <v>9.7162074189343758E-5</v>
      </c>
      <c r="BN150" s="724">
        <v>4.3300824438443639E-3</v>
      </c>
      <c r="BO150" s="725">
        <v>2.0074787575086208E-2</v>
      </c>
      <c r="BP150" s="724">
        <v>5.0871430226746721E-2</v>
      </c>
      <c r="BQ150" s="724">
        <v>9.2308927059912241E-2</v>
      </c>
      <c r="BR150" s="724">
        <v>0.15652450568851833</v>
      </c>
      <c r="BS150" s="724">
        <v>0.26596263701894368</v>
      </c>
      <c r="BT150" s="724">
        <v>0.42099579588568053</v>
      </c>
      <c r="BW150" s="1190">
        <f>'2018'!R\Max</f>
        <v>0</v>
      </c>
      <c r="BX150" s="1188">
        <f>'2019'!R\Max</f>
        <v>0.85118782291810102</v>
      </c>
      <c r="BY150" s="1188">
        <f>'2020'!R\Max</f>
        <v>0.28388939085929848</v>
      </c>
      <c r="BZ150" s="1188">
        <f>'2021'!R\Max</f>
        <v>0.23166502247662654</v>
      </c>
      <c r="CA150" s="1188">
        <f>'2022'!R\Max</f>
        <v>0.83600550409350527</v>
      </c>
      <c r="CB150" s="1188">
        <f>'2023'!R\Max</f>
        <v>0.83568021430942374</v>
      </c>
      <c r="CC150" s="1188">
        <f>'2024'!R\Max</f>
        <v>0.83528695941140474</v>
      </c>
      <c r="CD150" s="1188">
        <f>'2025'!R\Max</f>
        <v>0.83484661671528437</v>
      </c>
      <c r="CE150" s="1188">
        <f>'2026'!R\Max</f>
        <v>0.83417871644330588</v>
      </c>
      <c r="CF150" s="1189">
        <f>'2027'!R\Max</f>
        <v>0.83336243764642992</v>
      </c>
    </row>
    <row r="151" spans="1:84" s="6" customFormat="1" ht="11.25" x14ac:dyDescent="0.2">
      <c r="A151" s="11">
        <v>43237</v>
      </c>
      <c r="B151" s="380">
        <f>'2023'!Maxi_hp</f>
        <v>59.99498381286103</v>
      </c>
      <c r="C151" s="13">
        <f>'2023'!An_max</f>
        <v>2021</v>
      </c>
      <c r="D151" s="1059">
        <f t="shared" si="78"/>
        <v>0.97402477377382657</v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51">
        <f t="shared" si="81"/>
        <v>0.21428571428571427</v>
      </c>
      <c r="J151" s="744">
        <f t="shared" si="82"/>
        <v>61.59492594876459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2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51">
        <f t="shared" si="86"/>
        <v>0.39285714285714285</v>
      </c>
      <c r="AT151" s="767">
        <f t="shared" si="87"/>
        <v>61.463346264564578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51">
        <f t="shared" si="91"/>
        <v>0.8928571428571429</v>
      </c>
      <c r="AY151" s="767">
        <f t="shared" si="92"/>
        <v>61.606748886991817</v>
      </c>
      <c r="AZ151" s="744">
        <f t="shared" si="96"/>
        <v>61.535047575778194</v>
      </c>
      <c r="BA151" s="642">
        <f t="shared" si="93"/>
        <v>0.97402477377382657</v>
      </c>
      <c r="BC151" s="11">
        <v>43237</v>
      </c>
      <c r="BD151" s="290">
        <f>[2]!FeuilCaduc*(1-Persistant)+Persistant</f>
        <v>0.77202907224453754</v>
      </c>
      <c r="BE151" s="291">
        <f>[2]!CroissVégét</f>
        <v>0.27071905354146641</v>
      </c>
      <c r="BF151" s="814">
        <f>1+[2]!Salcycl*Ksac</f>
        <v>1.0215036340305672</v>
      </c>
      <c r="BH151" s="1050">
        <f t="shared" si="94"/>
        <v>2.0319481513563328E-2</v>
      </c>
      <c r="BI151" s="11">
        <v>44333</v>
      </c>
      <c r="BJ151" s="724">
        <v>1.8417725890849649E-8</v>
      </c>
      <c r="BK151" s="724">
        <v>1.8417725890849642E-8</v>
      </c>
      <c r="BL151" s="724">
        <v>1.8417725890849642E-8</v>
      </c>
      <c r="BM151" s="724">
        <v>9.5285204433514611E-5</v>
      </c>
      <c r="BN151" s="724">
        <v>4.3911235950589598E-3</v>
      </c>
      <c r="BO151" s="725">
        <v>2.0319481513563328E-2</v>
      </c>
      <c r="BP151" s="724">
        <v>5.1648841560147762E-2</v>
      </c>
      <c r="BQ151" s="724">
        <v>9.3473999018195433E-2</v>
      </c>
      <c r="BR151" s="724">
        <v>0.15574254910987939</v>
      </c>
      <c r="BS151" s="724">
        <v>0.26154251423114822</v>
      </c>
      <c r="BT151" s="724">
        <v>0.41167379428140832</v>
      </c>
      <c r="BW151" s="1190">
        <f>'2018'!R\Max</f>
        <v>0</v>
      </c>
      <c r="BX151" s="1188">
        <f>'2019'!R\Max</f>
        <v>0.12621379899240187</v>
      </c>
      <c r="BY151" s="1188">
        <f>'2020'!R\Max</f>
        <v>0.61058663632362276</v>
      </c>
      <c r="BZ151" s="1188">
        <f>'2021'!R\Max</f>
        <v>0.97402477377382657</v>
      </c>
      <c r="CA151" s="1188">
        <f>'2022'!R\Max</f>
        <v>0.88994830359642751</v>
      </c>
      <c r="CB151" s="1188">
        <f>'2023'!R\Max</f>
        <v>0.88971055244791286</v>
      </c>
      <c r="CC151" s="1188">
        <f>'2024'!R\Max</f>
        <v>0.88942387187534022</v>
      </c>
      <c r="CD151" s="1188">
        <f>'2025'!R\Max</f>
        <v>0.8891043063624855</v>
      </c>
      <c r="CE151" s="1188">
        <f>'2026'!R\Max</f>
        <v>0.88863628921211468</v>
      </c>
      <c r="CF151" s="1189">
        <f>'2027'!R\Max</f>
        <v>0.88806462960396837</v>
      </c>
    </row>
    <row r="152" spans="1:84" s="6" customFormat="1" ht="11.25" x14ac:dyDescent="0.2">
      <c r="A152" s="11">
        <v>43238</v>
      </c>
      <c r="B152" s="380">
        <f>'2023'!Maxi_hp</f>
        <v>63.269617508467668</v>
      </c>
      <c r="C152" s="13">
        <f>'2023'!An_max</f>
        <v>2020</v>
      </c>
      <c r="D152" s="1059">
        <f t="shared" si="78"/>
        <v>1.025632660955625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51">
        <f t="shared" si="81"/>
        <v>0.2857142857142857</v>
      </c>
      <c r="J152" s="744">
        <f t="shared" si="82"/>
        <v>61.688380174551682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2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51">
        <f t="shared" si="86"/>
        <v>0.35714285714285715</v>
      </c>
      <c r="AT152" s="767">
        <f t="shared" si="87"/>
        <v>61.562768658729532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51">
        <f t="shared" si="91"/>
        <v>0.8571428571428571</v>
      </c>
      <c r="AY152" s="767">
        <f t="shared" si="92"/>
        <v>61.704079299420115</v>
      </c>
      <c r="AZ152" s="744">
        <f t="shared" si="96"/>
        <v>61.63342397907482</v>
      </c>
      <c r="BA152" s="642">
        <f t="shared" si="93"/>
        <v>1.025632660955625</v>
      </c>
      <c r="BC152" s="11">
        <v>43238</v>
      </c>
      <c r="BD152" s="290">
        <f>[2]!FeuilCaduc*(1-Persistant)+Persistant</f>
        <v>0.77760712135912158</v>
      </c>
      <c r="BE152" s="291">
        <f>[2]!CroissVégét</f>
        <v>0.27894001398938062</v>
      </c>
      <c r="BF152" s="814">
        <f>1+[2]!Salcycl*Ksac</f>
        <v>1.0222008901698902</v>
      </c>
      <c r="BH152" s="1050">
        <f t="shared" si="94"/>
        <v>2.0553260909808614E-2</v>
      </c>
      <c r="BI152" s="11">
        <v>44334</v>
      </c>
      <c r="BJ152" s="724">
        <v>3.6821100195329128E-8</v>
      </c>
      <c r="BK152" s="724">
        <v>3.6821100195329128E-8</v>
      </c>
      <c r="BL152" s="724">
        <v>3.6821100195329128E-8</v>
      </c>
      <c r="BM152" s="724">
        <v>9.3488458640096262E-5</v>
      </c>
      <c r="BN152" s="724">
        <v>4.4513217126398727E-3</v>
      </c>
      <c r="BO152" s="725">
        <v>2.0553260909808614E-2</v>
      </c>
      <c r="BP152" s="724">
        <v>5.2404331217816937E-2</v>
      </c>
      <c r="BQ152" s="724">
        <v>9.4668194221170121E-2</v>
      </c>
      <c r="BR152" s="724">
        <v>0.1551464813712756</v>
      </c>
      <c r="BS152" s="724">
        <v>0.25755850478818859</v>
      </c>
      <c r="BT152" s="724">
        <v>0.40306967290848378</v>
      </c>
      <c r="BW152" s="1190">
        <f>'2018'!R\Max</f>
        <v>0</v>
      </c>
      <c r="BX152" s="1188">
        <f>'2019'!R\Max</f>
        <v>0.62884171604134986</v>
      </c>
      <c r="BY152" s="1188">
        <f>'2020'!R\Max</f>
        <v>1.025632660955625</v>
      </c>
      <c r="BZ152" s="1188">
        <f>'2021'!R\Max</f>
        <v>0.6008526784815017</v>
      </c>
      <c r="CA152" s="1188">
        <f>'2022'!R\Max</f>
        <v>0.86788343158947923</v>
      </c>
      <c r="CB152" s="1188">
        <f>'2023'!R\Max</f>
        <v>0.86759884349603833</v>
      </c>
      <c r="CC152" s="1188">
        <f>'2024'!R\Max</f>
        <v>0.86725633093087118</v>
      </c>
      <c r="CD152" s="1188">
        <f>'2025'!R\Max</f>
        <v>0.86687617758323288</v>
      </c>
      <c r="CE152" s="1188">
        <f>'2026'!R\Max</f>
        <v>0.86633885544439659</v>
      </c>
      <c r="CF152" s="1189">
        <f>'2027'!R\Max</f>
        <v>0.86568329337983652</v>
      </c>
    </row>
    <row r="153" spans="1:84" s="6" customFormat="1" ht="11.25" x14ac:dyDescent="0.2">
      <c r="A153" s="11">
        <v>43239</v>
      </c>
      <c r="B153" s="380">
        <f>'2023'!Maxi_hp</f>
        <v>62.475898424686022</v>
      </c>
      <c r="C153" s="13">
        <f>'2023'!An_max</f>
        <v>2020</v>
      </c>
      <c r="D153" s="1059">
        <f t="shared" si="78"/>
        <v>1.0113577586371449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51">
        <f t="shared" si="81"/>
        <v>0.35714285714285715</v>
      </c>
      <c r="J153" s="744">
        <f t="shared" si="82"/>
        <v>61.774281050530931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2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51">
        <f t="shared" si="86"/>
        <v>0.32142857142857145</v>
      </c>
      <c r="AT153" s="767">
        <f t="shared" si="87"/>
        <v>61.656794478584615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51">
        <f t="shared" si="91"/>
        <v>0.8214285714285714</v>
      </c>
      <c r="AY153" s="767">
        <f t="shared" si="92"/>
        <v>61.793523122742769</v>
      </c>
      <c r="AZ153" s="744">
        <f t="shared" si="96"/>
        <v>61.725158800663692</v>
      </c>
      <c r="BA153" s="642">
        <f t="shared" si="93"/>
        <v>1.0113577586371449</v>
      </c>
      <c r="BC153" s="11">
        <v>43239</v>
      </c>
      <c r="BD153" s="290">
        <f>[2]!FeuilCaduc*(1-Persistant)+Persistant</f>
        <v>0.78322849363786029</v>
      </c>
      <c r="BE153" s="291">
        <f>[2]!CroissVégét</f>
        <v>0.28731106552397356</v>
      </c>
      <c r="BF153" s="814">
        <f>1+[2]!Salcycl*Ksac</f>
        <v>1.0229035617047326</v>
      </c>
      <c r="BH153" s="1050">
        <f t="shared" si="94"/>
        <v>2.0776126228224549E-2</v>
      </c>
      <c r="BI153" s="11">
        <v>44335</v>
      </c>
      <c r="BJ153" s="724">
        <v>6.134395331578922E-8</v>
      </c>
      <c r="BK153" s="724">
        <v>6.1343953315789233E-8</v>
      </c>
      <c r="BL153" s="724">
        <v>6.1343953315789233E-8</v>
      </c>
      <c r="BM153" s="724">
        <v>9.1771776277497686E-5</v>
      </c>
      <c r="BN153" s="724">
        <v>4.510674822215093E-3</v>
      </c>
      <c r="BO153" s="725">
        <v>2.0776126228224549E-2</v>
      </c>
      <c r="BP153" s="724">
        <v>5.3137888519496829E-2</v>
      </c>
      <c r="BQ153" s="724">
        <v>9.5891418371112647E-2</v>
      </c>
      <c r="BR153" s="724">
        <v>0.15473606593185985</v>
      </c>
      <c r="BS153" s="724">
        <v>0.2540101601760858</v>
      </c>
      <c r="BT153" s="724">
        <v>0.39518276224742044</v>
      </c>
      <c r="BW153" s="1190">
        <f>'2018'!R\Max</f>
        <v>0</v>
      </c>
      <c r="BX153" s="1188">
        <f>'2019'!R\Max</f>
        <v>0.45960348911532145</v>
      </c>
      <c r="BY153" s="1188">
        <f>'2020'!R\Max</f>
        <v>1.0113577586371449</v>
      </c>
      <c r="BZ153" s="1188">
        <f>'2021'!R\Max</f>
        <v>0.75139715055143341</v>
      </c>
      <c r="CA153" s="1188">
        <f>'2022'!R\Max</f>
        <v>0.91177786969050922</v>
      </c>
      <c r="CB153" s="1188">
        <f>'2023'!R\Max</f>
        <v>0.91157380643358943</v>
      </c>
      <c r="CC153" s="1188">
        <f>'2024'!R\Max</f>
        <v>0.91132830838335699</v>
      </c>
      <c r="CD153" s="1188">
        <f>'2025'!R\Max</f>
        <v>0.91105673342996862</v>
      </c>
      <c r="CE153" s="1188">
        <f>'2026'!R\Max</f>
        <v>0.91068596407790181</v>
      </c>
      <c r="CF153" s="1189">
        <f>'2027'!R\Max</f>
        <v>0.91023369322186309</v>
      </c>
    </row>
    <row r="154" spans="1:84" s="6" customFormat="1" ht="11.25" x14ac:dyDescent="0.2">
      <c r="A154" s="11">
        <v>43240</v>
      </c>
      <c r="B154" s="380">
        <f>'2023'!Maxi_hp</f>
        <v>61.584962409087645</v>
      </c>
      <c r="C154" s="13">
        <f>'2023'!An_max</f>
        <v>2021</v>
      </c>
      <c r="D154" s="1059">
        <f t="shared" si="78"/>
        <v>0.99566536528992156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51">
        <f t="shared" si="81"/>
        <v>0.42857142857142855</v>
      </c>
      <c r="J154" s="744">
        <f t="shared" si="82"/>
        <v>61.853072885743202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2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51">
        <f t="shared" si="86"/>
        <v>0.2857142857142857</v>
      </c>
      <c r="AT154" s="767">
        <f t="shared" si="87"/>
        <v>61.74554868755596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51">
        <f t="shared" si="91"/>
        <v>0.7857142857142857</v>
      </c>
      <c r="AY154" s="767">
        <f t="shared" si="92"/>
        <v>61.875344167969061</v>
      </c>
      <c r="AZ154" s="744">
        <f t="shared" si="96"/>
        <v>61.810446427762514</v>
      </c>
      <c r="BA154" s="642">
        <f t="shared" si="93"/>
        <v>0.99566536528992156</v>
      </c>
      <c r="BC154" s="11">
        <v>43240</v>
      </c>
      <c r="BD154" s="290">
        <f>[2]!FeuilCaduc*(1-Persistant)+Persistant</f>
        <v>0.78888718688019166</v>
      </c>
      <c r="BE154" s="291">
        <f>[2]!CroissVégét</f>
        <v>0.29582909613929492</v>
      </c>
      <c r="BF154" s="814">
        <f>1+[2]!Salcycl*Ksac</f>
        <v>1.0236108983600241</v>
      </c>
      <c r="BH154" s="1050">
        <f t="shared" si="94"/>
        <v>2.0988078370762869E-2</v>
      </c>
      <c r="BI154" s="11">
        <v>44336</v>
      </c>
      <c r="BJ154" s="724">
        <v>9.197814764298436E-8</v>
      </c>
      <c r="BK154" s="724">
        <v>9.197814764298436E-8</v>
      </c>
      <c r="BL154" s="724">
        <v>9.197814764298436E-8</v>
      </c>
      <c r="BM154" s="724">
        <v>9.0135093441481376E-5</v>
      </c>
      <c r="BN154" s="724">
        <v>4.5691809413752884E-3</v>
      </c>
      <c r="BO154" s="725">
        <v>2.0988078370762869E-2</v>
      </c>
      <c r="BP154" s="724">
        <v>5.3849503387880658E-2</v>
      </c>
      <c r="BQ154" s="724">
        <v>9.7143574173074676E-2</v>
      </c>
      <c r="BR154" s="724">
        <v>0.1545110551730722</v>
      </c>
      <c r="BS154" s="724">
        <v>0.25089700839145812</v>
      </c>
      <c r="BT154" s="724">
        <v>0.3880123560305403</v>
      </c>
      <c r="BW154" s="1190">
        <f>'2018'!R\Max</f>
        <v>0</v>
      </c>
      <c r="BX154" s="1188">
        <f>'2019'!R\Max</f>
        <v>0.90450078409744483</v>
      </c>
      <c r="BY154" s="1188">
        <f>'2020'!R\Max</f>
        <v>0.98143735068641613</v>
      </c>
      <c r="BZ154" s="1188">
        <f>'2021'!R\Max</f>
        <v>0.99566536528992156</v>
      </c>
      <c r="CA154" s="1188">
        <f>'2022'!R\Max</f>
        <v>0.80996018273037196</v>
      </c>
      <c r="CB154" s="1188">
        <f>'2023'!R\Max</f>
        <v>0.80956139661389348</v>
      </c>
      <c r="CC154" s="1188">
        <f>'2024'!R\Max</f>
        <v>0.80908170070426411</v>
      </c>
      <c r="CD154" s="1188">
        <f>'2025'!R\Max</f>
        <v>0.80855302222718317</v>
      </c>
      <c r="CE154" s="1188">
        <f>'2026'!R\Max</f>
        <v>0.8078563105590747</v>
      </c>
      <c r="CF154" s="1189">
        <f>'2027'!R\Max</f>
        <v>0.8070076312370964</v>
      </c>
    </row>
    <row r="155" spans="1:84" s="6" customFormat="1" ht="11.25" x14ac:dyDescent="0.2">
      <c r="A155" s="11">
        <v>43241</v>
      </c>
      <c r="B155" s="380">
        <f>'2023'!Maxi_hp</f>
        <v>60.33184776738014</v>
      </c>
      <c r="C155" s="13">
        <f>'2023'!An_max</f>
        <v>2020</v>
      </c>
      <c r="D155" s="1059">
        <f t="shared" si="78"/>
        <v>0.97426972808963763</v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51">
        <f t="shared" si="81"/>
        <v>0.5</v>
      </c>
      <c r="J155" s="744">
        <f t="shared" si="82"/>
        <v>61.925200001522896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2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51">
        <f t="shared" si="86"/>
        <v>0.25</v>
      </c>
      <c r="AT155" s="767">
        <f t="shared" si="87"/>
        <v>61.829156250134112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51">
        <f t="shared" si="91"/>
        <v>0.75</v>
      </c>
      <c r="AY155" s="767">
        <f t="shared" si="92"/>
        <v>61.949806249327956</v>
      </c>
      <c r="AZ155" s="744">
        <f t="shared" si="96"/>
        <v>61.889481249731034</v>
      </c>
      <c r="BA155" s="642">
        <f t="shared" si="93"/>
        <v>0.97426972808963763</v>
      </c>
      <c r="BC155" s="11">
        <v>43241</v>
      </c>
      <c r="BD155" s="290">
        <f>[2]!FeuilCaduc*(1-Persistant)+Persistant</f>
        <v>0.79457700746586535</v>
      </c>
      <c r="BE155" s="291">
        <f>[2]!CroissVégét</f>
        <v>0.30449063118118064</v>
      </c>
      <c r="BF155" s="814">
        <f>1+[2]!Salcycl*Ksac</f>
        <v>1.0243221259332331</v>
      </c>
      <c r="BH155" s="1050">
        <f t="shared" si="94"/>
        <v>2.1189118699426756E-2</v>
      </c>
      <c r="BI155" s="11">
        <v>44337</v>
      </c>
      <c r="BJ155" s="724">
        <v>1.2871513651849392E-7</v>
      </c>
      <c r="BK155" s="724">
        <v>1.287151365184939E-7</v>
      </c>
      <c r="BL155" s="724">
        <v>1.287151365184939E-7</v>
      </c>
      <c r="BM155" s="724">
        <v>8.857834267681755E-5</v>
      </c>
      <c r="BN155" s="724">
        <v>4.6268380811851969E-3</v>
      </c>
      <c r="BO155" s="725">
        <v>2.1189118699426756E-2</v>
      </c>
      <c r="BP155" s="724">
        <v>5.4539166392721744E-2</v>
      </c>
      <c r="BQ155" s="724">
        <v>9.8424561263650401E-2</v>
      </c>
      <c r="BR155" s="724">
        <v>0.15447118998222439</v>
      </c>
      <c r="BS155" s="724">
        <v>0.24821855297470863</v>
      </c>
      <c r="BT155" s="724">
        <v>0.38155770965509506</v>
      </c>
      <c r="BW155" s="1190">
        <f>'2018'!R\Max</f>
        <v>0</v>
      </c>
      <c r="BX155" s="1188">
        <f>'2019'!R\Max</f>
        <v>0.87117344735555058</v>
      </c>
      <c r="BY155" s="1188">
        <f>'2020'!R\Max</f>
        <v>0.97426972808963763</v>
      </c>
      <c r="BZ155" s="1188">
        <f>'2021'!R\Max</f>
        <v>0.61327273050208886</v>
      </c>
      <c r="CA155" s="1188">
        <f>'2022'!R\Max</f>
        <v>0.78850943965985121</v>
      </c>
      <c r="CB155" s="1188">
        <f>'2023'!R\Max</f>
        <v>0.78806832768010915</v>
      </c>
      <c r="CC155" s="1188">
        <f>'2024'!R\Max</f>
        <v>0.78753697737399042</v>
      </c>
      <c r="CD155" s="1188">
        <f>'2025'!R\Max</f>
        <v>0.78695296294762151</v>
      </c>
      <c r="CE155" s="1188">
        <f>'2026'!R\Max</f>
        <v>0.78620907843829702</v>
      </c>
      <c r="CF155" s="1189">
        <f>'2027'!R\Max</f>
        <v>0.78530318050268588</v>
      </c>
    </row>
    <row r="156" spans="1:84" s="6" customFormat="1" ht="11.25" x14ac:dyDescent="0.2">
      <c r="A156" s="11">
        <v>43242</v>
      </c>
      <c r="B156" s="380">
        <f>'2023'!Maxi_hp</f>
        <v>60.101475651272665</v>
      </c>
      <c r="C156" s="13">
        <f>'2023'!An_max</f>
        <v>2019</v>
      </c>
      <c r="D156" s="1059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51">
        <f t="shared" si="81"/>
        <v>0.5714285714285714</v>
      </c>
      <c r="J156" s="744">
        <f t="shared" si="82"/>
        <v>61.991106706219057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2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51">
        <f t="shared" si="86"/>
        <v>0.21428571428571427</v>
      </c>
      <c r="AT156" s="767">
        <f t="shared" si="87"/>
        <v>61.907742127935805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51">
        <f t="shared" si="91"/>
        <v>0.7142857142857143</v>
      </c>
      <c r="AY156" s="767">
        <f t="shared" si="92"/>
        <v>62.017173176258801</v>
      </c>
      <c r="AZ156" s="744">
        <f t="shared" si="96"/>
        <v>61.962457652097299</v>
      </c>
      <c r="BA156" s="642">
        <f t="shared" si="93"/>
        <v>0.96951770737209919</v>
      </c>
      <c r="BC156" s="11">
        <v>43242</v>
      </c>
      <c r="BD156" s="290">
        <f>[2]!FeuilCaduc*(1-Persistant)+Persistant</f>
        <v>0.80029158597999939</v>
      </c>
      <c r="BE156" s="291">
        <f>[2]!CroissVégét</f>
        <v>0.3132918316722918</v>
      </c>
      <c r="BF156" s="814">
        <f>1+[2]!Salcycl*Ksac</f>
        <v>1.0250364482474998</v>
      </c>
      <c r="BH156" s="1050">
        <f t="shared" si="94"/>
        <v>2.1376597480176635E-2</v>
      </c>
      <c r="BI156" s="11">
        <v>44338</v>
      </c>
      <c r="BJ156" s="724">
        <v>1.7904933662690809E-7</v>
      </c>
      <c r="BK156" s="724">
        <v>1.7904933662690807E-7</v>
      </c>
      <c r="BL156" s="724">
        <v>1.7904933662690807E-7</v>
      </c>
      <c r="BM156" s="724">
        <v>8.7216507532928702E-5</v>
      </c>
      <c r="BN156" s="724">
        <v>4.6810991414789963E-3</v>
      </c>
      <c r="BO156" s="725">
        <v>2.1376597480176635E-2</v>
      </c>
      <c r="BP156" s="724">
        <v>5.519160616453448E-2</v>
      </c>
      <c r="BQ156" s="724">
        <v>9.9712496637690509E-2</v>
      </c>
      <c r="BR156" s="724">
        <v>0.15464416507115974</v>
      </c>
      <c r="BS156" s="724">
        <v>0.24602889935883518</v>
      </c>
      <c r="BT156" s="724">
        <v>0.37586052034002537</v>
      </c>
      <c r="BW156" s="1190">
        <f>'2018'!R\Max</f>
        <v>0</v>
      </c>
      <c r="BX156" s="1188">
        <f>'2019'!R\Max</f>
        <v>0.96951770737209919</v>
      </c>
      <c r="BY156" s="1188">
        <f>'2020'!R\Max</f>
        <v>0.93753867055312978</v>
      </c>
      <c r="BZ156" s="1188">
        <f>'2021'!R\Max</f>
        <v>0.48777391288627842</v>
      </c>
      <c r="CA156" s="1188">
        <f>'2022'!R\Max</f>
        <v>0.58221405505326773</v>
      </c>
      <c r="CB156" s="1188">
        <f>'2023'!R\Max</f>
        <v>0.58155801951724673</v>
      </c>
      <c r="CC156" s="1188">
        <f>'2024'!R\Max</f>
        <v>0.58076657629966388</v>
      </c>
      <c r="CD156" s="1188">
        <f>'2025'!R\Max</f>
        <v>0.57989972307856874</v>
      </c>
      <c r="CE156" s="1188">
        <f>'2026'!R\Max</f>
        <v>0.57883205862338316</v>
      </c>
      <c r="CF156" s="1189">
        <f>'2027'!R\Max</f>
        <v>0.57753446747911552</v>
      </c>
    </row>
    <row r="157" spans="1:84" s="6" customFormat="1" ht="11.25" x14ac:dyDescent="0.2">
      <c r="A157" s="11">
        <v>43243</v>
      </c>
      <c r="B157" s="380">
        <f>'2023'!Maxi_hp</f>
        <v>57.387775282609631</v>
      </c>
      <c r="C157" s="13">
        <f>'2023'!An_max</f>
        <v>2020</v>
      </c>
      <c r="D157" s="1059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51">
        <f t="shared" si="81"/>
        <v>0.6428571428571429</v>
      </c>
      <c r="J157" s="744">
        <f t="shared" si="82"/>
        <v>62.051237317919728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2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51">
        <f t="shared" si="86"/>
        <v>0.17857142857142858</v>
      </c>
      <c r="AT157" s="767">
        <f t="shared" si="87"/>
        <v>61.981431286196631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51">
        <f t="shared" si="91"/>
        <v>0.6785714285714286</v>
      </c>
      <c r="AY157" s="767">
        <f t="shared" si="92"/>
        <v>62.077708764028344</v>
      </c>
      <c r="AZ157" s="744">
        <f t="shared" si="96"/>
        <v>62.029570025112491</v>
      </c>
      <c r="BA157" s="642">
        <f t="shared" si="93"/>
        <v>0.92484497913527763</v>
      </c>
      <c r="BC157" s="11">
        <v>43243</v>
      </c>
      <c r="BD157" s="290">
        <f>[2]!FeuilCaduc*(1-Persistant)+Persistant</f>
        <v>0.80602439424666517</v>
      </c>
      <c r="BE157" s="291">
        <f>[2]!CroissVégét</f>
        <v>0.3222284943358365</v>
      </c>
      <c r="BF157" s="814">
        <f>1+[2]!Salcycl*Ksac</f>
        <v>1.0257530492808331</v>
      </c>
      <c r="BH157" s="1050">
        <f t="shared" si="94"/>
        <v>2.1558758458747537E-2</v>
      </c>
      <c r="BI157" s="11">
        <v>44339</v>
      </c>
      <c r="BJ157" s="724">
        <v>2.4296001409111581E-7</v>
      </c>
      <c r="BK157" s="724">
        <v>2.4296001409111581E-7</v>
      </c>
      <c r="BL157" s="724">
        <v>2.4296001409111581E-7</v>
      </c>
      <c r="BM157" s="724">
        <v>8.6092609557790435E-5</v>
      </c>
      <c r="BN157" s="724">
        <v>4.7327719901514966E-3</v>
      </c>
      <c r="BO157" s="725">
        <v>2.1558758458747537E-2</v>
      </c>
      <c r="BP157" s="724">
        <v>5.5817919511733309E-2</v>
      </c>
      <c r="BQ157" s="724">
        <v>0.10096054821496747</v>
      </c>
      <c r="BR157" s="724">
        <v>0.15494501569920527</v>
      </c>
      <c r="BS157" s="724">
        <v>0.24408080539666896</v>
      </c>
      <c r="BT157" s="724">
        <v>0.37044264415999323</v>
      </c>
      <c r="BW157" s="1190">
        <f>'2018'!R\Max</f>
        <v>0</v>
      </c>
      <c r="BX157" s="1188">
        <f>'2019'!R\Max</f>
        <v>0.80054376726164633</v>
      </c>
      <c r="BY157" s="1188">
        <f>'2020'!R\Max</f>
        <v>0.92484497913527763</v>
      </c>
      <c r="BZ157" s="1188">
        <f>'2021'!R\Max</f>
        <v>0.6400407453458653</v>
      </c>
      <c r="CA157" s="1188">
        <f>'2022'!R\Max</f>
        <v>0.34063350342673365</v>
      </c>
      <c r="CB157" s="1188">
        <f>'2023'!R\Max</f>
        <v>0.34001637385068367</v>
      </c>
      <c r="CC157" s="1188">
        <f>'2024'!R\Max</f>
        <v>0.33927074939089924</v>
      </c>
      <c r="CD157" s="1188">
        <f>'2025'!R\Max</f>
        <v>0.33845713791951942</v>
      </c>
      <c r="CE157" s="1188">
        <f>'2026'!R\Max</f>
        <v>0.33748579645734611</v>
      </c>
      <c r="CF157" s="1189">
        <f>'2027'!R\Max</f>
        <v>0.33630853040047065</v>
      </c>
    </row>
    <row r="158" spans="1:84" s="6" customFormat="1" ht="11.25" x14ac:dyDescent="0.2">
      <c r="A158" s="11">
        <v>43244</v>
      </c>
      <c r="B158" s="380">
        <f>'2023'!Maxi_hp</f>
        <v>32.282065944533301</v>
      </c>
      <c r="C158" s="13">
        <f>'2023'!An_max</f>
        <v>2021</v>
      </c>
      <c r="D158" s="1059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51">
        <f t="shared" si="81"/>
        <v>0.7142857142857143</v>
      </c>
      <c r="J158" s="744">
        <f t="shared" si="82"/>
        <v>62.106036150881224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2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51">
        <f t="shared" si="86"/>
        <v>0.14285714285714285</v>
      </c>
      <c r="AT158" s="767">
        <f t="shared" si="87"/>
        <v>62.050348687278372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51">
        <f t="shared" si="91"/>
        <v>0.6428571428571429</v>
      </c>
      <c r="AY158" s="767">
        <f t="shared" si="92"/>
        <v>62.131676821783188</v>
      </c>
      <c r="AZ158" s="744">
        <f t="shared" si="96"/>
        <v>62.09101275453078</v>
      </c>
      <c r="BA158" s="642">
        <f t="shared" si="93"/>
        <v>0.51978950751432318</v>
      </c>
      <c r="BC158" s="11">
        <v>43244</v>
      </c>
      <c r="BD158" s="290">
        <f>[2]!FeuilCaduc*(1-Persistant)+Persistant</f>
        <v>0.81176876371646534</v>
      </c>
      <c r="BE158" s="291">
        <f>[2]!CroissVégét</f>
        <v>0.33129605339749552</v>
      </c>
      <c r="BF158" s="814">
        <f>1+[2]!Salcycl*Ksac</f>
        <v>1.0264710954645582</v>
      </c>
      <c r="BH158" s="1050">
        <f t="shared" si="94"/>
        <v>2.1735496690779104E-2</v>
      </c>
      <c r="BI158" s="11">
        <v>44340</v>
      </c>
      <c r="BJ158" s="724">
        <v>3.204240997762949E-7</v>
      </c>
      <c r="BK158" s="724">
        <v>3.204240997762949E-7</v>
      </c>
      <c r="BL158" s="724">
        <v>3.204240997762949E-7</v>
      </c>
      <c r="BM158" s="724">
        <v>8.5205982423802785E-5</v>
      </c>
      <c r="BN158" s="724">
        <v>4.781834858762218E-3</v>
      </c>
      <c r="BO158" s="725">
        <v>2.1735496690779104E-2</v>
      </c>
      <c r="BP158" s="724">
        <v>5.6417842810055664E-2</v>
      </c>
      <c r="BQ158" s="724">
        <v>0.10216822277528688</v>
      </c>
      <c r="BR158" s="724">
        <v>0.15537281924317087</v>
      </c>
      <c r="BS158" s="724">
        <v>0.24237289846199961</v>
      </c>
      <c r="BT158" s="724">
        <v>0.36530225311338782</v>
      </c>
      <c r="BW158" s="1190">
        <f>'2018'!R\Max</f>
        <v>0</v>
      </c>
      <c r="BX158" s="1188">
        <f>'2019'!R\Max</f>
        <v>0.21223884839006338</v>
      </c>
      <c r="BY158" s="1188">
        <f>'2020'!R\Max</f>
        <v>0.3079013577025389</v>
      </c>
      <c r="BZ158" s="1188">
        <f>'2021'!R\Max</f>
        <v>0.51978950751432318</v>
      </c>
      <c r="CA158" s="1188">
        <f>'2022'!R\Max</f>
        <v>0.29225793216526424</v>
      </c>
      <c r="CB158" s="1188">
        <f>'2023'!R\Max</f>
        <v>0.29168521801287373</v>
      </c>
      <c r="CC158" s="1188">
        <f>'2024'!R\Max</f>
        <v>0.29099122918981829</v>
      </c>
      <c r="CD158" s="1188">
        <f>'2025'!R\Max</f>
        <v>0.29023574713582978</v>
      </c>
      <c r="CE158" s="1188">
        <f>'2026'!R\Max</f>
        <v>0.28935755694587484</v>
      </c>
      <c r="CF158" s="1189">
        <f>'2027'!R\Max</f>
        <v>0.28829470191296819</v>
      </c>
    </row>
    <row r="159" spans="1:84" s="6" customFormat="1" ht="11.25" x14ac:dyDescent="0.2">
      <c r="A159" s="11">
        <v>43245</v>
      </c>
      <c r="B159" s="380">
        <f>'2023'!Maxi_hp</f>
        <v>58.648188470902781</v>
      </c>
      <c r="C159" s="13">
        <f>'2023'!An_max</f>
        <v>2020</v>
      </c>
      <c r="D159" s="1059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51">
        <f t="shared" si="81"/>
        <v>0.7857142857142857</v>
      </c>
      <c r="J159" s="744">
        <f t="shared" si="82"/>
        <v>62.1559475221272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2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51">
        <f t="shared" si="86"/>
        <v>0.10714285714285714</v>
      </c>
      <c r="AT159" s="767">
        <f t="shared" si="87"/>
        <v>62.114619295485319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51">
        <f t="shared" si="91"/>
        <v>0.6071428571428571</v>
      </c>
      <c r="AY159" s="767">
        <f t="shared" si="92"/>
        <v>62.17934116204934</v>
      </c>
      <c r="AZ159" s="744">
        <f t="shared" si="96"/>
        <v>62.146980228767333</v>
      </c>
      <c r="BA159" s="642">
        <f t="shared" si="93"/>
        <v>0.94356519060423505</v>
      </c>
      <c r="BC159" s="11">
        <v>43245</v>
      </c>
      <c r="BD159" s="290">
        <f>[2]!FeuilCaduc*(1-Persistant)+Persistant</f>
        <v>0.81751790514011213</v>
      </c>
      <c r="BE159" s="291">
        <f>[2]!CroissVégét</f>
        <v>0.34048958423292969</v>
      </c>
      <c r="BF159" s="814">
        <f>1+[2]!Salcycl*Ksac</f>
        <v>1.0271897381425139</v>
      </c>
      <c r="BH159" s="1050">
        <f t="shared" si="94"/>
        <v>2.1906836446853078E-2</v>
      </c>
      <c r="BI159" s="11">
        <v>44341</v>
      </c>
      <c r="BJ159" s="724">
        <v>4.1141793732119859E-7</v>
      </c>
      <c r="BK159" s="724">
        <v>4.1141793732119859E-7</v>
      </c>
      <c r="BL159" s="724">
        <v>4.1141793732119859E-7</v>
      </c>
      <c r="BM159" s="724">
        <v>8.4556457489809295E-5</v>
      </c>
      <c r="BN159" s="724">
        <v>4.8282944353243498E-3</v>
      </c>
      <c r="BO159" s="725">
        <v>2.1906836446853078E-2</v>
      </c>
      <c r="BP159" s="724">
        <v>5.6991447409911578E-2</v>
      </c>
      <c r="BQ159" s="724">
        <v>0.10333563132422706</v>
      </c>
      <c r="BR159" s="724">
        <v>0.15592756881329847</v>
      </c>
      <c r="BS159" s="724">
        <v>0.24090526009789667</v>
      </c>
      <c r="BT159" s="724">
        <v>0.36043975327956473</v>
      </c>
      <c r="BW159" s="1190">
        <f>'2018'!R\Max</f>
        <v>0</v>
      </c>
      <c r="BX159" s="1188">
        <f>'2019'!R\Max</f>
        <v>0.44737691680733377</v>
      </c>
      <c r="BY159" s="1188">
        <f>'2020'!R\Max</f>
        <v>0.94356519060423505</v>
      </c>
      <c r="BZ159" s="1188">
        <f>'2021'!R\Max</f>
        <v>0.81465524539212109</v>
      </c>
      <c r="CA159" s="1188">
        <f>'2022'!R\Max</f>
        <v>0.68124775232454782</v>
      </c>
      <c r="CB159" s="1188">
        <f>'2023'!R\Max</f>
        <v>0.68062843179980881</v>
      </c>
      <c r="CC159" s="1188">
        <f>'2024'!R\Max</f>
        <v>0.67987358262177899</v>
      </c>
      <c r="CD159" s="1188">
        <f>'2025'!R\Max</f>
        <v>0.67905058760324966</v>
      </c>
      <c r="CE159" s="1188">
        <f>'2026'!R\Max</f>
        <v>0.67811453016015666</v>
      </c>
      <c r="CF159" s="1189">
        <f>'2027'!R\Max</f>
        <v>0.67697873106084916</v>
      </c>
    </row>
    <row r="160" spans="1:84" s="6" customFormat="1" ht="11.25" x14ac:dyDescent="0.2">
      <c r="A160" s="11">
        <v>43246</v>
      </c>
      <c r="B160" s="380">
        <f>'2023'!Maxi_hp</f>
        <v>61.484504066070642</v>
      </c>
      <c r="C160" s="13">
        <f>'2023'!An_max</f>
        <v>2020</v>
      </c>
      <c r="D160" s="1059">
        <f t="shared" si="78"/>
        <v>0.98847435112655946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51">
        <f t="shared" si="81"/>
        <v>0.8571428571428571</v>
      </c>
      <c r="J160" s="744">
        <f t="shared" si="82"/>
        <v>62.201415743359497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2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51">
        <f t="shared" si="86"/>
        <v>7.1428571428571425E-2</v>
      </c>
      <c r="AT160" s="767">
        <f t="shared" si="87"/>
        <v>62.174368075387818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51">
        <f t="shared" si="91"/>
        <v>0.5714285714285714</v>
      </c>
      <c r="AY160" s="767">
        <f t="shared" si="92"/>
        <v>62.220965596607741</v>
      </c>
      <c r="AZ160" s="744">
        <f t="shared" si="96"/>
        <v>62.197666835997779</v>
      </c>
      <c r="BA160" s="642">
        <f t="shared" si="93"/>
        <v>0.98847435112655946</v>
      </c>
      <c r="BC160" s="11">
        <v>43246</v>
      </c>
      <c r="BD160" s="290">
        <f>[2]!FeuilCaduc*(1-Persistant)+Persistant</f>
        <v>0.82326492944677909</v>
      </c>
      <c r="BE160" s="291">
        <f>[2]!CroissVégét</f>
        <v>0.34980380891459434</v>
      </c>
      <c r="BF160" s="814">
        <f>1+[2]!Salcycl*Ksac</f>
        <v>1.0279081161808474</v>
      </c>
      <c r="BH160" s="1050">
        <f t="shared" si="94"/>
        <v>2.2072803563810962E-2</v>
      </c>
      <c r="BI160" s="11">
        <v>44342</v>
      </c>
      <c r="BJ160" s="724">
        <v>5.1591669118661713E-7</v>
      </c>
      <c r="BK160" s="724">
        <v>5.1591669118661713E-7</v>
      </c>
      <c r="BL160" s="724">
        <v>5.1591669118661713E-7</v>
      </c>
      <c r="BM160" s="724">
        <v>8.4143833652431182E-5</v>
      </c>
      <c r="BN160" s="724">
        <v>4.8721579720321408E-3</v>
      </c>
      <c r="BO160" s="725">
        <v>2.2072803563810962E-2</v>
      </c>
      <c r="BP160" s="724">
        <v>5.7538810913378369E-2</v>
      </c>
      <c r="BQ160" s="724">
        <v>0.10446289595939373</v>
      </c>
      <c r="BR160" s="724">
        <v>0.15660924490399936</v>
      </c>
      <c r="BS160" s="724">
        <v>0.23967793471440577</v>
      </c>
      <c r="BT160" s="724">
        <v>0.35585549114749621</v>
      </c>
      <c r="BW160" s="1190">
        <f>'2018'!R\Max</f>
        <v>0</v>
      </c>
      <c r="BX160" s="1188">
        <f>'2019'!R\Max</f>
        <v>0.45050724100458589</v>
      </c>
      <c r="BY160" s="1188">
        <f>'2020'!R\Max</f>
        <v>0.98847435112655946</v>
      </c>
      <c r="BZ160" s="1188">
        <f>'2021'!R\Max</f>
        <v>0.86669001400669476</v>
      </c>
      <c r="CA160" s="1188">
        <f>'2022'!R\Max</f>
        <v>0.36959947733499265</v>
      </c>
      <c r="CB160" s="1188">
        <f>'2023'!R\Max</f>
        <v>0.36892409656000658</v>
      </c>
      <c r="CC160" s="1188">
        <f>'2024'!R\Max</f>
        <v>0.36809952378114069</v>
      </c>
      <c r="CD160" s="1188">
        <f>'2025'!R\Max</f>
        <v>0.36720355241604563</v>
      </c>
      <c r="CE160" s="1188">
        <f>'2026'!R\Max</f>
        <v>0.36620900601538936</v>
      </c>
      <c r="CF160" s="1189">
        <f>'2027'!R\Max</f>
        <v>0.36500801121065968</v>
      </c>
    </row>
    <row r="161" spans="1:84" s="6" customFormat="1" ht="11.25" x14ac:dyDescent="0.2">
      <c r="A161" s="11">
        <v>43247</v>
      </c>
      <c r="B161" s="380">
        <f>'2023'!Maxi_hp</f>
        <v>61.220926609696406</v>
      </c>
      <c r="C161" s="13">
        <f>'2023'!An_max</f>
        <v>2020</v>
      </c>
      <c r="D161" s="1059">
        <f t="shared" si="78"/>
        <v>0.98358111903565737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51">
        <f t="shared" si="81"/>
        <v>0.9285714285714286</v>
      </c>
      <c r="J161" s="744">
        <f t="shared" si="82"/>
        <v>62.242885131548555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2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51">
        <f t="shared" si="86"/>
        <v>3.5714285714285712E-2</v>
      </c>
      <c r="AT161" s="767">
        <f t="shared" si="87"/>
        <v>62.22971998876227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51">
        <f t="shared" si="91"/>
        <v>0.5357142857142857</v>
      </c>
      <c r="AY161" s="767">
        <f t="shared" si="92"/>
        <v>62.256813939474526</v>
      </c>
      <c r="AZ161" s="744">
        <f t="shared" si="96"/>
        <v>62.243266964118398</v>
      </c>
      <c r="BA161" s="642">
        <f t="shared" si="93"/>
        <v>0.98358111903565737</v>
      </c>
      <c r="BC161" s="11">
        <v>43247</v>
      </c>
      <c r="BD161" s="290">
        <f>[2]!FeuilCaduc*(1-Persistant)+Persistant</f>
        <v>0.82900286973316695</v>
      </c>
      <c r="BE161" s="291">
        <f>[2]!CroissVégét</f>
        <v>0.35923310369654604</v>
      </c>
      <c r="BF161" s="814">
        <f>1+[2]!Salcycl*Ksac</f>
        <v>1.0286253587166458</v>
      </c>
      <c r="BH161" s="1050">
        <f t="shared" si="94"/>
        <v>2.2233425380035601E-2</v>
      </c>
      <c r="BI161" s="11">
        <v>44343</v>
      </c>
      <c r="BJ161" s="724">
        <v>6.3389452971663173E-7</v>
      </c>
      <c r="BK161" s="724">
        <v>6.3389452971663184E-7</v>
      </c>
      <c r="BL161" s="724">
        <v>6.3389452971663184E-7</v>
      </c>
      <c r="BM161" s="724">
        <v>8.3967880545674669E-5</v>
      </c>
      <c r="BN161" s="724">
        <v>4.9134332521139183E-3</v>
      </c>
      <c r="BO161" s="725">
        <v>2.2233425380035601E-2</v>
      </c>
      <c r="BP161" s="724">
        <v>5.8060016842517957E-2</v>
      </c>
      <c r="BQ161" s="724">
        <v>0.10555014937080086</v>
      </c>
      <c r="BR161" s="724">
        <v>0.15741781714692565</v>
      </c>
      <c r="BS161" s="724">
        <v>0.23869093286069409</v>
      </c>
      <c r="BT161" s="724">
        <v>0.35154975738132976</v>
      </c>
      <c r="BW161" s="1190">
        <f>'2018'!R\Max</f>
        <v>0</v>
      </c>
      <c r="BX161" s="1188">
        <f>'2019'!R\Max</f>
        <v>0.5061234058991354</v>
      </c>
      <c r="BY161" s="1188">
        <f>'2020'!R\Max</f>
        <v>0.98358111903565737</v>
      </c>
      <c r="BZ161" s="1188">
        <f>'2021'!R\Max</f>
        <v>0.96542018807553664</v>
      </c>
      <c r="CA161" s="1188">
        <f>'2022'!R\Max</f>
        <v>0.79909366691618966</v>
      </c>
      <c r="CB161" s="1188">
        <f>'2023'!R\Max</f>
        <v>0.7986200017537648</v>
      </c>
      <c r="CC161" s="1188">
        <f>'2024'!R\Max</f>
        <v>0.79803780152116222</v>
      </c>
      <c r="CD161" s="1188">
        <f>'2025'!R\Max</f>
        <v>0.79740404511081375</v>
      </c>
      <c r="CE161" s="1188">
        <f>'2026'!R\Max</f>
        <v>0.79671060878840938</v>
      </c>
      <c r="CF161" s="1189">
        <f>'2027'!R\Max</f>
        <v>0.79587242010917747</v>
      </c>
    </row>
    <row r="162" spans="1:84" s="6" customFormat="1" ht="11.25" x14ac:dyDescent="0.2">
      <c r="A162" s="11">
        <v>43248</v>
      </c>
      <c r="B162" s="380">
        <f>'2023'!Maxi_hp</f>
        <v>59.964902917287468</v>
      </c>
      <c r="C162" s="13">
        <f>'2023'!An_max</f>
        <v>2020</v>
      </c>
      <c r="D162" s="1059" t="str">
        <f t="shared" si="78"/>
        <v/>
      </c>
      <c r="E162" s="1054">
        <f>X$13/10</f>
        <v>62.280799999999999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51">
        <f t="shared" si="81"/>
        <v>1</v>
      </c>
      <c r="J162" s="744">
        <f t="shared" si="82"/>
        <v>62.280800000578168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2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51">
        <f t="shared" si="86"/>
        <v>0</v>
      </c>
      <c r="AT162" s="767">
        <f t="shared" si="87"/>
        <v>62.280799999088046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51">
        <f t="shared" si="91"/>
        <v>0.5</v>
      </c>
      <c r="AY162" s="767">
        <f t="shared" si="92"/>
        <v>62.287149999290705</v>
      </c>
      <c r="AZ162" s="744">
        <f t="shared" si="96"/>
        <v>62.283974999189375</v>
      </c>
      <c r="BA162" s="642">
        <f t="shared" si="93"/>
        <v>0.96281523225024079</v>
      </c>
      <c r="BC162" s="11">
        <v>43248</v>
      </c>
      <c r="BD162" s="290">
        <f>[2]!FeuilCaduc*(1-Persistant)+Persistant</f>
        <v>0.83472470425689438</v>
      </c>
      <c r="BE162" s="291">
        <f>[2]!CroissVégét</f>
        <v>0.3687715084596308</v>
      </c>
      <c r="BF162" s="814">
        <f>1+[2]!Salcycl*Ksac</f>
        <v>1.0293405880321118</v>
      </c>
      <c r="BH162" s="1050">
        <f t="shared" si="94"/>
        <v>2.2388730671473903E-2</v>
      </c>
      <c r="BI162" s="11">
        <v>44344</v>
      </c>
      <c r="BJ162" s="724">
        <v>7.6532480821381208E-7</v>
      </c>
      <c r="BK162" s="724">
        <v>7.6532480821381208E-7</v>
      </c>
      <c r="BL162" s="724">
        <v>7.6532480821381208E-7</v>
      </c>
      <c r="BM162" s="724">
        <v>8.4028341743396862E-5</v>
      </c>
      <c r="BN162" s="724">
        <v>4.9521285568484199E-3</v>
      </c>
      <c r="BO162" s="725">
        <v>2.2388730671473903E-2</v>
      </c>
      <c r="BP162" s="724">
        <v>5.855515430962218E-2</v>
      </c>
      <c r="BQ162" s="724">
        <v>0.10659753434474685</v>
      </c>
      <c r="BR162" s="724">
        <v>0.15835324606931586</v>
      </c>
      <c r="BS162" s="724">
        <v>0.23794423450534119</v>
      </c>
      <c r="BT162" s="724">
        <v>0.34752279059813468</v>
      </c>
      <c r="BW162" s="1190">
        <f>'2018'!R\Max</f>
        <v>0</v>
      </c>
      <c r="BX162" s="1188">
        <f>'2019'!R\Max</f>
        <v>0.47372052310935353</v>
      </c>
      <c r="BY162" s="1188">
        <f>'2020'!R\Max</f>
        <v>0.96281523225024079</v>
      </c>
      <c r="BZ162" s="1188">
        <f>'2021'!R\Max</f>
        <v>0.83088760903188885</v>
      </c>
      <c r="CA162" s="1188">
        <f>'2022'!R\Max</f>
        <v>0.9155120048637323</v>
      </c>
      <c r="CB162" s="1188">
        <f>'2023'!R\Max</f>
        <v>0.91528008838570563</v>
      </c>
      <c r="CC162" s="1188">
        <f>'2024'!R\Max</f>
        <v>0.91499360882905656</v>
      </c>
      <c r="CD162" s="1188">
        <f>'2025'!R\Max</f>
        <v>0.91468197125428108</v>
      </c>
      <c r="CE162" s="1188">
        <f>'2026'!R\Max</f>
        <v>0.91434541476827214</v>
      </c>
      <c r="CF162" s="1189">
        <f>'2027'!R\Max</f>
        <v>0.91393993898913162</v>
      </c>
    </row>
    <row r="163" spans="1:84" s="6" customFormat="1" ht="11.25" x14ac:dyDescent="0.2">
      <c r="A163" s="11">
        <v>43249</v>
      </c>
      <c r="B163" s="380">
        <f>'2023'!Maxi_hp</f>
        <v>61.083995775588619</v>
      </c>
      <c r="C163" s="13">
        <f>'2023'!An_max</f>
        <v>2022</v>
      </c>
      <c r="D163" s="1059">
        <f t="shared" si="78"/>
        <v>0.98026477848952021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51">
        <f t="shared" si="81"/>
        <v>0.9285714285714286</v>
      </c>
      <c r="J163" s="744">
        <f t="shared" si="82"/>
        <v>62.313771866528057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2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51">
        <f t="shared" si="86"/>
        <v>3.5714285714285712E-2</v>
      </c>
      <c r="AT163" s="767">
        <f t="shared" si="87"/>
        <v>62.326316817770042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51">
        <f t="shared" si="91"/>
        <v>0.4642857142857143</v>
      </c>
      <c r="AY163" s="767">
        <f t="shared" si="92"/>
        <v>62.312237589992584</v>
      </c>
      <c r="AZ163" s="744">
        <f t="shared" si="96"/>
        <v>62.319277203881313</v>
      </c>
      <c r="BA163" s="642">
        <f t="shared" si="93"/>
        <v>0.98026477848952021</v>
      </c>
      <c r="BC163" s="11">
        <v>43249</v>
      </c>
      <c r="BD163" s="290">
        <f>[2]!FeuilCaduc*(1-Persistant)+Persistant</f>
        <v>0.84042338031617936</v>
      </c>
      <c r="BE163" s="291">
        <f>[2]!CroissVégét</f>
        <v>0.37841273812207477</v>
      </c>
      <c r="BF163" s="814">
        <f>1+[2]!Salcycl*Ksac</f>
        <v>1.0300529225395225</v>
      </c>
      <c r="BH163" s="1050">
        <f t="shared" si="94"/>
        <v>2.2538749587134286E-2</v>
      </c>
      <c r="BI163" s="11">
        <v>44345</v>
      </c>
      <c r="BJ163" s="724">
        <v>9.1018025200525989E-7</v>
      </c>
      <c r="BK163" s="724">
        <v>9.1018025200525989E-7</v>
      </c>
      <c r="BL163" s="724">
        <v>9.1018025200525989E-7</v>
      </c>
      <c r="BM163" s="724">
        <v>8.4324937959741588E-5</v>
      </c>
      <c r="BN163" s="724">
        <v>4.9882526324654215E-3</v>
      </c>
      <c r="BO163" s="725">
        <v>2.2538749587134286E-2</v>
      </c>
      <c r="BP163" s="724">
        <v>5.9024317686092481E-2</v>
      </c>
      <c r="BQ163" s="724">
        <v>0.10760520326521567</v>
      </c>
      <c r="BR163" s="724">
        <v>0.15941548484860152</v>
      </c>
      <c r="BS163" s="724">
        <v>0.23743779231084172</v>
      </c>
      <c r="BT163" s="724">
        <v>0.34377478113697035</v>
      </c>
      <c r="BW163" s="1190">
        <f>'2018'!R\Max</f>
        <v>0</v>
      </c>
      <c r="BX163" s="1188">
        <f>'2019'!R\Max</f>
        <v>0.65073247224403574</v>
      </c>
      <c r="BY163" s="1188">
        <f>'2020'!R\Max</f>
        <v>0.96605922947311806</v>
      </c>
      <c r="BZ163" s="1188">
        <f>'2021'!R\Max</f>
        <v>0.63669808052826915</v>
      </c>
      <c r="CA163" s="1188">
        <f>'2022'!R\Max</f>
        <v>0.98026477848952021</v>
      </c>
      <c r="CB163" s="1188">
        <f>'2023'!R\Max</f>
        <v>0.98020587997879105</v>
      </c>
      <c r="CC163" s="1188">
        <f>'2024'!R\Max</f>
        <v>0.98013276756674028</v>
      </c>
      <c r="CD163" s="1188">
        <f>'2025'!R\Max</f>
        <v>0.98005332588901273</v>
      </c>
      <c r="CE163" s="1188">
        <f>'2026'!R\Max</f>
        <v>0.97996836413757737</v>
      </c>
      <c r="CF163" s="1189">
        <f>'2027'!R\Max</f>
        <v>0.9798665233454954</v>
      </c>
    </row>
    <row r="164" spans="1:84" s="6" customFormat="1" ht="11.25" x14ac:dyDescent="0.2">
      <c r="A164" s="11">
        <v>43250</v>
      </c>
      <c r="B164" s="380">
        <f>'2023'!Maxi_hp</f>
        <v>56.346398541738836</v>
      </c>
      <c r="C164" s="13">
        <f>'2023'!An_max</f>
        <v>2020</v>
      </c>
      <c r="D164" s="1059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51">
        <f t="shared" si="81"/>
        <v>0.8571428571428571</v>
      </c>
      <c r="J164" s="744">
        <f t="shared" si="82"/>
        <v>62.340338192986586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2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51">
        <f t="shared" si="86"/>
        <v>7.1428571428571425E-2</v>
      </c>
      <c r="AT164" s="767">
        <f t="shared" si="87"/>
        <v>62.365016179478594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51">
        <f t="shared" si="91"/>
        <v>0.42857142857142855</v>
      </c>
      <c r="AY164" s="767">
        <f t="shared" si="92"/>
        <v>62.332340524558504</v>
      </c>
      <c r="AZ164" s="744">
        <f t="shared" si="96"/>
        <v>62.348678352018553</v>
      </c>
      <c r="BA164" s="642">
        <f t="shared" si="93"/>
        <v>0.90385134529279665</v>
      </c>
      <c r="BC164" s="11">
        <v>43250</v>
      </c>
      <c r="BD164" s="290">
        <f>[2]!FeuilCaduc*(1-Persistant)+Persistant</f>
        <v>0.84609183888690254</v>
      </c>
      <c r="BE164" s="291">
        <f>[2]!CroissVégét</f>
        <v>0.38815019600224987</v>
      </c>
      <c r="BF164" s="814">
        <f>1+[2]!Salcycl*Ksac</f>
        <v>1.0307614798608629</v>
      </c>
      <c r="BH164" s="1050">
        <f t="shared" si="94"/>
        <v>2.2677833350531543E-2</v>
      </c>
      <c r="BI164" s="11">
        <v>44346</v>
      </c>
      <c r="BJ164" s="724">
        <v>1.0578558747994747E-6</v>
      </c>
      <c r="BK164" s="724">
        <v>1.0578558747994747E-6</v>
      </c>
      <c r="BL164" s="724">
        <v>1.0578558747994747E-6</v>
      </c>
      <c r="BM164" s="724">
        <v>8.4785986856169396E-5</v>
      </c>
      <c r="BN164" s="724">
        <v>5.0184281734750947E-3</v>
      </c>
      <c r="BO164" s="725">
        <v>2.2677833350531543E-2</v>
      </c>
      <c r="BP164" s="724">
        <v>5.9453582829075896E-2</v>
      </c>
      <c r="BQ164" s="724">
        <v>0.10855218685029881</v>
      </c>
      <c r="BR164" s="724">
        <v>0.16057266737690898</v>
      </c>
      <c r="BS164" s="724">
        <v>0.23716615912783889</v>
      </c>
      <c r="BT164" s="724">
        <v>0.34035996593724155</v>
      </c>
      <c r="BW164" s="1190">
        <f>'2018'!R\Max</f>
        <v>0</v>
      </c>
      <c r="BX164" s="1188">
        <f>'2019'!R\Max</f>
        <v>0.87208101837523633</v>
      </c>
      <c r="BY164" s="1188">
        <f>'2020'!R\Max</f>
        <v>0.90385134529279665</v>
      </c>
      <c r="BZ164" s="1188">
        <f>'2021'!R\Max</f>
        <v>0.8799814771827893</v>
      </c>
      <c r="CA164" s="1188">
        <f>'2022'!R\Max</f>
        <v>0.88110044903469631</v>
      </c>
      <c r="CB164" s="1188">
        <f>'2023'!R\Max</f>
        <v>0.88077701386600971</v>
      </c>
      <c r="CC164" s="1188">
        <f>'2024'!R\Max</f>
        <v>0.88037388521392945</v>
      </c>
      <c r="CD164" s="1188">
        <f>'2025'!R\Max</f>
        <v>0.8799369217302534</v>
      </c>
      <c r="CE164" s="1188">
        <f>'2026'!R\Max</f>
        <v>0.87947313255812598</v>
      </c>
      <c r="CF164" s="1189">
        <f>'2027'!R\Max</f>
        <v>0.87892147338190851</v>
      </c>
    </row>
    <row r="165" spans="1:84" s="6" customFormat="1" ht="11.25" x14ac:dyDescent="0.2">
      <c r="A165" s="11">
        <v>43251</v>
      </c>
      <c r="B165" s="380">
        <f>'2023'!Maxi_hp</f>
        <v>62.468341792037805</v>
      </c>
      <c r="C165" s="13">
        <f>'2023'!An_max</f>
        <v>2019</v>
      </c>
      <c r="D165" s="1059">
        <f t="shared" si="78"/>
        <v>1.001723991981496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51">
        <f t="shared" si="81"/>
        <v>0.7857142857142857</v>
      </c>
      <c r="J165" s="744">
        <f t="shared" si="82"/>
        <v>62.360832217335698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2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51">
        <f t="shared" si="86"/>
        <v>0.10714285714285714</v>
      </c>
      <c r="AT165" s="767">
        <f t="shared" si="87"/>
        <v>62.397078588551707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51">
        <f t="shared" si="91"/>
        <v>0.39285714285714285</v>
      </c>
      <c r="AY165" s="767">
        <f t="shared" si="92"/>
        <v>62.347722612560872</v>
      </c>
      <c r="AZ165" s="744">
        <f t="shared" si="96"/>
        <v>62.37240060055629</v>
      </c>
      <c r="BA165" s="642">
        <f t="shared" si="93"/>
        <v>1.001723991981496</v>
      </c>
      <c r="BC165" s="11">
        <v>43251</v>
      </c>
      <c r="BD165" s="290">
        <f>[2]!FeuilCaduc*(1-Persistant)+Persistant</f>
        <v>0.85172303987820552</v>
      </c>
      <c r="BE165" s="291">
        <f>[2]!CroissVégét</f>
        <v>0.3979769891015032</v>
      </c>
      <c r="BF165" s="814">
        <f>1+[2]!Salcycl*Ksac</f>
        <v>1.0314653799847757</v>
      </c>
      <c r="BH165" s="1050">
        <f t="shared" si="94"/>
        <v>2.2808153999101143E-2</v>
      </c>
      <c r="BI165" s="11">
        <v>44347</v>
      </c>
      <c r="BJ165" s="724">
        <v>1.2022443877688138E-6</v>
      </c>
      <c r="BK165" s="724">
        <v>1.2022443877688138E-6</v>
      </c>
      <c r="BL165" s="724">
        <v>1.2022443877688138E-6</v>
      </c>
      <c r="BM165" s="724">
        <v>8.5288604907575582E-5</v>
      </c>
      <c r="BN165" s="724">
        <v>5.0425878241386795E-3</v>
      </c>
      <c r="BO165" s="725">
        <v>2.2808153999101143E-2</v>
      </c>
      <c r="BP165" s="724">
        <v>5.9852394953929529E-2</v>
      </c>
      <c r="BQ165" s="724">
        <v>0.109453909519324</v>
      </c>
      <c r="BR165" s="724">
        <v>0.16172252415548016</v>
      </c>
      <c r="BS165" s="724">
        <v>0.23694084493594947</v>
      </c>
      <c r="BT165" s="724">
        <v>0.33704114653184042</v>
      </c>
      <c r="BW165" s="1190">
        <f>'2018'!R\Max</f>
        <v>0</v>
      </c>
      <c r="BX165" s="1188">
        <f>'2019'!R\Max</f>
        <v>1.001723991981496</v>
      </c>
      <c r="BY165" s="1188">
        <f>'2020'!R\Max</f>
        <v>0.98098903807464344</v>
      </c>
      <c r="BZ165" s="1188">
        <f>'2021'!R\Max</f>
        <v>0.96294505829057597</v>
      </c>
      <c r="CA165" s="1188">
        <f>'2022'!R\Max</f>
        <v>0.90391246841530015</v>
      </c>
      <c r="CB165" s="1188">
        <f>'2023'!R\Max</f>
        <v>0.90364062288554603</v>
      </c>
      <c r="CC165" s="1188">
        <f>'2024'!R\Max</f>
        <v>0.90330004206957548</v>
      </c>
      <c r="CD165" s="1188">
        <f>'2025'!R\Max</f>
        <v>0.90293144021739946</v>
      </c>
      <c r="CE165" s="1188">
        <f>'2026'!R\Max</f>
        <v>0.90254230969113647</v>
      </c>
      <c r="CF165" s="1189">
        <f>'2027'!R\Max</f>
        <v>0.90208268811931602</v>
      </c>
    </row>
    <row r="166" spans="1:84" s="6" customFormat="1" ht="11.25" x14ac:dyDescent="0.2">
      <c r="A166" s="11">
        <v>43252</v>
      </c>
      <c r="B166" s="380">
        <f>'2023'!Maxi_hp</f>
        <v>62.676293728135057</v>
      </c>
      <c r="C166" s="13">
        <f>'2023'!An_max</f>
        <v>2019</v>
      </c>
      <c r="D166" s="1059">
        <f t="shared" si="78"/>
        <v>1.0048209013916753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51">
        <f t="shared" si="81"/>
        <v>0.7142857142857143</v>
      </c>
      <c r="J166" s="744">
        <f t="shared" si="82"/>
        <v>62.375587173125574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2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51">
        <f t="shared" si="86"/>
        <v>0.14285714285714285</v>
      </c>
      <c r="AT166" s="767">
        <f t="shared" si="87"/>
        <v>62.422684547624421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51">
        <f t="shared" si="91"/>
        <v>0.35714285714285715</v>
      </c>
      <c r="AY166" s="767">
        <f t="shared" si="92"/>
        <v>62.35864766697798</v>
      </c>
      <c r="AZ166" s="744">
        <f t="shared" si="96"/>
        <v>62.3906661073012</v>
      </c>
      <c r="BA166" s="642">
        <f t="shared" si="93"/>
        <v>1.0048209013916753</v>
      </c>
      <c r="BC166" s="11">
        <v>43252</v>
      </c>
      <c r="BD166" s="290">
        <f>[2]!FeuilCaduc*(1-Persistant)+Persistant</f>
        <v>0.85730998785886836</v>
      </c>
      <c r="BE166" s="291">
        <f>[2]!CroissVégét</f>
        <v>0.4078859452556679</v>
      </c>
      <c r="BF166" s="814">
        <f>1+[2]!Salcycl*Ksac</f>
        <v>1.0321637484823585</v>
      </c>
      <c r="BH166" s="1050">
        <f t="shared" si="94"/>
        <v>2.2929751934380214E-2</v>
      </c>
      <c r="BI166" s="11">
        <v>44348</v>
      </c>
      <c r="BJ166" s="724">
        <v>1.343347845130702E-6</v>
      </c>
      <c r="BK166" s="724">
        <v>1.3433478451307018E-6</v>
      </c>
      <c r="BL166" s="724">
        <v>1.3433478451307018E-6</v>
      </c>
      <c r="BM166" s="724">
        <v>8.5832812425240947E-5</v>
      </c>
      <c r="BN166" s="724">
        <v>5.0607478303688691E-3</v>
      </c>
      <c r="BO166" s="725">
        <v>2.2929751934380214E-2</v>
      </c>
      <c r="BP166" s="724">
        <v>6.0220871066535266E-2</v>
      </c>
      <c r="BQ166" s="724">
        <v>0.11031056067849891</v>
      </c>
      <c r="BR166" s="724">
        <v>0.16286523740220457</v>
      </c>
      <c r="BS166" s="724">
        <v>0.23676208654991324</v>
      </c>
      <c r="BT166" s="724">
        <v>0.33381871658117662</v>
      </c>
      <c r="BW166" s="1190">
        <f>'2018'!R\Max</f>
        <v>0</v>
      </c>
      <c r="BX166" s="1188">
        <f>'2019'!R\Max</f>
        <v>1.0048209013916753</v>
      </c>
      <c r="BY166" s="1188">
        <f>'2020'!R\Max</f>
        <v>0.9680859813282765</v>
      </c>
      <c r="BZ166" s="1188">
        <f>'2021'!R\Max</f>
        <v>0.5890230943777397</v>
      </c>
      <c r="CA166" s="1188">
        <f>'2022'!R\Max</f>
        <v>0.92664333856282055</v>
      </c>
      <c r="CB166" s="1188">
        <f>'2023'!R\Max</f>
        <v>0.92642778624144528</v>
      </c>
      <c r="CC166" s="1188">
        <f>'2024'!R\Max</f>
        <v>0.92615626521941941</v>
      </c>
      <c r="CD166" s="1188">
        <f>'2025'!R\Max</f>
        <v>0.9258628640354114</v>
      </c>
      <c r="CE166" s="1188">
        <f>'2026'!R\Max</f>
        <v>0.92555443824258554</v>
      </c>
      <c r="CF166" s="1189">
        <f>'2027'!R\Max</f>
        <v>0.92519285581885358</v>
      </c>
    </row>
    <row r="167" spans="1:84" s="6" customFormat="1" ht="11.25" x14ac:dyDescent="0.2">
      <c r="A167" s="11">
        <v>43253</v>
      </c>
      <c r="B167" s="380">
        <f>'2023'!Maxi_hp</f>
        <v>61.321691281882586</v>
      </c>
      <c r="C167" s="13">
        <f>'2023'!An_max</f>
        <v>2019</v>
      </c>
      <c r="D167" s="1059">
        <f t="shared" si="78"/>
        <v>0.98295670271234148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51">
        <f t="shared" si="81"/>
        <v>0.6428571428571429</v>
      </c>
      <c r="J167" s="744">
        <f t="shared" si="82"/>
        <v>62.384936297472038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2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51">
        <f t="shared" si="86"/>
        <v>0.17857142857142858</v>
      </c>
      <c r="AT167" s="767">
        <f t="shared" si="87"/>
        <v>62.442014558081112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51">
        <f t="shared" si="91"/>
        <v>0.32142857142857145</v>
      </c>
      <c r="AY167" s="767">
        <f t="shared" si="92"/>
        <v>62.36537949998997</v>
      </c>
      <c r="AZ167" s="744">
        <f t="shared" si="96"/>
        <v>62.403697029035541</v>
      </c>
      <c r="BA167" s="642">
        <f t="shared" si="93"/>
        <v>0.98295670271234148</v>
      </c>
      <c r="BC167" s="11">
        <v>43253</v>
      </c>
      <c r="BD167" s="290">
        <f>[2]!FeuilCaduc*(1-Persistant)+Persistant</f>
        <v>0.86284575809894726</v>
      </c>
      <c r="BE167" s="291">
        <f>[2]!CroissVégét</f>
        <v>0.41786963208449301</v>
      </c>
      <c r="BF167" s="814">
        <f>1+[2]!Salcycl*Ksac</f>
        <v>1.0328557197623685</v>
      </c>
      <c r="BH167" s="1050">
        <f t="shared" si="94"/>
        <v>2.3042668840210473E-2</v>
      </c>
      <c r="BI167" s="11">
        <v>44349</v>
      </c>
      <c r="BJ167" s="724">
        <v>1.4811692730990791E-6</v>
      </c>
      <c r="BK167" s="724">
        <v>1.4811692730990793E-6</v>
      </c>
      <c r="BL167" s="724">
        <v>1.4811692730990793E-6</v>
      </c>
      <c r="BM167" s="724">
        <v>8.6418630067892498E-5</v>
      </c>
      <c r="BN167" s="724">
        <v>5.0729249452871571E-3</v>
      </c>
      <c r="BO167" s="725">
        <v>2.3042668840210473E-2</v>
      </c>
      <c r="BP167" s="724">
        <v>6.05591322946945E-2</v>
      </c>
      <c r="BQ167" s="724">
        <v>0.11112233755452609</v>
      </c>
      <c r="BR167" s="724">
        <v>0.16400099629036083</v>
      </c>
      <c r="BS167" s="724">
        <v>0.23663011732846817</v>
      </c>
      <c r="BT167" s="724">
        <v>0.33069304702943142</v>
      </c>
      <c r="BW167" s="1190">
        <f>'2018'!R\Max</f>
        <v>0</v>
      </c>
      <c r="BX167" s="1188">
        <f>'2019'!R\Max</f>
        <v>0.98295670271234148</v>
      </c>
      <c r="BY167" s="1188">
        <f>'2020'!R\Max</f>
        <v>0.49494721540826525</v>
      </c>
      <c r="BZ167" s="1188">
        <f>'2021'!R\Max</f>
        <v>0.83713363438330368</v>
      </c>
      <c r="CA167" s="1188">
        <f>'2022'!R\Max</f>
        <v>0.76202130423388736</v>
      </c>
      <c r="CB167" s="1188">
        <f>'2023'!R\Max</f>
        <v>0.76143941275383176</v>
      </c>
      <c r="CC167" s="1188">
        <f>'2024'!R\Max</f>
        <v>0.76070326297445701</v>
      </c>
      <c r="CD167" s="1188">
        <f>'2025'!R\Max</f>
        <v>0.75991029585152159</v>
      </c>
      <c r="CE167" s="1188">
        <f>'2026'!R\Max</f>
        <v>0.75908076764012755</v>
      </c>
      <c r="CF167" s="1189">
        <f>'2027'!R\Max</f>
        <v>0.75811774838213597</v>
      </c>
    </row>
    <row r="168" spans="1:84" s="6" customFormat="1" ht="11.25" x14ac:dyDescent="0.2">
      <c r="A168" s="11">
        <v>43254</v>
      </c>
      <c r="B168" s="380">
        <f>'2023'!Maxi_hp</f>
        <v>55.413341824549725</v>
      </c>
      <c r="C168" s="13">
        <f>'2023'!An_max</f>
        <v>2022</v>
      </c>
      <c r="D168" s="1059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51">
        <f t="shared" si="81"/>
        <v>0.5714285714285714</v>
      </c>
      <c r="J168" s="744">
        <f t="shared" si="82"/>
        <v>62.389212828768152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2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51">
        <f t="shared" si="86"/>
        <v>0.21428571428571427</v>
      </c>
      <c r="AT168" s="767">
        <f t="shared" si="87"/>
        <v>62.455249124605736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51">
        <f t="shared" si="91"/>
        <v>0.2857142857142857</v>
      </c>
      <c r="AY168" s="767">
        <f t="shared" si="92"/>
        <v>62.368181923989731</v>
      </c>
      <c r="AZ168" s="744">
        <f t="shared" si="96"/>
        <v>62.411715524297733</v>
      </c>
      <c r="BA168" s="642">
        <f t="shared" si="93"/>
        <v>0.88818786633253055</v>
      </c>
      <c r="BC168" s="11">
        <v>43254</v>
      </c>
      <c r="BD168" s="290">
        <f>[2]!FeuilCaduc*(1-Persistant)+Persistant</f>
        <v>0.86832352276463809</v>
      </c>
      <c r="BE168" s="291">
        <f>[2]!CroissVégét</f>
        <v>0.42792037764903684</v>
      </c>
      <c r="BF168" s="814">
        <f>1+[2]!Salcycl*Ksac</f>
        <v>1.0335404403455797</v>
      </c>
      <c r="BH168" s="1050">
        <f t="shared" si="94"/>
        <v>2.3146947570423446E-2</v>
      </c>
      <c r="BI168" s="11">
        <v>44350</v>
      </c>
      <c r="BJ168" s="724">
        <v>1.6157126280059088E-6</v>
      </c>
      <c r="BK168" s="724">
        <v>1.6157126280059088E-6</v>
      </c>
      <c r="BL168" s="724">
        <v>1.6157126280059088E-6</v>
      </c>
      <c r="BM168" s="724">
        <v>8.7046079423953938E-5</v>
      </c>
      <c r="BN168" s="724">
        <v>5.0791363493467292E-3</v>
      </c>
      <c r="BO168" s="725">
        <v>2.3146947570423446E-2</v>
      </c>
      <c r="BP168" s="724">
        <v>6.0867303493757553E-2</v>
      </c>
      <c r="BQ168" s="724">
        <v>0.11188944461664556</v>
      </c>
      <c r="BR168" s="724">
        <v>0.165129996894509</v>
      </c>
      <c r="BS168" s="724">
        <v>0.23654516783460211</v>
      </c>
      <c r="BT168" s="724">
        <v>0.32766448740329784</v>
      </c>
      <c r="BW168" s="1190">
        <f>'2018'!R\Max</f>
        <v>0</v>
      </c>
      <c r="BX168" s="1188">
        <f>'2019'!R\Max</f>
        <v>0.79419796840557422</v>
      </c>
      <c r="BY168" s="1188">
        <f>'2020'!R\Max</f>
        <v>0.87316524713383192</v>
      </c>
      <c r="BZ168" s="1188">
        <f>'2021'!R\Max</f>
        <v>0.87124060147978744</v>
      </c>
      <c r="CA168" s="1188">
        <f>'2022'!R\Max</f>
        <v>0.88818786633253055</v>
      </c>
      <c r="CB168" s="1188">
        <f>'2023'!R\Max</f>
        <v>0.88786531635661137</v>
      </c>
      <c r="CC168" s="1188">
        <f>'2024'!R\Max</f>
        <v>0.88745452379299827</v>
      </c>
      <c r="CD168" s="1188">
        <f>'2025'!R\Max</f>
        <v>0.88701233216438313</v>
      </c>
      <c r="CE168" s="1188">
        <f>'2026'!R\Max</f>
        <v>0.88655033099140268</v>
      </c>
      <c r="CF168" s="1189">
        <f>'2027'!R\Max</f>
        <v>0.88601791514651762</v>
      </c>
    </row>
    <row r="169" spans="1:84" s="6" customFormat="1" ht="11.25" x14ac:dyDescent="0.2">
      <c r="A169" s="11">
        <v>43255</v>
      </c>
      <c r="B169" s="380">
        <f>'2023'!Maxi_hp</f>
        <v>56.408226720952712</v>
      </c>
      <c r="C169" s="13">
        <f>'2023'!An_max</f>
        <v>2019</v>
      </c>
      <c r="D169" s="1059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51">
        <f t="shared" si="81"/>
        <v>0.5</v>
      </c>
      <c r="J169" s="744">
        <f t="shared" si="82"/>
        <v>62.388750000670555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2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51">
        <f t="shared" si="86"/>
        <v>0.25</v>
      </c>
      <c r="AT169" s="767">
        <f t="shared" si="87"/>
        <v>62.462568749301134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51">
        <f t="shared" si="91"/>
        <v>0.25</v>
      </c>
      <c r="AY169" s="767">
        <f t="shared" si="92"/>
        <v>62.367318749986588</v>
      </c>
      <c r="AZ169" s="744">
        <f t="shared" si="96"/>
        <v>62.414943749643861</v>
      </c>
      <c r="BA169" s="642">
        <f t="shared" si="93"/>
        <v>0.9041409985028781</v>
      </c>
      <c r="BC169" s="11">
        <v>43255</v>
      </c>
      <c r="BD169" s="290">
        <f>[2]!FeuilCaduc*(1-Persistant)+Persistant</f>
        <v>0.87373657709914276</v>
      </c>
      <c r="BE169" s="291">
        <f>[2]!CroissVégét</f>
        <v>0.43803029270835642</v>
      </c>
      <c r="BF169" s="814">
        <f>1+[2]!Salcycl*Ksac</f>
        <v>1.0342170721373929</v>
      </c>
      <c r="BH169" s="1050">
        <f t="shared" si="94"/>
        <v>2.3242632036651317E-2</v>
      </c>
      <c r="BI169" s="11">
        <v>44351</v>
      </c>
      <c r="BJ169" s="724">
        <v>1.7469827544290352E-6</v>
      </c>
      <c r="BK169" s="724">
        <v>1.7469827544290352E-6</v>
      </c>
      <c r="BL169" s="724">
        <v>1.7469827544290352E-6</v>
      </c>
      <c r="BM169" s="724">
        <v>8.7715183594264137E-5</v>
      </c>
      <c r="BN169" s="724">
        <v>5.0793995704831703E-3</v>
      </c>
      <c r="BO169" s="725">
        <v>2.3242632036651317E-2</v>
      </c>
      <c r="BP169" s="724">
        <v>6.1145512852582712E-2</v>
      </c>
      <c r="BQ169" s="724">
        <v>0.11261209299927892</v>
      </c>
      <c r="BR169" s="724">
        <v>0.16625244213727111</v>
      </c>
      <c r="BS169" s="724">
        <v>0.23650746649710944</v>
      </c>
      <c r="BT169" s="724">
        <v>0.32473336711258305</v>
      </c>
      <c r="BW169" s="1190">
        <f>'2018'!R\Max</f>
        <v>0</v>
      </c>
      <c r="BX169" s="1188">
        <f>'2019'!R\Max</f>
        <v>0.9041409985028781</v>
      </c>
      <c r="BY169" s="1188">
        <f>'2020'!R\Max</f>
        <v>0.43973522921910313</v>
      </c>
      <c r="BZ169" s="1188">
        <f>'2021'!R\Max</f>
        <v>0.14629548803578679</v>
      </c>
      <c r="CA169" s="1188">
        <f>'2022'!R\Max</f>
        <v>0.42040866190621728</v>
      </c>
      <c r="CB169" s="1188">
        <f>'2023'!R\Max</f>
        <v>0.41960966257182047</v>
      </c>
      <c r="CC169" s="1188">
        <f>'2024'!R\Max</f>
        <v>0.41858950258398536</v>
      </c>
      <c r="CD169" s="1188">
        <f>'2025'!R\Max</f>
        <v>0.41749770760466309</v>
      </c>
      <c r="CE169" s="1188">
        <f>'2026'!R\Max</f>
        <v>0.41636350882173528</v>
      </c>
      <c r="CF169" s="1189">
        <f>'2027'!R\Max</f>
        <v>0.41507426351386334</v>
      </c>
    </row>
    <row r="170" spans="1:84" s="6" customFormat="1" ht="11.25" x14ac:dyDescent="0.2">
      <c r="A170" s="11">
        <v>43256</v>
      </c>
      <c r="B170" s="380">
        <f>'2023'!Maxi_hp</f>
        <v>45.470659595237684</v>
      </c>
      <c r="C170" s="13">
        <f>'2023'!An_max</f>
        <v>2021</v>
      </c>
      <c r="D170" s="1059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51">
        <f t="shared" si="81"/>
        <v>0.42857142857142855</v>
      </c>
      <c r="J170" s="744">
        <f t="shared" si="82"/>
        <v>62.383881050561151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2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51">
        <f t="shared" si="86"/>
        <v>0.2857142857142857</v>
      </c>
      <c r="AT170" s="767">
        <f t="shared" si="87"/>
        <v>62.464153934908765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51">
        <f t="shared" si="91"/>
        <v>0.21428571428571427</v>
      </c>
      <c r="AY170" s="767">
        <f t="shared" si="92"/>
        <v>62.363053790160585</v>
      </c>
      <c r="AZ170" s="744">
        <f t="shared" si="96"/>
        <v>62.413603862534671</v>
      </c>
      <c r="BA170" s="642">
        <f t="shared" si="93"/>
        <v>0.72888475082825377</v>
      </c>
      <c r="BC170" s="11">
        <v>43256</v>
      </c>
      <c r="BD170" s="290">
        <f>[2]!FeuilCaduc*(1-Persistant)+Persistant</f>
        <v>0.8790783654185379</v>
      </c>
      <c r="BE170" s="291">
        <f>[2]!CroissVégét</f>
        <v>0.44819129444890032</v>
      </c>
      <c r="BF170" s="814">
        <f>1+[2]!Salcycl*Ksac</f>
        <v>1.0348847956773173</v>
      </c>
      <c r="BH170" s="1050">
        <f t="shared" si="94"/>
        <v>2.3327481465519353E-2</v>
      </c>
      <c r="BI170" s="11">
        <v>44352</v>
      </c>
      <c r="BJ170" s="724">
        <v>1.8617144056826615E-6</v>
      </c>
      <c r="BK170" s="724">
        <v>1.8617144056826611E-6</v>
      </c>
      <c r="BL170" s="724">
        <v>1.8617144056826611E-6</v>
      </c>
      <c r="BM170" s="724">
        <v>8.8324405190501502E-5</v>
      </c>
      <c r="BN170" s="724">
        <v>5.0742498039816229E-3</v>
      </c>
      <c r="BO170" s="725">
        <v>2.3327481465519353E-2</v>
      </c>
      <c r="BP170" s="724">
        <v>6.1388010868400782E-2</v>
      </c>
      <c r="BQ170" s="724">
        <v>0.11327166665958628</v>
      </c>
      <c r="BR170" s="724">
        <v>0.16733705676552194</v>
      </c>
      <c r="BS170" s="724">
        <v>0.23651337482103532</v>
      </c>
      <c r="BT170" s="724">
        <v>0.32197179216194477</v>
      </c>
      <c r="BW170" s="1190">
        <f>'2018'!R\Max</f>
        <v>0</v>
      </c>
      <c r="BX170" s="1188">
        <f>'2019'!R\Max</f>
        <v>0.19363552162841699</v>
      </c>
      <c r="BY170" s="1188">
        <f>'2020'!R\Max</f>
        <v>0.60275353090925221</v>
      </c>
      <c r="BZ170" s="1188">
        <f>'2021'!R\Max</f>
        <v>0.72888475082825377</v>
      </c>
      <c r="CA170" s="1188">
        <f>'2022'!R\Max</f>
        <v>0.59468981997392334</v>
      </c>
      <c r="CB170" s="1188">
        <f>'2023'!R\Max</f>
        <v>0.59389076703204224</v>
      </c>
      <c r="CC170" s="1188">
        <f>'2024'!R\Max</f>
        <v>0.59286293237861842</v>
      </c>
      <c r="CD170" s="1188">
        <f>'2025'!R\Max</f>
        <v>0.59176316106934446</v>
      </c>
      <c r="CE170" s="1188">
        <f>'2026'!R\Max</f>
        <v>0.59061947577996565</v>
      </c>
      <c r="CF170" s="1189">
        <f>'2027'!R\Max</f>
        <v>0.58932905259552615</v>
      </c>
    </row>
    <row r="171" spans="1:84" s="6" customFormat="1" ht="11.25" x14ac:dyDescent="0.2">
      <c r="A171" s="11">
        <v>43257</v>
      </c>
      <c r="B171" s="380">
        <f>'2023'!Maxi_hp</f>
        <v>63.6888163743956</v>
      </c>
      <c r="C171" s="13">
        <f>'2023'!An_max</f>
        <v>2019</v>
      </c>
      <c r="D171" s="1059">
        <f t="shared" si="78"/>
        <v>1.0210641834334233</v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51">
        <f t="shared" si="81"/>
        <v>0.35714285714285715</v>
      </c>
      <c r="J171" s="744">
        <f t="shared" si="82"/>
        <v>62.37493921316095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2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51">
        <f t="shared" si="86"/>
        <v>0.32142857142857145</v>
      </c>
      <c r="AT171" s="767">
        <f t="shared" si="87"/>
        <v>62.460185185074806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51">
        <f t="shared" si="91"/>
        <v>0.17857142857142858</v>
      </c>
      <c r="AY171" s="767">
        <f t="shared" si="92"/>
        <v>62.355650856319279</v>
      </c>
      <c r="AZ171" s="744">
        <f t="shared" si="96"/>
        <v>62.407918020697039</v>
      </c>
      <c r="BA171" s="642">
        <f t="shared" si="93"/>
        <v>1.0210641834334233</v>
      </c>
      <c r="BC171" s="11">
        <v>43257</v>
      </c>
      <c r="BD171" s="290">
        <f>[2]!FeuilCaduc*(1-Persistant)+Persistant</f>
        <v>0.88434250674933024</v>
      </c>
      <c r="BE171" s="291">
        <f>[2]!CroissVégét</f>
        <v>0.45839513154318023</v>
      </c>
      <c r="BF171" s="814">
        <f>1+[2]!Salcycl*Ksac</f>
        <v>1.0355428133436664</v>
      </c>
      <c r="BH171" s="1050">
        <f t="shared" si="94"/>
        <v>2.3404175264478539E-2</v>
      </c>
      <c r="BI171" s="11">
        <v>44353</v>
      </c>
      <c r="BJ171" s="724">
        <v>1.9524985667578205E-6</v>
      </c>
      <c r="BK171" s="724">
        <v>1.9524985667578201E-6</v>
      </c>
      <c r="BL171" s="724">
        <v>1.9524985667578201E-6</v>
      </c>
      <c r="BM171" s="724">
        <v>8.8759872056190235E-5</v>
      </c>
      <c r="BN171" s="724">
        <v>5.0662278668739376E-3</v>
      </c>
      <c r="BO171" s="725">
        <v>2.3404175264478539E-2</v>
      </c>
      <c r="BP171" s="724">
        <v>6.1610077269808626E-2</v>
      </c>
      <c r="BQ171" s="724">
        <v>0.11389002122814824</v>
      </c>
      <c r="BR171" s="724">
        <v>0.16835638503444772</v>
      </c>
      <c r="BS171" s="724">
        <v>0.23650895601286559</v>
      </c>
      <c r="BT171" s="724">
        <v>0.31933779357027908</v>
      </c>
      <c r="BW171" s="1190">
        <f>'2018'!R\Max</f>
        <v>0</v>
      </c>
      <c r="BX171" s="1188">
        <f>'2019'!R\Max</f>
        <v>1.0210641834334233</v>
      </c>
      <c r="BY171" s="1188">
        <f>'2020'!R\Max</f>
        <v>0.45100927253120604</v>
      </c>
      <c r="BZ171" s="1188">
        <f>'2021'!R\Max</f>
        <v>0.73715507878149555</v>
      </c>
      <c r="CA171" s="1188">
        <f>'2022'!R\Max</f>
        <v>0.75660037881869691</v>
      </c>
      <c r="CB171" s="1188">
        <f>'2023'!R\Max</f>
        <v>0.75598343863399498</v>
      </c>
      <c r="CC171" s="1188">
        <f>'2024'!R\Max</f>
        <v>0.75518401372434218</v>
      </c>
      <c r="CD171" s="1188">
        <f>'2025'!R\Max</f>
        <v>0.75432895955508283</v>
      </c>
      <c r="CE171" s="1188">
        <f>'2026'!R\Max</f>
        <v>0.7534389170033603</v>
      </c>
      <c r="CF171" s="1189">
        <f>'2027'!R\Max</f>
        <v>0.75244197797745072</v>
      </c>
    </row>
    <row r="172" spans="1:84" s="6" customFormat="1" ht="11.25" x14ac:dyDescent="0.2">
      <c r="A172" s="11">
        <v>43258</v>
      </c>
      <c r="B172" s="380">
        <f>'2023'!Maxi_hp</f>
        <v>51.75274626686349</v>
      </c>
      <c r="C172" s="13">
        <f>'2023'!An_max</f>
        <v>2021</v>
      </c>
      <c r="D172" s="1059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51">
        <f t="shared" si="81"/>
        <v>0.2857142857142857</v>
      </c>
      <c r="J172" s="744">
        <f t="shared" si="82"/>
        <v>62.362257726703362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2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51">
        <f t="shared" si="86"/>
        <v>0.35714285714285715</v>
      </c>
      <c r="AT172" s="767">
        <f t="shared" si="87"/>
        <v>62.450843002487503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51">
        <f t="shared" si="91"/>
        <v>0.14285714285714285</v>
      </c>
      <c r="AY172" s="767">
        <f t="shared" si="92"/>
        <v>62.345373761547464</v>
      </c>
      <c r="AZ172" s="744">
        <f t="shared" si="96"/>
        <v>62.398108382017483</v>
      </c>
      <c r="BA172" s="642">
        <f t="shared" si="93"/>
        <v>0.82987287749691419</v>
      </c>
      <c r="BC172" s="11">
        <v>43258</v>
      </c>
      <c r="BD172" s="290">
        <f>[2]!FeuilCaduc*(1-Persistant)+Persistant</f>
        <v>0.88952281993357363</v>
      </c>
      <c r="BE172" s="291">
        <f>[2]!CroissVégét</f>
        <v>0.46863341037883222</v>
      </c>
      <c r="BF172" s="814">
        <f>1+[2]!Salcycl*Ksac</f>
        <v>1.0361903524916967</v>
      </c>
      <c r="BH172" s="1050">
        <f t="shared" si="94"/>
        <v>2.3472759206789068E-2</v>
      </c>
      <c r="BI172" s="11">
        <v>44354</v>
      </c>
      <c r="BJ172" s="724">
        <v>2.0193819293038024E-6</v>
      </c>
      <c r="BK172" s="724">
        <v>2.0193819293038024E-6</v>
      </c>
      <c r="BL172" s="724">
        <v>2.0193819293038024E-6</v>
      </c>
      <c r="BM172" s="724">
        <v>8.9022025685405587E-5</v>
      </c>
      <c r="BN172" s="724">
        <v>5.0553460692642996E-3</v>
      </c>
      <c r="BO172" s="725">
        <v>2.3472759206789068E-2</v>
      </c>
      <c r="BP172" s="724">
        <v>6.1811830337341257E-2</v>
      </c>
      <c r="BQ172" s="724">
        <v>0.11446737923918777</v>
      </c>
      <c r="BR172" s="724">
        <v>0.16931076279460167</v>
      </c>
      <c r="BS172" s="724">
        <v>0.23649454635066769</v>
      </c>
      <c r="BT172" s="724">
        <v>0.31683159137305228</v>
      </c>
      <c r="BW172" s="1190">
        <f>'2018'!R\Max</f>
        <v>0</v>
      </c>
      <c r="BX172" s="1188">
        <f>'2019'!R\Max</f>
        <v>0.33968278168086113</v>
      </c>
      <c r="BY172" s="1188">
        <f>'2020'!R\Max</f>
        <v>0.44226411740933969</v>
      </c>
      <c r="BZ172" s="1188">
        <f>'2021'!R\Max</f>
        <v>0.82987287749691419</v>
      </c>
      <c r="CA172" s="1188">
        <f>'2022'!R\Max</f>
        <v>0.51057920257616252</v>
      </c>
      <c r="CB172" s="1188">
        <f>'2023'!R\Max</f>
        <v>0.50973471765502798</v>
      </c>
      <c r="CC172" s="1188">
        <f>'2024'!R\Max</f>
        <v>0.50863587889138506</v>
      </c>
      <c r="CD172" s="1188">
        <f>'2025'!R\Max</f>
        <v>0.50746543175263659</v>
      </c>
      <c r="CE172" s="1188">
        <f>'2026'!R\Max</f>
        <v>0.50625067667025037</v>
      </c>
      <c r="CF172" s="1189">
        <f>'2027'!R\Max</f>
        <v>0.50490523128077602</v>
      </c>
    </row>
    <row r="173" spans="1:84" s="6" customFormat="1" ht="11.25" x14ac:dyDescent="0.2">
      <c r="A173" s="11">
        <v>43259</v>
      </c>
      <c r="B173" s="380">
        <f>'2023'!Maxi_hp</f>
        <v>63.160398004063062</v>
      </c>
      <c r="C173" s="13">
        <f>'2023'!An_max</f>
        <v>2019</v>
      </c>
      <c r="D173" s="1059">
        <f t="shared" si="78"/>
        <v>1.0130597946957371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51">
        <f t="shared" si="81"/>
        <v>0.21428571428571427</v>
      </c>
      <c r="J173" s="744">
        <f t="shared" si="82"/>
        <v>62.346169826069044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2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51">
        <f t="shared" si="86"/>
        <v>0.39285714285714285</v>
      </c>
      <c r="AT173" s="767">
        <f t="shared" si="87"/>
        <v>62.436307889382761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51">
        <f t="shared" si="91"/>
        <v>0.10714285714285714</v>
      </c>
      <c r="AY173" s="767">
        <f t="shared" si="92"/>
        <v>62.332486315896475</v>
      </c>
      <c r="AZ173" s="744">
        <f t="shared" si="96"/>
        <v>62.384397102639618</v>
      </c>
      <c r="BA173" s="642">
        <f t="shared" si="93"/>
        <v>1.0130597946957371</v>
      </c>
      <c r="BC173" s="11">
        <v>43259</v>
      </c>
      <c r="BD173" s="290">
        <f>[2]!FeuilCaduc*(1-Persistant)+Persistant</f>
        <v>0.8946133480281715</v>
      </c>
      <c r="BE173" s="291">
        <f>[2]!CroissVégét</f>
        <v>0.4788976222853652</v>
      </c>
      <c r="BF173" s="814">
        <f>1+[2]!Salcycl*Ksac</f>
        <v>1.0368266685035215</v>
      </c>
      <c r="BH173" s="1050">
        <f t="shared" si="94"/>
        <v>2.3533279659881928E-2</v>
      </c>
      <c r="BI173" s="11">
        <v>44355</v>
      </c>
      <c r="BJ173" s="724">
        <v>2.062411979690308E-6</v>
      </c>
      <c r="BK173" s="724">
        <v>2.062411979690308E-6</v>
      </c>
      <c r="BL173" s="724">
        <v>2.062411979690308E-6</v>
      </c>
      <c r="BM173" s="724">
        <v>8.9111312383813581E-5</v>
      </c>
      <c r="BN173" s="724">
        <v>5.0416167307106774E-3</v>
      </c>
      <c r="BO173" s="725">
        <v>2.3533279659881928E-2</v>
      </c>
      <c r="BP173" s="724">
        <v>6.199339001165835E-2</v>
      </c>
      <c r="BQ173" s="724">
        <v>0.11500396746085735</v>
      </c>
      <c r="BR173" s="724">
        <v>0.17020053277773076</v>
      </c>
      <c r="BS173" s="724">
        <v>0.23647048301161858</v>
      </c>
      <c r="BT173" s="724">
        <v>0.31445339087018481</v>
      </c>
      <c r="BW173" s="1190">
        <f>'2018'!R\Max</f>
        <v>0</v>
      </c>
      <c r="BX173" s="1188">
        <f>'2019'!R\Max</f>
        <v>1.0130597946957371</v>
      </c>
      <c r="BY173" s="1188">
        <f>'2020'!R\Max</f>
        <v>0.65855150073011015</v>
      </c>
      <c r="BZ173" s="1188">
        <f>'2021'!R\Max</f>
        <v>0.99574595486007045</v>
      </c>
      <c r="CA173" s="1188">
        <f>'2022'!R\Max</f>
        <v>0.34786983811811023</v>
      </c>
      <c r="CB173" s="1188">
        <f>'2023'!R\Max</f>
        <v>0.34709657513657155</v>
      </c>
      <c r="CC173" s="1188">
        <f>'2024'!R\Max</f>
        <v>0.346085631663126</v>
      </c>
      <c r="CD173" s="1188">
        <f>'2025'!R\Max</f>
        <v>0.3450125916032401</v>
      </c>
      <c r="CE173" s="1188">
        <f>'2026'!R\Max</f>
        <v>0.34390140464576135</v>
      </c>
      <c r="CF173" s="1189">
        <f>'2027'!R\Max</f>
        <v>0.34268309968562016</v>
      </c>
    </row>
    <row r="174" spans="1:84" s="6" customFormat="1" ht="11.25" x14ac:dyDescent="0.2">
      <c r="A174" s="11">
        <v>43260</v>
      </c>
      <c r="B174" s="380">
        <f>'2023'!Maxi_hp</f>
        <v>59.632877338436153</v>
      </c>
      <c r="C174" s="13">
        <f>'2023'!An_max</f>
        <v>2021</v>
      </c>
      <c r="D174" s="1059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51">
        <f t="shared" si="81"/>
        <v>0.14285714285714285</v>
      </c>
      <c r="J174" s="744">
        <f t="shared" si="82"/>
        <v>62.327008747841639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2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51">
        <f t="shared" si="86"/>
        <v>0.42857142857142855</v>
      </c>
      <c r="AT174" s="767">
        <f t="shared" si="87"/>
        <v>62.416760349486552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51">
        <f t="shared" si="91"/>
        <v>7.1428571428571425E-2</v>
      </c>
      <c r="AY174" s="767">
        <f t="shared" si="92"/>
        <v>62.317252332876841</v>
      </c>
      <c r="AZ174" s="744">
        <f t="shared" si="96"/>
        <v>62.367006341181693</v>
      </c>
      <c r="BA174" s="642">
        <f t="shared" si="93"/>
        <v>0.95677425463645749</v>
      </c>
      <c r="BC174" s="11">
        <v>43260</v>
      </c>
      <c r="BD174" s="290">
        <f>[2]!FeuilCaduc*(1-Persistant)+Persistant</f>
        <v>0.89960838182728109</v>
      </c>
      <c r="BE174" s="291">
        <f>[2]!CroissVégét</f>
        <v>0.48917917157397695</v>
      </c>
      <c r="BF174" s="814">
        <f>1+[2]!Salcycl*Ksac</f>
        <v>1.0374510477284102</v>
      </c>
      <c r="BH174" s="1050">
        <f t="shared" si="94"/>
        <v>2.3585783477684735E-2</v>
      </c>
      <c r="BI174" s="11">
        <v>44356</v>
      </c>
      <c r="BJ174" s="724">
        <v>2.081636676707725E-6</v>
      </c>
      <c r="BK174" s="724">
        <v>2.0816366767077246E-6</v>
      </c>
      <c r="BL174" s="724">
        <v>2.0816366767077246E-6</v>
      </c>
      <c r="BM174" s="724">
        <v>8.9028180930702294E-5</v>
      </c>
      <c r="BN174" s="724">
        <v>5.0250521415281689E-3</v>
      </c>
      <c r="BO174" s="725">
        <v>2.3585783477684735E-2</v>
      </c>
      <c r="BP174" s="724">
        <v>6.215487762447653E-2</v>
      </c>
      <c r="BQ174" s="724">
        <v>0.11550001635470235</v>
      </c>
      <c r="BR174" s="724">
        <v>0.17102604374060759</v>
      </c>
      <c r="BS174" s="724">
        <v>0.23643710394589135</v>
      </c>
      <c r="BT174" s="724">
        <v>0.31220338432566525</v>
      </c>
      <c r="BW174" s="1190">
        <f>'2018'!R\Max</f>
        <v>0</v>
      </c>
      <c r="BX174" s="1188">
        <f>'2019'!R\Max</f>
        <v>0.79377161521351969</v>
      </c>
      <c r="BY174" s="1188">
        <f>'2020'!R\Max</f>
        <v>0.70138152267135845</v>
      </c>
      <c r="BZ174" s="1188">
        <f>'2021'!R\Max</f>
        <v>0.95677425463645749</v>
      </c>
      <c r="CA174" s="1188">
        <f>'2022'!R\Max</f>
        <v>0.74561991854128695</v>
      </c>
      <c r="CB174" s="1188">
        <f>'2023'!R\Max</f>
        <v>0.74496684674690228</v>
      </c>
      <c r="CC174" s="1188">
        <f>'2024'!R\Max</f>
        <v>0.74410519940659836</v>
      </c>
      <c r="CD174" s="1188">
        <f>'2025'!R\Max</f>
        <v>0.74318917253412842</v>
      </c>
      <c r="CE174" s="1188">
        <f>'2026'!R\Max</f>
        <v>0.74223754482425419</v>
      </c>
      <c r="CF174" s="1189">
        <f>'2027'!R\Max</f>
        <v>0.74119841331126712</v>
      </c>
    </row>
    <row r="175" spans="1:84" s="6" customFormat="1" ht="11.25" x14ac:dyDescent="0.2">
      <c r="A175" s="11">
        <v>43261</v>
      </c>
      <c r="B175" s="380">
        <f>'2023'!Maxi_hp</f>
        <v>59.456159779115154</v>
      </c>
      <c r="C175" s="13">
        <f>'2023'!An_max</f>
        <v>2021</v>
      </c>
      <c r="D175" s="1059" t="str">
        <f t="shared" si="78"/>
        <v/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51">
        <f t="shared" si="81"/>
        <v>7.1428571428571425E-2</v>
      </c>
      <c r="J175" s="744">
        <f t="shared" si="82"/>
        <v>62.305107725997061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2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51">
        <f t="shared" si="86"/>
        <v>0.4642857142857143</v>
      </c>
      <c r="AT175" s="767">
        <f t="shared" si="87"/>
        <v>62.392380884768706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51">
        <f t="shared" si="91"/>
        <v>3.5714285714285712E-2</v>
      </c>
      <c r="AY175" s="767">
        <f t="shared" si="92"/>
        <v>62.299935623817156</v>
      </c>
      <c r="AZ175" s="744">
        <f t="shared" si="96"/>
        <v>62.346158254292931</v>
      </c>
      <c r="BA175" s="642">
        <f t="shared" si="93"/>
        <v>0.95427424731514954</v>
      </c>
      <c r="BC175" s="11">
        <v>43261</v>
      </c>
      <c r="BD175" s="290">
        <f>[2]!FeuilCaduc*(1-Persistant)+Persistant</f>
        <v>0.90450248234059194</v>
      </c>
      <c r="BE175" s="291">
        <f>[2]!CroissVégét</f>
        <v>0.499469404196</v>
      </c>
      <c r="BF175" s="814">
        <f>1+[2]!Salcycl*Ksac</f>
        <v>1.038062810292574</v>
      </c>
      <c r="BH175" s="1050">
        <f t="shared" si="94"/>
        <v>2.3630317893237416E-2</v>
      </c>
      <c r="BI175" s="11">
        <v>44357</v>
      </c>
      <c r="BJ175" s="724">
        <v>2.0771041292924644E-6</v>
      </c>
      <c r="BK175" s="724">
        <v>2.0771041292924644E-6</v>
      </c>
      <c r="BL175" s="724">
        <v>2.0771041292924644E-6</v>
      </c>
      <c r="BM175" s="724">
        <v>8.8773080242111226E-5</v>
      </c>
      <c r="BN175" s="724">
        <v>5.0056645241546112E-3</v>
      </c>
      <c r="BO175" s="725">
        <v>2.3630317893237416E-2</v>
      </c>
      <c r="BP175" s="724">
        <v>6.2296415630264251E-2</v>
      </c>
      <c r="BQ175" s="724">
        <v>0.11595575953653826</v>
      </c>
      <c r="BR175" s="724">
        <v>0.17178764961095472</v>
      </c>
      <c r="BS175" s="724">
        <v>0.23639474775345934</v>
      </c>
      <c r="BT175" s="724">
        <v>0.31008175267106225</v>
      </c>
      <c r="BW175" s="1190">
        <f>'2018'!R\Max</f>
        <v>0</v>
      </c>
      <c r="BX175" s="1188">
        <f>'2019'!R\Max</f>
        <v>0.36132651064840066</v>
      </c>
      <c r="BY175" s="1188">
        <f>'2020'!R\Max</f>
        <v>0.43771074704205243</v>
      </c>
      <c r="BZ175" s="1188">
        <f>'2021'!R\Max</f>
        <v>0.95427424731514954</v>
      </c>
      <c r="CA175" s="1188">
        <f>'2022'!R\Max</f>
        <v>0.94781110835496862</v>
      </c>
      <c r="CB175" s="1188">
        <f>'2023'!R\Max</f>
        <v>0.94763924661664223</v>
      </c>
      <c r="CC175" s="1188">
        <f>'2024'!R\Max</f>
        <v>0.9474107656259011</v>
      </c>
      <c r="CD175" s="1188">
        <f>'2025'!R\Max</f>
        <v>0.94716792179518949</v>
      </c>
      <c r="CE175" s="1188">
        <f>'2026'!R\Max</f>
        <v>0.94691530200263341</v>
      </c>
      <c r="CF175" s="1189">
        <f>'2027'!R\Max</f>
        <v>0.94664102894662505</v>
      </c>
    </row>
    <row r="176" spans="1:84" s="6" customFormat="1" ht="11.25" x14ac:dyDescent="0.2">
      <c r="A176" s="11">
        <v>43262</v>
      </c>
      <c r="B176" s="380">
        <f>'2023'!Maxi_hp</f>
        <v>57.956580464308153</v>
      </c>
      <c r="C176" s="13">
        <f>'2023'!An_max</f>
        <v>2022</v>
      </c>
      <c r="D176" s="1059" t="str">
        <f t="shared" si="78"/>
        <v/>
      </c>
      <c r="E176" s="1054">
        <f>Y$13/10</f>
        <v>62.280799999999999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51">
        <f t="shared" si="81"/>
        <v>0</v>
      </c>
      <c r="J176" s="744">
        <f t="shared" si="82"/>
        <v>62.280800000578168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2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51">
        <f t="shared" si="86"/>
        <v>0.5</v>
      </c>
      <c r="AT176" s="767">
        <f t="shared" si="87"/>
        <v>62.363349999859928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51">
        <f t="shared" si="91"/>
        <v>0</v>
      </c>
      <c r="AY176" s="767">
        <f t="shared" si="92"/>
        <v>62.280799999833107</v>
      </c>
      <c r="AZ176" s="744">
        <f t="shared" si="96"/>
        <v>62.322074999846521</v>
      </c>
      <c r="BA176" s="642">
        <f t="shared" si="93"/>
        <v>0.93056897894327195</v>
      </c>
      <c r="BC176" s="11">
        <v>43262</v>
      </c>
      <c r="BD176" s="290">
        <f>[2]!FeuilCaduc*(1-Persistant)+Persistant</f>
        <v>0.90929050206565898</v>
      </c>
      <c r="BE176" s="291">
        <f>[2]!CroissVégét</f>
        <v>0.50975963681802305</v>
      </c>
      <c r="BF176" s="814">
        <f>1+[2]!Salcycl*Ksac</f>
        <v>1.0386613127582074</v>
      </c>
      <c r="BH176" s="1050">
        <f t="shared" si="94"/>
        <v>2.3666930411041565E-2</v>
      </c>
      <c r="BI176" s="11">
        <v>44358</v>
      </c>
      <c r="BJ176" s="724">
        <v>2.0488622742291374E-6</v>
      </c>
      <c r="BK176" s="724">
        <v>2.0488622742291374E-6</v>
      </c>
      <c r="BL176" s="724">
        <v>2.0488622742291374E-6</v>
      </c>
      <c r="BM176" s="724">
        <v>8.8346457032950938E-5</v>
      </c>
      <c r="BN176" s="724">
        <v>4.9834659944590241E-3</v>
      </c>
      <c r="BO176" s="725">
        <v>2.3666930411041565E-2</v>
      </c>
      <c r="BP176" s="724">
        <v>6.2418127337236617E-2</v>
      </c>
      <c r="BQ176" s="724">
        <v>0.11637143323602893</v>
      </c>
      <c r="BR176" s="724">
        <v>0.17248570863144772</v>
      </c>
      <c r="BS176" s="724">
        <v>0.23634375355822168</v>
      </c>
      <c r="BT176" s="724">
        <v>0.30808866720545747</v>
      </c>
      <c r="BW176" s="1190">
        <f>'2018'!R\Max</f>
        <v>0</v>
      </c>
      <c r="BX176" s="1188">
        <f>'2019'!R\Max</f>
        <v>0.56972505499484849</v>
      </c>
      <c r="BY176" s="1188">
        <f>'2020'!R\Max</f>
        <v>0.67551263866995126</v>
      </c>
      <c r="BZ176" s="1188">
        <f>'2021'!R\Max</f>
        <v>0.83889774001916251</v>
      </c>
      <c r="CA176" s="1188">
        <f>'2022'!R\Max</f>
        <v>0.93056897894327195</v>
      </c>
      <c r="CB176" s="1188">
        <f>'2023'!R\Max</f>
        <v>0.93034272885157088</v>
      </c>
      <c r="CC176" s="1188">
        <f>'2024'!R\Max</f>
        <v>0.93004018956234702</v>
      </c>
      <c r="CD176" s="1188">
        <f>'2025'!R\Max</f>
        <v>0.92971939451329466</v>
      </c>
      <c r="CE176" s="1188">
        <f>'2026'!R\Max</f>
        <v>0.92938597179364013</v>
      </c>
      <c r="CF176" s="1189">
        <f>'2027'!R\Max</f>
        <v>0.92902675008368985</v>
      </c>
    </row>
    <row r="177" spans="1:84" s="6" customFormat="1" ht="11.25" x14ac:dyDescent="0.2">
      <c r="A177" s="11">
        <v>43263</v>
      </c>
      <c r="B177" s="380">
        <f>'2023'!Maxi_hp</f>
        <v>57.157834054855876</v>
      </c>
      <c r="C177" s="13">
        <f>'2023'!An_max</f>
        <v>2019</v>
      </c>
      <c r="D177" s="1059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51">
        <f t="shared" si="81"/>
        <v>7.1428571428571425E-2</v>
      </c>
      <c r="J177" s="744">
        <f t="shared" si="82"/>
        <v>62.253585715485471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2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51">
        <f t="shared" si="86"/>
        <v>0.5357142857142857</v>
      </c>
      <c r="AT177" s="767">
        <f t="shared" si="87"/>
        <v>62.329848195878526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51">
        <f t="shared" si="91"/>
        <v>3.5714285714285712E-2</v>
      </c>
      <c r="AY177" s="767">
        <f t="shared" si="92"/>
        <v>62.258459292565078</v>
      </c>
      <c r="AZ177" s="744">
        <f t="shared" si="96"/>
        <v>62.294153744221802</v>
      </c>
      <c r="BA177" s="642">
        <f t="shared" si="93"/>
        <v>0.91814525055763918</v>
      </c>
      <c r="BC177" s="11">
        <v>43263</v>
      </c>
      <c r="BD177" s="290">
        <f>[2]!FeuilCaduc*(1-Persistant)+Persistant</f>
        <v>0.91396760489936879</v>
      </c>
      <c r="BE177" s="291">
        <f>[2]!CroissVégét</f>
        <v>0.52004118610663486</v>
      </c>
      <c r="BF177" s="814">
        <f>1+[2]!Salcycl*Ksac</f>
        <v>1.0392459506124212</v>
      </c>
      <c r="BH177" s="1050">
        <f t="shared" si="94"/>
        <v>2.3695668699536546E-2</v>
      </c>
      <c r="BI177" s="11">
        <v>44359</v>
      </c>
      <c r="BJ177" s="724">
        <v>1.9969585538636513E-6</v>
      </c>
      <c r="BK177" s="724">
        <v>1.9969585538636509E-6</v>
      </c>
      <c r="BL177" s="724">
        <v>1.9969585538636509E-6</v>
      </c>
      <c r="BM177" s="724">
        <v>8.7748753479603323E-5</v>
      </c>
      <c r="BN177" s="724">
        <v>4.9584685230772496E-3</v>
      </c>
      <c r="BO177" s="725">
        <v>2.3695668699536546E-2</v>
      </c>
      <c r="BP177" s="724">
        <v>6.2520136638682569E-2</v>
      </c>
      <c r="BQ177" s="724">
        <v>0.11674727575688258</v>
      </c>
      <c r="BR177" s="724">
        <v>0.17312058250463144</v>
      </c>
      <c r="BS177" s="724">
        <v>0.23628446088340374</v>
      </c>
      <c r="BT177" s="724">
        <v>0.30622429129708628</v>
      </c>
      <c r="BW177" s="1190">
        <f>'2018'!R\Max</f>
        <v>0</v>
      </c>
      <c r="BX177" s="1188">
        <f>'2019'!R\Max</f>
        <v>0.91814525055763918</v>
      </c>
      <c r="BY177" s="1188">
        <f>'2020'!R\Max</f>
        <v>0.4575091493142564</v>
      </c>
      <c r="BZ177" s="1188">
        <f>'2021'!R\Max</f>
        <v>0.83533714389797464</v>
      </c>
      <c r="CA177" s="1188">
        <f>'2022'!R\Max</f>
        <v>0.70107915210758087</v>
      </c>
      <c r="CB177" s="1188">
        <f>'2023'!R\Max</f>
        <v>0.70034037642614611</v>
      </c>
      <c r="CC177" s="1188">
        <f>'2024'!R\Max</f>
        <v>0.69934852445124085</v>
      </c>
      <c r="CD177" s="1188">
        <f>'2025'!R\Max</f>
        <v>0.69830156318199532</v>
      </c>
      <c r="CE177" s="1188">
        <f>'2026'!R\Max</f>
        <v>0.69721670562186411</v>
      </c>
      <c r="CF177" s="1189">
        <f>'2027'!R\Max</f>
        <v>0.69605910598008647</v>
      </c>
    </row>
    <row r="178" spans="1:84" s="6" customFormat="1" ht="11.25" x14ac:dyDescent="0.2">
      <c r="A178" s="11">
        <v>43264</v>
      </c>
      <c r="B178" s="380">
        <f>'2023'!Maxi_hp</f>
        <v>63.561322397498678</v>
      </c>
      <c r="C178" s="13">
        <f>'2023'!An_max</f>
        <v>2019</v>
      </c>
      <c r="D178" s="1059">
        <f t="shared" si="78"/>
        <v>1.0215127054447235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51">
        <f t="shared" si="81"/>
        <v>0.14285714285714285</v>
      </c>
      <c r="J178" s="744">
        <f t="shared" si="82"/>
        <v>62.222742858422656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2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51">
        <f t="shared" si="86"/>
        <v>0.5714285714285714</v>
      </c>
      <c r="AT178" s="767">
        <f t="shared" si="87"/>
        <v>62.29205597617797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51">
        <f t="shared" si="91"/>
        <v>7.1428571428571425E-2</v>
      </c>
      <c r="AY178" s="767">
        <f t="shared" si="92"/>
        <v>62.231406996931341</v>
      </c>
      <c r="AZ178" s="744">
        <f t="shared" si="96"/>
        <v>62.261731486554652</v>
      </c>
      <c r="BA178" s="642">
        <f t="shared" si="93"/>
        <v>1.0215127054447235</v>
      </c>
      <c r="BC178" s="11">
        <v>43264</v>
      </c>
      <c r="BD178" s="290">
        <f>[2]!FeuilCaduc*(1-Persistant)+Persistant</f>
        <v>0.91852928454200511</v>
      </c>
      <c r="BE178" s="291">
        <f>[2]!CroissVégét</f>
        <v>0.53030539801316789</v>
      </c>
      <c r="BF178" s="814">
        <f>1+[2]!Salcycl*Ksac</f>
        <v>1.0398161605677507</v>
      </c>
      <c r="BH178" s="1050">
        <f t="shared" si="94"/>
        <v>2.3715112847551081E-2</v>
      </c>
      <c r="BI178" s="11">
        <v>44360</v>
      </c>
      <c r="BJ178" s="724">
        <v>1.9316729672644165E-6</v>
      </c>
      <c r="BK178" s="724">
        <v>1.9316729672644165E-6</v>
      </c>
      <c r="BL178" s="724">
        <v>1.9316729672644165E-6</v>
      </c>
      <c r="BM178" s="724">
        <v>8.7068407687167121E-5</v>
      </c>
      <c r="BN178" s="724">
        <v>4.9321245547267528E-3</v>
      </c>
      <c r="BO178" s="725">
        <v>2.3715112847551081E-2</v>
      </c>
      <c r="BP178" s="724">
        <v>6.2596818699305709E-2</v>
      </c>
      <c r="BQ178" s="724">
        <v>0.11706376155304637</v>
      </c>
      <c r="BR178" s="724">
        <v>0.17365984621736844</v>
      </c>
      <c r="BS178" s="724">
        <v>0.23621342759825567</v>
      </c>
      <c r="BT178" s="724">
        <v>0.30456320357505245</v>
      </c>
      <c r="BW178" s="1190">
        <f>'2018'!R\Max</f>
        <v>0</v>
      </c>
      <c r="BX178" s="1188">
        <f>'2019'!R\Max</f>
        <v>1.0215127054447235</v>
      </c>
      <c r="BY178" s="1188">
        <f>'2020'!R\Max</f>
        <v>0.9497990543829421</v>
      </c>
      <c r="BZ178" s="1188">
        <f>'2021'!R\Max</f>
        <v>0.95512013571075105</v>
      </c>
      <c r="CA178" s="1188">
        <f>'2022'!R\Max</f>
        <v>0.91215636719991378</v>
      </c>
      <c r="CB178" s="1188">
        <f>'2023'!R\Max</f>
        <v>0.91187170844715693</v>
      </c>
      <c r="CC178" s="1188">
        <f>'2024'!R\Max</f>
        <v>0.91148666946306989</v>
      </c>
      <c r="CD178" s="1188">
        <f>'2025'!R\Max</f>
        <v>0.911080360309235</v>
      </c>
      <c r="CE178" s="1188">
        <f>'2026'!R\Max</f>
        <v>0.91065873824226273</v>
      </c>
      <c r="CF178" s="1189">
        <f>'2027'!R\Max</f>
        <v>0.91021069354673689</v>
      </c>
    </row>
    <row r="179" spans="1:84" s="6" customFormat="1" ht="11.25" x14ac:dyDescent="0.2">
      <c r="A179" s="11">
        <v>43265</v>
      </c>
      <c r="B179" s="380">
        <f>'2023'!Maxi_hp</f>
        <v>54.436884810261837</v>
      </c>
      <c r="C179" s="13">
        <f>'2023'!An_max</f>
        <v>2021</v>
      </c>
      <c r="D179" s="1059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51">
        <f t="shared" si="81"/>
        <v>0.21428571428571427</v>
      </c>
      <c r="J179" s="744">
        <f t="shared" si="82"/>
        <v>62.18827142997511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2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51">
        <f t="shared" si="86"/>
        <v>0.6071428571428571</v>
      </c>
      <c r="AT179" s="767">
        <f t="shared" si="87"/>
        <v>62.25015384389885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51">
        <f t="shared" si="91"/>
        <v>0.10714285714285714</v>
      </c>
      <c r="AY179" s="767">
        <f t="shared" si="92"/>
        <v>62.199726421279571</v>
      </c>
      <c r="AZ179" s="744">
        <f t="shared" si="96"/>
        <v>62.224940132589211</v>
      </c>
      <c r="BA179" s="642">
        <f t="shared" si="93"/>
        <v>0.87535613321490302</v>
      </c>
      <c r="BC179" s="11">
        <v>43265</v>
      </c>
      <c r="BD179" s="290">
        <f>[2]!FeuilCaduc*(1-Persistant)+Persistant</f>
        <v>0.92297138125713984</v>
      </c>
      <c r="BE179" s="291">
        <f>[2]!CroissVégét</f>
        <v>0.54054367684881977</v>
      </c>
      <c r="BF179" s="814">
        <f>1+[2]!Salcycl*Ksac</f>
        <v>1.0403714226571426</v>
      </c>
      <c r="BH179" s="1050">
        <f t="shared" si="94"/>
        <v>2.3730940818893802E-2</v>
      </c>
      <c r="BI179" s="11">
        <v>44361</v>
      </c>
      <c r="BJ179" s="724">
        <v>1.8635113112426765E-6</v>
      </c>
      <c r="BK179" s="724">
        <v>1.8635113112426761E-6</v>
      </c>
      <c r="BL179" s="724">
        <v>1.8635113112426761E-6</v>
      </c>
      <c r="BM179" s="724">
        <v>8.6376404850061557E-5</v>
      </c>
      <c r="BN179" s="724">
        <v>4.907798083439923E-3</v>
      </c>
      <c r="BO179" s="725">
        <v>2.3730940818893802E-2</v>
      </c>
      <c r="BP179" s="724">
        <v>6.2662201843238119E-2</v>
      </c>
      <c r="BQ179" s="724">
        <v>0.11734210285487022</v>
      </c>
      <c r="BR179" s="724">
        <v>0.17413544517957449</v>
      </c>
      <c r="BS179" s="724">
        <v>0.23613632658500336</v>
      </c>
      <c r="BT179" s="724">
        <v>0.30305182948124726</v>
      </c>
      <c r="BW179" s="1190">
        <f>'2018'!R\Max</f>
        <v>0</v>
      </c>
      <c r="BX179" s="1188">
        <f>'2019'!R\Max</f>
        <v>0.40524668241259421</v>
      </c>
      <c r="BY179" s="1188">
        <f>'2020'!R\Max</f>
        <v>0.63539130181239245</v>
      </c>
      <c r="BZ179" s="1188">
        <f>'2021'!R\Max</f>
        <v>0.87535613321490302</v>
      </c>
      <c r="CA179" s="1188">
        <f>'2022'!R\Max</f>
        <v>0.77541884474303724</v>
      </c>
      <c r="CB179" s="1188">
        <f>'2023'!R\Max</f>
        <v>0.77479633489248512</v>
      </c>
      <c r="CC179" s="1188">
        <f>'2024'!R\Max</f>
        <v>0.77395065922447848</v>
      </c>
      <c r="CD179" s="1188">
        <f>'2025'!R\Max</f>
        <v>0.77306164106939279</v>
      </c>
      <c r="CE179" s="1188">
        <f>'2026'!R\Max</f>
        <v>0.77214104829316266</v>
      </c>
      <c r="CF179" s="1189">
        <f>'2027'!R\Max</f>
        <v>0.77116995719686199</v>
      </c>
    </row>
    <row r="180" spans="1:84" s="6" customFormat="1" ht="11.25" x14ac:dyDescent="0.2">
      <c r="A180" s="11">
        <v>43266</v>
      </c>
      <c r="B180" s="380">
        <f>'2023'!Maxi_hp</f>
        <v>56.029931246616755</v>
      </c>
      <c r="C180" s="13">
        <f>'2023'!An_max</f>
        <v>2020</v>
      </c>
      <c r="D180" s="1059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51">
        <f t="shared" si="81"/>
        <v>0.2857142857142857</v>
      </c>
      <c r="J180" s="744">
        <f t="shared" si="82"/>
        <v>62.15017142870596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2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51">
        <f t="shared" si="86"/>
        <v>0.6428571428571429</v>
      </c>
      <c r="AT180" s="767">
        <f t="shared" si="87"/>
        <v>62.204322302501126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51">
        <f t="shared" si="91"/>
        <v>0.14285714285714285</v>
      </c>
      <c r="AY180" s="767">
        <f t="shared" si="92"/>
        <v>62.163500874649209</v>
      </c>
      <c r="AZ180" s="744">
        <f t="shared" si="96"/>
        <v>62.183911588575171</v>
      </c>
      <c r="BA180" s="642">
        <f t="shared" si="93"/>
        <v>0.9015249670049601</v>
      </c>
      <c r="BC180" s="11">
        <v>43266</v>
      </c>
      <c r="BD180" s="290">
        <f>[2]!FeuilCaduc*(1-Persistant)+Persistant</f>
        <v>0.9272900968616854</v>
      </c>
      <c r="BE180" s="291">
        <f>[2]!CroissVégét</f>
        <v>0.55074751394309984</v>
      </c>
      <c r="BF180" s="814">
        <f>1+[2]!Salcycl*Ksac</f>
        <v>1.0409112621077106</v>
      </c>
      <c r="BH180" s="1050">
        <f t="shared" si="94"/>
        <v>2.3743192504825813E-2</v>
      </c>
      <c r="BI180" s="11">
        <v>44362</v>
      </c>
      <c r="BJ180" s="724">
        <v>1.7924801112168777E-6</v>
      </c>
      <c r="BK180" s="724">
        <v>1.7924801112168781E-6</v>
      </c>
      <c r="BL180" s="724">
        <v>1.7924801112168781E-6</v>
      </c>
      <c r="BM180" s="724">
        <v>8.5672872385997238E-5</v>
      </c>
      <c r="BN180" s="724">
        <v>4.8854917051941909E-3</v>
      </c>
      <c r="BO180" s="725">
        <v>2.3743192504825813E-2</v>
      </c>
      <c r="BP180" s="724">
        <v>6.2716395105530925E-2</v>
      </c>
      <c r="BQ180" s="724">
        <v>0.1175825382990328</v>
      </c>
      <c r="BR180" s="724">
        <v>0.17454774780068352</v>
      </c>
      <c r="BS180" s="724">
        <v>0.23605349490113159</v>
      </c>
      <c r="BT180" s="724">
        <v>0.30169028276039506</v>
      </c>
      <c r="BW180" s="1190">
        <f>'2018'!R\Max</f>
        <v>0</v>
      </c>
      <c r="BX180" s="1188">
        <f>'2019'!R\Max</f>
        <v>0.42180286279261198</v>
      </c>
      <c r="BY180" s="1188">
        <f>'2020'!R\Max</f>
        <v>0.9015249670049601</v>
      </c>
      <c r="BZ180" s="1188">
        <f>'2021'!R\Max</f>
        <v>0.8700180424662699</v>
      </c>
      <c r="CA180" s="1188">
        <f>'2022'!R\Max</f>
        <v>0.8971788617960903</v>
      </c>
      <c r="CB180" s="1188">
        <f>'2023'!R\Max</f>
        <v>0.89684684297000483</v>
      </c>
      <c r="CC180" s="1188">
        <f>'2024'!R\Max</f>
        <v>0.8963929723936469</v>
      </c>
      <c r="CD180" s="1188">
        <f>'2025'!R\Max</f>
        <v>0.89591644251268843</v>
      </c>
      <c r="CE180" s="1188">
        <f>'2026'!R\Max</f>
        <v>0.89542267402118558</v>
      </c>
      <c r="CF180" s="1189">
        <f>'2027'!R\Max</f>
        <v>0.89490391933545999</v>
      </c>
    </row>
    <row r="181" spans="1:84" s="6" customFormat="1" ht="11.25" x14ac:dyDescent="0.2">
      <c r="A181" s="11">
        <v>43267</v>
      </c>
      <c r="B181" s="380">
        <f>'2023'!Maxi_hp</f>
        <v>64.737412852018437</v>
      </c>
      <c r="C181" s="13">
        <f>'2023'!An_max</f>
        <v>2019</v>
      </c>
      <c r="D181" s="1059">
        <f t="shared" si="78"/>
        <v>1.0423287056230153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51">
        <f t="shared" si="81"/>
        <v>0.35714285714285715</v>
      </c>
      <c r="J181" s="744">
        <f t="shared" si="82"/>
        <v>62.108442857595421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2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51">
        <f t="shared" si="86"/>
        <v>0.6785714285714286</v>
      </c>
      <c r="AT181" s="767">
        <f t="shared" si="87"/>
        <v>62.154741854965685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51">
        <f t="shared" si="91"/>
        <v>0.17857142857142858</v>
      </c>
      <c r="AY181" s="767">
        <f t="shared" si="92"/>
        <v>62.122813666026502</v>
      </c>
      <c r="AZ181" s="744">
        <f t="shared" si="96"/>
        <v>62.138777760496097</v>
      </c>
      <c r="BA181" s="642">
        <f t="shared" si="93"/>
        <v>1.0423287056230153</v>
      </c>
      <c r="BC181" s="11">
        <v>43267</v>
      </c>
      <c r="BD181" s="290">
        <f>[2]!FeuilCaduc*(1-Persistant)+Persistant</f>
        <v>0.93148200783276369</v>
      </c>
      <c r="BE181" s="291">
        <f>[2]!CroissVégét</f>
        <v>0.56090851568364364</v>
      </c>
      <c r="BF181" s="814">
        <f>1+[2]!Salcycl*Ksac</f>
        <v>1.0414352509790954</v>
      </c>
      <c r="BH181" s="1050">
        <f t="shared" si="94"/>
        <v>2.3751907764955366E-2</v>
      </c>
      <c r="BI181" s="11">
        <v>44363</v>
      </c>
      <c r="BJ181" s="724">
        <v>1.718585371130804E-6</v>
      </c>
      <c r="BK181" s="724">
        <v>1.718585371130804E-6</v>
      </c>
      <c r="BL181" s="724">
        <v>1.718585371130804E-6</v>
      </c>
      <c r="BM181" s="724">
        <v>8.4957933548352059E-5</v>
      </c>
      <c r="BN181" s="724">
        <v>4.8652080032943043E-3</v>
      </c>
      <c r="BO181" s="725">
        <v>2.3751907764955366E-2</v>
      </c>
      <c r="BP181" s="724">
        <v>6.2759507475238549E-2</v>
      </c>
      <c r="BQ181" s="724">
        <v>0.11778530639866534</v>
      </c>
      <c r="BR181" s="724">
        <v>0.17489712227888168</v>
      </c>
      <c r="BS181" s="724">
        <v>0.23596526957521968</v>
      </c>
      <c r="BT181" s="724">
        <v>0.30047867764976638</v>
      </c>
      <c r="BW181" s="1190">
        <f>'2018'!R\Max</f>
        <v>0</v>
      </c>
      <c r="BX181" s="1188">
        <f>'2019'!R\Max</f>
        <v>1.0423287056230153</v>
      </c>
      <c r="BY181" s="1188">
        <f>'2020'!R\Max</f>
        <v>0.6992004215726545</v>
      </c>
      <c r="BZ181" s="1188">
        <f>'2021'!R\Max</f>
        <v>0.77044148505786758</v>
      </c>
      <c r="CA181" s="1188">
        <f>'2022'!R\Max</f>
        <v>0.86234024830950973</v>
      </c>
      <c r="CB181" s="1188">
        <f>'2023'!R\Max</f>
        <v>0.86191043486940799</v>
      </c>
      <c r="CC181" s="1188">
        <f>'2024'!R\Max</f>
        <v>0.86132013833034737</v>
      </c>
      <c r="CD181" s="1188">
        <f>'2025'!R\Max</f>
        <v>0.86070214911773391</v>
      </c>
      <c r="CE181" s="1188">
        <f>'2026'!R\Max</f>
        <v>0.86006241889707802</v>
      </c>
      <c r="CF181" s="1189">
        <f>'2027'!R\Max</f>
        <v>0.85939378931383559</v>
      </c>
    </row>
    <row r="182" spans="1:84" s="6" customFormat="1" ht="11.25" x14ac:dyDescent="0.2">
      <c r="A182" s="11">
        <v>43268</v>
      </c>
      <c r="B182" s="380">
        <f>'2023'!Maxi_hp</f>
        <v>61.823807905736835</v>
      </c>
      <c r="C182" s="13">
        <f>'2023'!An_max</f>
        <v>2019</v>
      </c>
      <c r="D182" s="1059">
        <f t="shared" si="78"/>
        <v>0.99614460340378908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51">
        <f t="shared" si="81"/>
        <v>0.42857142857142855</v>
      </c>
      <c r="J182" s="744">
        <f t="shared" si="82"/>
        <v>62.063085715153385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2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51">
        <f t="shared" si="86"/>
        <v>0.7142857142857143</v>
      </c>
      <c r="AT182" s="767">
        <f t="shared" si="87"/>
        <v>62.101593003209146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51">
        <f t="shared" si="91"/>
        <v>0.21428571428571427</v>
      </c>
      <c r="AY182" s="767">
        <f t="shared" si="92"/>
        <v>62.077748105089583</v>
      </c>
      <c r="AZ182" s="744">
        <f t="shared" si="96"/>
        <v>62.089670554149365</v>
      </c>
      <c r="BA182" s="642">
        <f t="shared" si="93"/>
        <v>0.99614460340378908</v>
      </c>
      <c r="BC182" s="11">
        <v>43268</v>
      </c>
      <c r="BD182" s="290">
        <f>[2]!FeuilCaduc*(1-Persistant)+Persistant</f>
        <v>0.93554407643150084</v>
      </c>
      <c r="BE182" s="291">
        <f>[2]!CroissVégét</f>
        <v>0.57101843074296321</v>
      </c>
      <c r="BF182" s="814">
        <f>1+[2]!Salcycl*Ksac</f>
        <v>1.0419430095539377</v>
      </c>
      <c r="BH182" s="1050">
        <f t="shared" si="94"/>
        <v>2.3757126375955593E-2</v>
      </c>
      <c r="BI182" s="11">
        <v>44364</v>
      </c>
      <c r="BJ182" s="724">
        <v>1.6418325330098322E-6</v>
      </c>
      <c r="BK182" s="724">
        <v>1.6418325330098316E-6</v>
      </c>
      <c r="BL182" s="724">
        <v>1.6418325330098316E-6</v>
      </c>
      <c r="BM182" s="724">
        <v>8.4231707247295261E-5</v>
      </c>
      <c r="BN182" s="724">
        <v>4.8469495748976943E-3</v>
      </c>
      <c r="BO182" s="725">
        <v>2.3757126375955593E-2</v>
      </c>
      <c r="BP182" s="724">
        <v>6.2791647736608239E-2</v>
      </c>
      <c r="BQ182" s="724">
        <v>0.11795064501765601</v>
      </c>
      <c r="BR182" s="724">
        <v>0.17518393572606772</v>
      </c>
      <c r="BS182" s="724">
        <v>0.23587198749941549</v>
      </c>
      <c r="BT182" s="724">
        <v>0.29941713085867705</v>
      </c>
      <c r="BW182" s="1190">
        <f>'2018'!R\Max</f>
        <v>0</v>
      </c>
      <c r="BX182" s="1188">
        <f>'2019'!R\Max</f>
        <v>0.99614460340378908</v>
      </c>
      <c r="BY182" s="1188">
        <f>'2020'!R\Max</f>
        <v>0.49093532510460797</v>
      </c>
      <c r="BZ182" s="1188">
        <f>'2021'!R\Max</f>
        <v>0.26080269744463597</v>
      </c>
      <c r="CA182" s="1188">
        <f>'2022'!R\Max</f>
        <v>0.87066453294791424</v>
      </c>
      <c r="CB182" s="1188">
        <f>'2023'!R\Max</f>
        <v>0.87025442679073062</v>
      </c>
      <c r="CC182" s="1188">
        <f>'2024'!R\Max</f>
        <v>0.86968851281401527</v>
      </c>
      <c r="CD182" s="1188">
        <f>'2025'!R\Max</f>
        <v>0.86909750835056121</v>
      </c>
      <c r="CE182" s="1188">
        <f>'2026'!R\Max</f>
        <v>0.86848599821661721</v>
      </c>
      <c r="CF182" s="1189">
        <f>'2027'!R\Max</f>
        <v>0.86784947831463011</v>
      </c>
    </row>
    <row r="183" spans="1:84" s="6" customFormat="1" ht="11.25" x14ac:dyDescent="0.2">
      <c r="A183" s="11">
        <v>43269</v>
      </c>
      <c r="B183" s="380">
        <f>'2023'!Maxi_hp</f>
        <v>61.050936871155521</v>
      </c>
      <c r="C183" s="13">
        <f>'2023'!An_max</f>
        <v>2019</v>
      </c>
      <c r="D183" s="1059">
        <f t="shared" si="78"/>
        <v>0.98446864293438274</v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51">
        <f t="shared" si="81"/>
        <v>0.5</v>
      </c>
      <c r="J183" s="744">
        <f t="shared" si="82"/>
        <v>62.014100001379845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2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51">
        <f t="shared" si="86"/>
        <v>0.75</v>
      </c>
      <c r="AT183" s="767">
        <f t="shared" si="87"/>
        <v>62.045056249015033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51">
        <f t="shared" si="91"/>
        <v>0.25</v>
      </c>
      <c r="AY183" s="767">
        <f t="shared" si="92"/>
        <v>62.028387500345708</v>
      </c>
      <c r="AZ183" s="744">
        <f t="shared" si="96"/>
        <v>62.036721874680367</v>
      </c>
      <c r="BA183" s="642">
        <f t="shared" si="93"/>
        <v>0.98446864293438274</v>
      </c>
      <c r="BC183" s="11">
        <v>43269</v>
      </c>
      <c r="BD183" s="290">
        <f>[2]!FeuilCaduc*(1-Persistant)+Persistant</f>
        <v>0.93947365975832464</v>
      </c>
      <c r="BE183" s="291">
        <f>[2]!CroissVégét</f>
        <v>0.5810691763075071</v>
      </c>
      <c r="BF183" s="814">
        <f>1+[2]!Salcycl*Ksac</f>
        <v>1.0424342074697905</v>
      </c>
      <c r="BH183" s="1050">
        <f t="shared" si="94"/>
        <v>2.3758887981040675E-2</v>
      </c>
      <c r="BI183" s="11">
        <v>44365</v>
      </c>
      <c r="BJ183" s="724">
        <v>1.5622264365744084E-6</v>
      </c>
      <c r="BK183" s="724">
        <v>1.5622264365744084E-6</v>
      </c>
      <c r="BL183" s="724">
        <v>1.5622264365744084E-6</v>
      </c>
      <c r="BM183" s="724">
        <v>8.3494307873646848E-5</v>
      </c>
      <c r="BN183" s="724">
        <v>4.8307190576959477E-3</v>
      </c>
      <c r="BO183" s="725">
        <v>2.3758887981040675E-2</v>
      </c>
      <c r="BP183" s="724">
        <v>6.2812924312273088E-2</v>
      </c>
      <c r="BQ183" s="724">
        <v>0.11807879084871055</v>
      </c>
      <c r="BR183" s="724">
        <v>0.17540855329838856</v>
      </c>
      <c r="BS183" s="724">
        <v>0.23577398532944885</v>
      </c>
      <c r="BT183" s="724">
        <v>0.29850576355762587</v>
      </c>
      <c r="BW183" s="1190">
        <f>'2018'!R\Max</f>
        <v>0</v>
      </c>
      <c r="BX183" s="1188">
        <f>'2019'!R\Max</f>
        <v>0.98446864293438274</v>
      </c>
      <c r="BY183" s="1188">
        <f>'2020'!R\Max</f>
        <v>0.86122739271851556</v>
      </c>
      <c r="BZ183" s="1188">
        <f>'2021'!R\Max</f>
        <v>0.73603945444654029</v>
      </c>
      <c r="CA183" s="1188">
        <f>'2022'!R\Max</f>
        <v>0.90072981967275678</v>
      </c>
      <c r="CB183" s="1188">
        <f>'2023'!R\Max</f>
        <v>0.90040234125266549</v>
      </c>
      <c r="CC183" s="1188">
        <f>'2024'!R\Max</f>
        <v>0.89994833296884991</v>
      </c>
      <c r="CD183" s="1188">
        <f>'2025'!R\Max</f>
        <v>0.89947526409657774</v>
      </c>
      <c r="CE183" s="1188">
        <f>'2026'!R\Max</f>
        <v>0.89898587741913016</v>
      </c>
      <c r="CF183" s="1189">
        <f>'2027'!R\Max</f>
        <v>0.89847810786389493</v>
      </c>
    </row>
    <row r="184" spans="1:84" s="6" customFormat="1" ht="11.25" x14ac:dyDescent="0.2">
      <c r="A184" s="11">
        <v>43270</v>
      </c>
      <c r="B184" s="380">
        <f>'2023'!Maxi_hp</f>
        <v>57.196487657929183</v>
      </c>
      <c r="C184" s="13">
        <f>'2023'!An_max</f>
        <v>2022</v>
      </c>
      <c r="D184" s="1059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51">
        <f t="shared" si="81"/>
        <v>0.5714285714285714</v>
      </c>
      <c r="J184" s="744">
        <f t="shared" si="82"/>
        <v>61.961485714465383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2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51">
        <f t="shared" si="86"/>
        <v>0.7857142857142857</v>
      </c>
      <c r="AT184" s="767">
        <f t="shared" si="87"/>
        <v>61.985312098584004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51">
        <f t="shared" si="91"/>
        <v>0.2857142857142857</v>
      </c>
      <c r="AY184" s="767">
        <f t="shared" si="92"/>
        <v>61.974815160674709</v>
      </c>
      <c r="AZ184" s="744">
        <f t="shared" si="96"/>
        <v>61.980063629629356</v>
      </c>
      <c r="BA184" s="642">
        <f t="shared" si="93"/>
        <v>0.92309742089635249</v>
      </c>
      <c r="BC184" s="11">
        <v>43270</v>
      </c>
      <c r="BD184" s="290">
        <f>[2]!FeuilCaduc*(1-Persistant)+Persistant</f>
        <v>0.94326851666967559</v>
      </c>
      <c r="BE184" s="291">
        <f>[2]!CroissVégét</f>
        <v>0.5910528631363321</v>
      </c>
      <c r="BF184" s="814">
        <f>1+[2]!Salcycl*Ksac</f>
        <v>1.0429085645837095</v>
      </c>
      <c r="BH184" s="1050">
        <f t="shared" si="94"/>
        <v>2.3755769601602448E-2</v>
      </c>
      <c r="BI184" s="11">
        <v>44366</v>
      </c>
      <c r="BJ184" s="724">
        <v>1.489968402916073E-6</v>
      </c>
      <c r="BK184" s="724">
        <v>1.4899684029160728E-6</v>
      </c>
      <c r="BL184" s="724">
        <v>1.4899684029160728E-6</v>
      </c>
      <c r="BM184" s="724">
        <v>8.2833536195873426E-5</v>
      </c>
      <c r="BN184" s="724">
        <v>4.8179547112620373E-3</v>
      </c>
      <c r="BO184" s="725">
        <v>2.3755769601602448E-2</v>
      </c>
      <c r="BP184" s="724">
        <v>6.2817716424594619E-2</v>
      </c>
      <c r="BQ184" s="724">
        <v>0.11815028351883711</v>
      </c>
      <c r="BR184" s="724">
        <v>0.175538664150618</v>
      </c>
      <c r="BS184" s="724">
        <v>0.23566783084684254</v>
      </c>
      <c r="BT184" s="724">
        <v>0.29781886122943207</v>
      </c>
      <c r="BW184" s="1190">
        <f>'2018'!R\Max</f>
        <v>0</v>
      </c>
      <c r="BX184" s="1188">
        <f>'2019'!R\Max</f>
        <v>0.79269728023074737</v>
      </c>
      <c r="BY184" s="1188">
        <f>'2020'!R\Max</f>
        <v>0.77468936855104098</v>
      </c>
      <c r="BZ184" s="1188">
        <f>'2021'!R\Max</f>
        <v>0.56751625415626261</v>
      </c>
      <c r="CA184" s="1188">
        <f>'2022'!R\Max</f>
        <v>0.92309742089635249</v>
      </c>
      <c r="CB184" s="1188">
        <f>'2023'!R\Max</f>
        <v>0.92283607600061268</v>
      </c>
      <c r="CC184" s="1188">
        <f>'2024'!R\Max</f>
        <v>0.92247223430614922</v>
      </c>
      <c r="CD184" s="1188">
        <f>'2025'!R\Max</f>
        <v>0.92209400433487076</v>
      </c>
      <c r="CE184" s="1188">
        <f>'2026'!R\Max</f>
        <v>0.92170281491808104</v>
      </c>
      <c r="CF184" s="1189">
        <f>'2027'!R\Max</f>
        <v>0.92129781501683838</v>
      </c>
    </row>
    <row r="185" spans="1:84" s="6" customFormat="1" ht="11.25" x14ac:dyDescent="0.2">
      <c r="A185" s="11">
        <v>43271</v>
      </c>
      <c r="B185" s="380">
        <f>'2023'!Maxi_hp</f>
        <v>54.149543241445002</v>
      </c>
      <c r="C185" s="13">
        <f>'2023'!An_max</f>
        <v>2020</v>
      </c>
      <c r="D185" s="1059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51">
        <f t="shared" si="81"/>
        <v>0.6428571428571429</v>
      </c>
      <c r="J185" s="744">
        <f t="shared" si="82"/>
        <v>61.905242857603092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2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51">
        <f t="shared" si="86"/>
        <v>0.8214285714285714</v>
      </c>
      <c r="AT185" s="767">
        <f t="shared" si="87"/>
        <v>61.922541052635225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51">
        <f t="shared" si="91"/>
        <v>0.32142857142857145</v>
      </c>
      <c r="AY185" s="767">
        <f t="shared" si="92"/>
        <v>61.917114395448678</v>
      </c>
      <c r="AZ185" s="744">
        <f t="shared" si="96"/>
        <v>61.919827724041951</v>
      </c>
      <c r="BA185" s="642">
        <f t="shared" si="93"/>
        <v>0.87471659494175547</v>
      </c>
      <c r="BC185" s="11">
        <v>43271</v>
      </c>
      <c r="BD185" s="290">
        <f>[2]!FeuilCaduc*(1-Persistant)+Persistant</f>
        <v>0.94692681250213284</v>
      </c>
      <c r="BE185" s="291">
        <f>[2]!CroissVégét</f>
        <v>0.60096181929049675</v>
      </c>
      <c r="BF185" s="814">
        <f>1+[2]!Salcycl*Ksac</f>
        <v>1.0433658515627666</v>
      </c>
      <c r="BH185" s="1050">
        <f t="shared" si="94"/>
        <v>2.3750077682317235E-2</v>
      </c>
      <c r="BI185" s="11">
        <v>44367</v>
      </c>
      <c r="BJ185" s="724">
        <v>1.4381953136465537E-6</v>
      </c>
      <c r="BK185" s="724">
        <v>1.4381953136465535E-6</v>
      </c>
      <c r="BL185" s="724">
        <v>1.4381953136465535E-6</v>
      </c>
      <c r="BM185" s="724">
        <v>8.234999094713283E-5</v>
      </c>
      <c r="BN185" s="724">
        <v>4.8081442884322879E-3</v>
      </c>
      <c r="BO185" s="725">
        <v>2.3750077682317235E-2</v>
      </c>
      <c r="BP185" s="724">
        <v>6.2811967792948412E-2</v>
      </c>
      <c r="BQ185" s="724">
        <v>0.11818404993212163</v>
      </c>
      <c r="BR185" s="724">
        <v>0.17560587885554391</v>
      </c>
      <c r="BS185" s="724">
        <v>0.23555769636450052</v>
      </c>
      <c r="BT185" s="724">
        <v>0.29728529644097745</v>
      </c>
      <c r="BW185" s="1190">
        <f>'2018'!R\Max</f>
        <v>0</v>
      </c>
      <c r="BX185" s="1188">
        <f>'2019'!R\Max</f>
        <v>0.47174271160161874</v>
      </c>
      <c r="BY185" s="1188">
        <f>'2020'!R\Max</f>
        <v>0.87471659494175547</v>
      </c>
      <c r="BZ185" s="1188">
        <f>'2021'!R\Max</f>
        <v>0.59628759145185384</v>
      </c>
      <c r="CA185" s="1188">
        <f>'2022'!R\Max</f>
        <v>0.56022963356144084</v>
      </c>
      <c r="CB185" s="1188">
        <f>'2023'!R\Max</f>
        <v>0.55931946284555178</v>
      </c>
      <c r="CC185" s="1188">
        <f>'2024'!R\Max</f>
        <v>0.55805172051140428</v>
      </c>
      <c r="CD185" s="1188">
        <f>'2025'!R\Max</f>
        <v>0.55674221945906988</v>
      </c>
      <c r="CE185" s="1188">
        <f>'2026'!R\Max</f>
        <v>0.55539373841400241</v>
      </c>
      <c r="CF185" s="1189">
        <f>'2027'!R\Max</f>
        <v>0.55400562326197378</v>
      </c>
    </row>
    <row r="186" spans="1:84" s="6" customFormat="1" ht="11.25" x14ac:dyDescent="0.2">
      <c r="A186" s="11">
        <v>43272</v>
      </c>
      <c r="B186" s="380">
        <f>'2023'!Maxi_hp</f>
        <v>52.018835844669908</v>
      </c>
      <c r="C186" s="13">
        <f>'2023'!An_max</f>
        <v>2020</v>
      </c>
      <c r="D186" s="1059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51">
        <f t="shared" si="81"/>
        <v>0.7142857142857143</v>
      </c>
      <c r="J186" s="744">
        <f t="shared" si="82"/>
        <v>61.845371429089994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2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51">
        <f t="shared" si="86"/>
        <v>0.8571428571428571</v>
      </c>
      <c r="AT186" s="767">
        <f t="shared" si="87"/>
        <v>61.856923615293837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51">
        <f t="shared" si="91"/>
        <v>0.35714285714285715</v>
      </c>
      <c r="AY186" s="767">
        <f t="shared" si="92"/>
        <v>61.85536851353411</v>
      </c>
      <c r="AZ186" s="744">
        <f t="shared" si="96"/>
        <v>61.856146064413977</v>
      </c>
      <c r="BA186" s="642">
        <f t="shared" si="93"/>
        <v>0.84111122049469955</v>
      </c>
      <c r="BC186" s="11">
        <v>43272</v>
      </c>
      <c r="BD186" s="290">
        <f>[2]!FeuilCaduc*(1-Persistant)+Persistant</f>
        <v>0.95044712156663069</v>
      </c>
      <c r="BE186" s="291">
        <f>[2]!CroissVégét</f>
        <v>0.61078861238975013</v>
      </c>
      <c r="BF186" s="814">
        <f>1+[2]!Salcycl*Ksac</f>
        <v>1.0438058901958289</v>
      </c>
      <c r="BH186" s="1050">
        <f t="shared" si="94"/>
        <v>2.3741849807982347E-2</v>
      </c>
      <c r="BI186" s="11">
        <v>44368</v>
      </c>
      <c r="BJ186" s="724">
        <v>1.4068732850101583E-6</v>
      </c>
      <c r="BK186" s="724">
        <v>1.406873285010158E-6</v>
      </c>
      <c r="BL186" s="724">
        <v>1.406873285010158E-6</v>
      </c>
      <c r="BM186" s="724">
        <v>8.2043476339366023E-5</v>
      </c>
      <c r="BN186" s="724">
        <v>4.8012893105725011E-3</v>
      </c>
      <c r="BO186" s="725">
        <v>2.3741849807982347E-2</v>
      </c>
      <c r="BP186" s="724">
        <v>6.2795784360357002E-2</v>
      </c>
      <c r="BQ186" s="724">
        <v>0.11818032077247402</v>
      </c>
      <c r="BR186" s="724">
        <v>0.17561055216152688</v>
      </c>
      <c r="BS186" s="724">
        <v>0.23544391691194089</v>
      </c>
      <c r="BT186" s="724">
        <v>0.29690521459081398</v>
      </c>
      <c r="BW186" s="1190">
        <f>'2018'!R\Max</f>
        <v>0</v>
      </c>
      <c r="BX186" s="1188">
        <f>'2019'!R\Max</f>
        <v>0.18485857980100018</v>
      </c>
      <c r="BY186" s="1188">
        <f>'2020'!R\Max</f>
        <v>0.84111122049469955</v>
      </c>
      <c r="BZ186" s="1188">
        <f>'2021'!R\Max</f>
        <v>0.58119315072085376</v>
      </c>
      <c r="CA186" s="1188">
        <f>'2022'!R\Max</f>
        <v>0.40619651193176459</v>
      </c>
      <c r="CB186" s="1188">
        <f>'2023'!R\Max</f>
        <v>0.40530194082756393</v>
      </c>
      <c r="CC186" s="1188">
        <f>'2024'!R\Max</f>
        <v>0.40405342607181166</v>
      </c>
      <c r="CD186" s="1188">
        <f>'2025'!R\Max</f>
        <v>0.40276918414691071</v>
      </c>
      <c r="CE186" s="1188">
        <f>'2026'!R\Max</f>
        <v>0.40144944704943225</v>
      </c>
      <c r="CF186" s="1189">
        <f>'2027'!R\Max</f>
        <v>0.40009444140760814</v>
      </c>
    </row>
    <row r="187" spans="1:84" s="6" customFormat="1" ht="11.25" x14ac:dyDescent="0.2">
      <c r="A187" s="11">
        <v>43273</v>
      </c>
      <c r="B187" s="380">
        <f>'2023'!Maxi_hp</f>
        <v>63.102397192098245</v>
      </c>
      <c r="C187" s="13">
        <f>'2023'!An_max</f>
        <v>2020</v>
      </c>
      <c r="D187" s="1059">
        <f t="shared" si="78"/>
        <v>1.0213740006947696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51">
        <f t="shared" si="81"/>
        <v>0.7857142857142857</v>
      </c>
      <c r="J187" s="744">
        <f t="shared" si="82"/>
        <v>61.781871429245392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2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51">
        <f t="shared" si="86"/>
        <v>0.8928571428571429</v>
      </c>
      <c r="AT187" s="767">
        <f t="shared" si="87"/>
        <v>61.788640286986322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51">
        <f t="shared" si="91"/>
        <v>0.39285714285714285</v>
      </c>
      <c r="AY187" s="767">
        <f t="shared" si="92"/>
        <v>61.789660824143461</v>
      </c>
      <c r="AZ187" s="744">
        <f t="shared" si="96"/>
        <v>61.789150555564888</v>
      </c>
      <c r="BA187" s="642">
        <f t="shared" si="93"/>
        <v>1.0213740006947696</v>
      </c>
      <c r="BC187" s="11">
        <v>43273</v>
      </c>
      <c r="BD187" s="290">
        <f>[2]!FeuilCaduc*(1-Persistant)+Persistant</f>
        <v>0.95382842739256313</v>
      </c>
      <c r="BE187" s="291">
        <f>[2]!CroissVégét</f>
        <v>0.62052607026992535</v>
      </c>
      <c r="BF187" s="814">
        <f>1+[2]!Salcycl*Ksac</f>
        <v>1.0442285534240705</v>
      </c>
      <c r="BH187" s="1050">
        <f t="shared" si="94"/>
        <v>2.3731123304684246E-2</v>
      </c>
      <c r="BI187" s="11">
        <v>44369</v>
      </c>
      <c r="BJ187" s="724">
        <v>1.3959702375537565E-6</v>
      </c>
      <c r="BK187" s="724">
        <v>1.3959702375537562E-6</v>
      </c>
      <c r="BL187" s="724">
        <v>1.3959702375537562E-6</v>
      </c>
      <c r="BM187" s="724">
        <v>8.1913812100938105E-5</v>
      </c>
      <c r="BN187" s="724">
        <v>4.7973915530696359E-3</v>
      </c>
      <c r="BO187" s="725">
        <v>2.3731123304684246E-2</v>
      </c>
      <c r="BP187" s="724">
        <v>6.2769271056345902E-2</v>
      </c>
      <c r="BQ187" s="724">
        <v>0.11813932323914345</v>
      </c>
      <c r="BR187" s="724">
        <v>0.17555303303608341</v>
      </c>
      <c r="BS187" s="724">
        <v>0.23532682685242212</v>
      </c>
      <c r="BT187" s="724">
        <v>0.29667877419982897</v>
      </c>
      <c r="BW187" s="1190">
        <f>'2018'!R\Max</f>
        <v>0</v>
      </c>
      <c r="BX187" s="1188">
        <f>'2019'!R\Max</f>
        <v>0.91774539478327521</v>
      </c>
      <c r="BY187" s="1188">
        <f>'2020'!R\Max</f>
        <v>1.0213740006947696</v>
      </c>
      <c r="BZ187" s="1188">
        <f>'2021'!R\Max</f>
        <v>0.62912441043567746</v>
      </c>
      <c r="CA187" s="1188">
        <f>'2022'!R\Max</f>
        <v>0.71322003974282433</v>
      </c>
      <c r="CB187" s="1188">
        <f>'2023'!R\Max</f>
        <v>0.71245738721920593</v>
      </c>
      <c r="CC187" s="1188">
        <f>'2024'!R\Max</f>
        <v>0.71138678587367699</v>
      </c>
      <c r="CD187" s="1188">
        <f>'2025'!R\Max</f>
        <v>0.71028478161996278</v>
      </c>
      <c r="CE187" s="1188">
        <f>'2026'!R\Max</f>
        <v>0.7091489447799505</v>
      </c>
      <c r="CF187" s="1189">
        <f>'2027'!R\Max</f>
        <v>0.70797878539393178</v>
      </c>
    </row>
    <row r="188" spans="1:84" s="6" customFormat="1" ht="11.25" x14ac:dyDescent="0.2">
      <c r="A188" s="11">
        <v>43274</v>
      </c>
      <c r="B188" s="380">
        <f>'2023'!Maxi_hp</f>
        <v>54.439058781268628</v>
      </c>
      <c r="C188" s="13">
        <f>'2023'!An_max</f>
        <v>2020</v>
      </c>
      <c r="D188" s="1059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51">
        <f t="shared" si="81"/>
        <v>0.8571428571428571</v>
      </c>
      <c r="J188" s="744">
        <f t="shared" si="82"/>
        <v>61.714742857217786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2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51">
        <f t="shared" si="86"/>
        <v>0.9285714285714286</v>
      </c>
      <c r="AT188" s="767">
        <f t="shared" si="87"/>
        <v>61.717871573673825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51">
        <f t="shared" si="91"/>
        <v>0.42857142857142855</v>
      </c>
      <c r="AY188" s="767">
        <f t="shared" si="92"/>
        <v>61.720074636063394</v>
      </c>
      <c r="AZ188" s="744">
        <f t="shared" si="96"/>
        <v>61.71897310486861</v>
      </c>
      <c r="BA188" s="642">
        <f t="shared" si="93"/>
        <v>0.88210784426693534</v>
      </c>
      <c r="BC188" s="11">
        <v>43274</v>
      </c>
      <c r="BD188" s="290">
        <f>[2]!FeuilCaduc*(1-Persistant)+Persistant</f>
        <v>0.95707012071897468</v>
      </c>
      <c r="BE188" s="291">
        <f>[2]!CroissVégét</f>
        <v>0.6301672999323692</v>
      </c>
      <c r="BF188" s="814">
        <f>1+[2]!Salcycl*Ksac</f>
        <v>1.0446337650898718</v>
      </c>
      <c r="BH188" s="1050">
        <f t="shared" si="94"/>
        <v>2.3717692659768117E-2</v>
      </c>
      <c r="BI188" s="11">
        <v>44370</v>
      </c>
      <c r="BJ188" s="724">
        <v>1.4054418023439165E-6</v>
      </c>
      <c r="BK188" s="724">
        <v>1.4054418023439165E-6</v>
      </c>
      <c r="BL188" s="724">
        <v>1.4054418023439165E-6</v>
      </c>
      <c r="BM188" s="724">
        <v>8.1959997737910309E-5</v>
      </c>
      <c r="BN188" s="724">
        <v>4.7964040359021213E-3</v>
      </c>
      <c r="BO188" s="725">
        <v>2.3717692659768117E-2</v>
      </c>
      <c r="BP188" s="724">
        <v>6.2731890136347834E-2</v>
      </c>
      <c r="BQ188" s="724">
        <v>0.11806007321181654</v>
      </c>
      <c r="BR188" s="724">
        <v>0.17543186978543315</v>
      </c>
      <c r="BS188" s="724">
        <v>0.23520435455083658</v>
      </c>
      <c r="BT188" s="724">
        <v>0.2966031158355586</v>
      </c>
      <c r="BW188" s="1190">
        <f>'2018'!R\Max</f>
        <v>0</v>
      </c>
      <c r="BX188" s="1188">
        <f>'2019'!R\Max</f>
        <v>0.88150093836714283</v>
      </c>
      <c r="BY188" s="1188">
        <f>'2020'!R\Max</f>
        <v>0.88210784426693534</v>
      </c>
      <c r="BZ188" s="1188">
        <f>'2021'!R\Max</f>
        <v>0.40522666439958249</v>
      </c>
      <c r="CA188" s="1188">
        <f>'2022'!R\Max</f>
        <v>0.70463347951457678</v>
      </c>
      <c r="CB188" s="1188">
        <f>'2023'!R\Max</f>
        <v>0.70385444891618754</v>
      </c>
      <c r="CC188" s="1188">
        <f>'2024'!R\Max</f>
        <v>0.70275791715907043</v>
      </c>
      <c r="CD188" s="1188">
        <f>'2025'!R\Max</f>
        <v>0.70163214329092372</v>
      </c>
      <c r="CE188" s="1188">
        <f>'2026'!R\Max</f>
        <v>0.70047228293998676</v>
      </c>
      <c r="CF188" s="1189">
        <f>'2027'!R\Max</f>
        <v>0.6992764641477458</v>
      </c>
    </row>
    <row r="189" spans="1:84" s="6" customFormat="1" ht="11.25" x14ac:dyDescent="0.2">
      <c r="A189" s="11">
        <v>43275</v>
      </c>
      <c r="B189" s="380">
        <f>'2023'!Maxi_hp</f>
        <v>61.680272578542535</v>
      </c>
      <c r="C189" s="13">
        <f>'2023'!An_max</f>
        <v>2020</v>
      </c>
      <c r="D189" s="1059">
        <f t="shared" si="78"/>
        <v>1.0005886521346468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51">
        <f t="shared" si="81"/>
        <v>0.9285714285714286</v>
      </c>
      <c r="J189" s="744">
        <f t="shared" si="82"/>
        <v>61.643985714763403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2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51">
        <f t="shared" si="86"/>
        <v>0.9642857142857143</v>
      </c>
      <c r="AT189" s="767">
        <f t="shared" si="87"/>
        <v>61.644797977113299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51">
        <f t="shared" si="91"/>
        <v>0.4642857142857143</v>
      </c>
      <c r="AY189" s="767">
        <f t="shared" si="92"/>
        <v>61.64669325851969</v>
      </c>
      <c r="AZ189" s="744">
        <f t="shared" si="96"/>
        <v>61.645745617816495</v>
      </c>
      <c r="BA189" s="642">
        <f t="shared" si="93"/>
        <v>1.0005886521346468</v>
      </c>
      <c r="BC189" s="11">
        <v>43275</v>
      </c>
      <c r="BD189" s="290">
        <f>[2]!FeuilCaduc*(1-Persistant)+Persistant</f>
        <v>0.96017199524755636</v>
      </c>
      <c r="BE189" s="291">
        <f>[2]!CroissVégét</f>
        <v>0.63970570469545396</v>
      </c>
      <c r="BF189" s="814">
        <f>1+[2]!Salcycl*Ksac</f>
        <v>1.0450214994059446</v>
      </c>
      <c r="BH189" s="1050">
        <f t="shared" si="94"/>
        <v>2.3701339833822711E-2</v>
      </c>
      <c r="BI189" s="11">
        <v>44371</v>
      </c>
      <c r="BJ189" s="724">
        <v>1.4352439740240213E-6</v>
      </c>
      <c r="BK189" s="724">
        <v>1.4352439740240211E-6</v>
      </c>
      <c r="BL189" s="724">
        <v>1.4352439740240211E-6</v>
      </c>
      <c r="BM189" s="724">
        <v>8.2180999441673684E-5</v>
      </c>
      <c r="BN189" s="724">
        <v>4.7982774319527436E-3</v>
      </c>
      <c r="BO189" s="725">
        <v>2.3701339833822711E-2</v>
      </c>
      <c r="BP189" s="724">
        <v>6.2683070523184337E-2</v>
      </c>
      <c r="BQ189" s="724">
        <v>0.11794152288033226</v>
      </c>
      <c r="BR189" s="724">
        <v>0.17524551570924649</v>
      </c>
      <c r="BS189" s="724">
        <v>0.23507430530066076</v>
      </c>
      <c r="BT189" s="724">
        <v>0.29667523335270479</v>
      </c>
      <c r="BW189" s="1190">
        <f>'2018'!R\Max</f>
        <v>0</v>
      </c>
      <c r="BX189" s="1188">
        <f>'2019'!R\Max</f>
        <v>0.64414500917697726</v>
      </c>
      <c r="BY189" s="1188">
        <f>'2020'!R\Max</f>
        <v>1.0005886521346468</v>
      </c>
      <c r="BZ189" s="1188">
        <f>'2021'!R\Max</f>
        <v>0.68617039766448473</v>
      </c>
      <c r="CA189" s="1188">
        <f>'2022'!R\Max</f>
        <v>0.68943414427656791</v>
      </c>
      <c r="CB189" s="1188">
        <f>'2023'!R\Max</f>
        <v>0.68862987096335493</v>
      </c>
      <c r="CC189" s="1188">
        <f>'2024'!R\Max</f>
        <v>0.68749520117264717</v>
      </c>
      <c r="CD189" s="1188">
        <f>'2025'!R\Max</f>
        <v>0.68633331786864793</v>
      </c>
      <c r="CE189" s="1188">
        <f>'2026'!R\Max</f>
        <v>0.68513678948035595</v>
      </c>
      <c r="CF189" s="1189">
        <f>'2027'!R\Max</f>
        <v>0.6839011755323281</v>
      </c>
    </row>
    <row r="190" spans="1:84" s="6" customFormat="1" ht="11.25" x14ac:dyDescent="0.2">
      <c r="A190" s="11">
        <v>43276</v>
      </c>
      <c r="B190" s="380">
        <f>'2023'!Maxi_hp</f>
        <v>58.487024218685626</v>
      </c>
      <c r="C190" s="13">
        <f>'2023'!An_max</f>
        <v>2021</v>
      </c>
      <c r="D190" s="1059" t="str">
        <f t="shared" si="78"/>
        <v/>
      </c>
      <c r="E190" s="1054">
        <f>Z$13/10</f>
        <v>61.569600000000001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51">
        <f t="shared" si="81"/>
        <v>1</v>
      </c>
      <c r="J190" s="744">
        <f t="shared" si="82"/>
        <v>61.569600000232455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2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51">
        <f t="shared" si="86"/>
        <v>1</v>
      </c>
      <c r="AT190" s="767">
        <f t="shared" si="87"/>
        <v>61.569600000232455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51">
        <f t="shared" si="91"/>
        <v>0.5</v>
      </c>
      <c r="AY190" s="767">
        <f t="shared" si="92"/>
        <v>61.569600000418724</v>
      </c>
      <c r="AZ190" s="744">
        <f t="shared" si="96"/>
        <v>61.569600000325593</v>
      </c>
      <c r="BA190" s="642">
        <f t="shared" si="93"/>
        <v>0.94993347721058463</v>
      </c>
      <c r="BC190" s="11">
        <v>43276</v>
      </c>
      <c r="BD190" s="290">
        <f>[2]!FeuilCaduc*(1-Persistant)+Persistant</f>
        <v>0.96313424118963542</v>
      </c>
      <c r="BE190" s="291">
        <f>[2]!CroissVégét</f>
        <v>0.64913499947740572</v>
      </c>
      <c r="BF190" s="814">
        <f>1+[2]!Salcycl*Ksac</f>
        <v>1.0453917801487045</v>
      </c>
      <c r="BH190" s="1050">
        <f t="shared" si="94"/>
        <v>2.3682083140261084E-2</v>
      </c>
      <c r="BI190" s="11">
        <v>44372</v>
      </c>
      <c r="BJ190" s="724">
        <v>1.4853467677948971E-6</v>
      </c>
      <c r="BK190" s="724">
        <v>1.4853467677948969E-6</v>
      </c>
      <c r="BL190" s="724">
        <v>1.4853467677948969E-6</v>
      </c>
      <c r="BM190" s="724">
        <v>8.257660029082687E-5</v>
      </c>
      <c r="BN190" s="724">
        <v>4.803010214008121E-3</v>
      </c>
      <c r="BO190" s="725">
        <v>2.3682083140261084E-2</v>
      </c>
      <c r="BP190" s="724">
        <v>6.2622866276167435E-2</v>
      </c>
      <c r="BQ190" s="724">
        <v>0.11778380091503228</v>
      </c>
      <c r="BR190" s="724">
        <v>0.17499417229845862</v>
      </c>
      <c r="BS190" s="724">
        <v>0.23493682828206244</v>
      </c>
      <c r="BT190" s="724">
        <v>0.29689507646586749</v>
      </c>
      <c r="BW190" s="1190">
        <f>'2018'!R\Max</f>
        <v>0</v>
      </c>
      <c r="BX190" s="1188">
        <f>'2019'!R\Max</f>
        <v>0.93483797470474295</v>
      </c>
      <c r="BY190" s="1188">
        <f>'2020'!R\Max</f>
        <v>0.87993172728398572</v>
      </c>
      <c r="BZ190" s="1188">
        <f>'2021'!R\Max</f>
        <v>0.94993347721058463</v>
      </c>
      <c r="CA190" s="1188">
        <f>'2022'!R\Max</f>
        <v>0.56012684886871633</v>
      </c>
      <c r="CB190" s="1188">
        <f>'2023'!R\Max</f>
        <v>0.55919879159106189</v>
      </c>
      <c r="CC190" s="1188">
        <f>'2024'!R\Max</f>
        <v>0.5578882674637281</v>
      </c>
      <c r="CD190" s="1188">
        <f>'2025'!R\Max</f>
        <v>0.5565513917574676</v>
      </c>
      <c r="CE190" s="1188">
        <f>'2026'!R\Max</f>
        <v>0.55517694985386723</v>
      </c>
      <c r="CF190" s="1189">
        <f>'2027'!R\Max</f>
        <v>0.55375579439438138</v>
      </c>
    </row>
    <row r="191" spans="1:84" s="6" customFormat="1" ht="11.25" x14ac:dyDescent="0.2">
      <c r="A191" s="11">
        <v>43277</v>
      </c>
      <c r="B191" s="380">
        <f>'2023'!Maxi_hp</f>
        <v>59.355416952943592</v>
      </c>
      <c r="C191" s="13">
        <f>'2023'!An_max</f>
        <v>2019</v>
      </c>
      <c r="D191" s="1059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51">
        <f t="shared" si="81"/>
        <v>0.9285714285714286</v>
      </c>
      <c r="J191" s="744">
        <f t="shared" si="82"/>
        <v>61.49158571500864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2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51">
        <f t="shared" si="86"/>
        <v>0.9642857142857143</v>
      </c>
      <c r="AT191" s="767">
        <f t="shared" si="87"/>
        <v>61.491273304766843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51">
        <f t="shared" si="91"/>
        <v>0.5357142857142857</v>
      </c>
      <c r="AY191" s="767">
        <f t="shared" si="92"/>
        <v>61.48887817066695</v>
      </c>
      <c r="AZ191" s="744">
        <f t="shared" si="96"/>
        <v>61.490075737716893</v>
      </c>
      <c r="BA191" s="642">
        <f t="shared" si="93"/>
        <v>0.96526079564827905</v>
      </c>
      <c r="BC191" s="11">
        <v>43277</v>
      </c>
      <c r="BD191" s="290">
        <f>[2]!FeuilCaduc*(1-Persistant)+Persistant</f>
        <v>0.96595743665661438</v>
      </c>
      <c r="BE191" s="291">
        <f>[2]!CroissVégét</f>
        <v>0.65844922415907026</v>
      </c>
      <c r="BF191" s="814">
        <f>1+[2]!Salcycl*Ksac</f>
        <v>1.0457446795820768</v>
      </c>
      <c r="BH191" s="1050">
        <f t="shared" si="94"/>
        <v>2.365994087348261E-2</v>
      </c>
      <c r="BI191" s="11">
        <v>44373</v>
      </c>
      <c r="BJ191" s="724">
        <v>1.5557203329481296E-6</v>
      </c>
      <c r="BK191" s="724">
        <v>1.5557203329481296E-6</v>
      </c>
      <c r="BL191" s="724">
        <v>1.5557203329481296E-6</v>
      </c>
      <c r="BM191" s="724">
        <v>8.3146584517728307E-5</v>
      </c>
      <c r="BN191" s="724">
        <v>4.8106008737739524E-3</v>
      </c>
      <c r="BO191" s="725">
        <v>2.365994087348261E-2</v>
      </c>
      <c r="BP191" s="724">
        <v>6.2551331379854566E-2</v>
      </c>
      <c r="BQ191" s="724">
        <v>0.11758703572836327</v>
      </c>
      <c r="BR191" s="724">
        <v>0.1746780406159906</v>
      </c>
      <c r="BS191" s="724">
        <v>0.23479207262779356</v>
      </c>
      <c r="BT191" s="724">
        <v>0.29726259586741205</v>
      </c>
      <c r="BW191" s="1190">
        <f>'2018'!R\Max</f>
        <v>0</v>
      </c>
      <c r="BX191" s="1188">
        <f>'2019'!R\Max</f>
        <v>0.96526079564827905</v>
      </c>
      <c r="BY191" s="1188">
        <f>'2020'!R\Max</f>
        <v>0.81301110067199578</v>
      </c>
      <c r="BZ191" s="1188">
        <f>'2021'!R\Max</f>
        <v>0.94670117736308645</v>
      </c>
      <c r="CA191" s="1188">
        <f>'2022'!R\Max</f>
        <v>0.20646304210209235</v>
      </c>
      <c r="CB191" s="1188">
        <f>'2023'!R\Max</f>
        <v>0.20591718884993343</v>
      </c>
      <c r="CC191" s="1188">
        <f>'2024'!R\Max</f>
        <v>0.20514685269461541</v>
      </c>
      <c r="CD191" s="1188">
        <f>'2025'!R\Max</f>
        <v>0.20436506151317468</v>
      </c>
      <c r="CE191" s="1188">
        <f>'2026'!R\Max</f>
        <v>0.20356377078324253</v>
      </c>
      <c r="CF191" s="1189">
        <f>'2027'!R\Max</f>
        <v>0.20273458864571617</v>
      </c>
    </row>
    <row r="192" spans="1:84" s="6" customFormat="1" ht="11.25" x14ac:dyDescent="0.2">
      <c r="A192" s="11">
        <v>43278</v>
      </c>
      <c r="B192" s="380">
        <f>'2023'!Maxi_hp</f>
        <v>59.191456400170118</v>
      </c>
      <c r="C192" s="13">
        <f>'2023'!An_max</f>
        <v>2019</v>
      </c>
      <c r="D192" s="1059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51">
        <f t="shared" si="81"/>
        <v>0.8571428571428571</v>
      </c>
      <c r="J192" s="744">
        <f t="shared" si="82"/>
        <v>61.409942856537441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2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51">
        <f t="shared" si="86"/>
        <v>0.9285714285714286</v>
      </c>
      <c r="AT192" s="767">
        <f t="shared" si="87"/>
        <v>61.408739503739142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51">
        <f t="shared" si="91"/>
        <v>0.5714285714285714</v>
      </c>
      <c r="AY192" s="767">
        <f t="shared" si="92"/>
        <v>61.404611078969069</v>
      </c>
      <c r="AZ192" s="744">
        <f t="shared" si="96"/>
        <v>61.406675291354105</v>
      </c>
      <c r="BA192" s="642">
        <f t="shared" si="93"/>
        <v>0.96387414882391231</v>
      </c>
      <c r="BC192" s="11">
        <v>43278</v>
      </c>
      <c r="BD192" s="290">
        <f>[2]!FeuilCaduc*(1-Persistant)+Persistant</f>
        <v>0.96864253696018876</v>
      </c>
      <c r="BE192" s="291">
        <f>[2]!CroissVégét</f>
        <v>0.66764275499450454</v>
      </c>
      <c r="BF192" s="814">
        <f>1+[2]!Salcycl*Ksac</f>
        <v>1.0460803171200237</v>
      </c>
      <c r="BH192" s="1050">
        <f t="shared" si="94"/>
        <v>2.3632674534706008E-2</v>
      </c>
      <c r="BI192" s="11">
        <v>44374</v>
      </c>
      <c r="BJ192" s="724">
        <v>1.6332317839746557E-6</v>
      </c>
      <c r="BK192" s="724">
        <v>1.6332317839746559E-6</v>
      </c>
      <c r="BL192" s="724">
        <v>1.6332317839746559E-6</v>
      </c>
      <c r="BM192" s="724">
        <v>8.3790458971193485E-5</v>
      </c>
      <c r="BN192" s="724">
        <v>4.8215588020620367E-3</v>
      </c>
      <c r="BO192" s="725">
        <v>2.3632674534706008E-2</v>
      </c>
      <c r="BP192" s="724">
        <v>6.2462713333842033E-2</v>
      </c>
      <c r="BQ192" s="724">
        <v>0.1173327598948206</v>
      </c>
      <c r="BR192" s="724">
        <v>0.1742662336852803</v>
      </c>
      <c r="BS192" s="724">
        <v>0.23463637075524502</v>
      </c>
      <c r="BT192" s="724">
        <v>0.29784863252064797</v>
      </c>
      <c r="BW192" s="1190">
        <f>'2018'!R\Max</f>
        <v>0</v>
      </c>
      <c r="BX192" s="1188">
        <f>'2019'!R\Max</f>
        <v>0.96387414882391231</v>
      </c>
      <c r="BY192" s="1188">
        <f>'2020'!R\Max</f>
        <v>0.77364814497297896</v>
      </c>
      <c r="BZ192" s="1188">
        <f>'2021'!R\Max</f>
        <v>0.15488644916739774</v>
      </c>
      <c r="CA192" s="1188">
        <f>'2022'!R\Max</f>
        <v>0.21974153154209039</v>
      </c>
      <c r="CB192" s="1188">
        <f>'2023'!R\Max</f>
        <v>0.21915908627845126</v>
      </c>
      <c r="CC192" s="1188">
        <f>'2024'!R\Max</f>
        <v>0.2183360692136318</v>
      </c>
      <c r="CD192" s="1188">
        <f>'2025'!R\Max</f>
        <v>0.21750271235646737</v>
      </c>
      <c r="CE192" s="1188">
        <f>'2026'!R\Max</f>
        <v>0.21664871804749153</v>
      </c>
      <c r="CF192" s="1189">
        <f>'2027'!R\Max</f>
        <v>0.21576036304217033</v>
      </c>
    </row>
    <row r="193" spans="1:84" s="6" customFormat="1" ht="11.25" x14ac:dyDescent="0.2">
      <c r="A193" s="11">
        <v>43279</v>
      </c>
      <c r="B193" s="380">
        <f>'2023'!Maxi_hp</f>
        <v>61.907521444604455</v>
      </c>
      <c r="C193" s="13">
        <f>'2023'!An_max</f>
        <v>2023</v>
      </c>
      <c r="D193" s="1059">
        <f t="shared" si="78"/>
        <v>1.0095043316533834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51">
        <f t="shared" si="81"/>
        <v>0.7857142857142857</v>
      </c>
      <c r="J193" s="744">
        <f t="shared" si="82"/>
        <v>61.324671428810277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2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51">
        <f t="shared" si="86"/>
        <v>0.8928571428571429</v>
      </c>
      <c r="AT193" s="767">
        <f t="shared" si="87"/>
        <v>61.322068020594962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51">
        <f t="shared" si="91"/>
        <v>0.6071428571428571</v>
      </c>
      <c r="AY193" s="767">
        <f t="shared" si="92"/>
        <v>61.316882033526362</v>
      </c>
      <c r="AZ193" s="744">
        <f t="shared" si="96"/>
        <v>61.319475027060662</v>
      </c>
      <c r="BA193" s="642">
        <f t="shared" si="93"/>
        <v>1.0095043316533834</v>
      </c>
      <c r="BC193" s="11">
        <v>43279</v>
      </c>
      <c r="BD193" s="290">
        <f>[2]!FeuilCaduc*(1-Persistant)+Persistant</f>
        <v>0.97119086190502157</v>
      </c>
      <c r="BE193" s="291">
        <f>[2]!CroissVégét</f>
        <v>0.67671031405616355</v>
      </c>
      <c r="BF193" s="814">
        <f>1+[2]!Salcycl*Ksac</f>
        <v>1.0463988577381278</v>
      </c>
      <c r="BH193" s="1050">
        <f t="shared" si="94"/>
        <v>2.360176142469543E-2</v>
      </c>
      <c r="BI193" s="11">
        <v>44375</v>
      </c>
      <c r="BJ193" s="724">
        <v>1.7077214310021596E-6</v>
      </c>
      <c r="BK193" s="724">
        <v>1.7077214310021592E-6</v>
      </c>
      <c r="BL193" s="724">
        <v>1.7077214310021592E-6</v>
      </c>
      <c r="BM193" s="724">
        <v>8.4420876781183553E-5</v>
      </c>
      <c r="BN193" s="724">
        <v>4.8344528663374388E-3</v>
      </c>
      <c r="BO193" s="725">
        <v>2.360176142469543E-2</v>
      </c>
      <c r="BP193" s="724">
        <v>6.2362776801762852E-2</v>
      </c>
      <c r="BQ193" s="724">
        <v>0.11704073325249265</v>
      </c>
      <c r="BR193" s="724">
        <v>0.17379152002191636</v>
      </c>
      <c r="BS193" s="724">
        <v>0.23447362848239595</v>
      </c>
      <c r="BT193" s="724">
        <v>0.29857921870012261</v>
      </c>
      <c r="BW193" s="1190">
        <f>'2018'!R\Max</f>
        <v>0</v>
      </c>
      <c r="BX193" s="1188">
        <f>'2019'!R\Max</f>
        <v>0.97346493128724998</v>
      </c>
      <c r="BY193" s="1188">
        <f>'2020'!R\Max</f>
        <v>0.7094941209965403</v>
      </c>
      <c r="BZ193" s="1188">
        <f>'2021'!R\Max</f>
        <v>0.60200162102584054</v>
      </c>
      <c r="CA193" s="1188">
        <f>'2022'!R\Max</f>
        <v>1.0095043316533832</v>
      </c>
      <c r="CB193" s="1188">
        <f>'2023'!R\Max</f>
        <v>1.0095043316533834</v>
      </c>
      <c r="CC193" s="1188">
        <f>'2024'!R\Max</f>
        <v>1.0095043316533834</v>
      </c>
      <c r="CD193" s="1188">
        <f>'2025'!R\Max</f>
        <v>1.0095043316533836</v>
      </c>
      <c r="CE193" s="1188">
        <f>'2026'!R\Max</f>
        <v>1.0095043316533834</v>
      </c>
      <c r="CF193" s="1189">
        <f>'2027'!R\Max</f>
        <v>1.0095043316533834</v>
      </c>
    </row>
    <row r="194" spans="1:84" s="6" customFormat="1" ht="11.25" x14ac:dyDescent="0.2">
      <c r="A194" s="11">
        <v>43280</v>
      </c>
      <c r="B194" s="380">
        <f>'2023'!Maxi_hp</f>
        <v>58.29404049517651</v>
      </c>
      <c r="C194" s="13">
        <f>'2023'!An_max</f>
        <v>2022</v>
      </c>
      <c r="D194" s="1059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51">
        <f t="shared" si="81"/>
        <v>0.7142857142857143</v>
      </c>
      <c r="J194" s="744">
        <f t="shared" si="82"/>
        <v>61.235771428580804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2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51">
        <f t="shared" si="86"/>
        <v>0.8571428571428571</v>
      </c>
      <c r="AT194" s="767">
        <f t="shared" si="87"/>
        <v>61.231328280163666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51">
        <f t="shared" si="91"/>
        <v>0.6428571428571429</v>
      </c>
      <c r="AY194" s="767">
        <f t="shared" si="92"/>
        <v>61.225774343764144</v>
      </c>
      <c r="AZ194" s="744">
        <f t="shared" si="96"/>
        <v>61.228551311963905</v>
      </c>
      <c r="BA194" s="642">
        <f t="shared" si="93"/>
        <v>0.95196058015150131</v>
      </c>
      <c r="BC194" s="11">
        <v>43280</v>
      </c>
      <c r="BD194" s="290">
        <f>[2]!FeuilCaduc*(1-Persistant)+Persistant</f>
        <v>0.97360408117219543</v>
      </c>
      <c r="BE194" s="291">
        <f>[2]!CroissVégét</f>
        <v>0.6856469767197082</v>
      </c>
      <c r="BF194" s="814">
        <f>1+[2]!Salcycl*Ksac</f>
        <v>1.0467005101465245</v>
      </c>
      <c r="BH194" s="1050">
        <f t="shared" si="94"/>
        <v>2.3567220856370391E-2</v>
      </c>
      <c r="BI194" s="11">
        <v>44376</v>
      </c>
      <c r="BJ194" s="724">
        <v>1.7791952220879077E-6</v>
      </c>
      <c r="BK194" s="724">
        <v>1.7791952220879083E-6</v>
      </c>
      <c r="BL194" s="724">
        <v>1.7791952220879083E-6</v>
      </c>
      <c r="BM194" s="724">
        <v>8.5037911582869674E-5</v>
      </c>
      <c r="BN194" s="724">
        <v>4.8492830938752377E-3</v>
      </c>
      <c r="BO194" s="725">
        <v>2.3567220856370391E-2</v>
      </c>
      <c r="BP194" s="724">
        <v>6.2251575244863133E-2</v>
      </c>
      <c r="BQ194" s="724">
        <v>0.11671108038157502</v>
      </c>
      <c r="BR194" s="724">
        <v>0.1732540946869153</v>
      </c>
      <c r="BS194" s="724">
        <v>0.23430399459223364</v>
      </c>
      <c r="BT194" s="724">
        <v>0.29945431822573776</v>
      </c>
      <c r="BW194" s="1190">
        <f>'2018'!R\Max</f>
        <v>0</v>
      </c>
      <c r="BX194" s="1188">
        <f>'2019'!R\Max</f>
        <v>0.92675669402377903</v>
      </c>
      <c r="BY194" s="1188">
        <f>'2020'!R\Max</f>
        <v>0.81695784347909517</v>
      </c>
      <c r="BZ194" s="1188">
        <f>'2021'!R\Max</f>
        <v>0.70770671814994046</v>
      </c>
      <c r="CA194" s="1188">
        <f>'2022'!R\Max</f>
        <v>0.95196058015150131</v>
      </c>
      <c r="CB194" s="1188">
        <f>'2023'!R\Max</f>
        <v>0.95178510688214057</v>
      </c>
      <c r="CC194" s="1188">
        <f>'2024'!R\Max</f>
        <v>0.95153838949695568</v>
      </c>
      <c r="CD194" s="1188">
        <f>'2025'!R\Max</f>
        <v>0.95128658285273515</v>
      </c>
      <c r="CE194" s="1188">
        <f>'2026'!R\Max</f>
        <v>0.95102673705187724</v>
      </c>
      <c r="CF194" s="1189">
        <f>'2027'!R\Max</f>
        <v>0.95075063740143551</v>
      </c>
    </row>
    <row r="195" spans="1:84" s="6" customFormat="1" ht="11.25" x14ac:dyDescent="0.2">
      <c r="A195" s="11">
        <v>43281</v>
      </c>
      <c r="B195" s="380">
        <f>'2023'!Maxi_hp</f>
        <v>53.913631634693168</v>
      </c>
      <c r="C195" s="13">
        <f>'2023'!An_max</f>
        <v>2019</v>
      </c>
      <c r="D195" s="1059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51">
        <f t="shared" si="81"/>
        <v>0.6428571428571429</v>
      </c>
      <c r="J195" s="744">
        <f t="shared" si="82"/>
        <v>61.143242857339125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2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51">
        <f t="shared" si="86"/>
        <v>0.8214285714285714</v>
      </c>
      <c r="AT195" s="767">
        <f t="shared" si="87"/>
        <v>61.136589705265536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51">
        <f t="shared" si="91"/>
        <v>0.6785714285714286</v>
      </c>
      <c r="AY195" s="767">
        <f t="shared" si="92"/>
        <v>61.131371319373805</v>
      </c>
      <c r="AZ195" s="744">
        <f t="shared" si="96"/>
        <v>61.133980512319667</v>
      </c>
      <c r="BA195" s="642">
        <f t="shared" si="93"/>
        <v>0.88175944086717384</v>
      </c>
      <c r="BC195" s="11">
        <v>43281</v>
      </c>
      <c r="BD195" s="290">
        <f>[2]!FeuilCaduc*(1-Persistant)+Persistant</f>
        <v>0.97588419790656256</v>
      </c>
      <c r="BE195" s="291">
        <f>[2]!CroissVégét</f>
        <v>0.69444817721081942</v>
      </c>
      <c r="BF195" s="814">
        <f>1+[2]!Salcycl*Ksac</f>
        <v>1.0469855247383204</v>
      </c>
      <c r="BH195" s="1050">
        <f t="shared" si="94"/>
        <v>2.3529072034180313E-2</v>
      </c>
      <c r="BI195" s="11">
        <v>44377</v>
      </c>
      <c r="BJ195" s="724">
        <v>1.8476592316065869E-6</v>
      </c>
      <c r="BK195" s="724">
        <v>1.8476592316065873E-6</v>
      </c>
      <c r="BL195" s="724">
        <v>1.8476592316065873E-6</v>
      </c>
      <c r="BM195" s="724">
        <v>8.5641638369116915E-5</v>
      </c>
      <c r="BN195" s="724">
        <v>4.8660495812509787E-3</v>
      </c>
      <c r="BO195" s="725">
        <v>2.3529072034180313E-2</v>
      </c>
      <c r="BP195" s="724">
        <v>6.2129161765724826E-2</v>
      </c>
      <c r="BQ195" s="724">
        <v>0.11634392465874153</v>
      </c>
      <c r="BR195" s="724">
        <v>0.1726541507394502</v>
      </c>
      <c r="BS195" s="724">
        <v>0.2341276176324921</v>
      </c>
      <c r="BT195" s="724">
        <v>0.30047389947040348</v>
      </c>
      <c r="BW195" s="1190">
        <f>'2018'!R\Max</f>
        <v>0</v>
      </c>
      <c r="BX195" s="1188">
        <f>'2019'!R\Max</f>
        <v>0.88175944086717384</v>
      </c>
      <c r="BY195" s="1188">
        <f>'2020'!R\Max</f>
        <v>0.44761999082933868</v>
      </c>
      <c r="BZ195" s="1188">
        <f>'2021'!R\Max</f>
        <v>0.83425585171404792</v>
      </c>
      <c r="CA195" s="1188">
        <f>'2022'!R\Max</f>
        <v>0.24038789917533962</v>
      </c>
      <c r="CB195" s="1188">
        <f>'2023'!R\Max</f>
        <v>0.23974000866562431</v>
      </c>
      <c r="CC195" s="1188">
        <f>'2024'!R\Max</f>
        <v>0.23883975305902178</v>
      </c>
      <c r="CD195" s="1188">
        <f>'2025'!R\Max</f>
        <v>0.23792696987970458</v>
      </c>
      <c r="CE195" s="1188">
        <f>'2026'!R\Max</f>
        <v>0.2369919183543801</v>
      </c>
      <c r="CF195" s="1189">
        <f>'2027'!R\Max</f>
        <v>0.23599741963941656</v>
      </c>
    </row>
    <row r="196" spans="1:84" s="6" customFormat="1" ht="11.25" x14ac:dyDescent="0.2">
      <c r="A196" s="11">
        <v>43282</v>
      </c>
      <c r="B196" s="380">
        <f>'2023'!Maxi_hp</f>
        <v>59.241632276839347</v>
      </c>
      <c r="C196" s="13">
        <f>'2023'!An_max</f>
        <v>2020</v>
      </c>
      <c r="D196" s="1059">
        <f t="shared" si="78"/>
        <v>0.97042523132599312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51">
        <f t="shared" si="81"/>
        <v>0.5714285714285714</v>
      </c>
      <c r="J196" s="744">
        <f t="shared" si="82"/>
        <v>61.047085715085267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2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51">
        <f t="shared" si="86"/>
        <v>0.7857142857142857</v>
      </c>
      <c r="AT196" s="767">
        <f t="shared" si="87"/>
        <v>61.037921719545764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51">
        <f t="shared" si="91"/>
        <v>0.7142857142857143</v>
      </c>
      <c r="AY196" s="767">
        <f t="shared" si="92"/>
        <v>61.033756268396971</v>
      </c>
      <c r="AZ196" s="744">
        <f t="shared" si="96"/>
        <v>61.035838993971367</v>
      </c>
      <c r="BA196" s="642">
        <f t="shared" si="93"/>
        <v>0.97042523132599312</v>
      </c>
      <c r="BC196" s="11">
        <v>43282</v>
      </c>
      <c r="BD196" s="290">
        <f>[2]!FeuilCaduc*(1-Persistant)+Persistant</f>
        <v>0.97803353063491905</v>
      </c>
      <c r="BE196" s="291">
        <f>[2]!CroissVégét</f>
        <v>0.70310971225270513</v>
      </c>
      <c r="BF196" s="814">
        <f>1+[2]!Salcycl*Ksac</f>
        <v>1.0472541913293649</v>
      </c>
      <c r="BH196" s="1050">
        <f t="shared" si="94"/>
        <v>2.3487334032175147E-2</v>
      </c>
      <c r="BI196" s="11">
        <v>44378</v>
      </c>
      <c r="BJ196" s="724">
        <v>1.913119642934666E-6</v>
      </c>
      <c r="BK196" s="724">
        <v>1.9131196429346664E-6</v>
      </c>
      <c r="BL196" s="724">
        <v>1.9131196429346664E-6</v>
      </c>
      <c r="BM196" s="724">
        <v>8.623213341400033E-5</v>
      </c>
      <c r="BN196" s="724">
        <v>4.8847525057053509E-3</v>
      </c>
      <c r="BO196" s="725">
        <v>2.3487334032175147E-2</v>
      </c>
      <c r="BP196" s="724">
        <v>6.1995589040341491E-2</v>
      </c>
      <c r="BQ196" s="724">
        <v>0.11593938803218577</v>
      </c>
      <c r="BR196" s="724">
        <v>0.17199187886237244</v>
      </c>
      <c r="BS196" s="724">
        <v>0.23394464586990812</v>
      </c>
      <c r="BT196" s="724">
        <v>0.30163793620806223</v>
      </c>
      <c r="BW196" s="1190">
        <f>'2018'!R\Max</f>
        <v>0</v>
      </c>
      <c r="BX196" s="1188">
        <f>'2019'!R\Max</f>
        <v>0.32034177789032164</v>
      </c>
      <c r="BY196" s="1188">
        <f>'2020'!R\Max</f>
        <v>0.97042523132599312</v>
      </c>
      <c r="BZ196" s="1188">
        <f>'2021'!R\Max</f>
        <v>0.88436066856449147</v>
      </c>
      <c r="CA196" s="1188">
        <f>'2022'!R\Max</f>
        <v>0.91132201825363179</v>
      </c>
      <c r="CB196" s="1188">
        <f>'2023'!R\Max</f>
        <v>0.91100889044794109</v>
      </c>
      <c r="CC196" s="1188">
        <f>'2024'!R\Max</f>
        <v>0.91057392950811189</v>
      </c>
      <c r="CD196" s="1188">
        <f>'2025'!R\Max</f>
        <v>0.91012976977276328</v>
      </c>
      <c r="CE196" s="1188">
        <f>'2026'!R\Max</f>
        <v>0.90967171430027116</v>
      </c>
      <c r="CF196" s="1189">
        <f>'2027'!R\Max</f>
        <v>0.90917629026057312</v>
      </c>
    </row>
    <row r="197" spans="1:84" s="6" customFormat="1" ht="11.25" x14ac:dyDescent="0.2">
      <c r="A197" s="11">
        <v>43283</v>
      </c>
      <c r="B197" s="380">
        <f>'2023'!Maxi_hp</f>
        <v>58.511459605426658</v>
      </c>
      <c r="C197" s="13">
        <f>'2023'!An_max</f>
        <v>2022</v>
      </c>
      <c r="D197" s="1059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51">
        <f t="shared" si="81"/>
        <v>0.5</v>
      </c>
      <c r="J197" s="744">
        <f t="shared" si="82"/>
        <v>60.947300000116229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2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51">
        <f t="shared" si="86"/>
        <v>0.75</v>
      </c>
      <c r="AT197" s="767">
        <f t="shared" si="87"/>
        <v>60.935393750015649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51">
        <f t="shared" si="91"/>
        <v>0.75</v>
      </c>
      <c r="AY197" s="767">
        <f t="shared" si="92"/>
        <v>60.933012499660251</v>
      </c>
      <c r="AZ197" s="744">
        <f t="shared" si="96"/>
        <v>60.93420312483795</v>
      </c>
      <c r="BA197" s="642">
        <f t="shared" si="93"/>
        <v>0.96003366195574003</v>
      </c>
      <c r="BC197" s="11">
        <v>43283</v>
      </c>
      <c r="BD197" s="290">
        <f>[2]!FeuilCaduc*(1-Persistant)+Persistant</f>
        <v>0.98005469365460984</v>
      </c>
      <c r="BE197" s="291">
        <f>[2]!CroissVégét</f>
        <v>0.71162774286802644</v>
      </c>
      <c r="BF197" s="814">
        <f>1+[2]!Salcycl*Ksac</f>
        <v>1.0475068367068263</v>
      </c>
      <c r="BH197" s="1050">
        <f t="shared" si="94"/>
        <v>2.3442025772282059E-2</v>
      </c>
      <c r="BI197" s="11">
        <v>44379</v>
      </c>
      <c r="BJ197" s="724">
        <v>1.9755827311497824E-6</v>
      </c>
      <c r="BK197" s="724">
        <v>1.9755827311497829E-6</v>
      </c>
      <c r="BL197" s="724">
        <v>1.9755827311497829E-6</v>
      </c>
      <c r="BM197" s="724">
        <v>8.6809474197059347E-5</v>
      </c>
      <c r="BN197" s="724">
        <v>4.9053921365510835E-3</v>
      </c>
      <c r="BO197" s="725">
        <v>2.3442025772282059E-2</v>
      </c>
      <c r="BP197" s="724">
        <v>6.185090925073819E-2</v>
      </c>
      <c r="BQ197" s="724">
        <v>0.115497590797684</v>
      </c>
      <c r="BR197" s="724">
        <v>0.17126746698924886</v>
      </c>
      <c r="BS197" s="724">
        <v>0.23375522724652451</v>
      </c>
      <c r="BT197" s="724">
        <v>0.3029464084643243</v>
      </c>
      <c r="BW197" s="1190">
        <f>'2018'!R\Max</f>
        <v>0</v>
      </c>
      <c r="BX197" s="1188">
        <f>'2019'!R\Max</f>
        <v>0.55647951218056646</v>
      </c>
      <c r="BY197" s="1188">
        <f>'2020'!R\Max</f>
        <v>0.64999412555779701</v>
      </c>
      <c r="BZ197" s="1188">
        <f>'2021'!R\Max</f>
        <v>0.89171092580053557</v>
      </c>
      <c r="CA197" s="1188">
        <f>'2022'!R\Max</f>
        <v>0.96003366195574003</v>
      </c>
      <c r="CB197" s="1188">
        <f>'2023'!R\Max</f>
        <v>0.95988432224586018</v>
      </c>
      <c r="CC197" s="1188">
        <f>'2024'!R\Max</f>
        <v>0.9596780490930541</v>
      </c>
      <c r="CD197" s="1188">
        <f>'2025'!R\Max</f>
        <v>0.95946719684918469</v>
      </c>
      <c r="CE197" s="1188">
        <f>'2026'!R\Max</f>
        <v>0.95924964056986961</v>
      </c>
      <c r="CF197" s="1189">
        <f>'2027'!R\Max</f>
        <v>0.95901162908072823</v>
      </c>
    </row>
    <row r="198" spans="1:84" s="6" customFormat="1" ht="11.25" x14ac:dyDescent="0.2">
      <c r="A198" s="11">
        <v>43284</v>
      </c>
      <c r="B198" s="380">
        <f>'2023'!Maxi_hp</f>
        <v>51.855426044960964</v>
      </c>
      <c r="C198" s="13">
        <f>'2023'!An_max</f>
        <v>2019</v>
      </c>
      <c r="D198" s="1059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51">
        <f t="shared" si="81"/>
        <v>0.42857142857142855</v>
      </c>
      <c r="J198" s="744">
        <f t="shared" si="82"/>
        <v>60.843885714134991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2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51">
        <f t="shared" si="86"/>
        <v>0.7142857142857143</v>
      </c>
      <c r="AT198" s="767">
        <f t="shared" si="87"/>
        <v>60.82907521852426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51">
        <f t="shared" si="91"/>
        <v>0.7857142857142857</v>
      </c>
      <c r="AY198" s="767">
        <f t="shared" si="92"/>
        <v>60.829223324198814</v>
      </c>
      <c r="AZ198" s="744">
        <f t="shared" si="96"/>
        <v>60.829149271361537</v>
      </c>
      <c r="BA198" s="642">
        <f t="shared" si="93"/>
        <v>0.85227012437363336</v>
      </c>
      <c r="BC198" s="11">
        <v>43284</v>
      </c>
      <c r="BD198" s="290">
        <f>[2]!FeuilCaduc*(1-Persistant)+Persistant</f>
        <v>0.98195057604360725</v>
      </c>
      <c r="BE198" s="291">
        <f>[2]!CroissVégét</f>
        <v>0.71999879440261938</v>
      </c>
      <c r="BF198" s="814">
        <f>1+[2]!Salcycl*Ksac</f>
        <v>1.0477438220054509</v>
      </c>
      <c r="BH198" s="1050">
        <f t="shared" si="94"/>
        <v>2.3387594456149949E-2</v>
      </c>
      <c r="BI198" s="11">
        <v>44380</v>
      </c>
      <c r="BJ198" s="724">
        <v>2.0246799704882936E-6</v>
      </c>
      <c r="BK198" s="724">
        <v>2.024679970488294E-6</v>
      </c>
      <c r="BL198" s="724">
        <v>2.024679970488294E-6</v>
      </c>
      <c r="BM198" s="724">
        <v>8.7303721810935039E-5</v>
      </c>
      <c r="BN198" s="724">
        <v>4.9246471612577952E-3</v>
      </c>
      <c r="BO198" s="725">
        <v>2.3387594456149949E-2</v>
      </c>
      <c r="BP198" s="724">
        <v>6.168141890485962E-2</v>
      </c>
      <c r="BQ198" s="724">
        <v>0.114997924933071</v>
      </c>
      <c r="BR198" s="724">
        <v>0.17044989497547625</v>
      </c>
      <c r="BS198" s="724">
        <v>0.23355423641610606</v>
      </c>
      <c r="BT198" s="724">
        <v>0.30445235947351035</v>
      </c>
      <c r="BW198" s="1190">
        <f>'2018'!R\Max</f>
        <v>0</v>
      </c>
      <c r="BX198" s="1188">
        <f>'2019'!R\Max</f>
        <v>0.85227012437363336</v>
      </c>
      <c r="BY198" s="1188">
        <f>'2020'!R\Max</f>
        <v>0.32989581382295485</v>
      </c>
      <c r="BZ198" s="1188">
        <f>'2021'!R\Max</f>
        <v>0.60039746093465929</v>
      </c>
      <c r="CA198" s="1188">
        <f>'2022'!R\Max</f>
        <v>0.74413778330483549</v>
      </c>
      <c r="CB198" s="1188">
        <f>'2023'!R\Max</f>
        <v>0.74339461242717597</v>
      </c>
      <c r="CC198" s="1188">
        <f>'2024'!R\Max</f>
        <v>0.74237650648875808</v>
      </c>
      <c r="CD198" s="1188">
        <f>'2025'!R\Max</f>
        <v>0.7413377191848457</v>
      </c>
      <c r="CE198" s="1188">
        <f>'2026'!R\Max</f>
        <v>0.74026853997625397</v>
      </c>
      <c r="CF198" s="1189">
        <f>'2027'!R\Max</f>
        <v>0.73908714960672695</v>
      </c>
    </row>
    <row r="199" spans="1:84" s="6" customFormat="1" ht="11.25" x14ac:dyDescent="0.2">
      <c r="A199" s="11">
        <v>43285</v>
      </c>
      <c r="B199" s="380">
        <f>'2023'!Maxi_hp</f>
        <v>57.973124882145292</v>
      </c>
      <c r="C199" s="13">
        <f>'2023'!An_max</f>
        <v>2019</v>
      </c>
      <c r="D199" s="1059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51">
        <f t="shared" si="81"/>
        <v>0.35714285714285715</v>
      </c>
      <c r="J199" s="744">
        <f t="shared" si="82"/>
        <v>60.736842857301234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2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51">
        <f t="shared" si="86"/>
        <v>0.6785714285714286</v>
      </c>
      <c r="AT199" s="767">
        <f t="shared" si="87"/>
        <v>60.719035550472995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51">
        <f t="shared" si="91"/>
        <v>0.8214285714285714</v>
      </c>
      <c r="AY199" s="767">
        <f t="shared" si="92"/>
        <v>60.722472048524239</v>
      </c>
      <c r="AZ199" s="744">
        <f t="shared" si="96"/>
        <v>60.720753799498617</v>
      </c>
      <c r="BA199" s="642">
        <f t="shared" si="93"/>
        <v>0.95449684499325749</v>
      </c>
      <c r="BC199" s="11">
        <v>43285</v>
      </c>
      <c r="BD199" s="290">
        <f>[2]!FeuilCaduc*(1-Persistant)+Persistant</f>
        <v>0.98372431945317584</v>
      </c>
      <c r="BE199" s="291">
        <f>[2]!CroissVégét</f>
        <v>0.72821975485053358</v>
      </c>
      <c r="BF199" s="814">
        <f>1+[2]!Salcycl*Ksac</f>
        <v>1.047965539931647</v>
      </c>
      <c r="BH199" s="1050">
        <f t="shared" si="94"/>
        <v>2.332551805702204E-2</v>
      </c>
      <c r="BI199" s="11">
        <v>44381</v>
      </c>
      <c r="BJ199" s="724">
        <v>2.0503122341825057E-6</v>
      </c>
      <c r="BK199" s="724">
        <v>2.0503122341825057E-6</v>
      </c>
      <c r="BL199" s="724">
        <v>2.0503122341825057E-6</v>
      </c>
      <c r="BM199" s="724">
        <v>8.76280249601477E-5</v>
      </c>
      <c r="BN199" s="724">
        <v>4.9410980746466254E-3</v>
      </c>
      <c r="BO199" s="725">
        <v>2.332551805702204E-2</v>
      </c>
      <c r="BP199" s="724">
        <v>6.1492874291265071E-2</v>
      </c>
      <c r="BQ199" s="724">
        <v>0.11446008365631326</v>
      </c>
      <c r="BR199" s="724">
        <v>0.16957181621836928</v>
      </c>
      <c r="BS199" s="724">
        <v>0.23334556827466577</v>
      </c>
      <c r="BT199" s="724">
        <v>0.30608210832203042</v>
      </c>
      <c r="BW199" s="1190">
        <f>'2018'!R\Max</f>
        <v>0</v>
      </c>
      <c r="BX199" s="1188">
        <f>'2019'!R\Max</f>
        <v>0.95449684499325749</v>
      </c>
      <c r="BY199" s="1188">
        <f>'2020'!R\Max</f>
        <v>0.73520196745736144</v>
      </c>
      <c r="BZ199" s="1188">
        <f>'2021'!R\Max</f>
        <v>0.66226817373426172</v>
      </c>
      <c r="CA199" s="1188">
        <f>'2022'!R\Max</f>
        <v>0.76415771345760219</v>
      </c>
      <c r="CB199" s="1188">
        <f>'2023'!R\Max</f>
        <v>0.76345197849728064</v>
      </c>
      <c r="CC199" s="1188">
        <f>'2024'!R\Max</f>
        <v>0.76249091113753908</v>
      </c>
      <c r="CD199" s="1188">
        <f>'2025'!R\Max</f>
        <v>0.76150963875731481</v>
      </c>
      <c r="CE199" s="1188">
        <f>'2026'!R\Max</f>
        <v>0.76049952164868173</v>
      </c>
      <c r="CF199" s="1189">
        <f>'2027'!R\Max</f>
        <v>0.75936778855036968</v>
      </c>
    </row>
    <row r="200" spans="1:84" s="6" customFormat="1" ht="11.25" x14ac:dyDescent="0.2">
      <c r="A200" s="11">
        <v>43286</v>
      </c>
      <c r="B200" s="380">
        <f>'2023'!Maxi_hp</f>
        <v>60.257495392536157</v>
      </c>
      <c r="C200" s="13">
        <f>'2023'!An_max</f>
        <v>2020</v>
      </c>
      <c r="D200" s="1059">
        <f t="shared" si="78"/>
        <v>0.99391886329455659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51">
        <f t="shared" si="81"/>
        <v>0.2857142857142857</v>
      </c>
      <c r="J200" s="744">
        <f t="shared" si="82"/>
        <v>60.626171428923087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2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51">
        <f t="shared" si="86"/>
        <v>0.6428571428571429</v>
      </c>
      <c r="AT200" s="767">
        <f t="shared" si="87"/>
        <v>60.605344168762009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51">
        <f t="shared" si="91"/>
        <v>0.8571428571428571</v>
      </c>
      <c r="AY200" s="767">
        <f t="shared" si="92"/>
        <v>60.612841982713761</v>
      </c>
      <c r="AZ200" s="744">
        <f t="shared" si="96"/>
        <v>60.609093075737889</v>
      </c>
      <c r="BA200" s="642">
        <f t="shared" si="93"/>
        <v>0.99391886329455659</v>
      </c>
      <c r="BC200" s="11">
        <v>43286</v>
      </c>
      <c r="BD200" s="290">
        <f>[2]!FeuilCaduc*(1-Persistant)+Persistant</f>
        <v>0.9853792948528588</v>
      </c>
      <c r="BE200" s="291">
        <f>[2]!CroissVégét</f>
        <v>0.73628787157048126</v>
      </c>
      <c r="BF200" s="814">
        <f>1+[2]!Salcycl*Ksac</f>
        <v>1.0481724118566074</v>
      </c>
      <c r="BH200" s="1050">
        <f t="shared" si="94"/>
        <v>2.3255820634271829E-2</v>
      </c>
      <c r="BI200" s="11">
        <v>44382</v>
      </c>
      <c r="BJ200" s="724">
        <v>2.0525147797205453E-6</v>
      </c>
      <c r="BK200" s="724">
        <v>2.0525147797205457E-6</v>
      </c>
      <c r="BL200" s="724">
        <v>2.0525147797205457E-6</v>
      </c>
      <c r="BM200" s="724">
        <v>8.778268523828378E-5</v>
      </c>
      <c r="BN200" s="724">
        <v>4.9547521451559695E-3</v>
      </c>
      <c r="BO200" s="725">
        <v>2.3255820634271829E-2</v>
      </c>
      <c r="BP200" s="724">
        <v>6.1285336861823574E-2</v>
      </c>
      <c r="BQ200" s="724">
        <v>0.11388418222959512</v>
      </c>
      <c r="BR200" s="724">
        <v>0.16863340583041483</v>
      </c>
      <c r="BS200" s="724">
        <v>0.23312937159177607</v>
      </c>
      <c r="BT200" s="724">
        <v>0.30783568899289443</v>
      </c>
      <c r="BW200" s="1190">
        <f>'2018'!R\Max</f>
        <v>0</v>
      </c>
      <c r="BX200" s="1188">
        <f>'2019'!R\Max</f>
        <v>0.9230318119250257</v>
      </c>
      <c r="BY200" s="1188">
        <f>'2020'!R\Max</f>
        <v>0.99391886329455659</v>
      </c>
      <c r="BZ200" s="1188">
        <f>'2021'!R\Max</f>
        <v>0.98269051006240926</v>
      </c>
      <c r="CA200" s="1188">
        <f>'2022'!R\Max</f>
        <v>0.94613540349089353</v>
      </c>
      <c r="CB200" s="1188">
        <f>'2023'!R\Max</f>
        <v>0.94593516257653776</v>
      </c>
      <c r="CC200" s="1188">
        <f>'2024'!R\Max</f>
        <v>0.94566367858696732</v>
      </c>
      <c r="CD200" s="1188">
        <f>'2025'!R\Max</f>
        <v>0.94538581546092304</v>
      </c>
      <c r="CE200" s="1188">
        <f>'2026'!R\Max</f>
        <v>0.94509924152974589</v>
      </c>
      <c r="CF200" s="1189">
        <f>'2027'!R\Max</f>
        <v>0.94477266157651951</v>
      </c>
    </row>
    <row r="201" spans="1:84" s="6" customFormat="1" ht="11.25" x14ac:dyDescent="0.2">
      <c r="A201" s="11">
        <v>43287</v>
      </c>
      <c r="B201" s="380">
        <f>'2023'!Maxi_hp</f>
        <v>59.845160048198764</v>
      </c>
      <c r="C201" s="13">
        <f>'2023'!An_max</f>
        <v>2020</v>
      </c>
      <c r="D201" s="1059">
        <f t="shared" si="78"/>
        <v>0.98898213911968313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51">
        <f t="shared" si="81"/>
        <v>0.21428571428571427</v>
      </c>
      <c r="J201" s="744">
        <f t="shared" si="82"/>
        <v>60.511871429213457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2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51">
        <f t="shared" si="86"/>
        <v>0.6071428571428571</v>
      </c>
      <c r="AT201" s="767">
        <f t="shared" si="87"/>
        <v>60.488070499284994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51">
        <f t="shared" si="91"/>
        <v>0.8928571428571429</v>
      </c>
      <c r="AY201" s="767">
        <f t="shared" si="92"/>
        <v>60.500416436152804</v>
      </c>
      <c r="AZ201" s="744">
        <f t="shared" si="96"/>
        <v>60.494243467718903</v>
      </c>
      <c r="BA201" s="642">
        <f t="shared" si="93"/>
        <v>0.98898213911968313</v>
      </c>
      <c r="BC201" s="11">
        <v>43287</v>
      </c>
      <c r="BD201" s="290">
        <f>[2]!FeuilCaduc*(1-Persistant)+Persistant</f>
        <v>0.98691907840459148</v>
      </c>
      <c r="BE201" s="291">
        <f>[2]!CroissVégét</f>
        <v>0.74420074649273349</v>
      </c>
      <c r="BF201" s="814">
        <f>1+[2]!Salcycl*Ksac</f>
        <v>1.048364884800574</v>
      </c>
      <c r="BH201" s="1050">
        <f t="shared" si="94"/>
        <v>2.317852582673598E-2</v>
      </c>
      <c r="BI201" s="11">
        <v>44383</v>
      </c>
      <c r="BJ201" s="724">
        <v>2.0313220268279997E-6</v>
      </c>
      <c r="BK201" s="724">
        <v>2.0313220268279993E-6</v>
      </c>
      <c r="BL201" s="724">
        <v>2.0313220268279993E-6</v>
      </c>
      <c r="BM201" s="724">
        <v>8.7767998570281898E-5</v>
      </c>
      <c r="BN201" s="724">
        <v>4.9656165774672129E-3</v>
      </c>
      <c r="BO201" s="725">
        <v>2.317852582673598E-2</v>
      </c>
      <c r="BP201" s="724">
        <v>6.1058866942447602E-2</v>
      </c>
      <c r="BQ201" s="724">
        <v>0.11327033326820035</v>
      </c>
      <c r="BR201" s="724">
        <v>0.16763483465664344</v>
      </c>
      <c r="BS201" s="724">
        <v>0.23290579455821733</v>
      </c>
      <c r="BT201" s="724">
        <v>0.30971314440351372</v>
      </c>
      <c r="BW201" s="1190">
        <f>'2018'!R\Max</f>
        <v>0</v>
      </c>
      <c r="BX201" s="1188">
        <f>'2019'!R\Max</f>
        <v>0.8981791396066785</v>
      </c>
      <c r="BY201" s="1188">
        <f>'2020'!R\Max</f>
        <v>0.98898213911968313</v>
      </c>
      <c r="BZ201" s="1188">
        <f>'2021'!R\Max</f>
        <v>0.37199677748521187</v>
      </c>
      <c r="CA201" s="1188">
        <f>'2022'!R\Max</f>
        <v>0.85345558898100959</v>
      </c>
      <c r="CB201" s="1188">
        <f>'2023'!R\Max</f>
        <v>0.85296330834606904</v>
      </c>
      <c r="CC201" s="1188">
        <f>'2024'!R\Max</f>
        <v>0.85230048376800471</v>
      </c>
      <c r="CD201" s="1188">
        <f>'2025'!R\Max</f>
        <v>0.85162246377812378</v>
      </c>
      <c r="CE201" s="1188">
        <f>'2026'!R\Max</f>
        <v>0.85092400409564128</v>
      </c>
      <c r="CF201" s="1189">
        <f>'2027'!R\Max</f>
        <v>0.85011610415759509</v>
      </c>
    </row>
    <row r="202" spans="1:84" s="6" customFormat="1" ht="11.25" x14ac:dyDescent="0.2">
      <c r="A202" s="11">
        <v>43288</v>
      </c>
      <c r="B202" s="380">
        <f>'2023'!Maxi_hp</f>
        <v>56.803975288408445</v>
      </c>
      <c r="C202" s="13">
        <f>'2023'!An_max</f>
        <v>2022</v>
      </c>
      <c r="D202" s="1059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51">
        <f t="shared" si="81"/>
        <v>0.14285714285714285</v>
      </c>
      <c r="J202" s="744">
        <f t="shared" si="82"/>
        <v>60.393942856895066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2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51">
        <f t="shared" si="86"/>
        <v>0.5714285714285714</v>
      </c>
      <c r="AT202" s="767">
        <f t="shared" si="87"/>
        <v>60.367283965168255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51">
        <f t="shared" si="91"/>
        <v>0.9285714285714286</v>
      </c>
      <c r="AY202" s="767">
        <f t="shared" si="92"/>
        <v>60.385278717348612</v>
      </c>
      <c r="AZ202" s="744">
        <f t="shared" si="96"/>
        <v>60.376281341258434</v>
      </c>
      <c r="BA202" s="642">
        <f t="shared" si="93"/>
        <v>0.94055748973049935</v>
      </c>
      <c r="BC202" s="11">
        <v>43288</v>
      </c>
      <c r="BD202" s="290">
        <f>[2]!FeuilCaduc*(1-Persistant)+Persistant</f>
        <v>0.98834742664822151</v>
      </c>
      <c r="BE202" s="291">
        <f>[2]!CroissVégét</f>
        <v>0.75195632992281269</v>
      </c>
      <c r="BF202" s="814">
        <f>1+[2]!Salcycl*Ksac</f>
        <v>1.0485434283310278</v>
      </c>
      <c r="BH202" s="1050">
        <f t="shared" si="94"/>
        <v>2.3093656806765256E-2</v>
      </c>
      <c r="BI202" s="11">
        <v>44384</v>
      </c>
      <c r="BJ202" s="724">
        <v>1.986767419470533E-6</v>
      </c>
      <c r="BK202" s="724">
        <v>1.986767419470533E-6</v>
      </c>
      <c r="BL202" s="724">
        <v>1.986767419470533E-6</v>
      </c>
      <c r="BM202" s="724">
        <v>8.7584254211885856E-5</v>
      </c>
      <c r="BN202" s="724">
        <v>4.9736984959677299E-3</v>
      </c>
      <c r="BO202" s="725">
        <v>2.3093656806765256E-2</v>
      </c>
      <c r="BP202" s="724">
        <v>6.0813523618292509E-2</v>
      </c>
      <c r="BQ202" s="724">
        <v>0.11261864650982627</v>
      </c>
      <c r="BR202" s="724">
        <v>0.1665762689091648</v>
      </c>
      <c r="BS202" s="724">
        <v>0.23267498473355072</v>
      </c>
      <c r="BT202" s="724">
        <v>0.3117145271355361</v>
      </c>
      <c r="BW202" s="1190">
        <f>'2018'!R\Max</f>
        <v>0</v>
      </c>
      <c r="BX202" s="1188">
        <f>'2019'!R\Max</f>
        <v>0.90404839095853207</v>
      </c>
      <c r="BY202" s="1188">
        <f>'2020'!R\Max</f>
        <v>0.72105017604184318</v>
      </c>
      <c r="BZ202" s="1188">
        <f>'2021'!R\Max</f>
        <v>0.66975394401859845</v>
      </c>
      <c r="CA202" s="1188">
        <f>'2022'!R\Max</f>
        <v>0.94055748973049935</v>
      </c>
      <c r="CB202" s="1188">
        <f>'2023'!R\Max</f>
        <v>0.94033699676542948</v>
      </c>
      <c r="CC202" s="1188">
        <f>'2024'!R\Max</f>
        <v>0.94004166288600621</v>
      </c>
      <c r="CD202" s="1188">
        <f>'2025'!R\Max</f>
        <v>0.93973915060561164</v>
      </c>
      <c r="CE202" s="1188">
        <f>'2026'!R\Max</f>
        <v>0.93942727269966886</v>
      </c>
      <c r="CF202" s="1189">
        <f>'2027'!R\Max</f>
        <v>0.93905988804264162</v>
      </c>
    </row>
    <row r="203" spans="1:84" s="6" customFormat="1" ht="11.25" x14ac:dyDescent="0.2">
      <c r="A203" s="11">
        <v>43289</v>
      </c>
      <c r="B203" s="380">
        <f>'2023'!Maxi_hp</f>
        <v>61.470681296854167</v>
      </c>
      <c r="C203" s="13">
        <f>'2023'!An_max</f>
        <v>2020</v>
      </c>
      <c r="D203" s="1059">
        <f t="shared" si="78"/>
        <v>1.0198813365092065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51">
        <f t="shared" si="81"/>
        <v>7.1428571428571425E-2</v>
      </c>
      <c r="J203" s="744">
        <f t="shared" si="82"/>
        <v>60.272385714256338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2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51">
        <f t="shared" si="86"/>
        <v>0.5357142857142857</v>
      </c>
      <c r="AT203" s="767">
        <f t="shared" si="87"/>
        <v>60.243053990695628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51">
        <f t="shared" si="91"/>
        <v>0.9642857142857143</v>
      </c>
      <c r="AY203" s="767">
        <f t="shared" si="92"/>
        <v>60.267512135433833</v>
      </c>
      <c r="AZ203" s="744">
        <f t="shared" si="96"/>
        <v>60.255283063064731</v>
      </c>
      <c r="BA203" s="642">
        <f t="shared" si="93"/>
        <v>1.0198813365092065</v>
      </c>
      <c r="BC203" s="11">
        <v>43289</v>
      </c>
      <c r="BD203" s="290">
        <f>[2]!FeuilCaduc*(1-Persistant)+Persistant</f>
        <v>0.98966825118451485</v>
      </c>
      <c r="BE203" s="291">
        <f>[2]!CroissVégét</f>
        <v>0.75955291305401751</v>
      </c>
      <c r="BF203" s="814">
        <f>1+[2]!Salcycl*Ksac</f>
        <v>1.0487085313980644</v>
      </c>
      <c r="BH203" s="1050">
        <f t="shared" si="94"/>
        <v>2.3001236234406409E-2</v>
      </c>
      <c r="BI203" s="11">
        <v>44385</v>
      </c>
      <c r="BJ203" s="724">
        <v>1.9188832878677895E-6</v>
      </c>
      <c r="BK203" s="724">
        <v>1.9188832878677895E-6</v>
      </c>
      <c r="BL203" s="724">
        <v>1.9188832878677895E-6</v>
      </c>
      <c r="BM203" s="724">
        <v>8.7231733749606585E-5</v>
      </c>
      <c r="BN203" s="724">
        <v>4.9790049282429473E-3</v>
      </c>
      <c r="BO203" s="725">
        <v>2.3001236234406409E-2</v>
      </c>
      <c r="BP203" s="724">
        <v>6.0549364619299516E-2</v>
      </c>
      <c r="BQ203" s="724">
        <v>0.11192922858452907</v>
      </c>
      <c r="BR203" s="724">
        <v>0.16545786980262964</v>
      </c>
      <c r="BS203" s="724">
        <v>0.23243708899502491</v>
      </c>
      <c r="BT203" s="724">
        <v>0.3138399001665379</v>
      </c>
      <c r="BW203" s="1190">
        <f>'2018'!R\Max</f>
        <v>0</v>
      </c>
      <c r="BX203" s="1188">
        <f>'2019'!R\Max</f>
        <v>0.57818803630845284</v>
      </c>
      <c r="BY203" s="1188">
        <f>'2020'!R\Max</f>
        <v>1.0198813365092065</v>
      </c>
      <c r="BZ203" s="1188">
        <f>'2021'!R\Max</f>
        <v>0.85366038772343611</v>
      </c>
      <c r="CA203" s="1188">
        <f>'2022'!R\Max</f>
        <v>0.99879763071096006</v>
      </c>
      <c r="CB203" s="1188">
        <f>'2023'!R\Max</f>
        <v>0.99879288824098422</v>
      </c>
      <c r="CC203" s="1188">
        <f>'2024'!R\Max</f>
        <v>0.99878657061524678</v>
      </c>
      <c r="CD203" s="1188">
        <f>'2025'!R\Max</f>
        <v>0.99878009288071101</v>
      </c>
      <c r="CE203" s="1188">
        <f>'2026'!R\Max</f>
        <v>0.99877341164081879</v>
      </c>
      <c r="CF203" s="1189">
        <f>'2027'!R\Max</f>
        <v>0.99876538962108541</v>
      </c>
    </row>
    <row r="204" spans="1:84" s="6" customFormat="1" ht="11.25" x14ac:dyDescent="0.2">
      <c r="A204" s="11">
        <v>43290</v>
      </c>
      <c r="B204" s="380">
        <f>'2023'!Maxi_hp</f>
        <v>60.783742606554995</v>
      </c>
      <c r="C204" s="13">
        <f>'2023'!An_max</f>
        <v>2021</v>
      </c>
      <c r="D204" s="1059">
        <f t="shared" si="78"/>
        <v>1.0105830796157738</v>
      </c>
      <c r="E204" s="1054">
        <f>AA$13/10</f>
        <v>60.147199999999998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51">
        <f t="shared" si="81"/>
        <v>0</v>
      </c>
      <c r="J204" s="744">
        <f t="shared" si="82"/>
        <v>60.147200000286105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2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51">
        <f t="shared" si="86"/>
        <v>0.5</v>
      </c>
      <c r="AT204" s="767">
        <f t="shared" si="87"/>
        <v>60.115449999831618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51">
        <f t="shared" si="91"/>
        <v>1</v>
      </c>
      <c r="AY204" s="767">
        <f t="shared" si="92"/>
        <v>60.147200000658628</v>
      </c>
      <c r="AZ204" s="744">
        <f t="shared" si="96"/>
        <v>60.131325000245127</v>
      </c>
      <c r="BA204" s="642">
        <f t="shared" si="93"/>
        <v>1.0105830796157738</v>
      </c>
      <c r="BC204" s="11">
        <v>43290</v>
      </c>
      <c r="BD204" s="290">
        <f>[2]!FeuilCaduc*(1-Persistant)+Persistant</f>
        <v>0.99088559304384516</v>
      </c>
      <c r="BE204" s="291">
        <f>[2]!CroissVégét</f>
        <v>0.76698911930492164</v>
      </c>
      <c r="BF204" s="814">
        <f>1+[2]!Salcycl*Ksac</f>
        <v>1.0488606991304807</v>
      </c>
      <c r="BH204" s="1050">
        <f t="shared" si="94"/>
        <v>2.2901286210878766E-2</v>
      </c>
      <c r="BI204" s="11">
        <v>44386</v>
      </c>
      <c r="BJ204" s="724">
        <v>1.8277007104463907E-6</v>
      </c>
      <c r="BK204" s="724">
        <v>1.8277007104463905E-6</v>
      </c>
      <c r="BL204" s="724">
        <v>1.8277007104463905E-6</v>
      </c>
      <c r="BM204" s="724">
        <v>8.6710710098008011E-5</v>
      </c>
      <c r="BN204" s="724">
        <v>4.9815427884165511E-3</v>
      </c>
      <c r="BO204" s="725">
        <v>2.2901286210878766E-2</v>
      </c>
      <c r="BP204" s="724">
        <v>6.0266446203882329E-2</v>
      </c>
      <c r="BQ204" s="724">
        <v>0.11120218278123016</v>
      </c>
      <c r="BR204" s="724">
        <v>0.16427979318460767</v>
      </c>
      <c r="BS204" s="724">
        <v>0.23219225347937886</v>
      </c>
      <c r="BT204" s="724">
        <v>0.31608933759219743</v>
      </c>
      <c r="BW204" s="1190">
        <f>'2018'!R\Max</f>
        <v>0</v>
      </c>
      <c r="BX204" s="1188">
        <f>'2019'!R\Max</f>
        <v>0.34870608592532037</v>
      </c>
      <c r="BY204" s="1188">
        <f>'2020'!R\Max</f>
        <v>0.98101634941591509</v>
      </c>
      <c r="BZ204" s="1188">
        <f>'2021'!R\Max</f>
        <v>1.0105830796157738</v>
      </c>
      <c r="CA204" s="1188">
        <f>'2022'!R\Max</f>
        <v>0.98305888485502047</v>
      </c>
      <c r="CB204" s="1188">
        <f>'2023'!R\Max</f>
        <v>0.98299308309107214</v>
      </c>
      <c r="CC204" s="1188">
        <f>'2024'!R\Max</f>
        <v>0.98290595989651175</v>
      </c>
      <c r="CD204" s="1188">
        <f>'2025'!R\Max</f>
        <v>0.98281661104369411</v>
      </c>
      <c r="CE204" s="1188">
        <f>'2026'!R\Max</f>
        <v>0.98272449140153584</v>
      </c>
      <c r="CF204" s="1189">
        <f>'2027'!R\Max</f>
        <v>0.98261172073396874</v>
      </c>
    </row>
    <row r="205" spans="1:84" s="6" customFormat="1" ht="11.25" x14ac:dyDescent="0.2">
      <c r="A205" s="11">
        <v>43291</v>
      </c>
      <c r="B205" s="380">
        <f>'2023'!Maxi_hp</f>
        <v>60.976537805718309</v>
      </c>
      <c r="C205" s="13">
        <f>'2023'!An_max</f>
        <v>2019</v>
      </c>
      <c r="D205" s="1059">
        <f t="shared" si="78"/>
        <v>1.0159765316518194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51">
        <f t="shared" si="81"/>
        <v>7.1428571428571425E-2</v>
      </c>
      <c r="J205" s="744">
        <f t="shared" si="82"/>
        <v>60.017663701916391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2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51">
        <f t="shared" si="86"/>
        <v>0.4642857142857143</v>
      </c>
      <c r="AT205" s="767">
        <f t="shared" si="87"/>
        <v>59.984541417738157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51">
        <f t="shared" si="91"/>
        <v>0.9642857142857143</v>
      </c>
      <c r="AY205" s="767">
        <f t="shared" si="92"/>
        <v>60.02427288662377</v>
      </c>
      <c r="AZ205" s="744">
        <f t="shared" si="96"/>
        <v>60.00440715218096</v>
      </c>
      <c r="BA205" s="642">
        <f t="shared" si="93"/>
        <v>1.0159765316518194</v>
      </c>
      <c r="BC205" s="11">
        <v>43291</v>
      </c>
      <c r="BD205" s="290">
        <f>[2]!FeuilCaduc*(1-Persistant)+Persistant</f>
        <v>0.9920035969291523</v>
      </c>
      <c r="BE205" s="291">
        <f>[2]!CroissVégét</f>
        <v>0.77426389460057909</v>
      </c>
      <c r="BF205" s="814">
        <f>1+[2]!Salcycl*Ksac</f>
        <v>1.049000449616144</v>
      </c>
      <c r="BH205" s="1050">
        <f t="shared" si="94"/>
        <v>2.2793828233035413E-2</v>
      </c>
      <c r="BI205" s="11">
        <v>44387</v>
      </c>
      <c r="BJ205" s="724">
        <v>1.7132493758769523E-6</v>
      </c>
      <c r="BK205" s="724">
        <v>1.7132493758769521E-6</v>
      </c>
      <c r="BL205" s="724">
        <v>1.7132493758769521E-6</v>
      </c>
      <c r="BM205" s="724">
        <v>8.6021446500724396E-5</v>
      </c>
      <c r="BN205" s="724">
        <v>4.9813188607028399E-3</v>
      </c>
      <c r="BO205" s="725">
        <v>2.2793828233035413E-2</v>
      </c>
      <c r="BP205" s="724">
        <v>5.9964823045205888E-2</v>
      </c>
      <c r="BQ205" s="724">
        <v>0.11043760881902231</v>
      </c>
      <c r="BR205" s="724">
        <v>0.16304218917306382</v>
      </c>
      <c r="BS205" s="724">
        <v>0.23194062353457048</v>
      </c>
      <c r="BT205" s="724">
        <v>0.31846292536178195</v>
      </c>
      <c r="BW205" s="1190">
        <f>'2018'!R\Max</f>
        <v>0</v>
      </c>
      <c r="BX205" s="1188">
        <f>'2019'!R\Max</f>
        <v>1.0159765316518194</v>
      </c>
      <c r="BY205" s="1188">
        <f>'2020'!R\Max</f>
        <v>0.92346315139120727</v>
      </c>
      <c r="BZ205" s="1188">
        <f>'2021'!R\Max</f>
        <v>0.87816890898143518</v>
      </c>
      <c r="CA205" s="1188">
        <f>'2022'!R\Max</f>
        <v>0.97395612349224636</v>
      </c>
      <c r="CB205" s="1188">
        <f>'2023'!R\Max</f>
        <v>0.97385589729265321</v>
      </c>
      <c r="CC205" s="1188">
        <f>'2024'!R\Max</f>
        <v>0.97372399228957973</v>
      </c>
      <c r="CD205" s="1188">
        <f>'2025'!R\Max</f>
        <v>0.97358868458993542</v>
      </c>
      <c r="CE205" s="1188">
        <f>'2026'!R\Max</f>
        <v>0.97344922857732874</v>
      </c>
      <c r="CF205" s="1189">
        <f>'2027'!R\Max</f>
        <v>0.97327494654316671</v>
      </c>
    </row>
    <row r="206" spans="1:84" s="6" customFormat="1" ht="11.25" x14ac:dyDescent="0.2">
      <c r="A206" s="11">
        <v>43292</v>
      </c>
      <c r="B206" s="380">
        <f>'2023'!Maxi_hp</f>
        <v>60.655127137032757</v>
      </c>
      <c r="C206" s="13">
        <f>'2023'!An_max</f>
        <v>2019</v>
      </c>
      <c r="D206" s="1059">
        <f t="shared" si="78"/>
        <v>1.0128892440153339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51">
        <f t="shared" si="81"/>
        <v>0.14285714285714285</v>
      </c>
      <c r="J206" s="744">
        <f t="shared" si="82"/>
        <v>59.88327696775751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2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51">
        <f t="shared" si="86"/>
        <v>0.42857142857142855</v>
      </c>
      <c r="AT206" s="767">
        <f t="shared" si="87"/>
        <v>59.850397667927403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51">
        <f t="shared" si="91"/>
        <v>0.9285714285714286</v>
      </c>
      <c r="AY206" s="767">
        <f t="shared" si="92"/>
        <v>59.898568804721755</v>
      </c>
      <c r="AZ206" s="744">
        <f t="shared" si="96"/>
        <v>59.874483236324579</v>
      </c>
      <c r="BA206" s="642">
        <f t="shared" si="93"/>
        <v>1.0128892440153339</v>
      </c>
      <c r="BC206" s="11">
        <v>43292</v>
      </c>
      <c r="BD206" s="290">
        <f>[2]!FeuilCaduc*(1-Persistant)+Persistant</f>
        <v>0.99302648552044026</v>
      </c>
      <c r="BE206" s="291">
        <f>[2]!CroissVégét</f>
        <v>0.78137649671730769</v>
      </c>
      <c r="BF206" s="814">
        <f>1+[2]!Salcycl*Ksac</f>
        <v>1.0491283106900551</v>
      </c>
      <c r="BH206" s="1050">
        <f t="shared" si="94"/>
        <v>2.2676302374847534E-2</v>
      </c>
      <c r="BI206" s="11">
        <v>44388</v>
      </c>
      <c r="BJ206" s="724">
        <v>1.5828604610629993E-6</v>
      </c>
      <c r="BK206" s="724">
        <v>1.5828604610629997E-6</v>
      </c>
      <c r="BL206" s="724">
        <v>1.5828604610629997E-6</v>
      </c>
      <c r="BM206" s="724">
        <v>8.527617784406047E-5</v>
      </c>
      <c r="BN206" s="724">
        <v>4.9758626406548071E-3</v>
      </c>
      <c r="BO206" s="725">
        <v>2.2676302374847534E-2</v>
      </c>
      <c r="BP206" s="724">
        <v>5.9629693054202106E-2</v>
      </c>
      <c r="BQ206" s="724">
        <v>0.10961440470547511</v>
      </c>
      <c r="BR206" s="724">
        <v>0.16177242071961961</v>
      </c>
      <c r="BS206" s="724">
        <v>0.23173551220120417</v>
      </c>
      <c r="BT206" s="724">
        <v>0.32100210929542755</v>
      </c>
      <c r="BW206" s="1190">
        <f>'2018'!R\Max</f>
        <v>0</v>
      </c>
      <c r="BX206" s="1188">
        <f>'2019'!R\Max</f>
        <v>1.0128892440153339</v>
      </c>
      <c r="BY206" s="1188">
        <f>'2020'!R\Max</f>
        <v>0.79966941070598396</v>
      </c>
      <c r="BZ206" s="1188">
        <f>'2021'!R\Max</f>
        <v>0.87634178847064215</v>
      </c>
      <c r="CA206" s="1188">
        <f>'2022'!R\Max</f>
        <v>0.94960334450757611</v>
      </c>
      <c r="CB206" s="1188">
        <f>'2023'!R\Max</f>
        <v>0.94941440251051989</v>
      </c>
      <c r="CC206" s="1188">
        <f>'2024'!R\Max</f>
        <v>0.94916722152117328</v>
      </c>
      <c r="CD206" s="1188">
        <f>'2025'!R\Max</f>
        <v>0.94891352650254801</v>
      </c>
      <c r="CE206" s="1188">
        <f>'2026'!R\Max</f>
        <v>0.9486520404829849</v>
      </c>
      <c r="CF206" s="1189">
        <f>'2027'!R\Max</f>
        <v>0.94831825001233228</v>
      </c>
    </row>
    <row r="207" spans="1:84" s="6" customFormat="1" ht="11.25" x14ac:dyDescent="0.2">
      <c r="A207" s="11">
        <v>43293</v>
      </c>
      <c r="B207" s="380">
        <f>'2023'!Maxi_hp</f>
        <v>61.032000698200029</v>
      </c>
      <c r="C207" s="13">
        <f>'2023'!An_max</f>
        <v>2019</v>
      </c>
      <c r="D207" s="1059">
        <f t="shared" ref="D207:D270" si="97">IF($BA207&gt;$D$11,BA207,"")</f>
        <v>1.0215522835104482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51">
        <f t="shared" ref="I207:I270" si="100">($A207-H207)/(INDEX(x.2m,G207)-H207)</f>
        <v>0.21428571428571427</v>
      </c>
      <c r="J207" s="744">
        <f t="shared" ref="J207:J270" si="101">((1-I207)*(INDEX(a.m,F207)*$A207*$A207+INDEX(b.m,F207)*$A207+INDEX(c.m,F207))+I207*(INDEX(a.m,G207)*$A207*$A207+INDEX(b.m,G207)*$A207+INDEX(c.m,G207)))/10</f>
        <v>59.744373032450675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2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51">
        <f t="shared" ref="AS207:AS270" si="105">($A207-AR207)/(INDEX(x.2lg,AQ207)-AR207)</f>
        <v>0.39285714285714285</v>
      </c>
      <c r="AT207" s="767">
        <f t="shared" ref="AT207:AT270" si="106">((1-AS207)*(INDEX(a.lg,AP207)*$A207*$A207+INDEX(b.lg,AP207)*$A207+INDEX(c.lg,AP207))+AS207*(INDEX(a.lg,AQ207)*$A207*$A207+INDEX(b.lg,AQ207)*$A207+INDEX(c.lg,AQ207)))/10</f>
        <v>59.713088174323957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51">
        <f t="shared" ref="AX207:AX270" si="110">($A207-AW207)/(INDEX(x.2ld,AV207)-AW207)</f>
        <v>0.8928571428571429</v>
      </c>
      <c r="AY207" s="767">
        <f t="shared" ref="AY207:AY270" si="111">((1-AX207)*(INDEX(a.ld,AU207)*$A207*$A207+INDEX(b.ld,AU207)*$A207+INDEX(c.ld,AU207))+AX207*(INDEX(a.ld,AV207)*$A207*$A207+INDEX(b.ld,AV207)*$A207+INDEX(c.ld,AV207)))/10</f>
        <v>59.770032216129565</v>
      </c>
      <c r="AZ207" s="744">
        <f t="shared" si="96"/>
        <v>59.741560195226761</v>
      </c>
      <c r="BA207" s="642">
        <f t="shared" ref="BA207:BA270" si="112">+B207/J207</f>
        <v>1.0215522835104482</v>
      </c>
      <c r="BC207" s="11">
        <v>43293</v>
      </c>
      <c r="BD207" s="290">
        <f>[2]!FeuilCaduc*(1-Persistant)+Persistant</f>
        <v>0.99395853402505574</v>
      </c>
      <c r="BE207" s="291">
        <f>[2]!CroissVégét</f>
        <v>0.78832648381074411</v>
      </c>
      <c r="BF207" s="814">
        <f>1+[2]!Salcycl*Ksac</f>
        <v>1.0492448167531321</v>
      </c>
      <c r="BH207" s="1050">
        <f t="shared" ref="BH207:BH270" si="113">INDEX($BJ207:$BT207,,$BH$10)*(1-Ratini)+INDEX($BJ207:$BT207,,$BH$10+1)*Ratini</f>
        <v>2.2550973009184017E-2</v>
      </c>
      <c r="BI207" s="11">
        <v>44389</v>
      </c>
      <c r="BJ207" s="724">
        <v>1.4495633527225124E-6</v>
      </c>
      <c r="BK207" s="724">
        <v>1.4495633527225122E-6</v>
      </c>
      <c r="BL207" s="724">
        <v>1.4495633527225122E-6</v>
      </c>
      <c r="BM207" s="724">
        <v>8.4574586722824331E-5</v>
      </c>
      <c r="BN207" s="724">
        <v>4.964676371130892E-3</v>
      </c>
      <c r="BO207" s="725">
        <v>2.2550973009184017E-2</v>
      </c>
      <c r="BP207" s="724">
        <v>5.9266891665522271E-2</v>
      </c>
      <c r="BQ207" s="724">
        <v>0.10875115431666575</v>
      </c>
      <c r="BR207" s="724">
        <v>0.16050146215569341</v>
      </c>
      <c r="BS207" s="724">
        <v>0.23158078719259992</v>
      </c>
      <c r="BT207" s="724">
        <v>0.32363655571319727</v>
      </c>
      <c r="BW207" s="1190">
        <f>'2018'!R\Max</f>
        <v>0</v>
      </c>
      <c r="BX207" s="1188">
        <f>'2019'!R\Max</f>
        <v>1.0215522835104482</v>
      </c>
      <c r="BY207" s="1188">
        <f>'2020'!R\Max</f>
        <v>0.9068384586408057</v>
      </c>
      <c r="BZ207" s="1188">
        <f>'2021'!R\Max</f>
        <v>0.24174998989166885</v>
      </c>
      <c r="CA207" s="1188">
        <f>'2022'!R\Max</f>
        <v>0.94569684428208434</v>
      </c>
      <c r="CB207" s="1188">
        <f>'2023'!R\Max</f>
        <v>0.9454943796065397</v>
      </c>
      <c r="CC207" s="1188">
        <f>'2024'!R\Max</f>
        <v>0.94523095160574289</v>
      </c>
      <c r="CD207" s="1188">
        <f>'2025'!R\Max</f>
        <v>0.94496024493696529</v>
      </c>
      <c r="CE207" s="1188">
        <f>'2026'!R\Max</f>
        <v>0.94468099807694605</v>
      </c>
      <c r="CF207" s="1189">
        <f>'2027'!R\Max</f>
        <v>0.94431674211535566</v>
      </c>
    </row>
    <row r="208" spans="1:84" s="6" customFormat="1" ht="11.25" x14ac:dyDescent="0.2">
      <c r="A208" s="11">
        <v>43294</v>
      </c>
      <c r="B208" s="380">
        <f>'2023'!Maxi_hp</f>
        <v>56.133262205738227</v>
      </c>
      <c r="C208" s="13">
        <f>'2023'!An_max</f>
        <v>2022</v>
      </c>
      <c r="D208" s="1059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51">
        <f t="shared" si="100"/>
        <v>0.2857142857142857</v>
      </c>
      <c r="J208" s="744">
        <f t="shared" si="101"/>
        <v>59.601285131594963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2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51">
        <f t="shared" si="105"/>
        <v>0.35714285714285715</v>
      </c>
      <c r="AT208" s="767">
        <f t="shared" si="106"/>
        <v>59.572682361491026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51">
        <f t="shared" si="110"/>
        <v>0.8571428571428571</v>
      </c>
      <c r="AY208" s="767">
        <f t="shared" si="111"/>
        <v>59.638607580321171</v>
      </c>
      <c r="AZ208" s="744">
        <f t="shared" ref="AZ208:AZ271" si="115">(AY208+AT208)/2</f>
        <v>59.605644970906098</v>
      </c>
      <c r="BA208" s="642">
        <f t="shared" si="112"/>
        <v>0.94181295053957959</v>
      </c>
      <c r="BC208" s="11">
        <v>43294</v>
      </c>
      <c r="BD208" s="290">
        <f>[2]!FeuilCaduc*(1-Persistant)+Persistant</f>
        <v>0.99480404515330823</v>
      </c>
      <c r="BE208" s="291">
        <f>[2]!CroissVégét</f>
        <v>0.79511370224543498</v>
      </c>
      <c r="BF208" s="814">
        <f>1+[2]!Salcycl*Ksac</f>
        <v>1.0493505056441634</v>
      </c>
      <c r="BH208" s="1050">
        <f t="shared" si="113"/>
        <v>2.2417859866794471E-2</v>
      </c>
      <c r="BI208" s="11">
        <v>44390</v>
      </c>
      <c r="BJ208" s="724">
        <v>1.3133584624326812E-6</v>
      </c>
      <c r="BK208" s="724">
        <v>1.313358462432681E-6</v>
      </c>
      <c r="BL208" s="724">
        <v>1.313358462432681E-6</v>
      </c>
      <c r="BM208" s="724">
        <v>8.3916649705958413E-5</v>
      </c>
      <c r="BN208" s="724">
        <v>4.9477698671605798E-3</v>
      </c>
      <c r="BO208" s="725">
        <v>2.2417859866794471E-2</v>
      </c>
      <c r="BP208" s="724">
        <v>5.887647858072545E-2</v>
      </c>
      <c r="BQ208" s="724">
        <v>0.10784794786245722</v>
      </c>
      <c r="BR208" s="724">
        <v>0.15922937499295373</v>
      </c>
      <c r="BS208" s="724">
        <v>0.23147652417851081</v>
      </c>
      <c r="BT208" s="724">
        <v>0.32636642693065715</v>
      </c>
      <c r="BW208" s="1190">
        <f>'2018'!R\Max</f>
        <v>0</v>
      </c>
      <c r="BX208" s="1188">
        <f>'2019'!R\Max</f>
        <v>0.88833618520205326</v>
      </c>
      <c r="BY208" s="1188">
        <f>'2020'!R\Max</f>
        <v>0.62674458189261406</v>
      </c>
      <c r="BZ208" s="1188">
        <f>'2021'!R\Max</f>
        <v>0.44640744420892631</v>
      </c>
      <c r="CA208" s="1188">
        <f>'2022'!R\Max</f>
        <v>0.94181295053957959</v>
      </c>
      <c r="CB208" s="1188">
        <f>'2023'!R\Max</f>
        <v>0.94159734756515168</v>
      </c>
      <c r="CC208" s="1188">
        <f>'2024'!R\Max</f>
        <v>0.9413182677544838</v>
      </c>
      <c r="CD208" s="1188">
        <f>'2025'!R\Max</f>
        <v>0.94103097055460017</v>
      </c>
      <c r="CE208" s="1188">
        <f>'2026'!R\Max</f>
        <v>0.9407342110134953</v>
      </c>
      <c r="CF208" s="1189">
        <f>'2027'!R\Max</f>
        <v>0.94033860469706732</v>
      </c>
    </row>
    <row r="209" spans="1:84" s="6" customFormat="1" ht="11.25" x14ac:dyDescent="0.2">
      <c r="A209" s="11">
        <v>43295</v>
      </c>
      <c r="B209" s="380">
        <f>'2023'!Maxi_hp</f>
        <v>60.641960912358456</v>
      </c>
      <c r="C209" s="13">
        <f>'2023'!An_max</f>
        <v>2019</v>
      </c>
      <c r="D209" s="1059">
        <f t="shared" si="97"/>
        <v>1.0199752327836298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51">
        <f t="shared" si="100"/>
        <v>0.35714285714285715</v>
      </c>
      <c r="J209" s="744">
        <f t="shared" si="101"/>
        <v>59.454346501002348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2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51">
        <f t="shared" si="105"/>
        <v>0.32142857142857145</v>
      </c>
      <c r="AT209" s="767">
        <f t="shared" si="106"/>
        <v>59.429249653951935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51">
        <f t="shared" si="110"/>
        <v>0.8214285714285714</v>
      </c>
      <c r="AY209" s="767">
        <f t="shared" si="111"/>
        <v>59.50423935834052</v>
      </c>
      <c r="AZ209" s="744">
        <f t="shared" si="115"/>
        <v>59.466744506146227</v>
      </c>
      <c r="BA209" s="642">
        <f t="shared" si="112"/>
        <v>1.0199752327836298</v>
      </c>
      <c r="BC209" s="11">
        <v>43295</v>
      </c>
      <c r="BD209" s="290">
        <f>[2]!FeuilCaduc*(1-Persistant)+Persistant</f>
        <v>0.99556732469267872</v>
      </c>
      <c r="BE209" s="291">
        <f>[2]!CroissVégét</f>
        <v>0.80173827384170082</v>
      </c>
      <c r="BF209" s="814">
        <f>1+[2]!Salcycl*Ksac</f>
        <v>1.0494459155865847</v>
      </c>
      <c r="BH209" s="1050">
        <f t="shared" si="113"/>
        <v>2.2276981859765444E-2</v>
      </c>
      <c r="BI209" s="11">
        <v>44391</v>
      </c>
      <c r="BJ209" s="724">
        <v>1.1742456850469423E-6</v>
      </c>
      <c r="BK209" s="724">
        <v>1.1742456850469425E-6</v>
      </c>
      <c r="BL209" s="724">
        <v>1.1742456850469425E-6</v>
      </c>
      <c r="BM209" s="724">
        <v>8.3302344610863374E-5</v>
      </c>
      <c r="BN209" s="724">
        <v>4.9251525348802229E-3</v>
      </c>
      <c r="BO209" s="725">
        <v>2.2276981859765444E-2</v>
      </c>
      <c r="BP209" s="724">
        <v>5.8458510789814511E-2</v>
      </c>
      <c r="BQ209" s="724">
        <v>0.10690487081674743</v>
      </c>
      <c r="BR209" s="724">
        <v>0.15795621763467096</v>
      </c>
      <c r="BS209" s="724">
        <v>0.23142280189285203</v>
      </c>
      <c r="BT209" s="724">
        <v>0.32919189810715305</v>
      </c>
      <c r="BW209" s="1190">
        <f>'2018'!R\Max</f>
        <v>0</v>
      </c>
      <c r="BX209" s="1188">
        <f>'2019'!R\Max</f>
        <v>1.0199752327836298</v>
      </c>
      <c r="BY209" s="1188">
        <f>'2020'!R\Max</f>
        <v>1.0090700206949064</v>
      </c>
      <c r="BZ209" s="1188">
        <f>'2021'!R\Max</f>
        <v>0.51037617445192207</v>
      </c>
      <c r="CA209" s="1188">
        <f>'2022'!R\Max</f>
        <v>0.9306768303534434</v>
      </c>
      <c r="CB209" s="1188">
        <f>'2023'!R\Max</f>
        <v>0.93042371250585487</v>
      </c>
      <c r="CC209" s="1188">
        <f>'2024'!R\Max</f>
        <v>0.93009768005287707</v>
      </c>
      <c r="CD209" s="1188">
        <f>'2025'!R\Max</f>
        <v>0.92976129401721774</v>
      </c>
      <c r="CE209" s="1188">
        <f>'2026'!R\Max</f>
        <v>0.92941320634470237</v>
      </c>
      <c r="CF209" s="1189">
        <f>'2027'!R\Max</f>
        <v>0.92893899853056028</v>
      </c>
    </row>
    <row r="210" spans="1:84" s="6" customFormat="1" ht="11.25" x14ac:dyDescent="0.2">
      <c r="A210" s="11">
        <v>43296</v>
      </c>
      <c r="B210" s="380">
        <f>'2023'!Maxi_hp</f>
        <v>61.822480130513313</v>
      </c>
      <c r="C210" s="13">
        <f>'2023'!An_max</f>
        <v>2019</v>
      </c>
      <c r="D210" s="1059">
        <f t="shared" si="97"/>
        <v>1.042469216361481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51">
        <f t="shared" si="100"/>
        <v>0.42857142857142855</v>
      </c>
      <c r="J210" s="744">
        <f t="shared" si="101"/>
        <v>59.303890378932863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2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51">
        <f t="shared" si="105"/>
        <v>0.2857142857142857</v>
      </c>
      <c r="AT210" s="767">
        <f t="shared" si="106"/>
        <v>59.282859475591351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51">
        <f t="shared" si="110"/>
        <v>0.7857142857142857</v>
      </c>
      <c r="AY210" s="767">
        <f t="shared" si="111"/>
        <v>59.366872011604052</v>
      </c>
      <c r="AZ210" s="744">
        <f t="shared" si="115"/>
        <v>59.324865743597698</v>
      </c>
      <c r="BA210" s="642">
        <f t="shared" si="112"/>
        <v>1.042469216361481</v>
      </c>
      <c r="BC210" s="11">
        <v>43296</v>
      </c>
      <c r="BD210" s="290">
        <f>[2]!FeuilCaduc*(1-Persistant)+Persistant</f>
        <v>0.9962526578460128</v>
      </c>
      <c r="BE210" s="291">
        <f>[2]!CroissVégét</f>
        <v>0.80820058265200556</v>
      </c>
      <c r="BF210" s="814">
        <f>1+[2]!Salcycl*Ksac</f>
        <v>1.0495315822307516</v>
      </c>
      <c r="BH210" s="1050">
        <f t="shared" si="113"/>
        <v>2.2128357033971841E-2</v>
      </c>
      <c r="BI210" s="11">
        <v>44392</v>
      </c>
      <c r="BJ210" s="724">
        <v>1.0322243807960047E-6</v>
      </c>
      <c r="BK210" s="724">
        <v>1.0322243807960047E-6</v>
      </c>
      <c r="BL210" s="724">
        <v>1.0322243807960047E-6</v>
      </c>
      <c r="BM210" s="724">
        <v>8.2731650754766064E-5</v>
      </c>
      <c r="BN210" s="724">
        <v>4.8968333374491977E-3</v>
      </c>
      <c r="BO210" s="725">
        <v>2.2128357033971841E-2</v>
      </c>
      <c r="BP210" s="724">
        <v>5.8013042403796157E-2</v>
      </c>
      <c r="BQ210" s="724">
        <v>0.10592200367260991</v>
      </c>
      <c r="BR210" s="724">
        <v>0.15668204535642571</v>
      </c>
      <c r="BS210" s="724">
        <v>0.23141970242203902</v>
      </c>
      <c r="BT210" s="724">
        <v>0.33211315780981554</v>
      </c>
      <c r="BW210" s="1190">
        <f>'2018'!R\Max</f>
        <v>0</v>
      </c>
      <c r="BX210" s="1188">
        <f>'2019'!R\Max</f>
        <v>1.042469216361481</v>
      </c>
      <c r="BY210" s="1188">
        <f>'2020'!R\Max</f>
        <v>0.82045341522328363</v>
      </c>
      <c r="BZ210" s="1188">
        <f>'2021'!R\Max</f>
        <v>0.70979934020125457</v>
      </c>
      <c r="CA210" s="1188">
        <f>'2022'!R\Max</f>
        <v>0.90202559102032132</v>
      </c>
      <c r="CB210" s="1188">
        <f>'2023'!R\Max</f>
        <v>0.90168010562234446</v>
      </c>
      <c r="CC210" s="1188">
        <f>'2024'!R\Max</f>
        <v>0.90123721801653001</v>
      </c>
      <c r="CD210" s="1188">
        <f>'2025'!R\Max</f>
        <v>0.90077905172003292</v>
      </c>
      <c r="CE210" s="1188">
        <f>'2026'!R\Max</f>
        <v>0.90030394256627133</v>
      </c>
      <c r="CF210" s="1189">
        <f>'2027'!R\Max</f>
        <v>0.89964265126582577</v>
      </c>
    </row>
    <row r="211" spans="1:84" s="6" customFormat="1" ht="11.25" x14ac:dyDescent="0.2">
      <c r="A211" s="11">
        <v>43297</v>
      </c>
      <c r="B211" s="380">
        <f>'2023'!Maxi_hp</f>
        <v>59.884372222442117</v>
      </c>
      <c r="C211" s="13">
        <f>'2023'!An_max</f>
        <v>2019</v>
      </c>
      <c r="D211" s="1059">
        <f t="shared" si="97"/>
        <v>1.0124111431871605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51">
        <f t="shared" si="100"/>
        <v>0.5</v>
      </c>
      <c r="J211" s="744">
        <f t="shared" si="101"/>
        <v>59.150250000134108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2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51">
        <f t="shared" si="105"/>
        <v>0.25</v>
      </c>
      <c r="AT211" s="767">
        <f t="shared" si="106"/>
        <v>59.133581250440329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51">
        <f t="shared" si="110"/>
        <v>0.75</v>
      </c>
      <c r="AY211" s="767">
        <f t="shared" si="111"/>
        <v>59.226450000330807</v>
      </c>
      <c r="AZ211" s="744">
        <f t="shared" si="115"/>
        <v>59.180015625385565</v>
      </c>
      <c r="BA211" s="642">
        <f t="shared" si="112"/>
        <v>1.0124111431871605</v>
      </c>
      <c r="BC211" s="11">
        <v>43297</v>
      </c>
      <c r="BD211" s="290">
        <f>[2]!FeuilCaduc*(1-Persistant)+Persistant</f>
        <v>0.99686428648976422</v>
      </c>
      <c r="BE211" s="291">
        <f>[2]!CroissVégét</f>
        <v>0.81450126137468837</v>
      </c>
      <c r="BF211" s="814">
        <f>1+[2]!Salcycl*Ksac</f>
        <v>1.0496080358112205</v>
      </c>
      <c r="BH211" s="1050">
        <f t="shared" si="113"/>
        <v>2.1972002520661407E-2</v>
      </c>
      <c r="BI211" s="11">
        <v>44393</v>
      </c>
      <c r="BJ211" s="724">
        <v>8.8729335733564634E-7</v>
      </c>
      <c r="BK211" s="724">
        <v>8.8729335733564634E-7</v>
      </c>
      <c r="BL211" s="724">
        <v>8.8729335733564634E-7</v>
      </c>
      <c r="BM211" s="724">
        <v>8.2204549202839471E-5</v>
      </c>
      <c r="BN211" s="724">
        <v>4.862820760775024E-3</v>
      </c>
      <c r="BO211" s="725">
        <v>2.1972002520661407E-2</v>
      </c>
      <c r="BP211" s="724">
        <v>5.7540124484964233E-2</v>
      </c>
      <c r="BQ211" s="724">
        <v>0.10489942169326044</v>
      </c>
      <c r="BR211" s="724">
        <v>0.15540691028065509</v>
      </c>
      <c r="BS211" s="724">
        <v>0.23146731148439939</v>
      </c>
      <c r="BT211" s="724">
        <v>0.33513040856503523</v>
      </c>
      <c r="BW211" s="1190">
        <f>'2018'!R\Max</f>
        <v>0</v>
      </c>
      <c r="BX211" s="1188">
        <f>'2019'!R\Max</f>
        <v>1.0124111431871605</v>
      </c>
      <c r="BY211" s="1188">
        <f>'2020'!R\Max</f>
        <v>0.37573019402914065</v>
      </c>
      <c r="BZ211" s="1188">
        <f>'2021'!R\Max</f>
        <v>0.71189687615759734</v>
      </c>
      <c r="CA211" s="1188">
        <f>'2022'!R\Max</f>
        <v>0.93770912937184459</v>
      </c>
      <c r="CB211" s="1188">
        <f>'2023'!R\Max</f>
        <v>0.93748169782595836</v>
      </c>
      <c r="CC211" s="1188">
        <f>'2024'!R\Max</f>
        <v>0.93719128505285842</v>
      </c>
      <c r="CD211" s="1188">
        <f>'2025'!R\Max</f>
        <v>0.93688967011982971</v>
      </c>
      <c r="CE211" s="1188">
        <f>'2026'!R\Max</f>
        <v>0.93657586869459442</v>
      </c>
      <c r="CF211" s="1189">
        <f>'2027'!R\Max</f>
        <v>0.93612928167747045</v>
      </c>
    </row>
    <row r="212" spans="1:84" s="6" customFormat="1" ht="11.25" x14ac:dyDescent="0.2">
      <c r="A212" s="11">
        <v>43298</v>
      </c>
      <c r="B212" s="380">
        <f>'2023'!Maxi_hp</f>
        <v>59.284108427339568</v>
      </c>
      <c r="C212" s="13">
        <f>'2023'!An_max</f>
        <v>2021</v>
      </c>
      <c r="D212" s="1059">
        <f t="shared" si="97"/>
        <v>1.0049217041476086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51">
        <f t="shared" si="100"/>
        <v>0.5714285714285714</v>
      </c>
      <c r="J212" s="744">
        <f t="shared" si="101"/>
        <v>58.993758600950244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2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51">
        <f t="shared" si="105"/>
        <v>0.21428571428571427</v>
      </c>
      <c r="AT212" s="767">
        <f t="shared" si="106"/>
        <v>58.981484402476681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51">
        <f t="shared" si="110"/>
        <v>0.7142857142857143</v>
      </c>
      <c r="AY212" s="767">
        <f t="shared" si="111"/>
        <v>59.082917784367282</v>
      </c>
      <c r="AZ212" s="744">
        <f t="shared" si="115"/>
        <v>59.032201093421982</v>
      </c>
      <c r="BA212" s="642">
        <f t="shared" si="112"/>
        <v>1.0049217041476086</v>
      </c>
      <c r="BC212" s="11">
        <v>43298</v>
      </c>
      <c r="BD212" s="290">
        <f>[2]!FeuilCaduc*(1-Persistant)+Persistant</f>
        <v>0.99740638749766264</v>
      </c>
      <c r="BE212" s="291">
        <f>[2]!CroissVégét</f>
        <v>0.82064117750784105</v>
      </c>
      <c r="BF212" s="814">
        <f>1+[2]!Salcycl*Ksac</f>
        <v>1.0496757984372078</v>
      </c>
      <c r="BH212" s="1050">
        <f t="shared" si="113"/>
        <v>2.1805856989863561E-2</v>
      </c>
      <c r="BI212" s="11">
        <v>44394</v>
      </c>
      <c r="BJ212" s="724">
        <v>7.4540015526509974E-7</v>
      </c>
      <c r="BK212" s="724">
        <v>7.4540015526509974E-7</v>
      </c>
      <c r="BL212" s="724">
        <v>7.4540015526509974E-7</v>
      </c>
      <c r="BM212" s="724">
        <v>8.1840727374798904E-5</v>
      </c>
      <c r="BN212" s="724">
        <v>4.8232036326938035E-3</v>
      </c>
      <c r="BO212" s="725">
        <v>2.1805856989863561E-2</v>
      </c>
      <c r="BP212" s="724">
        <v>5.7030715123206087E-2</v>
      </c>
      <c r="BQ212" s="724">
        <v>0.10382234810458756</v>
      </c>
      <c r="BR212" s="724">
        <v>0.15423063899141787</v>
      </c>
      <c r="BS212" s="724">
        <v>0.23174953619844732</v>
      </c>
      <c r="BT212" s="724">
        <v>0.33847529740292981</v>
      </c>
      <c r="BW212" s="1190">
        <f>'2018'!R\Max</f>
        <v>0</v>
      </c>
      <c r="BX212" s="1188">
        <f>'2019'!R\Max</f>
        <v>0.87115735838703368</v>
      </c>
      <c r="BY212" s="1188">
        <f>'2020'!R\Max</f>
        <v>0.42882593286953585</v>
      </c>
      <c r="BZ212" s="1188">
        <f>'2021'!R\Max</f>
        <v>1.0049217041476086</v>
      </c>
      <c r="CA212" s="1188">
        <f>'2022'!R\Max</f>
        <v>0.9286888943313546</v>
      </c>
      <c r="CB212" s="1188">
        <f>'2023'!R\Max</f>
        <v>0.92843233716520324</v>
      </c>
      <c r="CC212" s="1188">
        <f>'2024'!R\Max</f>
        <v>0.92810602889174354</v>
      </c>
      <c r="CD212" s="1188">
        <f>'2025'!R\Max</f>
        <v>0.92776531664226281</v>
      </c>
      <c r="CE212" s="1188">
        <f>'2026'!R\Max</f>
        <v>0.92740923490614124</v>
      </c>
      <c r="CF212" s="1189">
        <f>'2027'!R\Max</f>
        <v>0.92689198099255632</v>
      </c>
    </row>
    <row r="213" spans="1:84" s="6" customFormat="1" ht="11.25" x14ac:dyDescent="0.2">
      <c r="A213" s="11">
        <v>43299</v>
      </c>
      <c r="B213" s="380">
        <f>'2023'!Maxi_hp</f>
        <v>54.898695193030804</v>
      </c>
      <c r="C213" s="13">
        <f>'2023'!An_max</f>
        <v>2022</v>
      </c>
      <c r="D213" s="1059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51">
        <f t="shared" si="100"/>
        <v>0.6428571428571429</v>
      </c>
      <c r="J213" s="744">
        <f t="shared" si="101"/>
        <v>58.834749416980365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2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51">
        <f t="shared" si="105"/>
        <v>0.17857142857142858</v>
      </c>
      <c r="AT213" s="767">
        <f t="shared" si="106"/>
        <v>58.826638356330136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51">
        <f t="shared" si="110"/>
        <v>0.6785714285714286</v>
      </c>
      <c r="AY213" s="767">
        <f t="shared" si="111"/>
        <v>58.936219825236392</v>
      </c>
      <c r="AZ213" s="744">
        <f t="shared" si="115"/>
        <v>58.881429090783264</v>
      </c>
      <c r="BA213" s="642">
        <f t="shared" si="112"/>
        <v>0.9330998387355488</v>
      </c>
      <c r="BC213" s="11">
        <v>43299</v>
      </c>
      <c r="BD213" s="290">
        <f>[2]!FeuilCaduc*(1-Persistant)+Persistant</f>
        <v>0.99788305226322138</v>
      </c>
      <c r="BE213" s="291">
        <f>[2]!CroissVégét</f>
        <v>0.82662141934042188</v>
      </c>
      <c r="BF213" s="814">
        <f>1+[2]!Salcycl*Ksac</f>
        <v>1.0497353815329027</v>
      </c>
      <c r="BH213" s="1050">
        <f t="shared" si="113"/>
        <v>2.1635474451743575E-2</v>
      </c>
      <c r="BI213" s="11">
        <v>44395</v>
      </c>
      <c r="BJ213" s="724">
        <v>6.1684642237354768E-7</v>
      </c>
      <c r="BK213" s="724">
        <v>6.1684642237354758E-7</v>
      </c>
      <c r="BL213" s="724">
        <v>6.1684642237354758E-7</v>
      </c>
      <c r="BM213" s="724">
        <v>8.1709628780110674E-5</v>
      </c>
      <c r="BN213" s="724">
        <v>4.7812902321346124E-3</v>
      </c>
      <c r="BO213" s="725">
        <v>2.1635474451743575E-2</v>
      </c>
      <c r="BP213" s="724">
        <v>5.6498537206599635E-2</v>
      </c>
      <c r="BQ213" s="724">
        <v>0.10271145903321997</v>
      </c>
      <c r="BR213" s="724">
        <v>0.15318418565363215</v>
      </c>
      <c r="BS213" s="724">
        <v>0.23227152323580094</v>
      </c>
      <c r="BT213" s="724">
        <v>0.34209509620457024</v>
      </c>
      <c r="BW213" s="1190">
        <f>'2018'!R\Max</f>
        <v>0</v>
      </c>
      <c r="BX213" s="1188">
        <f>'2019'!R\Max</f>
        <v>0.75631426752528086</v>
      </c>
      <c r="BY213" s="1188">
        <f>'2020'!R\Max</f>
        <v>0.46530250320462785</v>
      </c>
      <c r="BZ213" s="1188">
        <f>'2021'!R\Max</f>
        <v>0.89159855077185857</v>
      </c>
      <c r="CA213" s="1188">
        <f>'2022'!R\Max</f>
        <v>0.9330998387355488</v>
      </c>
      <c r="CB213" s="1188">
        <f>'2023'!R\Max</f>
        <v>0.93285938246978151</v>
      </c>
      <c r="CC213" s="1188">
        <f>'2024'!R\Max</f>
        <v>0.93255464170940083</v>
      </c>
      <c r="CD213" s="1188">
        <f>'2025'!R\Max</f>
        <v>0.93223405736988252</v>
      </c>
      <c r="CE213" s="1188">
        <f>'2026'!R\Max</f>
        <v>0.93189689429656364</v>
      </c>
      <c r="CF213" s="1189">
        <f>'2027'!R\Max</f>
        <v>0.93139776550030151</v>
      </c>
    </row>
    <row r="214" spans="1:84" s="6" customFormat="1" ht="11.25" x14ac:dyDescent="0.2">
      <c r="A214" s="11">
        <v>43300</v>
      </c>
      <c r="B214" s="380">
        <f>'2023'!Maxi_hp</f>
        <v>58.756624023834831</v>
      </c>
      <c r="C214" s="13">
        <f>'2023'!An_max</f>
        <v>2020</v>
      </c>
      <c r="D214" s="1059">
        <f t="shared" si="97"/>
        <v>1.001415771335787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51">
        <f t="shared" si="100"/>
        <v>0.7142857142857143</v>
      </c>
      <c r="J214" s="744">
        <f t="shared" si="101"/>
        <v>58.673555685526559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2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51">
        <f t="shared" si="105"/>
        <v>0.14285714285714285</v>
      </c>
      <c r="AT214" s="767">
        <f t="shared" si="106"/>
        <v>58.669112537056208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51">
        <f t="shared" si="110"/>
        <v>0.6428571428571429</v>
      </c>
      <c r="AY214" s="767">
        <f t="shared" si="111"/>
        <v>58.786300583157164</v>
      </c>
      <c r="AZ214" s="744">
        <f t="shared" si="115"/>
        <v>58.727706560106682</v>
      </c>
      <c r="BA214" s="642">
        <f t="shared" si="112"/>
        <v>1.001415771335787</v>
      </c>
      <c r="BC214" s="11">
        <v>43300</v>
      </c>
      <c r="BD214" s="290">
        <f>[2]!FeuilCaduc*(1-Persistant)+Persistant</f>
        <v>0.99829826754140993</v>
      </c>
      <c r="BE214" s="291">
        <f>[2]!CroissVégét</f>
        <v>0.83244328187154937</v>
      </c>
      <c r="BF214" s="814">
        <f>1+[2]!Salcycl*Ksac</f>
        <v>1.0497872834426762</v>
      </c>
      <c r="BH214" s="1050">
        <f t="shared" si="113"/>
        <v>2.1460865542286923E-2</v>
      </c>
      <c r="BI214" s="11">
        <v>44396</v>
      </c>
      <c r="BJ214" s="724">
        <v>5.0161361281402749E-7</v>
      </c>
      <c r="BK214" s="724">
        <v>5.0161361281402739E-7</v>
      </c>
      <c r="BL214" s="724">
        <v>5.0161361281402739E-7</v>
      </c>
      <c r="BM214" s="724">
        <v>8.1811061970761483E-5</v>
      </c>
      <c r="BN214" s="724">
        <v>4.737084115132237E-3</v>
      </c>
      <c r="BO214" s="725">
        <v>2.1460865542286923E-2</v>
      </c>
      <c r="BP214" s="724">
        <v>5.5943626776058068E-2</v>
      </c>
      <c r="BQ214" s="724">
        <v>0.10156680631263633</v>
      </c>
      <c r="BR214" s="724">
        <v>0.15226746968718677</v>
      </c>
      <c r="BS214" s="724">
        <v>0.23303319469540029</v>
      </c>
      <c r="BT214" s="724">
        <v>0.34598988868464059</v>
      </c>
      <c r="BW214" s="1190">
        <f>'2018'!R\Max</f>
        <v>0</v>
      </c>
      <c r="BX214" s="1188">
        <f>'2019'!R\Max</f>
        <v>0.99217298174868462</v>
      </c>
      <c r="BY214" s="1188">
        <f>'2020'!R\Max</f>
        <v>1.001415771335787</v>
      </c>
      <c r="BZ214" s="1188">
        <f>'2021'!R\Max</f>
        <v>0.97447871579338252</v>
      </c>
      <c r="CA214" s="1188">
        <f>'2022'!R\Max</f>
        <v>0.79541052183161698</v>
      </c>
      <c r="CB214" s="1188">
        <f>'2023'!R\Max</f>
        <v>0.79478801879370919</v>
      </c>
      <c r="CC214" s="1188">
        <f>'2024'!R\Max</f>
        <v>0.7940026550206607</v>
      </c>
      <c r="CD214" s="1188">
        <f>'2025'!R\Max</f>
        <v>0.79316968039620028</v>
      </c>
      <c r="CE214" s="1188">
        <f>'2026'!R\Max</f>
        <v>0.79228805050276507</v>
      </c>
      <c r="CF214" s="1189">
        <f>'2027'!R\Max</f>
        <v>0.79096299369064405</v>
      </c>
    </row>
    <row r="215" spans="1:84" s="6" customFormat="1" ht="11.25" x14ac:dyDescent="0.2">
      <c r="A215" s="11">
        <v>43301</v>
      </c>
      <c r="B215" s="380">
        <f>'2023'!Maxi_hp</f>
        <v>56.850317250869089</v>
      </c>
      <c r="C215" s="13">
        <f>'2023'!An_max</f>
        <v>2020</v>
      </c>
      <c r="D215" s="1059">
        <f t="shared" si="97"/>
        <v>0.97162572378150502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51">
        <f t="shared" si="100"/>
        <v>0.7857142857142857</v>
      </c>
      <c r="J215" s="744">
        <f t="shared" si="101"/>
        <v>58.51051064149609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2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51">
        <f t="shared" si="105"/>
        <v>0.10714285714285714</v>
      </c>
      <c r="AT215" s="767">
        <f t="shared" si="106"/>
        <v>58.508976367302239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51">
        <f t="shared" si="110"/>
        <v>0.6071428571428571</v>
      </c>
      <c r="AY215" s="767">
        <f t="shared" si="111"/>
        <v>58.63310451872114</v>
      </c>
      <c r="AZ215" s="744">
        <f t="shared" si="115"/>
        <v>58.57104044301169</v>
      </c>
      <c r="BA215" s="642">
        <f t="shared" si="112"/>
        <v>0.97162572378150502</v>
      </c>
      <c r="BC215" s="11">
        <v>43301</v>
      </c>
      <c r="BD215" s="290">
        <f>[2]!FeuilCaduc*(1-Persistant)+Persistant</f>
        <v>0.99865589771572472</v>
      </c>
      <c r="BE215" s="291">
        <f>[2]!CroissVégét</f>
        <v>0.83810825274241962</v>
      </c>
      <c r="BF215" s="814">
        <f>1+[2]!Salcycl*Ksac</f>
        <v>1.0498319872144657</v>
      </c>
      <c r="BH215" s="1050">
        <f t="shared" si="113"/>
        <v>2.1282040100137387E-2</v>
      </c>
      <c r="BI215" s="11">
        <v>44397</v>
      </c>
      <c r="BJ215" s="724">
        <v>3.9968404663208849E-7</v>
      </c>
      <c r="BK215" s="724">
        <v>3.9968404663208844E-7</v>
      </c>
      <c r="BL215" s="724">
        <v>3.9968404663208844E-7</v>
      </c>
      <c r="BM215" s="724">
        <v>8.2144855711568856E-5</v>
      </c>
      <c r="BN215" s="724">
        <v>4.6905885309881856E-3</v>
      </c>
      <c r="BO215" s="725">
        <v>2.1282040100137387E-2</v>
      </c>
      <c r="BP215" s="724">
        <v>5.5366016543974418E-2</v>
      </c>
      <c r="BQ215" s="724">
        <v>0.1003884360460056</v>
      </c>
      <c r="BR215" s="724">
        <v>0.15148041937740622</v>
      </c>
      <c r="BS215" s="724">
        <v>0.23403449503882853</v>
      </c>
      <c r="BT215" s="724">
        <v>0.35015979151481957</v>
      </c>
      <c r="BW215" s="1190">
        <f>'2018'!R\Max</f>
        <v>0</v>
      </c>
      <c r="BX215" s="1188">
        <f>'2019'!R\Max</f>
        <v>0.48773050016445457</v>
      </c>
      <c r="BY215" s="1188">
        <f>'2020'!R\Max</f>
        <v>0.97162572378150502</v>
      </c>
      <c r="BZ215" s="1188">
        <f>'2021'!R\Max</f>
        <v>0.7820538613703345</v>
      </c>
      <c r="CA215" s="1188">
        <f>'2022'!R\Max</f>
        <v>0.76948631342781182</v>
      </c>
      <c r="CB215" s="1188">
        <f>'2023'!R\Max</f>
        <v>0.76881266887829169</v>
      </c>
      <c r="CC215" s="1188">
        <f>'2024'!R\Max</f>
        <v>0.76796556067568633</v>
      </c>
      <c r="CD215" s="1188">
        <f>'2025'!R\Max</f>
        <v>0.76705672831259353</v>
      </c>
      <c r="CE215" s="1188">
        <f>'2026'!R\Max</f>
        <v>0.76608616252491446</v>
      </c>
      <c r="CF215" s="1189">
        <f>'2027'!R\Max</f>
        <v>0.76460584196325676</v>
      </c>
    </row>
    <row r="216" spans="1:84" s="6" customFormat="1" ht="11.25" x14ac:dyDescent="0.2">
      <c r="A216" s="11">
        <v>43302</v>
      </c>
      <c r="B216" s="380">
        <f>'2023'!Maxi_hp</f>
        <v>53.378703386572745</v>
      </c>
      <c r="C216" s="13">
        <f>'2023'!An_max</f>
        <v>2022</v>
      </c>
      <c r="D216" s="1059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51">
        <f t="shared" si="100"/>
        <v>0.8571428571428571</v>
      </c>
      <c r="J216" s="744">
        <f t="shared" si="101"/>
        <v>58.345947521818537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2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51">
        <f t="shared" si="105"/>
        <v>7.1428571428571425E-2</v>
      </c>
      <c r="AT216" s="767">
        <f t="shared" si="106"/>
        <v>58.346299271711281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51">
        <f t="shared" si="110"/>
        <v>0.5714285714285714</v>
      </c>
      <c r="AY216" s="767">
        <f t="shared" si="111"/>
        <v>58.47657609337142</v>
      </c>
      <c r="AZ216" s="744">
        <f t="shared" si="115"/>
        <v>58.411437682541347</v>
      </c>
      <c r="BA216" s="642">
        <f t="shared" si="112"/>
        <v>0.91486565312203927</v>
      </c>
      <c r="BC216" s="11">
        <v>43302</v>
      </c>
      <c r="BD216" s="290">
        <f>[2]!FeuilCaduc*(1-Persistant)+Persistant</f>
        <v>0.99895966858194629</v>
      </c>
      <c r="BE216" s="291">
        <f>[2]!CroissVégét</f>
        <v>0.84361799825853956</v>
      </c>
      <c r="BF216" s="814">
        <f>1+[2]!Salcycl*Ksac</f>
        <v>1.0498699585727433</v>
      </c>
      <c r="BH216" s="1050">
        <f t="shared" si="113"/>
        <v>2.1099007138837059E-2</v>
      </c>
      <c r="BI216" s="11">
        <v>44398</v>
      </c>
      <c r="BJ216" s="724">
        <v>3.1104098815020699E-7</v>
      </c>
      <c r="BK216" s="724">
        <v>3.1104098815020699E-7</v>
      </c>
      <c r="BL216" s="724">
        <v>3.1104098815020699E-7</v>
      </c>
      <c r="BM216" s="724">
        <v>8.2710860350116127E-5</v>
      </c>
      <c r="BN216" s="724">
        <v>4.6418064080663759E-3</v>
      </c>
      <c r="BO216" s="725">
        <v>2.1099007138837059E-2</v>
      </c>
      <c r="BP216" s="724">
        <v>5.4765735752067751E-2</v>
      </c>
      <c r="BQ216" s="724">
        <v>9.917638839201541E-2</v>
      </c>
      <c r="BR216" s="724">
        <v>0.15082297262540248</v>
      </c>
      <c r="BS216" s="724">
        <v>0.23527539249102183</v>
      </c>
      <c r="BT216" s="724">
        <v>0.35460495593562441</v>
      </c>
      <c r="BW216" s="1190">
        <f>'2018'!R\Max</f>
        <v>0</v>
      </c>
      <c r="BX216" s="1188">
        <f>'2019'!R\Max</f>
        <v>0.80508222446842226</v>
      </c>
      <c r="BY216" s="1188">
        <f>'2020'!R\Max</f>
        <v>0.83294893921468249</v>
      </c>
      <c r="BZ216" s="1188">
        <f>'2021'!R\Max</f>
        <v>0.81101559388195321</v>
      </c>
      <c r="CA216" s="1188">
        <f>'2022'!R\Max</f>
        <v>0.91486565312203927</v>
      </c>
      <c r="CB216" s="1188">
        <f>'2023'!R\Max</f>
        <v>0.91457200371255454</v>
      </c>
      <c r="CC216" s="1188">
        <f>'2024'!R\Max</f>
        <v>0.91420330820079043</v>
      </c>
      <c r="CD216" s="1188">
        <f>'2025'!R\Max</f>
        <v>0.91380159856962839</v>
      </c>
      <c r="CE216" s="1188">
        <f>'2026'!R\Max</f>
        <v>0.9133673915760524</v>
      </c>
      <c r="CF216" s="1189">
        <f>'2027'!R\Max</f>
        <v>0.91269502713832595</v>
      </c>
    </row>
    <row r="217" spans="1:84" s="6" customFormat="1" ht="11.25" x14ac:dyDescent="0.2">
      <c r="A217" s="11">
        <v>43303</v>
      </c>
      <c r="B217" s="380">
        <f>'2023'!Maxi_hp</f>
        <v>52.403107161067176</v>
      </c>
      <c r="C217" s="13">
        <f>'2023'!An_max</f>
        <v>2021</v>
      </c>
      <c r="D217" s="1059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51">
        <f t="shared" si="100"/>
        <v>0.9285714285714286</v>
      </c>
      <c r="J217" s="744">
        <f t="shared" si="101"/>
        <v>58.180199562838041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2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51">
        <f t="shared" si="105"/>
        <v>3.5714285714285712E-2</v>
      </c>
      <c r="AT217" s="767">
        <f t="shared" si="106"/>
        <v>58.181150674487334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51">
        <f t="shared" si="110"/>
        <v>0.5357142857142857</v>
      </c>
      <c r="AY217" s="767">
        <f t="shared" si="111"/>
        <v>58.316659766581971</v>
      </c>
      <c r="AZ217" s="744">
        <f t="shared" si="115"/>
        <v>58.248905220534652</v>
      </c>
      <c r="BA217" s="642">
        <f t="shared" si="112"/>
        <v>0.90070346191351125</v>
      </c>
      <c r="BC217" s="11">
        <v>43303</v>
      </c>
      <c r="BD217" s="290">
        <f>[2]!FeuilCaduc*(1-Persistant)+Persistant</f>
        <v>0.99921315272422606</v>
      </c>
      <c r="BE217" s="291">
        <f>[2]!CroissVégét</f>
        <v>0.84897434957309781</v>
      </c>
      <c r="BF217" s="814">
        <f>1+[2]!Salcycl*Ksac</f>
        <v>1.0499016440905282</v>
      </c>
      <c r="BH217" s="1050">
        <f t="shared" si="113"/>
        <v>2.0911774819196868E-2</v>
      </c>
      <c r="BI217" s="11">
        <v>44399</v>
      </c>
      <c r="BJ217" s="724">
        <v>2.3566872435925406E-7</v>
      </c>
      <c r="BK217" s="724">
        <v>2.3566872435925406E-7</v>
      </c>
      <c r="BL217" s="724">
        <v>2.3566872435925406E-7</v>
      </c>
      <c r="BM217" s="724">
        <v>8.3508949187148206E-5</v>
      </c>
      <c r="BN217" s="724">
        <v>4.5907403396178688E-3</v>
      </c>
      <c r="BO217" s="725">
        <v>2.0911774819196868E-2</v>
      </c>
      <c r="BP217" s="724">
        <v>5.4142810029573198E-2</v>
      </c>
      <c r="BQ217" s="724">
        <v>9.7930697351331711E-2</v>
      </c>
      <c r="BR217" s="724">
        <v>0.15029507769933717</v>
      </c>
      <c r="BS217" s="724">
        <v>0.23675588044228582</v>
      </c>
      <c r="BT217" s="724">
        <v>0.35932556937008764</v>
      </c>
      <c r="BW217" s="1190">
        <f>'2018'!R\Max</f>
        <v>0</v>
      </c>
      <c r="BX217" s="1188">
        <f>'2019'!R\Max</f>
        <v>0.85881891044958314</v>
      </c>
      <c r="BY217" s="1188">
        <f>'2020'!R\Max</f>
        <v>0.89812751929856849</v>
      </c>
      <c r="BZ217" s="1188">
        <f>'2021'!R\Max</f>
        <v>0.90070346191351125</v>
      </c>
      <c r="CA217" s="1188">
        <f>'2022'!R\Max</f>
        <v>0.69535415619949181</v>
      </c>
      <c r="CB217" s="1188">
        <f>'2023'!R\Max</f>
        <v>0.69456295842205773</v>
      </c>
      <c r="CC217" s="1188">
        <f>'2024'!R\Max</f>
        <v>0.69357388510626572</v>
      </c>
      <c r="CD217" s="1188">
        <f>'2025'!R\Max</f>
        <v>0.69248089861470119</v>
      </c>
      <c r="CE217" s="1188">
        <f>'2026'!R\Max</f>
        <v>0.6912884485007228</v>
      </c>
      <c r="CF217" s="1189">
        <f>'2027'!R\Max</f>
        <v>0.68942714700889052</v>
      </c>
    </row>
    <row r="218" spans="1:84" s="6" customFormat="1" ht="11.25" x14ac:dyDescent="0.2">
      <c r="A218" s="11">
        <v>43304</v>
      </c>
      <c r="B218" s="380">
        <f>'2023'!Maxi_hp</f>
        <v>54.77401411835254</v>
      </c>
      <c r="C218" s="13">
        <f>'2023'!An_max</f>
        <v>2019</v>
      </c>
      <c r="D218" s="1059" t="str">
        <f t="shared" si="97"/>
        <v/>
      </c>
      <c r="E218" s="1054">
        <f>AB$13/10</f>
        <v>58.013599999999997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51">
        <f t="shared" si="100"/>
        <v>1</v>
      </c>
      <c r="J218" s="744">
        <f t="shared" si="101"/>
        <v>58.013600000366566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2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51">
        <f t="shared" si="105"/>
        <v>0</v>
      </c>
      <c r="AT218" s="767">
        <f t="shared" si="106"/>
        <v>58.013599999994042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51">
        <f t="shared" si="110"/>
        <v>0.5</v>
      </c>
      <c r="AY218" s="767">
        <f t="shared" si="111"/>
        <v>58.153300000168386</v>
      </c>
      <c r="AZ218" s="744">
        <f t="shared" si="115"/>
        <v>58.083450000081214</v>
      </c>
      <c r="BA218" s="642">
        <f t="shared" si="112"/>
        <v>0.9441581649476406</v>
      </c>
      <c r="BC218" s="11">
        <v>43304</v>
      </c>
      <c r="BD218" s="290">
        <f>[2]!FeuilCaduc*(1-Persistant)+Persistant</f>
        <v>0.99941975654296478</v>
      </c>
      <c r="BE218" s="291">
        <f>[2]!CroissVégét</f>
        <v>0.854179289095362</v>
      </c>
      <c r="BF218" s="814">
        <f>1+[2]!Salcycl*Ksac</f>
        <v>1.0499274695678706</v>
      </c>
      <c r="BH218" s="1050">
        <f t="shared" si="113"/>
        <v>2.0720350422132956E-2</v>
      </c>
      <c r="BI218" s="11">
        <v>44400</v>
      </c>
      <c r="BJ218" s="724">
        <v>1.7355264331474542E-7</v>
      </c>
      <c r="BK218" s="724">
        <v>1.7355264331474542E-7</v>
      </c>
      <c r="BL218" s="724">
        <v>1.7355264331474542E-7</v>
      </c>
      <c r="BM218" s="724">
        <v>8.4539019848819702E-5</v>
      </c>
      <c r="BN218" s="724">
        <v>4.5373925697079201E-3</v>
      </c>
      <c r="BO218" s="725">
        <v>2.0720350422132956E-2</v>
      </c>
      <c r="BP218" s="724">
        <v>5.3497261252638706E-2</v>
      </c>
      <c r="BQ218" s="724">
        <v>9.6651390555239539E-2</v>
      </c>
      <c r="BR218" s="724">
        <v>0.14989669398902516</v>
      </c>
      <c r="BS218" s="724">
        <v>0.23847597885557534</v>
      </c>
      <c r="BT218" s="724">
        <v>0.36432185704542763</v>
      </c>
      <c r="BW218" s="1190">
        <f>'2018'!R\Max</f>
        <v>0</v>
      </c>
      <c r="BX218" s="1188">
        <f>'2019'!R\Max</f>
        <v>0.9441581649476406</v>
      </c>
      <c r="BY218" s="1188">
        <f>'2020'!R\Max</f>
        <v>0.9098907700309391</v>
      </c>
      <c r="BZ218" s="1188">
        <f>'2021'!R\Max</f>
        <v>0.75971276472795346</v>
      </c>
      <c r="CA218" s="1188">
        <f>'2022'!R\Max</f>
        <v>0.88163830504481233</v>
      </c>
      <c r="CB218" s="1188">
        <f>'2023'!R\Max</f>
        <v>0.88125190975162093</v>
      </c>
      <c r="CC218" s="1188">
        <f>'2024'!R\Max</f>
        <v>0.88076920498217182</v>
      </c>
      <c r="CD218" s="1188">
        <f>'2025'!R\Max</f>
        <v>0.8802247355968511</v>
      </c>
      <c r="CE218" s="1188">
        <f>'2026'!R\Max</f>
        <v>0.87962193290604429</v>
      </c>
      <c r="CF218" s="1189">
        <f>'2027'!R\Max</f>
        <v>0.8786697447052243</v>
      </c>
    </row>
    <row r="219" spans="1:84" s="6" customFormat="1" ht="11.25" x14ac:dyDescent="0.2">
      <c r="A219" s="11">
        <v>43305</v>
      </c>
      <c r="B219" s="380">
        <f>'2023'!Maxi_hp</f>
        <v>54.951989772892752</v>
      </c>
      <c r="C219" s="13">
        <f>'2023'!An_max</f>
        <v>2019</v>
      </c>
      <c r="D219" s="1059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51">
        <f t="shared" si="100"/>
        <v>0.9285714285714286</v>
      </c>
      <c r="J219" s="744">
        <f t="shared" si="101"/>
        <v>57.846611662368694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2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51">
        <f t="shared" si="105"/>
        <v>3.5714285714285712E-2</v>
      </c>
      <c r="AT219" s="767">
        <f t="shared" si="106"/>
        <v>57.844193386313108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51">
        <f t="shared" si="110"/>
        <v>0.4642857142857143</v>
      </c>
      <c r="AY219" s="767">
        <f t="shared" si="111"/>
        <v>57.986441253750989</v>
      </c>
      <c r="AZ219" s="744">
        <f t="shared" si="115"/>
        <v>57.915317320032045</v>
      </c>
      <c r="BA219" s="642">
        <f t="shared" si="112"/>
        <v>0.94996038996422327</v>
      </c>
      <c r="BC219" s="11">
        <v>43305</v>
      </c>
      <c r="BD219" s="290">
        <f>[2]!FeuilCaduc*(1-Persistant)+Persistant</f>
        <v>0.99958270897738566</v>
      </c>
      <c r="BE219" s="291">
        <f>[2]!CroissVégét</f>
        <v>0.85923493718111654</v>
      </c>
      <c r="BF219" s="814">
        <f>1+[2]!Salcycl*Ksac</f>
        <v>1.0499478386221732</v>
      </c>
      <c r="BH219" s="1050">
        <f t="shared" si="113"/>
        <v>2.0524707176785215E-2</v>
      </c>
      <c r="BI219" s="11">
        <v>44401</v>
      </c>
      <c r="BJ219" s="724">
        <v>1.2467911118613412E-7</v>
      </c>
      <c r="BK219" s="724">
        <v>1.2467911118613415E-7</v>
      </c>
      <c r="BL219" s="724">
        <v>1.2467911118613415E-7</v>
      </c>
      <c r="BM219" s="724">
        <v>8.5800857101989953E-5</v>
      </c>
      <c r="BN219" s="724">
        <v>4.4817577416890932E-3</v>
      </c>
      <c r="BO219" s="725">
        <v>2.0524707176785215E-2</v>
      </c>
      <c r="BP219" s="724">
        <v>5.2829022091742943E-2</v>
      </c>
      <c r="BQ219" s="724">
        <v>9.5338335095297558E-2</v>
      </c>
      <c r="BR219" s="724">
        <v>0.14962755113172727</v>
      </c>
      <c r="BS219" s="724">
        <v>0.24043534740258324</v>
      </c>
      <c r="BT219" s="724">
        <v>0.36959348677052484</v>
      </c>
      <c r="BW219" s="1190">
        <f>'2018'!R\Max</f>
        <v>0</v>
      </c>
      <c r="BX219" s="1188">
        <f>'2019'!R\Max</f>
        <v>0.94996038996422327</v>
      </c>
      <c r="BY219" s="1188">
        <f>'2020'!R\Max</f>
        <v>0.83110282985339057</v>
      </c>
      <c r="BZ219" s="1188">
        <f>'2021'!R\Max</f>
        <v>0.50982543264514191</v>
      </c>
      <c r="CA219" s="1188">
        <f>'2022'!R\Max</f>
        <v>0.91761039954093104</v>
      </c>
      <c r="CB219" s="1188">
        <f>'2023'!R\Max</f>
        <v>0.91733324489321022</v>
      </c>
      <c r="CC219" s="1188">
        <f>'2024'!R\Max</f>
        <v>0.91698758787866197</v>
      </c>
      <c r="CD219" s="1188">
        <f>'2025'!R\Max</f>
        <v>0.91658925730102048</v>
      </c>
      <c r="CE219" s="1188">
        <f>'2026'!R\Max</f>
        <v>0.91614207925818347</v>
      </c>
      <c r="CF219" s="1189">
        <f>'2027'!R\Max</f>
        <v>0.91543013793432826</v>
      </c>
    </row>
    <row r="220" spans="1:84" s="6" customFormat="1" ht="11.25" x14ac:dyDescent="0.2">
      <c r="A220" s="11">
        <v>43306</v>
      </c>
      <c r="B220" s="380">
        <f>'2023'!Maxi_hp</f>
        <v>56.624993980258836</v>
      </c>
      <c r="C220" s="13">
        <f>'2023'!An_max</f>
        <v>2020</v>
      </c>
      <c r="D220" s="1059">
        <f t="shared" si="97"/>
        <v>0.98172330038857003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51">
        <f t="shared" si="100"/>
        <v>0.8571428571428571</v>
      </c>
      <c r="J220" s="744">
        <f t="shared" si="101"/>
        <v>57.679179008837252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2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51">
        <f t="shared" si="105"/>
        <v>7.1428571428571425E-2</v>
      </c>
      <c r="AT220" s="767">
        <f t="shared" si="106"/>
        <v>57.673310350280779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51">
        <f t="shared" si="110"/>
        <v>0.42857142857142855</v>
      </c>
      <c r="AY220" s="767">
        <f t="shared" si="111"/>
        <v>57.816027988759537</v>
      </c>
      <c r="AZ220" s="744">
        <f t="shared" si="115"/>
        <v>57.744669169520158</v>
      </c>
      <c r="BA220" s="642">
        <f t="shared" si="112"/>
        <v>0.98172330038857003</v>
      </c>
      <c r="BC220" s="11">
        <v>43306</v>
      </c>
      <c r="BD220" s="290">
        <f>[2]!FeuilCaduc*(1-Persistant)+Persistant</f>
        <v>0.99970505194896342</v>
      </c>
      <c r="BE220" s="291">
        <f>[2]!CroissVégét</f>
        <v>0.86414353915538655</v>
      </c>
      <c r="BF220" s="814">
        <f>1+[2]!Salcycl*Ksac</f>
        <v>1.0499631314936204</v>
      </c>
      <c r="BH220" s="1050">
        <f t="shared" si="113"/>
        <v>2.0316706649992796E-2</v>
      </c>
      <c r="BI220" s="11">
        <v>44402</v>
      </c>
      <c r="BJ220" s="724">
        <v>8.9035928438088664E-8</v>
      </c>
      <c r="BK220" s="724">
        <v>8.9035928438088664E-8</v>
      </c>
      <c r="BL220" s="724">
        <v>8.9035928438088664E-8</v>
      </c>
      <c r="BM220" s="724">
        <v>8.7251830299588559E-5</v>
      </c>
      <c r="BN220" s="724">
        <v>4.4230208776986505E-3</v>
      </c>
      <c r="BO220" s="725">
        <v>2.0316706649992796E-2</v>
      </c>
      <c r="BP220" s="724">
        <v>5.2126952465710565E-2</v>
      </c>
      <c r="BQ220" s="724">
        <v>9.4036122056582405E-2</v>
      </c>
      <c r="BR220" s="724">
        <v>0.14956851821675646</v>
      </c>
      <c r="BS220" s="724">
        <v>0.24287125428075837</v>
      </c>
      <c r="BT220" s="724">
        <v>0.37560052305820096</v>
      </c>
      <c r="BW220" s="1190">
        <f>'2018'!R\Max</f>
        <v>0</v>
      </c>
      <c r="BX220" s="1188">
        <f>'2019'!R\Max</f>
        <v>0.95703863004711842</v>
      </c>
      <c r="BY220" s="1188">
        <f>'2020'!R\Max</f>
        <v>0.98172330038857003</v>
      </c>
      <c r="BZ220" s="1188">
        <f>'2021'!R\Max</f>
        <v>0.62266345285461777</v>
      </c>
      <c r="CA220" s="1188">
        <f>'2022'!R\Max</f>
        <v>0.49780324682313859</v>
      </c>
      <c r="CB220" s="1188">
        <f>'2023'!R\Max</f>
        <v>0.4968978735101362</v>
      </c>
      <c r="CC220" s="1188">
        <f>'2024'!R\Max</f>
        <v>0.4957732646524558</v>
      </c>
      <c r="CD220" s="1188">
        <f>'2025'!R\Max</f>
        <v>0.49445244646152114</v>
      </c>
      <c r="CE220" s="1188">
        <f>'2026'!R\Max</f>
        <v>0.49295604261806031</v>
      </c>
      <c r="CF220" s="1189">
        <f>'2027'!R\Max</f>
        <v>0.49057394534947085</v>
      </c>
    </row>
    <row r="221" spans="1:84" s="6" customFormat="1" ht="11.25" x14ac:dyDescent="0.2">
      <c r="A221" s="11">
        <v>43307</v>
      </c>
      <c r="B221" s="380">
        <f>'2023'!Maxi_hp</f>
        <v>58.352794111069464</v>
      </c>
      <c r="C221" s="13">
        <f>'2023'!An_max</f>
        <v>2023</v>
      </c>
      <c r="D221" s="1059">
        <f t="shared" si="97"/>
        <v>1.014639607517938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51">
        <f t="shared" si="100"/>
        <v>0.7857142857142857</v>
      </c>
      <c r="J221" s="744">
        <f t="shared" si="101"/>
        <v>57.510857725941705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2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51">
        <f t="shared" si="105"/>
        <v>0.10714285714285714</v>
      </c>
      <c r="AT221" s="767">
        <f t="shared" si="106"/>
        <v>57.500770390086942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51">
        <f t="shared" si="110"/>
        <v>0.39285714285714285</v>
      </c>
      <c r="AY221" s="767">
        <f t="shared" si="111"/>
        <v>57.642004664322101</v>
      </c>
      <c r="AZ221" s="744">
        <f t="shared" si="115"/>
        <v>57.571387527204521</v>
      </c>
      <c r="BA221" s="642">
        <f t="shared" si="112"/>
        <v>1.014639607517938</v>
      </c>
      <c r="BC221" s="11">
        <v>43307</v>
      </c>
      <c r="BD221" s="290">
        <f>[2]!FeuilCaduc*(1-Persistant)+Persistant</f>
        <v>0.99978963253507569</v>
      </c>
      <c r="BE221" s="291">
        <f>[2]!CroissVégét</f>
        <v>0.86890745271110437</v>
      </c>
      <c r="BF221" s="814">
        <f>1+[2]!Salcycl*Ksac</f>
        <v>1.0499737040668844</v>
      </c>
      <c r="BH221" s="1050">
        <f t="shared" si="113"/>
        <v>2.0098911119913767E-2</v>
      </c>
      <c r="BI221" s="11">
        <v>44403</v>
      </c>
      <c r="BJ221" s="724">
        <v>5.9344396154236784E-8</v>
      </c>
      <c r="BK221" s="724">
        <v>5.9344396154236798E-8</v>
      </c>
      <c r="BL221" s="724">
        <v>5.9344396154236798E-8</v>
      </c>
      <c r="BM221" s="724">
        <v>8.8780398927892985E-5</v>
      </c>
      <c r="BN221" s="724">
        <v>4.3636456260730677E-3</v>
      </c>
      <c r="BO221" s="725">
        <v>2.0098911119913767E-2</v>
      </c>
      <c r="BP221" s="724">
        <v>5.1405814862750789E-2</v>
      </c>
      <c r="BQ221" s="724">
        <v>9.2765757862271148E-2</v>
      </c>
      <c r="BR221" s="724">
        <v>0.14969231521055015</v>
      </c>
      <c r="BS221" s="724">
        <v>0.2457304878133911</v>
      </c>
      <c r="BT221" s="724">
        <v>0.38230145154502526</v>
      </c>
      <c r="BW221" s="1190">
        <f>'2018'!R\Max</f>
        <v>0</v>
      </c>
      <c r="BX221" s="1188">
        <f>'2019'!R\Max</f>
        <v>0.36952156251947349</v>
      </c>
      <c r="BY221" s="1188">
        <f>'2020'!R\Max</f>
        <v>0.96428816420190488</v>
      </c>
      <c r="BZ221" s="1188">
        <f>'2021'!R\Max</f>
        <v>0.58740478110316074</v>
      </c>
      <c r="CA221" s="1188">
        <f>'2022'!R\Max</f>
        <v>1.014639607517938</v>
      </c>
      <c r="CB221" s="1188">
        <f>'2023'!R\Max</f>
        <v>1.014639607517938</v>
      </c>
      <c r="CC221" s="1188">
        <f>'2024'!R\Max</f>
        <v>1.014639607517938</v>
      </c>
      <c r="CD221" s="1188">
        <f>'2025'!R\Max</f>
        <v>1.014639607517938</v>
      </c>
      <c r="CE221" s="1188">
        <f>'2026'!R\Max</f>
        <v>1.0146396075179382</v>
      </c>
      <c r="CF221" s="1189">
        <f>'2027'!R\Max</f>
        <v>1.0146396075179378</v>
      </c>
    </row>
    <row r="222" spans="1:84" s="6" customFormat="1" ht="11.25" x14ac:dyDescent="0.2">
      <c r="A222" s="11">
        <v>43308</v>
      </c>
      <c r="B222" s="380">
        <f>'2023'!Maxi_hp</f>
        <v>57.120088666927721</v>
      </c>
      <c r="C222" s="13">
        <f>'2023'!An_max</f>
        <v>2022</v>
      </c>
      <c r="D222" s="1059">
        <f t="shared" si="97"/>
        <v>0.99614387528836823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51">
        <f t="shared" si="100"/>
        <v>0.7142857142857143</v>
      </c>
      <c r="J222" s="744">
        <f t="shared" si="101"/>
        <v>57.341203498733897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2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51">
        <f t="shared" si="105"/>
        <v>0.14285714285714285</v>
      </c>
      <c r="AT222" s="767">
        <f t="shared" si="106"/>
        <v>57.326393003123144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51">
        <f t="shared" si="110"/>
        <v>0.35714285714285715</v>
      </c>
      <c r="AY222" s="767">
        <f t="shared" si="111"/>
        <v>57.464315742919482</v>
      </c>
      <c r="AZ222" s="744">
        <f t="shared" si="115"/>
        <v>57.395354373021313</v>
      </c>
      <c r="BA222" s="642">
        <f t="shared" si="112"/>
        <v>0.99614387528836823</v>
      </c>
      <c r="BC222" s="11">
        <v>43308</v>
      </c>
      <c r="BD222" s="290">
        <f>[2]!FeuilCaduc*(1-Persistant)+Persistant</f>
        <v>0.99983909686562189</v>
      </c>
      <c r="BE222" s="291">
        <f>[2]!CroissVégét</f>
        <v>0.87352913572103608</v>
      </c>
      <c r="BF222" s="814">
        <f>1+[2]!Salcycl*Ksac</f>
        <v>1.0499798871082027</v>
      </c>
      <c r="BH222" s="1050">
        <f t="shared" si="113"/>
        <v>1.9871312091586692E-2</v>
      </c>
      <c r="BI222" s="11">
        <v>44404</v>
      </c>
      <c r="BJ222" s="724">
        <v>3.5599391101379344E-8</v>
      </c>
      <c r="BK222" s="724">
        <v>3.5599391101379344E-8</v>
      </c>
      <c r="BL222" s="724">
        <v>3.5599391101379344E-8</v>
      </c>
      <c r="BM222" s="724">
        <v>9.0386549694028331E-5</v>
      </c>
      <c r="BN222" s="724">
        <v>4.3036286728453136E-3</v>
      </c>
      <c r="BO222" s="725">
        <v>1.9871312091586692E-2</v>
      </c>
      <c r="BP222" s="724">
        <v>5.0665576871218553E-2</v>
      </c>
      <c r="BQ222" s="724">
        <v>9.1527142129454564E-2</v>
      </c>
      <c r="BR222" s="724">
        <v>0.14999878436656627</v>
      </c>
      <c r="BS222" s="724">
        <v>0.24901281859590704</v>
      </c>
      <c r="BT222" s="724">
        <v>0.38969598547721779</v>
      </c>
      <c r="BW222" s="1190">
        <f>'2018'!R\Max</f>
        <v>0</v>
      </c>
      <c r="BX222" s="1188">
        <f>'2019'!R\Max</f>
        <v>0.24657352144112918</v>
      </c>
      <c r="BY222" s="1188">
        <f>'2020'!R\Max</f>
        <v>0.84243651710482426</v>
      </c>
      <c r="BZ222" s="1188">
        <f>'2021'!R\Max</f>
        <v>0.79573229489291908</v>
      </c>
      <c r="CA222" s="1188">
        <f>'2022'!R\Max</f>
        <v>0.99614387528836823</v>
      </c>
      <c r="CB222" s="1188">
        <f>'2023'!R\Max</f>
        <v>0.99613024065250788</v>
      </c>
      <c r="CC222" s="1188">
        <f>'2024'!R\Max</f>
        <v>0.9961131946210211</v>
      </c>
      <c r="CD222" s="1188">
        <f>'2025'!R\Max</f>
        <v>0.99609204292538522</v>
      </c>
      <c r="CE222" s="1188">
        <f>'2026'!R\Max</f>
        <v>0.9960672785677599</v>
      </c>
      <c r="CF222" s="1189">
        <f>'2027'!R\Max</f>
        <v>0.99602706958520226</v>
      </c>
    </row>
    <row r="223" spans="1:84" s="6" customFormat="1" ht="11.25" x14ac:dyDescent="0.2">
      <c r="A223" s="11">
        <v>43309</v>
      </c>
      <c r="B223" s="380">
        <f>'2023'!Maxi_hp</f>
        <v>54.720346355997435</v>
      </c>
      <c r="C223" s="13">
        <f>'2023'!An_max</f>
        <v>2019</v>
      </c>
      <c r="D223" s="1059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51">
        <f t="shared" si="100"/>
        <v>0.6428571428571429</v>
      </c>
      <c r="J223" s="744">
        <f t="shared" si="101"/>
        <v>57.169772012026179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2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51">
        <f t="shared" si="105"/>
        <v>0.17857142857142858</v>
      </c>
      <c r="AT223" s="767">
        <f t="shared" si="106"/>
        <v>57.149997686421763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51">
        <f t="shared" si="110"/>
        <v>0.32142857142857145</v>
      </c>
      <c r="AY223" s="767">
        <f t="shared" si="111"/>
        <v>57.282905685263017</v>
      </c>
      <c r="AZ223" s="744">
        <f t="shared" si="115"/>
        <v>57.216451685842387</v>
      </c>
      <c r="BA223" s="642">
        <f t="shared" si="112"/>
        <v>0.95715523134299918</v>
      </c>
      <c r="BC223" s="11">
        <v>43309</v>
      </c>
      <c r="BD223" s="290">
        <f>[2]!FeuilCaduc*(1-Persistant)+Persistant</f>
        <v>0.99985588571902273</v>
      </c>
      <c r="BE223" s="291">
        <f>[2]!CroissVégét</f>
        <v>0.8780111344941991</v>
      </c>
      <c r="BF223" s="814">
        <f>1+[2]!Salcycl*Ksac</f>
        <v>1.0499819857148778</v>
      </c>
      <c r="BH223" s="1050">
        <f t="shared" si="113"/>
        <v>1.9633900506490973E-2</v>
      </c>
      <c r="BI223" s="11">
        <v>44405</v>
      </c>
      <c r="BJ223" s="724">
        <v>1.7796310277670594E-8</v>
      </c>
      <c r="BK223" s="724">
        <v>1.7796310277670594E-8</v>
      </c>
      <c r="BL223" s="724">
        <v>1.7796310277670594E-8</v>
      </c>
      <c r="BM223" s="724">
        <v>9.2070273660255458E-5</v>
      </c>
      <c r="BN223" s="724">
        <v>4.2429667174107644E-3</v>
      </c>
      <c r="BO223" s="725">
        <v>1.9633900506490973E-2</v>
      </c>
      <c r="BP223" s="724">
        <v>4.9906205322737318E-2</v>
      </c>
      <c r="BQ223" s="724">
        <v>9.0320178467252751E-2</v>
      </c>
      <c r="BR223" s="724">
        <v>0.15048778246676911</v>
      </c>
      <c r="BS223" s="724">
        <v>0.25271804790905533</v>
      </c>
      <c r="BT223" s="724">
        <v>0.39778388600395781</v>
      </c>
      <c r="BW223" s="1190">
        <f>'2018'!R\Max</f>
        <v>0</v>
      </c>
      <c r="BX223" s="1188">
        <f>'2019'!R\Max</f>
        <v>0.95715523134299918</v>
      </c>
      <c r="BY223" s="1188">
        <f>'2020'!R\Max</f>
        <v>0.92392205217805534</v>
      </c>
      <c r="BZ223" s="1188">
        <f>'2021'!R\Max</f>
        <v>0.44731151176461165</v>
      </c>
      <c r="CA223" s="1188">
        <f>'2022'!R\Max</f>
        <v>0.84413326589378423</v>
      </c>
      <c r="CB223" s="1188">
        <f>'2023'!R\Max</f>
        <v>0.8436716753783442</v>
      </c>
      <c r="CC223" s="1188">
        <f>'2024'!R\Max</f>
        <v>0.84309351800665433</v>
      </c>
      <c r="CD223" s="1188">
        <f>'2025'!R\Max</f>
        <v>0.84235777194150352</v>
      </c>
      <c r="CE223" s="1188">
        <f>'2026'!R\Max</f>
        <v>0.84148661525104373</v>
      </c>
      <c r="CF223" s="1189">
        <f>'2027'!R\Max</f>
        <v>0.84006817118271226</v>
      </c>
    </row>
    <row r="224" spans="1:84" s="6" customFormat="1" ht="11.25" x14ac:dyDescent="0.2">
      <c r="A224" s="11">
        <v>43310</v>
      </c>
      <c r="B224" s="380">
        <f>'2023'!Maxi_hp</f>
        <v>57.337532868317645</v>
      </c>
      <c r="C224" s="13">
        <f>'2023'!An_max</f>
        <v>2019</v>
      </c>
      <c r="D224" s="1059">
        <f t="shared" si="97"/>
        <v>1.0059901257077033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51">
        <f t="shared" si="100"/>
        <v>0.5714285714285714</v>
      </c>
      <c r="J224" s="744">
        <f t="shared" si="101"/>
        <v>56.996118950950247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2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51">
        <f t="shared" si="105"/>
        <v>0.21428571428571427</v>
      </c>
      <c r="AT224" s="767">
        <f t="shared" si="106"/>
        <v>56.971403936004002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51">
        <f t="shared" si="110"/>
        <v>0.2857142857142857</v>
      </c>
      <c r="AY224" s="767">
        <f t="shared" si="111"/>
        <v>57.097718950148135</v>
      </c>
      <c r="AZ224" s="744">
        <f t="shared" si="115"/>
        <v>57.034561443076072</v>
      </c>
      <c r="BA224" s="642">
        <f t="shared" si="112"/>
        <v>1.0059901257077033</v>
      </c>
      <c r="BC224" s="11">
        <v>43310</v>
      </c>
      <c r="BD224" s="290">
        <f>[2]!FeuilCaduc*(1-Persistant)+Persistant</f>
        <v>0.99984223177819298</v>
      </c>
      <c r="BE224" s="291">
        <f>[2]!CroissVégét</f>
        <v>0.88235607250226589</v>
      </c>
      <c r="BF224" s="814">
        <f>1+[2]!Salcycl*Ksac</f>
        <v>1.0499802789722741</v>
      </c>
      <c r="BH224" s="1050">
        <f t="shared" si="113"/>
        <v>1.938666677384725E-2</v>
      </c>
      <c r="BI224" s="11">
        <v>44406</v>
      </c>
      <c r="BJ224" s="724">
        <v>5.9310525012904916E-9</v>
      </c>
      <c r="BK224" s="724">
        <v>5.9310525012904916E-9</v>
      </c>
      <c r="BL224" s="724">
        <v>5.9310525012904916E-9</v>
      </c>
      <c r="BM224" s="724">
        <v>9.3831566003833175E-5</v>
      </c>
      <c r="BN224" s="724">
        <v>4.1816564747254271E-3</v>
      </c>
      <c r="BO224" s="725">
        <v>1.938666677384725E-2</v>
      </c>
      <c r="BP224" s="724">
        <v>4.9127666353935208E-2</v>
      </c>
      <c r="BQ224" s="724">
        <v>8.9144774382710013E-2</v>
      </c>
      <c r="BR224" s="724">
        <v>0.15115918025904354</v>
      </c>
      <c r="BS224" s="724">
        <v>0.25684600640950045</v>
      </c>
      <c r="BT224" s="724">
        <v>0.40656496002754111</v>
      </c>
      <c r="BW224" s="1190">
        <f>'2018'!R\Max</f>
        <v>0</v>
      </c>
      <c r="BX224" s="1188">
        <f>'2019'!R\Max</f>
        <v>1.0059901257077033</v>
      </c>
      <c r="BY224" s="1188">
        <f>'2020'!R\Max</f>
        <v>0.63199730121025188</v>
      </c>
      <c r="BZ224" s="1188">
        <f>'2021'!R\Max</f>
        <v>0.94448091840573845</v>
      </c>
      <c r="CA224" s="1188">
        <f>'2022'!R\Max</f>
        <v>0.58644404207142864</v>
      </c>
      <c r="CB224" s="1188">
        <f>'2023'!R\Max</f>
        <v>0.58560346204084823</v>
      </c>
      <c r="CC224" s="1188">
        <f>'2024'!R\Max</f>
        <v>0.58454815805728888</v>
      </c>
      <c r="CD224" s="1188">
        <f>'2025'!R\Max</f>
        <v>0.58317104732743485</v>
      </c>
      <c r="CE224" s="1188">
        <f>'2026'!R\Max</f>
        <v>0.58152508713768281</v>
      </c>
      <c r="CF224" s="1189">
        <f>'2027'!R\Max</f>
        <v>0.57884400703170236</v>
      </c>
    </row>
    <row r="225" spans="1:84" s="6" customFormat="1" ht="11.25" x14ac:dyDescent="0.2">
      <c r="A225" s="11">
        <v>43311</v>
      </c>
      <c r="B225" s="380">
        <f>'2023'!Maxi_hp</f>
        <v>53.331314939696405</v>
      </c>
      <c r="C225" s="13">
        <f>'2023'!An_max</f>
        <v>2022</v>
      </c>
      <c r="D225" s="1059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51">
        <f t="shared" si="100"/>
        <v>0.5</v>
      </c>
      <c r="J225" s="744">
        <f t="shared" si="101"/>
        <v>56.819799999892709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2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51">
        <f t="shared" si="105"/>
        <v>0.25</v>
      </c>
      <c r="AT225" s="767">
        <f t="shared" si="106"/>
        <v>56.790431250166151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51">
        <f t="shared" si="110"/>
        <v>0.25</v>
      </c>
      <c r="AY225" s="767">
        <f t="shared" si="111"/>
        <v>56.908700000774118</v>
      </c>
      <c r="AZ225" s="744">
        <f t="shared" si="115"/>
        <v>56.849565625470134</v>
      </c>
      <c r="BA225" s="642">
        <f t="shared" si="112"/>
        <v>0.93860441148678997</v>
      </c>
      <c r="BC225" s="11">
        <v>43311</v>
      </c>
      <c r="BD225" s="290">
        <f>[2]!FeuilCaduc*(1-Persistant)+Persistant</f>
        <v>0.99980015849187565</v>
      </c>
      <c r="BE225" s="291">
        <f>[2]!CroissVégét</f>
        <v>0.88656663959603077</v>
      </c>
      <c r="BF225" s="814">
        <f>1+[2]!Salcycl*Ksac</f>
        <v>1.0499750198114846</v>
      </c>
      <c r="BH225" s="1050">
        <f t="shared" si="113"/>
        <v>1.9129600802578181E-2</v>
      </c>
      <c r="BI225" s="11">
        <v>44407</v>
      </c>
      <c r="BJ225" s="724">
        <v>0</v>
      </c>
      <c r="BK225" s="724">
        <v>0</v>
      </c>
      <c r="BL225" s="724">
        <v>0</v>
      </c>
      <c r="BM225" s="724">
        <v>9.5670425779954314E-5</v>
      </c>
      <c r="BN225" s="724">
        <v>4.11969467764693E-3</v>
      </c>
      <c r="BO225" s="725">
        <v>1.9129600802578181E-2</v>
      </c>
      <c r="BP225" s="724">
        <v>4.8329925469860764E-2</v>
      </c>
      <c r="BQ225" s="724">
        <v>8.800084118972902E-2</v>
      </c>
      <c r="BR225" s="724">
        <v>0.15201286189965366</v>
      </c>
      <c r="BS225" s="724">
        <v>0.2613965528288637</v>
      </c>
      <c r="BT225" s="724">
        <v>0.41603905806681779</v>
      </c>
      <c r="BW225" s="1190">
        <f>'2018'!R\Max</f>
        <v>0</v>
      </c>
      <c r="BX225" s="1188">
        <f>'2019'!R\Max</f>
        <v>0.50751349444763327</v>
      </c>
      <c r="BY225" s="1188">
        <f>'2020'!R\Max</f>
        <v>0.87414969929292852</v>
      </c>
      <c r="BZ225" s="1188">
        <f>'2021'!R\Max</f>
        <v>0.34347312366943827</v>
      </c>
      <c r="CA225" s="1188">
        <f>'2022'!R\Max</f>
        <v>0.93860441148678997</v>
      </c>
      <c r="CB225" s="1188">
        <f>'2023'!R\Max</f>
        <v>0.9384066909646257</v>
      </c>
      <c r="CC225" s="1188">
        <f>'2024'!R\Max</f>
        <v>0.9381563774825481</v>
      </c>
      <c r="CD225" s="1188">
        <f>'2025'!R\Max</f>
        <v>0.93781908215884779</v>
      </c>
      <c r="CE225" s="1188">
        <f>'2026'!R\Max</f>
        <v>0.93740920314369014</v>
      </c>
      <c r="CF225" s="1189">
        <f>'2027'!R\Max</f>
        <v>0.93673411303946097</v>
      </c>
    </row>
    <row r="226" spans="1:84" s="6" customFormat="1" ht="11.25" x14ac:dyDescent="0.2">
      <c r="A226" s="11">
        <v>43312</v>
      </c>
      <c r="B226" s="380">
        <f>'2023'!Maxi_hp</f>
        <v>55.057825166695693</v>
      </c>
      <c r="C226" s="13">
        <f>'2023'!An_max</f>
        <v>2019</v>
      </c>
      <c r="D226" s="1059">
        <f t="shared" si="97"/>
        <v>0.9720597578166088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51">
        <f t="shared" si="100"/>
        <v>0.42857142857142855</v>
      </c>
      <c r="J226" s="744">
        <f t="shared" si="101"/>
        <v>56.640370845475367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2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51">
        <f t="shared" si="105"/>
        <v>0.2857142857142857</v>
      </c>
      <c r="AT226" s="767">
        <f t="shared" si="106"/>
        <v>56.606899125874044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51">
        <f t="shared" si="110"/>
        <v>0.21428571428571427</v>
      </c>
      <c r="AY226" s="767">
        <f t="shared" si="111"/>
        <v>56.71579329406044</v>
      </c>
      <c r="AZ226" s="744">
        <f t="shared" si="115"/>
        <v>56.661346209967242</v>
      </c>
      <c r="BA226" s="642">
        <f t="shared" si="112"/>
        <v>0.9720597578166088</v>
      </c>
      <c r="BC226" s="11">
        <v>43312</v>
      </c>
      <c r="BD226" s="290">
        <f>[2]!FeuilCaduc*(1-Persistant)+Persistant</f>
        <v>0.99973148047235272</v>
      </c>
      <c r="BE226" s="291">
        <f>[2]!CroissVégét</f>
        <v>0.89064558172697694</v>
      </c>
      <c r="BF226" s="814">
        <f>1+[2]!Salcycl*Ksac</f>
        <v>1.0499664350590441</v>
      </c>
      <c r="BH226" s="1050">
        <f t="shared" si="113"/>
        <v>1.8858095363921371E-2</v>
      </c>
      <c r="BI226" s="11">
        <v>44408</v>
      </c>
      <c r="BJ226" s="724">
        <v>0</v>
      </c>
      <c r="BK226" s="724">
        <v>0</v>
      </c>
      <c r="BL226" s="724">
        <v>0</v>
      </c>
      <c r="BM226" s="724">
        <v>9.7385321953016903E-5</v>
      </c>
      <c r="BN226" s="724">
        <v>4.0561996568882234E-3</v>
      </c>
      <c r="BO226" s="725">
        <v>1.8858095363921371E-2</v>
      </c>
      <c r="BP226" s="724">
        <v>4.7507876451230779E-2</v>
      </c>
      <c r="BQ226" s="724">
        <v>8.7004842430138965E-2</v>
      </c>
      <c r="BR226" s="724">
        <v>0.15326314042531977</v>
      </c>
      <c r="BS226" s="724">
        <v>0.26671281483138248</v>
      </c>
      <c r="BT226" s="724">
        <v>0.4265905224459754</v>
      </c>
      <c r="BW226" s="1190">
        <f>'2018'!R\Max</f>
        <v>0</v>
      </c>
      <c r="BX226" s="1188">
        <f>'2019'!R\Max</f>
        <v>0.9720597578166088</v>
      </c>
      <c r="BY226" s="1188">
        <f>'2020'!R\Max</f>
        <v>0.92612600580225979</v>
      </c>
      <c r="BZ226" s="1188">
        <f>'2021'!R\Max</f>
        <v>0.2374418060571675</v>
      </c>
      <c r="CA226" s="1188">
        <f>'2022'!R\Max</f>
        <v>0.96232402891174473</v>
      </c>
      <c r="CB226" s="1188">
        <f>'2023'!R\Max</f>
        <v>0.96220091829432497</v>
      </c>
      <c r="CC226" s="1188">
        <f>'2024'!R\Max</f>
        <v>0.96204360218393103</v>
      </c>
      <c r="CD226" s="1188">
        <f>'2025'!R\Max</f>
        <v>0.96182551430307361</v>
      </c>
      <c r="CE226" s="1188">
        <f>'2026'!R\Max</f>
        <v>0.96155745087675815</v>
      </c>
      <c r="CF226" s="1189">
        <f>'2027'!R\Max</f>
        <v>0.96111390318040124</v>
      </c>
    </row>
    <row r="227" spans="1:84" s="6" customFormat="1" ht="11.25" x14ac:dyDescent="0.2">
      <c r="A227" s="11">
        <v>43313</v>
      </c>
      <c r="B227" s="380">
        <f>'2023'!Maxi_hp</f>
        <v>54.44583213474823</v>
      </c>
      <c r="C227" s="13">
        <f>'2023'!An_max</f>
        <v>2022</v>
      </c>
      <c r="D227" s="1059" t="str">
        <f t="shared" si="97"/>
        <v/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51">
        <f t="shared" si="100"/>
        <v>0.35714285714285715</v>
      </c>
      <c r="J227" s="744">
        <f t="shared" si="101"/>
        <v>56.457387171951794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2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51">
        <f t="shared" si="105"/>
        <v>0.32142857142857145</v>
      </c>
      <c r="AT227" s="767">
        <f t="shared" si="106"/>
        <v>56.420627059548032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51">
        <f t="shared" si="110"/>
        <v>0.17857142857142858</v>
      </c>
      <c r="AY227" s="767">
        <f t="shared" si="111"/>
        <v>56.518943294856172</v>
      </c>
      <c r="AZ227" s="744">
        <f t="shared" si="115"/>
        <v>56.469785177202098</v>
      </c>
      <c r="BA227" s="642">
        <f t="shared" si="112"/>
        <v>0.96437038378915785</v>
      </c>
      <c r="BC227" s="11">
        <v>43313</v>
      </c>
      <c r="BD227" s="290">
        <f>[2]!FeuilCaduc*(1-Persistant)+Persistant</f>
        <v>0.99963780534709201</v>
      </c>
      <c r="BE227" s="291">
        <f>[2]!CroissVégét</f>
        <v>0.89459569118431537</v>
      </c>
      <c r="BF227" s="814">
        <f>1+[2]!Salcycl*Ksac</f>
        <v>1.0499547256683865</v>
      </c>
      <c r="BH227" s="1050">
        <f t="shared" si="113"/>
        <v>1.8574211569643867E-2</v>
      </c>
      <c r="BI227" s="11">
        <v>44409</v>
      </c>
      <c r="BJ227" s="724">
        <v>0</v>
      </c>
      <c r="BK227" s="724">
        <v>0</v>
      </c>
      <c r="BL227" s="724">
        <v>0</v>
      </c>
      <c r="BM227" s="724">
        <v>9.8857062511219568E-5</v>
      </c>
      <c r="BN227" s="724">
        <v>3.991087987823729E-3</v>
      </c>
      <c r="BO227" s="725">
        <v>1.8574211569643867E-2</v>
      </c>
      <c r="BP227" s="724">
        <v>4.6670543588805125E-2</v>
      </c>
      <c r="BQ227" s="724">
        <v>8.6171442096699705E-2</v>
      </c>
      <c r="BR227" s="724">
        <v>0.15481040897436424</v>
      </c>
      <c r="BS227" s="724">
        <v>0.27261138934930301</v>
      </c>
      <c r="BT227" s="724">
        <v>0.43798850836983372</v>
      </c>
      <c r="BW227" s="1190">
        <f>'2018'!R\Max</f>
        <v>0</v>
      </c>
      <c r="BX227" s="1188">
        <f>'2019'!R\Max</f>
        <v>0.89024267901334209</v>
      </c>
      <c r="BY227" s="1188">
        <f>'2020'!R\Max</f>
        <v>0.89495869472687894</v>
      </c>
      <c r="BZ227" s="1188">
        <f>'2021'!R\Max</f>
        <v>0.82588617091453531</v>
      </c>
      <c r="CA227" s="1188">
        <f>'2022'!R\Max</f>
        <v>0.96437038378915785</v>
      </c>
      <c r="CB227" s="1188">
        <f>'2023'!R\Max</f>
        <v>0.9642547955034777</v>
      </c>
      <c r="CC227" s="1188">
        <f>'2024'!R\Max</f>
        <v>0.96410522697180967</v>
      </c>
      <c r="CD227" s="1188">
        <f>'2025'!R\Max</f>
        <v>0.96389237481218248</v>
      </c>
      <c r="CE227" s="1188">
        <f>'2026'!R\Max</f>
        <v>0.96362825395717555</v>
      </c>
      <c r="CF227" s="1189">
        <f>'2027'!R\Max</f>
        <v>0.9631892643151273</v>
      </c>
    </row>
    <row r="228" spans="1:84" s="6" customFormat="1" ht="11.25" x14ac:dyDescent="0.2">
      <c r="A228" s="11">
        <v>43314</v>
      </c>
      <c r="B228" s="380">
        <f>'2023'!Maxi_hp</f>
        <v>54.855614137032767</v>
      </c>
      <c r="C228" s="13">
        <f>'2023'!An_max</f>
        <v>2019</v>
      </c>
      <c r="D228" s="1059">
        <f t="shared" si="97"/>
        <v>0.97485728889526257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51">
        <f t="shared" si="100"/>
        <v>0.2857142857142857</v>
      </c>
      <c r="J228" s="744">
        <f t="shared" si="101"/>
        <v>56.270404665278534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2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51">
        <f t="shared" si="105"/>
        <v>0.35714285714285715</v>
      </c>
      <c r="AT228" s="767">
        <f t="shared" si="106"/>
        <v>56.231434548566384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51">
        <f t="shared" si="110"/>
        <v>0.14285714285714285</v>
      </c>
      <c r="AY228" s="767">
        <f t="shared" si="111"/>
        <v>56.31809446034687</v>
      </c>
      <c r="AZ228" s="744">
        <f t="shared" si="115"/>
        <v>56.274764504456627</v>
      </c>
      <c r="BA228" s="642">
        <f t="shared" si="112"/>
        <v>0.97485728889526257</v>
      </c>
      <c r="BC228" s="11">
        <v>43314</v>
      </c>
      <c r="BD228" s="290">
        <f>[2]!FeuilCaduc*(1-Persistant)+Persistant</f>
        <v>0.9995205369695489</v>
      </c>
      <c r="BE228" s="291">
        <f>[2]!CroissVégét</f>
        <v>0.89841979735358901</v>
      </c>
      <c r="BF228" s="814">
        <f>1+[2]!Salcycl*Ksac</f>
        <v>1.0499400671211936</v>
      </c>
      <c r="BH228" s="1050">
        <f t="shared" si="113"/>
        <v>1.8277938823678102E-2</v>
      </c>
      <c r="BI228" s="11">
        <v>44410</v>
      </c>
      <c r="BJ228" s="724">
        <v>0</v>
      </c>
      <c r="BK228" s="724">
        <v>0</v>
      </c>
      <c r="BL228" s="724">
        <v>0</v>
      </c>
      <c r="BM228" s="724">
        <v>1.0008577281892948E-4</v>
      </c>
      <c r="BN228" s="724">
        <v>3.9243568076254825E-3</v>
      </c>
      <c r="BO228" s="725">
        <v>1.8277938823678102E-2</v>
      </c>
      <c r="BP228" s="724">
        <v>4.5817889152865922E-2</v>
      </c>
      <c r="BQ228" s="724">
        <v>8.5500516035025717E-2</v>
      </c>
      <c r="BR228" s="724">
        <v>0.15665455199218023</v>
      </c>
      <c r="BS228" s="724">
        <v>0.27909216218048288</v>
      </c>
      <c r="BT228" s="724">
        <v>0.4502329388709283</v>
      </c>
      <c r="BW228" s="1190">
        <f>'2018'!R\Max</f>
        <v>0</v>
      </c>
      <c r="BX228" s="1188">
        <f>'2019'!R\Max</f>
        <v>0.97485728889526257</v>
      </c>
      <c r="BY228" s="1188">
        <f>'2020'!R\Max</f>
        <v>0.82731917987281189</v>
      </c>
      <c r="BZ228" s="1188">
        <f>'2021'!R\Max</f>
        <v>0.83031292097383613</v>
      </c>
      <c r="CA228" s="1188">
        <f>'2022'!R\Max</f>
        <v>0.96800397521716897</v>
      </c>
      <c r="CB228" s="1188">
        <f>'2023'!R\Max</f>
        <v>0.96790061864221366</v>
      </c>
      <c r="CC228" s="1188">
        <f>'2024'!R\Max</f>
        <v>0.96776474122365608</v>
      </c>
      <c r="CD228" s="1188">
        <f>'2025'!R\Max</f>
        <v>0.96756667176808597</v>
      </c>
      <c r="CE228" s="1188">
        <f>'2026'!R\Max</f>
        <v>0.9673189312491548</v>
      </c>
      <c r="CF228" s="1189">
        <f>'2027'!R\Max</f>
        <v>0.96690519498239413</v>
      </c>
    </row>
    <row r="229" spans="1:84" s="6" customFormat="1" ht="11.25" x14ac:dyDescent="0.2">
      <c r="A229" s="11">
        <v>43315</v>
      </c>
      <c r="B229" s="380">
        <f>'2023'!Maxi_hp</f>
        <v>54.652362848660495</v>
      </c>
      <c r="C229" s="13">
        <f>'2023'!An_max</f>
        <v>2019</v>
      </c>
      <c r="D229" s="1059">
        <f t="shared" si="97"/>
        <v>0.97456058962938807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51">
        <f t="shared" si="100"/>
        <v>0.21428571428571427</v>
      </c>
      <c r="J229" s="744">
        <f t="shared" si="101"/>
        <v>56.078979008831084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2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51">
        <f t="shared" si="105"/>
        <v>0.39285714285714285</v>
      </c>
      <c r="AT229" s="767">
        <f t="shared" si="106"/>
        <v>56.039141090054599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51">
        <f t="shared" si="110"/>
        <v>0.10714285714285714</v>
      </c>
      <c r="AY229" s="767">
        <f t="shared" si="111"/>
        <v>56.113191252720675</v>
      </c>
      <c r="AZ229" s="744">
        <f t="shared" si="115"/>
        <v>56.076166171387641</v>
      </c>
      <c r="BA229" s="642">
        <f t="shared" si="112"/>
        <v>0.97456058962938807</v>
      </c>
      <c r="BC229" s="11">
        <v>43315</v>
      </c>
      <c r="BD229" s="290">
        <f>[2]!FeuilCaduc*(1-Persistant)+Persistant</f>
        <v>0.99938087988317947</v>
      </c>
      <c r="BE229" s="291">
        <f>[2]!CroissVégét</f>
        <v>0.90212075799903491</v>
      </c>
      <c r="BF229" s="814">
        <f>1+[2]!Salcycl*Ksac</f>
        <v>1.0499226099853973</v>
      </c>
      <c r="BH229" s="1050">
        <f t="shared" si="113"/>
        <v>1.7969265986666566E-2</v>
      </c>
      <c r="BI229" s="11">
        <v>44411</v>
      </c>
      <c r="BJ229" s="724">
        <v>0</v>
      </c>
      <c r="BK229" s="724">
        <v>0</v>
      </c>
      <c r="BL229" s="724">
        <v>0</v>
      </c>
      <c r="BM229" s="724">
        <v>1.0107155923842793E-4</v>
      </c>
      <c r="BN229" s="724">
        <v>3.8560032151224162E-3</v>
      </c>
      <c r="BO229" s="725">
        <v>1.7969265986666566E-2</v>
      </c>
      <c r="BP229" s="724">
        <v>4.4949875312704411E-2</v>
      </c>
      <c r="BQ229" s="724">
        <v>8.4991952456814471E-2</v>
      </c>
      <c r="BR229" s="724">
        <v>0.15879547276697112</v>
      </c>
      <c r="BS229" s="724">
        <v>0.28615505260298307</v>
      </c>
      <c r="BT229" s="724">
        <v>0.46332378216386466</v>
      </c>
      <c r="BW229" s="1190">
        <f>'2018'!R\Max</f>
        <v>0</v>
      </c>
      <c r="BX229" s="1188">
        <f>'2019'!R\Max</f>
        <v>0.97456058962938807</v>
      </c>
      <c r="BY229" s="1188">
        <f>'2020'!R\Max</f>
        <v>0.63932816520811353</v>
      </c>
      <c r="BZ229" s="1188">
        <f>'2021'!R\Max</f>
        <v>0.65818090408633168</v>
      </c>
      <c r="CA229" s="1188">
        <f>'2022'!R\Max</f>
        <v>0.90631647632735313</v>
      </c>
      <c r="CB229" s="1188">
        <f>'2023'!R\Max</f>
        <v>0.90603507645858494</v>
      </c>
      <c r="CC229" s="1188">
        <f>'2024'!R\Max</f>
        <v>0.90565824015241503</v>
      </c>
      <c r="CD229" s="1188">
        <f>'2025'!R\Max</f>
        <v>0.90509730076900619</v>
      </c>
      <c r="CE229" s="1188">
        <f>'2026'!R\Max</f>
        <v>0.90439178939829434</v>
      </c>
      <c r="CF229" s="1189">
        <f>'2027'!R\Max</f>
        <v>0.90320937539333068</v>
      </c>
    </row>
    <row r="230" spans="1:84" s="6" customFormat="1" ht="11.25" x14ac:dyDescent="0.2">
      <c r="A230" s="11">
        <v>43316</v>
      </c>
      <c r="B230" s="380">
        <f>'2023'!Maxi_hp</f>
        <v>51.450131759098554</v>
      </c>
      <c r="C230" s="13">
        <f>'2023'!An_max</f>
        <v>2019</v>
      </c>
      <c r="D230" s="1059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51">
        <f t="shared" si="100"/>
        <v>0.14285714285714285</v>
      </c>
      <c r="J230" s="744">
        <f t="shared" si="101"/>
        <v>55.882665889337659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2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51">
        <f t="shared" si="105"/>
        <v>0.42857142857142855</v>
      </c>
      <c r="AT230" s="767">
        <f t="shared" si="106"/>
        <v>55.84356618087206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51">
        <f t="shared" si="110"/>
        <v>7.1428571428571425E-2</v>
      </c>
      <c r="AY230" s="767">
        <f t="shared" si="111"/>
        <v>55.904178134218924</v>
      </c>
      <c r="AZ230" s="744">
        <f t="shared" si="115"/>
        <v>55.873872157545492</v>
      </c>
      <c r="BA230" s="642">
        <f t="shared" si="112"/>
        <v>0.9206814123897259</v>
      </c>
      <c r="BC230" s="11">
        <v>43316</v>
      </c>
      <c r="BD230" s="290">
        <f>[2]!FeuilCaduc*(1-Persistant)+Persistant</f>
        <v>0.99921984492289773</v>
      </c>
      <c r="BE230" s="291">
        <f>[2]!CroissVégét</f>
        <v>0.90570145106838851</v>
      </c>
      <c r="BF230" s="814">
        <f>1+[2]!Salcycl*Ksac</f>
        <v>1.0499024806153623</v>
      </c>
      <c r="BH230" s="1050">
        <f t="shared" si="113"/>
        <v>1.7648181415421554E-2</v>
      </c>
      <c r="BI230" s="11">
        <v>44412</v>
      </c>
      <c r="BJ230" s="724">
        <v>0</v>
      </c>
      <c r="BK230" s="724">
        <v>0</v>
      </c>
      <c r="BL230" s="724">
        <v>0</v>
      </c>
      <c r="BM230" s="724">
        <v>1.0181450988746238E-4</v>
      </c>
      <c r="BN230" s="724">
        <v>3.7860242760445529E-3</v>
      </c>
      <c r="BO230" s="725">
        <v>1.7648181415421554E-2</v>
      </c>
      <c r="BP230" s="724">
        <v>4.4066464186776094E-2</v>
      </c>
      <c r="BQ230" s="724">
        <v>8.464565143934738E-2</v>
      </c>
      <c r="BR230" s="724">
        <v>0.16123309251254755</v>
      </c>
      <c r="BS230" s="724">
        <v>0.2938000115727028</v>
      </c>
      <c r="BT230" s="724">
        <v>0.47726104902419164</v>
      </c>
      <c r="BW230" s="1190">
        <f>'2018'!R\Max</f>
        <v>0</v>
      </c>
      <c r="BX230" s="1188">
        <f>'2019'!R\Max</f>
        <v>0.9206814123897259</v>
      </c>
      <c r="BY230" s="1188">
        <f>'2020'!R\Max</f>
        <v>0.87589827739226678</v>
      </c>
      <c r="BZ230" s="1188">
        <f>'2021'!R\Max</f>
        <v>0.66770121263986637</v>
      </c>
      <c r="CA230" s="1188">
        <f>'2022'!R\Max</f>
        <v>0.89942888483266614</v>
      </c>
      <c r="CB230" s="1188">
        <f>'2023'!R\Max</f>
        <v>0.89913064446890145</v>
      </c>
      <c r="CC230" s="1188">
        <f>'2024'!R\Max</f>
        <v>0.89872245625187341</v>
      </c>
      <c r="CD230" s="1188">
        <f>'2025'!R\Max</f>
        <v>0.89810316033732962</v>
      </c>
      <c r="CE230" s="1188">
        <f>'2026'!R\Max</f>
        <v>0.89732034341954825</v>
      </c>
      <c r="CF230" s="1189">
        <f>'2027'!R\Max</f>
        <v>0.89600195870881671</v>
      </c>
    </row>
    <row r="231" spans="1:84" s="6" customFormat="1" ht="11.25" x14ac:dyDescent="0.2">
      <c r="A231" s="11">
        <v>43317</v>
      </c>
      <c r="B231" s="380">
        <f>'2023'!Maxi_hp</f>
        <v>55.321706068538063</v>
      </c>
      <c r="C231" s="13">
        <f>'2023'!An_max</f>
        <v>2020</v>
      </c>
      <c r="D231" s="1059">
        <f t="shared" si="97"/>
        <v>0.9935469049164467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51">
        <f t="shared" si="100"/>
        <v>7.1428571428571425E-2</v>
      </c>
      <c r="J231" s="744">
        <f t="shared" si="101"/>
        <v>55.681020991344539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2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51">
        <f t="shared" si="105"/>
        <v>0.4642857142857143</v>
      </c>
      <c r="AT231" s="767">
        <f t="shared" si="106"/>
        <v>55.644529318929258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51">
        <f t="shared" si="110"/>
        <v>3.5714285714285712E-2</v>
      </c>
      <c r="AY231" s="767">
        <f t="shared" si="111"/>
        <v>55.690999561973982</v>
      </c>
      <c r="AZ231" s="744">
        <f t="shared" si="115"/>
        <v>55.66776444045162</v>
      </c>
      <c r="BA231" s="642">
        <f t="shared" si="112"/>
        <v>0.9935469049164467</v>
      </c>
      <c r="BC231" s="11">
        <v>43317</v>
      </c>
      <c r="BD231" s="290">
        <f>[2]!FeuilCaduc*(1-Persistant)+Persistant</f>
        <v>0.99903825582980099</v>
      </c>
      <c r="BE231" s="291">
        <f>[2]!CroissVégét</f>
        <v>0.90916476701567317</v>
      </c>
      <c r="BF231" s="814">
        <f>1+[2]!Salcycl*Ksac</f>
        <v>1.0498797819787251</v>
      </c>
      <c r="BH231" s="1050">
        <f t="shared" si="113"/>
        <v>1.7314673002316105E-2</v>
      </c>
      <c r="BI231" s="11">
        <v>44413</v>
      </c>
      <c r="BJ231" s="724">
        <v>0</v>
      </c>
      <c r="BK231" s="724">
        <v>0</v>
      </c>
      <c r="BL231" s="724">
        <v>0</v>
      </c>
      <c r="BM231" s="724">
        <v>1.0231469539645023E-4</v>
      </c>
      <c r="BN231" s="724">
        <v>3.7144170282523911E-3</v>
      </c>
      <c r="BO231" s="725">
        <v>1.7314673002316105E-2</v>
      </c>
      <c r="BP231" s="724">
        <v>4.316761789268226E-2</v>
      </c>
      <c r="BQ231" s="724">
        <v>8.4461524424671211E-2</v>
      </c>
      <c r="BR231" s="724">
        <v>0.16396734945056607</v>
      </c>
      <c r="BS231" s="724">
        <v>0.30202701992004705</v>
      </c>
      <c r="BT231" s="724">
        <v>0.49204479016573088</v>
      </c>
      <c r="BW231" s="1190">
        <f>'2018'!R\Max</f>
        <v>0</v>
      </c>
      <c r="BX231" s="1188">
        <f>'2019'!R\Max</f>
        <v>0.93482456267357239</v>
      </c>
      <c r="BY231" s="1188">
        <f>'2020'!R\Max</f>
        <v>0.9935469049164467</v>
      </c>
      <c r="BZ231" s="1188">
        <f>'2021'!R\Max</f>
        <v>0.90100396673163441</v>
      </c>
      <c r="CA231" s="1188">
        <f>'2022'!R\Max</f>
        <v>0.85980558684924213</v>
      </c>
      <c r="CB231" s="1188">
        <f>'2023'!R\Max</f>
        <v>0.85940962837904578</v>
      </c>
      <c r="CC231" s="1188">
        <f>'2024'!R\Max</f>
        <v>0.85885443452048138</v>
      </c>
      <c r="CD231" s="1188">
        <f>'2025'!R\Max</f>
        <v>0.8579983915571896</v>
      </c>
      <c r="CE231" s="1188">
        <f>'2026'!R\Max</f>
        <v>0.85691277216761841</v>
      </c>
      <c r="CF231" s="1189">
        <f>'2027'!R\Max</f>
        <v>0.85507671624782855</v>
      </c>
    </row>
    <row r="232" spans="1:84" s="6" customFormat="1" ht="11.25" x14ac:dyDescent="0.2">
      <c r="A232" s="11">
        <v>43318</v>
      </c>
      <c r="B232" s="380">
        <f>'2023'!Maxi_hp</f>
        <v>54.962682458177952</v>
      </c>
      <c r="C232" s="13">
        <f>'2023'!An_max</f>
        <v>2020</v>
      </c>
      <c r="D232" s="1059">
        <f t="shared" si="97"/>
        <v>0.99078989750144608</v>
      </c>
      <c r="E232" s="1054">
        <f>AC$13/10</f>
        <v>55.473599999999998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51">
        <f t="shared" si="100"/>
        <v>0</v>
      </c>
      <c r="J232" s="744">
        <f t="shared" si="101"/>
        <v>55.473600000143051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2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51">
        <f t="shared" si="105"/>
        <v>0.5</v>
      </c>
      <c r="AT232" s="767">
        <f t="shared" si="106"/>
        <v>55.441850000061095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51">
        <f t="shared" si="110"/>
        <v>0</v>
      </c>
      <c r="AY232" s="767">
        <f t="shared" si="111"/>
        <v>55.473600000143051</v>
      </c>
      <c r="AZ232" s="744">
        <f t="shared" si="115"/>
        <v>55.457725000102073</v>
      </c>
      <c r="BA232" s="642">
        <f t="shared" si="112"/>
        <v>0.99078989750144608</v>
      </c>
      <c r="BC232" s="11">
        <v>43318</v>
      </c>
      <c r="BD232" s="290">
        <f>[2]!FeuilCaduc*(1-Persistant)+Persistant</f>
        <v>0.99883675674807082</v>
      </c>
      <c r="BE232" s="291">
        <f>[2]!CroissVégét</f>
        <v>0.91251360163473627</v>
      </c>
      <c r="BF232" s="814">
        <f>1+[2]!Salcycl*Ksac</f>
        <v>1.0498545945935089</v>
      </c>
      <c r="BH232" s="1050">
        <f t="shared" si="113"/>
        <v>1.696872821474063E-2</v>
      </c>
      <c r="BI232" s="11">
        <v>44414</v>
      </c>
      <c r="BJ232" s="724">
        <v>0</v>
      </c>
      <c r="BK232" s="724">
        <v>0</v>
      </c>
      <c r="BL232" s="724">
        <v>0</v>
      </c>
      <c r="BM232" s="724">
        <v>1.0257216966607552E-4</v>
      </c>
      <c r="BN232" s="724">
        <v>3.6411784869803689E-3</v>
      </c>
      <c r="BO232" s="725">
        <v>1.696872821474063E-2</v>
      </c>
      <c r="BP232" s="724">
        <v>4.2253298597315046E-2</v>
      </c>
      <c r="BQ232" s="724">
        <v>8.4439493719101866E-2</v>
      </c>
      <c r="BR232" s="724">
        <v>0.16699819789339909</v>
      </c>
      <c r="BS232" s="724">
        <v>0.31083608654776296</v>
      </c>
      <c r="BT232" s="724">
        <v>0.507675093619813</v>
      </c>
      <c r="BW232" s="1190">
        <f>'2018'!R\Max</f>
        <v>0</v>
      </c>
      <c r="BX232" s="1188">
        <f>'2019'!R\Max</f>
        <v>0.7147031757664839</v>
      </c>
      <c r="BY232" s="1188">
        <f>'2020'!R\Max</f>
        <v>0.99078989750144608</v>
      </c>
      <c r="BZ232" s="1188">
        <f>'2021'!R\Max</f>
        <v>0.38985511306106729</v>
      </c>
      <c r="CA232" s="1188">
        <f>'2022'!R\Max</f>
        <v>0.88636305601615306</v>
      </c>
      <c r="CB232" s="1188">
        <f>'2023'!R\Max</f>
        <v>0.88603278555091747</v>
      </c>
      <c r="CC232" s="1188">
        <f>'2024'!R\Max</f>
        <v>0.88555700026754058</v>
      </c>
      <c r="CD232" s="1188">
        <f>'2025'!R\Max</f>
        <v>0.88481274721988834</v>
      </c>
      <c r="CE232" s="1188">
        <f>'2026'!R\Max</f>
        <v>0.88386582794253421</v>
      </c>
      <c r="CF232" s="1189">
        <f>'2027'!R\Max</f>
        <v>0.88225486136399633</v>
      </c>
    </row>
    <row r="233" spans="1:84" s="6" customFormat="1" ht="11.25" x14ac:dyDescent="0.2">
      <c r="A233" s="11">
        <v>43319</v>
      </c>
      <c r="B233" s="380">
        <f>'2023'!Maxi_hp</f>
        <v>52.959519523212762</v>
      </c>
      <c r="C233" s="13">
        <f>'2023'!An_max</f>
        <v>2020</v>
      </c>
      <c r="D233" s="1059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51">
        <f t="shared" si="100"/>
        <v>7.1428571428571425E-2</v>
      </c>
      <c r="J233" s="744">
        <f t="shared" si="101"/>
        <v>55.261310058459649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2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51">
        <f t="shared" si="105"/>
        <v>0.5357142857142857</v>
      </c>
      <c r="AT233" s="767">
        <f t="shared" si="106"/>
        <v>55.235347722550593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51">
        <f t="shared" si="110"/>
        <v>3.5714285714285712E-2</v>
      </c>
      <c r="AY233" s="767">
        <f t="shared" si="111"/>
        <v>55.252692201041761</v>
      </c>
      <c r="AZ233" s="744">
        <f t="shared" si="115"/>
        <v>55.244019961796177</v>
      </c>
      <c r="BA233" s="642">
        <f t="shared" si="112"/>
        <v>0.95834715947175564</v>
      </c>
      <c r="BC233" s="11">
        <v>43319</v>
      </c>
      <c r="BD233" s="290">
        <f>[2]!FeuilCaduc*(1-Persistant)+Persistant</f>
        <v>0.99861582046760844</v>
      </c>
      <c r="BE233" s="291">
        <f>[2]!CroissVégét</f>
        <v>0.91575084939386342</v>
      </c>
      <c r="BF233" s="814">
        <f>1+[2]!Salcycl*Ksac</f>
        <v>1.049826977558451</v>
      </c>
      <c r="BH233" s="1050">
        <f t="shared" si="113"/>
        <v>1.6610334134459014E-2</v>
      </c>
      <c r="BI233" s="11">
        <v>44415</v>
      </c>
      <c r="BJ233" s="724">
        <v>0</v>
      </c>
      <c r="BK233" s="724">
        <v>0</v>
      </c>
      <c r="BL233" s="724">
        <v>0</v>
      </c>
      <c r="BM233" s="724">
        <v>1.0258697062431327E-4</v>
      </c>
      <c r="BN233" s="724">
        <v>3.5663056500587803E-3</v>
      </c>
      <c r="BO233" s="725">
        <v>1.6610334134459014E-2</v>
      </c>
      <c r="BP233" s="724">
        <v>4.1323468566751342E-2</v>
      </c>
      <c r="BQ233" s="724">
        <v>8.4579491992254521E-2</v>
      </c>
      <c r="BR233" s="724">
        <v>0.17032560732611482</v>
      </c>
      <c r="BS233" s="724">
        <v>0.32022724662716667</v>
      </c>
      <c r="BT233" s="724">
        <v>0.52415208211190556</v>
      </c>
      <c r="BW233" s="1190">
        <f>'2018'!R\Max</f>
        <v>0</v>
      </c>
      <c r="BX233" s="1188">
        <f>'2019'!R\Max</f>
        <v>0.75631703501754188</v>
      </c>
      <c r="BY233" s="1188">
        <f>'2020'!R\Max</f>
        <v>0.95834715947175564</v>
      </c>
      <c r="BZ233" s="1188">
        <f>'2021'!R\Max</f>
        <v>0.4664989742200174</v>
      </c>
      <c r="CA233" s="1188">
        <f>'2022'!R\Max</f>
        <v>0.94341021303055528</v>
      </c>
      <c r="CB233" s="1188">
        <f>'2023'!R\Max</f>
        <v>0.94323514845383638</v>
      </c>
      <c r="CC233" s="1188">
        <f>'2024'!R\Max</f>
        <v>0.94297544697950297</v>
      </c>
      <c r="CD233" s="1188">
        <f>'2025'!R\Max</f>
        <v>0.94256415069376598</v>
      </c>
      <c r="CE233" s="1188">
        <f>'2026'!R\Max</f>
        <v>0.94203935964974039</v>
      </c>
      <c r="CF233" s="1189">
        <f>'2027'!R\Max</f>
        <v>0.94114039847619402</v>
      </c>
    </row>
    <row r="234" spans="1:84" s="6" customFormat="1" ht="11.25" x14ac:dyDescent="0.2">
      <c r="A234" s="11">
        <v>43320</v>
      </c>
      <c r="B234" s="380">
        <f>'2023'!Maxi_hp</f>
        <v>52.507741008384137</v>
      </c>
      <c r="C234" s="13">
        <f>'2023'!An_max</f>
        <v>2019</v>
      </c>
      <c r="D234" s="1059" t="str">
        <f t="shared" si="97"/>
        <v/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51">
        <f t="shared" si="100"/>
        <v>0.14285714285714285</v>
      </c>
      <c r="J234" s="744">
        <f t="shared" si="101"/>
        <v>55.045280465909421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2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51">
        <f t="shared" si="105"/>
        <v>0.5714285714285714</v>
      </c>
      <c r="AT234" s="767">
        <f t="shared" si="106"/>
        <v>55.024841982179453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51">
        <f t="shared" si="110"/>
        <v>7.1428571428571425E-2</v>
      </c>
      <c r="AY234" s="767">
        <f t="shared" si="111"/>
        <v>55.028951895609495</v>
      </c>
      <c r="AZ234" s="744">
        <f t="shared" si="115"/>
        <v>55.026896938894474</v>
      </c>
      <c r="BA234" s="642">
        <f t="shared" si="112"/>
        <v>0.95390087149984037</v>
      </c>
      <c r="BC234" s="11">
        <v>43320</v>
      </c>
      <c r="BD234" s="290">
        <f>[2]!FeuilCaduc*(1-Persistant)+Persistant</f>
        <v>0.99837575727223327</v>
      </c>
      <c r="BE234" s="291">
        <f>[2]!CroissVégét</f>
        <v>0.91887939725970647</v>
      </c>
      <c r="BF234" s="814">
        <f>1+[2]!Salcycl*Ksac</f>
        <v>1.0497969696590292</v>
      </c>
      <c r="BH234" s="1050">
        <f t="shared" si="113"/>
        <v>1.6240419611460177E-2</v>
      </c>
      <c r="BI234" s="11">
        <v>44416</v>
      </c>
      <c r="BJ234" s="724">
        <v>7.4566945315196598E-9</v>
      </c>
      <c r="BK234" s="724">
        <v>7.4566945315196614E-9</v>
      </c>
      <c r="BL234" s="724">
        <v>7.4566945315196614E-9</v>
      </c>
      <c r="BM234" s="724">
        <v>1.0233220420214344E-4</v>
      </c>
      <c r="BN234" s="724">
        <v>3.4901804127067705E-3</v>
      </c>
      <c r="BO234" s="725">
        <v>1.6240419611460177E-2</v>
      </c>
      <c r="BP234" s="724">
        <v>4.0441710343564766E-2</v>
      </c>
      <c r="BQ234" s="724">
        <v>8.4975734683813642E-2</v>
      </c>
      <c r="BR234" s="724">
        <v>0.17421450711732411</v>
      </c>
      <c r="BS234" s="724">
        <v>0.33043043217625495</v>
      </c>
      <c r="BT234" s="724">
        <v>0.54155862907232366</v>
      </c>
      <c r="BW234" s="1190">
        <f>'2018'!R\Max</f>
        <v>0</v>
      </c>
      <c r="BX234" s="1188">
        <f>'2019'!R\Max</f>
        <v>0.95390087149984037</v>
      </c>
      <c r="BY234" s="1188">
        <f>'2020'!R\Max</f>
        <v>0.91826631105545764</v>
      </c>
      <c r="BZ234" s="1188">
        <f>'2021'!R\Max</f>
        <v>0.64490785341328405</v>
      </c>
      <c r="CA234" s="1188">
        <f>'2022'!R\Max</f>
        <v>0.93994444687202761</v>
      </c>
      <c r="CB234" s="1188">
        <f>'2023'!R\Max</f>
        <v>0.9397586923356126</v>
      </c>
      <c r="CC234" s="1188">
        <f>'2024'!R\Max</f>
        <v>0.939474925707523</v>
      </c>
      <c r="CD234" s="1188">
        <f>'2025'!R\Max</f>
        <v>0.93902091163403445</v>
      </c>
      <c r="CE234" s="1188">
        <f>'2026'!R\Max</f>
        <v>0.93844084924658244</v>
      </c>
      <c r="CF234" s="1189">
        <f>'2027'!R\Max</f>
        <v>0.93744386976450544</v>
      </c>
    </row>
    <row r="235" spans="1:84" s="6" customFormat="1" ht="11.25" x14ac:dyDescent="0.2">
      <c r="A235" s="11">
        <v>43321</v>
      </c>
      <c r="B235" s="380">
        <f>'2023'!Maxi_hp</f>
        <v>52.165063941951729</v>
      </c>
      <c r="C235" s="13">
        <f>'2023'!An_max</f>
        <v>2021</v>
      </c>
      <c r="D235" s="1059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51">
        <f t="shared" si="100"/>
        <v>0.21428571428571427</v>
      </c>
      <c r="J235" s="744">
        <f t="shared" si="101"/>
        <v>54.825400145564757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2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51">
        <f t="shared" si="105"/>
        <v>0.6071428571428571</v>
      </c>
      <c r="AT235" s="767">
        <f t="shared" si="106"/>
        <v>54.810152277510085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51">
        <f t="shared" si="110"/>
        <v>0.10714285714285714</v>
      </c>
      <c r="AY235" s="767">
        <f t="shared" si="111"/>
        <v>54.802268002953916</v>
      </c>
      <c r="AZ235" s="744">
        <f t="shared" si="115"/>
        <v>54.806210140231997</v>
      </c>
      <c r="BA235" s="642">
        <f t="shared" si="112"/>
        <v>0.95147620999482585</v>
      </c>
      <c r="BC235" s="11">
        <v>43321</v>
      </c>
      <c r="BD235" s="290">
        <f>[2]!FeuilCaduc*(1-Persistant)+Persistant</f>
        <v>0.99811672425118192</v>
      </c>
      <c r="BE235" s="291">
        <f>[2]!CroissVégét</f>
        <v>0.92190211899696306</v>
      </c>
      <c r="BF235" s="814">
        <f>1+[2]!Salcycl*Ksac</f>
        <v>1.0497645905313977</v>
      </c>
      <c r="BH235" s="1050">
        <f t="shared" si="113"/>
        <v>1.5867054769208602E-2</v>
      </c>
      <c r="BI235" s="11">
        <v>44417</v>
      </c>
      <c r="BJ235" s="724">
        <v>2.2368875529623593E-8</v>
      </c>
      <c r="BK235" s="724">
        <v>2.2368875529623589E-8</v>
      </c>
      <c r="BL235" s="724">
        <v>2.2368875529623589E-8</v>
      </c>
      <c r="BM235" s="724">
        <v>1.0185017995737633E-4</v>
      </c>
      <c r="BN235" s="724">
        <v>3.413605053557344E-3</v>
      </c>
      <c r="BO235" s="725">
        <v>1.5867054769208602E-2</v>
      </c>
      <c r="BP235" s="724">
        <v>3.9618996253594406E-2</v>
      </c>
      <c r="BQ235" s="724">
        <v>8.5583467422315374E-2</v>
      </c>
      <c r="BR235" s="724">
        <v>0.17858379457615484</v>
      </c>
      <c r="BS235" s="724">
        <v>0.34120841486852477</v>
      </c>
      <c r="BT235" s="724">
        <v>0.55943519113238827</v>
      </c>
      <c r="BW235" s="1190">
        <f>'2018'!R\Max</f>
        <v>0</v>
      </c>
      <c r="BX235" s="1188">
        <f>'2019'!R\Max</f>
        <v>0.86847724774299218</v>
      </c>
      <c r="BY235" s="1188">
        <f>'2020'!R\Max</f>
        <v>0.90423540022923776</v>
      </c>
      <c r="BZ235" s="1188">
        <f>'2021'!R\Max</f>
        <v>0.95147620999482585</v>
      </c>
      <c r="CA235" s="1188">
        <f>'2022'!R\Max</f>
        <v>0.92679699407507565</v>
      </c>
      <c r="CB235" s="1188">
        <f>'2023'!R\Max</f>
        <v>0.92657222577828136</v>
      </c>
      <c r="CC235" s="1188">
        <f>'2024'!R\Max</f>
        <v>0.92621890802796936</v>
      </c>
      <c r="CD235" s="1188">
        <f>'2025'!R\Max</f>
        <v>0.92564836095639336</v>
      </c>
      <c r="CE235" s="1188">
        <f>'2026'!R\Max</f>
        <v>0.9249187749429697</v>
      </c>
      <c r="CF235" s="1189">
        <f>'2027'!R\Max</f>
        <v>0.92366385870660839</v>
      </c>
    </row>
    <row r="236" spans="1:84" s="6" customFormat="1" ht="11.25" x14ac:dyDescent="0.2">
      <c r="A236" s="11">
        <v>43322</v>
      </c>
      <c r="B236" s="380">
        <f>'2023'!Maxi_hp</f>
        <v>48.556121526495438</v>
      </c>
      <c r="C236" s="13">
        <f>'2023'!An_max</f>
        <v>2021</v>
      </c>
      <c r="D236" s="1059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51">
        <f t="shared" si="100"/>
        <v>0.2857142857142857</v>
      </c>
      <c r="J236" s="744">
        <f t="shared" si="101"/>
        <v>54.601558017198521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2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51">
        <f t="shared" si="105"/>
        <v>0.6428571428571429</v>
      </c>
      <c r="AT236" s="767">
        <f t="shared" si="106"/>
        <v>54.591098105135771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51">
        <f t="shared" si="110"/>
        <v>0.14285714285714285</v>
      </c>
      <c r="AY236" s="767">
        <f t="shared" si="111"/>
        <v>54.572529445269275</v>
      </c>
      <c r="AZ236" s="744">
        <f t="shared" si="115"/>
        <v>54.581813775202519</v>
      </c>
      <c r="BA236" s="642">
        <f t="shared" si="112"/>
        <v>0.88928087933317068</v>
      </c>
      <c r="BC236" s="11">
        <v>43322</v>
      </c>
      <c r="BD236" s="290">
        <f>[2]!FeuilCaduc*(1-Persistant)+Persistant</f>
        <v>0.99783873493122033</v>
      </c>
      <c r="BE236" s="291">
        <f>[2]!CroissVégét</f>
        <v>0.92482186992875737</v>
      </c>
      <c r="BF236" s="814">
        <f>1+[2]!Salcycl*Ksac</f>
        <v>1.0497298418664025</v>
      </c>
      <c r="BH236" s="1050">
        <f t="shared" si="113"/>
        <v>1.5490224586329289E-2</v>
      </c>
      <c r="BI236" s="11">
        <v>44418</v>
      </c>
      <c r="BJ236" s="724">
        <v>4.4735753352622087E-8</v>
      </c>
      <c r="BK236" s="724">
        <v>4.4735753352622087E-8</v>
      </c>
      <c r="BL236" s="724">
        <v>4.4735753352622087E-8</v>
      </c>
      <c r="BM236" s="724">
        <v>1.0114088962785585E-4</v>
      </c>
      <c r="BN236" s="724">
        <v>3.3365764009746046E-3</v>
      </c>
      <c r="BO236" s="725">
        <v>1.5490224586329289E-2</v>
      </c>
      <c r="BP236" s="724">
        <v>3.8855280947133052E-2</v>
      </c>
      <c r="BQ236" s="724">
        <v>8.6402646966437915E-2</v>
      </c>
      <c r="BR236" s="724">
        <v>0.18343346200160227</v>
      </c>
      <c r="BS236" s="724">
        <v>0.35256130530530444</v>
      </c>
      <c r="BT236" s="724">
        <v>0.57778203219089463</v>
      </c>
      <c r="BW236" s="1190">
        <f>'2018'!R\Max</f>
        <v>0</v>
      </c>
      <c r="BX236" s="1188">
        <f>'2019'!R\Max</f>
        <v>0.71444659981520886</v>
      </c>
      <c r="BY236" s="1188">
        <f>'2020'!R\Max</f>
        <v>0.73063143791831298</v>
      </c>
      <c r="BZ236" s="1188">
        <f>'2021'!R\Max</f>
        <v>0.88928087933317068</v>
      </c>
      <c r="CA236" s="1188">
        <f>'2022'!R\Max</f>
        <v>0.86911778478336421</v>
      </c>
      <c r="CB236" s="1188">
        <f>'2023'!R\Max</f>
        <v>0.86873718134727607</v>
      </c>
      <c r="CC236" s="1188">
        <f>'2024'!R\Max</f>
        <v>0.8681223773549408</v>
      </c>
      <c r="CD236" s="1188">
        <f>'2025'!R\Max</f>
        <v>0.8671217966707444</v>
      </c>
      <c r="CE236" s="1188">
        <f>'2026'!R\Max</f>
        <v>0.86584265760686718</v>
      </c>
      <c r="CF236" s="1189">
        <f>'2027'!R\Max</f>
        <v>0.86364841264517245</v>
      </c>
    </row>
    <row r="237" spans="1:84" s="6" customFormat="1" ht="11.25" x14ac:dyDescent="0.2">
      <c r="A237" s="11">
        <v>43323</v>
      </c>
      <c r="B237" s="380">
        <f>'2023'!Maxi_hp</f>
        <v>47.670695144219835</v>
      </c>
      <c r="C237" s="13">
        <f>'2023'!An_max</f>
        <v>2021</v>
      </c>
      <c r="D237" s="1059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51">
        <f t="shared" si="100"/>
        <v>0.35714285714285715</v>
      </c>
      <c r="J237" s="744">
        <f t="shared" si="101"/>
        <v>54.37364300265908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2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51">
        <f t="shared" si="105"/>
        <v>0.6785714285714286</v>
      </c>
      <c r="AT237" s="767">
        <f t="shared" si="106"/>
        <v>54.367498961330526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51">
        <f t="shared" si="110"/>
        <v>0.17857142857142858</v>
      </c>
      <c r="AY237" s="767">
        <f t="shared" si="111"/>
        <v>54.339625146160166</v>
      </c>
      <c r="AZ237" s="744">
        <f t="shared" si="115"/>
        <v>54.35356205374535</v>
      </c>
      <c r="BA237" s="642">
        <f t="shared" si="112"/>
        <v>0.87672431920532812</v>
      </c>
      <c r="BC237" s="11">
        <v>43323</v>
      </c>
      <c r="BD237" s="290">
        <f>[2]!FeuilCaduc*(1-Persistant)+Persistant</f>
        <v>0.99754166908790198</v>
      </c>
      <c r="BE237" s="291">
        <f>[2]!CroissVégét</f>
        <v>0.92764148214144238</v>
      </c>
      <c r="BF237" s="814">
        <f>1+[2]!Salcycl*Ksac</f>
        <v>1.0496927086359877</v>
      </c>
      <c r="BH237" s="1050">
        <f t="shared" si="113"/>
        <v>1.510991430171589E-2</v>
      </c>
      <c r="BI237" s="11">
        <v>44419</v>
      </c>
      <c r="BJ237" s="724">
        <v>7.4556933609048869E-8</v>
      </c>
      <c r="BK237" s="724">
        <v>7.4556933609048882E-8</v>
      </c>
      <c r="BL237" s="724">
        <v>7.4556933609048882E-8</v>
      </c>
      <c r="BM237" s="724">
        <v>1.0020431287437313E-4</v>
      </c>
      <c r="BN237" s="724">
        <v>3.2590913508941822E-3</v>
      </c>
      <c r="BO237" s="725">
        <v>1.510991430171589E-2</v>
      </c>
      <c r="BP237" s="724">
        <v>3.8150523343269904E-2</v>
      </c>
      <c r="BQ237" s="724">
        <v>8.7433241006425869E-2</v>
      </c>
      <c r="BR237" s="724">
        <v>0.18876352283863596</v>
      </c>
      <c r="BS237" s="724">
        <v>0.36448923245157933</v>
      </c>
      <c r="BT237" s="724">
        <v>0.59659941978824804</v>
      </c>
      <c r="BW237" s="1190">
        <f>'2018'!R\Max</f>
        <v>0</v>
      </c>
      <c r="BX237" s="1188">
        <f>'2019'!R\Max</f>
        <v>0.51071697384506409</v>
      </c>
      <c r="BY237" s="1188">
        <f>'2020'!R\Max</f>
        <v>0.65563624536940601</v>
      </c>
      <c r="BZ237" s="1188">
        <f>'2021'!R\Max</f>
        <v>0.87672431920532812</v>
      </c>
      <c r="CA237" s="1188">
        <f>'2022'!R\Max</f>
        <v>0.8323392423373448</v>
      </c>
      <c r="CB237" s="1188">
        <f>'2023'!R\Max</f>
        <v>0.83186613012738331</v>
      </c>
      <c r="CC237" s="1188">
        <f>'2024'!R\Max</f>
        <v>0.83108154553674374</v>
      </c>
      <c r="CD237" s="1188">
        <f>'2025'!R\Max</f>
        <v>0.82979534341374506</v>
      </c>
      <c r="CE237" s="1188">
        <f>'2026'!R\Max</f>
        <v>0.82815132075110376</v>
      </c>
      <c r="CF237" s="1189">
        <f>'2027'!R\Max</f>
        <v>0.82534240893792754</v>
      </c>
    </row>
    <row r="238" spans="1:84" s="6" customFormat="1" ht="11.25" x14ac:dyDescent="0.2">
      <c r="A238" s="11">
        <v>43324</v>
      </c>
      <c r="B238" s="380">
        <f>'2023'!Maxi_hp</f>
        <v>46.829298793552006</v>
      </c>
      <c r="C238" s="13">
        <f>'2023'!An_max</f>
        <v>2022</v>
      </c>
      <c r="D238" s="1059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51">
        <f t="shared" si="100"/>
        <v>0.42857142857142855</v>
      </c>
      <c r="J238" s="744">
        <f t="shared" si="101"/>
        <v>54.141544023369036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2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51">
        <f t="shared" si="105"/>
        <v>0.7142857142857143</v>
      </c>
      <c r="AT238" s="767">
        <f t="shared" si="106"/>
        <v>54.13917434332626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51">
        <f t="shared" si="110"/>
        <v>0.21428571428571427</v>
      </c>
      <c r="AY238" s="767">
        <f t="shared" si="111"/>
        <v>54.10344402279172</v>
      </c>
      <c r="AZ238" s="744">
        <f t="shared" si="115"/>
        <v>54.12130918305899</v>
      </c>
      <c r="BA238" s="642">
        <f t="shared" si="112"/>
        <v>0.86494206322115863</v>
      </c>
      <c r="BC238" s="11">
        <v>43324</v>
      </c>
      <c r="BD238" s="290">
        <f>[2]!FeuilCaduc*(1-Persistant)+Persistant</f>
        <v>0.99722528259737375</v>
      </c>
      <c r="BE238" s="291">
        <f>[2]!CroissVégét</f>
        <v>0.93036376011657451</v>
      </c>
      <c r="BF238" s="814">
        <f>1+[2]!Salcycl*Ksac</f>
        <v>1.0496531603246717</v>
      </c>
      <c r="BH238" s="1050">
        <f t="shared" si="113"/>
        <v>1.4726109426159435E-2</v>
      </c>
      <c r="BI238" s="11">
        <v>44420</v>
      </c>
      <c r="BJ238" s="724">
        <v>1.1183239398533319E-7</v>
      </c>
      <c r="BK238" s="724">
        <v>1.1183239398533318E-7</v>
      </c>
      <c r="BL238" s="724">
        <v>1.1183239398533318E-7</v>
      </c>
      <c r="BM238" s="724">
        <v>9.9040417991911862E-5</v>
      </c>
      <c r="BN238" s="724">
        <v>3.1811468684155961E-3</v>
      </c>
      <c r="BO238" s="725">
        <v>1.4726109426159435E-2</v>
      </c>
      <c r="BP238" s="724">
        <v>3.7504686448636027E-2</v>
      </c>
      <c r="BQ238" s="724">
        <v>8.8675227510742582E-2</v>
      </c>
      <c r="BR238" s="724">
        <v>0.19457401019220652</v>
      </c>
      <c r="BS238" s="724">
        <v>0.37699234186182884</v>
      </c>
      <c r="BT238" s="724">
        <v>0.61588762366548422</v>
      </c>
      <c r="BW238" s="1190">
        <f>'2018'!R\Max</f>
        <v>0</v>
      </c>
      <c r="BX238" s="1188">
        <f>'2019'!R\Max</f>
        <v>0.5258637124308071</v>
      </c>
      <c r="BY238" s="1188">
        <f>'2020'!R\Max</f>
        <v>0.80888318387522806</v>
      </c>
      <c r="BZ238" s="1188">
        <f>'2021'!R\Max</f>
        <v>0.85383303724466098</v>
      </c>
      <c r="CA238" s="1188">
        <f>'2022'!R\Max</f>
        <v>0.86494206322115863</v>
      </c>
      <c r="CB238" s="1188">
        <f>'2023'!R\Max</f>
        <v>0.86453941586395544</v>
      </c>
      <c r="CC238" s="1188">
        <f>'2024'!R\Max</f>
        <v>0.86385436900260759</v>
      </c>
      <c r="CD238" s="1188">
        <f>'2025'!R\Max</f>
        <v>0.86272284355227935</v>
      </c>
      <c r="CE238" s="1188">
        <f>'2026'!R\Max</f>
        <v>0.86127491615160512</v>
      </c>
      <c r="CF238" s="1189">
        <f>'2027'!R\Max</f>
        <v>0.85880938954476338</v>
      </c>
    </row>
    <row r="239" spans="1:84" s="6" customFormat="1" ht="11.25" x14ac:dyDescent="0.2">
      <c r="A239" s="11">
        <v>43325</v>
      </c>
      <c r="B239" s="380">
        <f>'2023'!Maxi_hp</f>
        <v>47.124763109850662</v>
      </c>
      <c r="C239" s="13">
        <f>'2023'!An_max</f>
        <v>2019</v>
      </c>
      <c r="D239" s="1059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51">
        <f t="shared" si="100"/>
        <v>0.5</v>
      </c>
      <c r="J239" s="744">
        <f t="shared" si="101"/>
        <v>53.90514999963343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2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51">
        <f t="shared" si="105"/>
        <v>0.75</v>
      </c>
      <c r="AT239" s="767">
        <f t="shared" si="106"/>
        <v>53.905943749193099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51">
        <f t="shared" si="110"/>
        <v>0.25</v>
      </c>
      <c r="AY239" s="767">
        <f t="shared" si="111"/>
        <v>53.863875000551346</v>
      </c>
      <c r="AZ239" s="744">
        <f t="shared" si="115"/>
        <v>53.884909374872223</v>
      </c>
      <c r="BA239" s="642">
        <f t="shared" si="112"/>
        <v>0.87421634315406083</v>
      </c>
      <c r="BC239" s="11">
        <v>43325</v>
      </c>
      <c r="BD239" s="290">
        <f>[2]!FeuilCaduc*(1-Persistant)+Persistant</f>
        <v>0.9968892171945738</v>
      </c>
      <c r="BE239" s="291">
        <f>[2]!CroissVégét</f>
        <v>0.93299147677206173</v>
      </c>
      <c r="BF239" s="814">
        <f>1+[2]!Salcycl*Ksac</f>
        <v>1.0496111521493217</v>
      </c>
      <c r="BH239" s="1050">
        <f t="shared" si="113"/>
        <v>1.4338795753586658E-2</v>
      </c>
      <c r="BI239" s="11">
        <v>44421</v>
      </c>
      <c r="BJ239" s="724">
        <v>1.5656246107312541E-7</v>
      </c>
      <c r="BK239" s="724">
        <v>1.5656246107312539E-7</v>
      </c>
      <c r="BL239" s="724">
        <v>1.5656246107312539E-7</v>
      </c>
      <c r="BM239" s="724">
        <v>9.764916261840263E-5</v>
      </c>
      <c r="BN239" s="724">
        <v>3.1027399893106891E-3</v>
      </c>
      <c r="BO239" s="725">
        <v>1.4338795753586658E-2</v>
      </c>
      <c r="BP239" s="724">
        <v>3.691773717517649E-2</v>
      </c>
      <c r="BQ239" s="724">
        <v>9.0128594070642234E-2</v>
      </c>
      <c r="BR239" s="724">
        <v>0.20086497533693956</v>
      </c>
      <c r="BS239" s="724">
        <v>0.39007079389764138</v>
      </c>
      <c r="BT239" s="724">
        <v>0.63564691430980846</v>
      </c>
      <c r="BW239" s="1190">
        <f>'2018'!R\Max</f>
        <v>0</v>
      </c>
      <c r="BX239" s="1188">
        <f>'2019'!R\Max</f>
        <v>0.87421634315406083</v>
      </c>
      <c r="BY239" s="1188">
        <f>'2020'!R\Max</f>
        <v>0.49642643379696511</v>
      </c>
      <c r="BZ239" s="1188">
        <f>'2021'!R\Max</f>
        <v>0.64735658562297671</v>
      </c>
      <c r="CA239" s="1188">
        <f>'2022'!R\Max</f>
        <v>0.67348193939674017</v>
      </c>
      <c r="CB239" s="1188">
        <f>'2023'!R\Max</f>
        <v>0.67270958797697855</v>
      </c>
      <c r="CC239" s="1188">
        <f>'2024'!R\Max</f>
        <v>0.67136625550815032</v>
      </c>
      <c r="CD239" s="1188">
        <f>'2025'!R\Max</f>
        <v>0.66914022635748682</v>
      </c>
      <c r="CE239" s="1188">
        <f>'2026'!R\Max</f>
        <v>0.66630355852903989</v>
      </c>
      <c r="CF239" s="1189">
        <f>'2027'!R\Max</f>
        <v>0.66153317523328625</v>
      </c>
    </row>
    <row r="240" spans="1:84" s="6" customFormat="1" ht="11.25" x14ac:dyDescent="0.2">
      <c r="A240" s="11">
        <v>43326</v>
      </c>
      <c r="B240" s="380">
        <f>'2023'!Maxi_hp</f>
        <v>53.688303667232056</v>
      </c>
      <c r="C240" s="13">
        <f>'2023'!An_max</f>
        <v>2019</v>
      </c>
      <c r="D240" s="1059">
        <f t="shared" si="97"/>
        <v>1.000446363621738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51">
        <f t="shared" si="100"/>
        <v>0.5714285714285714</v>
      </c>
      <c r="J240" s="744">
        <f t="shared" si="101"/>
        <v>53.664349853673151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2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51">
        <f t="shared" si="105"/>
        <v>0.7857142857142857</v>
      </c>
      <c r="AT240" s="767">
        <f t="shared" si="106"/>
        <v>53.667626676043234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51">
        <f t="shared" si="110"/>
        <v>0.2857142857142857</v>
      </c>
      <c r="AY240" s="767">
        <f t="shared" si="111"/>
        <v>53.620806997588701</v>
      </c>
      <c r="AZ240" s="744">
        <f t="shared" si="115"/>
        <v>53.644216836815971</v>
      </c>
      <c r="BA240" s="642">
        <f t="shared" si="112"/>
        <v>1.000446363621738</v>
      </c>
      <c r="BC240" s="11">
        <v>43326</v>
      </c>
      <c r="BD240" s="290">
        <f>[2]!FeuilCaduc*(1-Persistant)+Persistant</f>
        <v>0.99653301000966721</v>
      </c>
      <c r="BE240" s="291">
        <f>[2]!CroissVégét</f>
        <v>0.93552736989395957</v>
      </c>
      <c r="BF240" s="814">
        <f>1+[2]!Salcycl*Ksac</f>
        <v>1.0495666262512084</v>
      </c>
      <c r="BH240" s="1050">
        <f t="shared" si="113"/>
        <v>1.3950297992933137E-2</v>
      </c>
      <c r="BI240" s="11">
        <v>44422</v>
      </c>
      <c r="BJ240" s="724">
        <v>2.0874778719612551E-7</v>
      </c>
      <c r="BK240" s="724">
        <v>2.0874778719612551E-7</v>
      </c>
      <c r="BL240" s="724">
        <v>2.0874778719612551E-7</v>
      </c>
      <c r="BM240" s="724">
        <v>9.6160252773225393E-5</v>
      </c>
      <c r="BN240" s="724">
        <v>3.0244575867310231E-3</v>
      </c>
      <c r="BO240" s="725">
        <v>1.3950297992933137E-2</v>
      </c>
      <c r="BP240" s="724">
        <v>3.6503760515732453E-2</v>
      </c>
      <c r="BQ240" s="724">
        <v>9.1970337189760207E-2</v>
      </c>
      <c r="BR240" s="724">
        <v>0.20775356154265731</v>
      </c>
      <c r="BS240" s="724">
        <v>0.40355475750956837</v>
      </c>
      <c r="BT240" s="724">
        <v>0.65535203873187675</v>
      </c>
      <c r="BW240" s="1190">
        <f>'2018'!R\Max</f>
        <v>0</v>
      </c>
      <c r="BX240" s="1188">
        <f>'2019'!R\Max</f>
        <v>1.000446363621738</v>
      </c>
      <c r="BY240" s="1188">
        <f>'2020'!R\Max</f>
        <v>0.33813277433309552</v>
      </c>
      <c r="BZ240" s="1188">
        <f>'2021'!R\Max</f>
        <v>0.8711384221741566</v>
      </c>
      <c r="CA240" s="1188">
        <f>'2022'!R\Max</f>
        <v>0.61210853192444203</v>
      </c>
      <c r="CB240" s="1188">
        <f>'2023'!R\Max</f>
        <v>0.61125324952974169</v>
      </c>
      <c r="CC240" s="1188">
        <f>'2024'!R\Max</f>
        <v>0.60973611167349728</v>
      </c>
      <c r="CD240" s="1188">
        <f>'2025'!R\Max</f>
        <v>0.60721393686007585</v>
      </c>
      <c r="CE240" s="1188">
        <f>'2026'!R\Max</f>
        <v>0.60400623218970473</v>
      </c>
      <c r="CF240" s="1189">
        <f>'2027'!R\Max</f>
        <v>0.59866798754945905</v>
      </c>
    </row>
    <row r="241" spans="1:84" s="6" customFormat="1" ht="11.25" x14ac:dyDescent="0.2">
      <c r="A241" s="11">
        <v>43327</v>
      </c>
      <c r="B241" s="380">
        <f>'2023'!Maxi_hp</f>
        <v>46.59214980096219</v>
      </c>
      <c r="C241" s="13">
        <f>'2023'!An_max</f>
        <v>2020</v>
      </c>
      <c r="D241" s="1059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51">
        <f t="shared" si="100"/>
        <v>0.6428571428571429</v>
      </c>
      <c r="J241" s="744">
        <f t="shared" si="101"/>
        <v>53.419032506910824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2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51">
        <f t="shared" si="105"/>
        <v>0.8214285714285714</v>
      </c>
      <c r="AT241" s="767">
        <f t="shared" si="106"/>
        <v>53.424042619498707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51">
        <f t="shared" si="110"/>
        <v>0.32142857142857145</v>
      </c>
      <c r="AY241" s="767">
        <f t="shared" si="111"/>
        <v>53.374128935486077</v>
      </c>
      <c r="AZ241" s="744">
        <f t="shared" si="115"/>
        <v>53.399085777492388</v>
      </c>
      <c r="BA241" s="642">
        <f t="shared" si="112"/>
        <v>0.87220130381310368</v>
      </c>
      <c r="BC241" s="11">
        <v>43327</v>
      </c>
      <c r="BD241" s="290">
        <f>[2]!FeuilCaduc*(1-Persistant)+Persistant</f>
        <v>0.99615610276200495</v>
      </c>
      <c r="BE241" s="291">
        <f>[2]!CroissVégét</f>
        <v>0.93797413894004</v>
      </c>
      <c r="BF241" s="814">
        <f>1+[2]!Salcycl*Ksac</f>
        <v>1.0495195128452506</v>
      </c>
      <c r="BH241" s="1050">
        <f t="shared" si="113"/>
        <v>1.3565194602824938E-2</v>
      </c>
      <c r="BI241" s="11">
        <v>44423</v>
      </c>
      <c r="BJ241" s="724">
        <v>2.6838932723797103E-7</v>
      </c>
      <c r="BK241" s="724">
        <v>2.6838932723797108E-7</v>
      </c>
      <c r="BL241" s="724">
        <v>2.6838932723797108E-7</v>
      </c>
      <c r="BM241" s="724">
        <v>9.477495857163877E-5</v>
      </c>
      <c r="BN241" s="724">
        <v>2.9471743836515575E-3</v>
      </c>
      <c r="BO241" s="725">
        <v>1.3565194602824938E-2</v>
      </c>
      <c r="BP241" s="724">
        <v>3.6267795867669213E-2</v>
      </c>
      <c r="BQ241" s="724">
        <v>9.4084028149563806E-2</v>
      </c>
      <c r="BR241" s="724">
        <v>0.21502564894602591</v>
      </c>
      <c r="BS241" s="724">
        <v>0.41710151891673181</v>
      </c>
      <c r="BT241" s="724">
        <v>0.67461920180371093</v>
      </c>
      <c r="BW241" s="1190">
        <f>'2018'!R\Max</f>
        <v>0</v>
      </c>
      <c r="BX241" s="1188">
        <f>'2019'!R\Max</f>
        <v>0.56454772144918264</v>
      </c>
      <c r="BY241" s="1188">
        <f>'2020'!R\Max</f>
        <v>0.87220130381310368</v>
      </c>
      <c r="BZ241" s="1188">
        <f>'2021'!R\Max</f>
        <v>0.39399861049968365</v>
      </c>
      <c r="CA241" s="1188">
        <f>'2022'!R\Max</f>
        <v>0.75013981080964121</v>
      </c>
      <c r="CB241" s="1188">
        <f>'2023'!R\Max</f>
        <v>0.74944359385737325</v>
      </c>
      <c r="CC241" s="1188">
        <f>'2024'!R\Max</f>
        <v>0.74818729626120184</v>
      </c>
      <c r="CD241" s="1188">
        <f>'2025'!R\Max</f>
        <v>0.74608632884436632</v>
      </c>
      <c r="CE241" s="1188">
        <f>'2026'!R\Max</f>
        <v>0.74340688561887114</v>
      </c>
      <c r="CF241" s="1189">
        <f>'2027'!R\Max</f>
        <v>0.738969421655714</v>
      </c>
    </row>
    <row r="242" spans="1:84" s="6" customFormat="1" ht="11.25" x14ac:dyDescent="0.2">
      <c r="A242" s="11">
        <v>43328</v>
      </c>
      <c r="B242" s="380">
        <f>'2023'!Maxi_hp</f>
        <v>52.312778726424021</v>
      </c>
      <c r="C242" s="13">
        <f>'2023'!An_max</f>
        <v>2019</v>
      </c>
      <c r="D242" s="1059">
        <f t="shared" si="97"/>
        <v>0.9838946236668028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51">
        <f t="shared" si="100"/>
        <v>0.7142857142857143</v>
      </c>
      <c r="J242" s="744">
        <f t="shared" si="101"/>
        <v>53.16908687991755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2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51">
        <f t="shared" si="105"/>
        <v>0.8571428571428571</v>
      </c>
      <c r="AT242" s="767">
        <f t="shared" si="106"/>
        <v>53.17501107752323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51">
        <f t="shared" si="110"/>
        <v>0.35714285714285715</v>
      </c>
      <c r="AY242" s="767">
        <f t="shared" si="111"/>
        <v>53.123729738593099</v>
      </c>
      <c r="AZ242" s="744">
        <f t="shared" si="115"/>
        <v>53.149370408058161</v>
      </c>
      <c r="BA242" s="642">
        <f t="shared" si="112"/>
        <v>0.9838946236668028</v>
      </c>
      <c r="BC242" s="11">
        <v>43328</v>
      </c>
      <c r="BD242" s="290">
        <f>[2]!FeuilCaduc*(1-Persistant)+Persistant</f>
        <v>0.99575785049972632</v>
      </c>
      <c r="BE242" s="291">
        <f>[2]!CroissVégét</f>
        <v>0.94033444219607754</v>
      </c>
      <c r="BF242" s="814">
        <f>1+[2]!Salcycl*Ksac</f>
        <v>1.0494697313124659</v>
      </c>
      <c r="BH242" s="1050">
        <f t="shared" si="113"/>
        <v>1.318347244986065E-2</v>
      </c>
      <c r="BI242" s="11">
        <v>44424</v>
      </c>
      <c r="BJ242" s="724">
        <v>3.3548831546880296E-7</v>
      </c>
      <c r="BK242" s="724">
        <v>3.3548831546880296E-7</v>
      </c>
      <c r="BL242" s="724">
        <v>3.3548831546880296E-7</v>
      </c>
      <c r="BM242" s="724">
        <v>9.349321775641592E-5</v>
      </c>
      <c r="BN242" s="724">
        <v>2.8708876720321217E-3</v>
      </c>
      <c r="BO242" s="725">
        <v>1.318347244986065E-2</v>
      </c>
      <c r="BP242" s="724">
        <v>3.6209825096234605E-2</v>
      </c>
      <c r="BQ242" s="724">
        <v>9.6469684354205873E-2</v>
      </c>
      <c r="BR242" s="724">
        <v>0.22268133558715542</v>
      </c>
      <c r="BS242" s="724">
        <v>0.43071126080347999</v>
      </c>
      <c r="BT242" s="724">
        <v>0.69344864226473368</v>
      </c>
      <c r="BW242" s="1190">
        <f>'2018'!R\Max</f>
        <v>0</v>
      </c>
      <c r="BX242" s="1188">
        <f>'2019'!R\Max</f>
        <v>0.9838946236668028</v>
      </c>
      <c r="BY242" s="1188">
        <f>'2020'!R\Max</f>
        <v>0.83495460066193228</v>
      </c>
      <c r="BZ242" s="1188">
        <f>'2021'!R\Max</f>
        <v>0.60878129088000288</v>
      </c>
      <c r="CA242" s="1188">
        <f>'2022'!R\Max</f>
        <v>0.6828245277303655</v>
      </c>
      <c r="CB242" s="1188">
        <f>'2023'!R\Max</f>
        <v>0.68199203216891147</v>
      </c>
      <c r="CC242" s="1188">
        <f>'2024'!R\Max</f>
        <v>0.68047360145894675</v>
      </c>
      <c r="CD242" s="1188">
        <f>'2025'!R\Max</f>
        <v>0.67793009467547782</v>
      </c>
      <c r="CE242" s="1188">
        <f>'2026'!R\Max</f>
        <v>0.67469434475087409</v>
      </c>
      <c r="CF242" s="1189">
        <f>'2027'!R\Max</f>
        <v>0.66941058006589083</v>
      </c>
    </row>
    <row r="243" spans="1:84" s="6" customFormat="1" ht="11.25" x14ac:dyDescent="0.2">
      <c r="A243" s="11">
        <v>43329</v>
      </c>
      <c r="B243" s="380">
        <f>'2023'!Maxi_hp</f>
        <v>51.695304108145685</v>
      </c>
      <c r="C243" s="13">
        <f>'2023'!An_max</f>
        <v>2019</v>
      </c>
      <c r="D243" s="1059">
        <f t="shared" si="97"/>
        <v>0.97696094553015012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51">
        <f t="shared" si="100"/>
        <v>0.7857142857142857</v>
      </c>
      <c r="J243" s="744">
        <f t="shared" si="101"/>
        <v>52.91440189565931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2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51">
        <f t="shared" si="105"/>
        <v>0.8928571428571429</v>
      </c>
      <c r="AT243" s="767">
        <f t="shared" si="106"/>
        <v>52.920351549104922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51">
        <f t="shared" si="110"/>
        <v>0.39285714285714285</v>
      </c>
      <c r="AY243" s="767">
        <f t="shared" si="111"/>
        <v>52.869498323170205</v>
      </c>
      <c r="AZ243" s="744">
        <f t="shared" si="115"/>
        <v>52.894924936137564</v>
      </c>
      <c r="BA243" s="642">
        <f t="shared" si="112"/>
        <v>0.97696094553015012</v>
      </c>
      <c r="BC243" s="11">
        <v>43329</v>
      </c>
      <c r="BD243" s="290">
        <f>[2]!FeuilCaduc*(1-Persistant)+Persistant</f>
        <v>0.99533752978320933</v>
      </c>
      <c r="BE243" s="291">
        <f>[2]!CroissVégét</f>
        <v>0.94261089426578282</v>
      </c>
      <c r="BF243" s="814">
        <f>1+[2]!Salcycl*Ksac</f>
        <v>1.0494171912229011</v>
      </c>
      <c r="BH243" s="1050">
        <f t="shared" si="113"/>
        <v>1.2805119024838016E-2</v>
      </c>
      <c r="BI243" s="11">
        <v>44425</v>
      </c>
      <c r="BJ243" s="724">
        <v>4.1004624237503021E-7</v>
      </c>
      <c r="BK243" s="724">
        <v>4.1004624237503016E-7</v>
      </c>
      <c r="BL243" s="724">
        <v>4.1004624237503016E-7</v>
      </c>
      <c r="BM243" s="724">
        <v>9.231497435034548E-5</v>
      </c>
      <c r="BN243" s="724">
        <v>2.7955948831126826E-3</v>
      </c>
      <c r="BO243" s="725">
        <v>1.2805119024838016E-2</v>
      </c>
      <c r="BP243" s="724">
        <v>3.6329838235581634E-2</v>
      </c>
      <c r="BQ243" s="724">
        <v>9.9127332600324525E-2</v>
      </c>
      <c r="BR243" s="724">
        <v>0.23072072739175667</v>
      </c>
      <c r="BS243" s="724">
        <v>0.44438415166374706</v>
      </c>
      <c r="BT243" s="724">
        <v>0.71184055527876855</v>
      </c>
      <c r="BW243" s="1190">
        <f>'2018'!R\Max</f>
        <v>0</v>
      </c>
      <c r="BX243" s="1188">
        <f>'2019'!R\Max</f>
        <v>0.97696094553015012</v>
      </c>
      <c r="BY243" s="1188">
        <f>'2020'!R\Max</f>
        <v>0.40459816341654453</v>
      </c>
      <c r="BZ243" s="1188">
        <f>'2021'!R\Max</f>
        <v>0.75597525939283716</v>
      </c>
      <c r="CA243" s="1188">
        <f>'2022'!R\Max</f>
        <v>0.54739577887585966</v>
      </c>
      <c r="CB243" s="1188">
        <f>'2023'!R\Max</f>
        <v>0.54640673236613702</v>
      </c>
      <c r="CC243" s="1188">
        <f>'2024'!R\Max</f>
        <v>0.54459189158711074</v>
      </c>
      <c r="CD243" s="1188">
        <f>'2025'!R\Max</f>
        <v>0.54155317203729181</v>
      </c>
      <c r="CE243" s="1188">
        <f>'2026'!R\Max</f>
        <v>0.53770542141592481</v>
      </c>
      <c r="CF243" s="1189">
        <f>'2027'!R\Max</f>
        <v>0.53153743239303264</v>
      </c>
    </row>
    <row r="244" spans="1:84" s="6" customFormat="1" ht="11.25" x14ac:dyDescent="0.2">
      <c r="A244" s="11">
        <v>43330</v>
      </c>
      <c r="B244" s="380">
        <f>'2023'!Maxi_hp</f>
        <v>51.933307624444232</v>
      </c>
      <c r="C244" s="13">
        <f>'2023'!An_max</f>
        <v>2021</v>
      </c>
      <c r="D244" s="1059">
        <f t="shared" si="97"/>
        <v>0.98629644520611282</v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51">
        <f t="shared" si="100"/>
        <v>0.8571428571428571</v>
      </c>
      <c r="J244" s="744">
        <f t="shared" si="101"/>
        <v>52.654866472312378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2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51">
        <f t="shared" si="105"/>
        <v>0.9285714285714286</v>
      </c>
      <c r="AT244" s="767">
        <f t="shared" si="106"/>
        <v>52.65988352812294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51">
        <f t="shared" si="110"/>
        <v>0.42857142857142855</v>
      </c>
      <c r="AY244" s="767">
        <f t="shared" si="111"/>
        <v>52.611323615695746</v>
      </c>
      <c r="AZ244" s="744">
        <f t="shared" si="115"/>
        <v>52.635603571909343</v>
      </c>
      <c r="BA244" s="642">
        <f t="shared" si="112"/>
        <v>0.98629644520611282</v>
      </c>
      <c r="BC244" s="11">
        <v>43330</v>
      </c>
      <c r="BD244" s="290">
        <f>[2]!FeuilCaduc*(1-Persistant)+Persistant</f>
        <v>0.99489434622181661</v>
      </c>
      <c r="BE244" s="291">
        <f>[2]!CroissVégét</f>
        <v>0.94480606387541</v>
      </c>
      <c r="BF244" s="814">
        <f>1+[2]!Salcycl*Ksac</f>
        <v>1.0493617932777271</v>
      </c>
      <c r="BH244" s="1050">
        <f t="shared" si="113"/>
        <v>1.2430122432403821E-2</v>
      </c>
      <c r="BI244" s="11">
        <v>44426</v>
      </c>
      <c r="BJ244" s="724">
        <v>4.9206483148323688E-7</v>
      </c>
      <c r="BK244" s="724">
        <v>4.9206483148323688E-7</v>
      </c>
      <c r="BL244" s="724">
        <v>4.9206483148323688E-7</v>
      </c>
      <c r="BM244" s="724">
        <v>9.1240178335482219E-5</v>
      </c>
      <c r="BN244" s="724">
        <v>2.7212935843507029E-3</v>
      </c>
      <c r="BO244" s="725">
        <v>1.2430122432403821E-2</v>
      </c>
      <c r="BP244" s="724">
        <v>3.6627832935952856E-2</v>
      </c>
      <c r="BQ244" s="724">
        <v>0.10205700823283002</v>
      </c>
      <c r="BR244" s="724">
        <v>0.23914393698138117</v>
      </c>
      <c r="BS244" s="724">
        <v>0.45812034561024023</v>
      </c>
      <c r="BT244" s="724">
        <v>0.72979509380256768</v>
      </c>
      <c r="BW244" s="1190">
        <f>'2018'!R\Max</f>
        <v>0</v>
      </c>
      <c r="BX244" s="1188">
        <f>'2019'!R\Max</f>
        <v>0.6191991327005304</v>
      </c>
      <c r="BY244" s="1188">
        <f>'2020'!R\Max</f>
        <v>0.81513253136277408</v>
      </c>
      <c r="BZ244" s="1188">
        <f>'2021'!R\Max</f>
        <v>0.98629644520611282</v>
      </c>
      <c r="CA244" s="1188">
        <f>'2022'!R\Max</f>
        <v>0.7426202788514249</v>
      </c>
      <c r="CB244" s="1188">
        <f>'2023'!R\Max</f>
        <v>0.74182405186989553</v>
      </c>
      <c r="CC244" s="1188">
        <f>'2024'!R\Max</f>
        <v>0.7403538483076213</v>
      </c>
      <c r="CD244" s="1188">
        <f>'2025'!R\Max</f>
        <v>0.73787842179434016</v>
      </c>
      <c r="CE244" s="1188">
        <f>'2026'!R\Max</f>
        <v>0.73472960327641323</v>
      </c>
      <c r="CF244" s="1189">
        <f>'2027'!R\Max</f>
        <v>0.72971347798962605</v>
      </c>
    </row>
    <row r="245" spans="1:84" s="6" customFormat="1" ht="11.25" x14ac:dyDescent="0.2">
      <c r="A245" s="11">
        <v>43331</v>
      </c>
      <c r="B245" s="380">
        <f>'2023'!Maxi_hp</f>
        <v>43.525494254603814</v>
      </c>
      <c r="C245" s="13">
        <f>'2023'!An_max</f>
        <v>2021</v>
      </c>
      <c r="D245" s="1059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51">
        <f t="shared" si="100"/>
        <v>0.9285714285714286</v>
      </c>
      <c r="J245" s="744">
        <f t="shared" si="101"/>
        <v>52.390369534119962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2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51">
        <f t="shared" si="105"/>
        <v>0.9642857142857143</v>
      </c>
      <c r="AT245" s="767">
        <f t="shared" si="106"/>
        <v>52.393426512846986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51">
        <f t="shared" si="110"/>
        <v>0.4642857142857143</v>
      </c>
      <c r="AY245" s="767">
        <f t="shared" si="111"/>
        <v>52.349094533361495</v>
      </c>
      <c r="AZ245" s="744">
        <f t="shared" si="115"/>
        <v>52.37126052310424</v>
      </c>
      <c r="BA245" s="642">
        <f t="shared" si="112"/>
        <v>0.83079189251103158</v>
      </c>
      <c r="BC245" s="11">
        <v>43331</v>
      </c>
      <c r="BD245" s="290">
        <f>[2]!FeuilCaduc*(1-Persistant)+Persistant</f>
        <v>0.99442744128564253</v>
      </c>
      <c r="BE245" s="291">
        <f>[2]!CroissVégét</f>
        <v>0.94692247197428869</v>
      </c>
      <c r="BF245" s="814">
        <f>1+[2]!Salcycl*Ksac</f>
        <v>1.0493034301607054</v>
      </c>
      <c r="BH245" s="1050">
        <f t="shared" si="113"/>
        <v>1.2058471380921761E-2</v>
      </c>
      <c r="BI245" s="11">
        <v>44427</v>
      </c>
      <c r="BJ245" s="724">
        <v>5.8154601618782947E-7</v>
      </c>
      <c r="BK245" s="724">
        <v>5.8154601618782947E-7</v>
      </c>
      <c r="BL245" s="724">
        <v>5.8154601618782947E-7</v>
      </c>
      <c r="BM245" s="724">
        <v>9.0268785333910435E-5</v>
      </c>
      <c r="BN245" s="724">
        <v>2.647981476405797E-3</v>
      </c>
      <c r="BO245" s="725">
        <v>1.2058471380921761E-2</v>
      </c>
      <c r="BP245" s="724">
        <v>3.7103813911438362E-2</v>
      </c>
      <c r="BQ245" s="724">
        <v>0.10525875430217163</v>
      </c>
      <c r="BR245" s="724">
        <v>0.24795108248703701</v>
      </c>
      <c r="BS245" s="724">
        <v>0.47191998219019676</v>
      </c>
      <c r="BT245" s="724">
        <v>0.74731236996499861</v>
      </c>
      <c r="BW245" s="1190">
        <f>'2018'!R\Max</f>
        <v>0</v>
      </c>
      <c r="BX245" s="1188">
        <f>'2019'!R\Max</f>
        <v>0.66195413223555677</v>
      </c>
      <c r="BY245" s="1188">
        <f>'2020'!R\Max</f>
        <v>0.77336145193638106</v>
      </c>
      <c r="BZ245" s="1188">
        <f>'2021'!R\Max</f>
        <v>0.83079189251103158</v>
      </c>
      <c r="CA245" s="1188">
        <f>'2022'!R\Max</f>
        <v>0.77489933051684723</v>
      </c>
      <c r="CB245" s="1188">
        <f>'2023'!R\Max</f>
        <v>0.77413925892035806</v>
      </c>
      <c r="CC245" s="1188">
        <f>'2024'!R\Max</f>
        <v>0.77273397357807405</v>
      </c>
      <c r="CD245" s="1188">
        <f>'2025'!R\Max</f>
        <v>0.77036323543233087</v>
      </c>
      <c r="CE245" s="1188">
        <f>'2026'!R\Max</f>
        <v>0.76734745565055762</v>
      </c>
      <c r="CF245" s="1189">
        <f>'2027'!R\Max</f>
        <v>0.76261007047567542</v>
      </c>
    </row>
    <row r="246" spans="1:84" s="6" customFormat="1" ht="11.25" x14ac:dyDescent="0.2">
      <c r="A246" s="11">
        <v>43332</v>
      </c>
      <c r="B246" s="380">
        <f>'2023'!Maxi_hp</f>
        <v>48.990722574028382</v>
      </c>
      <c r="C246" s="13">
        <f>'2023'!An_max</f>
        <v>2022</v>
      </c>
      <c r="D246" s="1059" t="str">
        <f t="shared" si="97"/>
        <v/>
      </c>
      <c r="E246" s="1054">
        <f>AD$13/10</f>
        <v>52.120799999999996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51">
        <f t="shared" si="100"/>
        <v>1</v>
      </c>
      <c r="J246" s="744">
        <f t="shared" si="101"/>
        <v>52.120799999684095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2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51">
        <f t="shared" si="105"/>
        <v>1</v>
      </c>
      <c r="AT246" s="767">
        <f t="shared" si="106"/>
        <v>52.120799999684095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51">
        <f t="shared" si="110"/>
        <v>0.5</v>
      </c>
      <c r="AY246" s="767">
        <f t="shared" si="111"/>
        <v>52.082700000703333</v>
      </c>
      <c r="AZ246" s="744">
        <f t="shared" si="115"/>
        <v>52.101750000193718</v>
      </c>
      <c r="BA246" s="642">
        <f t="shared" si="112"/>
        <v>0.93994571407816674</v>
      </c>
      <c r="BC246" s="11">
        <v>43332</v>
      </c>
      <c r="BD246" s="290">
        <f>[2]!FeuilCaduc*(1-Persistant)+Persistant</f>
        <v>0.99393589832709273</v>
      </c>
      <c r="BE246" s="291">
        <f>[2]!CroissVégét</f>
        <v>0.94896259011285922</v>
      </c>
      <c r="BF246" s="814">
        <f>1+[2]!Salcycl*Ksac</f>
        <v>1.0492419872908867</v>
      </c>
      <c r="BH246" s="1050">
        <f t="shared" si="113"/>
        <v>1.1690155172369742E-2</v>
      </c>
      <c r="BI246" s="11">
        <v>44428</v>
      </c>
      <c r="BJ246" s="724">
        <v>6.7849191658292622E-7</v>
      </c>
      <c r="BK246" s="724">
        <v>6.7849191658292633E-7</v>
      </c>
      <c r="BL246" s="724">
        <v>6.7849191658292633E-7</v>
      </c>
      <c r="BM246" s="724">
        <v>8.9400756288778556E-5</v>
      </c>
      <c r="BN246" s="724">
        <v>2.5756563901311118E-3</v>
      </c>
      <c r="BO246" s="725">
        <v>1.1690155172369742E-2</v>
      </c>
      <c r="BP246" s="724">
        <v>3.7757792387863566E-2</v>
      </c>
      <c r="BQ246" s="724">
        <v>0.10873262072204143</v>
      </c>
      <c r="BR246" s="724">
        <v>0.25714228636388742</v>
      </c>
      <c r="BS246" s="724">
        <v>0.48578318620315381</v>
      </c>
      <c r="BT246" s="724">
        <v>0.76439245644931331</v>
      </c>
      <c r="BW246" s="1190">
        <f>'2018'!R\Max</f>
        <v>0</v>
      </c>
      <c r="BX246" s="1188">
        <f>'2019'!R\Max</f>
        <v>0.63053351636369637</v>
      </c>
      <c r="BY246" s="1188">
        <f>'2020'!R\Max</f>
        <v>0.93163850898644252</v>
      </c>
      <c r="BZ246" s="1188">
        <f>'2021'!R\Max</f>
        <v>0.92997882732519999</v>
      </c>
      <c r="CA246" s="1188">
        <f>'2022'!R\Max</f>
        <v>0.93994571407816674</v>
      </c>
      <c r="CB246" s="1188">
        <f>'2023'!R\Max</f>
        <v>0.93968759340290442</v>
      </c>
      <c r="CC246" s="1188">
        <f>'2024'!R\Max</f>
        <v>0.93921020675175892</v>
      </c>
      <c r="CD246" s="1188">
        <f>'2025'!R\Max</f>
        <v>0.93840113454718177</v>
      </c>
      <c r="CE246" s="1188">
        <f>'2026'!R\Max</f>
        <v>0.93736737693512051</v>
      </c>
      <c r="CF246" s="1189">
        <f>'2027'!R\Max</f>
        <v>0.93575780186474644</v>
      </c>
    </row>
    <row r="247" spans="1:84" s="6" customFormat="1" ht="11.25" x14ac:dyDescent="0.2">
      <c r="A247" s="11">
        <v>43333</v>
      </c>
      <c r="B247" s="380">
        <f>'2023'!Maxi_hp</f>
        <v>48.833127388179392</v>
      </c>
      <c r="C247" s="13">
        <f>'2023'!An_max</f>
        <v>2019</v>
      </c>
      <c r="D247" s="1059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51">
        <f t="shared" si="100"/>
        <v>0.9285714285714286</v>
      </c>
      <c r="J247" s="744">
        <f t="shared" si="101"/>
        <v>51.846565159835983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2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51">
        <f t="shared" si="105"/>
        <v>0.9642857142857143</v>
      </c>
      <c r="AT247" s="767">
        <f t="shared" si="106"/>
        <v>51.841758691985163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51">
        <f t="shared" si="110"/>
        <v>0.5357142857142857</v>
      </c>
      <c r="AY247" s="767">
        <f t="shared" si="111"/>
        <v>51.81202893690871</v>
      </c>
      <c r="AZ247" s="744">
        <f t="shared" si="115"/>
        <v>51.826893814446933</v>
      </c>
      <c r="BA247" s="642">
        <f t="shared" si="112"/>
        <v>0.94187777411354889</v>
      </c>
      <c r="BC247" s="11">
        <v>43333</v>
      </c>
      <c r="BD247" s="290">
        <f>[2]!FeuilCaduc*(1-Persistant)+Persistant</f>
        <v>0.99341874776098615</v>
      </c>
      <c r="BE247" s="291">
        <f>[2]!CroissVégét</f>
        <v>0.95092883908018766</v>
      </c>
      <c r="BF247" s="814">
        <f>1+[2]!Salcycl*Ksac</f>
        <v>1.0491773434701233</v>
      </c>
      <c r="BH247" s="1050">
        <f t="shared" si="113"/>
        <v>1.1325163691977058E-2</v>
      </c>
      <c r="BI247" s="11">
        <v>44429</v>
      </c>
      <c r="BJ247" s="724">
        <v>7.8290481628222E-7</v>
      </c>
      <c r="BK247" s="724">
        <v>7.8290481628221989E-7</v>
      </c>
      <c r="BL247" s="724">
        <v>7.8290481628221989E-7</v>
      </c>
      <c r="BM247" s="724">
        <v>8.8636057143394722E-5</v>
      </c>
      <c r="BN247" s="724">
        <v>2.5043162835076071E-3</v>
      </c>
      <c r="BO247" s="725">
        <v>1.1325163691977058E-2</v>
      </c>
      <c r="BP247" s="724">
        <v>3.8589785549885146E-2</v>
      </c>
      <c r="BQ247" s="724">
        <v>0.11247866342483721</v>
      </c>
      <c r="BR247" s="724">
        <v>0.26671767420067299</v>
      </c>
      <c r="BS247" s="724">
        <v>0.4997100675086521</v>
      </c>
      <c r="BT247" s="724">
        <v>0.78103538785945936</v>
      </c>
      <c r="BW247" s="1190">
        <f>'2018'!R\Max</f>
        <v>0</v>
      </c>
      <c r="BX247" s="1188">
        <f>'2019'!R\Max</f>
        <v>0.94187777411354889</v>
      </c>
      <c r="BY247" s="1188">
        <f>'2020'!R\Max</f>
        <v>0.93190197646923911</v>
      </c>
      <c r="BZ247" s="1188">
        <f>'2021'!R\Max</f>
        <v>0.88508860067119166</v>
      </c>
      <c r="CA247" s="1188">
        <f>'2022'!R\Max</f>
        <v>0.60735306696448055</v>
      </c>
      <c r="CB247" s="1188">
        <f>'2023'!R\Max</f>
        <v>0.60620881143588645</v>
      </c>
      <c r="CC247" s="1188">
        <f>'2024'!R\Max</f>
        <v>0.60411079053060279</v>
      </c>
      <c r="CD247" s="1188">
        <f>'2025'!R\Max</f>
        <v>0.60058077446384661</v>
      </c>
      <c r="CE247" s="1188">
        <f>'2026'!R\Max</f>
        <v>0.5961241712792632</v>
      </c>
      <c r="CF247" s="1189">
        <f>'2027'!R\Max</f>
        <v>0.5894115495611445</v>
      </c>
    </row>
    <row r="248" spans="1:84" s="6" customFormat="1" ht="11.25" x14ac:dyDescent="0.2">
      <c r="A248" s="11">
        <v>43334</v>
      </c>
      <c r="B248" s="380">
        <f>'2023'!Maxi_hp</f>
        <v>52.442438256662555</v>
      </c>
      <c r="C248" s="13">
        <f>'2023'!An_max</f>
        <v>2019</v>
      </c>
      <c r="D248" s="1059">
        <f t="shared" si="97"/>
        <v>1.0169555679529745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51">
        <f t="shared" si="100"/>
        <v>0.8571428571428571</v>
      </c>
      <c r="J248" s="744">
        <f t="shared" si="101"/>
        <v>51.568072302533054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2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51">
        <f t="shared" si="105"/>
        <v>0.9285714285714286</v>
      </c>
      <c r="AT248" s="767">
        <f t="shared" si="106"/>
        <v>51.556316472377105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51">
        <f t="shared" si="110"/>
        <v>0.5714285714285714</v>
      </c>
      <c r="AY248" s="767">
        <f t="shared" si="111"/>
        <v>51.536970262442324</v>
      </c>
      <c r="AZ248" s="744">
        <f t="shared" si="115"/>
        <v>51.546643367409715</v>
      </c>
      <c r="BA248" s="642">
        <f t="shared" si="112"/>
        <v>1.0169555679529745</v>
      </c>
      <c r="BC248" s="11">
        <v>43334</v>
      </c>
      <c r="BD248" s="290">
        <f>[2]!FeuilCaduc*(1-Persistant)+Persistant</f>
        <v>0.99287497136627267</v>
      </c>
      <c r="BE248" s="291">
        <f>[2]!CroissVégét</f>
        <v>0.95282358778342446</v>
      </c>
      <c r="BF248" s="814">
        <f>1+[2]!Salcycl*Ksac</f>
        <v>1.049109371420784</v>
      </c>
      <c r="BH248" s="1050">
        <f t="shared" si="113"/>
        <v>1.1020677139077513E-2</v>
      </c>
      <c r="BI248" s="11">
        <v>44430</v>
      </c>
      <c r="BJ248" s="724">
        <v>8.7987402026913681E-7</v>
      </c>
      <c r="BK248" s="724">
        <v>8.7987402026913681E-7</v>
      </c>
      <c r="BL248" s="724">
        <v>8.7987402026913681E-7</v>
      </c>
      <c r="BM248" s="724">
        <v>8.7914888568781772E-5</v>
      </c>
      <c r="BN248" s="724">
        <v>2.4339980698875217E-3</v>
      </c>
      <c r="BO248" s="725">
        <v>1.1020677139077513E-2</v>
      </c>
      <c r="BP248" s="724">
        <v>3.9678872747873954E-2</v>
      </c>
      <c r="BQ248" s="724">
        <v>0.11667760088952951</v>
      </c>
      <c r="BR248" s="724">
        <v>0.27665804559048063</v>
      </c>
      <c r="BS248" s="724">
        <v>0.51343615803462861</v>
      </c>
      <c r="BT248" s="724">
        <v>0.79657090907649875</v>
      </c>
      <c r="BW248" s="1190">
        <f>'2018'!R\Max</f>
        <v>0</v>
      </c>
      <c r="BX248" s="1188">
        <f>'2019'!R\Max</f>
        <v>1.0169555679529745</v>
      </c>
      <c r="BY248" s="1188">
        <f>'2020'!R\Max</f>
        <v>0.88469585937874462</v>
      </c>
      <c r="BZ248" s="1188">
        <f>'2021'!R\Max</f>
        <v>0.41248808464697795</v>
      </c>
      <c r="CA248" s="1188">
        <f>'2022'!R\Max</f>
        <v>0.53642307835093062</v>
      </c>
      <c r="CB248" s="1188">
        <f>'2023'!R\Max</f>
        <v>0.53516596147602646</v>
      </c>
      <c r="CC248" s="1188">
        <f>'2024'!R\Max</f>
        <v>0.53287740075348455</v>
      </c>
      <c r="CD248" s="1188">
        <f>'2025'!R\Max</f>
        <v>0.52904136822379288</v>
      </c>
      <c r="CE248" s="1188">
        <f>'2026'!R\Max</f>
        <v>0.52421933692157463</v>
      </c>
      <c r="CF248" s="1189">
        <f>'2027'!R\Max</f>
        <v>0.51711490498699164</v>
      </c>
    </row>
    <row r="249" spans="1:84" s="6" customFormat="1" ht="11.25" x14ac:dyDescent="0.2">
      <c r="A249" s="11">
        <v>43335</v>
      </c>
      <c r="B249" s="380">
        <f>'2023'!Maxi_hp</f>
        <v>49.838510164075387</v>
      </c>
      <c r="C249" s="13">
        <f>'2023'!An_max</f>
        <v>2019</v>
      </c>
      <c r="D249" s="1059">
        <f t="shared" si="97"/>
        <v>0.97179108410835302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51">
        <f t="shared" si="100"/>
        <v>0.7857142857142857</v>
      </c>
      <c r="J249" s="744">
        <f t="shared" si="101"/>
        <v>51.285210349304336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2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51">
        <f t="shared" si="105"/>
        <v>0.8928571428571429</v>
      </c>
      <c r="AT249" s="767">
        <f t="shared" si="106"/>
        <v>51.264681614256858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51">
        <f t="shared" si="110"/>
        <v>0.6071428571428571</v>
      </c>
      <c r="AY249" s="767">
        <f t="shared" si="111"/>
        <v>51.257412901999693</v>
      </c>
      <c r="AZ249" s="744">
        <f t="shared" si="115"/>
        <v>51.261047258128272</v>
      </c>
      <c r="BA249" s="642">
        <f t="shared" si="112"/>
        <v>0.97179108410835302</v>
      </c>
      <c r="BC249" s="11">
        <v>43335</v>
      </c>
      <c r="BD249" s="290">
        <f>[2]!FeuilCaduc*(1-Persistant)+Persistant</f>
        <v>0.9923035056872701</v>
      </c>
      <c r="BE249" s="291">
        <f>[2]!CroissVégét</f>
        <v>0.95464915235219705</v>
      </c>
      <c r="BF249" s="814">
        <f>1+[2]!Salcycl*Ksac</f>
        <v>1.0490379382109087</v>
      </c>
      <c r="BH249" s="1050">
        <f t="shared" si="113"/>
        <v>1.0775752738486999E-2</v>
      </c>
      <c r="BI249" s="11">
        <v>44431</v>
      </c>
      <c r="BJ249" s="724">
        <v>9.6194297086355927E-7</v>
      </c>
      <c r="BK249" s="724">
        <v>9.6194297086355927E-7</v>
      </c>
      <c r="BL249" s="724">
        <v>9.6194297086355927E-7</v>
      </c>
      <c r="BM249" s="724">
        <v>8.7264134430310454E-5</v>
      </c>
      <c r="BN249" s="724">
        <v>2.3643150367860274E-3</v>
      </c>
      <c r="BO249" s="725">
        <v>1.0775752738486999E-2</v>
      </c>
      <c r="BP249" s="724">
        <v>4.0961470895264723E-2</v>
      </c>
      <c r="BQ249" s="724">
        <v>0.12123524913767358</v>
      </c>
      <c r="BR249" s="724">
        <v>0.28669857228873813</v>
      </c>
      <c r="BS249" s="724">
        <v>0.5267316191923429</v>
      </c>
      <c r="BT249" s="724">
        <v>0.81091616369849695</v>
      </c>
      <c r="BW249" s="1190">
        <f>'2018'!R\Max</f>
        <v>0</v>
      </c>
      <c r="BX249" s="1188">
        <f>'2019'!R\Max</f>
        <v>0.97179108410835302</v>
      </c>
      <c r="BY249" s="1188">
        <f>'2020'!R\Max</f>
        <v>0.73909540930367723</v>
      </c>
      <c r="BZ249" s="1188">
        <f>'2021'!R\Max</f>
        <v>0.94531916777782177</v>
      </c>
      <c r="CA249" s="1188">
        <f>'2022'!R\Max</f>
        <v>0.94505446067541443</v>
      </c>
      <c r="CB249" s="1188">
        <f>'2023'!R\Max</f>
        <v>0.94477685544790901</v>
      </c>
      <c r="CC249" s="1188">
        <f>'2024'!R\Max</f>
        <v>0.94427184209134229</v>
      </c>
      <c r="CD249" s="1188">
        <f>'2025'!R\Max</f>
        <v>0.94342034400186081</v>
      </c>
      <c r="CE249" s="1188">
        <f>'2026'!R\Max</f>
        <v>0.94233666325392851</v>
      </c>
      <c r="CF249" s="1189">
        <f>'2027'!R\Max</f>
        <v>0.9407365938965111</v>
      </c>
    </row>
    <row r="250" spans="1:84" s="6" customFormat="1" ht="11.25" x14ac:dyDescent="0.2">
      <c r="A250" s="11">
        <v>43336</v>
      </c>
      <c r="B250" s="380">
        <f>'2023'!Maxi_hp</f>
        <v>49.324626465187585</v>
      </c>
      <c r="C250" s="13">
        <f>'2023'!An_max</f>
        <v>2019</v>
      </c>
      <c r="D250" s="1059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51">
        <f t="shared" si="100"/>
        <v>0.7142857142857143</v>
      </c>
      <c r="J250" s="744">
        <f t="shared" si="101"/>
        <v>50.997868221998218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2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51">
        <f t="shared" si="105"/>
        <v>0.8571428571428571</v>
      </c>
      <c r="AT250" s="767">
        <f t="shared" si="106"/>
        <v>50.96706239080855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51">
        <f t="shared" si="110"/>
        <v>0.6428571428571429</v>
      </c>
      <c r="AY250" s="767">
        <f t="shared" si="111"/>
        <v>50.973245772506502</v>
      </c>
      <c r="AZ250" s="744">
        <f t="shared" si="115"/>
        <v>50.970154081657526</v>
      </c>
      <c r="BA250" s="642">
        <f t="shared" si="112"/>
        <v>0.96718996665651069</v>
      </c>
      <c r="BC250" s="11">
        <v>43336</v>
      </c>
      <c r="BD250" s="290">
        <f>[2]!FeuilCaduc*(1-Persistant)+Persistant</f>
        <v>0.99170324452734449</v>
      </c>
      <c r="BE250" s="291">
        <f>[2]!CroissVégét</f>
        <v>0.95640779545152554</v>
      </c>
      <c r="BF250" s="814">
        <f>1+[2]!Salcycl*Ksac</f>
        <v>1.048962905565918</v>
      </c>
      <c r="BH250" s="1050">
        <f t="shared" si="113"/>
        <v>1.0590400522095688E-2</v>
      </c>
      <c r="BI250" s="11">
        <v>44432</v>
      </c>
      <c r="BJ250" s="724">
        <v>1.029111309415607E-6</v>
      </c>
      <c r="BK250" s="724">
        <v>1.029111309415607E-6</v>
      </c>
      <c r="BL250" s="724">
        <v>1.029111309415607E-6</v>
      </c>
      <c r="BM250" s="724">
        <v>8.6683837523948424E-5</v>
      </c>
      <c r="BN250" s="724">
        <v>2.2952673025906671E-3</v>
      </c>
      <c r="BO250" s="725">
        <v>1.0590400522095688E-2</v>
      </c>
      <c r="BP250" s="724">
        <v>4.2437649657404618E-2</v>
      </c>
      <c r="BQ250" s="724">
        <v>0.12615179551960429</v>
      </c>
      <c r="BR250" s="724">
        <v>0.29683957566886543</v>
      </c>
      <c r="BS250" s="724">
        <v>0.53959686681433239</v>
      </c>
      <c r="BT250" s="724">
        <v>0.82407161413228103</v>
      </c>
      <c r="BW250" s="1190">
        <f>'2018'!R\Max</f>
        <v>0</v>
      </c>
      <c r="BX250" s="1188">
        <f>'2019'!R\Max</f>
        <v>0.96718996665651069</v>
      </c>
      <c r="BY250" s="1188">
        <f>'2020'!R\Max</f>
        <v>0.8413461191558359</v>
      </c>
      <c r="BZ250" s="1188">
        <f>'2021'!R\Max</f>
        <v>0.88676324235291581</v>
      </c>
      <c r="CA250" s="1188">
        <f>'2022'!R\Max</f>
        <v>0.88015805174313022</v>
      </c>
      <c r="CB250" s="1188">
        <f>'2023'!R\Max</f>
        <v>0.87956257523134274</v>
      </c>
      <c r="CC250" s="1188">
        <f>'2024'!R\Max</f>
        <v>0.87848804706432571</v>
      </c>
      <c r="CD250" s="1188">
        <f>'2025'!R\Max</f>
        <v>0.87669126978086065</v>
      </c>
      <c r="CE250" s="1188">
        <f>'2026'!R\Max</f>
        <v>0.87441639400485882</v>
      </c>
      <c r="CF250" s="1189">
        <f>'2027'!R\Max</f>
        <v>0.87112792632345393</v>
      </c>
    </row>
    <row r="251" spans="1:84" s="6" customFormat="1" ht="11.25" x14ac:dyDescent="0.2">
      <c r="A251" s="11">
        <v>43337</v>
      </c>
      <c r="B251" s="380">
        <f>'2023'!Maxi_hp</f>
        <v>46.238410109379274</v>
      </c>
      <c r="C251" s="13">
        <f>'2023'!An_max</f>
        <v>2020</v>
      </c>
      <c r="D251" s="1059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51">
        <f t="shared" si="100"/>
        <v>0.6428571428571429</v>
      </c>
      <c r="J251" s="744">
        <f t="shared" si="101"/>
        <v>50.705934839429595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2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51">
        <f t="shared" si="105"/>
        <v>0.8214285714285714</v>
      </c>
      <c r="AT251" s="767">
        <f t="shared" si="106"/>
        <v>50.663667073366895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51">
        <f t="shared" si="110"/>
        <v>0.6785714285714286</v>
      </c>
      <c r="AY251" s="767">
        <f t="shared" si="111"/>
        <v>50.684357799829115</v>
      </c>
      <c r="AZ251" s="744">
        <f t="shared" si="115"/>
        <v>50.674012436598005</v>
      </c>
      <c r="BA251" s="642">
        <f t="shared" si="112"/>
        <v>0.91189345499303731</v>
      </c>
      <c r="BC251" s="11">
        <v>43337</v>
      </c>
      <c r="BD251" s="290">
        <f>[2]!FeuilCaduc*(1-Persistant)+Persistant</f>
        <v>0.99107304054302559</v>
      </c>
      <c r="BE251" s="291">
        <f>[2]!CroissVégét</f>
        <v>0.95810172578745478</v>
      </c>
      <c r="BF251" s="814">
        <f>1+[2]!Salcycl*Ksac</f>
        <v>1.0488841300678782</v>
      </c>
      <c r="BH251" s="1050">
        <f t="shared" si="113"/>
        <v>1.0464635567419979E-2</v>
      </c>
      <c r="BI251" s="11">
        <v>44433</v>
      </c>
      <c r="BJ251" s="724">
        <v>1.0813786567910856E-6</v>
      </c>
      <c r="BK251" s="724">
        <v>1.0813786567910854E-6</v>
      </c>
      <c r="BL251" s="724">
        <v>1.0813786567910854E-6</v>
      </c>
      <c r="BM251" s="724">
        <v>8.617406984554999E-5</v>
      </c>
      <c r="BN251" s="724">
        <v>2.2268555929777869E-3</v>
      </c>
      <c r="BO251" s="725">
        <v>1.0464635567419979E-2</v>
      </c>
      <c r="BP251" s="724">
        <v>4.4107502493653715E-2</v>
      </c>
      <c r="BQ251" s="724">
        <v>0.1314274919328571</v>
      </c>
      <c r="BR251" s="724">
        <v>0.30708150025835862</v>
      </c>
      <c r="BS251" s="724">
        <v>0.55203250680687865</v>
      </c>
      <c r="BT251" s="724">
        <v>0.83603797987648409</v>
      </c>
      <c r="BW251" s="1190">
        <f>'2018'!R\Max</f>
        <v>0</v>
      </c>
      <c r="BX251" s="1188">
        <f>'2019'!R\Max</f>
        <v>0.89113944530205602</v>
      </c>
      <c r="BY251" s="1188">
        <f>'2020'!R\Max</f>
        <v>0.91189345499303731</v>
      </c>
      <c r="BZ251" s="1188">
        <f>'2021'!R\Max</f>
        <v>0.89024908678208914</v>
      </c>
      <c r="CA251" s="1188">
        <f>'2022'!R\Max</f>
        <v>0.64442628177507644</v>
      </c>
      <c r="CB251" s="1188">
        <f>'2023'!R\Max</f>
        <v>0.64306070162712947</v>
      </c>
      <c r="CC251" s="1188">
        <f>'2024'!R\Max</f>
        <v>0.64062458091958652</v>
      </c>
      <c r="CD251" s="1188">
        <f>'2025'!R\Max</f>
        <v>0.63661292909711376</v>
      </c>
      <c r="CE251" s="1188">
        <f>'2026'!R\Max</f>
        <v>0.63159797693335906</v>
      </c>
      <c r="CF251" s="1189">
        <f>'2027'!R\Max</f>
        <v>0.62456568694253067</v>
      </c>
    </row>
    <row r="252" spans="1:84" s="6" customFormat="1" ht="11.25" x14ac:dyDescent="0.2">
      <c r="A252" s="11">
        <v>43338</v>
      </c>
      <c r="B252" s="380">
        <f>'2023'!Maxi_hp</f>
        <v>47.616086487227513</v>
      </c>
      <c r="C252" s="13">
        <f>'2023'!An_max</f>
        <v>2021</v>
      </c>
      <c r="D252" s="1059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51">
        <f t="shared" si="100"/>
        <v>0.5714285714285714</v>
      </c>
      <c r="J252" s="744">
        <f t="shared" si="101"/>
        <v>50.409299125415941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2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51">
        <f t="shared" si="105"/>
        <v>0.7857142857142857</v>
      </c>
      <c r="AT252" s="767">
        <f t="shared" si="106"/>
        <v>50.354703935714703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51">
        <f t="shared" si="110"/>
        <v>0.7142857142857143</v>
      </c>
      <c r="AY252" s="767">
        <f t="shared" si="111"/>
        <v>50.390637901638236</v>
      </c>
      <c r="AZ252" s="744">
        <f t="shared" si="115"/>
        <v>50.372670918676469</v>
      </c>
      <c r="BA252" s="642">
        <f t="shared" si="112"/>
        <v>0.94458933794657518</v>
      </c>
      <c r="BC252" s="11">
        <v>43338</v>
      </c>
      <c r="BD252" s="290">
        <f>[2]!FeuilCaduc*(1-Persistant)+Persistant</f>
        <v>0.99041170596149275</v>
      </c>
      <c r="BE252" s="291">
        <f>[2]!CroissVégét</f>
        <v>0.95973309779026206</v>
      </c>
      <c r="BF252" s="814">
        <f>1+[2]!Salcycl*Ksac</f>
        <v>1.0488014632451865</v>
      </c>
      <c r="BH252" s="1050">
        <f t="shared" si="113"/>
        <v>1.0398468105601306E-2</v>
      </c>
      <c r="BI252" s="11">
        <v>44434</v>
      </c>
      <c r="BJ252" s="724">
        <v>1.118743515562296E-6</v>
      </c>
      <c r="BK252" s="724">
        <v>1.1187435155622958E-6</v>
      </c>
      <c r="BL252" s="724">
        <v>1.1187435155622958E-6</v>
      </c>
      <c r="BM252" s="724">
        <v>8.5734849116040666E-5</v>
      </c>
      <c r="BN252" s="724">
        <v>2.1590790410080103E-3</v>
      </c>
      <c r="BO252" s="725">
        <v>1.0398468105601306E-2</v>
      </c>
      <c r="BP252" s="724">
        <v>4.5971106079730921E-2</v>
      </c>
      <c r="BQ252" s="724">
        <v>0.13706253288455</v>
      </c>
      <c r="BR252" s="724">
        <v>0.31742462331953042</v>
      </c>
      <c r="BS252" s="724">
        <v>0.56403880572888898</v>
      </c>
      <c r="BT252" s="724">
        <v>0.84681542821078115</v>
      </c>
      <c r="BW252" s="1190">
        <f>'2018'!R\Max</f>
        <v>0</v>
      </c>
      <c r="BX252" s="1188">
        <f>'2019'!R\Max</f>
        <v>0.80800770907098518</v>
      </c>
      <c r="BY252" s="1188">
        <f>'2020'!R\Max</f>
        <v>0.94329260997179287</v>
      </c>
      <c r="BZ252" s="1188">
        <f>'2021'!R\Max</f>
        <v>0.94458933794657518</v>
      </c>
      <c r="CA252" s="1188">
        <f>'2022'!R\Max</f>
        <v>0.86251285604818795</v>
      </c>
      <c r="CB252" s="1188">
        <f>'2023'!R\Max</f>
        <v>0.86176439603904897</v>
      </c>
      <c r="CC252" s="1188">
        <f>'2024'!R\Max</f>
        <v>0.86043478518704708</v>
      </c>
      <c r="CD252" s="1188">
        <f>'2025'!R\Max</f>
        <v>0.85825473833843746</v>
      </c>
      <c r="CE252" s="1188">
        <f>'2026'!R\Max</f>
        <v>0.85551642556910046</v>
      </c>
      <c r="CF252" s="1189">
        <f>'2027'!R\Max</f>
        <v>0.85170084703964521</v>
      </c>
    </row>
    <row r="253" spans="1:84" s="6" customFormat="1" ht="11.25" x14ac:dyDescent="0.2">
      <c r="A253" s="11">
        <v>43339</v>
      </c>
      <c r="B253" s="380">
        <f>'2023'!Maxi_hp</f>
        <v>46.908830165667723</v>
      </c>
      <c r="C253" s="13">
        <f>'2023'!An_max</f>
        <v>2022</v>
      </c>
      <c r="D253" s="1059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51">
        <f t="shared" si="100"/>
        <v>0.5</v>
      </c>
      <c r="J253" s="744">
        <f t="shared" si="101"/>
        <v>50.10785000026226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2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51">
        <f t="shared" si="105"/>
        <v>0.75</v>
      </c>
      <c r="AT253" s="767">
        <f t="shared" si="106"/>
        <v>50.040381249506027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51">
        <f t="shared" si="110"/>
        <v>0.75</v>
      </c>
      <c r="AY253" s="767">
        <f t="shared" si="111"/>
        <v>50.091975000314413</v>
      </c>
      <c r="AZ253" s="744">
        <f t="shared" si="115"/>
        <v>50.066178124910223</v>
      </c>
      <c r="BA253" s="642">
        <f t="shared" si="112"/>
        <v>0.93615731198648922</v>
      </c>
      <c r="BC253" s="11">
        <v>43339</v>
      </c>
      <c r="BD253" s="290">
        <f>[2]!FeuilCaduc*(1-Persistant)+Persistant</f>
        <v>0.98971801245898994</v>
      </c>
      <c r="BE253" s="291">
        <f>[2]!CroissVégét</f>
        <v>0.9613040114607565</v>
      </c>
      <c r="BF253" s="814">
        <f>1+[2]!Salcycl*Ksac</f>
        <v>1.0487147515573738</v>
      </c>
      <c r="BH253" s="1050">
        <f t="shared" si="113"/>
        <v>1.0391910730522308E-2</v>
      </c>
      <c r="BI253" s="11">
        <v>44435</v>
      </c>
      <c r="BJ253" s="724">
        <v>1.1412038108491118E-6</v>
      </c>
      <c r="BK253" s="724">
        <v>1.1412038108491118E-6</v>
      </c>
      <c r="BL253" s="724">
        <v>1.1412038108491118E-6</v>
      </c>
      <c r="BM253" s="724">
        <v>8.5366195575638281E-5</v>
      </c>
      <c r="BN253" s="724">
        <v>2.0919367572130258E-3</v>
      </c>
      <c r="BO253" s="725">
        <v>1.0391910730522308E-2</v>
      </c>
      <c r="BP253" s="724">
        <v>4.802854622600311E-2</v>
      </c>
      <c r="BQ253" s="724">
        <v>0.14305713133385473</v>
      </c>
      <c r="BR253" s="724">
        <v>0.32786923335740076</v>
      </c>
      <c r="BS253" s="724">
        <v>0.5756160209886948</v>
      </c>
      <c r="BT253" s="724">
        <v>0.85640408555942971</v>
      </c>
      <c r="BW253" s="1190">
        <f>'2018'!R\Max</f>
        <v>0</v>
      </c>
      <c r="BX253" s="1188">
        <f>'2019'!R\Max</f>
        <v>0.61193586818381818</v>
      </c>
      <c r="BY253" s="1188">
        <f>'2020'!R\Max</f>
        <v>0.52776759579282795</v>
      </c>
      <c r="BZ253" s="1188">
        <f>'2021'!R\Max</f>
        <v>0.83471497253595062</v>
      </c>
      <c r="CA253" s="1188">
        <f>'2022'!R\Max</f>
        <v>0.93615731198648922</v>
      </c>
      <c r="CB253" s="1188">
        <f>'2023'!R\Max</f>
        <v>0.93575797975240782</v>
      </c>
      <c r="CC253" s="1188">
        <f>'2024'!R\Max</f>
        <v>0.93505328810218324</v>
      </c>
      <c r="CD253" s="1188">
        <f>'2025'!R\Max</f>
        <v>0.93390919916665716</v>
      </c>
      <c r="CE253" s="1188">
        <f>'2026'!R\Max</f>
        <v>0.93247384245769593</v>
      </c>
      <c r="CF253" s="1189">
        <f>'2027'!R\Max</f>
        <v>0.93050157729268956</v>
      </c>
    </row>
    <row r="254" spans="1:84" s="6" customFormat="1" ht="11.25" x14ac:dyDescent="0.2">
      <c r="A254" s="11">
        <v>43340</v>
      </c>
      <c r="B254" s="380">
        <f>'2023'!Maxi_hp</f>
        <v>48.563065558192143</v>
      </c>
      <c r="C254" s="13">
        <f>'2023'!An_max</f>
        <v>2021</v>
      </c>
      <c r="D254" s="1059">
        <f t="shared" si="97"/>
        <v>0.97513304993119698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51">
        <f t="shared" si="100"/>
        <v>0.42857142857142855</v>
      </c>
      <c r="J254" s="744">
        <f t="shared" si="101"/>
        <v>49.801476384805781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2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51">
        <f t="shared" si="105"/>
        <v>0.7142857142857143</v>
      </c>
      <c r="AT254" s="767">
        <f t="shared" si="106"/>
        <v>49.720907288044693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51">
        <f t="shared" si="110"/>
        <v>0.7857142857142857</v>
      </c>
      <c r="AY254" s="767">
        <f t="shared" si="111"/>
        <v>49.788258018983257</v>
      </c>
      <c r="AZ254" s="744">
        <f t="shared" si="115"/>
        <v>49.754582653513978</v>
      </c>
      <c r="BA254" s="642">
        <f t="shared" si="112"/>
        <v>0.97513304993119698</v>
      </c>
      <c r="BC254" s="11">
        <v>43340</v>
      </c>
      <c r="BD254" s="290">
        <f>[2]!FeuilCaduc*(1-Persistant)+Persistant</f>
        <v>0.98899069025189179</v>
      </c>
      <c r="BE254" s="291">
        <f>[2]!CroissVégét</f>
        <v>0.96281651236587618</v>
      </c>
      <c r="BF254" s="814">
        <f>1+[2]!Salcycl*Ksac</f>
        <v>1.0486238362814864</v>
      </c>
      <c r="BH254" s="1050">
        <f t="shared" si="113"/>
        <v>1.0519959979697737E-2</v>
      </c>
      <c r="BI254" s="11">
        <v>44436</v>
      </c>
      <c r="BJ254" s="724">
        <v>1.1671582862673512E-6</v>
      </c>
      <c r="BK254" s="724">
        <v>1.1671582862673515E-6</v>
      </c>
      <c r="BL254" s="724">
        <v>1.1671582862673515E-6</v>
      </c>
      <c r="BM254" s="724">
        <v>8.5082722015566783E-5</v>
      </c>
      <c r="BN254" s="724">
        <v>2.0338231618093118E-3</v>
      </c>
      <c r="BO254" s="725">
        <v>1.0519959979697737E-2</v>
      </c>
      <c r="BP254" s="724">
        <v>5.0337261855788511E-2</v>
      </c>
      <c r="BQ254" s="724">
        <v>0.14940151454661177</v>
      </c>
      <c r="BR254" s="724">
        <v>0.33822780099810651</v>
      </c>
      <c r="BS254" s="724">
        <v>0.58642358039085751</v>
      </c>
      <c r="BT254" s="724">
        <v>0.86429215765599932</v>
      </c>
      <c r="BW254" s="1190">
        <f>'2018'!R\Max</f>
        <v>0.58621079822659072</v>
      </c>
      <c r="BX254" s="1188">
        <f>'2019'!R\Max</f>
        <v>0.81310866664870662</v>
      </c>
      <c r="BY254" s="1188">
        <f>'2020'!R\Max</f>
        <v>0.92300080183546229</v>
      </c>
      <c r="BZ254" s="1188">
        <f>'2021'!R\Max</f>
        <v>0.97513304993119698</v>
      </c>
      <c r="CA254" s="1188">
        <f>'2022'!R\Max</f>
        <v>0.9144869063513974</v>
      </c>
      <c r="CB254" s="1188">
        <f>'2023'!R\Max</f>
        <v>0.9139343257385073</v>
      </c>
      <c r="CC254" s="1188">
        <f>'2024'!R\Max</f>
        <v>0.91296754512764877</v>
      </c>
      <c r="CD254" s="1188">
        <f>'2025'!R\Max</f>
        <v>0.91142039817919196</v>
      </c>
      <c r="CE254" s="1188">
        <f>'2026'!R\Max</f>
        <v>0.90949050068092474</v>
      </c>
      <c r="CF254" s="1189">
        <f>'2027'!R\Max</f>
        <v>0.90688952086887586</v>
      </c>
    </row>
    <row r="255" spans="1:84" s="6" customFormat="1" ht="11.25" x14ac:dyDescent="0.2">
      <c r="A255" s="11">
        <v>43341</v>
      </c>
      <c r="B255" s="380">
        <f>'2023'!Maxi_hp</f>
        <v>47.495208459406513</v>
      </c>
      <c r="C255" s="13">
        <f>'2023'!An_max</f>
        <v>2021</v>
      </c>
      <c r="D255" s="1059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51">
        <f t="shared" si="100"/>
        <v>0.35714285714285715</v>
      </c>
      <c r="J255" s="744">
        <f t="shared" si="101"/>
        <v>49.490067200362674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2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51">
        <f t="shared" si="105"/>
        <v>0.6785714285714286</v>
      </c>
      <c r="AT255" s="767">
        <f t="shared" si="106"/>
        <v>49.396490323716513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51">
        <f t="shared" si="110"/>
        <v>0.8214285714285714</v>
      </c>
      <c r="AY255" s="767">
        <f t="shared" si="111"/>
        <v>49.47937587542193</v>
      </c>
      <c r="AZ255" s="744">
        <f t="shared" si="115"/>
        <v>49.437933099569221</v>
      </c>
      <c r="BA255" s="642">
        <f t="shared" si="112"/>
        <v>0.95969173505301808</v>
      </c>
      <c r="BC255" s="11">
        <v>43341</v>
      </c>
      <c r="BD255" s="290">
        <f>[2]!FeuilCaduc*(1-Persistant)+Persistant</f>
        <v>0.98822842646563969</v>
      </c>
      <c r="BE255" s="291">
        <f>[2]!CroissVégét</f>
        <v>0.96427259177046543</v>
      </c>
      <c r="BF255" s="814">
        <f>1+[2]!Salcycl*Ksac</f>
        <v>1.0485285533082049</v>
      </c>
      <c r="BH255" s="1050">
        <f t="shared" si="113"/>
        <v>1.0780313442916951E-2</v>
      </c>
      <c r="BI255" s="11">
        <v>44437</v>
      </c>
      <c r="BJ255" s="724">
        <v>1.1966085649714418E-6</v>
      </c>
      <c r="BK255" s="724">
        <v>1.1966085649714414E-6</v>
      </c>
      <c r="BL255" s="724">
        <v>1.1966085649714414E-6</v>
      </c>
      <c r="BM255" s="724">
        <v>8.4754615281701153E-5</v>
      </c>
      <c r="BN255" s="724">
        <v>1.9841494250201265E-3</v>
      </c>
      <c r="BO255" s="725">
        <v>1.0780313442916951E-2</v>
      </c>
      <c r="BP255" s="724">
        <v>5.278318487145154E-2</v>
      </c>
      <c r="BQ255" s="724">
        <v>0.15591881654769837</v>
      </c>
      <c r="BR255" s="724">
        <v>0.34838343596235427</v>
      </c>
      <c r="BS255" s="724">
        <v>0.59663174440691835</v>
      </c>
      <c r="BT255" s="724">
        <v>0.87100541024801115</v>
      </c>
      <c r="BW255" s="1190">
        <f>'2018'!R\Max</f>
        <v>0.7020835653385763</v>
      </c>
      <c r="BX255" s="1188">
        <f>'2019'!R\Max</f>
        <v>0.94833775342400006</v>
      </c>
      <c r="BY255" s="1188">
        <f>'2020'!R\Max</f>
        <v>0.20273087698985467</v>
      </c>
      <c r="BZ255" s="1188">
        <f>'2021'!R\Max</f>
        <v>0.95969173505301808</v>
      </c>
      <c r="CA255" s="1188">
        <f>'2022'!R\Max</f>
        <v>0.65282795212956501</v>
      </c>
      <c r="CB255" s="1188">
        <f>'2023'!R\Max</f>
        <v>0.65114073209508749</v>
      </c>
      <c r="CC255" s="1188">
        <f>'2024'!R\Max</f>
        <v>0.64822600179263257</v>
      </c>
      <c r="CD255" s="1188">
        <f>'2025'!R\Max</f>
        <v>0.64366876207145862</v>
      </c>
      <c r="CE255" s="1188">
        <f>'2026'!R\Max</f>
        <v>0.63807965142511347</v>
      </c>
      <c r="CF255" s="1189">
        <f>'2027'!R\Max</f>
        <v>0.63078848043670488</v>
      </c>
    </row>
    <row r="256" spans="1:84" s="6" customFormat="1" ht="11.25" x14ac:dyDescent="0.2">
      <c r="A256" s="11">
        <v>43342</v>
      </c>
      <c r="B256" s="380">
        <f>'2023'!Maxi_hp</f>
        <v>46.563941644559634</v>
      </c>
      <c r="C256" s="13">
        <f>'2023'!An_max</f>
        <v>2021</v>
      </c>
      <c r="D256" s="1059" t="str">
        <f t="shared" si="97"/>
        <v/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51">
        <f t="shared" si="100"/>
        <v>0.2857142857142857</v>
      </c>
      <c r="J256" s="744">
        <f t="shared" si="101"/>
        <v>49.173511369313516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2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51">
        <f t="shared" si="105"/>
        <v>0.6428571428571429</v>
      </c>
      <c r="AT256" s="767">
        <f t="shared" si="106"/>
        <v>49.067338628907287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51">
        <f t="shared" si="110"/>
        <v>0.8571428571428571</v>
      </c>
      <c r="AY256" s="767">
        <f t="shared" si="111"/>
        <v>49.165217493900229</v>
      </c>
      <c r="AZ256" s="744">
        <f t="shared" si="115"/>
        <v>49.116278061403762</v>
      </c>
      <c r="BA256" s="642">
        <f t="shared" si="112"/>
        <v>0.94693139350665989</v>
      </c>
      <c r="BC256" s="11">
        <v>43342</v>
      </c>
      <c r="BD256" s="290">
        <f>[2]!FeuilCaduc*(1-Persistant)+Persistant</f>
        <v>0.98742986285947887</v>
      </c>
      <c r="BE256" s="291">
        <f>[2]!CroissVégét</f>
        <v>0.96567418689281481</v>
      </c>
      <c r="BF256" s="814">
        <f>1+[2]!Salcycl*Ksac</f>
        <v>1.0484287328574349</v>
      </c>
      <c r="BH256" s="1050">
        <f t="shared" si="113"/>
        <v>1.1173014228317643E-2</v>
      </c>
      <c r="BI256" s="11">
        <v>44438</v>
      </c>
      <c r="BJ256" s="724">
        <v>1.2295564428354801E-6</v>
      </c>
      <c r="BK256" s="724">
        <v>1.2295564428354799E-6</v>
      </c>
      <c r="BL256" s="724">
        <v>1.2295564428354799E-6</v>
      </c>
      <c r="BM256" s="724">
        <v>8.4381870763073548E-5</v>
      </c>
      <c r="BN256" s="724">
        <v>1.942917053464807E-3</v>
      </c>
      <c r="BO256" s="725">
        <v>1.1173014228317643E-2</v>
      </c>
      <c r="BP256" s="724">
        <v>5.5366415314381329E-2</v>
      </c>
      <c r="BQ256" s="724">
        <v>0.16260925485911029</v>
      </c>
      <c r="BR256" s="724">
        <v>0.35833636869211466</v>
      </c>
      <c r="BS256" s="724">
        <v>0.60624068113242358</v>
      </c>
      <c r="BT256" s="724">
        <v>0.8765438270785213</v>
      </c>
      <c r="BW256" s="1190">
        <f>'2018'!R\Max</f>
        <v>0.8304486449825349</v>
      </c>
      <c r="BX256" s="1188">
        <f>'2019'!R\Max</f>
        <v>0.93757908281104885</v>
      </c>
      <c r="BY256" s="1188">
        <f>'2020'!R\Max</f>
        <v>0.46710017798988862</v>
      </c>
      <c r="BZ256" s="1188">
        <f>'2021'!R\Max</f>
        <v>0.94693139350665989</v>
      </c>
      <c r="CA256" s="1188">
        <f>'2022'!R\Max</f>
        <v>0.92577098480344078</v>
      </c>
      <c r="CB256" s="1188">
        <f>'2023'!R\Max</f>
        <v>0.92523088060263492</v>
      </c>
      <c r="CC256" s="1188">
        <f>'2024'!R\Max</f>
        <v>0.92429879522871483</v>
      </c>
      <c r="CD256" s="1188">
        <f>'2025'!R\Max</f>
        <v>0.92285061433866444</v>
      </c>
      <c r="CE256" s="1188">
        <f>'2026'!R\Max</f>
        <v>0.92106209054336685</v>
      </c>
      <c r="CF256" s="1189">
        <f>'2027'!R\Max</f>
        <v>0.91873136578957537</v>
      </c>
    </row>
    <row r="257" spans="1:84" s="6" customFormat="1" ht="11.25" x14ac:dyDescent="0.2">
      <c r="A257" s="11">
        <v>43343</v>
      </c>
      <c r="B257" s="380">
        <f>'2023'!Maxi_hp</f>
        <v>46.070387290584499</v>
      </c>
      <c r="C257" s="13">
        <f>'2023'!An_max</f>
        <v>2021</v>
      </c>
      <c r="D257" s="1059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51">
        <f t="shared" si="100"/>
        <v>0.21428571428571427</v>
      </c>
      <c r="J257" s="744">
        <f t="shared" si="101"/>
        <v>48.851697813825943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2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51">
        <f t="shared" si="105"/>
        <v>0.6071428571428571</v>
      </c>
      <c r="AT257" s="767">
        <f t="shared" si="106"/>
        <v>48.733660477080512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51">
        <f t="shared" si="110"/>
        <v>0.8928571428571429</v>
      </c>
      <c r="AY257" s="767">
        <f t="shared" si="111"/>
        <v>48.845671793791865</v>
      </c>
      <c r="AZ257" s="744">
        <f t="shared" si="115"/>
        <v>48.789666135436192</v>
      </c>
      <c r="BA257" s="642">
        <f t="shared" si="112"/>
        <v>0.94306624646207726</v>
      </c>
      <c r="BC257" s="11">
        <v>43343</v>
      </c>
      <c r="BD257" s="290">
        <f>[2]!FeuilCaduc*(1-Persistant)+Persistant</f>
        <v>0.98659359299665617</v>
      </c>
      <c r="BE257" s="291">
        <f>[2]!CroissVégét</f>
        <v>0.9670231812722152</v>
      </c>
      <c r="BF257" s="814">
        <f>1+[2]!Salcycl*Ksac</f>
        <v>1.048324199124582</v>
      </c>
      <c r="BH257" s="1050">
        <f t="shared" si="113"/>
        <v>1.1698111630161412E-2</v>
      </c>
      <c r="BI257" s="11">
        <v>44439</v>
      </c>
      <c r="BJ257" s="724">
        <v>1.2660038945839068E-6</v>
      </c>
      <c r="BK257" s="724">
        <v>1.2660038945839068E-6</v>
      </c>
      <c r="BL257" s="724">
        <v>1.2660038945839068E-6</v>
      </c>
      <c r="BM257" s="724">
        <v>8.3964481558365352E-5</v>
      </c>
      <c r="BN257" s="724">
        <v>1.9101279015654139E-3</v>
      </c>
      <c r="BO257" s="725">
        <v>1.1698111630161412E-2</v>
      </c>
      <c r="BP257" s="724">
        <v>5.8087061144388406E-2</v>
      </c>
      <c r="BQ257" s="724">
        <v>0.16947305934526138</v>
      </c>
      <c r="BR257" s="724">
        <v>0.36808682736610315</v>
      </c>
      <c r="BS257" s="724">
        <v>0.61525053833088439</v>
      </c>
      <c r="BT257" s="724">
        <v>0.88090734287391048</v>
      </c>
      <c r="BW257" s="1190">
        <f>'2018'!R\Max</f>
        <v>0.83256369282964726</v>
      </c>
      <c r="BX257" s="1188">
        <f>'2019'!R\Max</f>
        <v>0.89996921991213186</v>
      </c>
      <c r="BY257" s="1188">
        <f>'2020'!R\Max</f>
        <v>0.68019850454520758</v>
      </c>
      <c r="BZ257" s="1188">
        <f>'2021'!R\Max</f>
        <v>0.94306624646207726</v>
      </c>
      <c r="CA257" s="1188">
        <f>'2022'!R\Max</f>
        <v>0.51249411982544035</v>
      </c>
      <c r="CB257" s="1188">
        <f>'2023'!R\Max</f>
        <v>0.51043564431448851</v>
      </c>
      <c r="CC257" s="1188">
        <f>'2024'!R\Max</f>
        <v>0.50693666966113105</v>
      </c>
      <c r="CD257" s="1188">
        <f>'2025'!R\Max</f>
        <v>0.50166512309009625</v>
      </c>
      <c r="CE257" s="1188">
        <f>'2026'!R\Max</f>
        <v>0.4953171769002031</v>
      </c>
      <c r="CF257" s="1189">
        <f>'2027'!R\Max</f>
        <v>0.48737535480471417</v>
      </c>
    </row>
    <row r="258" spans="1:84" s="6" customFormat="1" ht="11.25" x14ac:dyDescent="0.2">
      <c r="A258" s="11">
        <v>43344</v>
      </c>
      <c r="B258" s="380">
        <f>'2023'!Maxi_hp</f>
        <v>47.663426724874789</v>
      </c>
      <c r="C258" s="13">
        <f>'2023'!An_max</f>
        <v>2018</v>
      </c>
      <c r="D258" s="1059">
        <f t="shared" si="97"/>
        <v>0.9822545631153542</v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51">
        <f t="shared" si="100"/>
        <v>0.14285714285714285</v>
      </c>
      <c r="J258" s="744">
        <f t="shared" si="101"/>
        <v>48.524515451171574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2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51">
        <f t="shared" si="105"/>
        <v>0.5714285714285714</v>
      </c>
      <c r="AT258" s="767">
        <f t="shared" si="106"/>
        <v>48.395664139358061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51">
        <f t="shared" si="110"/>
        <v>0.9285714285714286</v>
      </c>
      <c r="AY258" s="767">
        <f t="shared" si="111"/>
        <v>48.520627697237899</v>
      </c>
      <c r="AZ258" s="744">
        <f t="shared" si="115"/>
        <v>48.45814591829798</v>
      </c>
      <c r="BA258" s="642">
        <f t="shared" si="112"/>
        <v>0.9822545631153542</v>
      </c>
      <c r="BC258" s="11">
        <v>43344</v>
      </c>
      <c r="BD258" s="290">
        <f>[2]!FeuilCaduc*(1-Persistant)+Persistant</f>
        <v>0.9857181589603855</v>
      </c>
      <c r="BE258" s="291">
        <f>[2]!CroissVégét</f>
        <v>0.96832140523745813</v>
      </c>
      <c r="BF258" s="814">
        <f>1+[2]!Salcycl*Ksac</f>
        <v>1.0482147698700481</v>
      </c>
      <c r="BH258" s="1050">
        <f t="shared" si="113"/>
        <v>1.2355661362224142E-2</v>
      </c>
      <c r="BI258" s="11">
        <v>44440</v>
      </c>
      <c r="BJ258" s="724">
        <v>1.3059530799483654E-6</v>
      </c>
      <c r="BK258" s="724">
        <v>1.305953079948365E-6</v>
      </c>
      <c r="BL258" s="724">
        <v>1.305953079948365E-6</v>
      </c>
      <c r="BM258" s="724">
        <v>8.3502438396939506E-5</v>
      </c>
      <c r="BN258" s="724">
        <v>1.8857841864503573E-3</v>
      </c>
      <c r="BO258" s="725">
        <v>1.2355661362224142E-2</v>
      </c>
      <c r="BP258" s="724">
        <v>6.0945238480950563E-2</v>
      </c>
      <c r="BQ258" s="724">
        <v>0.17651047251568441</v>
      </c>
      <c r="BR258" s="724">
        <v>0.37763503753738425</v>
      </c>
      <c r="BS258" s="724">
        <v>0.6236614423707888</v>
      </c>
      <c r="BT258" s="724">
        <v>0.88409584126542451</v>
      </c>
      <c r="BW258" s="1190">
        <f>'2018'!R\Max</f>
        <v>0.9822545631153542</v>
      </c>
      <c r="BX258" s="1188">
        <f>'2019'!R\Max</f>
        <v>0.36590088587134506</v>
      </c>
      <c r="BY258" s="1188">
        <f>'2020'!R\Max</f>
        <v>0.92014061484088427</v>
      </c>
      <c r="BZ258" s="1188">
        <f>'2021'!R\Max</f>
        <v>0.66013923778074857</v>
      </c>
      <c r="CA258" s="1188">
        <f>'2022'!R\Max</f>
        <v>0.83214223603251691</v>
      </c>
      <c r="CB258" s="1188">
        <f>'2023'!R\Max</f>
        <v>0.8309304243165555</v>
      </c>
      <c r="CC258" s="1188">
        <f>'2024'!R\Max</f>
        <v>0.8288670688528742</v>
      </c>
      <c r="CD258" s="1188">
        <f>'2025'!R\Max</f>
        <v>0.82577595558547956</v>
      </c>
      <c r="CE258" s="1188">
        <f>'2026'!R\Max</f>
        <v>0.82202008540317761</v>
      </c>
      <c r="CF258" s="1189">
        <f>'2027'!R\Max</f>
        <v>0.81730902548816187</v>
      </c>
    </row>
    <row r="259" spans="1:84" s="6" customFormat="1" ht="11.25" x14ac:dyDescent="0.2">
      <c r="A259" s="11">
        <v>43345</v>
      </c>
      <c r="B259" s="380">
        <f>'2023'!Maxi_hp</f>
        <v>47.150040214573764</v>
      </c>
      <c r="C259" s="13">
        <f>'2023'!An_max</f>
        <v>2020</v>
      </c>
      <c r="D259" s="1059">
        <f t="shared" si="97"/>
        <v>0.97838196870074257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51">
        <f t="shared" si="100"/>
        <v>7.1428571428571425E-2</v>
      </c>
      <c r="J259" s="744">
        <f t="shared" si="101"/>
        <v>48.191853205540355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2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51">
        <f t="shared" si="105"/>
        <v>0.5357142857142857</v>
      </c>
      <c r="AT259" s="767">
        <f t="shared" si="106"/>
        <v>48.053557888924011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51">
        <f t="shared" si="110"/>
        <v>0.9642857142857143</v>
      </c>
      <c r="AY259" s="767">
        <f t="shared" si="111"/>
        <v>48.189974126193142</v>
      </c>
      <c r="AZ259" s="744">
        <f t="shared" si="115"/>
        <v>48.121766007558577</v>
      </c>
      <c r="BA259" s="642">
        <f t="shared" si="112"/>
        <v>0.97838196870074257</v>
      </c>
      <c r="BC259" s="11">
        <v>43345</v>
      </c>
      <c r="BD259" s="290">
        <f>[2]!FeuilCaduc*(1-Persistant)+Persistant</f>
        <v>0.98480204772528879</v>
      </c>
      <c r="BE259" s="291">
        <f>[2]!CroissVégét</f>
        <v>0.96957063646587138</v>
      </c>
      <c r="BF259" s="814">
        <f>1+[2]!Salcycl*Ksac</f>
        <v>1.0481002559656611</v>
      </c>
      <c r="BH259" s="1050">
        <f t="shared" si="113"/>
        <v>1.3145725791138381E-2</v>
      </c>
      <c r="BI259" s="11">
        <v>44441</v>
      </c>
      <c r="BJ259" s="724">
        <v>1.3494063498186493E-6</v>
      </c>
      <c r="BK259" s="724">
        <v>1.3494063498186491E-6</v>
      </c>
      <c r="BL259" s="724">
        <v>1.3494063498186491E-6</v>
      </c>
      <c r="BM259" s="724">
        <v>8.2995729559359215E-5</v>
      </c>
      <c r="BN259" s="724">
        <v>1.8698885028451051E-3</v>
      </c>
      <c r="BO259" s="725">
        <v>1.3145725791138381E-2</v>
      </c>
      <c r="BP259" s="724">
        <v>6.3941071844235295E-2</v>
      </c>
      <c r="BQ259" s="724">
        <v>0.18372174982703529</v>
      </c>
      <c r="BR259" s="724">
        <v>0.38698122176924321</v>
      </c>
      <c r="BS259" s="724">
        <v>0.63147349715939383</v>
      </c>
      <c r="BT259" s="724">
        <v>0.88610915270572088</v>
      </c>
      <c r="BW259" s="1190">
        <f>'2018'!R\Max</f>
        <v>0.9382329100018546</v>
      </c>
      <c r="BX259" s="1188">
        <f>'2019'!R\Max</f>
        <v>0.97510961075976554</v>
      </c>
      <c r="BY259" s="1188">
        <f>'2020'!R\Max</f>
        <v>0.97838196870074257</v>
      </c>
      <c r="BZ259" s="1188">
        <f>'2021'!R\Max</f>
        <v>0.40688223257423239</v>
      </c>
      <c r="CA259" s="1188">
        <f>'2022'!R\Max</f>
        <v>0.80742811273240445</v>
      </c>
      <c r="CB259" s="1188">
        <f>'2023'!R\Max</f>
        <v>0.8060137583875846</v>
      </c>
      <c r="CC259" s="1188">
        <f>'2024'!R\Max</f>
        <v>0.80361872468366013</v>
      </c>
      <c r="CD259" s="1188">
        <f>'2025'!R\Max</f>
        <v>0.80009693150873917</v>
      </c>
      <c r="CE259" s="1188">
        <f>'2026'!R\Max</f>
        <v>0.79585041720724703</v>
      </c>
      <c r="CF259" s="1189">
        <f>'2027'!R\Max</f>
        <v>0.7906156914847261</v>
      </c>
    </row>
    <row r="260" spans="1:84" s="6" customFormat="1" ht="11.25" x14ac:dyDescent="0.2">
      <c r="A260" s="11">
        <v>43346</v>
      </c>
      <c r="B260" s="380">
        <f>'2023'!Maxi_hp</f>
        <v>48.613808475226271</v>
      </c>
      <c r="C260" s="13">
        <f>'2023'!An_max</f>
        <v>2019</v>
      </c>
      <c r="D260" s="1059">
        <f t="shared" si="97"/>
        <v>1.0158861292489345</v>
      </c>
      <c r="E260" s="1054">
        <f>AE$13/10</f>
        <v>47.8536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51">
        <f t="shared" si="100"/>
        <v>0</v>
      </c>
      <c r="J260" s="744">
        <f t="shared" si="101"/>
        <v>47.853600000590085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2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51">
        <f t="shared" si="105"/>
        <v>0.5</v>
      </c>
      <c r="AT260" s="767">
        <f t="shared" si="106"/>
        <v>47.707550000213089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51">
        <f t="shared" si="110"/>
        <v>1</v>
      </c>
      <c r="AY260" s="767">
        <f t="shared" si="111"/>
        <v>47.853600001335145</v>
      </c>
      <c r="AZ260" s="744">
        <f t="shared" si="115"/>
        <v>47.780575000774121</v>
      </c>
      <c r="BA260" s="642">
        <f t="shared" si="112"/>
        <v>1.0158861292489345</v>
      </c>
      <c r="BC260" s="11">
        <v>43346</v>
      </c>
      <c r="BD260" s="290">
        <f>[2]!FeuilCaduc*(1-Persistant)+Persistant</f>
        <v>0.98384368730206961</v>
      </c>
      <c r="BE260" s="291">
        <f>[2]!CroissVégét</f>
        <v>0.97077260062312232</v>
      </c>
      <c r="BF260" s="814">
        <f>1+[2]!Salcycl*Ksac</f>
        <v>1.0479804609127588</v>
      </c>
      <c r="BH260" s="1050">
        <f t="shared" si="113"/>
        <v>1.4068374169610549E-2</v>
      </c>
      <c r="BI260" s="11">
        <v>44442</v>
      </c>
      <c r="BJ260" s="724">
        <v>1.3963662523800006E-6</v>
      </c>
      <c r="BK260" s="724">
        <v>1.3963662523800009E-6</v>
      </c>
      <c r="BL260" s="724">
        <v>1.3963662523800009E-6</v>
      </c>
      <c r="BM260" s="724">
        <v>8.244434079702119E-5</v>
      </c>
      <c r="BN260" s="724">
        <v>1.8624438379432782E-3</v>
      </c>
      <c r="BO260" s="725">
        <v>1.4068374169610549E-2</v>
      </c>
      <c r="BP260" s="724">
        <v>6.7074694395484094E-2</v>
      </c>
      <c r="BQ260" s="724">
        <v>0.19110715998324079</v>
      </c>
      <c r="BR260" s="724">
        <v>0.39612559926706031</v>
      </c>
      <c r="BS260" s="724">
        <v>0.63868678306990112</v>
      </c>
      <c r="BT260" s="724">
        <v>0.88694705237602922</v>
      </c>
      <c r="BW260" s="1190">
        <f>'2018'!R\Max</f>
        <v>0.94821517415390344</v>
      </c>
      <c r="BX260" s="1188">
        <f>'2019'!R\Max</f>
        <v>1.0158861292489345</v>
      </c>
      <c r="BY260" s="1188">
        <f>'2020'!R\Max</f>
        <v>0.99904154705554249</v>
      </c>
      <c r="BZ260" s="1188">
        <f>'2021'!R\Max</f>
        <v>0.66161654192840813</v>
      </c>
      <c r="CA260" s="1188">
        <f>'2022'!R\Max</f>
        <v>0.7571092772371657</v>
      </c>
      <c r="CB260" s="1188">
        <f>'2023'!R\Max</f>
        <v>0.75535813773555627</v>
      </c>
      <c r="CC260" s="1188">
        <f>'2024'!R\Max</f>
        <v>0.75240970523082906</v>
      </c>
      <c r="CD260" s="1188">
        <f>'2025'!R\Max</f>
        <v>0.74816163634243749</v>
      </c>
      <c r="CE260" s="1188">
        <f>'2026'!R\Max</f>
        <v>0.74308702265439586</v>
      </c>
      <c r="CF260" s="1189">
        <f>'2027'!R\Max</f>
        <v>0.73694789872957334</v>
      </c>
    </row>
    <row r="261" spans="1:84" s="6" customFormat="1" ht="11.25" x14ac:dyDescent="0.2">
      <c r="A261" s="11">
        <v>43347</v>
      </c>
      <c r="B261" s="380">
        <f>'2023'!Maxi_hp</f>
        <v>47.996366652785198</v>
      </c>
      <c r="C261" s="13">
        <f>'2023'!An_max</f>
        <v>2019</v>
      </c>
      <c r="D261" s="1059">
        <f t="shared" si="97"/>
        <v>1.0102490270127951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51">
        <f t="shared" si="100"/>
        <v>7.1428571428571425E-2</v>
      </c>
      <c r="J261" s="744">
        <f t="shared" si="101"/>
        <v>47.50944110751152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2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51">
        <f t="shared" si="105"/>
        <v>0.4642857142857143</v>
      </c>
      <c r="AT261" s="767">
        <f t="shared" si="106"/>
        <v>47.357848742790523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51">
        <f t="shared" si="110"/>
        <v>0.9642857142857143</v>
      </c>
      <c r="AY261" s="767">
        <f t="shared" si="111"/>
        <v>47.50918192528853</v>
      </c>
      <c r="AZ261" s="744">
        <f t="shared" si="115"/>
        <v>47.433515334039527</v>
      </c>
      <c r="BA261" s="642">
        <f t="shared" si="112"/>
        <v>1.0102490270127951</v>
      </c>
      <c r="BC261" s="11">
        <v>43347</v>
      </c>
      <c r="BD261" s="290">
        <f>[2]!FeuilCaduc*(1-Persistant)+Persistant</f>
        <v>0.98284144277977403</v>
      </c>
      <c r="BE261" s="291">
        <f>[2]!CroissVégét</f>
        <v>0.97192897207465079</v>
      </c>
      <c r="BF261" s="814">
        <f>1+[2]!Salcycl*Ksac</f>
        <v>1.0478551803474718</v>
      </c>
      <c r="BH261" s="1050">
        <f t="shared" si="113"/>
        <v>1.5123682869581677E-2</v>
      </c>
      <c r="BI261" s="11">
        <v>44443</v>
      </c>
      <c r="BJ261" s="724">
        <v>1.4468355392463738E-6</v>
      </c>
      <c r="BK261" s="724">
        <v>1.4468355392463743E-6</v>
      </c>
      <c r="BL261" s="724">
        <v>1.4468355392463743E-6</v>
      </c>
      <c r="BM261" s="724">
        <v>8.1848255251686954E-5</v>
      </c>
      <c r="BN261" s="724">
        <v>1.8634535862755855E-3</v>
      </c>
      <c r="BO261" s="725">
        <v>1.5123682869581677E-2</v>
      </c>
      <c r="BP261" s="724">
        <v>7.0346248177163756E-2</v>
      </c>
      <c r="BQ261" s="724">
        <v>0.1986669852350412</v>
      </c>
      <c r="BR261" s="724">
        <v>0.40506838550917929</v>
      </c>
      <c r="BS261" s="724">
        <v>0.64530135586733361</v>
      </c>
      <c r="BT261" s="724">
        <v>0.88660925809188584</v>
      </c>
      <c r="BW261" s="1190">
        <f>'2018'!R\Max</f>
        <v>0.88914751485675381</v>
      </c>
      <c r="BX261" s="1188">
        <f>'2019'!R\Max</f>
        <v>1.0102490270127951</v>
      </c>
      <c r="BY261" s="1188">
        <f>'2020'!R\Max</f>
        <v>0.97174410957750756</v>
      </c>
      <c r="BZ261" s="1188">
        <f>'2021'!R\Max</f>
        <v>0.83226611476087953</v>
      </c>
      <c r="CA261" s="1188">
        <f>'2022'!R\Max</f>
        <v>0.88687889356604488</v>
      </c>
      <c r="CB261" s="1188">
        <f>'2023'!R\Max</f>
        <v>0.88587821162155278</v>
      </c>
      <c r="CC261" s="1188">
        <f>'2024'!R\Max</f>
        <v>0.884194321745158</v>
      </c>
      <c r="CD261" s="1188">
        <f>'2025'!R\Max</f>
        <v>0.88180168650930246</v>
      </c>
      <c r="CE261" s="1188">
        <f>'2026'!R\Max</f>
        <v>0.87894477572325569</v>
      </c>
      <c r="CF261" s="1189">
        <f>'2027'!R\Max</f>
        <v>0.87551467842574238</v>
      </c>
    </row>
    <row r="262" spans="1:84" s="6" customFormat="1" ht="11.25" x14ac:dyDescent="0.2">
      <c r="A262" s="11">
        <v>43348</v>
      </c>
      <c r="B262" s="380">
        <f>'2023'!Maxi_hp</f>
        <v>45.417444264252914</v>
      </c>
      <c r="C262" s="13">
        <f>'2023'!An_max</f>
        <v>2020</v>
      </c>
      <c r="D262" s="1059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51">
        <f t="shared" si="100"/>
        <v>0.14285714285714285</v>
      </c>
      <c r="J262" s="744">
        <f t="shared" si="101"/>
        <v>47.159283964123048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2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51">
        <f t="shared" si="105"/>
        <v>0.42857142857142855</v>
      </c>
      <c r="AT262" s="767">
        <f t="shared" si="106"/>
        <v>47.00466239047902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51">
        <f t="shared" si="110"/>
        <v>0.9285714285714286</v>
      </c>
      <c r="AY262" s="767">
        <f t="shared" si="111"/>
        <v>47.154877843481621</v>
      </c>
      <c r="AZ262" s="744">
        <f t="shared" si="115"/>
        <v>47.07977011698032</v>
      </c>
      <c r="BA262" s="642">
        <f t="shared" si="112"/>
        <v>0.96306475515626455</v>
      </c>
      <c r="BC262" s="11">
        <v>43348</v>
      </c>
      <c r="BD262" s="290">
        <f>[2]!FeuilCaduc*(1-Persistant)+Persistant</f>
        <v>0.98179361239504859</v>
      </c>
      <c r="BE262" s="291">
        <f>[2]!CroissVégét</f>
        <v>0.97304137466019458</v>
      </c>
      <c r="BF262" s="814">
        <f>1+[2]!Salcycl*Ksac</f>
        <v>1.0477242015493811</v>
      </c>
      <c r="BH262" s="1050">
        <f t="shared" si="113"/>
        <v>1.6301914239356532E-2</v>
      </c>
      <c r="BI262" s="11">
        <v>44444</v>
      </c>
      <c r="BJ262" s="724">
        <v>1.518791153941523E-6</v>
      </c>
      <c r="BK262" s="724">
        <v>1.5187911539415228E-6</v>
      </c>
      <c r="BL262" s="724">
        <v>1.5187911539415228E-6</v>
      </c>
      <c r="BM262" s="724">
        <v>8.1345274901714498E-5</v>
      </c>
      <c r="BN262" s="724">
        <v>1.8894415445556082E-3</v>
      </c>
      <c r="BO262" s="725">
        <v>1.6301914239356532E-2</v>
      </c>
      <c r="BP262" s="724">
        <v>7.3783520523184529E-2</v>
      </c>
      <c r="BQ262" s="724">
        <v>0.20627783703604849</v>
      </c>
      <c r="BR262" s="724">
        <v>0.41353388752994746</v>
      </c>
      <c r="BS262" s="724">
        <v>0.65081953403525861</v>
      </c>
      <c r="BT262" s="724">
        <v>0.88454275660981452</v>
      </c>
      <c r="BW262" s="1190">
        <f>'2018'!R\Max</f>
        <v>0.84620600586470929</v>
      </c>
      <c r="BX262" s="1188">
        <f>'2019'!R\Max</f>
        <v>0.8075386018830425</v>
      </c>
      <c r="BY262" s="1188">
        <f>'2020'!R\Max</f>
        <v>0.96306475515626455</v>
      </c>
      <c r="BZ262" s="1188">
        <f>'2021'!R\Max</f>
        <v>0.84816770724491775</v>
      </c>
      <c r="CA262" s="1188">
        <f>'2022'!R\Max</f>
        <v>0.79738372796961532</v>
      </c>
      <c r="CB262" s="1188">
        <f>'2023'!R\Max</f>
        <v>0.79570165875193022</v>
      </c>
      <c r="CC262" s="1188">
        <f>'2024'!R\Max</f>
        <v>0.79289063134949578</v>
      </c>
      <c r="CD262" s="1188">
        <f>'2025'!R\Max</f>
        <v>0.78898777629895678</v>
      </c>
      <c r="CE262" s="1188">
        <f>'2026'!R\Max</f>
        <v>0.78438361924311983</v>
      </c>
      <c r="CF262" s="1189">
        <f>'2027'!R\Max</f>
        <v>0.77897273509106613</v>
      </c>
    </row>
    <row r="263" spans="1:84" s="6" customFormat="1" ht="11.25" x14ac:dyDescent="0.2">
      <c r="A263" s="11">
        <v>43349</v>
      </c>
      <c r="B263" s="380">
        <f>'2023'!Maxi_hp</f>
        <v>48.931389708757251</v>
      </c>
      <c r="C263" s="13">
        <f>'2023'!An_max</f>
        <v>2019</v>
      </c>
      <c r="D263" s="1059">
        <f t="shared" si="97"/>
        <v>1.0454676630373001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51">
        <f t="shared" si="100"/>
        <v>0.21428571428571427</v>
      </c>
      <c r="J263" s="744">
        <f t="shared" si="101"/>
        <v>46.803350728803444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2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51">
        <f t="shared" si="105"/>
        <v>0.39285714285714285</v>
      </c>
      <c r="AT263" s="767">
        <f t="shared" si="106"/>
        <v>46.648199216143368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51">
        <f t="shared" si="110"/>
        <v>0.8928571428571429</v>
      </c>
      <c r="AY263" s="767">
        <f t="shared" si="111"/>
        <v>46.791298689573473</v>
      </c>
      <c r="AZ263" s="744">
        <f t="shared" si="115"/>
        <v>46.719748952858424</v>
      </c>
      <c r="BA263" s="642">
        <f t="shared" si="112"/>
        <v>1.0454676630373001</v>
      </c>
      <c r="BC263" s="11">
        <v>43349</v>
      </c>
      <c r="BD263" s="290">
        <f>[2]!FeuilCaduc*(1-Persistant)+Persistant</f>
        <v>0.98069842376122951</v>
      </c>
      <c r="BE263" s="291">
        <f>[2]!CroissVégét</f>
        <v>0.97411138252345786</v>
      </c>
      <c r="BF263" s="814">
        <f>1+[2]!Salcycl*Ksac</f>
        <v>1.0475873029701537</v>
      </c>
      <c r="BH263" s="1050">
        <f t="shared" si="113"/>
        <v>1.7545880740834432E-2</v>
      </c>
      <c r="BI263" s="11">
        <v>44445</v>
      </c>
      <c r="BJ263" s="724">
        <v>1.6271797593465379E-6</v>
      </c>
      <c r="BK263" s="724">
        <v>1.6271797593465377E-6</v>
      </c>
      <c r="BL263" s="724">
        <v>1.6271797593465377E-6</v>
      </c>
      <c r="BM263" s="724">
        <v>8.0995299528161205E-5</v>
      </c>
      <c r="BN263" s="724">
        <v>1.9403807208923601E-3</v>
      </c>
      <c r="BO263" s="725">
        <v>1.7545880740834432E-2</v>
      </c>
      <c r="BP263" s="724">
        <v>7.7307511091578782E-2</v>
      </c>
      <c r="BQ263" s="724">
        <v>0.21375904391786438</v>
      </c>
      <c r="BR263" s="724">
        <v>0.42154154114758385</v>
      </c>
      <c r="BS263" s="724">
        <v>0.65550604468226059</v>
      </c>
      <c r="BT263" s="724">
        <v>0.88141813319532913</v>
      </c>
      <c r="BW263" s="1190">
        <f>'2018'!R\Max</f>
        <v>0.6270854616118664</v>
      </c>
      <c r="BX263" s="1188">
        <f>'2019'!R\Max</f>
        <v>1.0454676630373001</v>
      </c>
      <c r="BY263" s="1188">
        <f>'2020'!R\Max</f>
        <v>0.92721653574263641</v>
      </c>
      <c r="BZ263" s="1188">
        <f>'2021'!R\Max</f>
        <v>0.91666708429885457</v>
      </c>
      <c r="CA263" s="1188">
        <f>'2022'!R\Max</f>
        <v>0.92092945828751094</v>
      </c>
      <c r="CB263" s="1188">
        <f>'2023'!R\Max</f>
        <v>0.92013778605981233</v>
      </c>
      <c r="CC263" s="1188">
        <f>'2024'!R\Max</f>
        <v>0.91881685585926387</v>
      </c>
      <c r="CD263" s="1188">
        <f>'2025'!R\Max</f>
        <v>0.91700734730345868</v>
      </c>
      <c r="CE263" s="1188">
        <f>'2026'!R\Max</f>
        <v>0.91487405846296177</v>
      </c>
      <c r="CF263" s="1189">
        <f>'2027'!R\Max</f>
        <v>0.91238770165268301</v>
      </c>
    </row>
    <row r="264" spans="1:84" s="6" customFormat="1" ht="11.25" x14ac:dyDescent="0.2">
      <c r="A264" s="11">
        <v>43350</v>
      </c>
      <c r="B264" s="380">
        <f>'2023'!Maxi_hp</f>
        <v>44.353228487080955</v>
      </c>
      <c r="C264" s="13">
        <f>'2023'!An_max</f>
        <v>2019</v>
      </c>
      <c r="D264" s="1059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51">
        <f t="shared" si="100"/>
        <v>0.2857142857142857</v>
      </c>
      <c r="J264" s="744">
        <f t="shared" si="101"/>
        <v>46.441863556738404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2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51">
        <f t="shared" si="105"/>
        <v>0.35714285714285715</v>
      </c>
      <c r="AT264" s="767">
        <f t="shared" si="106"/>
        <v>46.288667492728145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51">
        <f t="shared" si="110"/>
        <v>0.8571428571428571</v>
      </c>
      <c r="AY264" s="767">
        <f t="shared" si="111"/>
        <v>46.419055393790565</v>
      </c>
      <c r="AZ264" s="744">
        <f t="shared" si="115"/>
        <v>46.353861443259355</v>
      </c>
      <c r="BA264" s="642">
        <f t="shared" si="112"/>
        <v>0.95502688932571045</v>
      </c>
      <c r="BC264" s="11">
        <v>43350</v>
      </c>
      <c r="BD264" s="290">
        <f>[2]!FeuilCaduc*(1-Persistant)+Persistant</f>
        <v>0.97955403039187494</v>
      </c>
      <c r="BE264" s="291">
        <f>[2]!CroissVégét</f>
        <v>0.97514052098953308</v>
      </c>
      <c r="BF264" s="814">
        <f>1+[2]!Salcycl*Ksac</f>
        <v>1.0474442537989843</v>
      </c>
      <c r="BH264" s="1050">
        <f t="shared" si="113"/>
        <v>1.8855648410289402E-2</v>
      </c>
      <c r="BI264" s="11">
        <v>44446</v>
      </c>
      <c r="BJ264" s="724">
        <v>1.7720213389591406E-6</v>
      </c>
      <c r="BK264" s="724">
        <v>1.7720213389591403E-6</v>
      </c>
      <c r="BL264" s="724">
        <v>1.7720213389591403E-6</v>
      </c>
      <c r="BM264" s="724">
        <v>8.0798404390689739E-5</v>
      </c>
      <c r="BN264" s="724">
        <v>2.0162843285186625E-3</v>
      </c>
      <c r="BO264" s="725">
        <v>1.8855648410289402E-2</v>
      </c>
      <c r="BP264" s="724">
        <v>8.0918365539503032E-2</v>
      </c>
      <c r="BQ264" s="724">
        <v>0.22111077822377823</v>
      </c>
      <c r="BR264" s="724">
        <v>0.42909141555395475</v>
      </c>
      <c r="BS264" s="724">
        <v>0.65936073612915047</v>
      </c>
      <c r="BT264" s="724">
        <v>0.87723496428372216</v>
      </c>
      <c r="BW264" s="1190">
        <f>'2018'!R\Max</f>
        <v>0.72070538324779554</v>
      </c>
      <c r="BX264" s="1188">
        <f>'2019'!R\Max</f>
        <v>0.95502688932571045</v>
      </c>
      <c r="BY264" s="1188">
        <f>'2020'!R\Max</f>
        <v>0.64699791936503037</v>
      </c>
      <c r="BZ264" s="1188">
        <f>'2021'!R\Max</f>
        <v>0.73591298784995451</v>
      </c>
      <c r="CA264" s="1188">
        <f>'2022'!R\Max</f>
        <v>0.79258479544384108</v>
      </c>
      <c r="CB264" s="1188">
        <f>'2023'!R\Max</f>
        <v>0.79072664079687516</v>
      </c>
      <c r="CC264" s="1188">
        <f>'2024'!R\Max</f>
        <v>0.78765551065253037</v>
      </c>
      <c r="CD264" s="1188">
        <f>'2025'!R\Max</f>
        <v>0.78354655358942082</v>
      </c>
      <c r="CE264" s="1188">
        <f>'2026'!R\Max</f>
        <v>0.77877010813159164</v>
      </c>
      <c r="CF264" s="1189">
        <f>'2027'!R\Max</f>
        <v>0.77333744227841572</v>
      </c>
    </row>
    <row r="265" spans="1:84" s="6" customFormat="1" ht="11.25" x14ac:dyDescent="0.2">
      <c r="A265" s="11">
        <v>43351</v>
      </c>
      <c r="B265" s="380">
        <f>'2023'!Maxi_hp</f>
        <v>42.753480627950061</v>
      </c>
      <c r="C265" s="13">
        <f>'2023'!An_max</f>
        <v>2018</v>
      </c>
      <c r="D265" s="1059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51">
        <f t="shared" si="100"/>
        <v>0.35714285714285715</v>
      </c>
      <c r="J265" s="744">
        <f t="shared" si="101"/>
        <v>46.075044605880976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2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51">
        <f t="shared" si="105"/>
        <v>0.32142857142857145</v>
      </c>
      <c r="AT265" s="767">
        <f t="shared" si="106"/>
        <v>45.926275491900746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51">
        <f t="shared" si="110"/>
        <v>0.8214285714285714</v>
      </c>
      <c r="AY265" s="767">
        <f t="shared" si="111"/>
        <v>46.038758893617036</v>
      </c>
      <c r="AZ265" s="744">
        <f t="shared" si="115"/>
        <v>45.982517192758891</v>
      </c>
      <c r="BA265" s="642">
        <f t="shared" si="112"/>
        <v>0.92790969588107675</v>
      </c>
      <c r="BC265" s="11">
        <v>43351</v>
      </c>
      <c r="BD265" s="290">
        <f>[2]!FeuilCaduc*(1-Persistant)+Persistant</f>
        <v>0.97835850865339413</v>
      </c>
      <c r="BE265" s="291">
        <f>[2]!CroissVégét</f>
        <v>0.97613026748322473</v>
      </c>
      <c r="BF265" s="814">
        <f>1+[2]!Salcycl*Ksac</f>
        <v>1.0472948135816742</v>
      </c>
      <c r="BH265" s="1050">
        <f t="shared" si="113"/>
        <v>2.0231287670627849E-2</v>
      </c>
      <c r="BI265" s="11">
        <v>44447</v>
      </c>
      <c r="BJ265" s="724">
        <v>1.9533379116087045E-6</v>
      </c>
      <c r="BK265" s="724">
        <v>1.953337911608705E-6</v>
      </c>
      <c r="BL265" s="724">
        <v>1.953337911608705E-6</v>
      </c>
      <c r="BM265" s="724">
        <v>8.0754672697579165E-5</v>
      </c>
      <c r="BN265" s="724">
        <v>2.1171669580201469E-3</v>
      </c>
      <c r="BO265" s="725">
        <v>2.0231287670627849E-2</v>
      </c>
      <c r="BP265" s="724">
        <v>8.4616236577453083E-2</v>
      </c>
      <c r="BQ265" s="724">
        <v>0.22833321034970319</v>
      </c>
      <c r="BR265" s="724">
        <v>0.43618356056344298</v>
      </c>
      <c r="BS265" s="724">
        <v>0.66238341476451534</v>
      </c>
      <c r="BT265" s="724">
        <v>0.87199276666596248</v>
      </c>
      <c r="BW265" s="1190">
        <f>'2018'!R\Max</f>
        <v>0.92790969588107675</v>
      </c>
      <c r="BX265" s="1188">
        <f>'2019'!R\Max</f>
        <v>0.91802166853362432</v>
      </c>
      <c r="BY265" s="1188">
        <f>'2020'!R\Max</f>
        <v>0.89014679950184972</v>
      </c>
      <c r="BZ265" s="1188">
        <f>'2021'!R\Max</f>
        <v>0.64363273050517955</v>
      </c>
      <c r="CA265" s="1188">
        <f>'2022'!R\Max</f>
        <v>0.730122540159167</v>
      </c>
      <c r="CB265" s="1188">
        <f>'2023'!R\Max</f>
        <v>0.72780904641794886</v>
      </c>
      <c r="CC265" s="1188">
        <f>'2024'!R\Max</f>
        <v>0.72401680916678091</v>
      </c>
      <c r="CD265" s="1188">
        <f>'2025'!R\Max</f>
        <v>0.71904539514113663</v>
      </c>
      <c r="CE265" s="1188">
        <f>'2026'!R\Max</f>
        <v>0.71332685084391301</v>
      </c>
      <c r="CF265" s="1189">
        <f>'2027'!R\Max</f>
        <v>0.70695539176830269</v>
      </c>
    </row>
    <row r="266" spans="1:84" s="6" customFormat="1" ht="11.25" x14ac:dyDescent="0.2">
      <c r="A266" s="11">
        <v>43352</v>
      </c>
      <c r="B266" s="380">
        <f>'2023'!Maxi_hp</f>
        <v>43.385482084784094</v>
      </c>
      <c r="C266" s="13">
        <f>'2023'!An_max</f>
        <v>2020</v>
      </c>
      <c r="D266" s="1059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51">
        <f t="shared" si="100"/>
        <v>0.42857142857142855</v>
      </c>
      <c r="J266" s="744">
        <f t="shared" si="101"/>
        <v>45.70311603460992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2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51">
        <f t="shared" si="105"/>
        <v>0.2857142857142857</v>
      </c>
      <c r="AT266" s="767">
        <f t="shared" si="106"/>
        <v>45.561231486712188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51">
        <f t="shared" si="110"/>
        <v>0.7857142857142857</v>
      </c>
      <c r="AY266" s="767">
        <f t="shared" si="111"/>
        <v>45.651020116398911</v>
      </c>
      <c r="AZ266" s="744">
        <f t="shared" si="115"/>
        <v>45.60612580155555</v>
      </c>
      <c r="BA266" s="642">
        <f t="shared" si="112"/>
        <v>0.9492893668766319</v>
      </c>
      <c r="BC266" s="11">
        <v>43352</v>
      </c>
      <c r="BD266" s="290">
        <f>[2]!FeuilCaduc*(1-Persistant)+Persistant</f>
        <v>0.97710985527977512</v>
      </c>
      <c r="BE266" s="291">
        <f>[2]!CroissVégét</f>
        <v>0.97708205248193514</v>
      </c>
      <c r="BF266" s="814">
        <f>1+[2]!Salcycl*Ksac</f>
        <v>1.0471387319099719</v>
      </c>
      <c r="BH266" s="1050">
        <f t="shared" si="113"/>
        <v>2.1672873446881291E-2</v>
      </c>
      <c r="BI266" s="11">
        <v>44448</v>
      </c>
      <c r="BJ266" s="724">
        <v>2.1711535956662511E-6</v>
      </c>
      <c r="BK266" s="724">
        <v>2.1711535956662515E-6</v>
      </c>
      <c r="BL266" s="724">
        <v>2.1711535956662515E-6</v>
      </c>
      <c r="BM266" s="724">
        <v>8.0864195876631379E-5</v>
      </c>
      <c r="BN266" s="724">
        <v>2.2430446213307122E-3</v>
      </c>
      <c r="BO266" s="725">
        <v>2.1672873446881291E-2</v>
      </c>
      <c r="BP266" s="724">
        <v>8.8401284121294721E-2</v>
      </c>
      <c r="BQ266" s="724">
        <v>0.23542650851424093</v>
      </c>
      <c r="BR266" s="724">
        <v>0.44281800580636194</v>
      </c>
      <c r="BS266" s="724">
        <v>0.66457384358327365</v>
      </c>
      <c r="BT266" s="724">
        <v>0.86569099563441421</v>
      </c>
      <c r="BW266" s="1190">
        <f>'2018'!R\Max</f>
        <v>0.67834274657018867</v>
      </c>
      <c r="BX266" s="1188">
        <f>'2019'!R\Max</f>
        <v>0.79101939058337312</v>
      </c>
      <c r="BY266" s="1188">
        <f>'2020'!R\Max</f>
        <v>0.9492893668766319</v>
      </c>
      <c r="BZ266" s="1188">
        <f>'2021'!R\Max</f>
        <v>0.41024427111140782</v>
      </c>
      <c r="CA266" s="1188">
        <f>'2022'!R\Max</f>
        <v>0.5472956808984657</v>
      </c>
      <c r="CB266" s="1188">
        <f>'2023'!R\Max</f>
        <v>0.54428286228162226</v>
      </c>
      <c r="CC266" s="1188">
        <f>'2024'!R\Max</f>
        <v>0.53940692311254479</v>
      </c>
      <c r="CD266" s="1188">
        <f>'2025'!R\Max</f>
        <v>0.53317577112594861</v>
      </c>
      <c r="CE266" s="1188">
        <f>'2026'!R\Max</f>
        <v>0.52612916511070118</v>
      </c>
      <c r="CF266" s="1189">
        <f>'2027'!R\Max</f>
        <v>0.51849674083524844</v>
      </c>
    </row>
    <row r="267" spans="1:84" s="6" customFormat="1" ht="11.25" x14ac:dyDescent="0.2">
      <c r="A267" s="11">
        <v>43353</v>
      </c>
      <c r="B267" s="380">
        <f>'2023'!Maxi_hp</f>
        <v>42.945778972423717</v>
      </c>
      <c r="C267" s="13">
        <f>'2023'!An_max</f>
        <v>2022</v>
      </c>
      <c r="D267" s="1059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51">
        <f t="shared" si="100"/>
        <v>0.5</v>
      </c>
      <c r="J267" s="744">
        <f t="shared" si="101"/>
        <v>45.326299999654296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2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51">
        <f t="shared" si="105"/>
        <v>0.25</v>
      </c>
      <c r="AT267" s="767">
        <f t="shared" si="106"/>
        <v>45.193743750080465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51">
        <f t="shared" si="110"/>
        <v>0.75</v>
      </c>
      <c r="AY267" s="767">
        <f t="shared" si="111"/>
        <v>45.256450000591578</v>
      </c>
      <c r="AZ267" s="744">
        <f t="shared" si="115"/>
        <v>45.225096875336021</v>
      </c>
      <c r="BA267" s="642">
        <f t="shared" si="112"/>
        <v>0.94748035848395451</v>
      </c>
      <c r="BC267" s="11">
        <v>43353</v>
      </c>
      <c r="BD267" s="290">
        <f>[2]!FeuilCaduc*(1-Persistant)+Persistant</f>
        <v>0.97580598557900677</v>
      </c>
      <c r="BE267" s="291">
        <f>[2]!CroissVégét</f>
        <v>0.97799726049726488</v>
      </c>
      <c r="BF267" s="814">
        <f>1+[2]!Salcycl*Ksac</f>
        <v>1.0469757481973758</v>
      </c>
      <c r="BH267" s="1050">
        <f t="shared" si="113"/>
        <v>2.3180485280935987E-2</v>
      </c>
      <c r="BI267" s="11">
        <v>44449</v>
      </c>
      <c r="BJ267" s="724">
        <v>2.4254946731839573E-6</v>
      </c>
      <c r="BK267" s="724">
        <v>2.4254946731839577E-6</v>
      </c>
      <c r="BL267" s="724">
        <v>2.4254946731839577E-6</v>
      </c>
      <c r="BM267" s="724">
        <v>8.1127073842620506E-5</v>
      </c>
      <c r="BN267" s="724">
        <v>2.3939347956446542E-3</v>
      </c>
      <c r="BO267" s="725">
        <v>2.3180485280935987E-2</v>
      </c>
      <c r="BP267" s="724">
        <v>9.2273675440952038E-2</v>
      </c>
      <c r="BQ267" s="724">
        <v>0.24239083851952656</v>
      </c>
      <c r="BR267" s="724">
        <v>0.44899475990425813</v>
      </c>
      <c r="BS267" s="724">
        <v>0.66593174069714756</v>
      </c>
      <c r="BT267" s="724">
        <v>0.85832904309089764</v>
      </c>
      <c r="BW267" s="1190">
        <f>'2018'!R\Max</f>
        <v>0.82285920094330867</v>
      </c>
      <c r="BX267" s="1188">
        <f>'2019'!R\Max</f>
        <v>0.30357433258334227</v>
      </c>
      <c r="BY267" s="1188">
        <f>'2020'!R\Max</f>
        <v>0.57683277726170745</v>
      </c>
      <c r="BZ267" s="1188">
        <f>'2021'!R\Max</f>
        <v>0.87375392740266955</v>
      </c>
      <c r="CA267" s="1188">
        <f>'2022'!R\Max</f>
        <v>0.94748035848395451</v>
      </c>
      <c r="CB267" s="1188">
        <f>'2023'!R\Max</f>
        <v>0.94684996948655187</v>
      </c>
      <c r="CC267" s="1188">
        <f>'2024'!R\Max</f>
        <v>0.94582400013601731</v>
      </c>
      <c r="CD267" s="1188">
        <f>'2025'!R\Max</f>
        <v>0.94451099150405871</v>
      </c>
      <c r="CE267" s="1188">
        <f>'2026'!R\Max</f>
        <v>0.94300381259143307</v>
      </c>
      <c r="CF267" s="1189">
        <f>'2027'!R\Max</f>
        <v>0.94136042567762623</v>
      </c>
    </row>
    <row r="268" spans="1:84" s="6" customFormat="1" ht="11.25" x14ac:dyDescent="0.2">
      <c r="A268" s="11">
        <v>43354</v>
      </c>
      <c r="B268" s="380">
        <f>'2023'!Maxi_hp</f>
        <v>43.805127981597593</v>
      </c>
      <c r="C268" s="13">
        <f>'2023'!An_max</f>
        <v>2019</v>
      </c>
      <c r="D268" s="1059">
        <f t="shared" si="97"/>
        <v>0.97464244576801529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51">
        <f t="shared" si="100"/>
        <v>0.5714285714285714</v>
      </c>
      <c r="J268" s="744">
        <f t="shared" si="101"/>
        <v>44.944818658168828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2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51">
        <f t="shared" si="105"/>
        <v>0.21428571428571427</v>
      </c>
      <c r="AT268" s="767">
        <f t="shared" si="106"/>
        <v>44.824020553646342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51">
        <f t="shared" si="110"/>
        <v>0.7142857142857143</v>
      </c>
      <c r="AY268" s="767">
        <f t="shared" si="111"/>
        <v>44.855659476507988</v>
      </c>
      <c r="AZ268" s="744">
        <f t="shared" si="115"/>
        <v>44.839840015077165</v>
      </c>
      <c r="BA268" s="642">
        <f t="shared" si="112"/>
        <v>0.97464244576801529</v>
      </c>
      <c r="BC268" s="11">
        <v>43354</v>
      </c>
      <c r="BD268" s="290">
        <f>[2]!FeuilCaduc*(1-Persistant)+Persistant</f>
        <v>0.97444473245570595</v>
      </c>
      <c r="BE268" s="291">
        <f>[2]!CroissVégét</f>
        <v>0.97887723107993829</v>
      </c>
      <c r="BF268" s="814">
        <f>1+[2]!Salcycl*Ksac</f>
        <v>1.0468055915569632</v>
      </c>
      <c r="BH268" s="1050">
        <f t="shared" si="113"/>
        <v>2.4744617530230856E-2</v>
      </c>
      <c r="BI268" s="11">
        <v>44450</v>
      </c>
      <c r="BJ268" s="724">
        <v>2.6908714497606449E-6</v>
      </c>
      <c r="BK268" s="724">
        <v>2.6908714497606445E-6</v>
      </c>
      <c r="BL268" s="724">
        <v>2.6908714497606445E-6</v>
      </c>
      <c r="BM268" s="724">
        <v>8.1636129137106027E-5</v>
      </c>
      <c r="BN268" s="724">
        <v>2.5707243772529818E-3</v>
      </c>
      <c r="BO268" s="725">
        <v>2.4744617530230856E-2</v>
      </c>
      <c r="BP268" s="724">
        <v>9.6175851947726917E-2</v>
      </c>
      <c r="BQ268" s="724">
        <v>0.248962129236835</v>
      </c>
      <c r="BR268" s="724">
        <v>0.4542992540729649</v>
      </c>
      <c r="BS268" s="724">
        <v>0.6660290725722664</v>
      </c>
      <c r="BT268" s="724">
        <v>0.84972268539490414</v>
      </c>
      <c r="BW268" s="1190">
        <f>'2018'!R\Max</f>
        <v>0.88651619289857486</v>
      </c>
      <c r="BX268" s="1188">
        <f>'2019'!R\Max</f>
        <v>0.97464244576801529</v>
      </c>
      <c r="BY268" s="1188">
        <f>'2020'!R\Max</f>
        <v>0.8155324838983995</v>
      </c>
      <c r="BZ268" s="1188">
        <f>'2021'!R\Max</f>
        <v>0.85215134032082407</v>
      </c>
      <c r="CA268" s="1188">
        <f>'2022'!R\Max</f>
        <v>0.92983845496327422</v>
      </c>
      <c r="CB268" s="1188">
        <f>'2023'!R\Max</f>
        <v>0.9289837753060417</v>
      </c>
      <c r="CC268" s="1188">
        <f>'2024'!R\Max</f>
        <v>0.92760477920923579</v>
      </c>
      <c r="CD268" s="1188">
        <f>'2025'!R\Max</f>
        <v>0.92586972371860199</v>
      </c>
      <c r="CE268" s="1188">
        <f>'2026'!R\Max</f>
        <v>0.92389384506243977</v>
      </c>
      <c r="CF268" s="1189">
        <f>'2027'!R\Max</f>
        <v>0.92178016583431244</v>
      </c>
    </row>
    <row r="269" spans="1:84" s="6" customFormat="1" ht="11.25" x14ac:dyDescent="0.2">
      <c r="A269" s="11">
        <v>43355</v>
      </c>
      <c r="B269" s="380">
        <f>'2023'!Maxi_hp</f>
        <v>44.561569210056845</v>
      </c>
      <c r="C269" s="13">
        <f>'2023'!An_max</f>
        <v>2019</v>
      </c>
      <c r="D269" s="1059">
        <f t="shared" si="97"/>
        <v>1.0000600338328656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51">
        <f t="shared" si="100"/>
        <v>0.6428571428571429</v>
      </c>
      <c r="J269" s="744">
        <f t="shared" si="101"/>
        <v>44.558894168851637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2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51">
        <f t="shared" si="105"/>
        <v>0.17857142857142858</v>
      </c>
      <c r="AT269" s="767">
        <f t="shared" si="106"/>
        <v>44.45227017078016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51">
        <f t="shared" si="110"/>
        <v>0.6785714285714286</v>
      </c>
      <c r="AY269" s="767">
        <f t="shared" si="111"/>
        <v>44.449259475705084</v>
      </c>
      <c r="AZ269" s="744">
        <f t="shared" si="115"/>
        <v>44.450764823242622</v>
      </c>
      <c r="BA269" s="642">
        <f t="shared" si="112"/>
        <v>1.0000600338328656</v>
      </c>
      <c r="BC269" s="11">
        <v>43355</v>
      </c>
      <c r="BD269" s="290">
        <f>[2]!FeuilCaduc*(1-Persistant)+Persistant</f>
        <v>0.9730238463676989</v>
      </c>
      <c r="BE269" s="291">
        <f>[2]!CroissVégét</f>
        <v>0.97972325984311226</v>
      </c>
      <c r="BF269" s="814">
        <f>1+[2]!Salcycl*Ksac</f>
        <v>1.0466279807959624</v>
      </c>
      <c r="BH269" s="1050">
        <f t="shared" si="113"/>
        <v>2.6290206167719682E-2</v>
      </c>
      <c r="BI269" s="11">
        <v>44451</v>
      </c>
      <c r="BJ269" s="724">
        <v>2.9488565727215563E-6</v>
      </c>
      <c r="BK269" s="724">
        <v>2.9488565727215559E-6</v>
      </c>
      <c r="BL269" s="724">
        <v>2.9488565727215559E-6</v>
      </c>
      <c r="BM269" s="724">
        <v>8.2376915762859165E-5</v>
      </c>
      <c r="BN269" s="724">
        <v>2.7650205772149516E-3</v>
      </c>
      <c r="BO269" s="725">
        <v>2.6290206167719682E-2</v>
      </c>
      <c r="BP269" s="724">
        <v>0.10005048937447752</v>
      </c>
      <c r="BQ269" s="724">
        <v>0.25515040124885879</v>
      </c>
      <c r="BR269" s="724">
        <v>0.45891943534828061</v>
      </c>
      <c r="BS269" s="724">
        <v>0.66520676605253615</v>
      </c>
      <c r="BT269" s="724">
        <v>0.84038407476718313</v>
      </c>
      <c r="BW269" s="1190">
        <f>'2018'!R\Max</f>
        <v>0.58678701244738463</v>
      </c>
      <c r="BX269" s="1188">
        <f>'2019'!R\Max</f>
        <v>1.0000600338328656</v>
      </c>
      <c r="BY269" s="1188">
        <f>'2020'!R\Max</f>
        <v>0.92028838531512336</v>
      </c>
      <c r="BZ269" s="1188">
        <f>'2021'!R\Max</f>
        <v>0.9379738059052436</v>
      </c>
      <c r="CA269" s="1188">
        <f>'2022'!R\Max</f>
        <v>0.67412295396752586</v>
      </c>
      <c r="CB269" s="1188">
        <f>'2023'!R\Max</f>
        <v>0.67116155152909451</v>
      </c>
      <c r="CC269" s="1188">
        <f>'2024'!R\Max</f>
        <v>0.66646765377666251</v>
      </c>
      <c r="CD269" s="1188">
        <f>'2025'!R\Max</f>
        <v>0.66072290048917026</v>
      </c>
      <c r="CE269" s="1188">
        <f>'2026'!R\Max</f>
        <v>0.6543175308385083</v>
      </c>
      <c r="CF269" s="1189">
        <f>'2027'!R\Max</f>
        <v>0.64769329706771639</v>
      </c>
    </row>
    <row r="270" spans="1:84" s="6" customFormat="1" ht="11.25" x14ac:dyDescent="0.2">
      <c r="A270" s="11">
        <v>43356</v>
      </c>
      <c r="B270" s="380">
        <f>'2023'!Maxi_hp</f>
        <v>41.322642207532596</v>
      </c>
      <c r="C270" s="13">
        <f>'2023'!An_max</f>
        <v>2020</v>
      </c>
      <c r="D270" s="1059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51">
        <f t="shared" si="100"/>
        <v>0.7142857142857143</v>
      </c>
      <c r="J270" s="744">
        <f t="shared" si="101"/>
        <v>44.168748687952757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2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51">
        <f t="shared" si="105"/>
        <v>0.14285714285714285</v>
      </c>
      <c r="AT270" s="767">
        <f t="shared" si="106"/>
        <v>44.078700874107227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51">
        <f t="shared" si="110"/>
        <v>0.6428571428571429</v>
      </c>
      <c r="AY270" s="767">
        <f t="shared" si="111"/>
        <v>44.037860933704572</v>
      </c>
      <c r="AZ270" s="744">
        <f t="shared" si="115"/>
        <v>44.058280903905896</v>
      </c>
      <c r="BA270" s="642">
        <f t="shared" si="112"/>
        <v>0.93556289084557087</v>
      </c>
      <c r="BC270" s="11">
        <v>43356</v>
      </c>
      <c r="BD270" s="290">
        <f>[2]!FeuilCaduc*(1-Persistant)+Persistant</f>
        <v>0.97154099632593671</v>
      </c>
      <c r="BE270" s="291">
        <f>[2]!CroissVégét</f>
        <v>0.98053659949953242</v>
      </c>
      <c r="BF270" s="814">
        <f>1+[2]!Salcycl*Ksac</f>
        <v>1.0464426245407421</v>
      </c>
      <c r="BH270" s="1050">
        <f t="shared" si="113"/>
        <v>2.7817289054185134E-2</v>
      </c>
      <c r="BI270" s="11">
        <v>44452</v>
      </c>
      <c r="BJ270" s="724">
        <v>3.1994534164207162E-6</v>
      </c>
      <c r="BK270" s="724">
        <v>3.1994534164207175E-6</v>
      </c>
      <c r="BL270" s="724">
        <v>3.1994534164207175E-6</v>
      </c>
      <c r="BM270" s="724">
        <v>8.3349615039457722E-5</v>
      </c>
      <c r="BN270" s="724">
        <v>2.9768405772251471E-3</v>
      </c>
      <c r="BO270" s="725">
        <v>2.7817289054185134E-2</v>
      </c>
      <c r="BP270" s="724">
        <v>0.10389770017558471</v>
      </c>
      <c r="BQ270" s="724">
        <v>0.26095563596369603</v>
      </c>
      <c r="BR270" s="724">
        <v>0.46285508259040148</v>
      </c>
      <c r="BS270" s="724">
        <v>0.6634643260361478</v>
      </c>
      <c r="BT270" s="724">
        <v>0.83031261363972297</v>
      </c>
      <c r="BW270" s="1190">
        <f>'2018'!R\Max</f>
        <v>0.46952175587537742</v>
      </c>
      <c r="BX270" s="1188">
        <f>'2019'!R\Max</f>
        <v>0.77998191183508314</v>
      </c>
      <c r="BY270" s="1188">
        <f>'2020'!R\Max</f>
        <v>0.93556289084557087</v>
      </c>
      <c r="BZ270" s="1188">
        <f>'2021'!R\Max</f>
        <v>0.67626667666136775</v>
      </c>
      <c r="CA270" s="1188">
        <f>'2022'!R\Max</f>
        <v>0.3295711942061943</v>
      </c>
      <c r="CB270" s="1188">
        <f>'2023'!R\Max</f>
        <v>0.32651577682511923</v>
      </c>
      <c r="CC270" s="1188">
        <f>'2024'!R\Max</f>
        <v>0.32177838649853818</v>
      </c>
      <c r="CD270" s="1188">
        <f>'2025'!R\Max</f>
        <v>0.31615874319670995</v>
      </c>
      <c r="CE270" s="1188">
        <f>'2026'!R\Max</f>
        <v>0.31004948966504114</v>
      </c>
      <c r="CF270" s="1189">
        <f>'2027'!R\Max</f>
        <v>0.3039678776892456</v>
      </c>
    </row>
    <row r="271" spans="1:84" s="6" customFormat="1" ht="11.25" x14ac:dyDescent="0.2">
      <c r="A271" s="11">
        <v>43357</v>
      </c>
      <c r="B271" s="380">
        <f>'2023'!Maxi_hp</f>
        <v>40.506292806876168</v>
      </c>
      <c r="C271" s="13">
        <f>'2023'!An_max</f>
        <v>2020</v>
      </c>
      <c r="D271" s="1059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51">
        <f t="shared" ref="I271:I334" si="119">($A271-H271)/(INDEX(x.2m,G271)-H271)</f>
        <v>0.7857142857142857</v>
      </c>
      <c r="J271" s="744">
        <f t="shared" ref="J271:J334" si="120">((1-I271)*(INDEX(a.m,F271)*$A271*$A271+INDEX(b.m,F271)*$A271+INDEX(c.m,F271))+I271*(INDEX(a.m,G271)*$A271*$A271+INDEX(b.m,G271)*$A271+INDEX(c.m,G271)))/10</f>
        <v>43.774604372467309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2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51">
        <f t="shared" ref="AS271:AS334" si="124">($A271-AR271)/(INDEX(x.2lg,AQ271)-AR271)</f>
        <v>0.10714285714285714</v>
      </c>
      <c r="AT271" s="767">
        <f t="shared" ref="AT271:AT334" si="125">((1-AS271)*(INDEX(a.lg,AP271)*$A271*$A271+INDEX(b.lg,AP271)*$A271+INDEX(c.lg,AP271))+AS271*(INDEX(a.lg,AQ271)*$A271*$A271+INDEX(b.lg,AQ271)*$A271+INDEX(c.lg,AQ271)))/10</f>
        <v>43.703520936412474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51">
        <f t="shared" ref="AX271:AX334" si="129">($A271-AW271)/(INDEX(x.2ld,AV271)-AW271)</f>
        <v>0.6071428571428571</v>
      </c>
      <c r="AY271" s="767">
        <f t="shared" ref="AY271:AY334" si="130">((1-AX271)*(INDEX(a.ld,AU271)*$A271*$A271+INDEX(b.ld,AU271)*$A271+INDEX(c.ld,AU271))+AX271*(INDEX(a.ld,AV271)*$A271*$A271+INDEX(b.ld,AV271)*$A271+INDEX(c.ld,AV271)))/10</f>
        <v>43.622074782302867</v>
      </c>
      <c r="AZ271" s="744">
        <f t="shared" si="115"/>
        <v>43.662797859357667</v>
      </c>
      <c r="BA271" s="642">
        <f t="shared" ref="BA271:BA334" si="131">+B271/J271</f>
        <v>0.92533772463636943</v>
      </c>
      <c r="BC271" s="11">
        <v>43357</v>
      </c>
      <c r="BD271" s="290">
        <f>[2]!FeuilCaduc*(1-Persistant)+Persistant</f>
        <v>0.96999377203723292</v>
      </c>
      <c r="BE271" s="291">
        <f>[2]!CroissVégét</f>
        <v>0.98131846090840358</v>
      </c>
      <c r="BF271" s="814">
        <f>1+[2]!Salcycl*Ksac</f>
        <v>1.0462492215046542</v>
      </c>
      <c r="BH271" s="1050">
        <f t="shared" ref="BH271:BH334" si="132">INDEX($BJ271:$BT271,,$BH$10)*(1-Ratini)+INDEX($BJ271:$BT271,,$BH$10+1)*Ratini</f>
        <v>2.9325903967953534E-2</v>
      </c>
      <c r="BI271" s="11">
        <v>44453</v>
      </c>
      <c r="BJ271" s="724">
        <v>3.4426650841634012E-6</v>
      </c>
      <c r="BK271" s="724">
        <v>3.442665084163402E-6</v>
      </c>
      <c r="BL271" s="724">
        <v>3.442665084163402E-6</v>
      </c>
      <c r="BM271" s="724">
        <v>8.4554422664037576E-5</v>
      </c>
      <c r="BN271" s="724">
        <v>3.206202741800251E-3</v>
      </c>
      <c r="BO271" s="725">
        <v>2.9325903967953534E-2</v>
      </c>
      <c r="BP271" s="724">
        <v>0.10771759771317173</v>
      </c>
      <c r="BQ271" s="724">
        <v>0.26637779578447501</v>
      </c>
      <c r="BR271" s="724">
        <v>0.46610593632326264</v>
      </c>
      <c r="BS271" s="724">
        <v>0.66080120108221985</v>
      </c>
      <c r="BT271" s="724">
        <v>0.81950765345035015</v>
      </c>
      <c r="BW271" s="1190">
        <f>'2018'!R\Max</f>
        <v>0.63418046439107045</v>
      </c>
      <c r="BX271" s="1188">
        <f>'2019'!R\Max</f>
        <v>0.88929325046523133</v>
      </c>
      <c r="BY271" s="1188">
        <f>'2020'!R\Max</f>
        <v>0.92533772463636943</v>
      </c>
      <c r="BZ271" s="1188">
        <f>'2021'!R\Max</f>
        <v>0.3947003546333499</v>
      </c>
      <c r="CA271" s="1188">
        <f>'2022'!R\Max</f>
        <v>0.7564903347914711</v>
      </c>
      <c r="CB271" s="1188">
        <f>'2023'!R\Max</f>
        <v>0.753853206735418</v>
      </c>
      <c r="CC271" s="1188">
        <f>'2024'!R\Max</f>
        <v>0.74974515790343899</v>
      </c>
      <c r="CD271" s="1188">
        <f>'2025'!R\Max</f>
        <v>0.74484233045450965</v>
      </c>
      <c r="CE271" s="1188">
        <f>'2026'!R\Max</f>
        <v>0.739422020818016</v>
      </c>
      <c r="CF271" s="1189">
        <f>'2027'!R\Max</f>
        <v>0.73399685630706124</v>
      </c>
    </row>
    <row r="272" spans="1:84" s="6" customFormat="1" ht="11.25" x14ac:dyDescent="0.2">
      <c r="A272" s="11">
        <v>43358</v>
      </c>
      <c r="B272" s="380">
        <f>'2023'!Maxi_hp</f>
        <v>40.691044739305312</v>
      </c>
      <c r="C272" s="13">
        <f>'2023'!An_max</f>
        <v>2020</v>
      </c>
      <c r="D272" s="1059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51">
        <f t="shared" si="119"/>
        <v>0.8571428571428571</v>
      </c>
      <c r="J272" s="744">
        <f t="shared" si="120"/>
        <v>43.376683381625583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2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51">
        <f t="shared" si="124"/>
        <v>7.1428571428571425E-2</v>
      </c>
      <c r="AT272" s="767">
        <f t="shared" si="125"/>
        <v>43.32693862931005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51">
        <f t="shared" si="129"/>
        <v>0.5714285714285714</v>
      </c>
      <c r="AY272" s="767">
        <f t="shared" si="130"/>
        <v>43.20251195388181</v>
      </c>
      <c r="AZ272" s="744">
        <f t="shared" ref="AZ272:AZ335" si="134">(AY272+AT272)/2</f>
        <v>43.26472529159593</v>
      </c>
      <c r="BA272" s="642">
        <f t="shared" si="131"/>
        <v>0.93808566185911046</v>
      </c>
      <c r="BC272" s="11">
        <v>43358</v>
      </c>
      <c r="BD272" s="290">
        <f>[2]!FeuilCaduc*(1-Persistant)+Persistant</f>
        <v>0.9683796872779693</v>
      </c>
      <c r="BE272" s="291">
        <f>[2]!CroissVégét</f>
        <v>0.98207001412819972</v>
      </c>
      <c r="BF272" s="814">
        <f>1+[2]!Salcycl*Ksac</f>
        <v>1.0460474609097461</v>
      </c>
      <c r="BH272" s="1050">
        <f t="shared" si="132"/>
        <v>3.0816088570453454E-2</v>
      </c>
      <c r="BI272" s="11">
        <v>44454</v>
      </c>
      <c r="BJ272" s="724">
        <v>3.6784943949254549E-6</v>
      </c>
      <c r="BK272" s="724">
        <v>3.6784943949254549E-6</v>
      </c>
      <c r="BL272" s="724">
        <v>3.6784943949254549E-6</v>
      </c>
      <c r="BM272" s="724">
        <v>8.5991549116880341E-5</v>
      </c>
      <c r="BN272" s="724">
        <v>3.4531266489097787E-3</v>
      </c>
      <c r="BO272" s="725">
        <v>3.0816088570453454E-2</v>
      </c>
      <c r="BP272" s="724">
        <v>0.11151029620326917</v>
      </c>
      <c r="BQ272" s="724">
        <v>0.27141682342368206</v>
      </c>
      <c r="BR272" s="724">
        <v>0.46867169751400772</v>
      </c>
      <c r="BS272" s="724">
        <v>0.65721678177432119</v>
      </c>
      <c r="BT272" s="724">
        <v>0.80796849333794807</v>
      </c>
      <c r="BW272" s="1190">
        <f>'2018'!R\Max</f>
        <v>0.78045102412399503</v>
      </c>
      <c r="BX272" s="1188">
        <f>'2019'!R\Max</f>
        <v>0.90741247878323794</v>
      </c>
      <c r="BY272" s="1188">
        <f>'2020'!R\Max</f>
        <v>0.93808566185911046</v>
      </c>
      <c r="BZ272" s="1188">
        <f>'2021'!R\Max</f>
        <v>0.70560917891053765</v>
      </c>
      <c r="CA272" s="1188">
        <f>'2022'!R\Max</f>
        <v>0.8326608158323483</v>
      </c>
      <c r="CB272" s="1188">
        <f>'2023'!R\Max</f>
        <v>0.8306087556913212</v>
      </c>
      <c r="CC272" s="1188">
        <f>'2024'!R\Max</f>
        <v>0.82743885564573405</v>
      </c>
      <c r="CD272" s="1188">
        <f>'2025'!R\Max</f>
        <v>0.82369331637385701</v>
      </c>
      <c r="CE272" s="1188">
        <f>'2026'!R\Max</f>
        <v>0.81956103978359118</v>
      </c>
      <c r="CF272" s="1189">
        <f>'2027'!R\Max</f>
        <v>0.81548735184261445</v>
      </c>
    </row>
    <row r="273" spans="1:84" s="6" customFormat="1" ht="11.25" x14ac:dyDescent="0.2">
      <c r="A273" s="11">
        <v>43359</v>
      </c>
      <c r="B273" s="380">
        <f>'2023'!Maxi_hp</f>
        <v>39.509966115704373</v>
      </c>
      <c r="C273" s="13">
        <f>'2023'!An_max</f>
        <v>2018</v>
      </c>
      <c r="D273" s="1059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51">
        <f t="shared" si="119"/>
        <v>0.9285714285714286</v>
      </c>
      <c r="J273" s="744">
        <f t="shared" si="120"/>
        <v>42.975207871996936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2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51">
        <f t="shared" si="124"/>
        <v>3.5714285714285712E-2</v>
      </c>
      <c r="AT273" s="767">
        <f t="shared" si="125"/>
        <v>42.949162226409783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51">
        <f t="shared" si="129"/>
        <v>0.5357142857142857</v>
      </c>
      <c r="AY273" s="767">
        <f t="shared" si="130"/>
        <v>42.779783382359895</v>
      </c>
      <c r="AZ273" s="744">
        <f t="shared" si="134"/>
        <v>42.864472804384839</v>
      </c>
      <c r="BA273" s="642">
        <f t="shared" si="131"/>
        <v>0.91936649226656686</v>
      </c>
      <c r="BC273" s="11">
        <v>43359</v>
      </c>
      <c r="BD273" s="290">
        <f>[2]!FeuilCaduc*(1-Persistant)+Persistant</f>
        <v>0.9666961845742561</v>
      </c>
      <c r="BE273" s="291">
        <f>[2]!CroissVégét</f>
        <v>0.98279238947199099</v>
      </c>
      <c r="BF273" s="814">
        <f>1+[2]!Salcycl*Ksac</f>
        <v>1.0458370230717819</v>
      </c>
      <c r="BH273" s="1050">
        <f t="shared" si="132"/>
        <v>3.2287880372009553E-2</v>
      </c>
      <c r="BI273" s="11">
        <v>44455</v>
      </c>
      <c r="BJ273" s="724">
        <v>3.9069438700982244E-6</v>
      </c>
      <c r="BK273" s="724">
        <v>3.9069438700982252E-6</v>
      </c>
      <c r="BL273" s="724">
        <v>3.9069438700982252E-6</v>
      </c>
      <c r="BM273" s="724">
        <v>8.7661220067773195E-5</v>
      </c>
      <c r="BN273" s="724">
        <v>3.7176331206301028E-3</v>
      </c>
      <c r="BO273" s="725">
        <v>3.2287880372009553E-2</v>
      </c>
      <c r="BP273" s="724">
        <v>0.11527591066289718</v>
      </c>
      <c r="BQ273" s="724">
        <v>0.27607264121989378</v>
      </c>
      <c r="BR273" s="724">
        <v>0.47055202635686161</v>
      </c>
      <c r="BS273" s="724">
        <v>0.65271039909046225</v>
      </c>
      <c r="BT273" s="724">
        <v>0.79569437884592786</v>
      </c>
      <c r="BW273" s="1190">
        <f>'2018'!R\Max</f>
        <v>0.91936649226656686</v>
      </c>
      <c r="BX273" s="1188">
        <f>'2019'!R\Max</f>
        <v>0.90685464123371518</v>
      </c>
      <c r="BY273" s="1188">
        <f>'2020'!R\Max</f>
        <v>0.85559989582482288</v>
      </c>
      <c r="BZ273" s="1188">
        <f>'2021'!R\Max</f>
        <v>0.47375122255505586</v>
      </c>
      <c r="CA273" s="1188">
        <f>'2022'!R\Max</f>
        <v>0.77706348438122053</v>
      </c>
      <c r="CB273" s="1188">
        <f>'2023'!R\Max</f>
        <v>0.77444758247397594</v>
      </c>
      <c r="CC273" s="1188">
        <f>'2024'!R\Max</f>
        <v>0.77046332277402241</v>
      </c>
      <c r="CD273" s="1188">
        <f>'2025'!R\Max</f>
        <v>0.765830788914586</v>
      </c>
      <c r="CE273" s="1188">
        <f>'2026'!R\Max</f>
        <v>0.76076785136869929</v>
      </c>
      <c r="CF273" s="1189">
        <f>'2027'!R\Max</f>
        <v>0.75589315483684683</v>
      </c>
    </row>
    <row r="274" spans="1:84" s="6" customFormat="1" ht="11.25" x14ac:dyDescent="0.2">
      <c r="A274" s="11">
        <v>43360</v>
      </c>
      <c r="B274" s="380">
        <f>'2023'!Maxi_hp</f>
        <v>42.174056181974457</v>
      </c>
      <c r="C274" s="13">
        <f>'2023'!An_max</f>
        <v>2022</v>
      </c>
      <c r="D274" s="1059">
        <f t="shared" si="116"/>
        <v>0.99068968539385349</v>
      </c>
      <c r="E274" s="1054">
        <f>AF$13/10</f>
        <v>42.570399999999999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51">
        <f t="shared" si="119"/>
        <v>1</v>
      </c>
      <c r="J274" s="744">
        <f t="shared" si="120"/>
        <v>42.570399998873469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2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51">
        <f t="shared" si="124"/>
        <v>0</v>
      </c>
      <c r="AT274" s="767">
        <f t="shared" si="125"/>
        <v>42.570400000363591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51">
        <f t="shared" si="129"/>
        <v>0.5</v>
      </c>
      <c r="AY274" s="767">
        <f t="shared" si="130"/>
        <v>42.354500000085679</v>
      </c>
      <c r="AZ274" s="744">
        <f t="shared" si="134"/>
        <v>42.462450000224635</v>
      </c>
      <c r="BA274" s="642">
        <f t="shared" si="131"/>
        <v>0.99068968539385349</v>
      </c>
      <c r="BC274" s="11">
        <v>43360</v>
      </c>
      <c r="BD274" s="290">
        <f>[2]!FeuilCaduc*(1-Persistant)+Persistant</f>
        <v>0.96494064125016266</v>
      </c>
      <c r="BE274" s="291">
        <f>[2]!CroissVégét</f>
        <v>0.98348667856218763</v>
      </c>
      <c r="BF274" s="814">
        <f>1+[2]!Salcycl*Ksac</f>
        <v>1.0456175801562704</v>
      </c>
      <c r="BH274" s="1050">
        <f t="shared" si="132"/>
        <v>3.3741316698112846E-2</v>
      </c>
      <c r="BI274" s="11">
        <v>44456</v>
      </c>
      <c r="BJ274" s="724">
        <v>4.1280157202924656E-6</v>
      </c>
      <c r="BK274" s="724">
        <v>4.1280157202924656E-6</v>
      </c>
      <c r="BL274" s="724">
        <v>4.1280157202924656E-6</v>
      </c>
      <c r="BM274" s="724">
        <v>8.9563676783599455E-5</v>
      </c>
      <c r="BN274" s="724">
        <v>3.9997442538542861E-3</v>
      </c>
      <c r="BO274" s="725">
        <v>3.3741316698112846E-2</v>
      </c>
      <c r="BP274" s="724">
        <v>0.11901455685881639</v>
      </c>
      <c r="BQ274" s="724">
        <v>0.28034515045842912</v>
      </c>
      <c r="BR274" s="724">
        <v>0.4717465410635624</v>
      </c>
      <c r="BS274" s="724">
        <v>0.64728132278204009</v>
      </c>
      <c r="BT274" s="724">
        <v>0.78268450063645378</v>
      </c>
      <c r="BW274" s="1190">
        <f>'2018'!R\Max</f>
        <v>0.89936020459121013</v>
      </c>
      <c r="BX274" s="1188">
        <f>'2019'!R\Max</f>
        <v>0.89094481183483842</v>
      </c>
      <c r="BY274" s="1188">
        <f>'2020'!R\Max</f>
        <v>0.87179912432161522</v>
      </c>
      <c r="BZ274" s="1188">
        <f>'2021'!R\Max</f>
        <v>0.94997415960706599</v>
      </c>
      <c r="CA274" s="1188">
        <f>'2022'!R\Max</f>
        <v>0.99068968539385349</v>
      </c>
      <c r="CB274" s="1188">
        <f>'2023'!R\Max</f>
        <v>0.99054648248909616</v>
      </c>
      <c r="CC274" s="1188">
        <f>'2024'!R\Max</f>
        <v>0.99032936110738323</v>
      </c>
      <c r="CD274" s="1188">
        <f>'2025'!R\Max</f>
        <v>0.99007748518573635</v>
      </c>
      <c r="CE274" s="1188">
        <f>'2026'!R\Max</f>
        <v>0.98980059858090952</v>
      </c>
      <c r="CF274" s="1189">
        <f>'2027'!R\Max</f>
        <v>0.98953637357404356</v>
      </c>
    </row>
    <row r="275" spans="1:84" s="6" customFormat="1" ht="11.25" x14ac:dyDescent="0.2">
      <c r="A275" s="11">
        <v>43361</v>
      </c>
      <c r="B275" s="380">
        <f>'2023'!Maxi_hp</f>
        <v>42.28779075370737</v>
      </c>
      <c r="C275" s="13">
        <f>'2023'!An_max</f>
        <v>2023</v>
      </c>
      <c r="D275" s="1059">
        <f t="shared" si="116"/>
        <v>1.0030596920998258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51">
        <f t="shared" si="119"/>
        <v>0.9285714285714286</v>
      </c>
      <c r="J275" s="744">
        <f t="shared" si="120"/>
        <v>42.15879781310047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2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51">
        <f t="shared" si="124"/>
        <v>3.5714285714285712E-2</v>
      </c>
      <c r="AT275" s="767">
        <f t="shared" si="125"/>
        <v>42.18716685488554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51">
        <f t="shared" si="129"/>
        <v>0.4642857142857143</v>
      </c>
      <c r="AY275" s="767">
        <f t="shared" si="130"/>
        <v>41.927272741277037</v>
      </c>
      <c r="AZ275" s="744">
        <f t="shared" si="134"/>
        <v>42.057219798081292</v>
      </c>
      <c r="BA275" s="642">
        <f t="shared" si="131"/>
        <v>1.0030596920998258</v>
      </c>
      <c r="BC275" s="11">
        <v>43361</v>
      </c>
      <c r="BD275" s="290">
        <f>[2]!FeuilCaduc*(1-Persistant)+Persistant</f>
        <v>0.96311037689069634</v>
      </c>
      <c r="BE275" s="291">
        <f>[2]!CroissVégét</f>
        <v>0.98415393538190332</v>
      </c>
      <c r="BF275" s="814">
        <f>1+[2]!Salcycl*Ksac</f>
        <v>1.0453887971113371</v>
      </c>
      <c r="BH275" s="1050">
        <f t="shared" si="132"/>
        <v>3.5176434654745993E-2</v>
      </c>
      <c r="BI275" s="11">
        <v>44457</v>
      </c>
      <c r="BJ275" s="724">
        <v>4.3417118320291591E-6</v>
      </c>
      <c r="BK275" s="724">
        <v>4.3417118320291583E-6</v>
      </c>
      <c r="BL275" s="724">
        <v>4.3417118320291583E-6</v>
      </c>
      <c r="BM275" s="724">
        <v>9.1699176533306369E-5</v>
      </c>
      <c r="BN275" s="724">
        <v>4.2994834508964354E-3</v>
      </c>
      <c r="BO275" s="725">
        <v>3.5176434654745993E-2</v>
      </c>
      <c r="BP275" s="724">
        <v>0.1227263512528633</v>
      </c>
      <c r="BQ275" s="724">
        <v>0.28423423068368908</v>
      </c>
      <c r="BR275" s="724">
        <v>0.47225481663945185</v>
      </c>
      <c r="BS275" s="724">
        <v>0.64092875973268415</v>
      </c>
      <c r="BT275" s="724">
        <v>0.76893799317998435</v>
      </c>
      <c r="BW275" s="1190">
        <f>'2018'!R\Max</f>
        <v>0.85986543058473852</v>
      </c>
      <c r="BX275" s="1188">
        <f>'2019'!R\Max</f>
        <v>0.62542325015621925</v>
      </c>
      <c r="BY275" s="1188">
        <f>'2020'!R\Max</f>
        <v>0.88424259082318912</v>
      </c>
      <c r="BZ275" s="1188">
        <f>'2021'!R\Max</f>
        <v>0.19559743968312643</v>
      </c>
      <c r="CA275" s="1188">
        <f>'2022'!R\Max</f>
        <v>1.0030596920998258</v>
      </c>
      <c r="CB275" s="1188">
        <f>'2023'!R\Max</f>
        <v>1.0030596920998258</v>
      </c>
      <c r="CC275" s="1188">
        <f>'2024'!R\Max</f>
        <v>1.0030596920998256</v>
      </c>
      <c r="CD275" s="1188">
        <f>'2025'!R\Max</f>
        <v>1.0030596920998256</v>
      </c>
      <c r="CE275" s="1188">
        <f>'2026'!R\Max</f>
        <v>1.0030596920998256</v>
      </c>
      <c r="CF275" s="1189">
        <f>'2027'!R\Max</f>
        <v>1.0030596920998258</v>
      </c>
    </row>
    <row r="276" spans="1:84" s="6" customFormat="1" ht="11.25" x14ac:dyDescent="0.2">
      <c r="A276" s="11">
        <v>43362</v>
      </c>
      <c r="B276" s="380">
        <f>'2023'!Maxi_hp</f>
        <v>40.423517538055499</v>
      </c>
      <c r="C276" s="13">
        <f>'2023'!An_max</f>
        <v>2022</v>
      </c>
      <c r="D276" s="1059" t="str">
        <f t="shared" si="116"/>
        <v/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51">
        <f t="shared" si="119"/>
        <v>0.8571428571428571</v>
      </c>
      <c r="J276" s="744">
        <f t="shared" si="120"/>
        <v>41.737753935637222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2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51">
        <f t="shared" si="124"/>
        <v>7.1428571428571425E-2</v>
      </c>
      <c r="AT276" s="767">
        <f t="shared" si="125"/>
        <v>41.796236880389706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51">
        <f t="shared" si="129"/>
        <v>0.42857142857142855</v>
      </c>
      <c r="AY276" s="767">
        <f t="shared" si="130"/>
        <v>41.498712537011933</v>
      </c>
      <c r="AZ276" s="744">
        <f t="shared" si="134"/>
        <v>41.64747470870082</v>
      </c>
      <c r="BA276" s="642">
        <f t="shared" si="131"/>
        <v>0.9685120478785616</v>
      </c>
      <c r="BC276" s="11">
        <v>43362</v>
      </c>
      <c r="BD276" s="290">
        <f>[2]!FeuilCaduc*(1-Persistant)+Persistant</f>
        <v>0.96120266225036788</v>
      </c>
      <c r="BE276" s="291">
        <f>[2]!CroissVégét</f>
        <v>0.98479517732042654</v>
      </c>
      <c r="BF276" s="814">
        <f>1+[2]!Salcycl*Ksac</f>
        <v>1.0451503327812959</v>
      </c>
      <c r="BH276" s="1050">
        <f t="shared" si="132"/>
        <v>3.6585305128394134E-2</v>
      </c>
      <c r="BI276" s="11">
        <v>44458</v>
      </c>
      <c r="BJ276" s="724">
        <v>4.5269548916306567E-6</v>
      </c>
      <c r="BK276" s="724">
        <v>4.5269548916306558E-6</v>
      </c>
      <c r="BL276" s="724">
        <v>4.5269548916306558E-6</v>
      </c>
      <c r="BM276" s="724">
        <v>9.4176052276010846E-5</v>
      </c>
      <c r="BN276" s="724">
        <v>4.6069067308554196E-3</v>
      </c>
      <c r="BO276" s="725">
        <v>3.6585305128394134E-2</v>
      </c>
      <c r="BP276" s="724">
        <v>0.12625121635674882</v>
      </c>
      <c r="BQ276" s="724">
        <v>0.28745172254566015</v>
      </c>
      <c r="BR276" s="724">
        <v>0.47173884011805378</v>
      </c>
      <c r="BS276" s="724">
        <v>0.63351798180784746</v>
      </c>
      <c r="BT276" s="724">
        <v>0.75460863300149006</v>
      </c>
      <c r="BW276" s="1190">
        <f>'2018'!R\Max</f>
        <v>0.82986120815502495</v>
      </c>
      <c r="BX276" s="1188">
        <f>'2019'!R\Max</f>
        <v>0.9340156033241287</v>
      </c>
      <c r="BY276" s="1188">
        <f>'2020'!R\Max</f>
        <v>0.45021939579227432</v>
      </c>
      <c r="BZ276" s="1188">
        <f>'2021'!R\Max</f>
        <v>0.80277063659161141</v>
      </c>
      <c r="CA276" s="1188">
        <f>'2022'!R\Max</f>
        <v>0.9685120478785616</v>
      </c>
      <c r="CB276" s="1188">
        <f>'2023'!R\Max</f>
        <v>0.9680173074796985</v>
      </c>
      <c r="CC276" s="1188">
        <f>'2024'!R\Max</f>
        <v>0.96728830432883484</v>
      </c>
      <c r="CD276" s="1188">
        <f>'2025'!R\Max</f>
        <v>0.96646445811264459</v>
      </c>
      <c r="CE276" s="1188">
        <f>'2026'!R\Max</f>
        <v>0.96557117043750851</v>
      </c>
      <c r="CF276" s="1189">
        <f>'2027'!R\Max</f>
        <v>0.96475694633185605</v>
      </c>
    </row>
    <row r="277" spans="1:84" s="6" customFormat="1" ht="11.25" x14ac:dyDescent="0.2">
      <c r="A277" s="11">
        <v>43363</v>
      </c>
      <c r="B277" s="380">
        <f>'2023'!Maxi_hp</f>
        <v>41.321180250587048</v>
      </c>
      <c r="C277" s="13">
        <f>'2023'!An_max</f>
        <v>2023</v>
      </c>
      <c r="D277" s="1059">
        <f t="shared" si="116"/>
        <v>1.000301821578065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51">
        <f t="shared" si="119"/>
        <v>0.7857142857142857</v>
      </c>
      <c r="J277" s="744">
        <f t="shared" si="120"/>
        <v>41.308712389825715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2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51">
        <f t="shared" si="124"/>
        <v>0.10714285714285714</v>
      </c>
      <c r="AT277" s="767">
        <f t="shared" si="125"/>
        <v>41.398207124322653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51">
        <f t="shared" si="129"/>
        <v>0.39285714285714285</v>
      </c>
      <c r="AY277" s="767">
        <f t="shared" si="130"/>
        <v>41.06943032092947</v>
      </c>
      <c r="AZ277" s="744">
        <f t="shared" si="134"/>
        <v>41.233818722626062</v>
      </c>
      <c r="BA277" s="642">
        <f t="shared" si="131"/>
        <v>1.000301821578065</v>
      </c>
      <c r="BC277" s="11">
        <v>43363</v>
      </c>
      <c r="BD277" s="290">
        <f>[2]!FeuilCaduc*(1-Persistant)+Persistant</f>
        <v>0.95921472962157506</v>
      </c>
      <c r="BE277" s="291">
        <f>[2]!CroissVégét</f>
        <v>0.98541138621054403</v>
      </c>
      <c r="BF277" s="814">
        <f>1+[2]!Salcycl*Ksac</f>
        <v>1.0449018412026969</v>
      </c>
      <c r="BH277" s="1050">
        <f t="shared" si="132"/>
        <v>3.7977811729020088E-2</v>
      </c>
      <c r="BI277" s="11">
        <v>44459</v>
      </c>
      <c r="BJ277" s="724">
        <v>4.6656936729583585E-6</v>
      </c>
      <c r="BK277" s="724">
        <v>4.6656936729583593E-6</v>
      </c>
      <c r="BL277" s="724">
        <v>4.6656936729583593E-6</v>
      </c>
      <c r="BM277" s="724">
        <v>9.6856409484533936E-5</v>
      </c>
      <c r="BN277" s="724">
        <v>4.90545642157021E-3</v>
      </c>
      <c r="BO277" s="725">
        <v>3.7977811729020088E-2</v>
      </c>
      <c r="BP277" s="724">
        <v>0.12956140032190891</v>
      </c>
      <c r="BQ277" s="724">
        <v>0.29012130233306027</v>
      </c>
      <c r="BR277" s="724">
        <v>0.47047462151499708</v>
      </c>
      <c r="BS277" s="724">
        <v>0.62554731579807721</v>
      </c>
      <c r="BT277" s="724">
        <v>0.74025008646901425</v>
      </c>
      <c r="BW277" s="1190">
        <f>'2018'!R\Max</f>
        <v>0.9254838276912547</v>
      </c>
      <c r="BX277" s="1188">
        <f>'2019'!R\Max</f>
        <v>0.92240651834436271</v>
      </c>
      <c r="BY277" s="1188">
        <f>'2020'!R\Max</f>
        <v>0.75864365371672304</v>
      </c>
      <c r="BZ277" s="1188">
        <f>'2021'!R\Max</f>
        <v>0.74371979460127224</v>
      </c>
      <c r="CA277" s="1188">
        <f>'2022'!R\Max</f>
        <v>1.0003018215780648</v>
      </c>
      <c r="CB277" s="1188">
        <f>'2023'!R\Max</f>
        <v>1.000301821578065</v>
      </c>
      <c r="CC277" s="1188">
        <f>'2024'!R\Max</f>
        <v>1.000301821578065</v>
      </c>
      <c r="CD277" s="1188">
        <f>'2025'!R\Max</f>
        <v>1.000301821578065</v>
      </c>
      <c r="CE277" s="1188">
        <f>'2026'!R\Max</f>
        <v>1.000301821578065</v>
      </c>
      <c r="CF277" s="1189">
        <f>'2027'!R\Max</f>
        <v>1.000301821578065</v>
      </c>
    </row>
    <row r="278" spans="1:84" s="6" customFormat="1" ht="11.25" x14ac:dyDescent="0.2">
      <c r="A278" s="11">
        <v>43364</v>
      </c>
      <c r="B278" s="380">
        <f>'2023'!Maxi_hp</f>
        <v>40.230485089809569</v>
      </c>
      <c r="C278" s="13">
        <f>'2023'!An_max</f>
        <v>2022</v>
      </c>
      <c r="D278" s="1059">
        <f t="shared" si="116"/>
        <v>0.98427738928177699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51">
        <f t="shared" si="119"/>
        <v>0.7142857142857143</v>
      </c>
      <c r="J278" s="744">
        <f t="shared" si="120"/>
        <v>40.873117200391633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2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51">
        <f t="shared" si="124"/>
        <v>0.14285714285714285</v>
      </c>
      <c r="AT278" s="767">
        <f t="shared" si="125"/>
        <v>40.993674635674274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51">
        <f t="shared" si="129"/>
        <v>0.35714285714285715</v>
      </c>
      <c r="AY278" s="767">
        <f t="shared" si="130"/>
        <v>40.640037026549024</v>
      </c>
      <c r="AZ278" s="744">
        <f t="shared" si="134"/>
        <v>40.816855831111653</v>
      </c>
      <c r="BA278" s="642">
        <f t="shared" si="131"/>
        <v>0.98427738928177699</v>
      </c>
      <c r="BC278" s="11">
        <v>43364</v>
      </c>
      <c r="BD278" s="290">
        <f>[2]!FeuilCaduc*(1-Persistant)+Persistant</f>
        <v>0.95714378465986294</v>
      </c>
      <c r="BE278" s="291">
        <f>[2]!CroissVégét</f>
        <v>0.98600350935571934</v>
      </c>
      <c r="BF278" s="814">
        <f>1+[2]!Salcycl*Ksac</f>
        <v>1.0446429730824829</v>
      </c>
      <c r="BH278" s="1050">
        <f t="shared" si="132"/>
        <v>3.9353992156009591E-2</v>
      </c>
      <c r="BI278" s="11">
        <v>44460</v>
      </c>
      <c r="BJ278" s="724">
        <v>4.757892451456215E-6</v>
      </c>
      <c r="BK278" s="724">
        <v>4.7578924514562141E-6</v>
      </c>
      <c r="BL278" s="724">
        <v>4.7578924514562141E-6</v>
      </c>
      <c r="BM278" s="724">
        <v>9.9740531891585914E-5</v>
      </c>
      <c r="BN278" s="724">
        <v>5.1951353635125447E-3</v>
      </c>
      <c r="BO278" s="725">
        <v>3.9353992156009591E-2</v>
      </c>
      <c r="BP278" s="724">
        <v>0.13265684370325417</v>
      </c>
      <c r="BQ278" s="724">
        <v>0.29224262020156511</v>
      </c>
      <c r="BR278" s="724">
        <v>0.46846153171010058</v>
      </c>
      <c r="BS278" s="724">
        <v>0.61701610049702371</v>
      </c>
      <c r="BT278" s="724">
        <v>0.72586196681327519</v>
      </c>
      <c r="BW278" s="1190">
        <f>'2018'!R\Max</f>
        <v>0.75953990449924214</v>
      </c>
      <c r="BX278" s="1188">
        <f>'2019'!R\Max</f>
        <v>0.77312080733765176</v>
      </c>
      <c r="BY278" s="1188">
        <f>'2020'!R\Max</f>
        <v>0.73241572466745641</v>
      </c>
      <c r="BZ278" s="1188">
        <f>'2021'!R\Max</f>
        <v>0.33694307589406636</v>
      </c>
      <c r="CA278" s="1188">
        <f>'2022'!R\Max</f>
        <v>0.98427738928177699</v>
      </c>
      <c r="CB278" s="1188">
        <f>'2023'!R\Max</f>
        <v>0.98401719271590793</v>
      </c>
      <c r="CC278" s="1188">
        <f>'2024'!R\Max</f>
        <v>0.9836440087119207</v>
      </c>
      <c r="CD278" s="1188">
        <f>'2025'!R\Max</f>
        <v>0.98323174205082853</v>
      </c>
      <c r="CE278" s="1188">
        <f>'2026'!R\Max</f>
        <v>0.98278973053652918</v>
      </c>
      <c r="CF278" s="1189">
        <f>'2027'!R\Max</f>
        <v>0.98240292327930157</v>
      </c>
    </row>
    <row r="279" spans="1:84" s="6" customFormat="1" ht="11.25" x14ac:dyDescent="0.2">
      <c r="A279" s="11">
        <v>43365</v>
      </c>
      <c r="B279" s="380">
        <f>'2023'!Maxi_hp</f>
        <v>38.846406402200635</v>
      </c>
      <c r="C279" s="13">
        <f>'2023'!An_max</f>
        <v>2022</v>
      </c>
      <c r="D279" s="1059" t="str">
        <f t="shared" si="116"/>
        <v/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51">
        <f t="shared" si="119"/>
        <v>0.6428571428571429</v>
      </c>
      <c r="J279" s="744">
        <f t="shared" si="120"/>
        <v>40.432412390464116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2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51">
        <f t="shared" si="124"/>
        <v>0.17857142857142858</v>
      </c>
      <c r="AT279" s="767">
        <f t="shared" si="125"/>
        <v>40.583236461066242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51">
        <f t="shared" si="129"/>
        <v>0.32142857142857145</v>
      </c>
      <c r="AY279" s="767">
        <f t="shared" si="130"/>
        <v>40.211143586618299</v>
      </c>
      <c r="AZ279" s="744">
        <f t="shared" si="134"/>
        <v>40.397190023842271</v>
      </c>
      <c r="BA279" s="642">
        <f t="shared" si="131"/>
        <v>0.96077389662167334</v>
      </c>
      <c r="BC279" s="11">
        <v>43365</v>
      </c>
      <c r="BD279" s="290">
        <f>[2]!FeuilCaduc*(1-Persistant)+Persistant</f>
        <v>0.95498701964555321</v>
      </c>
      <c r="BE279" s="291">
        <f>[2]!CroissVégét</f>
        <v>0.98657246054533965</v>
      </c>
      <c r="BF279" s="814">
        <f>1+[2]!Salcycl*Ksac</f>
        <v>1.0443733774556943</v>
      </c>
      <c r="BH279" s="1050">
        <f t="shared" si="132"/>
        <v>4.0713885831994721E-2</v>
      </c>
      <c r="BI279" s="11">
        <v>44461</v>
      </c>
      <c r="BJ279" s="724">
        <v>4.8035126374735895E-6</v>
      </c>
      <c r="BK279" s="724">
        <v>4.8035126374735887E-6</v>
      </c>
      <c r="BL279" s="724">
        <v>4.8035126374735887E-6</v>
      </c>
      <c r="BM279" s="724">
        <v>1.0282872378375175E-4</v>
      </c>
      <c r="BN279" s="724">
        <v>5.4759462462712566E-3</v>
      </c>
      <c r="BO279" s="725">
        <v>4.0713885831994721E-2</v>
      </c>
      <c r="BP279" s="724">
        <v>0.1355374809420091</v>
      </c>
      <c r="BQ279" s="724">
        <v>0.29381530440133297</v>
      </c>
      <c r="BR279" s="724">
        <v>0.46569891142965941</v>
      </c>
      <c r="BS279" s="724">
        <v>0.60792365966202977</v>
      </c>
      <c r="BT279" s="724">
        <v>0.71144390917323075</v>
      </c>
      <c r="BW279" s="1190">
        <f>'2018'!R\Max</f>
        <v>0.91982316474579762</v>
      </c>
      <c r="BX279" s="1188">
        <f>'2019'!R\Max</f>
        <v>0.21603231719666441</v>
      </c>
      <c r="BY279" s="1188">
        <f>'2020'!R\Max</f>
        <v>0.67240268413655979</v>
      </c>
      <c r="BZ279" s="1188">
        <f>'2021'!R\Max</f>
        <v>0.94810227412012338</v>
      </c>
      <c r="CA279" s="1188">
        <f>'2022'!R\Max</f>
        <v>0.96077389662167334</v>
      </c>
      <c r="CB279" s="1188">
        <f>'2023'!R\Max</f>
        <v>0.96013116522909103</v>
      </c>
      <c r="CC279" s="1188">
        <f>'2024'!R\Max</f>
        <v>0.95922282202286102</v>
      </c>
      <c r="CD279" s="1188">
        <f>'2025'!R\Max</f>
        <v>0.95823183327225547</v>
      </c>
      <c r="CE279" s="1188">
        <f>'2026'!R\Max</f>
        <v>0.95717705168198886</v>
      </c>
      <c r="CF279" s="1189">
        <f>'2027'!R\Max</f>
        <v>0.95627272736739033</v>
      </c>
    </row>
    <row r="280" spans="1:84" s="6" customFormat="1" ht="11.25" x14ac:dyDescent="0.2">
      <c r="A280" s="11">
        <v>43366</v>
      </c>
      <c r="B280" s="380">
        <f>'2023'!Maxi_hp</f>
        <v>37.625376650076369</v>
      </c>
      <c r="C280" s="13">
        <f>'2023'!An_max</f>
        <v>2019</v>
      </c>
      <c r="D280" s="1059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51">
        <f t="shared" si="119"/>
        <v>0.5714285714285714</v>
      </c>
      <c r="J280" s="744">
        <f t="shared" si="120"/>
        <v>39.988041982533673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2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51">
        <f t="shared" si="124"/>
        <v>0.21428571428571427</v>
      </c>
      <c r="AT280" s="767">
        <f t="shared" si="125"/>
        <v>40.167489649701331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51">
        <f t="shared" si="129"/>
        <v>0.2857142857142857</v>
      </c>
      <c r="AY280" s="767">
        <f t="shared" si="130"/>
        <v>39.783360932927039</v>
      </c>
      <c r="AZ280" s="744">
        <f t="shared" si="134"/>
        <v>39.975425291314181</v>
      </c>
      <c r="BA280" s="642">
        <f t="shared" si="131"/>
        <v>0.94091570341230291</v>
      </c>
      <c r="BC280" s="11">
        <v>43366</v>
      </c>
      <c r="BD280" s="290">
        <f>[2]!FeuilCaduc*(1-Persistant)+Persistant</f>
        <v>0.95274162814343621</v>
      </c>
      <c r="BE280" s="291">
        <f>[2]!CroissVégét</f>
        <v>0.98711912105647015</v>
      </c>
      <c r="BF280" s="814">
        <f>1+[2]!Salcycl*Ksac</f>
        <v>1.0440927035179295</v>
      </c>
      <c r="BH280" s="1050">
        <f t="shared" si="132"/>
        <v>4.2057757541681562E-2</v>
      </c>
      <c r="BI280" s="11">
        <v>44462</v>
      </c>
      <c r="BJ280" s="724">
        <v>4.8025381978420902E-6</v>
      </c>
      <c r="BK280" s="724">
        <v>4.8025381978420902E-6</v>
      </c>
      <c r="BL280" s="724">
        <v>4.8025381978420902E-6</v>
      </c>
      <c r="BM280" s="724">
        <v>1.0612187470397861E-4</v>
      </c>
      <c r="BN280" s="724">
        <v>5.7479221821044729E-3</v>
      </c>
      <c r="BO280" s="725">
        <v>4.2057757541681562E-2</v>
      </c>
      <c r="BP280" s="724">
        <v>0.13820397455276037</v>
      </c>
      <c r="BQ280" s="724">
        <v>0.29484052629783186</v>
      </c>
      <c r="BR280" s="724">
        <v>0.46218852352582346</v>
      </c>
      <c r="BS280" s="724">
        <v>0.59827247582616383</v>
      </c>
      <c r="BT280" s="724">
        <v>0.69699926848197402</v>
      </c>
      <c r="BW280" s="1190">
        <f>'2018'!R\Max</f>
        <v>0.93281055592455475</v>
      </c>
      <c r="BX280" s="1188">
        <f>'2019'!R\Max</f>
        <v>0.94091570341230291</v>
      </c>
      <c r="BY280" s="1188">
        <f>'2020'!R\Max</f>
        <v>0.6202026477827397</v>
      </c>
      <c r="BZ280" s="1188">
        <f>'2021'!R\Max</f>
        <v>0.82309141033539224</v>
      </c>
      <c r="CA280" s="1188">
        <f>'2022'!R\Max</f>
        <v>0.62581879218261616</v>
      </c>
      <c r="CB280" s="1188">
        <f>'2023'!R\Max</f>
        <v>0.62179809056736202</v>
      </c>
      <c r="CC280" s="1188">
        <f>'2024'!R\Max</f>
        <v>0.61627060186460492</v>
      </c>
      <c r="CD280" s="1188">
        <f>'2025'!R\Max</f>
        <v>0.61040455638964808</v>
      </c>
      <c r="CE280" s="1188">
        <f>'2026'!R\Max</f>
        <v>0.60430570575469889</v>
      </c>
      <c r="CF280" s="1189">
        <f>'2027'!R\Max</f>
        <v>0.59925409869577739</v>
      </c>
    </row>
    <row r="281" spans="1:84" s="6" customFormat="1" ht="11.25" x14ac:dyDescent="0.2">
      <c r="A281" s="11">
        <v>43367</v>
      </c>
      <c r="B281" s="380">
        <f>'2023'!Maxi_hp</f>
        <v>36.227444973424483</v>
      </c>
      <c r="C281" s="13">
        <f>'2023'!An_max</f>
        <v>2018</v>
      </c>
      <c r="D281" s="1059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51">
        <f t="shared" si="119"/>
        <v>0.5</v>
      </c>
      <c r="J281" s="744">
        <f t="shared" si="120"/>
        <v>39.541449999809267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2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51">
        <f t="shared" si="124"/>
        <v>0.25</v>
      </c>
      <c r="AT281" s="767">
        <f t="shared" si="125"/>
        <v>39.747031249944122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51">
        <f t="shared" si="129"/>
        <v>0.25</v>
      </c>
      <c r="AY281" s="767">
        <f t="shared" si="130"/>
        <v>39.357300000498071</v>
      </c>
      <c r="AZ281" s="744">
        <f t="shared" si="134"/>
        <v>39.552165625221093</v>
      </c>
      <c r="BA281" s="642">
        <f t="shared" si="131"/>
        <v>0.9161890869859155</v>
      </c>
      <c r="BC281" s="11">
        <v>43367</v>
      </c>
      <c r="BD281" s="290">
        <f>[2]!FeuilCaduc*(1-Persistant)+Persistant</f>
        <v>0.95040482100443024</v>
      </c>
      <c r="BE281" s="291">
        <f>[2]!CroissVégét</f>
        <v>0.98764434064074225</v>
      </c>
      <c r="BF281" s="814">
        <f>1+[2]!Salcycl*Ksac</f>
        <v>1.0438006026255537</v>
      </c>
      <c r="BH281" s="1050">
        <f t="shared" si="132"/>
        <v>4.338578636050202E-2</v>
      </c>
      <c r="BI281" s="11">
        <v>44463</v>
      </c>
      <c r="BJ281" s="724">
        <v>4.7549362883837774E-6</v>
      </c>
      <c r="BK281" s="724">
        <v>4.7549362883837766E-6</v>
      </c>
      <c r="BL281" s="724">
        <v>4.7549362883837766E-6</v>
      </c>
      <c r="BM281" s="724">
        <v>1.0962067787298458E-4</v>
      </c>
      <c r="BN281" s="724">
        <v>6.0110857132627911E-3</v>
      </c>
      <c r="BO281" s="725">
        <v>4.338578636050202E-2</v>
      </c>
      <c r="BP281" s="724">
        <v>0.14065665662875576</v>
      </c>
      <c r="BQ281" s="724">
        <v>0.29531865261300744</v>
      </c>
      <c r="BR281" s="724">
        <v>0.45793077875709126</v>
      </c>
      <c r="BS281" s="724">
        <v>0.58806321740563783</v>
      </c>
      <c r="BT281" s="724">
        <v>0.68252927891144322</v>
      </c>
      <c r="BW281" s="1190">
        <f>'2018'!R\Max</f>
        <v>0.9161890869859155</v>
      </c>
      <c r="BX281" s="1188">
        <f>'2019'!R\Max</f>
        <v>0.62635789268523012</v>
      </c>
      <c r="BY281" s="1188">
        <f>'2020'!R\Max</f>
        <v>0.79852365615151188</v>
      </c>
      <c r="BZ281" s="1188">
        <f>'2021'!R\Max</f>
        <v>0.83801800203877208</v>
      </c>
      <c r="CA281" s="1188">
        <f>'2022'!R\Max</f>
        <v>0.46025811484665019</v>
      </c>
      <c r="CB281" s="1188">
        <f>'2023'!R\Max</f>
        <v>0.45596054819576176</v>
      </c>
      <c r="CC281" s="1188">
        <f>'2024'!R\Max</f>
        <v>0.45017420103399092</v>
      </c>
      <c r="CD281" s="1188">
        <f>'2025'!R\Max</f>
        <v>0.44414726324492976</v>
      </c>
      <c r="CE281" s="1188">
        <f>'2026'!R\Max</f>
        <v>0.43796752845208198</v>
      </c>
      <c r="CF281" s="1189">
        <f>'2027'!R\Max</f>
        <v>0.43296946017817856</v>
      </c>
    </row>
    <row r="282" spans="1:84" s="6" customFormat="1" ht="11.25" x14ac:dyDescent="0.2">
      <c r="A282" s="11">
        <v>43368</v>
      </c>
      <c r="B282" s="380">
        <f>'2023'!Maxi_hp</f>
        <v>37.737616608562853</v>
      </c>
      <c r="C282" s="13">
        <f>'2023'!An_max</f>
        <v>2018</v>
      </c>
      <c r="D282" s="1059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51">
        <f t="shared" si="119"/>
        <v>0.42857142857142855</v>
      </c>
      <c r="J282" s="744">
        <f t="shared" si="120"/>
        <v>39.094080466351336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2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51">
        <f t="shared" si="124"/>
        <v>0.2857142857142857</v>
      </c>
      <c r="AT282" s="767">
        <f t="shared" si="125"/>
        <v>39.322458308828729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51">
        <f t="shared" si="129"/>
        <v>0.21428571428571427</v>
      </c>
      <c r="AY282" s="767">
        <f t="shared" si="130"/>
        <v>38.933571720282949</v>
      </c>
      <c r="AZ282" s="744">
        <f t="shared" si="134"/>
        <v>39.128015014555842</v>
      </c>
      <c r="BA282" s="642">
        <f t="shared" si="131"/>
        <v>0.96530257671731134</v>
      </c>
      <c r="BC282" s="11">
        <v>43368</v>
      </c>
      <c r="BD282" s="290">
        <f>[2]!FeuilCaduc*(1-Persistant)+Persistant</f>
        <v>0.94797384363547132</v>
      </c>
      <c r="BE282" s="291">
        <f>[2]!CroissVégét</f>
        <v>0.98814893849517882</v>
      </c>
      <c r="BF282" s="814">
        <f>1+[2]!Salcycl*Ksac</f>
        <v>1.043496730454434</v>
      </c>
      <c r="BH282" s="1050">
        <f t="shared" si="132"/>
        <v>4.4635867179147783E-2</v>
      </c>
      <c r="BI282" s="11">
        <v>44464</v>
      </c>
      <c r="BJ282" s="724">
        <v>4.6563541288442907E-6</v>
      </c>
      <c r="BK282" s="724">
        <v>4.6563541288442907E-6</v>
      </c>
      <c r="BL282" s="724">
        <v>4.6563541288442907E-6</v>
      </c>
      <c r="BM282" s="724">
        <v>1.1328357406772152E-4</v>
      </c>
      <c r="BN282" s="724">
        <v>6.2692606819895634E-3</v>
      </c>
      <c r="BO282" s="725">
        <v>4.4635867179147783E-2</v>
      </c>
      <c r="BP282" s="724">
        <v>0.14274403512999576</v>
      </c>
      <c r="BQ282" s="724">
        <v>0.2950998295469186</v>
      </c>
      <c r="BR282" s="724">
        <v>0.45287259022407955</v>
      </c>
      <c r="BS282" s="724">
        <v>0.57748482583969618</v>
      </c>
      <c r="BT282" s="724">
        <v>0.66849174871333961</v>
      </c>
      <c r="BW282" s="1190">
        <f>'2018'!R\Max</f>
        <v>0.96530257671731134</v>
      </c>
      <c r="BX282" s="1188">
        <f>'2019'!R\Max</f>
        <v>0.75373830714861201</v>
      </c>
      <c r="BY282" s="1188">
        <f>'2020'!R\Max</f>
        <v>0.50520477204538738</v>
      </c>
      <c r="BZ282" s="1188">
        <f>'2021'!R\Max</f>
        <v>0.79753941546342166</v>
      </c>
      <c r="CA282" s="1188">
        <f>'2022'!R\Max</f>
        <v>0.86169755458311914</v>
      </c>
      <c r="CB282" s="1188">
        <f>'2023'!R\Max</f>
        <v>0.85960524894762291</v>
      </c>
      <c r="CC282" s="1188">
        <f>'2024'!R\Max</f>
        <v>0.85678071762513397</v>
      </c>
      <c r="CD282" s="1188">
        <f>'2025'!R\Max</f>
        <v>0.85381197008648291</v>
      </c>
      <c r="CE282" s="1188">
        <f>'2026'!R\Max</f>
        <v>0.85072322351674889</v>
      </c>
      <c r="CF282" s="1189">
        <f>'2027'!R\Max</f>
        <v>0.84821265486922992</v>
      </c>
    </row>
    <row r="283" spans="1:84" s="6" customFormat="1" ht="11.25" x14ac:dyDescent="0.2">
      <c r="A283" s="11">
        <v>43369</v>
      </c>
      <c r="B283" s="380">
        <f>'2023'!Maxi_hp</f>
        <v>38.347746104915672</v>
      </c>
      <c r="C283" s="13">
        <f>'2023'!An_max</f>
        <v>2018</v>
      </c>
      <c r="D283" s="1059">
        <f t="shared" si="116"/>
        <v>0.99224704700645616</v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51">
        <f t="shared" si="119"/>
        <v>0.35714285714285715</v>
      </c>
      <c r="J283" s="744">
        <f t="shared" si="120"/>
        <v>38.647377405262418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2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51">
        <f t="shared" si="124"/>
        <v>0.32142857142857145</v>
      </c>
      <c r="AT283" s="767">
        <f t="shared" si="125"/>
        <v>38.894367875265225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51">
        <f t="shared" si="129"/>
        <v>0.17857142857142858</v>
      </c>
      <c r="AY283" s="767">
        <f t="shared" si="130"/>
        <v>38.512787026253399</v>
      </c>
      <c r="AZ283" s="744">
        <f t="shared" si="134"/>
        <v>38.703577450759312</v>
      </c>
      <c r="BA283" s="642">
        <f t="shared" si="131"/>
        <v>0.99224704700645616</v>
      </c>
      <c r="BC283" s="11">
        <v>43369</v>
      </c>
      <c r="BD283" s="290">
        <f>[2]!FeuilCaduc*(1-Persistant)+Persistant</f>
        <v>0.94544599444663047</v>
      </c>
      <c r="BE283" s="291">
        <f>[2]!CroissVégét</f>
        <v>0.98863370421593466</v>
      </c>
      <c r="BF283" s="814">
        <f>1+[2]!Salcycl*Ksac</f>
        <v>1.0431807493058287</v>
      </c>
      <c r="BH283" s="1050">
        <f t="shared" si="132"/>
        <v>4.5817562262629924E-2</v>
      </c>
      <c r="BI283" s="11">
        <v>44465</v>
      </c>
      <c r="BJ283" s="724">
        <v>4.5323530531103225E-6</v>
      </c>
      <c r="BK283" s="724">
        <v>4.5323530531103225E-6</v>
      </c>
      <c r="BL283" s="724">
        <v>4.5323530531103225E-6</v>
      </c>
      <c r="BM283" s="724">
        <v>1.1701770221200575E-4</v>
      </c>
      <c r="BN283" s="724">
        <v>6.5215768817122625E-3</v>
      </c>
      <c r="BO283" s="725">
        <v>4.5817562262629924E-2</v>
      </c>
      <c r="BP283" s="724">
        <v>0.14452363769330304</v>
      </c>
      <c r="BQ283" s="724">
        <v>0.29444831088902018</v>
      </c>
      <c r="BR283" s="724">
        <v>0.44742862348016738</v>
      </c>
      <c r="BS283" s="724">
        <v>0.56696520906139303</v>
      </c>
      <c r="BT283" s="724">
        <v>0.65506997143622614</v>
      </c>
      <c r="BW283" s="1190">
        <f>'2018'!R\Max</f>
        <v>0.99224704700645616</v>
      </c>
      <c r="BX283" s="1188">
        <f>'2019'!R\Max</f>
        <v>0.8024340392370497</v>
      </c>
      <c r="BY283" s="1188">
        <f>'2020'!R\Max</f>
        <v>0.53391455487963302</v>
      </c>
      <c r="BZ283" s="1188">
        <f>'2021'!R\Max</f>
        <v>0.86055279959974396</v>
      </c>
      <c r="CA283" s="1188">
        <f>'2022'!R\Max</f>
        <v>0.75545181867177269</v>
      </c>
      <c r="CB283" s="1188">
        <f>'2023'!R\Max</f>
        <v>0.75219506592761476</v>
      </c>
      <c r="CC283" s="1188">
        <f>'2024'!R\Max</f>
        <v>0.7478747169915434</v>
      </c>
      <c r="CD283" s="1188">
        <f>'2025'!R\Max</f>
        <v>0.74340198026647153</v>
      </c>
      <c r="CE283" s="1188">
        <f>'2026'!R\Max</f>
        <v>0.73879854984474214</v>
      </c>
      <c r="CF283" s="1189">
        <f>'2027'!R\Max</f>
        <v>0.73511689407108916</v>
      </c>
    </row>
    <row r="284" spans="1:84" s="6" customFormat="1" ht="11.25" x14ac:dyDescent="0.2">
      <c r="A284" s="11">
        <v>43370</v>
      </c>
      <c r="B284" s="380">
        <f>'2023'!Maxi_hp</f>
        <v>36.969576410748687</v>
      </c>
      <c r="C284" s="13">
        <f>'2023'!An_max</f>
        <v>2018</v>
      </c>
      <c r="D284" s="1059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51">
        <f t="shared" si="119"/>
        <v>0.2857142857142857</v>
      </c>
      <c r="J284" s="744">
        <f t="shared" si="120"/>
        <v>38.202784839325723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2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51">
        <f t="shared" si="124"/>
        <v>0.35714285714285715</v>
      </c>
      <c r="AT284" s="767">
        <f t="shared" si="125"/>
        <v>38.463356996806603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51">
        <f t="shared" si="129"/>
        <v>0.14285714285714285</v>
      </c>
      <c r="AY284" s="767">
        <f t="shared" si="130"/>
        <v>38.095556851423211</v>
      </c>
      <c r="AZ284" s="744">
        <f t="shared" si="134"/>
        <v>38.279456924114911</v>
      </c>
      <c r="BA284" s="642">
        <f t="shared" si="131"/>
        <v>0.96771941014866592</v>
      </c>
      <c r="BC284" s="11">
        <v>43370</v>
      </c>
      <c r="BD284" s="290">
        <f>[2]!FeuilCaduc*(1-Persistant)+Persistant</f>
        <v>0.94281864436775531</v>
      </c>
      <c r="BE284" s="291">
        <f>[2]!CroissVégét</f>
        <v>0.98909939873407315</v>
      </c>
      <c r="BF284" s="814">
        <f>1+[2]!Salcycl*Ksac</f>
        <v>1.0428523305459694</v>
      </c>
      <c r="BH284" s="1050">
        <f t="shared" si="132"/>
        <v>4.6930800246704901E-2</v>
      </c>
      <c r="BI284" s="11">
        <v>44466</v>
      </c>
      <c r="BJ284" s="724">
        <v>4.3828917149384992E-6</v>
      </c>
      <c r="BK284" s="724">
        <v>4.3828917149385E-6</v>
      </c>
      <c r="BL284" s="724">
        <v>4.3828917149385E-6</v>
      </c>
      <c r="BM284" s="724">
        <v>1.2082320494052251E-4</v>
      </c>
      <c r="BN284" s="724">
        <v>6.768033037482659E-3</v>
      </c>
      <c r="BO284" s="725">
        <v>4.6930800246704901E-2</v>
      </c>
      <c r="BP284" s="724">
        <v>0.1459950307859216</v>
      </c>
      <c r="BQ284" s="724">
        <v>0.29336321996902964</v>
      </c>
      <c r="BR284" s="724">
        <v>0.44159763443412653</v>
      </c>
      <c r="BS284" s="724">
        <v>0.55650324471394719</v>
      </c>
      <c r="BT284" s="724">
        <v>0.64226322628850352</v>
      </c>
      <c r="BW284" s="1190">
        <f>'2018'!R\Max</f>
        <v>0.96771941014866592</v>
      </c>
      <c r="BX284" s="1188">
        <f>'2019'!R\Max</f>
        <v>0.84496131762702753</v>
      </c>
      <c r="BY284" s="1188">
        <f>'2020'!R\Max</f>
        <v>0.40900144718345488</v>
      </c>
      <c r="BZ284" s="1188">
        <f>'2021'!R\Max</f>
        <v>0.54667398526201949</v>
      </c>
      <c r="CA284" s="1188">
        <f>'2022'!R\Max</f>
        <v>0.49334013443817865</v>
      </c>
      <c r="CB284" s="1188">
        <f>'2023'!R\Max</f>
        <v>0.48893626771440463</v>
      </c>
      <c r="CC284" s="1188">
        <f>'2024'!R\Max</f>
        <v>0.48322749875539739</v>
      </c>
      <c r="CD284" s="1188">
        <f>'2025'!R\Max</f>
        <v>0.47744517844508128</v>
      </c>
      <c r="CE284" s="1188">
        <f>'2026'!R\Max</f>
        <v>0.47159862350735532</v>
      </c>
      <c r="CF284" s="1189">
        <f>'2027'!R\Max</f>
        <v>0.46701401596026776</v>
      </c>
    </row>
    <row r="285" spans="1:84" s="6" customFormat="1" ht="11.25" x14ac:dyDescent="0.2">
      <c r="A285" s="11">
        <v>43371</v>
      </c>
      <c r="B285" s="380">
        <f>'2023'!Maxi_hp</f>
        <v>35.211477825551697</v>
      </c>
      <c r="C285" s="13">
        <f>'2023'!An_max</f>
        <v>2018</v>
      </c>
      <c r="D285" s="1059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51">
        <f t="shared" si="119"/>
        <v>0.21428571428571427</v>
      </c>
      <c r="J285" s="744">
        <f t="shared" si="120"/>
        <v>37.761746793107264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2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51">
        <f t="shared" si="124"/>
        <v>0.39285714285714285</v>
      </c>
      <c r="AT285" s="767">
        <f t="shared" si="125"/>
        <v>38.030022722535897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51">
        <f t="shared" si="129"/>
        <v>0.10714285714285714</v>
      </c>
      <c r="AY285" s="767">
        <f t="shared" si="130"/>
        <v>37.682492128347185</v>
      </c>
      <c r="AZ285" s="744">
        <f t="shared" si="134"/>
        <v>37.856257425441541</v>
      </c>
      <c r="BA285" s="642">
        <f t="shared" si="131"/>
        <v>0.93246422149038211</v>
      </c>
      <c r="BC285" s="11">
        <v>43371</v>
      </c>
      <c r="BD285" s="290">
        <f>[2]!FeuilCaduc*(1-Persistant)+Persistant</f>
        <v>0.94008925731094739</v>
      </c>
      <c r="BE285" s="291">
        <f>[2]!CroissVégét</f>
        <v>0.98954675523264646</v>
      </c>
      <c r="BF285" s="814">
        <f>1+[2]!Salcycl*Ksac</f>
        <v>1.0425111571638683</v>
      </c>
      <c r="BH285" s="1050">
        <f t="shared" si="132"/>
        <v>4.7975497737168631E-2</v>
      </c>
      <c r="BI285" s="11">
        <v>44467</v>
      </c>
      <c r="BJ285" s="724">
        <v>4.2079268200122179E-6</v>
      </c>
      <c r="BK285" s="724">
        <v>4.2079268200122196E-6</v>
      </c>
      <c r="BL285" s="724">
        <v>4.2079268200122196E-6</v>
      </c>
      <c r="BM285" s="724">
        <v>1.2470021517424457E-4</v>
      </c>
      <c r="BN285" s="724">
        <v>7.0086261668449697E-3</v>
      </c>
      <c r="BO285" s="725">
        <v>4.7975497737168631E-2</v>
      </c>
      <c r="BP285" s="724">
        <v>0.14715774258771527</v>
      </c>
      <c r="BQ285" s="724">
        <v>0.29184364041813593</v>
      </c>
      <c r="BR285" s="724">
        <v>0.43537836538994251</v>
      </c>
      <c r="BS285" s="724">
        <v>0.54609786336377553</v>
      </c>
      <c r="BT285" s="724">
        <v>0.63007091326502207</v>
      </c>
      <c r="BW285" s="1190">
        <f>'2018'!R\Max</f>
        <v>0.93246422149038211</v>
      </c>
      <c r="BX285" s="1188">
        <f>'2019'!R\Max</f>
        <v>0.7987471369811836</v>
      </c>
      <c r="BY285" s="1188">
        <f>'2020'!R\Max</f>
        <v>0.33393824564302849</v>
      </c>
      <c r="BZ285" s="1188">
        <f>'2021'!R\Max</f>
        <v>0.63692775279942437</v>
      </c>
      <c r="CA285" s="1188">
        <f>'2022'!R\Max</f>
        <v>0.54980955356441619</v>
      </c>
      <c r="CB285" s="1188">
        <f>'2023'!R\Max</f>
        <v>0.54543501718473275</v>
      </c>
      <c r="CC285" s="1188">
        <f>'2024'!R\Max</f>
        <v>0.53981765166009688</v>
      </c>
      <c r="CD285" s="1188">
        <f>'2025'!R\Max</f>
        <v>0.53416549015306602</v>
      </c>
      <c r="CE285" s="1188">
        <f>'2026'!R\Max</f>
        <v>0.528464175465021</v>
      </c>
      <c r="CF285" s="1189">
        <f>'2027'!R\Max</f>
        <v>0.52400616947603118</v>
      </c>
    </row>
    <row r="286" spans="1:84" s="6" customFormat="1" ht="11.25" x14ac:dyDescent="0.2">
      <c r="A286" s="11">
        <v>43372</v>
      </c>
      <c r="B286" s="380">
        <f>'2023'!Maxi_hp</f>
        <v>37.209601495836544</v>
      </c>
      <c r="C286" s="13">
        <f>'2023'!An_max</f>
        <v>2019</v>
      </c>
      <c r="D286" s="1059">
        <f t="shared" si="116"/>
        <v>0.99688938801153693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51">
        <f t="shared" si="119"/>
        <v>0.14285714285714285</v>
      </c>
      <c r="J286" s="744">
        <f t="shared" si="120"/>
        <v>37.325707288405724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2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51">
        <f t="shared" si="124"/>
        <v>0.42857142857142855</v>
      </c>
      <c r="AT286" s="767">
        <f t="shared" si="125"/>
        <v>37.594962098981647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51">
        <f t="shared" si="129"/>
        <v>7.1428571428571425E-2</v>
      </c>
      <c r="AY286" s="767">
        <f t="shared" si="130"/>
        <v>37.27420379019209</v>
      </c>
      <c r="AZ286" s="744">
        <f t="shared" si="134"/>
        <v>37.434582944586865</v>
      </c>
      <c r="BA286" s="642">
        <f t="shared" si="131"/>
        <v>0.99688938801153693</v>
      </c>
      <c r="BC286" s="11">
        <v>43372</v>
      </c>
      <c r="BD286" s="290">
        <f>[2]!FeuilCaduc*(1-Persistant)+Persistant</f>
        <v>0.93725541144016344</v>
      </c>
      <c r="BE286" s="291">
        <f>[2]!CroissVégét</f>
        <v>0.98997648004446692</v>
      </c>
      <c r="BF286" s="814">
        <f>1+[2]!Salcycl*Ksac</f>
        <v>1.0421569264300203</v>
      </c>
      <c r="BH286" s="1050">
        <f t="shared" si="132"/>
        <v>4.8951560081216233E-2</v>
      </c>
      <c r="BI286" s="11">
        <v>44468</v>
      </c>
      <c r="BJ286" s="724">
        <v>4.0074134058591169E-6</v>
      </c>
      <c r="BK286" s="724">
        <v>4.0074134058591161E-6</v>
      </c>
      <c r="BL286" s="724">
        <v>4.0074134058591161E-6</v>
      </c>
      <c r="BM286" s="724">
        <v>1.2864885538631647E-4</v>
      </c>
      <c r="BN286" s="724">
        <v>7.2433516476123365E-3</v>
      </c>
      <c r="BO286" s="725">
        <v>4.8951560081216233E-2</v>
      </c>
      <c r="BP286" s="724">
        <v>0.14801126642295268</v>
      </c>
      <c r="BQ286" s="724">
        <v>0.28988862098350426</v>
      </c>
      <c r="BR286" s="724">
        <v>0.42876954933123823</v>
      </c>
      <c r="BS286" s="724">
        <v>0.53574804786418884</v>
      </c>
      <c r="BT286" s="724">
        <v>0.61849254636340867</v>
      </c>
      <c r="BW286" s="1190">
        <f>'2018'!R\Max</f>
        <v>0.98396991346698259</v>
      </c>
      <c r="BX286" s="1188">
        <f>'2019'!R\Max</f>
        <v>0.99688938801153693</v>
      </c>
      <c r="BY286" s="1188">
        <f>'2020'!R\Max</f>
        <v>0.78875390156754532</v>
      </c>
      <c r="BZ286" s="1188">
        <f>'2021'!R\Max</f>
        <v>0.73506023856233527</v>
      </c>
      <c r="CA286" s="1188">
        <f>'2022'!R\Max</f>
        <v>0.64285943118732003</v>
      </c>
      <c r="CB286" s="1188">
        <f>'2023'!R\Max</f>
        <v>0.63879465405781666</v>
      </c>
      <c r="CC286" s="1188">
        <f>'2024'!R\Max</f>
        <v>0.63361341979279651</v>
      </c>
      <c r="CD286" s="1188">
        <f>'2025'!R\Max</f>
        <v>0.62842454517273105</v>
      </c>
      <c r="CE286" s="1188">
        <f>'2026'!R\Max</f>
        <v>0.62319417280386091</v>
      </c>
      <c r="CF286" s="1189">
        <f>'2027'!R\Max</f>
        <v>0.61909630288849349</v>
      </c>
    </row>
    <row r="287" spans="1:84" s="6" customFormat="1" ht="11.25" x14ac:dyDescent="0.2">
      <c r="A287" s="11">
        <v>43373</v>
      </c>
      <c r="B287" s="380">
        <f>'2023'!Maxi_hp</f>
        <v>35.36597547612849</v>
      </c>
      <c r="C287" s="13">
        <f>'2023'!An_max</f>
        <v>2018</v>
      </c>
      <c r="D287" s="1059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51">
        <f t="shared" si="119"/>
        <v>7.1428571428571425E-2</v>
      </c>
      <c r="J287" s="744">
        <f t="shared" si="120"/>
        <v>36.896110349600875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2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51">
        <f t="shared" si="124"/>
        <v>0.4642857142857143</v>
      </c>
      <c r="AT287" s="767">
        <f t="shared" si="125"/>
        <v>37.158772175586115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51">
        <f t="shared" si="129"/>
        <v>3.5714285714285712E-2</v>
      </c>
      <c r="AY287" s="767">
        <f t="shared" si="130"/>
        <v>36.871302769652431</v>
      </c>
      <c r="AZ287" s="744">
        <f t="shared" si="134"/>
        <v>37.015037472619269</v>
      </c>
      <c r="BA287" s="642">
        <f t="shared" si="131"/>
        <v>0.95852855872952647</v>
      </c>
      <c r="BC287" s="11">
        <v>43373</v>
      </c>
      <c r="BD287" s="290">
        <f>[2]!FeuilCaduc*(1-Persistant)+Persistant</f>
        <v>0.93431482109526731</v>
      </c>
      <c r="BE287" s="291">
        <f>[2]!CroissVégét</f>
        <v>0.99038925353008489</v>
      </c>
      <c r="BF287" s="814">
        <f>1+[2]!Salcycl*Ksac</f>
        <v>1.0417893526369084</v>
      </c>
      <c r="BH287" s="1050">
        <f t="shared" si="132"/>
        <v>4.985888214005104E-2</v>
      </c>
      <c r="BI287" s="11">
        <v>44469</v>
      </c>
      <c r="BJ287" s="724">
        <v>3.7813051218954002E-6</v>
      </c>
      <c r="BK287" s="724">
        <v>3.7813051218954006E-6</v>
      </c>
      <c r="BL287" s="724">
        <v>3.7813051218954006E-6</v>
      </c>
      <c r="BM287" s="724">
        <v>1.3266923687111978E-4</v>
      </c>
      <c r="BN287" s="724">
        <v>7.4722032858198983E-3</v>
      </c>
      <c r="BO287" s="725">
        <v>4.985888214005104E-2</v>
      </c>
      <c r="BP287" s="724">
        <v>0.14855506419605821</v>
      </c>
      <c r="BQ287" s="724">
        <v>0.28749718035092742</v>
      </c>
      <c r="BR287" s="724">
        <v>0.42176991421814525</v>
      </c>
      <c r="BS287" s="724">
        <v>0.5254528327349165</v>
      </c>
      <c r="BT287" s="724">
        <v>0.60752774681870481</v>
      </c>
      <c r="BW287" s="1190">
        <f>'2018'!R\Max</f>
        <v>0.95852855872952647</v>
      </c>
      <c r="BX287" s="1188">
        <f>'2019'!R\Max</f>
        <v>0.77552314462714622</v>
      </c>
      <c r="BY287" s="1188">
        <f>'2020'!R\Max</f>
        <v>0.86693235437796135</v>
      </c>
      <c r="BZ287" s="1188">
        <f>'2021'!R\Max</f>
        <v>0.4762942718388446</v>
      </c>
      <c r="CA287" s="1188">
        <f>'2022'!R\Max</f>
        <v>0.69824992109122408</v>
      </c>
      <c r="CB287" s="1188">
        <f>'2023'!R\Max</f>
        <v>0.69452352523241301</v>
      </c>
      <c r="CC287" s="1188">
        <f>'2024'!R\Max</f>
        <v>0.68981299983907152</v>
      </c>
      <c r="CD287" s="1188">
        <f>'2025'!R\Max</f>
        <v>0.68512439971400685</v>
      </c>
      <c r="CE287" s="1188">
        <f>'2026'!R\Max</f>
        <v>0.6804095302889499</v>
      </c>
      <c r="CF287" s="1189">
        <f>'2027'!R\Max</f>
        <v>0.67670011393142404</v>
      </c>
    </row>
    <row r="288" spans="1:84" s="6" customFormat="1" ht="11.25" x14ac:dyDescent="0.2">
      <c r="A288" s="11">
        <v>43374</v>
      </c>
      <c r="B288" s="380">
        <f>'2023'!Maxi_hp</f>
        <v>35.633737494395717</v>
      </c>
      <c r="C288" s="13">
        <f>'2023'!An_max</f>
        <v>2020</v>
      </c>
      <c r="D288" s="1059">
        <f t="shared" si="116"/>
        <v>0.97695198535114491</v>
      </c>
      <c r="E288" s="1054">
        <f>AG$13/10</f>
        <v>36.474400000000003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51">
        <f t="shared" si="119"/>
        <v>0</v>
      </c>
      <c r="J288" s="744">
        <f t="shared" si="120"/>
        <v>36.474399999901649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2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51">
        <f t="shared" si="124"/>
        <v>0.5</v>
      </c>
      <c r="AT288" s="767">
        <f t="shared" si="125"/>
        <v>36.722049999982119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51">
        <f t="shared" si="129"/>
        <v>0</v>
      </c>
      <c r="AY288" s="767">
        <f t="shared" si="130"/>
        <v>36.474399999901649</v>
      </c>
      <c r="AZ288" s="744">
        <f t="shared" si="134"/>
        <v>36.598224999941884</v>
      </c>
      <c r="BA288" s="642">
        <f t="shared" si="131"/>
        <v>0.97695198535114491</v>
      </c>
      <c r="BC288" s="11">
        <v>43374</v>
      </c>
      <c r="BD288" s="290">
        <f>[2]!FeuilCaduc*(1-Persistant)+Persistant</f>
        <v>0.93126535920518227</v>
      </c>
      <c r="BE288" s="291">
        <f>[2]!CroissVégét</f>
        <v>0.99078573093558142</v>
      </c>
      <c r="BF288" s="814">
        <f>1+[2]!Salcycl*Ksac</f>
        <v>1.0414081699006479</v>
      </c>
      <c r="BH288" s="1050">
        <f t="shared" si="132"/>
        <v>5.0697349060892537E-2</v>
      </c>
      <c r="BI288" s="11">
        <v>44470</v>
      </c>
      <c r="BJ288" s="724">
        <v>3.5295545094172917E-6</v>
      </c>
      <c r="BK288" s="724">
        <v>3.5295545094172917E-6</v>
      </c>
      <c r="BL288" s="724">
        <v>3.5295545094172917E-6</v>
      </c>
      <c r="BM288" s="724">
        <v>1.3676145901177247E-4</v>
      </c>
      <c r="BN288" s="724">
        <v>7.6951733835902087E-3</v>
      </c>
      <c r="BO288" s="725">
        <v>5.0697349060892537E-2</v>
      </c>
      <c r="BP288" s="724">
        <v>0.14878856982551761</v>
      </c>
      <c r="BQ288" s="724">
        <v>0.28466831196379871</v>
      </c>
      <c r="BR288" s="724">
        <v>0.41437818727866321</v>
      </c>
      <c r="BS288" s="724">
        <v>0.51521130353469358</v>
      </c>
      <c r="BT288" s="724">
        <v>0.59717623632998285</v>
      </c>
      <c r="BW288" s="1190">
        <f>'2018'!R\Max</f>
        <v>0.67672129064662212</v>
      </c>
      <c r="BX288" s="1188">
        <f>'2019'!R\Max</f>
        <v>0.76460386144138381</v>
      </c>
      <c r="BY288" s="1188">
        <f>'2020'!R\Max</f>
        <v>0.97695198535114491</v>
      </c>
      <c r="BZ288" s="1188">
        <f>'2021'!R\Max</f>
        <v>0.80214254339908264</v>
      </c>
      <c r="CA288" s="1188">
        <f>'2022'!R\Max</f>
        <v>0.89938081360319821</v>
      </c>
      <c r="CB288" s="1188">
        <f>'2023'!R\Max</f>
        <v>0.89778143372145613</v>
      </c>
      <c r="CC288" s="1188">
        <f>'2024'!R\Max</f>
        <v>0.89576365118882117</v>
      </c>
      <c r="CD288" s="1188">
        <f>'2025'!R\Max</f>
        <v>0.89375405941550745</v>
      </c>
      <c r="CE288" s="1188">
        <f>'2026'!R\Max</f>
        <v>0.89172486151192742</v>
      </c>
      <c r="CF288" s="1189">
        <f>'2027'!R\Max</f>
        <v>0.8901057154304467</v>
      </c>
    </row>
    <row r="289" spans="1:84" s="6" customFormat="1" ht="11.25" x14ac:dyDescent="0.2">
      <c r="A289" s="11">
        <v>43375</v>
      </c>
      <c r="B289" s="380">
        <f>'2023'!Maxi_hp</f>
        <v>36.768753531604595</v>
      </c>
      <c r="C289" s="13">
        <f>'2023'!An_max</f>
        <v>2018</v>
      </c>
      <c r="D289" s="1059">
        <f t="shared" si="116"/>
        <v>1.0196997960629097</v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51">
        <f t="shared" si="119"/>
        <v>7.1428571428571425E-2</v>
      </c>
      <c r="J289" s="744">
        <f t="shared" si="120"/>
        <v>36.058410204228551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2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51">
        <f t="shared" si="124"/>
        <v>0.5357142857142857</v>
      </c>
      <c r="AT289" s="767">
        <f t="shared" si="125"/>
        <v>36.285392620188318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51">
        <f t="shared" si="129"/>
        <v>3.5714285714285712E-2</v>
      </c>
      <c r="AY289" s="767">
        <f t="shared" si="130"/>
        <v>36.079529045335946</v>
      </c>
      <c r="AZ289" s="744">
        <f t="shared" si="134"/>
        <v>36.182460832762132</v>
      </c>
      <c r="BA289" s="642">
        <f t="shared" si="131"/>
        <v>1.0196997960629097</v>
      </c>
      <c r="BC289" s="11">
        <v>43375</v>
      </c>
      <c r="BD289" s="290">
        <f>[2]!FeuilCaduc*(1-Persistant)+Persistant</f>
        <v>0.92810508001352443</v>
      </c>
      <c r="BE289" s="291">
        <f>[2]!CroissVégét</f>
        <v>0.99116654322989417</v>
      </c>
      <c r="BF289" s="814">
        <f>1+[2]!Salcycl*Ksac</f>
        <v>1.0410131350016905</v>
      </c>
      <c r="BH289" s="1050">
        <f t="shared" si="132"/>
        <v>5.1466837049630065E-2</v>
      </c>
      <c r="BI289" s="11">
        <v>44471</v>
      </c>
      <c r="BJ289" s="724">
        <v>3.2521132816441999E-6</v>
      </c>
      <c r="BK289" s="724">
        <v>3.252113281644199E-6</v>
      </c>
      <c r="BL289" s="724">
        <v>3.252113281644199E-6</v>
      </c>
      <c r="BM289" s="724">
        <v>1.4092560854933007E-4</v>
      </c>
      <c r="BN289" s="724">
        <v>7.9122528070945733E-3</v>
      </c>
      <c r="BO289" s="725">
        <v>5.1466837049630065E-2</v>
      </c>
      <c r="BP289" s="724">
        <v>0.14871119267972668</v>
      </c>
      <c r="BQ289" s="724">
        <v>0.28140098884587494</v>
      </c>
      <c r="BR289" s="724">
        <v>0.40659309930561127</v>
      </c>
      <c r="BS289" s="724">
        <v>0.50502259624082513</v>
      </c>
      <c r="BT289" s="724">
        <v>0.58743783029501606</v>
      </c>
      <c r="BW289" s="1190">
        <f>'2018'!R\Max</f>
        <v>1.0196997960629097</v>
      </c>
      <c r="BX289" s="1188">
        <f>'2019'!R\Max</f>
        <v>0.60724123582771439</v>
      </c>
      <c r="BY289" s="1188">
        <f>'2020'!R\Max</f>
        <v>0.25616423939278604</v>
      </c>
      <c r="BZ289" s="1188">
        <f>'2021'!R\Max</f>
        <v>0.97231624284651064</v>
      </c>
      <c r="CA289" s="1188">
        <f>'2022'!R\Max</f>
        <v>0.97149700531218908</v>
      </c>
      <c r="CB289" s="1188">
        <f>'2023'!R\Max</f>
        <v>0.97101017543264467</v>
      </c>
      <c r="CC289" s="1188">
        <f>'2024'!R\Max</f>
        <v>0.97040006441185733</v>
      </c>
      <c r="CD289" s="1188">
        <f>'2025'!R\Max</f>
        <v>0.96979540982619572</v>
      </c>
      <c r="CE289" s="1188">
        <f>'2026'!R\Max</f>
        <v>0.96918586262560846</v>
      </c>
      <c r="CF289" s="1189">
        <f>'2027'!R\Max</f>
        <v>0.96869293263432577</v>
      </c>
    </row>
    <row r="290" spans="1:84" s="6" customFormat="1" ht="11.25" x14ac:dyDescent="0.2">
      <c r="A290" s="11">
        <v>43376</v>
      </c>
      <c r="B290" s="380">
        <f>'2023'!Maxi_hp</f>
        <v>34.895336094635255</v>
      </c>
      <c r="C290" s="13">
        <f>'2023'!An_max</f>
        <v>2018</v>
      </c>
      <c r="D290" s="1059">
        <f t="shared" si="116"/>
        <v>0.97896827345977222</v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51">
        <f t="shared" si="119"/>
        <v>0.14285714285714285</v>
      </c>
      <c r="J290" s="744">
        <f t="shared" si="120"/>
        <v>35.645012244688616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2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51">
        <f t="shared" si="124"/>
        <v>0.5714285714285714</v>
      </c>
      <c r="AT290" s="767">
        <f t="shared" si="125"/>
        <v>35.84939708417015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51">
        <f t="shared" si="129"/>
        <v>7.1428571428571425E-2</v>
      </c>
      <c r="AY290" s="767">
        <f t="shared" si="130"/>
        <v>35.682556851234821</v>
      </c>
      <c r="AZ290" s="744">
        <f t="shared" si="134"/>
        <v>35.765976967702485</v>
      </c>
      <c r="BA290" s="642">
        <f t="shared" si="131"/>
        <v>0.97896827345977222</v>
      </c>
      <c r="BC290" s="11">
        <v>43376</v>
      </c>
      <c r="BD290" s="290">
        <f>[2]!FeuilCaduc*(1-Persistant)+Persistant</f>
        <v>0.9248322419303654</v>
      </c>
      <c r="BE290" s="291">
        <f>[2]!CroissVégét</f>
        <v>0.99153229792147035</v>
      </c>
      <c r="BF290" s="814">
        <f>1+[2]!Salcycl*Ksac</f>
        <v>1.0406040302412958</v>
      </c>
      <c r="BH290" s="1050">
        <f t="shared" si="132"/>
        <v>5.2117481737800862E-2</v>
      </c>
      <c r="BI290" s="11">
        <v>44472</v>
      </c>
      <c r="BJ290" s="724">
        <v>2.9837284650238285E-6</v>
      </c>
      <c r="BK290" s="724">
        <v>2.9837284650238289E-6</v>
      </c>
      <c r="BL290" s="724">
        <v>2.9837284650238289E-6</v>
      </c>
      <c r="BM290" s="724">
        <v>1.4520304072828939E-4</v>
      </c>
      <c r="BN290" s="724">
        <v>8.1204349683224632E-3</v>
      </c>
      <c r="BO290" s="725">
        <v>5.2117481737800862E-2</v>
      </c>
      <c r="BP290" s="724">
        <v>0.14825363063627642</v>
      </c>
      <c r="BQ290" s="724">
        <v>0.2776474926294647</v>
      </c>
      <c r="BR290" s="724">
        <v>0.39852533881904995</v>
      </c>
      <c r="BS290" s="724">
        <v>0.49519165608089</v>
      </c>
      <c r="BT290" s="724">
        <v>0.57883704014620152</v>
      </c>
      <c r="BW290" s="1190">
        <f>'2018'!R\Max</f>
        <v>0.97896827345977222</v>
      </c>
      <c r="BX290" s="1188">
        <f>'2019'!R\Max</f>
        <v>0.90450248305763503</v>
      </c>
      <c r="BY290" s="1188">
        <f>'2020'!R\Max</f>
        <v>0.16534900554861359</v>
      </c>
      <c r="BZ290" s="1188">
        <f>'2021'!R\Max</f>
        <v>0.19836926733394</v>
      </c>
      <c r="CA290" s="1188">
        <f>'2022'!R\Max</f>
        <v>0.94063049822093547</v>
      </c>
      <c r="CB290" s="1188">
        <f>'2023'!R\Max</f>
        <v>0.93965786615326574</v>
      </c>
      <c r="CC290" s="1188">
        <f>'2024'!R\Max</f>
        <v>0.93845104075351116</v>
      </c>
      <c r="CD290" s="1188">
        <f>'2025'!R\Max</f>
        <v>0.93726490667228113</v>
      </c>
      <c r="CE290" s="1188">
        <f>'2026'!R\Max</f>
        <v>0.93607581243980398</v>
      </c>
      <c r="CF290" s="1189">
        <f>'2027'!R\Max</f>
        <v>0.93509971019698235</v>
      </c>
    </row>
    <row r="291" spans="1:84" s="6" customFormat="1" ht="11.25" x14ac:dyDescent="0.2">
      <c r="A291" s="11">
        <v>43377</v>
      </c>
      <c r="B291" s="380">
        <f>'2023'!Maxi_hp</f>
        <v>35.243063599626083</v>
      </c>
      <c r="C291" s="13">
        <f>'2023'!An_max</f>
        <v>2023</v>
      </c>
      <c r="D291" s="1059">
        <f t="shared" si="116"/>
        <v>1.0002513885874347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51">
        <f t="shared" si="119"/>
        <v>0.21428571428571427</v>
      </c>
      <c r="J291" s="744">
        <f t="shared" si="120"/>
        <v>35.234206122319613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2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51">
        <f t="shared" si="124"/>
        <v>0.6071428571428571</v>
      </c>
      <c r="AT291" s="767">
        <f t="shared" si="125"/>
        <v>35.41466044101066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51">
        <f t="shared" si="129"/>
        <v>0.10714285714285714</v>
      </c>
      <c r="AY291" s="767">
        <f t="shared" si="130"/>
        <v>35.283844424105652</v>
      </c>
      <c r="AZ291" s="744">
        <f t="shared" si="134"/>
        <v>35.34925243255816</v>
      </c>
      <c r="BA291" s="642">
        <f t="shared" si="131"/>
        <v>1.0002513885874347</v>
      </c>
      <c r="BC291" s="11">
        <v>43377</v>
      </c>
      <c r="BD291" s="290">
        <f>[2]!FeuilCaduc*(1-Persistant)+Persistant</f>
        <v>0.92144533031574949</v>
      </c>
      <c r="BE291" s="291">
        <f>[2]!CroissVégét</f>
        <v>0.99188357985413123</v>
      </c>
      <c r="BF291" s="814">
        <f>1+[2]!Salcycl*Ksac</f>
        <v>1.0401806662894686</v>
      </c>
      <c r="BH291" s="1050">
        <f t="shared" si="132"/>
        <v>5.2657084201331361E-2</v>
      </c>
      <c r="BI291" s="11">
        <v>44473</v>
      </c>
      <c r="BJ291" s="724">
        <v>2.7456079334007053E-6</v>
      </c>
      <c r="BK291" s="724">
        <v>2.7456079334007058E-6</v>
      </c>
      <c r="BL291" s="724">
        <v>2.7456079334007058E-6</v>
      </c>
      <c r="BM291" s="724">
        <v>1.4948516675117939E-4</v>
      </c>
      <c r="BN291" s="724">
        <v>8.3297322996830573E-3</v>
      </c>
      <c r="BO291" s="725">
        <v>5.2657084201331361E-2</v>
      </c>
      <c r="BP291" s="724">
        <v>0.14757631064049212</v>
      </c>
      <c r="BQ291" s="724">
        <v>0.27369644926457265</v>
      </c>
      <c r="BR291" s="724">
        <v>0.39051339499300419</v>
      </c>
      <c r="BS291" s="724">
        <v>0.48585284486103419</v>
      </c>
      <c r="BT291" s="724">
        <v>0.57121899320595881</v>
      </c>
      <c r="BW291" s="1190">
        <f>'2018'!R\Max</f>
        <v>0.97309523621234306</v>
      </c>
      <c r="BX291" s="1188">
        <f>'2019'!R\Max</f>
        <v>0.29662039709675808</v>
      </c>
      <c r="BY291" s="1188">
        <f>'2020'!R\Max</f>
        <v>0.46867708464388236</v>
      </c>
      <c r="BZ291" s="1188">
        <f>'2021'!R\Max</f>
        <v>0.85506516353130702</v>
      </c>
      <c r="CA291" s="1188">
        <f>'2022'!R\Max</f>
        <v>1.0002513885874345</v>
      </c>
      <c r="CB291" s="1188">
        <f>'2023'!R\Max</f>
        <v>1.0002513885874347</v>
      </c>
      <c r="CC291" s="1188">
        <f>'2024'!R\Max</f>
        <v>1.0002513885874347</v>
      </c>
      <c r="CD291" s="1188">
        <f>'2025'!R\Max</f>
        <v>1.0002513885874345</v>
      </c>
      <c r="CE291" s="1188">
        <f>'2026'!R\Max</f>
        <v>1.0002513885874349</v>
      </c>
      <c r="CF291" s="1189">
        <f>'2027'!R\Max</f>
        <v>1.0002513885874347</v>
      </c>
    </row>
    <row r="292" spans="1:84" s="6" customFormat="1" ht="11.25" x14ac:dyDescent="0.2">
      <c r="A292" s="11">
        <v>43378</v>
      </c>
      <c r="B292" s="380">
        <f>'2023'!Maxi_hp</f>
        <v>35.540310062015898</v>
      </c>
      <c r="C292" s="13">
        <f>'2023'!An_max</f>
        <v>2023</v>
      </c>
      <c r="D292" s="1059">
        <f t="shared" si="116"/>
        <v>1.020511066234328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51">
        <f t="shared" si="119"/>
        <v>0.2857142857142857</v>
      </c>
      <c r="J292" s="744">
        <f t="shared" si="120"/>
        <v>34.825991836775628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2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51">
        <f t="shared" si="124"/>
        <v>0.6428571428571429</v>
      </c>
      <c r="AT292" s="767">
        <f t="shared" si="125"/>
        <v>34.981779737664127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51">
        <f t="shared" si="129"/>
        <v>0.14285714285714285</v>
      </c>
      <c r="AY292" s="767">
        <f t="shared" si="130"/>
        <v>34.883752769497889</v>
      </c>
      <c r="AZ292" s="744">
        <f t="shared" si="134"/>
        <v>34.932766253581008</v>
      </c>
      <c r="BA292" s="642">
        <f t="shared" si="131"/>
        <v>1.020511066234328</v>
      </c>
      <c r="BC292" s="11">
        <v>43378</v>
      </c>
      <c r="BD292" s="290">
        <f>[2]!FeuilCaduc*(1-Persistant)+Persistant</f>
        <v>0.9179430799943108</v>
      </c>
      <c r="BE292" s="291">
        <f>[2]!CroissVégét</f>
        <v>0.99222095198209459</v>
      </c>
      <c r="BF292" s="814">
        <f>1+[2]!Salcycl*Ksac</f>
        <v>1.0397428849992889</v>
      </c>
      <c r="BH292" s="1050">
        <f t="shared" si="132"/>
        <v>5.3085434678109202E-2</v>
      </c>
      <c r="BI292" s="11">
        <v>44474</v>
      </c>
      <c r="BJ292" s="724">
        <v>2.5377874236699225E-6</v>
      </c>
      <c r="BK292" s="724">
        <v>2.5377874236699225E-6</v>
      </c>
      <c r="BL292" s="724">
        <v>2.5377874236699225E-6</v>
      </c>
      <c r="BM292" s="724">
        <v>1.5377193094783195E-4</v>
      </c>
      <c r="BN292" s="724">
        <v>8.5401422386371783E-3</v>
      </c>
      <c r="BO292" s="725">
        <v>5.3085434678109202E-2</v>
      </c>
      <c r="BP292" s="724">
        <v>0.14667872598605056</v>
      </c>
      <c r="BQ292" s="724">
        <v>0.26954716277705298</v>
      </c>
      <c r="BR292" s="724">
        <v>0.3825567148769386</v>
      </c>
      <c r="BS292" s="724">
        <v>0.47700611399669346</v>
      </c>
      <c r="BT292" s="724">
        <v>0.56458431150108457</v>
      </c>
      <c r="BW292" s="1190">
        <f>'2018'!R\Max</f>
        <v>0.96529152558179188</v>
      </c>
      <c r="BX292" s="1188">
        <f>'2019'!R\Max</f>
        <v>0.90510545502502471</v>
      </c>
      <c r="BY292" s="1188">
        <f>'2020'!R\Max</f>
        <v>0.61340184431918288</v>
      </c>
      <c r="BZ292" s="1188">
        <f>'2021'!R\Max</f>
        <v>0.40604090127186787</v>
      </c>
      <c r="CA292" s="1188">
        <f>'2022'!R\Max</f>
        <v>1.0205110662343277</v>
      </c>
      <c r="CB292" s="1188">
        <f>'2023'!R\Max</f>
        <v>1.020511066234328</v>
      </c>
      <c r="CC292" s="1188">
        <f>'2024'!R\Max</f>
        <v>1.0205110662343277</v>
      </c>
      <c r="CD292" s="1188">
        <f>'2025'!R\Max</f>
        <v>1.0205110662343277</v>
      </c>
      <c r="CE292" s="1188">
        <f>'2026'!R\Max</f>
        <v>1.020511066234328</v>
      </c>
      <c r="CF292" s="1189">
        <f>'2027'!R\Max</f>
        <v>1.020511066234328</v>
      </c>
    </row>
    <row r="293" spans="1:84" s="6" customFormat="1" ht="11.25" x14ac:dyDescent="0.2">
      <c r="A293" s="11">
        <v>43379</v>
      </c>
      <c r="B293" s="380">
        <f>'2023'!Maxi_hp</f>
        <v>31.212763298231373</v>
      </c>
      <c r="C293" s="13">
        <f>'2023'!An_max</f>
        <v>2018</v>
      </c>
      <c r="D293" s="1059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51">
        <f t="shared" si="119"/>
        <v>0.35714285714285715</v>
      </c>
      <c r="J293" s="744">
        <f t="shared" si="120"/>
        <v>34.420369387817168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2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51">
        <f t="shared" si="124"/>
        <v>0.6785714285714286</v>
      </c>
      <c r="AT293" s="767">
        <f t="shared" si="125"/>
        <v>34.551352022734605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51">
        <f t="shared" si="129"/>
        <v>0.17857142857142858</v>
      </c>
      <c r="AY293" s="767">
        <f t="shared" si="130"/>
        <v>34.482642893326869</v>
      </c>
      <c r="AZ293" s="744">
        <f t="shared" si="134"/>
        <v>34.516997458030737</v>
      </c>
      <c r="BA293" s="642">
        <f t="shared" si="131"/>
        <v>0.90681081735511226</v>
      </c>
      <c r="BC293" s="11">
        <v>43379</v>
      </c>
      <c r="BD293" s="290">
        <f>[2]!FeuilCaduc*(1-Persistant)+Persistant</f>
        <v>0.91432449729596932</v>
      </c>
      <c r="BE293" s="291">
        <f>[2]!CroissVégét</f>
        <v>0.99254495612417293</v>
      </c>
      <c r="BF293" s="814">
        <f>1+[2]!Salcycl*Ksac</f>
        <v>1.0392905621619961</v>
      </c>
      <c r="BH293" s="1050">
        <f t="shared" si="132"/>
        <v>5.3402316060604228E-2</v>
      </c>
      <c r="BI293" s="11">
        <v>44475</v>
      </c>
      <c r="BJ293" s="724">
        <v>2.3603051088738381E-6</v>
      </c>
      <c r="BK293" s="724">
        <v>2.3603051088738373E-6</v>
      </c>
      <c r="BL293" s="724">
        <v>2.3603051088738373E-6</v>
      </c>
      <c r="BM293" s="724">
        <v>1.5806325913375138E-4</v>
      </c>
      <c r="BN293" s="724">
        <v>8.7516613597824321E-3</v>
      </c>
      <c r="BO293" s="725">
        <v>5.3402316060604228E-2</v>
      </c>
      <c r="BP293" s="724">
        <v>0.14556036324723962</v>
      </c>
      <c r="BQ293" s="724">
        <v>0.26519894622631562</v>
      </c>
      <c r="BR293" s="724">
        <v>0.37465478428472471</v>
      </c>
      <c r="BS293" s="724">
        <v>0.4686514795468138</v>
      </c>
      <c r="BT293" s="724">
        <v>0.55893369651335689</v>
      </c>
      <c r="BW293" s="1190">
        <f>'2018'!R\Max</f>
        <v>0.90681081735511226</v>
      </c>
      <c r="BX293" s="1188">
        <f>'2019'!R\Max</f>
        <v>0.53451543389244149</v>
      </c>
      <c r="BY293" s="1188">
        <f>'2020'!R\Max</f>
        <v>0.70631614226988404</v>
      </c>
      <c r="BZ293" s="1188">
        <f>'2021'!R\Max</f>
        <v>0.68195477681393935</v>
      </c>
      <c r="CA293" s="1188">
        <f>'2022'!R\Max</f>
        <v>0.3731429048203429</v>
      </c>
      <c r="CB293" s="1188">
        <f>'2023'!R\Max</f>
        <v>0.36923829248841694</v>
      </c>
      <c r="CC293" s="1188">
        <f>'2024'!R\Max</f>
        <v>0.36460407422264735</v>
      </c>
      <c r="CD293" s="1188">
        <f>'2025'!R\Max</f>
        <v>0.3602165853742969</v>
      </c>
      <c r="CE293" s="1188">
        <f>'2026'!R\Max</f>
        <v>0.35595237248986739</v>
      </c>
      <c r="CF293" s="1189">
        <f>'2027'!R\Max</f>
        <v>0.35227582063340462</v>
      </c>
    </row>
    <row r="294" spans="1:84" s="6" customFormat="1" ht="11.25" x14ac:dyDescent="0.2">
      <c r="A294" s="11">
        <v>43380</v>
      </c>
      <c r="B294" s="380">
        <f>'2023'!Maxi_hp</f>
        <v>34.247356004135384</v>
      </c>
      <c r="C294" s="13">
        <f>'2023'!An_max</f>
        <v>2021</v>
      </c>
      <c r="D294" s="1059">
        <f t="shared" si="116"/>
        <v>1.0067617643530649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51">
        <f t="shared" si="119"/>
        <v>0.42857142857142855</v>
      </c>
      <c r="J294" s="744">
        <f t="shared" si="120"/>
        <v>34.017338775417635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2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51">
        <f t="shared" si="124"/>
        <v>0.7142857142857143</v>
      </c>
      <c r="AT294" s="767">
        <f t="shared" si="125"/>
        <v>34.123974343974673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51">
        <f t="shared" si="129"/>
        <v>0.21428571428571427</v>
      </c>
      <c r="AY294" s="767">
        <f t="shared" si="130"/>
        <v>34.080875801534525</v>
      </c>
      <c r="AZ294" s="744">
        <f t="shared" si="134"/>
        <v>34.102425072754599</v>
      </c>
      <c r="BA294" s="642">
        <f t="shared" si="131"/>
        <v>1.0067617643530649</v>
      </c>
      <c r="BC294" s="11">
        <v>43380</v>
      </c>
      <c r="BD294" s="290">
        <f>[2]!FeuilCaduc*(1-Persistant)+Persistant</f>
        <v>0.91058888141524863</v>
      </c>
      <c r="BE294" s="291">
        <f>[2]!CroissVégét</f>
        <v>0.9928561136972186</v>
      </c>
      <c r="BF294" s="814">
        <f>1+[2]!Salcycl*Ksac</f>
        <v>1.0388236101769062</v>
      </c>
      <c r="BH294" s="1050">
        <f t="shared" si="132"/>
        <v>5.3607505126036653E-2</v>
      </c>
      <c r="BI294" s="11">
        <v>44476</v>
      </c>
      <c r="BJ294" s="724">
        <v>2.2132012635034686E-6</v>
      </c>
      <c r="BK294" s="724">
        <v>2.2132012635034682E-6</v>
      </c>
      <c r="BL294" s="724">
        <v>2.2132012635034682E-6</v>
      </c>
      <c r="BM294" s="724">
        <v>1.6235905861752329E-4</v>
      </c>
      <c r="BN294" s="724">
        <v>8.9642853655789671E-3</v>
      </c>
      <c r="BO294" s="725">
        <v>5.3607505126036653E-2</v>
      </c>
      <c r="BP294" s="724">
        <v>0.14422070469892392</v>
      </c>
      <c r="BQ294" s="724">
        <v>0.26065112385800132</v>
      </c>
      <c r="BR294" s="724">
        <v>0.36680712713186847</v>
      </c>
      <c r="BS294" s="724">
        <v>0.46078901675321132</v>
      </c>
      <c r="BT294" s="724">
        <v>0.55426791835601608</v>
      </c>
      <c r="BW294" s="1190">
        <f>'2018'!R\Max</f>
        <v>0.38890985405005096</v>
      </c>
      <c r="BX294" s="1188">
        <f>'2019'!R\Max</f>
        <v>0.81439945335038344</v>
      </c>
      <c r="BY294" s="1188">
        <f>'2020'!R\Max</f>
        <v>0.22864321749296532</v>
      </c>
      <c r="BZ294" s="1188">
        <f>'2021'!R\Max</f>
        <v>1.0067617643530649</v>
      </c>
      <c r="CA294" s="1188">
        <f>'2022'!R\Max</f>
        <v>0.76608559624099326</v>
      </c>
      <c r="CB294" s="1188">
        <f>'2023'!R\Max</f>
        <v>0.76311407734301551</v>
      </c>
      <c r="CC294" s="1188">
        <f>'2024'!R\Max</f>
        <v>0.75955989966132242</v>
      </c>
      <c r="CD294" s="1188">
        <f>'2025'!R\Max</f>
        <v>0.75615167701250363</v>
      </c>
      <c r="CE294" s="1188">
        <f>'2026'!R\Max</f>
        <v>0.75279506415742947</v>
      </c>
      <c r="CF294" s="1189">
        <f>'2027'!R\Max</f>
        <v>0.74977179038373309</v>
      </c>
    </row>
    <row r="295" spans="1:84" s="6" customFormat="1" ht="11.25" x14ac:dyDescent="0.2">
      <c r="A295" s="11">
        <v>43381</v>
      </c>
      <c r="B295" s="380">
        <f>'2023'!Maxi_hp</f>
        <v>32.97035211319082</v>
      </c>
      <c r="C295" s="13">
        <f>'2023'!An_max</f>
        <v>2019</v>
      </c>
      <c r="D295" s="1059">
        <f t="shared" si="116"/>
        <v>0.98076717701063576</v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51">
        <f t="shared" si="119"/>
        <v>0.5</v>
      </c>
      <c r="J295" s="744">
        <f t="shared" si="120"/>
        <v>33.616900000348686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2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51">
        <f t="shared" si="124"/>
        <v>0.75</v>
      </c>
      <c r="AT295" s="767">
        <f t="shared" si="125"/>
        <v>33.700243750400844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51">
        <f t="shared" si="129"/>
        <v>0.25</v>
      </c>
      <c r="AY295" s="767">
        <f t="shared" si="130"/>
        <v>33.678812499949707</v>
      </c>
      <c r="AZ295" s="744">
        <f t="shared" si="134"/>
        <v>33.689528125175272</v>
      </c>
      <c r="BA295" s="642">
        <f t="shared" si="131"/>
        <v>0.98076717701063576</v>
      </c>
      <c r="BC295" s="11">
        <v>43381</v>
      </c>
      <c r="BD295" s="290">
        <f>[2]!FeuilCaduc*(1-Persistant)+Persistant</f>
        <v>0.90673584488131709</v>
      </c>
      <c r="BE295" s="291">
        <f>[2]!CroissVégét</f>
        <v>0.99315492642894099</v>
      </c>
      <c r="BF295" s="814">
        <f>1+[2]!Salcycl*Ksac</f>
        <v>1.0383419806101646</v>
      </c>
      <c r="BH295" s="1050">
        <f t="shared" si="132"/>
        <v>5.3700773767045649E-2</v>
      </c>
      <c r="BI295" s="11">
        <v>44477</v>
      </c>
      <c r="BJ295" s="724">
        <v>2.096517928822898E-6</v>
      </c>
      <c r="BK295" s="724">
        <v>2.096517928822898E-6</v>
      </c>
      <c r="BL295" s="724">
        <v>2.096517928822898E-6</v>
      </c>
      <c r="BM295" s="724">
        <v>1.6665921820970396E-4</v>
      </c>
      <c r="BN295" s="724">
        <v>9.1780090771571843E-3</v>
      </c>
      <c r="BO295" s="725">
        <v>5.3700773767045649E-2</v>
      </c>
      <c r="BP295" s="724">
        <v>0.14265923073788087</v>
      </c>
      <c r="BQ295" s="724">
        <v>0.25590303325916125</v>
      </c>
      <c r="BR295" s="724">
        <v>0.35901330477627996</v>
      </c>
      <c r="BS295" s="724">
        <v>0.45341885458436487</v>
      </c>
      <c r="BT295" s="724">
        <v>0.55058780495553195</v>
      </c>
      <c r="BW295" s="1190">
        <f>'2018'!R\Max</f>
        <v>0.39084620842757778</v>
      </c>
      <c r="BX295" s="1188">
        <f>'2019'!R\Max</f>
        <v>0.98076717701063576</v>
      </c>
      <c r="BY295" s="1188">
        <f>'2020'!R\Max</f>
        <v>0.80675014392831612</v>
      </c>
      <c r="BZ295" s="1188">
        <f>'2021'!R\Max</f>
        <v>0.89512433091262789</v>
      </c>
      <c r="CA295" s="1188">
        <f>'2022'!R\Max</f>
        <v>0.50277346573956339</v>
      </c>
      <c r="CB295" s="1188">
        <f>'2023'!R\Max</f>
        <v>0.49870513563314522</v>
      </c>
      <c r="CC295" s="1188">
        <f>'2024'!R\Max</f>
        <v>0.49391399910882022</v>
      </c>
      <c r="CD295" s="1188">
        <f>'2025'!R\Max</f>
        <v>0.4893707429631094</v>
      </c>
      <c r="CE295" s="1188">
        <f>'2026'!R\Max</f>
        <v>0.48494267878226305</v>
      </c>
      <c r="CF295" s="1189">
        <f>'2027'!R\Max</f>
        <v>0.48085734153696269</v>
      </c>
    </row>
    <row r="296" spans="1:84" s="6" customFormat="1" ht="11.25" x14ac:dyDescent="0.2">
      <c r="A296" s="11">
        <v>43382</v>
      </c>
      <c r="B296" s="380">
        <f>'2023'!Maxi_hp</f>
        <v>32.555897741774473</v>
      </c>
      <c r="C296" s="13">
        <f>'2023'!An_max</f>
        <v>2022</v>
      </c>
      <c r="D296" s="1059">
        <f t="shared" si="116"/>
        <v>0.98003689875167599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51">
        <f t="shared" si="119"/>
        <v>0.5714285714285714</v>
      </c>
      <c r="J296" s="744">
        <f t="shared" si="120"/>
        <v>33.219053061412907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2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51">
        <f t="shared" si="124"/>
        <v>0.7857142857142857</v>
      </c>
      <c r="AT296" s="767">
        <f t="shared" si="125"/>
        <v>33.280757288661391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51">
        <f t="shared" si="129"/>
        <v>0.2857142857142857</v>
      </c>
      <c r="AY296" s="767">
        <f t="shared" si="130"/>
        <v>33.276813993869084</v>
      </c>
      <c r="AZ296" s="744">
        <f t="shared" si="134"/>
        <v>33.278785641265237</v>
      </c>
      <c r="BA296" s="642">
        <f t="shared" si="131"/>
        <v>0.98003689875167599</v>
      </c>
      <c r="BC296" s="11">
        <v>43382</v>
      </c>
      <c r="BD296" s="290">
        <f>[2]!FeuilCaduc*(1-Persistant)+Persistant</f>
        <v>0.90276533293247851</v>
      </c>
      <c r="BE296" s="291">
        <f>[2]!CroissVégét</f>
        <v>0.9934418770502661</v>
      </c>
      <c r="BF296" s="814">
        <f>1+[2]!Salcycl*Ksac</f>
        <v>1.0378456666165599</v>
      </c>
      <c r="BH296" s="1050">
        <f t="shared" si="132"/>
        <v>5.3649767626180851E-2</v>
      </c>
      <c r="BI296" s="11">
        <v>44478</v>
      </c>
      <c r="BJ296" s="724">
        <v>2.0217768333745745E-6</v>
      </c>
      <c r="BK296" s="724">
        <v>2.0217768333745745E-6</v>
      </c>
      <c r="BL296" s="724">
        <v>2.0217768333745745E-6</v>
      </c>
      <c r="BM296" s="724">
        <v>1.7079624250879939E-4</v>
      </c>
      <c r="BN296" s="724">
        <v>9.3723525441651249E-3</v>
      </c>
      <c r="BO296" s="725">
        <v>5.3649767626180851E-2</v>
      </c>
      <c r="BP296" s="724">
        <v>0.140851642284859</v>
      </c>
      <c r="BQ296" s="724">
        <v>0.25098000669407022</v>
      </c>
      <c r="BR296" s="724">
        <v>0.35148052043433275</v>
      </c>
      <c r="BS296" s="724">
        <v>0.44671187612038166</v>
      </c>
      <c r="BT296" s="724">
        <v>0.54780803620804053</v>
      </c>
      <c r="BW296" s="1190">
        <f>'2018'!R\Max</f>
        <v>0.93357158118408834</v>
      </c>
      <c r="BX296" s="1188">
        <f>'2019'!R\Max</f>
        <v>0.30585840537639014</v>
      </c>
      <c r="BY296" s="1188">
        <f>'2020'!R\Max</f>
        <v>0.95099258533602649</v>
      </c>
      <c r="BZ296" s="1188">
        <f>'2021'!R\Max</f>
        <v>0.49003068172770314</v>
      </c>
      <c r="CA296" s="1188">
        <f>'2022'!R\Max</f>
        <v>0.98003689875167599</v>
      </c>
      <c r="CB296" s="1188">
        <f>'2023'!R\Max</f>
        <v>0.97972098939257657</v>
      </c>
      <c r="CC296" s="1188">
        <f>'2024'!R\Max</f>
        <v>0.97934460886592856</v>
      </c>
      <c r="CD296" s="1188">
        <f>'2025'!R\Max</f>
        <v>0.97898084738273983</v>
      </c>
      <c r="CE296" s="1188">
        <f>'2026'!R\Max</f>
        <v>0.97861988958451729</v>
      </c>
      <c r="CF296" s="1189">
        <f>'2027'!R\Max</f>
        <v>0.97826951583559496</v>
      </c>
    </row>
    <row r="297" spans="1:84" s="6" customFormat="1" ht="11.25" x14ac:dyDescent="0.2">
      <c r="A297" s="11">
        <v>43383</v>
      </c>
      <c r="B297" s="380">
        <f>'2023'!Maxi_hp</f>
        <v>27.381561766744639</v>
      </c>
      <c r="C297" s="13">
        <f>'2023'!An_max</f>
        <v>2021</v>
      </c>
      <c r="D297" s="1059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51">
        <f t="shared" si="119"/>
        <v>0.6428571428571429</v>
      </c>
      <c r="J297" s="744">
        <f t="shared" si="120"/>
        <v>32.823797959674678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2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51">
        <f t="shared" si="124"/>
        <v>0.8214285714285714</v>
      </c>
      <c r="AT297" s="767">
        <f t="shared" si="125"/>
        <v>32.866112007706292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51">
        <f t="shared" si="129"/>
        <v>0.32142857142857145</v>
      </c>
      <c r="AY297" s="767">
        <f t="shared" si="130"/>
        <v>32.875241289906469</v>
      </c>
      <c r="AZ297" s="744">
        <f t="shared" si="134"/>
        <v>32.870676648806381</v>
      </c>
      <c r="BA297" s="642">
        <f t="shared" si="131"/>
        <v>0.83419846174973289</v>
      </c>
      <c r="BC297" s="11">
        <v>43383</v>
      </c>
      <c r="BD297" s="290">
        <f>[2]!FeuilCaduc*(1-Persistant)+Persistant</f>
        <v>0.89867764159247643</v>
      </c>
      <c r="BE297" s="291">
        <f>[2]!CroissVégét</f>
        <v>0.99371742996744827</v>
      </c>
      <c r="BF297" s="814">
        <f>1+[2]!Salcycl*Ksac</f>
        <v>1.0373347051990596</v>
      </c>
      <c r="BH297" s="1050">
        <f t="shared" si="132"/>
        <v>5.3516760709430032E-2</v>
      </c>
      <c r="BI297" s="11">
        <v>44479</v>
      </c>
      <c r="BJ297" s="724">
        <v>1.9933661699496851E-6</v>
      </c>
      <c r="BK297" s="724">
        <v>1.9933661699496843E-6</v>
      </c>
      <c r="BL297" s="724">
        <v>1.9933661699496843E-6</v>
      </c>
      <c r="BM297" s="724">
        <v>1.7481187594777856E-4</v>
      </c>
      <c r="BN297" s="724">
        <v>9.5434248500500737E-3</v>
      </c>
      <c r="BO297" s="725">
        <v>5.3516760709430032E-2</v>
      </c>
      <c r="BP297" s="724">
        <v>0.13894971029176234</v>
      </c>
      <c r="BQ297" s="724">
        <v>0.24603147928274904</v>
      </c>
      <c r="BR297" s="724">
        <v>0.34426062103753846</v>
      </c>
      <c r="BS297" s="724">
        <v>0.44047640701545138</v>
      </c>
      <c r="BT297" s="724">
        <v>0.5454666555762393</v>
      </c>
      <c r="BW297" s="1190">
        <f>'2018'!R\Max</f>
        <v>0.55268079304815065</v>
      </c>
      <c r="BX297" s="1188">
        <f>'2019'!R\Max</f>
        <v>0.7219485227182052</v>
      </c>
      <c r="BY297" s="1188">
        <f>'2020'!R\Max</f>
        <v>0.6940572180202712</v>
      </c>
      <c r="BZ297" s="1188">
        <f>'2021'!R\Max</f>
        <v>0.83419846174973289</v>
      </c>
      <c r="CA297" s="1188">
        <f>'2022'!R\Max</f>
        <v>0.8268682682369568</v>
      </c>
      <c r="CB297" s="1188">
        <f>'2023'!R\Max</f>
        <v>0.82459916227040864</v>
      </c>
      <c r="CC297" s="1188">
        <f>'2024'!R\Max</f>
        <v>0.82192398355137941</v>
      </c>
      <c r="CD297" s="1188">
        <f>'2025'!R\Max</f>
        <v>0.81934584384398024</v>
      </c>
      <c r="CE297" s="1188">
        <f>'2026'!R\Max</f>
        <v>0.81679790069731251</v>
      </c>
      <c r="CF297" s="1189">
        <f>'2027'!R\Max</f>
        <v>0.81425604595694845</v>
      </c>
    </row>
    <row r="298" spans="1:84" s="6" customFormat="1" ht="11.25" x14ac:dyDescent="0.2">
      <c r="A298" s="11">
        <v>43384</v>
      </c>
      <c r="B298" s="380">
        <f>'2023'!Maxi_hp</f>
        <v>33.346419914552634</v>
      </c>
      <c r="C298" s="13">
        <f>'2023'!An_max</f>
        <v>2019</v>
      </c>
      <c r="D298" s="1059">
        <f t="shared" si="116"/>
        <v>1.0282224235739188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51">
        <f t="shared" si="119"/>
        <v>0.7142857142857143</v>
      </c>
      <c r="J298" s="744">
        <f t="shared" si="120"/>
        <v>32.431134694229279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2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51">
        <f t="shared" si="124"/>
        <v>0.8571428571428571</v>
      </c>
      <c r="AT298" s="767">
        <f t="shared" si="125"/>
        <v>32.456904956059795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51">
        <f t="shared" si="129"/>
        <v>0.35714285714285715</v>
      </c>
      <c r="AY298" s="767">
        <f t="shared" si="130"/>
        <v>32.474455393212182</v>
      </c>
      <c r="AZ298" s="744">
        <f t="shared" si="134"/>
        <v>32.465680174635992</v>
      </c>
      <c r="BA298" s="642">
        <f t="shared" si="131"/>
        <v>1.0282224235739188</v>
      </c>
      <c r="BC298" s="11">
        <v>43384</v>
      </c>
      <c r="BD298" s="290">
        <f>[2]!FeuilCaduc*(1-Persistant)+Persistant</f>
        <v>0.89447343425168757</v>
      </c>
      <c r="BE298" s="291">
        <f>[2]!CroissVégét</f>
        <v>0.99398203191418089</v>
      </c>
      <c r="BF298" s="814">
        <f>1+[2]!Salcycl*Ksac</f>
        <v>1.0368091792814609</v>
      </c>
      <c r="BH298" s="1050">
        <f t="shared" si="132"/>
        <v>5.330156521359921E-2</v>
      </c>
      <c r="BI298" s="11">
        <v>44480</v>
      </c>
      <c r="BJ298" s="724">
        <v>2.011356112850197E-6</v>
      </c>
      <c r="BK298" s="724">
        <v>2.0113561128501961E-6</v>
      </c>
      <c r="BL298" s="724">
        <v>2.0113561128501961E-6</v>
      </c>
      <c r="BM298" s="724">
        <v>1.7870575470807712E-4</v>
      </c>
      <c r="BN298" s="724">
        <v>9.6911798669965712E-3</v>
      </c>
      <c r="BO298" s="725">
        <v>5.330156521359921E-2</v>
      </c>
      <c r="BP298" s="724">
        <v>0.13695312552179265</v>
      </c>
      <c r="BQ298" s="724">
        <v>0.24105711770473962</v>
      </c>
      <c r="BR298" s="724">
        <v>0.33735368426512374</v>
      </c>
      <c r="BS298" s="724">
        <v>0.43471267183583201</v>
      </c>
      <c r="BT298" s="724">
        <v>0.5435637381886036</v>
      </c>
      <c r="BW298" s="1190">
        <f>'2018'!R\Max</f>
        <v>0.7549262701345697</v>
      </c>
      <c r="BX298" s="1188">
        <f>'2019'!R\Max</f>
        <v>1.0282224235739188</v>
      </c>
      <c r="BY298" s="1188">
        <f>'2020'!R\Max</f>
        <v>0.66476533070070587</v>
      </c>
      <c r="BZ298" s="1188">
        <f>'2021'!R\Max</f>
        <v>1.0134534862949129</v>
      </c>
      <c r="CA298" s="1188">
        <f>'2022'!R\Max</f>
        <v>0.67512431053494326</v>
      </c>
      <c r="CB298" s="1188">
        <f>'2023'!R\Max</f>
        <v>0.67171299719083422</v>
      </c>
      <c r="CC298" s="1188">
        <f>'2024'!R\Max</f>
        <v>0.66773112880226082</v>
      </c>
      <c r="CD298" s="1188">
        <f>'2025'!R\Max</f>
        <v>0.66389551558014137</v>
      </c>
      <c r="CE298" s="1188">
        <f>'2026'!R\Max</f>
        <v>0.66011453594291147</v>
      </c>
      <c r="CF298" s="1189">
        <f>'2027'!R\Max</f>
        <v>0.65624266909433182</v>
      </c>
    </row>
    <row r="299" spans="1:84" s="6" customFormat="1" ht="11.25" x14ac:dyDescent="0.2">
      <c r="A299" s="11">
        <v>43385</v>
      </c>
      <c r="B299" s="380">
        <f>'2023'!Maxi_hp</f>
        <v>31.597576410466939</v>
      </c>
      <c r="C299" s="13">
        <f>'2023'!An_max</f>
        <v>2021</v>
      </c>
      <c r="D299" s="1059">
        <f t="shared" si="116"/>
        <v>0.98615879718185862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51">
        <f t="shared" si="119"/>
        <v>0.7857142857142857</v>
      </c>
      <c r="J299" s="744">
        <f t="shared" si="120"/>
        <v>32.041063265635501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2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51">
        <f t="shared" si="124"/>
        <v>0.8928571428571429</v>
      </c>
      <c r="AT299" s="767">
        <f t="shared" si="125"/>
        <v>32.053733180955582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51">
        <f t="shared" si="129"/>
        <v>0.39285714285714285</v>
      </c>
      <c r="AY299" s="767">
        <f t="shared" si="130"/>
        <v>32.074817310526441</v>
      </c>
      <c r="AZ299" s="744">
        <f t="shared" si="134"/>
        <v>32.064275245741015</v>
      </c>
      <c r="BA299" s="642">
        <f t="shared" si="131"/>
        <v>0.98615879718185862</v>
      </c>
      <c r="BC299" s="11">
        <v>43385</v>
      </c>
      <c r="BD299" s="290">
        <f>[2]!FeuilCaduc*(1-Persistant)+Persistant</f>
        <v>0.8901537565639891</v>
      </c>
      <c r="BE299" s="291">
        <f>[2]!CroissVégét</f>
        <v>0.99423611258398381</v>
      </c>
      <c r="BF299" s="814">
        <f>1+[2]!Salcycl*Ksac</f>
        <v>1.0362692195704986</v>
      </c>
      <c r="BH299" s="1050">
        <f t="shared" si="132"/>
        <v>5.3003993558231051E-2</v>
      </c>
      <c r="BI299" s="11">
        <v>44481</v>
      </c>
      <c r="BJ299" s="724">
        <v>2.0758172377802519E-6</v>
      </c>
      <c r="BK299" s="724">
        <v>2.075817237780251E-6</v>
      </c>
      <c r="BL299" s="724">
        <v>2.075817237780251E-6</v>
      </c>
      <c r="BM299" s="724">
        <v>1.8247749704948938E-4</v>
      </c>
      <c r="BN299" s="724">
        <v>9.8155706020767852E-3</v>
      </c>
      <c r="BO299" s="725">
        <v>5.3003993558231051E-2</v>
      </c>
      <c r="BP299" s="724">
        <v>0.13486158683773733</v>
      </c>
      <c r="BQ299" s="724">
        <v>0.23605661074393466</v>
      </c>
      <c r="BR299" s="724">
        <v>0.33075982207088139</v>
      </c>
      <c r="BS299" s="724">
        <v>0.42942092625735456</v>
      </c>
      <c r="BT299" s="724">
        <v>0.54209937325461144</v>
      </c>
      <c r="BW299" s="1190">
        <f>'2018'!R\Max</f>
        <v>0.87775708842129174</v>
      </c>
      <c r="BX299" s="1188">
        <f>'2019'!R\Max</f>
        <v>0.62375852174011559</v>
      </c>
      <c r="BY299" s="1188">
        <f>'2020'!R\Max</f>
        <v>0.51016997529149732</v>
      </c>
      <c r="BZ299" s="1188">
        <f>'2021'!R\Max</f>
        <v>0.98615879718185862</v>
      </c>
      <c r="CA299" s="1188">
        <f>'2022'!R\Max</f>
        <v>0.79365804424808084</v>
      </c>
      <c r="CB299" s="1188">
        <f>'2023'!R\Max</f>
        <v>0.79114946752627879</v>
      </c>
      <c r="CC299" s="1188">
        <f>'2024'!R\Max</f>
        <v>0.78822288885233149</v>
      </c>
      <c r="CD299" s="1188">
        <f>'2025'!R\Max</f>
        <v>0.7853714527318284</v>
      </c>
      <c r="CE299" s="1188">
        <f>'2026'!R\Max</f>
        <v>0.78253773723689712</v>
      </c>
      <c r="CF299" s="1189">
        <f>'2027'!R\Max</f>
        <v>0.77953545642741728</v>
      </c>
    </row>
    <row r="300" spans="1:84" s="6" customFormat="1" ht="11.25" x14ac:dyDescent="0.2">
      <c r="A300" s="11">
        <v>43386</v>
      </c>
      <c r="B300" s="380">
        <f>'2023'!Maxi_hp</f>
        <v>31.501015093356781</v>
      </c>
      <c r="C300" s="13">
        <f>'2023'!An_max</f>
        <v>2019</v>
      </c>
      <c r="D300" s="1059">
        <f t="shared" si="116"/>
        <v>0.99518005347553007</v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51">
        <f t="shared" si="119"/>
        <v>0.8571428571428571</v>
      </c>
      <c r="J300" s="744">
        <f t="shared" si="120"/>
        <v>31.653583673973166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2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51">
        <f t="shared" si="124"/>
        <v>0.9285714285714286</v>
      </c>
      <c r="AT300" s="767">
        <f t="shared" si="125"/>
        <v>31.65719373194235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51">
        <f t="shared" si="129"/>
        <v>0.42857142857142855</v>
      </c>
      <c r="AY300" s="767">
        <f t="shared" si="130"/>
        <v>31.676688046327662</v>
      </c>
      <c r="AZ300" s="744">
        <f t="shared" si="134"/>
        <v>31.666940889135006</v>
      </c>
      <c r="BA300" s="642">
        <f t="shared" si="131"/>
        <v>0.99518005347553007</v>
      </c>
      <c r="BC300" s="11">
        <v>43386</v>
      </c>
      <c r="BD300" s="290">
        <f>[2]!FeuilCaduc*(1-Persistant)+Persistant</f>
        <v>0.88572004947976746</v>
      </c>
      <c r="BE300" s="291">
        <f>[2]!CroissVégét</f>
        <v>0.99448008524317211</v>
      </c>
      <c r="BF300" s="814">
        <f>1+[2]!Salcycl*Ksac</f>
        <v>1.0357150061849709</v>
      </c>
      <c r="BH300" s="1050">
        <f t="shared" si="132"/>
        <v>5.2623859283016224E-2</v>
      </c>
      <c r="BI300" s="11">
        <v>44482</v>
      </c>
      <c r="BJ300" s="724">
        <v>2.1868200141975788E-6</v>
      </c>
      <c r="BK300" s="724">
        <v>2.1868200141975793E-6</v>
      </c>
      <c r="BL300" s="724">
        <v>2.1868200141975793E-6</v>
      </c>
      <c r="BM300" s="724">
        <v>1.8612670468821024E-4</v>
      </c>
      <c r="BN300" s="724">
        <v>9.9165494542025733E-3</v>
      </c>
      <c r="BO300" s="725">
        <v>5.2623859283016224E-2</v>
      </c>
      <c r="BP300" s="724">
        <v>0.13267480221594305</v>
      </c>
      <c r="BQ300" s="724">
        <v>0.23102966951591697</v>
      </c>
      <c r="BR300" s="724">
        <v>0.32447917718078728</v>
      </c>
      <c r="BS300" s="724">
        <v>0.42460145183883347</v>
      </c>
      <c r="BT300" s="724">
        <v>0.54107365924695494</v>
      </c>
      <c r="BW300" s="1190">
        <f>'2018'!R\Max</f>
        <v>0.74450099938207914</v>
      </c>
      <c r="BX300" s="1188">
        <f>'2019'!R\Max</f>
        <v>0.99518005347553007</v>
      </c>
      <c r="BY300" s="1188">
        <f>'2020'!R\Max</f>
        <v>0.69090596463204046</v>
      </c>
      <c r="BZ300" s="1188">
        <f>'2021'!R\Max</f>
        <v>0.97762228927895878</v>
      </c>
      <c r="CA300" s="1188">
        <f>'2022'!R\Max</f>
        <v>0.70223649372408403</v>
      </c>
      <c r="CB300" s="1188">
        <f>'2023'!R\Max</f>
        <v>0.69909369378045849</v>
      </c>
      <c r="CC300" s="1188">
        <f>'2024'!R\Max</f>
        <v>0.69545348762085635</v>
      </c>
      <c r="CD300" s="1188">
        <f>'2025'!R\Max</f>
        <v>0.6918842423868431</v>
      </c>
      <c r="CE300" s="1188">
        <f>'2026'!R\Max</f>
        <v>0.68832980000828503</v>
      </c>
      <c r="CF300" s="1189">
        <f>'2027'!R\Max</f>
        <v>0.68446962111345477</v>
      </c>
    </row>
    <row r="301" spans="1:84" s="6" customFormat="1" ht="11.25" x14ac:dyDescent="0.2">
      <c r="A301" s="11">
        <v>43387</v>
      </c>
      <c r="B301" s="380">
        <f>'2023'!Maxi_hp</f>
        <v>32.224976238135895</v>
      </c>
      <c r="C301" s="13">
        <f>'2023'!An_max</f>
        <v>2021</v>
      </c>
      <c r="D301" s="1059">
        <f t="shared" si="116"/>
        <v>1.0305826735298809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51">
        <f t="shared" si="119"/>
        <v>0.9285714285714286</v>
      </c>
      <c r="J301" s="744">
        <f t="shared" si="120"/>
        <v>31.268695919135848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2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51">
        <f t="shared" si="124"/>
        <v>0.9642857142857143</v>
      </c>
      <c r="AT301" s="767">
        <f t="shared" si="125"/>
        <v>31.267883654910001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51">
        <f t="shared" si="129"/>
        <v>0.4642857142857143</v>
      </c>
      <c r="AY301" s="767">
        <f t="shared" si="130"/>
        <v>31.280428607183108</v>
      </c>
      <c r="AZ301" s="744">
        <f t="shared" si="134"/>
        <v>31.274156131046553</v>
      </c>
      <c r="BA301" s="642">
        <f t="shared" si="131"/>
        <v>1.0305826735298809</v>
      </c>
      <c r="BC301" s="11">
        <v>43387</v>
      </c>
      <c r="BD301" s="290">
        <f>[2]!FeuilCaduc*(1-Persistant)+Persistant</f>
        <v>0.88117416024711881</v>
      </c>
      <c r="BE301" s="291">
        <f>[2]!CroissVégét</f>
        <v>0.99471434732473374</v>
      </c>
      <c r="BF301" s="814">
        <f>1+[2]!Salcycl*Ksac</f>
        <v>1.0351467700308898</v>
      </c>
      <c r="BH301" s="1050">
        <f t="shared" si="132"/>
        <v>5.2160977945711277E-2</v>
      </c>
      <c r="BI301" s="11">
        <v>44483</v>
      </c>
      <c r="BJ301" s="724">
        <v>2.344434297684399E-6</v>
      </c>
      <c r="BK301" s="724">
        <v>2.344434297684399E-6</v>
      </c>
      <c r="BL301" s="724">
        <v>2.344434297684399E-6</v>
      </c>
      <c r="BM301" s="724">
        <v>1.8965296417661971E-4</v>
      </c>
      <c r="BN301" s="724">
        <v>9.994068471171437E-3</v>
      </c>
      <c r="BO301" s="725">
        <v>5.2160977945711277E-2</v>
      </c>
      <c r="BP301" s="724">
        <v>0.13039248976157711</v>
      </c>
      <c r="BQ301" s="724">
        <v>0.22597602769755445</v>
      </c>
      <c r="BR301" s="724">
        <v>0.31851191959377495</v>
      </c>
      <c r="BS301" s="724">
        <v>0.4202545507995728</v>
      </c>
      <c r="BT301" s="724">
        <v>0.54048669908892588</v>
      </c>
      <c r="BW301" s="1190">
        <f>'2018'!R\Max</f>
        <v>0.87114190652555223</v>
      </c>
      <c r="BX301" s="1188">
        <f>'2019'!R\Max</f>
        <v>0.33603313713051786</v>
      </c>
      <c r="BY301" s="1188">
        <f>'2020'!R\Max</f>
        <v>0.6247568524373418</v>
      </c>
      <c r="BZ301" s="1188">
        <f>'2021'!R\Max</f>
        <v>1.0305826735298809</v>
      </c>
      <c r="CA301" s="1188">
        <f>'2022'!R\Max</f>
        <v>0.67108180612926172</v>
      </c>
      <c r="CB301" s="1188">
        <f>'2023'!R\Max</f>
        <v>0.66782531741750606</v>
      </c>
      <c r="CC301" s="1188">
        <f>'2024'!R\Max</f>
        <v>0.66407150981386864</v>
      </c>
      <c r="CD301" s="1188">
        <f>'2025'!R\Max</f>
        <v>0.66035045567056605</v>
      </c>
      <c r="CE301" s="1188">
        <f>'2026'!R\Max</f>
        <v>0.65662469541427304</v>
      </c>
      <c r="CF301" s="1189">
        <f>'2027'!R\Max</f>
        <v>0.65247697600213772</v>
      </c>
    </row>
    <row r="302" spans="1:84" s="6" customFormat="1" ht="11.25" x14ac:dyDescent="0.2">
      <c r="A302" s="11">
        <v>43388</v>
      </c>
      <c r="B302" s="380">
        <f>'2023'!Maxi_hp</f>
        <v>30.440535467920558</v>
      </c>
      <c r="C302" s="13">
        <f>'2023'!An_max</f>
        <v>2022</v>
      </c>
      <c r="D302" s="1059">
        <f t="shared" si="116"/>
        <v>0.98556437354888826</v>
      </c>
      <c r="E302" s="1054">
        <f>AH$13/10</f>
        <v>30.886400000000002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51">
        <f t="shared" si="119"/>
        <v>1</v>
      </c>
      <c r="J302" s="744">
        <f t="shared" si="120"/>
        <v>30.886400000751017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2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51">
        <f t="shared" si="124"/>
        <v>1</v>
      </c>
      <c r="AT302" s="767">
        <f t="shared" si="125"/>
        <v>30.88640000000596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51">
        <f t="shared" si="129"/>
        <v>0.5</v>
      </c>
      <c r="AY302" s="767">
        <f t="shared" si="130"/>
        <v>30.886399999540298</v>
      </c>
      <c r="AZ302" s="744">
        <f t="shared" si="134"/>
        <v>30.886399999773129</v>
      </c>
      <c r="BA302" s="642">
        <f t="shared" si="131"/>
        <v>0.98556437354888826</v>
      </c>
      <c r="BC302" s="11">
        <v>43388</v>
      </c>
      <c r="BD302" s="290">
        <f>[2]!FeuilCaduc*(1-Persistant)+Persistant</f>
        <v>0.87651835122667876</v>
      </c>
      <c r="BE302" s="291">
        <f>[2]!CroissVégét</f>
        <v>0.99493928100346574</v>
      </c>
      <c r="BF302" s="814">
        <f>1+[2]!Salcycl*Ksac</f>
        <v>1.0345647939033349</v>
      </c>
      <c r="BH302" s="1050">
        <f t="shared" si="132"/>
        <v>5.1615168019528368E-2</v>
      </c>
      <c r="BI302" s="11">
        <v>44484</v>
      </c>
      <c r="BJ302" s="724">
        <v>2.5487288222987358E-6</v>
      </c>
      <c r="BK302" s="724">
        <v>2.548728822298735E-6</v>
      </c>
      <c r="BL302" s="724">
        <v>2.548728822298735E-6</v>
      </c>
      <c r="BM302" s="724">
        <v>1.9305584828129097E-4</v>
      </c>
      <c r="BN302" s="724">
        <v>1.0048079606616026E-2</v>
      </c>
      <c r="BO302" s="725">
        <v>5.1615168019528368E-2</v>
      </c>
      <c r="BP302" s="724">
        <v>0.12801437872253504</v>
      </c>
      <c r="BQ302" s="724">
        <v>0.22089544175421519</v>
      </c>
      <c r="BR302" s="724">
        <v>0.31285824307918109</v>
      </c>
      <c r="BS302" s="724">
        <v>0.41638054079258274</v>
      </c>
      <c r="BT302" s="724">
        <v>0.54033859533642459</v>
      </c>
      <c r="BW302" s="1190">
        <f>'2018'!R\Max</f>
        <v>0.34530080557724763</v>
      </c>
      <c r="BX302" s="1188">
        <f>'2019'!R\Max</f>
        <v>0.86485941371382036</v>
      </c>
      <c r="BY302" s="1188">
        <f>'2020'!R\Max</f>
        <v>0.45478033295981141</v>
      </c>
      <c r="BZ302" s="1188">
        <f>'2021'!R\Max</f>
        <v>0.9070329367729264</v>
      </c>
      <c r="CA302" s="1188">
        <f>'2022'!R\Max</f>
        <v>0.98556437354888826</v>
      </c>
      <c r="CB302" s="1188">
        <f>'2023'!R\Max</f>
        <v>0.98535742155588801</v>
      </c>
      <c r="CC302" s="1188">
        <f>'2024'!R\Max</f>
        <v>0.98511732827317655</v>
      </c>
      <c r="CD302" s="1188">
        <f>'2025'!R\Max</f>
        <v>0.98487327085578724</v>
      </c>
      <c r="CE302" s="1188">
        <f>'2026'!R\Max</f>
        <v>0.98462435933160353</v>
      </c>
      <c r="CF302" s="1189">
        <f>'2027'!R\Max</f>
        <v>0.98433732671489038</v>
      </c>
    </row>
    <row r="303" spans="1:84" s="6" customFormat="1" ht="11.25" x14ac:dyDescent="0.2">
      <c r="A303" s="11">
        <v>43389</v>
      </c>
      <c r="B303" s="380">
        <f>'2023'!Maxi_hp</f>
        <v>30.080595648759999</v>
      </c>
      <c r="C303" s="13">
        <f>'2023'!An_max</f>
        <v>2021</v>
      </c>
      <c r="D303" s="1059">
        <f t="shared" si="116"/>
        <v>0.98604812379624629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51">
        <f t="shared" si="119"/>
        <v>0.9285714285714286</v>
      </c>
      <c r="J303" s="744">
        <f t="shared" si="120"/>
        <v>30.506214577997365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2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51">
        <f t="shared" si="124"/>
        <v>0.9642857142857143</v>
      </c>
      <c r="AT303" s="767">
        <f t="shared" si="125"/>
        <v>30.508704591609007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51">
        <f t="shared" si="129"/>
        <v>0.5357142857142857</v>
      </c>
      <c r="AY303" s="767">
        <f t="shared" si="130"/>
        <v>30.494963228263494</v>
      </c>
      <c r="AZ303" s="744">
        <f t="shared" si="134"/>
        <v>30.501833909936252</v>
      </c>
      <c r="BA303" s="642">
        <f t="shared" si="131"/>
        <v>0.98604812379624629</v>
      </c>
      <c r="BC303" s="11">
        <v>43389</v>
      </c>
      <c r="BD303" s="290">
        <f>[2]!FeuilCaduc*(1-Persistant)+Persistant</f>
        <v>0.8717553063806176</v>
      </c>
      <c r="BE303" s="291">
        <f>[2]!CroissVégét</f>
        <v>0.99515525375273173</v>
      </c>
      <c r="BF303" s="814">
        <f>1+[2]!Salcycl*Ksac</f>
        <v>1.0339694132975772</v>
      </c>
      <c r="BH303" s="1050">
        <f t="shared" si="132"/>
        <v>5.0986251790728583E-2</v>
      </c>
      <c r="BI303" s="11">
        <v>44485</v>
      </c>
      <c r="BJ303" s="724">
        <v>2.7997706929333395E-6</v>
      </c>
      <c r="BK303" s="724">
        <v>2.7997706929333399E-6</v>
      </c>
      <c r="BL303" s="724">
        <v>2.7997706929333399E-6</v>
      </c>
      <c r="BM303" s="724">
        <v>1.9633491736166929E-4</v>
      </c>
      <c r="BN303" s="724">
        <v>1.0078534976990247E-2</v>
      </c>
      <c r="BO303" s="725">
        <v>5.0986251790728583E-2</v>
      </c>
      <c r="BP303" s="724">
        <v>0.12554021050387468</v>
      </c>
      <c r="BQ303" s="724">
        <v>0.21578769116791216</v>
      </c>
      <c r="BR303" s="724">
        <v>0.3075183616754939</v>
      </c>
      <c r="BS303" s="724">
        <v>0.41297974967946227</v>
      </c>
      <c r="BT303" s="724">
        <v>0.54062944536204238</v>
      </c>
      <c r="BW303" s="1190">
        <f>'2018'!R\Max</f>
        <v>0.55098340179208338</v>
      </c>
      <c r="BX303" s="1188">
        <f>'2019'!R\Max</f>
        <v>0.9126513651204532</v>
      </c>
      <c r="BY303" s="1188">
        <f>'2020'!R\Max</f>
        <v>0.57180938173291607</v>
      </c>
      <c r="BZ303" s="1188">
        <f>'2021'!R\Max</f>
        <v>0.98604812379624629</v>
      </c>
      <c r="CA303" s="1188">
        <f>'2022'!R\Max</f>
        <v>0.93882589304339847</v>
      </c>
      <c r="CB303" s="1188">
        <f>'2023'!R\Max</f>
        <v>0.93800703895044379</v>
      </c>
      <c r="CC303" s="1188">
        <f>'2024'!R\Max</f>
        <v>0.93706144783680745</v>
      </c>
      <c r="CD303" s="1188">
        <f>'2025'!R\Max</f>
        <v>0.93608525392347075</v>
      </c>
      <c r="CE303" s="1188">
        <f>'2026'!R\Max</f>
        <v>0.93508239427077899</v>
      </c>
      <c r="CF303" s="1189">
        <f>'2027'!R\Max</f>
        <v>0.93390306125799682</v>
      </c>
    </row>
    <row r="304" spans="1:84" s="6" customFormat="1" ht="11.25" x14ac:dyDescent="0.2">
      <c r="A304" s="11">
        <v>43390</v>
      </c>
      <c r="B304" s="380">
        <f>'2023'!Maxi_hp</f>
        <v>27.817595190845999</v>
      </c>
      <c r="C304" s="13">
        <f>'2023'!An_max</f>
        <v>2021</v>
      </c>
      <c r="D304" s="1059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51">
        <f t="shared" si="119"/>
        <v>0.8571428571428571</v>
      </c>
      <c r="J304" s="744">
        <f t="shared" si="120"/>
        <v>30.127806414876666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2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51">
        <f t="shared" si="124"/>
        <v>0.9285714285714286</v>
      </c>
      <c r="AT304" s="767">
        <f t="shared" si="125"/>
        <v>30.130620408191209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51">
        <f t="shared" si="129"/>
        <v>0.5714285714285714</v>
      </c>
      <c r="AY304" s="767">
        <f t="shared" si="130"/>
        <v>30.106479299840117</v>
      </c>
      <c r="AZ304" s="744">
        <f t="shared" si="134"/>
        <v>30.118549854015662</v>
      </c>
      <c r="BA304" s="642">
        <f t="shared" si="131"/>
        <v>0.92331963395483319</v>
      </c>
      <c r="BC304" s="11">
        <v>43390</v>
      </c>
      <c r="BD304" s="290">
        <f>[2]!FeuilCaduc*(1-Persistant)+Persistant</f>
        <v>0.86688813531301845</v>
      </c>
      <c r="BE304" s="291">
        <f>[2]!CroissVégét</f>
        <v>0.99536261888322142</v>
      </c>
      <c r="BF304" s="814">
        <f>1+[2]!Salcycl*Ksac</f>
        <v>1.0333610169141274</v>
      </c>
      <c r="BH304" s="1050">
        <f t="shared" si="132"/>
        <v>5.0265383226547888E-2</v>
      </c>
      <c r="BI304" s="11">
        <v>44486</v>
      </c>
      <c r="BJ304" s="724">
        <v>3.0488792685568288E-6</v>
      </c>
      <c r="BK304" s="724">
        <v>3.0488792685568284E-6</v>
      </c>
      <c r="BL304" s="724">
        <v>3.0488792685568284E-6</v>
      </c>
      <c r="BM304" s="724">
        <v>1.9911182606970016E-4</v>
      </c>
      <c r="BN304" s="724">
        <v>1.0077692847597247E-2</v>
      </c>
      <c r="BO304" s="725">
        <v>5.0265383226547888E-2</v>
      </c>
      <c r="BP304" s="724">
        <v>0.12298590679835429</v>
      </c>
      <c r="BQ304" s="724">
        <v>0.21077799121920049</v>
      </c>
      <c r="BR304" s="724">
        <v>0.30265198388048759</v>
      </c>
      <c r="BS304" s="724">
        <v>0.41008959261690991</v>
      </c>
      <c r="BT304" s="724">
        <v>0.54106563464435797</v>
      </c>
      <c r="BW304" s="1190">
        <f>'2018'!R\Max</f>
        <v>0.59899280433639279</v>
      </c>
      <c r="BX304" s="1188">
        <f>'2019'!R\Max</f>
        <v>0.6454221703854981</v>
      </c>
      <c r="BY304" s="1188">
        <f>'2020'!R\Max</f>
        <v>0.34428638847146714</v>
      </c>
      <c r="BZ304" s="1188">
        <f>'2021'!R\Max</f>
        <v>0.92331963395483319</v>
      </c>
      <c r="CA304" s="1188">
        <f>'2022'!R\Max</f>
        <v>0.63007146479932297</v>
      </c>
      <c r="CB304" s="1188">
        <f>'2023'!R\Max</f>
        <v>0.62682556556332381</v>
      </c>
      <c r="CC304" s="1188">
        <f>'2024'!R\Max</f>
        <v>0.62311967542825752</v>
      </c>
      <c r="CD304" s="1188">
        <f>'2025'!R\Max</f>
        <v>0.61925882610568883</v>
      </c>
      <c r="CE304" s="1188">
        <f>'2026'!R\Max</f>
        <v>0.61529557078541697</v>
      </c>
      <c r="CF304" s="1189">
        <f>'2027'!R\Max</f>
        <v>0.61060845393672858</v>
      </c>
    </row>
    <row r="305" spans="1:84" s="6" customFormat="1" ht="11.25" x14ac:dyDescent="0.2">
      <c r="A305" s="11">
        <v>43391</v>
      </c>
      <c r="B305" s="380">
        <f>'2023'!Maxi_hp</f>
        <v>30.068535736268366</v>
      </c>
      <c r="C305" s="13">
        <f>'2023'!An_max</f>
        <v>2020</v>
      </c>
      <c r="D305" s="1059">
        <f t="shared" si="116"/>
        <v>1.0106596023211147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51">
        <f t="shared" si="119"/>
        <v>0.7857142857142857</v>
      </c>
      <c r="J305" s="744">
        <f t="shared" si="120"/>
        <v>29.751397668623497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2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51">
        <f t="shared" si="124"/>
        <v>0.8928571428571429</v>
      </c>
      <c r="AT305" s="767">
        <f t="shared" si="125"/>
        <v>29.75253622421463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51">
        <f t="shared" si="129"/>
        <v>0.6071428571428571</v>
      </c>
      <c r="AY305" s="767">
        <f t="shared" si="130"/>
        <v>29.721309219187656</v>
      </c>
      <c r="AZ305" s="744">
        <f t="shared" si="134"/>
        <v>29.736922721701141</v>
      </c>
      <c r="BA305" s="642">
        <f t="shared" si="131"/>
        <v>1.0106596023211147</v>
      </c>
      <c r="BC305" s="11">
        <v>43391</v>
      </c>
      <c r="BD305" s="290">
        <f>[2]!FeuilCaduc*(1-Persistant)+Persistant</f>
        <v>0.86192037475695327</v>
      </c>
      <c r="BE305" s="291">
        <f>[2]!CroissVégét</f>
        <v>0.99556171606410238</v>
      </c>
      <c r="BF305" s="814">
        <f>1+[2]!Salcycl*Ksac</f>
        <v>1.0327400468446191</v>
      </c>
      <c r="BH305" s="1050">
        <f t="shared" si="132"/>
        <v>4.9502498060323398E-2</v>
      </c>
      <c r="BI305" s="11">
        <v>44487</v>
      </c>
      <c r="BJ305" s="724">
        <v>3.2609794553101931E-6</v>
      </c>
      <c r="BK305" s="724">
        <v>3.2609794553101931E-6</v>
      </c>
      <c r="BL305" s="724">
        <v>3.2609794553101931E-6</v>
      </c>
      <c r="BM305" s="724">
        <v>2.0134394715569848E-4</v>
      </c>
      <c r="BN305" s="724">
        <v>1.0048514099756803E-2</v>
      </c>
      <c r="BO305" s="725">
        <v>4.9502498060323398E-2</v>
      </c>
      <c r="BP305" s="724">
        <v>0.12042048098257514</v>
      </c>
      <c r="BQ305" s="724">
        <v>0.20591339205653567</v>
      </c>
      <c r="BR305" s="724">
        <v>0.29814677920024535</v>
      </c>
      <c r="BS305" s="724">
        <v>0.40740233916531193</v>
      </c>
      <c r="BT305" s="724">
        <v>0.5411181385445113</v>
      </c>
      <c r="BW305" s="1190">
        <f>'2018'!R\Max</f>
        <v>0.36491444789123467</v>
      </c>
      <c r="BX305" s="1188">
        <f>'2019'!R\Max</f>
        <v>0.51151353573488556</v>
      </c>
      <c r="BY305" s="1188">
        <f>'2020'!R\Max</f>
        <v>1.0106596023211147</v>
      </c>
      <c r="BZ305" s="1188">
        <f>'2021'!R\Max</f>
        <v>0.99033957504906478</v>
      </c>
      <c r="CA305" s="1188">
        <f>'2022'!R\Max</f>
        <v>0.95203042219115785</v>
      </c>
      <c r="CB305" s="1188">
        <f>'2023'!R\Max</f>
        <v>0.95140362156955549</v>
      </c>
      <c r="CC305" s="1188">
        <f>'2024'!R\Max</f>
        <v>0.95068201148103693</v>
      </c>
      <c r="CD305" s="1188">
        <f>'2025'!R\Max</f>
        <v>0.9499066387774312</v>
      </c>
      <c r="CE305" s="1188">
        <f>'2026'!R\Max</f>
        <v>0.94909381903341561</v>
      </c>
      <c r="CF305" s="1189">
        <f>'2027'!R\Max</f>
        <v>0.94810774244949403</v>
      </c>
    </row>
    <row r="306" spans="1:84" s="6" customFormat="1" ht="11.25" x14ac:dyDescent="0.2">
      <c r="A306" s="11">
        <v>43392</v>
      </c>
      <c r="B306" s="380">
        <f>'2023'!Maxi_hp</f>
        <v>28.870083274747984</v>
      </c>
      <c r="C306" s="13">
        <f>'2023'!An_max</f>
        <v>2021</v>
      </c>
      <c r="D306" s="1059">
        <f t="shared" si="116"/>
        <v>0.98273739360167411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51">
        <f t="shared" si="119"/>
        <v>0.7142857142857143</v>
      </c>
      <c r="J306" s="744">
        <f t="shared" si="120"/>
        <v>29.377210496632113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2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51">
        <f t="shared" si="124"/>
        <v>0.8571428571428571</v>
      </c>
      <c r="AT306" s="767">
        <f t="shared" si="125"/>
        <v>29.374840816429685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51">
        <f t="shared" si="129"/>
        <v>0.6428571428571429</v>
      </c>
      <c r="AY306" s="767">
        <f t="shared" si="130"/>
        <v>29.339813993565208</v>
      </c>
      <c r="AZ306" s="744">
        <f t="shared" si="134"/>
        <v>29.357327404997449</v>
      </c>
      <c r="BA306" s="642">
        <f t="shared" si="131"/>
        <v>0.98273739360167411</v>
      </c>
      <c r="BC306" s="11">
        <v>43392</v>
      </c>
      <c r="BD306" s="290">
        <f>[2]!FeuilCaduc*(1-Persistant)+Persistant</f>
        <v>0.85685598742298774</v>
      </c>
      <c r="BE306" s="291">
        <f>[2]!CroissVégét</f>
        <v>0.99575287182696259</v>
      </c>
      <c r="BF306" s="814">
        <f>1+[2]!Salcycl*Ksac</f>
        <v>1.0321069984278735</v>
      </c>
      <c r="BH306" s="1050">
        <f t="shared" si="132"/>
        <v>4.8697496770832072E-2</v>
      </c>
      <c r="BI306" s="11">
        <v>44488</v>
      </c>
      <c r="BJ306" s="724">
        <v>3.436007740143038E-6</v>
      </c>
      <c r="BK306" s="724">
        <v>3.4360077401430384E-6</v>
      </c>
      <c r="BL306" s="724">
        <v>3.4360077401430384E-6</v>
      </c>
      <c r="BM306" s="724">
        <v>2.0303020082131646E-4</v>
      </c>
      <c r="BN306" s="724">
        <v>9.9909461432341872E-3</v>
      </c>
      <c r="BO306" s="725">
        <v>4.8697496770832072E-2</v>
      </c>
      <c r="BP306" s="724">
        <v>0.11784384273050068</v>
      </c>
      <c r="BQ306" s="724">
        <v>0.20119399548043745</v>
      </c>
      <c r="BR306" s="724">
        <v>0.29400306694878436</v>
      </c>
      <c r="BS306" s="724">
        <v>0.40491791553792184</v>
      </c>
      <c r="BT306" s="724">
        <v>0.54078580223340211</v>
      </c>
      <c r="BW306" s="1190">
        <f>'2018'!R\Max</f>
        <v>0.76525097101869799</v>
      </c>
      <c r="BX306" s="1188">
        <f>'2019'!R\Max</f>
        <v>0.94682619003969648</v>
      </c>
      <c r="BY306" s="1188">
        <f>'2020'!R\Max</f>
        <v>0.96318615051972134</v>
      </c>
      <c r="BZ306" s="1188">
        <f>'2021'!R\Max</f>
        <v>0.98273739360167411</v>
      </c>
      <c r="CA306" s="1188">
        <f>'2022'!R\Max</f>
        <v>0.50475962943726105</v>
      </c>
      <c r="CB306" s="1188">
        <f>'2023'!R\Max</f>
        <v>0.50141271377144681</v>
      </c>
      <c r="CC306" s="1188">
        <f>'2024'!R\Max</f>
        <v>0.49761053984544917</v>
      </c>
      <c r="CD306" s="1188">
        <f>'2025'!R\Max</f>
        <v>0.49349624126727826</v>
      </c>
      <c r="CE306" s="1188">
        <f>'2026'!R\Max</f>
        <v>0.48920532003486855</v>
      </c>
      <c r="CF306" s="1189">
        <f>'2027'!R\Max</f>
        <v>0.48404195319844551</v>
      </c>
    </row>
    <row r="307" spans="1:84" s="6" customFormat="1" ht="11.25" x14ac:dyDescent="0.2">
      <c r="A307" s="11">
        <v>43393</v>
      </c>
      <c r="B307" s="380">
        <f>'2023'!Maxi_hp</f>
        <v>24.548923439144371</v>
      </c>
      <c r="C307" s="13">
        <f>'2023'!An_max</f>
        <v>2020</v>
      </c>
      <c r="D307" s="1059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51">
        <f t="shared" si="119"/>
        <v>0.6428571428571429</v>
      </c>
      <c r="J307" s="744">
        <f t="shared" si="120"/>
        <v>29.005467056509637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2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51">
        <f t="shared" si="124"/>
        <v>0.8214285714285714</v>
      </c>
      <c r="AT307" s="767">
        <f t="shared" si="125"/>
        <v>28.997922959178688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51">
        <f t="shared" si="129"/>
        <v>0.6785714285714286</v>
      </c>
      <c r="AY307" s="767">
        <f t="shared" si="130"/>
        <v>28.96235462755098</v>
      </c>
      <c r="AZ307" s="744">
        <f t="shared" si="134"/>
        <v>28.980138793364834</v>
      </c>
      <c r="BA307" s="642">
        <f t="shared" si="131"/>
        <v>0.84635504718186938</v>
      </c>
      <c r="BC307" s="11">
        <v>43393</v>
      </c>
      <c r="BD307" s="290">
        <f>[2]!FeuilCaduc*(1-Persistant)+Persistant</f>
        <v>0.85169935814433595</v>
      </c>
      <c r="BE307" s="291">
        <f>[2]!CroissVégét</f>
        <v>0.99593640005294937</v>
      </c>
      <c r="BF307" s="814">
        <f>1+[2]!Salcycl*Ksac</f>
        <v>1.031462419768042</v>
      </c>
      <c r="BH307" s="1050">
        <f t="shared" si="132"/>
        <v>4.785028517265439E-2</v>
      </c>
      <c r="BI307" s="11">
        <v>44489</v>
      </c>
      <c r="BJ307" s="724">
        <v>3.5739014219272954E-6</v>
      </c>
      <c r="BK307" s="724">
        <v>3.573901421927295E-6</v>
      </c>
      <c r="BL307" s="724">
        <v>3.573901421927295E-6</v>
      </c>
      <c r="BM307" s="724">
        <v>2.0416952334443292E-4</v>
      </c>
      <c r="BN307" s="724">
        <v>9.9049378497818499E-3</v>
      </c>
      <c r="BO307" s="725">
        <v>4.785028517265439E-2</v>
      </c>
      <c r="BP307" s="724">
        <v>0.115255913521631</v>
      </c>
      <c r="BQ307" s="724">
        <v>0.19661991790883668</v>
      </c>
      <c r="BR307" s="724">
        <v>0.29022116963310779</v>
      </c>
      <c r="BS307" s="724">
        <v>0.40263625086184657</v>
      </c>
      <c r="BT307" s="724">
        <v>0.54006748950033556</v>
      </c>
      <c r="BW307" s="1190">
        <f>'2018'!R\Max</f>
        <v>0.37718946470229098</v>
      </c>
      <c r="BX307" s="1188">
        <f>'2019'!R\Max</f>
        <v>0.42227022231821815</v>
      </c>
      <c r="BY307" s="1188">
        <f>'2020'!R\Max</f>
        <v>0.84635504718186938</v>
      </c>
      <c r="BZ307" s="1188">
        <f>'2021'!R\Max</f>
        <v>0.75337111157134506</v>
      </c>
      <c r="CA307" s="1188">
        <f>'2022'!R\Max</f>
        <v>0.22684589870374078</v>
      </c>
      <c r="CB307" s="1188">
        <f>'2023'!R\Max</f>
        <v>0.22475668644902799</v>
      </c>
      <c r="CC307" s="1188">
        <f>'2024'!R\Max</f>
        <v>0.22239531961623332</v>
      </c>
      <c r="CD307" s="1188">
        <f>'2025'!R\Max</f>
        <v>0.21979901293221599</v>
      </c>
      <c r="CE307" s="1188">
        <f>'2026'!R\Max</f>
        <v>0.21708249359427981</v>
      </c>
      <c r="CF307" s="1189">
        <f>'2027'!R\Max</f>
        <v>0.21382276580802392</v>
      </c>
    </row>
    <row r="308" spans="1:84" s="6" customFormat="1" ht="11.25" x14ac:dyDescent="0.2">
      <c r="A308" s="11">
        <v>43394</v>
      </c>
      <c r="B308" s="380">
        <f>'2023'!Maxi_hp</f>
        <v>22.767117495614556</v>
      </c>
      <c r="C308" s="13">
        <f>'2023'!An_max</f>
        <v>2019</v>
      </c>
      <c r="D308" s="1059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51">
        <f t="shared" si="119"/>
        <v>0.5714285714285714</v>
      </c>
      <c r="J308" s="744">
        <f t="shared" si="120"/>
        <v>28.636389505011699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2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51">
        <f t="shared" si="124"/>
        <v>0.7857142857142857</v>
      </c>
      <c r="AT308" s="767">
        <f t="shared" si="125"/>
        <v>28.622171428666583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51">
        <f t="shared" si="129"/>
        <v>0.7142857142857143</v>
      </c>
      <c r="AY308" s="767">
        <f t="shared" si="130"/>
        <v>28.58929212827768</v>
      </c>
      <c r="AZ308" s="744">
        <f t="shared" si="134"/>
        <v>28.605731778472133</v>
      </c>
      <c r="BA308" s="642">
        <f t="shared" si="131"/>
        <v>0.7950414800591411</v>
      </c>
      <c r="BC308" s="11">
        <v>43394</v>
      </c>
      <c r="BD308" s="290">
        <f>[2]!FeuilCaduc*(1-Persistant)+Persistant</f>
        <v>0.84645528727532271</v>
      </c>
      <c r="BE308" s="291">
        <f>[2]!CroissVégét</f>
        <v>0.99611260244351996</v>
      </c>
      <c r="BF308" s="814">
        <f>1+[2]!Salcycl*Ksac</f>
        <v>1.0308069109094153</v>
      </c>
      <c r="BH308" s="1050">
        <f t="shared" si="132"/>
        <v>4.696077486247973E-2</v>
      </c>
      <c r="BI308" s="11">
        <v>44490</v>
      </c>
      <c r="BJ308" s="724">
        <v>3.6745990171631916E-6</v>
      </c>
      <c r="BK308" s="724">
        <v>3.6745990171631924E-6</v>
      </c>
      <c r="BL308" s="724">
        <v>3.6745990171631924E-6</v>
      </c>
      <c r="BM308" s="724">
        <v>2.0476087303078125E-4</v>
      </c>
      <c r="BN308" s="724">
        <v>9.7904398611344135E-3</v>
      </c>
      <c r="BO308" s="725">
        <v>4.696077486247973E-2</v>
      </c>
      <c r="BP308" s="724">
        <v>0.11265662672549875</v>
      </c>
      <c r="BQ308" s="724">
        <v>0.19219128872648553</v>
      </c>
      <c r="BR308" s="724">
        <v>0.28680140894370271</v>
      </c>
      <c r="BS308" s="724">
        <v>0.40055727490691478</v>
      </c>
      <c r="BT308" s="724">
        <v>0.53896208689975134</v>
      </c>
      <c r="BW308" s="1190">
        <f>'2018'!R\Max</f>
        <v>0.59238503146454957</v>
      </c>
      <c r="BX308" s="1188">
        <f>'2019'!R\Max</f>
        <v>0.7950414800591411</v>
      </c>
      <c r="BY308" s="1188">
        <f>'2020'!R\Max</f>
        <v>0.21893556685994556</v>
      </c>
      <c r="BZ308" s="1188">
        <f>'2021'!R\Max</f>
        <v>0.53420557625132647</v>
      </c>
      <c r="CA308" s="1188">
        <f>'2022'!R\Max</f>
        <v>0.53875218778911182</v>
      </c>
      <c r="CB308" s="1188">
        <f>'2023'!R\Max</f>
        <v>0.53554281804340931</v>
      </c>
      <c r="CC308" s="1188">
        <f>'2024'!R\Max</f>
        <v>0.53188453035067063</v>
      </c>
      <c r="CD308" s="1188">
        <f>'2025'!R\Max</f>
        <v>0.52773630847076913</v>
      </c>
      <c r="CE308" s="1188">
        <f>'2026'!R\Max</f>
        <v>0.52331549363367269</v>
      </c>
      <c r="CF308" s="1189">
        <f>'2027'!R\Max</f>
        <v>0.51795460778161151</v>
      </c>
    </row>
    <row r="309" spans="1:84" s="6" customFormat="1" ht="11.25" x14ac:dyDescent="0.2">
      <c r="A309" s="11">
        <v>43395</v>
      </c>
      <c r="B309" s="380">
        <f>'2023'!Maxi_hp</f>
        <v>27.02636286510641</v>
      </c>
      <c r="C309" s="13">
        <f>'2023'!An_max</f>
        <v>2022</v>
      </c>
      <c r="D309" s="1059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51">
        <f t="shared" si="119"/>
        <v>0.5</v>
      </c>
      <c r="J309" s="744">
        <f t="shared" si="120"/>
        <v>28.270200001075864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2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51">
        <f t="shared" si="124"/>
        <v>0.75</v>
      </c>
      <c r="AT309" s="767">
        <f t="shared" si="125"/>
        <v>28.247974999528378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51">
        <f t="shared" si="129"/>
        <v>0.75</v>
      </c>
      <c r="AY309" s="767">
        <f t="shared" si="130"/>
        <v>28.220987499551846</v>
      </c>
      <c r="AZ309" s="744">
        <f t="shared" si="134"/>
        <v>28.23448124954011</v>
      </c>
      <c r="BA309" s="642">
        <f t="shared" si="131"/>
        <v>0.9560018275101656</v>
      </c>
      <c r="BC309" s="11">
        <v>43395</v>
      </c>
      <c r="BD309" s="290">
        <f>[2]!FeuilCaduc*(1-Persistant)+Persistant</f>
        <v>0.84112898132199043</v>
      </c>
      <c r="BE309" s="291">
        <f>[2]!CroissVégét</f>
        <v>0.99628176897521181</v>
      </c>
      <c r="BF309" s="814">
        <f>1+[2]!Salcycl*Ksac</f>
        <v>1.0301411226652488</v>
      </c>
      <c r="BH309" s="1050">
        <f t="shared" si="132"/>
        <v>4.6028883665214189E-2</v>
      </c>
      <c r="BI309" s="11">
        <v>44491</v>
      </c>
      <c r="BJ309" s="724">
        <v>3.7380406656734912E-6</v>
      </c>
      <c r="BK309" s="724">
        <v>3.7380406656734908E-6</v>
      </c>
      <c r="BL309" s="724">
        <v>3.7380406656734908E-6</v>
      </c>
      <c r="BM309" s="724">
        <v>2.0480323616480295E-4</v>
      </c>
      <c r="BN309" s="724">
        <v>9.6474048969642946E-3</v>
      </c>
      <c r="BO309" s="725">
        <v>4.6028883665214189E-2</v>
      </c>
      <c r="BP309" s="724">
        <v>0.11004592768568221</v>
      </c>
      <c r="BQ309" s="724">
        <v>0.18790824863353883</v>
      </c>
      <c r="BR309" s="724">
        <v>0.28374410174385661</v>
      </c>
      <c r="BS309" s="724">
        <v>0.39868091581295068</v>
      </c>
      <c r="BT309" s="724">
        <v>0.53746850789584921</v>
      </c>
      <c r="BW309" s="1190">
        <f>'2018'!R\Max</f>
        <v>0.72696618249737455</v>
      </c>
      <c r="BX309" s="1188">
        <f>'2019'!R\Max</f>
        <v>0.1827447206120788</v>
      </c>
      <c r="BY309" s="1188">
        <f>'2020'!R\Max</f>
        <v>0.78610982026769294</v>
      </c>
      <c r="BZ309" s="1188">
        <f>'2021'!R\Max</f>
        <v>0.41909538677103825</v>
      </c>
      <c r="CA309" s="1188">
        <f>'2022'!R\Max</f>
        <v>0.9560018275101656</v>
      </c>
      <c r="CB309" s="1188">
        <f>'2023'!R\Max</f>
        <v>0.95546528856957813</v>
      </c>
      <c r="CC309" s="1188">
        <f>'2024'!R\Max</f>
        <v>0.95484496723552159</v>
      </c>
      <c r="CD309" s="1188">
        <f>'2025'!R\Max</f>
        <v>0.95411488040489656</v>
      </c>
      <c r="CE309" s="1188">
        <f>'2026'!R\Max</f>
        <v>0.95331704625618363</v>
      </c>
      <c r="CF309" s="1189">
        <f>'2027'!R\Max</f>
        <v>0.95233508655786547</v>
      </c>
    </row>
    <row r="310" spans="1:84" s="6" customFormat="1" ht="11.25" x14ac:dyDescent="0.2">
      <c r="A310" s="11">
        <v>43396</v>
      </c>
      <c r="B310" s="380">
        <f>'2023'!Maxi_hp</f>
        <v>29.192406870940115</v>
      </c>
      <c r="C310" s="13">
        <f>'2023'!An_max</f>
        <v>2021</v>
      </c>
      <c r="D310" s="1059">
        <f t="shared" si="116"/>
        <v>1.0460558502059991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51">
        <f t="shared" si="119"/>
        <v>0.42857142857142855</v>
      </c>
      <c r="J310" s="744">
        <f t="shared" si="120"/>
        <v>27.907120700286963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2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51">
        <f t="shared" si="124"/>
        <v>0.7142857142857143</v>
      </c>
      <c r="AT310" s="767">
        <f t="shared" si="125"/>
        <v>27.87572244906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51">
        <f t="shared" si="129"/>
        <v>0.7857142857142857</v>
      </c>
      <c r="AY310" s="767">
        <f t="shared" si="130"/>
        <v>27.857801749370992</v>
      </c>
      <c r="AZ310" s="744">
        <f t="shared" si="134"/>
        <v>27.866762099215496</v>
      </c>
      <c r="BA310" s="642">
        <f t="shared" si="131"/>
        <v>1.0460558502059991</v>
      </c>
      <c r="BC310" s="11">
        <v>43396</v>
      </c>
      <c r="BD310" s="290">
        <f>[2]!FeuilCaduc*(1-Persistant)+Persistant</f>
        <v>0.83572604080636914</v>
      </c>
      <c r="BE310" s="291">
        <f>[2]!CroissVégét</f>
        <v>0.99644417833885535</v>
      </c>
      <c r="BF310" s="814">
        <f>1+[2]!Salcycl*Ksac</f>
        <v>1.0294657551007962</v>
      </c>
      <c r="BH310" s="1050">
        <f t="shared" si="132"/>
        <v>4.5072426102987E-2</v>
      </c>
      <c r="BI310" s="11">
        <v>44492</v>
      </c>
      <c r="BJ310" s="724">
        <v>3.7867214032012105E-6</v>
      </c>
      <c r="BK310" s="724">
        <v>3.7876498658342058E-6</v>
      </c>
      <c r="BL310" s="724">
        <v>3.7945034276446735E-6</v>
      </c>
      <c r="BM310" s="724">
        <v>2.0458119503056636E-4</v>
      </c>
      <c r="BN310" s="724">
        <v>9.4818219353991467E-3</v>
      </c>
      <c r="BO310" s="725">
        <v>4.5072426102987E-2</v>
      </c>
      <c r="BP310" s="724">
        <v>0.10746615376921653</v>
      </c>
      <c r="BQ310" s="724">
        <v>0.1839424210075041</v>
      </c>
      <c r="BR310" s="724">
        <v>0.28112745286674201</v>
      </c>
      <c r="BS310" s="724">
        <v>0.39703833952732476</v>
      </c>
      <c r="BT310" s="724">
        <v>0.53551998977664916</v>
      </c>
      <c r="BW310" s="1190">
        <f>'2018'!R\Max</f>
        <v>1.017574065751655</v>
      </c>
      <c r="BX310" s="1188">
        <f>'2019'!R\Max</f>
        <v>0.5998511583651257</v>
      </c>
      <c r="BY310" s="1188">
        <f>'2020'!R\Max</f>
        <v>0.18138602715612678</v>
      </c>
      <c r="BZ310" s="1188">
        <f>'2021'!R\Max</f>
        <v>1.0460558502059991</v>
      </c>
      <c r="CA310" s="1188">
        <f>'2022'!R\Max</f>
        <v>0.59833358264428904</v>
      </c>
      <c r="CB310" s="1188">
        <f>'2023'!R\Max</f>
        <v>0.59533163305645542</v>
      </c>
      <c r="CC310" s="1188">
        <f>'2024'!R\Max</f>
        <v>0.59187858157662199</v>
      </c>
      <c r="CD310" s="1188">
        <f>'2025'!R\Max</f>
        <v>0.58776811162030307</v>
      </c>
      <c r="CE310" s="1188">
        <f>'2026'!R\Max</f>
        <v>0.58329142567559433</v>
      </c>
      <c r="CF310" s="1189">
        <f>'2027'!R\Max</f>
        <v>0.57789108114347487</v>
      </c>
    </row>
    <row r="311" spans="1:84" s="6" customFormat="1" ht="11.25" x14ac:dyDescent="0.2">
      <c r="A311" s="11">
        <v>43397</v>
      </c>
      <c r="B311" s="380">
        <f>'2023'!Maxi_hp</f>
        <v>28.410947539123171</v>
      </c>
      <c r="C311" s="13">
        <f>'2023'!An_max</f>
        <v>2018</v>
      </c>
      <c r="D311" s="1059">
        <f t="shared" si="116"/>
        <v>1.0313486789971422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51">
        <f t="shared" si="119"/>
        <v>0.35714285714285715</v>
      </c>
      <c r="J311" s="744">
        <f t="shared" si="120"/>
        <v>27.547373761848679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2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51">
        <f t="shared" si="124"/>
        <v>0.6785714285714286</v>
      </c>
      <c r="AT311" s="767">
        <f t="shared" si="125"/>
        <v>27.505802550965122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51">
        <f t="shared" si="129"/>
        <v>0.8214285714285714</v>
      </c>
      <c r="AY311" s="767">
        <f t="shared" si="130"/>
        <v>27.500095881229004</v>
      </c>
      <c r="AZ311" s="744">
        <f t="shared" si="134"/>
        <v>27.502949216097065</v>
      </c>
      <c r="BA311" s="642">
        <f t="shared" si="131"/>
        <v>1.0313486789971422</v>
      </c>
      <c r="BC311" s="11">
        <v>43397</v>
      </c>
      <c r="BD311" s="290">
        <f>[2]!FeuilCaduc*(1-Persistant)+Persistant</f>
        <v>0.83025244538896747</v>
      </c>
      <c r="BE311" s="291">
        <f>[2]!CroissVégét</f>
        <v>0.99660009836364072</v>
      </c>
      <c r="BF311" s="814">
        <f>1+[2]!Salcycl*Ksac</f>
        <v>1.0287815556736208</v>
      </c>
      <c r="BH311" s="1050">
        <f t="shared" si="132"/>
        <v>4.4124253809249316E-2</v>
      </c>
      <c r="BI311" s="11">
        <v>44493</v>
      </c>
      <c r="BJ311" s="724">
        <v>3.8090976069998903E-6</v>
      </c>
      <c r="BK311" s="724">
        <v>3.811884248742966E-6</v>
      </c>
      <c r="BL311" s="724">
        <v>3.8324541895796694E-6</v>
      </c>
      <c r="BM311" s="724">
        <v>2.0426527386420941E-4</v>
      </c>
      <c r="BN311" s="724">
        <v>9.314396228843726E-3</v>
      </c>
      <c r="BO311" s="725">
        <v>4.4124253809249316E-2</v>
      </c>
      <c r="BP311" s="724">
        <v>0.10494255778410361</v>
      </c>
      <c r="BQ311" s="724">
        <v>0.18027019801656552</v>
      </c>
      <c r="BR311" s="724">
        <v>0.27874607884272606</v>
      </c>
      <c r="BS311" s="724">
        <v>0.39546231257059578</v>
      </c>
      <c r="BT311" s="724">
        <v>0.53320872066480296</v>
      </c>
      <c r="BW311" s="1190">
        <f>'2018'!R\Max</f>
        <v>1.0313486789971422</v>
      </c>
      <c r="BX311" s="1188">
        <f>'2019'!R\Max</f>
        <v>0.59873392628281552</v>
      </c>
      <c r="BY311" s="1188">
        <f>'2020'!R\Max</f>
        <v>0.35322395067123713</v>
      </c>
      <c r="BZ311" s="1188">
        <f>'2021'!R\Max</f>
        <v>1.0219115073649414</v>
      </c>
      <c r="CA311" s="1188">
        <f>'2022'!R\Max</f>
        <v>0.72825430962665116</v>
      </c>
      <c r="CB311" s="1188">
        <f>'2023'!R\Max</f>
        <v>0.72581612142395535</v>
      </c>
      <c r="CC311" s="1188">
        <f>'2024'!R\Max</f>
        <v>0.72298382746849355</v>
      </c>
      <c r="CD311" s="1188">
        <f>'2025'!R\Max</f>
        <v>0.71952880594047475</v>
      </c>
      <c r="CE311" s="1188">
        <f>'2026'!R\Max</f>
        <v>0.71571708730412908</v>
      </c>
      <c r="CF311" s="1189">
        <f>'2027'!R\Max</f>
        <v>0.7111214529036477</v>
      </c>
    </row>
    <row r="312" spans="1:84" s="6" customFormat="1" ht="11.25" x14ac:dyDescent="0.2">
      <c r="A312" s="11">
        <v>43398</v>
      </c>
      <c r="B312" s="380">
        <f>'2023'!Maxi_hp</f>
        <v>27.544324929727701</v>
      </c>
      <c r="C312" s="13">
        <f>'2023'!An_max</f>
        <v>2018</v>
      </c>
      <c r="D312" s="1059">
        <f t="shared" si="116"/>
        <v>1.0129874308464382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51">
        <f t="shared" si="119"/>
        <v>0.2857142857142857</v>
      </c>
      <c r="J312" s="744">
        <f t="shared" si="120"/>
        <v>27.191181342410186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2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51">
        <f t="shared" si="124"/>
        <v>0.6428571428571429</v>
      </c>
      <c r="AT312" s="767">
        <f t="shared" si="125"/>
        <v>27.138604082087323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51">
        <f t="shared" si="129"/>
        <v>0.8571428571428571</v>
      </c>
      <c r="AY312" s="767">
        <f t="shared" si="130"/>
        <v>27.14823090346264</v>
      </c>
      <c r="AZ312" s="744">
        <f t="shared" si="134"/>
        <v>27.143417492774979</v>
      </c>
      <c r="BA312" s="642">
        <f t="shared" si="131"/>
        <v>1.0129874308464382</v>
      </c>
      <c r="BC312" s="11">
        <v>43398</v>
      </c>
      <c r="BD312" s="290">
        <f>[2]!FeuilCaduc*(1-Persistant)+Persistant</f>
        <v>0.82471453629716374</v>
      </c>
      <c r="BE312" s="291">
        <f>[2]!CroissVégét</f>
        <v>0.99674978642645717</v>
      </c>
      <c r="BF312" s="814">
        <f>1+[2]!Salcycl*Ksac</f>
        <v>1.0280893170371455</v>
      </c>
      <c r="BH312" s="1050">
        <f t="shared" si="132"/>
        <v>4.3184697878858362E-2</v>
      </c>
      <c r="BI312" s="11">
        <v>44494</v>
      </c>
      <c r="BJ312" s="724">
        <v>3.8051616129262548E-6</v>
      </c>
      <c r="BK312" s="724">
        <v>3.8107374418130999E-6</v>
      </c>
      <c r="BL312" s="724">
        <v>3.8518961126766826E-6</v>
      </c>
      <c r="BM312" s="724">
        <v>2.0385684366104701E-4</v>
      </c>
      <c r="BN312" s="724">
        <v>9.1451929342997746E-3</v>
      </c>
      <c r="BO312" s="725">
        <v>4.3184697878858362E-2</v>
      </c>
      <c r="BP312" s="724">
        <v>0.1024759755533594</v>
      </c>
      <c r="BQ312" s="724">
        <v>0.17689328609197272</v>
      </c>
      <c r="BR312" s="724">
        <v>0.27660233563714626</v>
      </c>
      <c r="BS312" s="724">
        <v>0.393955822286151</v>
      </c>
      <c r="BT312" s="724">
        <v>0.53053811297477549</v>
      </c>
      <c r="BW312" s="1190">
        <f>'2018'!R\Max</f>
        <v>1.0129874308464382</v>
      </c>
      <c r="BX312" s="1188">
        <f>'2019'!R\Max</f>
        <v>0.92621391003529485</v>
      </c>
      <c r="BY312" s="1188">
        <f>'2020'!R\Max</f>
        <v>0.90261618049453873</v>
      </c>
      <c r="BZ312" s="1188">
        <f>'2021'!R\Max</f>
        <v>0.94124907472991592</v>
      </c>
      <c r="CA312" s="1188">
        <f>'2022'!R\Max</f>
        <v>0.74147581786227479</v>
      </c>
      <c r="CB312" s="1188">
        <f>'2023'!R\Max</f>
        <v>0.73914706978888867</v>
      </c>
      <c r="CC312" s="1188">
        <f>'2024'!R\Max</f>
        <v>0.73641898063819911</v>
      </c>
      <c r="CD312" s="1188">
        <f>'2025'!R\Max</f>
        <v>0.73302971101518888</v>
      </c>
      <c r="CE312" s="1188">
        <f>'2026'!R\Max</f>
        <v>0.72926224511429294</v>
      </c>
      <c r="CF312" s="1189">
        <f>'2027'!R\Max</f>
        <v>0.72474764393935454</v>
      </c>
    </row>
    <row r="313" spans="1:84" s="6" customFormat="1" ht="11.25" x14ac:dyDescent="0.2">
      <c r="A313" s="11">
        <v>43399</v>
      </c>
      <c r="B313" s="380">
        <f>'2023'!Maxi_hp</f>
        <v>27.696361546697236</v>
      </c>
      <c r="C313" s="13">
        <f>'2023'!An_max</f>
        <v>2019</v>
      </c>
      <c r="D313" s="1059">
        <f t="shared" si="116"/>
        <v>1.0319536286184481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51">
        <f t="shared" si="119"/>
        <v>0.21428571428571427</v>
      </c>
      <c r="J313" s="744">
        <f t="shared" si="120"/>
        <v>26.838765598194936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2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51">
        <f t="shared" si="124"/>
        <v>0.6071428571428571</v>
      </c>
      <c r="AT313" s="767">
        <f t="shared" si="125"/>
        <v>26.774515816116974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51">
        <f t="shared" si="129"/>
        <v>0.8928571428571429</v>
      </c>
      <c r="AY313" s="767">
        <f t="shared" si="130"/>
        <v>26.802567819891767</v>
      </c>
      <c r="AZ313" s="744">
        <f t="shared" si="134"/>
        <v>26.788541818004369</v>
      </c>
      <c r="BA313" s="642">
        <f t="shared" si="131"/>
        <v>1.0319536286184481</v>
      </c>
      <c r="BC313" s="11">
        <v>43399</v>
      </c>
      <c r="BD313" s="290">
        <f>[2]!FeuilCaduc*(1-Persistant)+Persistant</f>
        <v>0.81911899613020722</v>
      </c>
      <c r="BE313" s="291">
        <f>[2]!CroissVégét</f>
        <v>0.99689348984691617</v>
      </c>
      <c r="BF313" s="814">
        <f>1+[2]!Salcycl*Ksac</f>
        <v>1.0273898745162759</v>
      </c>
      <c r="BH313" s="1050">
        <f t="shared" si="132"/>
        <v>4.225371243782574E-2</v>
      </c>
      <c r="BI313" s="11">
        <v>44495</v>
      </c>
      <c r="BJ313" s="724">
        <v>3.7748737260807776E-6</v>
      </c>
      <c r="BK313" s="724">
        <v>3.7841710708339454E-6</v>
      </c>
      <c r="BL313" s="724">
        <v>3.8528005715533237E-6</v>
      </c>
      <c r="BM313" s="724">
        <v>2.0335557849065759E-4</v>
      </c>
      <c r="BN313" s="724">
        <v>8.9741979426014411E-3</v>
      </c>
      <c r="BO313" s="725">
        <v>4.225371243782574E-2</v>
      </c>
      <c r="BP313" s="724">
        <v>0.10006634400992681</v>
      </c>
      <c r="BQ313" s="724">
        <v>0.1738118620633152</v>
      </c>
      <c r="BR313" s="724">
        <v>0.27469624963032524</v>
      </c>
      <c r="BS313" s="724">
        <v>0.39251856594330686</v>
      </c>
      <c r="BT313" s="724">
        <v>0.52750712686273138</v>
      </c>
      <c r="BW313" s="1190">
        <f>'2018'!R\Max</f>
        <v>0.14231343691687343</v>
      </c>
      <c r="BX313" s="1188">
        <f>'2019'!R\Max</f>
        <v>1.0319536286184481</v>
      </c>
      <c r="BY313" s="1188">
        <f>'2020'!R\Max</f>
        <v>0.70450279391154891</v>
      </c>
      <c r="BZ313" s="1188">
        <f>'2021'!R\Max</f>
        <v>0.910735210359086</v>
      </c>
      <c r="CA313" s="1188">
        <f>'2022'!R\Max</f>
        <v>0.48806071703981602</v>
      </c>
      <c r="CB313" s="1188">
        <f>'2023'!R\Max</f>
        <v>0.48507340749094457</v>
      </c>
      <c r="CC313" s="1188">
        <f>'2024'!R\Max</f>
        <v>0.48156242715482006</v>
      </c>
      <c r="CD313" s="1188">
        <f>'2025'!R\Max</f>
        <v>0.47716925050304049</v>
      </c>
      <c r="CE313" s="1188">
        <f>'2026'!R\Max</f>
        <v>0.47230343662124491</v>
      </c>
      <c r="CF313" s="1189">
        <f>'2027'!R\Max</f>
        <v>0.46657866145206894</v>
      </c>
    </row>
    <row r="314" spans="1:84" s="6" customFormat="1" ht="11.25" x14ac:dyDescent="0.2">
      <c r="A314" s="11">
        <v>43400</v>
      </c>
      <c r="B314" s="380">
        <f>'2023'!Maxi_hp</f>
        <v>24.453755622088135</v>
      </c>
      <c r="C314" s="13">
        <f>'2023'!An_max</f>
        <v>2021</v>
      </c>
      <c r="D314" s="1059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51">
        <f t="shared" si="119"/>
        <v>0.14285714285714285</v>
      </c>
      <c r="J314" s="744">
        <f t="shared" si="120"/>
        <v>26.490348688672697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2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51">
        <f t="shared" si="124"/>
        <v>0.5714285714285714</v>
      </c>
      <c r="AT314" s="767">
        <f t="shared" si="125"/>
        <v>26.413926531161582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51">
        <f t="shared" si="129"/>
        <v>0.9285714285714286</v>
      </c>
      <c r="AY314" s="767">
        <f t="shared" si="130"/>
        <v>26.463467637023758</v>
      </c>
      <c r="AZ314" s="744">
        <f t="shared" si="134"/>
        <v>26.43869708409267</v>
      </c>
      <c r="BA314" s="642">
        <f t="shared" si="131"/>
        <v>0.92311943151373421</v>
      </c>
      <c r="BC314" s="11">
        <v>43400</v>
      </c>
      <c r="BD314" s="290">
        <f>[2]!FeuilCaduc*(1-Persistant)+Persistant</f>
        <v>0.81347282613424399</v>
      </c>
      <c r="BE314" s="291">
        <f>[2]!CroissVégét</f>
        <v>0.99703144626847073</v>
      </c>
      <c r="BF314" s="814">
        <f>1+[2]!Salcycl*Ksac</f>
        <v>1.0266841032667804</v>
      </c>
      <c r="BH314" s="1050">
        <f t="shared" si="132"/>
        <v>4.1331255461765207E-2</v>
      </c>
      <c r="BI314" s="11">
        <v>44496</v>
      </c>
      <c r="BJ314" s="724">
        <v>3.7181933976093961E-6</v>
      </c>
      <c r="BK314" s="724">
        <v>3.7321459281923014E-6</v>
      </c>
      <c r="BL314" s="724">
        <v>3.8351382591317881E-6</v>
      </c>
      <c r="BM314" s="724">
        <v>2.0276115117093176E-4</v>
      </c>
      <c r="BN314" s="724">
        <v>8.8013977292534396E-3</v>
      </c>
      <c r="BO314" s="725">
        <v>4.1331255461765207E-2</v>
      </c>
      <c r="BP314" s="724">
        <v>9.7713611319632965E-2</v>
      </c>
      <c r="BQ314" s="724">
        <v>0.17102612541104975</v>
      </c>
      <c r="BR314" s="724">
        <v>0.27302786349077779</v>
      </c>
      <c r="BS314" s="724">
        <v>0.39115024931405323</v>
      </c>
      <c r="BT314" s="724">
        <v>0.52411472127556247</v>
      </c>
      <c r="BW314" s="1190">
        <f>'2018'!R\Max</f>
        <v>0.34795719376063899</v>
      </c>
      <c r="BX314" s="1188">
        <f>'2019'!R\Max</f>
        <v>0.75921111471192237</v>
      </c>
      <c r="BY314" s="1188">
        <f>'2020'!R\Max</f>
        <v>0.88616273015978908</v>
      </c>
      <c r="BZ314" s="1188">
        <f>'2021'!R\Max</f>
        <v>0.92311943151373421</v>
      </c>
      <c r="CA314" s="1188">
        <f>'2022'!R\Max</f>
        <v>0.47720015235282526</v>
      </c>
      <c r="CB314" s="1188">
        <f>'2023'!R\Max</f>
        <v>0.47425199134774554</v>
      </c>
      <c r="CC314" s="1188">
        <f>'2024'!R\Max</f>
        <v>0.4707473060576865</v>
      </c>
      <c r="CD314" s="1188">
        <f>'2025'!R\Max</f>
        <v>0.4663086983422477</v>
      </c>
      <c r="CE314" s="1188">
        <f>'2026'!R\Max</f>
        <v>0.46137181767627894</v>
      </c>
      <c r="CF314" s="1189">
        <f>'2027'!R\Max</f>
        <v>0.45561425189548732</v>
      </c>
    </row>
    <row r="315" spans="1:84" s="6" customFormat="1" ht="11.25" x14ac:dyDescent="0.2">
      <c r="A315" s="11">
        <v>43401</v>
      </c>
      <c r="B315" s="380">
        <f>'2023'!Maxi_hp</f>
        <v>25.702565660135079</v>
      </c>
      <c r="C315" s="13">
        <f>'2023'!An_max</f>
        <v>2021</v>
      </c>
      <c r="D315" s="1059">
        <f t="shared" si="116"/>
        <v>0.98303432576472582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51">
        <f t="shared" si="119"/>
        <v>7.1428571428571425E-2</v>
      </c>
      <c r="J315" s="744">
        <f t="shared" si="120"/>
        <v>26.146152770545871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2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51">
        <f t="shared" si="124"/>
        <v>0.5357142857142857</v>
      </c>
      <c r="AT315" s="767">
        <f t="shared" si="125"/>
        <v>26.057225000153164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51">
        <f t="shared" si="129"/>
        <v>0.9642857142857143</v>
      </c>
      <c r="AY315" s="767">
        <f t="shared" si="130"/>
        <v>26.131291362084447</v>
      </c>
      <c r="AZ315" s="744">
        <f t="shared" si="134"/>
        <v>26.094258181118803</v>
      </c>
      <c r="BA315" s="642">
        <f t="shared" si="131"/>
        <v>0.98303432576472582</v>
      </c>
      <c r="BC315" s="11">
        <v>43401</v>
      </c>
      <c r="BD315" s="290">
        <f>[2]!FeuilCaduc*(1-Persistant)+Persistant</f>
        <v>0.80778332106293327</v>
      </c>
      <c r="BE315" s="291">
        <f>[2]!CroissVégét</f>
        <v>0.99716388402603495</v>
      </c>
      <c r="BF315" s="814">
        <f>1+[2]!Salcycl*Ksac</f>
        <v>1.0259729151328667</v>
      </c>
      <c r="BH315" s="1050">
        <f t="shared" si="132"/>
        <v>4.0417288691064167E-2</v>
      </c>
      <c r="BI315" s="11">
        <v>44497</v>
      </c>
      <c r="BJ315" s="724">
        <v>3.6350794680613559E-6</v>
      </c>
      <c r="BK315" s="724">
        <v>3.6546222076500342E-6</v>
      </c>
      <c r="BL315" s="724">
        <v>3.7988793580803314E-6</v>
      </c>
      <c r="BM315" s="724">
        <v>2.0207323413191716E-4</v>
      </c>
      <c r="BN315" s="724">
        <v>8.6267793700044015E-3</v>
      </c>
      <c r="BO315" s="725">
        <v>4.0417288691064167E-2</v>
      </c>
      <c r="BP315" s="724">
        <v>9.5417736339990178E-2</v>
      </c>
      <c r="BQ315" s="724">
        <v>0.16853629552004254</v>
      </c>
      <c r="BR315" s="724">
        <v>0.27159723397808505</v>
      </c>
      <c r="BS315" s="724">
        <v>0.38985058604174488</v>
      </c>
      <c r="BT315" s="724">
        <v>0.52035985728154732</v>
      </c>
      <c r="BW315" s="1190">
        <f>'2018'!R\Max</f>
        <v>0.14999450536601172</v>
      </c>
      <c r="BX315" s="1188">
        <f>'2019'!R\Max</f>
        <v>0.37559443976770202</v>
      </c>
      <c r="BY315" s="1188">
        <f>'2020'!R\Max</f>
        <v>0.82765720319206759</v>
      </c>
      <c r="BZ315" s="1188">
        <f>'2021'!R\Max</f>
        <v>0.98303432576472582</v>
      </c>
      <c r="CA315" s="1188">
        <f>'2022'!R\Max</f>
        <v>0</v>
      </c>
      <c r="CB315" s="1188">
        <f>'2023'!R\Max</f>
        <v>0</v>
      </c>
      <c r="CC315" s="1188">
        <f>'2024'!R\Max</f>
        <v>0</v>
      </c>
      <c r="CD315" s="1188">
        <f>'2025'!R\Max</f>
        <v>0</v>
      </c>
      <c r="CE315" s="1188">
        <f>'2026'!R\Max</f>
        <v>0</v>
      </c>
      <c r="CF315" s="1189">
        <f>'2027'!R\Max</f>
        <v>0</v>
      </c>
    </row>
    <row r="316" spans="1:84" s="6" customFormat="1" ht="11.25" x14ac:dyDescent="0.2">
      <c r="A316" s="11">
        <v>43402</v>
      </c>
      <c r="B316" s="380">
        <f>'2023'!Maxi_hp</f>
        <v>24.397649963595786</v>
      </c>
      <c r="C316" s="13">
        <f>'2023'!An_max</f>
        <v>2019</v>
      </c>
      <c r="D316" s="1059" t="str">
        <f t="shared" si="116"/>
        <v/>
      </c>
      <c r="E316" s="1054">
        <f>AI$13/10</f>
        <v>25.806400000000004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51">
        <f t="shared" si="119"/>
        <v>0</v>
      </c>
      <c r="J316" s="744">
        <f t="shared" si="120"/>
        <v>25.806400001049042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2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51">
        <f t="shared" si="124"/>
        <v>0.5</v>
      </c>
      <c r="AT316" s="767">
        <f t="shared" si="125"/>
        <v>25.70479999985546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51">
        <f t="shared" si="129"/>
        <v>1</v>
      </c>
      <c r="AY316" s="767">
        <f t="shared" si="130"/>
        <v>25.806399998813866</v>
      </c>
      <c r="AZ316" s="744">
        <f t="shared" si="134"/>
        <v>25.755599999334663</v>
      </c>
      <c r="BA316" s="642">
        <f t="shared" si="131"/>
        <v>0.94541082687255917</v>
      </c>
      <c r="BC316" s="11">
        <v>43402</v>
      </c>
      <c r="BD316" s="290">
        <f>[2]!FeuilCaduc*(1-Persistant)+Persistant</f>
        <v>0.80205804176065143</v>
      </c>
      <c r="BE316" s="291">
        <f>[2]!CroissVégét</f>
        <v>0.99729102250050727</v>
      </c>
      <c r="BF316" s="814">
        <f>1+[2]!Salcycl*Ksac</f>
        <v>1.0252572552200814</v>
      </c>
      <c r="BH316" s="1050">
        <f t="shared" si="132"/>
        <v>3.9511777545925282E-2</v>
      </c>
      <c r="BI316" s="11">
        <v>44498</v>
      </c>
      <c r="BJ316" s="724">
        <v>3.52549041073555E-6</v>
      </c>
      <c r="BK316" s="724">
        <v>3.5515597391101513E-6</v>
      </c>
      <c r="BL316" s="724">
        <v>3.7439937122430677E-6</v>
      </c>
      <c r="BM316" s="724">
        <v>2.0129150027904389E-4</v>
      </c>
      <c r="BN316" s="724">
        <v>8.4503305563926653E-3</v>
      </c>
      <c r="BO316" s="725">
        <v>3.9511777545925282E-2</v>
      </c>
      <c r="BP316" s="724">
        <v>9.3178688078688801E-2</v>
      </c>
      <c r="BQ316" s="724">
        <v>0.16634260893257677</v>
      </c>
      <c r="BR316" s="724">
        <v>0.27040442974492851</v>
      </c>
      <c r="BS316" s="724">
        <v>0.38861929700859593</v>
      </c>
      <c r="BT316" s="724">
        <v>0.51624150139940372</v>
      </c>
      <c r="BW316" s="1190">
        <f>'2018'!R\Max</f>
        <v>0.1727194328501078</v>
      </c>
      <c r="BX316" s="1188">
        <f>'2019'!R\Max</f>
        <v>0.94541082687255917</v>
      </c>
      <c r="BY316" s="1188">
        <f>'2020'!R\Max</f>
        <v>0.51124126684401128</v>
      </c>
      <c r="BZ316" s="1188">
        <f>'2021'!R\Max</f>
        <v>0.60529156162624842</v>
      </c>
      <c r="CA316" s="1188">
        <f>'2022'!R\Max</f>
        <v>0</v>
      </c>
      <c r="CB316" s="1188">
        <f>'2023'!R\Max</f>
        <v>0</v>
      </c>
      <c r="CC316" s="1188">
        <f>'2024'!R\Max</f>
        <v>0</v>
      </c>
      <c r="CD316" s="1188">
        <f>'2025'!R\Max</f>
        <v>0</v>
      </c>
      <c r="CE316" s="1188">
        <f>'2026'!R\Max</f>
        <v>0</v>
      </c>
      <c r="CF316" s="1189">
        <f>'2027'!R\Max</f>
        <v>0</v>
      </c>
    </row>
    <row r="317" spans="1:84" s="6" customFormat="1" ht="11.25" x14ac:dyDescent="0.2">
      <c r="A317" s="11">
        <v>43403</v>
      </c>
      <c r="B317" s="380">
        <f>'2023'!Maxi_hp</f>
        <v>23.315037308519852</v>
      </c>
      <c r="C317" s="13">
        <f>'2023'!An_max</f>
        <v>2020</v>
      </c>
      <c r="D317" s="1059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51">
        <f t="shared" si="119"/>
        <v>7.1428571428571425E-2</v>
      </c>
      <c r="J317" s="744">
        <f t="shared" si="120"/>
        <v>25.469072449899148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2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51">
        <f t="shared" si="124"/>
        <v>0.4642857142857143</v>
      </c>
      <c r="AT317" s="767">
        <f t="shared" si="125"/>
        <v>25.357040306340373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51">
        <f t="shared" si="129"/>
        <v>0.9642857142857143</v>
      </c>
      <c r="AY317" s="767">
        <f t="shared" si="130"/>
        <v>25.485472758619913</v>
      </c>
      <c r="AZ317" s="744">
        <f t="shared" si="134"/>
        <v>25.421256532480143</v>
      </c>
      <c r="BA317" s="642">
        <f t="shared" si="131"/>
        <v>0.91542545785220275</v>
      </c>
      <c r="BC317" s="11">
        <v>43403</v>
      </c>
      <c r="BD317" s="290">
        <f>[2]!FeuilCaduc*(1-Persistant)+Persistant</f>
        <v>0.7963047856257206</v>
      </c>
      <c r="BE317" s="291">
        <f>[2]!CroissVégét</f>
        <v>0.99741307246059263</v>
      </c>
      <c r="BF317" s="814">
        <f>1+[2]!Salcycl*Ksac</f>
        <v>1.0245380982032151</v>
      </c>
      <c r="BH317" s="1050">
        <f t="shared" si="132"/>
        <v>3.8614691041501628E-2</v>
      </c>
      <c r="BI317" s="11">
        <v>44499</v>
      </c>
      <c r="BJ317" s="724">
        <v>3.389384575035166E-6</v>
      </c>
      <c r="BK317" s="724">
        <v>3.4229182233912022E-6</v>
      </c>
      <c r="BL317" s="724">
        <v>3.6704509980783067E-6</v>
      </c>
      <c r="BM317" s="724">
        <v>2.0041562385680574E-4</v>
      </c>
      <c r="BN317" s="724">
        <v>8.2720396113119456E-3</v>
      </c>
      <c r="BO317" s="725">
        <v>3.8614691041501628E-2</v>
      </c>
      <c r="BP317" s="724">
        <v>9.0996445152311742E-2</v>
      </c>
      <c r="BQ317" s="724">
        <v>0.16444531660174821</v>
      </c>
      <c r="BR317" s="724">
        <v>0.26944952913974113</v>
      </c>
      <c r="BS317" s="724">
        <v>0.38745610970405336</v>
      </c>
      <c r="BT317" s="724">
        <v>0.51175862892851842</v>
      </c>
      <c r="BW317" s="1190">
        <f>'2018'!R\Max</f>
        <v>0.90650977446551539</v>
      </c>
      <c r="BX317" s="1188">
        <f>'2019'!R\Max</f>
        <v>0.76780436628387261</v>
      </c>
      <c r="BY317" s="1188">
        <f>'2020'!R\Max</f>
        <v>0.91542545785220275</v>
      </c>
      <c r="BZ317" s="1188">
        <f>'2021'!R\Max</f>
        <v>0.38434125119861962</v>
      </c>
      <c r="CA317" s="1188">
        <f>'2022'!R\Max</f>
        <v>0</v>
      </c>
      <c r="CB317" s="1188">
        <f>'2023'!R\Max</f>
        <v>0</v>
      </c>
      <c r="CC317" s="1188">
        <f>'2024'!R\Max</f>
        <v>0</v>
      </c>
      <c r="CD317" s="1188">
        <f>'2025'!R\Max</f>
        <v>0</v>
      </c>
      <c r="CE317" s="1188">
        <f>'2026'!R\Max</f>
        <v>0</v>
      </c>
      <c r="CF317" s="1189">
        <f>'2027'!R\Max</f>
        <v>0</v>
      </c>
    </row>
    <row r="318" spans="1:84" s="6" customFormat="1" ht="11.25" x14ac:dyDescent="0.2">
      <c r="A318" s="11">
        <v>43404</v>
      </c>
      <c r="B318" s="380">
        <f>'2023'!Maxi_hp</f>
        <v>25.066473522391494</v>
      </c>
      <c r="C318" s="13">
        <f>'2023'!An_max</f>
        <v>2020</v>
      </c>
      <c r="D318" s="1059">
        <f t="shared" si="116"/>
        <v>0.99737197382982634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51">
        <f t="shared" si="119"/>
        <v>0.14285714285714285</v>
      </c>
      <c r="J318" s="744">
        <f t="shared" si="120"/>
        <v>25.132522449110233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2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51">
        <f t="shared" si="124"/>
        <v>0.42857142857142855</v>
      </c>
      <c r="AT318" s="767">
        <f t="shared" si="125"/>
        <v>25.014334694296121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51">
        <f t="shared" si="129"/>
        <v>0.9285714285714286</v>
      </c>
      <c r="AY318" s="767">
        <f t="shared" si="130"/>
        <v>25.165235130542094</v>
      </c>
      <c r="AZ318" s="744">
        <f t="shared" si="134"/>
        <v>25.089784912419105</v>
      </c>
      <c r="BA318" s="642">
        <f t="shared" si="131"/>
        <v>0.99737197382982634</v>
      </c>
      <c r="BC318" s="11">
        <v>43404</v>
      </c>
      <c r="BD318" s="290">
        <f>[2]!FeuilCaduc*(1-Persistant)+Persistant</f>
        <v>0.79053155513041851</v>
      </c>
      <c r="BE318" s="291">
        <f>[2]!CroissVégét</f>
        <v>0.99753023639231442</v>
      </c>
      <c r="BF318" s="814">
        <f>1+[2]!Salcycl*Ksac</f>
        <v>1.0238164443913023</v>
      </c>
      <c r="BH318" s="1050">
        <f t="shared" si="132"/>
        <v>3.7740618728886788E-2</v>
      </c>
      <c r="BI318" s="11">
        <v>44500</v>
      </c>
      <c r="BJ318" s="724">
        <v>3.2512544763628784E-6</v>
      </c>
      <c r="BK318" s="724">
        <v>3.2931915135421944E-6</v>
      </c>
      <c r="BL318" s="724">
        <v>3.6027549426369589E-6</v>
      </c>
      <c r="BM318" s="724">
        <v>1.9958723612508049E-4</v>
      </c>
      <c r="BN318" s="724">
        <v>8.0954067720023001E-3</v>
      </c>
      <c r="BO318" s="725">
        <v>3.7740618728886788E-2</v>
      </c>
      <c r="BP318" s="724">
        <v>8.8953186392830175E-2</v>
      </c>
      <c r="BQ318" s="724">
        <v>0.1629283429002808</v>
      </c>
      <c r="BR318" s="724">
        <v>0.26874057207548124</v>
      </c>
      <c r="BS318" s="724">
        <v>0.38626024724967389</v>
      </c>
      <c r="BT318" s="724">
        <v>0.50678793321243187</v>
      </c>
      <c r="BW318" s="1190">
        <f>'2018'!R\Max</f>
        <v>0.35935132164955141</v>
      </c>
      <c r="BX318" s="1188">
        <f>'2019'!R\Max</f>
        <v>0.62344723110134181</v>
      </c>
      <c r="BY318" s="1188">
        <f>'2020'!R\Max</f>
        <v>0.99737197382982634</v>
      </c>
      <c r="BZ318" s="1188">
        <f>'2021'!R\Max</f>
        <v>0.65191723045977401</v>
      </c>
      <c r="CA318" s="1188">
        <f>'2022'!R\Max</f>
        <v>0</v>
      </c>
      <c r="CB318" s="1188">
        <f>'2023'!R\Max</f>
        <v>0</v>
      </c>
      <c r="CC318" s="1188">
        <f>'2024'!R\Max</f>
        <v>0</v>
      </c>
      <c r="CD318" s="1188">
        <f>'2025'!R\Max</f>
        <v>0</v>
      </c>
      <c r="CE318" s="1188">
        <f>'2026'!R\Max</f>
        <v>0</v>
      </c>
      <c r="CF318" s="1189">
        <f>'2027'!R\Max</f>
        <v>0</v>
      </c>
    </row>
    <row r="319" spans="1:84" s="6" customFormat="1" ht="11.25" x14ac:dyDescent="0.2">
      <c r="A319" s="11">
        <v>43405</v>
      </c>
      <c r="B319" s="380">
        <f>'2023'!Maxi_hp</f>
        <v>24.353652394890183</v>
      </c>
      <c r="C319" s="13">
        <f>'2023'!An_max</f>
        <v>2020</v>
      </c>
      <c r="D319" s="1059">
        <f t="shared" si="116"/>
        <v>0.98210002366282667</v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51">
        <f t="shared" si="119"/>
        <v>0.21428571428571427</v>
      </c>
      <c r="J319" s="744">
        <f t="shared" si="120"/>
        <v>24.797527551278471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2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51">
        <f t="shared" si="124"/>
        <v>0.39285714285714285</v>
      </c>
      <c r="AT319" s="767">
        <f t="shared" si="125"/>
        <v>24.677071939116082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51">
        <f t="shared" si="129"/>
        <v>0.8928571428571429</v>
      </c>
      <c r="AY319" s="767">
        <f t="shared" si="130"/>
        <v>24.846117547287474</v>
      </c>
      <c r="AZ319" s="744">
        <f t="shared" si="134"/>
        <v>24.761594743201776</v>
      </c>
      <c r="BA319" s="642">
        <f t="shared" si="131"/>
        <v>0.98210002366282667</v>
      </c>
      <c r="BC319" s="11">
        <v>43405</v>
      </c>
      <c r="BD319" s="290">
        <f>[2]!FeuilCaduc*(1-Persistant)+Persistant</f>
        <v>0.78474652459248617</v>
      </c>
      <c r="BE319" s="291">
        <f>[2]!CroissVégét</f>
        <v>0.99764270881659778</v>
      </c>
      <c r="BF319" s="814">
        <f>1+[2]!Salcycl*Ksac</f>
        <v>1.0230933155740607</v>
      </c>
      <c r="BH319" s="1050">
        <f t="shared" si="132"/>
        <v>3.6898292028674028E-2</v>
      </c>
      <c r="BI319" s="11">
        <v>44501</v>
      </c>
      <c r="BJ319" s="724">
        <v>3.1601855102802912E-6</v>
      </c>
      <c r="BK319" s="724">
        <v>3.2114663204218646E-6</v>
      </c>
      <c r="BL319" s="724">
        <v>3.5900019658062934E-6</v>
      </c>
      <c r="BM319" s="724">
        <v>1.9918679559876996E-4</v>
      </c>
      <c r="BN319" s="724">
        <v>7.9281755569680559E-3</v>
      </c>
      <c r="BO319" s="725">
        <v>3.6898292028674028E-2</v>
      </c>
      <c r="BP319" s="724">
        <v>8.7032743710270269E-2</v>
      </c>
      <c r="BQ319" s="724">
        <v>0.16166577658122919</v>
      </c>
      <c r="BR319" s="724">
        <v>0.26811705181403861</v>
      </c>
      <c r="BS319" s="724">
        <v>0.38499395929982838</v>
      </c>
      <c r="BT319" s="724">
        <v>0.50162402806856732</v>
      </c>
      <c r="BW319" s="1190">
        <f>'2018'!R\Max</f>
        <v>0.75814042151801975</v>
      </c>
      <c r="BX319" s="1188">
        <f>'2019'!R\Max</f>
        <v>0.31574776926421749</v>
      </c>
      <c r="BY319" s="1188">
        <f>'2020'!R\Max</f>
        <v>0.98210002366282667</v>
      </c>
      <c r="BZ319" s="1188">
        <f>'2021'!R\Max</f>
        <v>0.66682490584982246</v>
      </c>
      <c r="CA319" s="1188">
        <f>'2022'!R\Max</f>
        <v>0</v>
      </c>
      <c r="CB319" s="1188">
        <f>'2023'!R\Max</f>
        <v>0</v>
      </c>
      <c r="CC319" s="1188">
        <f>'2024'!R\Max</f>
        <v>0</v>
      </c>
      <c r="CD319" s="1188">
        <f>'2025'!R\Max</f>
        <v>0</v>
      </c>
      <c r="CE319" s="1188">
        <f>'2026'!R\Max</f>
        <v>0</v>
      </c>
      <c r="CF319" s="1189">
        <f>'2027'!R\Max</f>
        <v>0</v>
      </c>
    </row>
    <row r="320" spans="1:84" s="6" customFormat="1" ht="11.25" x14ac:dyDescent="0.2">
      <c r="A320" s="11">
        <v>43406</v>
      </c>
      <c r="B320" s="380">
        <f>'2023'!Maxi_hp</f>
        <v>23.216009548028094</v>
      </c>
      <c r="C320" s="13">
        <f>'2023'!An_max</f>
        <v>2021</v>
      </c>
      <c r="D320" s="1059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51">
        <f t="shared" si="119"/>
        <v>0.2857142857142857</v>
      </c>
      <c r="J320" s="744">
        <f t="shared" si="120"/>
        <v>24.464865306977714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2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51">
        <f t="shared" si="124"/>
        <v>0.35714285714285715</v>
      </c>
      <c r="AT320" s="767">
        <f t="shared" si="125"/>
        <v>24.345640816645961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51">
        <f t="shared" si="129"/>
        <v>0.8571428571428571</v>
      </c>
      <c r="AY320" s="767">
        <f t="shared" si="130"/>
        <v>24.528550436667036</v>
      </c>
      <c r="AZ320" s="744">
        <f t="shared" si="134"/>
        <v>24.4370956266565</v>
      </c>
      <c r="BA320" s="642">
        <f t="shared" si="131"/>
        <v>0.94895309075773127</v>
      </c>
      <c r="BC320" s="11">
        <v>43406</v>
      </c>
      <c r="BD320" s="290">
        <f>[2]!FeuilCaduc*(1-Persistant)+Persistant</f>
        <v>0.77895800540929394</v>
      </c>
      <c r="BE320" s="291">
        <f>[2]!CroissVégét</f>
        <v>0.99775067659530603</v>
      </c>
      <c r="BF320" s="814">
        <f>1+[2]!Salcycl*Ksac</f>
        <v>1.0223697506761618</v>
      </c>
      <c r="BH320" s="1050">
        <f t="shared" si="132"/>
        <v>3.6087723546270857E-2</v>
      </c>
      <c r="BI320" s="11">
        <v>44502</v>
      </c>
      <c r="BJ320" s="724">
        <v>3.1162421791947182E-6</v>
      </c>
      <c r="BK320" s="724">
        <v>3.1778084308050686E-6</v>
      </c>
      <c r="BL320" s="724">
        <v>3.6322673350790906E-6</v>
      </c>
      <c r="BM320" s="724">
        <v>1.9921473141626335E-4</v>
      </c>
      <c r="BN320" s="724">
        <v>7.7703523451297047E-3</v>
      </c>
      <c r="BO320" s="725">
        <v>3.6087723546270857E-2</v>
      </c>
      <c r="BP320" s="724">
        <v>8.5235215281565566E-2</v>
      </c>
      <c r="BQ320" s="724">
        <v>0.16065783438447531</v>
      </c>
      <c r="BR320" s="724">
        <v>0.26757884469406773</v>
      </c>
      <c r="BS320" s="724">
        <v>0.38365679271503145</v>
      </c>
      <c r="BT320" s="724">
        <v>0.49626618290319802</v>
      </c>
      <c r="BW320" s="1190">
        <f>'2018'!R\Max</f>
        <v>0.33540108633706817</v>
      </c>
      <c r="BX320" s="1188">
        <f>'2019'!R\Max</f>
        <v>0.20638462237134916</v>
      </c>
      <c r="BY320" s="1188">
        <f>'2020'!R\Max</f>
        <v>0.91265678550238039</v>
      </c>
      <c r="BZ320" s="1188">
        <f>'2021'!R\Max</f>
        <v>0.94895309075773127</v>
      </c>
      <c r="CA320" s="1188">
        <f>'2022'!R\Max</f>
        <v>0</v>
      </c>
      <c r="CB320" s="1188">
        <f>'2023'!R\Max</f>
        <v>0</v>
      </c>
      <c r="CC320" s="1188">
        <f>'2024'!R\Max</f>
        <v>0</v>
      </c>
      <c r="CD320" s="1188">
        <f>'2025'!R\Max</f>
        <v>0</v>
      </c>
      <c r="CE320" s="1188">
        <f>'2026'!R\Max</f>
        <v>0</v>
      </c>
      <c r="CF320" s="1189">
        <f>'2027'!R\Max</f>
        <v>0</v>
      </c>
    </row>
    <row r="321" spans="1:84" s="6" customFormat="1" ht="11.25" x14ac:dyDescent="0.2">
      <c r="A321" s="11">
        <v>43407</v>
      </c>
      <c r="B321" s="380">
        <f>'2023'!Maxi_hp</f>
        <v>24.561857270116509</v>
      </c>
      <c r="C321" s="13">
        <f>'2023'!An_max</f>
        <v>2018</v>
      </c>
      <c r="D321" s="1059">
        <f t="shared" si="116"/>
        <v>1.0176730254186592</v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51">
        <f t="shared" si="119"/>
        <v>0.35714285714285715</v>
      </c>
      <c r="J321" s="744">
        <f t="shared" si="120"/>
        <v>24.135313265291707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2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51">
        <f t="shared" si="124"/>
        <v>0.32142857142857145</v>
      </c>
      <c r="AT321" s="767">
        <f t="shared" si="125"/>
        <v>24.020430102146101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51">
        <f t="shared" si="129"/>
        <v>0.8214285714285714</v>
      </c>
      <c r="AY321" s="767">
        <f t="shared" si="130"/>
        <v>24.21296423058957</v>
      </c>
      <c r="AZ321" s="744">
        <f t="shared" si="134"/>
        <v>24.116697166367835</v>
      </c>
      <c r="BA321" s="642">
        <f t="shared" si="131"/>
        <v>1.0176730254186592</v>
      </c>
      <c r="BC321" s="11">
        <v>43407</v>
      </c>
      <c r="BD321" s="290">
        <f>[2]!FeuilCaduc*(1-Persistant)+Persistant</f>
        <v>0.77317440998061149</v>
      </c>
      <c r="BE321" s="291">
        <f>[2]!CroissVégét</f>
        <v>0.99785431922609247</v>
      </c>
      <c r="BF321" s="814">
        <f>1+[2]!Salcycl*Ksac</f>
        <v>1.0216468012475763</v>
      </c>
      <c r="BH321" s="1050">
        <f t="shared" si="132"/>
        <v>3.530892887260257E-2</v>
      </c>
      <c r="BI321" s="11">
        <v>44503</v>
      </c>
      <c r="BJ321" s="724">
        <v>3.11948906381147E-6</v>
      </c>
      <c r="BK321" s="724">
        <v>3.1922836702548809E-6</v>
      </c>
      <c r="BL321" s="724">
        <v>3.7296260650900725E-6</v>
      </c>
      <c r="BM321" s="724">
        <v>1.9967147215412231E-4</v>
      </c>
      <c r="BN321" s="724">
        <v>7.6219440919313959E-3</v>
      </c>
      <c r="BO321" s="725">
        <v>3.530892887260257E-2</v>
      </c>
      <c r="BP321" s="724">
        <v>8.356070581454822E-2</v>
      </c>
      <c r="BQ321" s="724">
        <v>0.15990473655938092</v>
      </c>
      <c r="BR321" s="724">
        <v>0.26712582934158918</v>
      </c>
      <c r="BS321" s="724">
        <v>0.38224830008014837</v>
      </c>
      <c r="BT321" s="724">
        <v>0.49071368806884541</v>
      </c>
      <c r="BW321" s="1190">
        <f>'2018'!R\Max</f>
        <v>1.0176730254186592</v>
      </c>
      <c r="BX321" s="1188">
        <f>'2019'!R\Max</f>
        <v>0.48900179246808995</v>
      </c>
      <c r="BY321" s="1188">
        <f>'2020'!R\Max</f>
        <v>0.88584607968512408</v>
      </c>
      <c r="BZ321" s="1188">
        <f>'2021'!R\Max</f>
        <v>0.622686765052612</v>
      </c>
      <c r="CA321" s="1188">
        <f>'2022'!R\Max</f>
        <v>0</v>
      </c>
      <c r="CB321" s="1188">
        <f>'2023'!R\Max</f>
        <v>0</v>
      </c>
      <c r="CC321" s="1188">
        <f>'2024'!R\Max</f>
        <v>0</v>
      </c>
      <c r="CD321" s="1188">
        <f>'2025'!R\Max</f>
        <v>0</v>
      </c>
      <c r="CE321" s="1188">
        <f>'2026'!R\Max</f>
        <v>0</v>
      </c>
      <c r="CF321" s="1189">
        <f>'2027'!R\Max</f>
        <v>0</v>
      </c>
    </row>
    <row r="322" spans="1:84" s="6" customFormat="1" ht="11.25" x14ac:dyDescent="0.2">
      <c r="A322" s="11">
        <v>43408</v>
      </c>
      <c r="B322" s="380">
        <f>'2023'!Maxi_hp</f>
        <v>20.723995905929119</v>
      </c>
      <c r="C322" s="13">
        <f>'2023'!An_max</f>
        <v>2018</v>
      </c>
      <c r="D322" s="1059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51">
        <f t="shared" si="119"/>
        <v>0.42857142857142855</v>
      </c>
      <c r="J322" s="744">
        <f t="shared" si="120"/>
        <v>23.809648980626037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2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51">
        <f t="shared" si="124"/>
        <v>0.2857142857142857</v>
      </c>
      <c r="AT322" s="767">
        <f t="shared" si="125"/>
        <v>23.70182857162186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51">
        <f t="shared" si="129"/>
        <v>0.7857142857142857</v>
      </c>
      <c r="AY322" s="767">
        <f t="shared" si="130"/>
        <v>23.899789357823984</v>
      </c>
      <c r="AZ322" s="744">
        <f t="shared" si="134"/>
        <v>23.800808964722922</v>
      </c>
      <c r="BA322" s="642">
        <f t="shared" si="131"/>
        <v>0.87040325217697578</v>
      </c>
      <c r="BC322" s="11">
        <v>43408</v>
      </c>
      <c r="BD322" s="290">
        <f>[2]!FeuilCaduc*(1-Persistant)+Persistant</f>
        <v>0.76740421455885688</v>
      </c>
      <c r="BE322" s="291">
        <f>[2]!CroissVégét</f>
        <v>0.99795380912643716</v>
      </c>
      <c r="BF322" s="814">
        <f>1+[2]!Salcycl*Ksac</f>
        <v>1.0209255268198572</v>
      </c>
      <c r="BH322" s="1050">
        <f t="shared" si="132"/>
        <v>3.4561926284313121E-2</v>
      </c>
      <c r="BI322" s="11">
        <v>44504</v>
      </c>
      <c r="BJ322" s="724">
        <v>3.1699903888408433E-6</v>
      </c>
      <c r="BK322" s="724">
        <v>3.2549574602495198E-6</v>
      </c>
      <c r="BL322" s="724">
        <v>3.8821524114079414E-6</v>
      </c>
      <c r="BM322" s="724">
        <v>2.0055744188170652E-4</v>
      </c>
      <c r="BN322" s="724">
        <v>7.4829582412746709E-3</v>
      </c>
      <c r="BO322" s="725">
        <v>3.4561926284313121E-2</v>
      </c>
      <c r="BP322" s="724">
        <v>8.2009325399826624E-2</v>
      </c>
      <c r="BQ322" s="724">
        <v>0.15940670451035174</v>
      </c>
      <c r="BR322" s="724">
        <v>0.26675788587765892</v>
      </c>
      <c r="BS322" s="724">
        <v>0.38076804034217165</v>
      </c>
      <c r="BT322" s="724">
        <v>0.48496585659887853</v>
      </c>
      <c r="BW322" s="1190">
        <f>'2018'!R\Max</f>
        <v>0.87040325217697578</v>
      </c>
      <c r="BX322" s="1188">
        <f>'2019'!R\Max</f>
        <v>0.36166639079440999</v>
      </c>
      <c r="BY322" s="1188">
        <f>'2020'!R\Max</f>
        <v>0.22465536466718111</v>
      </c>
      <c r="BZ322" s="1188">
        <f>'2021'!R\Max</f>
        <v>0.63389272162335042</v>
      </c>
      <c r="CA322" s="1188">
        <f>'2022'!R\Max</f>
        <v>0</v>
      </c>
      <c r="CB322" s="1188">
        <f>'2023'!R\Max</f>
        <v>0</v>
      </c>
      <c r="CC322" s="1188">
        <f>'2024'!R\Max</f>
        <v>0</v>
      </c>
      <c r="CD322" s="1188">
        <f>'2025'!R\Max</f>
        <v>0</v>
      </c>
      <c r="CE322" s="1188">
        <f>'2026'!R\Max</f>
        <v>0</v>
      </c>
      <c r="CF322" s="1189">
        <f>'2027'!R\Max</f>
        <v>0</v>
      </c>
    </row>
    <row r="323" spans="1:84" s="6" customFormat="1" ht="11.25" x14ac:dyDescent="0.2">
      <c r="A323" s="11">
        <v>43409</v>
      </c>
      <c r="B323" s="380">
        <f>'2023'!Maxi_hp</f>
        <v>15.637654954165301</v>
      </c>
      <c r="C323" s="13">
        <f>'2023'!An_max</f>
        <v>2020</v>
      </c>
      <c r="D323" s="1059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51">
        <f t="shared" si="119"/>
        <v>0.5</v>
      </c>
      <c r="J323" s="744">
        <f t="shared" si="120"/>
        <v>23.488650000840426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2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51">
        <f t="shared" si="124"/>
        <v>0.25</v>
      </c>
      <c r="AT323" s="767">
        <f t="shared" si="125"/>
        <v>23.390225001145154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51">
        <f t="shared" si="129"/>
        <v>0.75</v>
      </c>
      <c r="AY323" s="767">
        <f t="shared" si="130"/>
        <v>23.589456249587236</v>
      </c>
      <c r="AZ323" s="744">
        <f t="shared" si="134"/>
        <v>23.489840625366195</v>
      </c>
      <c r="BA323" s="642">
        <f t="shared" si="131"/>
        <v>0.66575367054325318</v>
      </c>
      <c r="BC323" s="11">
        <v>43409</v>
      </c>
      <c r="BD323" s="290">
        <f>[2]!FeuilCaduc*(1-Persistant)+Persistant</f>
        <v>0.76165592127670301</v>
      </c>
      <c r="BE323" s="291">
        <f>[2]!CroissVégét</f>
        <v>0.99804931190721602</v>
      </c>
      <c r="BF323" s="814">
        <f>1+[2]!Salcycl*Ksac</f>
        <v>1.0202069901595878</v>
      </c>
      <c r="BH323" s="1050">
        <f t="shared" si="132"/>
        <v>3.3846736443673441E-2</v>
      </c>
      <c r="BI323" s="11">
        <v>44505</v>
      </c>
      <c r="BJ323" s="724">
        <v>3.2678095886790569E-6</v>
      </c>
      <c r="BK323" s="724">
        <v>3.3658943752825362E-6</v>
      </c>
      <c r="BL323" s="724">
        <v>4.0899193642957618E-6</v>
      </c>
      <c r="BM323" s="724">
        <v>2.0187305621412088E-4</v>
      </c>
      <c r="BN323" s="724">
        <v>7.3534026373889847E-3</v>
      </c>
      <c r="BO323" s="725">
        <v>3.3846736443673441E-2</v>
      </c>
      <c r="BP323" s="724">
        <v>8.0581188361970049E-2</v>
      </c>
      <c r="BQ323" s="724">
        <v>0.15916395844106243</v>
      </c>
      <c r="BR323" s="724">
        <v>0.26647489512379513</v>
      </c>
      <c r="BS323" s="724">
        <v>0.37921557944479251</v>
      </c>
      <c r="BT323" s="724">
        <v>0.4790220259380199</v>
      </c>
      <c r="BW323" s="1190">
        <f>'2018'!R\Max</f>
        <v>0.4449385923939192</v>
      </c>
      <c r="BX323" s="1188">
        <f>'2019'!R\Max</f>
        <v>0.49514278158311037</v>
      </c>
      <c r="BY323" s="1188">
        <f>'2020'!R\Max</f>
        <v>0.66575367054325318</v>
      </c>
      <c r="BZ323" s="1188">
        <f>'2021'!R\Max</f>
        <v>0.47437819572762324</v>
      </c>
      <c r="CA323" s="1188">
        <f>'2022'!R\Max</f>
        <v>0</v>
      </c>
      <c r="CB323" s="1188">
        <f>'2023'!R\Max</f>
        <v>0</v>
      </c>
      <c r="CC323" s="1188">
        <f>'2024'!R\Max</f>
        <v>0</v>
      </c>
      <c r="CD323" s="1188">
        <f>'2025'!R\Max</f>
        <v>0</v>
      </c>
      <c r="CE323" s="1188">
        <f>'2026'!R\Max</f>
        <v>0</v>
      </c>
      <c r="CF323" s="1189">
        <f>'2027'!R\Max</f>
        <v>0</v>
      </c>
    </row>
    <row r="324" spans="1:84" s="6" customFormat="1" ht="11.25" x14ac:dyDescent="0.2">
      <c r="A324" s="11">
        <v>43410</v>
      </c>
      <c r="B324" s="380">
        <f>'2023'!Maxi_hp</f>
        <v>19.931335355516538</v>
      </c>
      <c r="C324" s="13">
        <f>'2023'!An_max</f>
        <v>2020</v>
      </c>
      <c r="D324" s="1059" t="str">
        <f t="shared" si="116"/>
        <v/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51">
        <f t="shared" si="119"/>
        <v>0.5714285714285714</v>
      </c>
      <c r="J324" s="744">
        <f t="shared" si="120"/>
        <v>23.173093876774821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2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51">
        <f t="shared" si="124"/>
        <v>0.21428571428571427</v>
      </c>
      <c r="AT324" s="767">
        <f t="shared" si="125"/>
        <v>23.086008163222246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51">
        <f t="shared" si="129"/>
        <v>0.7142857142857143</v>
      </c>
      <c r="AY324" s="767">
        <f t="shared" si="130"/>
        <v>23.282395334328925</v>
      </c>
      <c r="AZ324" s="744">
        <f t="shared" si="134"/>
        <v>23.184201748775585</v>
      </c>
      <c r="BA324" s="642">
        <f t="shared" si="131"/>
        <v>0.86010678856709211</v>
      </c>
      <c r="BC324" s="11">
        <v>43410</v>
      </c>
      <c r="BD324" s="290">
        <f>[2]!FeuilCaduc*(1-Persistant)+Persistant</f>
        <v>0.75593801961083673</v>
      </c>
      <c r="BE324" s="291">
        <f>[2]!CroissVégét</f>
        <v>0.99814098663615436</v>
      </c>
      <c r="BF324" s="814">
        <f>1+[2]!Salcycl*Ksac</f>
        <v>1.0194922524513546</v>
      </c>
      <c r="BH324" s="1050">
        <f t="shared" si="132"/>
        <v>3.317691003115935E-2</v>
      </c>
      <c r="BI324" s="11">
        <v>44506</v>
      </c>
      <c r="BJ324" s="724">
        <v>3.3676070398030423E-6</v>
      </c>
      <c r="BK324" s="724">
        <v>3.4778867195633887E-6</v>
      </c>
      <c r="BL324" s="724">
        <v>4.2919298213713367E-6</v>
      </c>
      <c r="BM324" s="724">
        <v>2.0318757343330864E-4</v>
      </c>
      <c r="BN324" s="724">
        <v>7.2348963796269638E-3</v>
      </c>
      <c r="BO324" s="725">
        <v>3.317691003115935E-2</v>
      </c>
      <c r="BP324" s="724">
        <v>7.9375248319389205E-2</v>
      </c>
      <c r="BQ324" s="724">
        <v>0.15918473379283404</v>
      </c>
      <c r="BR324" s="724">
        <v>0.26623304270285336</v>
      </c>
      <c r="BS324" s="724">
        <v>0.37744686820858497</v>
      </c>
      <c r="BT324" s="724">
        <v>0.47283654591976015</v>
      </c>
      <c r="BW324" s="1190">
        <f>'2018'!R\Max</f>
        <v>0.75596089036072445</v>
      </c>
      <c r="BX324" s="1188">
        <f>'2019'!R\Max</f>
        <v>0.54779246549460037</v>
      </c>
      <c r="BY324" s="1188">
        <f>'2020'!R\Max</f>
        <v>0.86010678856709211</v>
      </c>
      <c r="BZ324" s="1188">
        <f>'2021'!R\Max</f>
        <v>0.55822455337925925</v>
      </c>
      <c r="CA324" s="1188">
        <f>'2022'!R\Max</f>
        <v>0</v>
      </c>
      <c r="CB324" s="1188">
        <f>'2023'!R\Max</f>
        <v>0</v>
      </c>
      <c r="CC324" s="1188">
        <f>'2024'!R\Max</f>
        <v>0</v>
      </c>
      <c r="CD324" s="1188">
        <f>'2025'!R\Max</f>
        <v>0</v>
      </c>
      <c r="CE324" s="1188">
        <f>'2026'!R\Max</f>
        <v>0</v>
      </c>
      <c r="CF324" s="1189">
        <f>'2027'!R\Max</f>
        <v>0</v>
      </c>
    </row>
    <row r="325" spans="1:84" s="6" customFormat="1" ht="11.25" x14ac:dyDescent="0.2">
      <c r="A325" s="11">
        <v>43411</v>
      </c>
      <c r="B325" s="380">
        <f>'2023'!Maxi_hp</f>
        <v>13.60303974842923</v>
      </c>
      <c r="C325" s="13">
        <f>'2023'!An_max</f>
        <v>2020</v>
      </c>
      <c r="D325" s="1059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51">
        <f t="shared" si="119"/>
        <v>0.6428571428571429</v>
      </c>
      <c r="J325" s="744">
        <f t="shared" si="120"/>
        <v>22.863758163633094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2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51">
        <f t="shared" si="124"/>
        <v>0.17857142857142858</v>
      </c>
      <c r="AT325" s="767">
        <f t="shared" si="125"/>
        <v>22.789566836160208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51">
        <f t="shared" si="129"/>
        <v>0.6785714285714286</v>
      </c>
      <c r="AY325" s="767">
        <f t="shared" si="130"/>
        <v>22.979037043984448</v>
      </c>
      <c r="AZ325" s="744">
        <f t="shared" si="134"/>
        <v>22.884301940072326</v>
      </c>
      <c r="BA325" s="642">
        <f t="shared" si="131"/>
        <v>0.59496079564321647</v>
      </c>
      <c r="BC325" s="11">
        <v>43411</v>
      </c>
      <c r="BD325" s="290">
        <f>[2]!FeuilCaduc*(1-Persistant)+Persistant</f>
        <v>0.75025894754742239</v>
      </c>
      <c r="BE325" s="291">
        <f>[2]!CroissVégét</f>
        <v>0.99822898609149657</v>
      </c>
      <c r="BF325" s="814">
        <f>1+[2]!Salcycl*Ksac</f>
        <v>1.0187823684434278</v>
      </c>
      <c r="BH325" s="1050">
        <f t="shared" si="132"/>
        <v>3.2534478791406023E-2</v>
      </c>
      <c r="BI325" s="11">
        <v>44507</v>
      </c>
      <c r="BJ325" s="724">
        <v>3.4466696264011765E-6</v>
      </c>
      <c r="BK325" s="724">
        <v>3.5672848096941003E-6</v>
      </c>
      <c r="BL325" s="724">
        <v>4.4576207097101117E-6</v>
      </c>
      <c r="BM325" s="724">
        <v>2.0421323615029904E-4</v>
      </c>
      <c r="BN325" s="724">
        <v>7.1213746716024947E-3</v>
      </c>
      <c r="BO325" s="725">
        <v>3.2534478791406023E-2</v>
      </c>
      <c r="BP325" s="724">
        <v>7.8349093013170168E-2</v>
      </c>
      <c r="BQ325" s="724">
        <v>0.1592965906384006</v>
      </c>
      <c r="BR325" s="724">
        <v>0.26595373202338518</v>
      </c>
      <c r="BS325" s="724">
        <v>0.37542987042858633</v>
      </c>
      <c r="BT325" s="724">
        <v>0.46647497139684396</v>
      </c>
      <c r="BW325" s="1190">
        <f>'2018'!R\Max</f>
        <v>0.39052958601124388</v>
      </c>
      <c r="BX325" s="1188">
        <f>'2019'!R\Max</f>
        <v>0.19178685256982375</v>
      </c>
      <c r="BY325" s="1188">
        <f>'2020'!R\Max</f>
        <v>0.59496079564321647</v>
      </c>
      <c r="BZ325" s="1188">
        <f>'2021'!R\Max</f>
        <v>0.37782790454039222</v>
      </c>
      <c r="CA325" s="1188">
        <f>'2022'!R\Max</f>
        <v>0</v>
      </c>
      <c r="CB325" s="1188">
        <f>'2023'!R\Max</f>
        <v>0</v>
      </c>
      <c r="CC325" s="1188">
        <f>'2024'!R\Max</f>
        <v>0</v>
      </c>
      <c r="CD325" s="1188">
        <f>'2025'!R\Max</f>
        <v>0</v>
      </c>
      <c r="CE325" s="1188">
        <f>'2026'!R\Max</f>
        <v>0</v>
      </c>
      <c r="CF325" s="1189">
        <f>'2027'!R\Max</f>
        <v>0</v>
      </c>
    </row>
    <row r="326" spans="1:84" s="6" customFormat="1" ht="11.25" x14ac:dyDescent="0.2">
      <c r="A326" s="11">
        <v>43412</v>
      </c>
      <c r="B326" s="380">
        <f>'2023'!Maxi_hp</f>
        <v>20.0155602932596</v>
      </c>
      <c r="C326" s="13">
        <f>'2023'!An_max</f>
        <v>2021</v>
      </c>
      <c r="D326" s="1059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51">
        <f t="shared" si="119"/>
        <v>0.7142857142857143</v>
      </c>
      <c r="J326" s="744">
        <f t="shared" si="120"/>
        <v>22.561420407891273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2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51">
        <f t="shared" si="124"/>
        <v>0.14285714285714285</v>
      </c>
      <c r="AT326" s="767">
        <f t="shared" si="125"/>
        <v>22.501289796669571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51">
        <f t="shared" si="129"/>
        <v>0.6428571428571429</v>
      </c>
      <c r="AY326" s="767">
        <f t="shared" si="130"/>
        <v>22.679811807402544</v>
      </c>
      <c r="AZ326" s="744">
        <f t="shared" si="134"/>
        <v>22.590550802036056</v>
      </c>
      <c r="BA326" s="642">
        <f t="shared" si="131"/>
        <v>0.88715869530354519</v>
      </c>
      <c r="BC326" s="11">
        <v>43412</v>
      </c>
      <c r="BD326" s="290">
        <f>[2]!FeuilCaduc*(1-Persistant)+Persistant</f>
        <v>0.74462705271936014</v>
      </c>
      <c r="BE326" s="291">
        <f>[2]!CroissVégét</f>
        <v>0.99831345700622864</v>
      </c>
      <c r="BF326" s="814">
        <f>1+[2]!Salcycl*Ksac</f>
        <v>1.0180783815899199</v>
      </c>
      <c r="BH326" s="1050">
        <f t="shared" si="132"/>
        <v>3.1919462432075184E-2</v>
      </c>
      <c r="BI326" s="11">
        <v>44508</v>
      </c>
      <c r="BJ326" s="724">
        <v>3.504964357033967E-6</v>
      </c>
      <c r="BK326" s="724">
        <v>3.6340528079722876E-6</v>
      </c>
      <c r="BL326" s="724">
        <v>4.5869351815679946E-6</v>
      </c>
      <c r="BM326" s="724">
        <v>2.0494944516770823E-4</v>
      </c>
      <c r="BN326" s="724">
        <v>7.012839954698296E-3</v>
      </c>
      <c r="BO326" s="725">
        <v>3.1919462432075184E-2</v>
      </c>
      <c r="BP326" s="724">
        <v>7.7502916903534669E-2</v>
      </c>
      <c r="BQ326" s="724">
        <v>0.1594995083109135</v>
      </c>
      <c r="BR326" s="724">
        <v>0.26563667663820029</v>
      </c>
      <c r="BS326" s="724">
        <v>0.37316394233114103</v>
      </c>
      <c r="BT326" s="724">
        <v>0.4599367529875163</v>
      </c>
      <c r="BW326" s="1190">
        <f>'2018'!R\Max</f>
        <v>0.58320790180258097</v>
      </c>
      <c r="BX326" s="1188">
        <f>'2019'!R\Max</f>
        <v>0.57055044192700921</v>
      </c>
      <c r="BY326" s="1188">
        <f>'2020'!R\Max</f>
        <v>0.23283034357570051</v>
      </c>
      <c r="BZ326" s="1188">
        <f>'2021'!R\Max</f>
        <v>0.88715869530354519</v>
      </c>
      <c r="CA326" s="1188">
        <f>'2022'!R\Max</f>
        <v>4.9528460253204031E-2</v>
      </c>
      <c r="CB326" s="1188">
        <f>'2023'!R\Max</f>
        <v>4.9118907331394082E-2</v>
      </c>
      <c r="CC326" s="1188">
        <f>'2024'!R\Max</f>
        <v>4.8536092484859489E-2</v>
      </c>
      <c r="CD326" s="1188">
        <f>'2025'!R\Max</f>
        <v>4.7839362346262508E-2</v>
      </c>
      <c r="CE326" s="1188">
        <f>'2026'!R\Max</f>
        <v>4.7084961261917933E-2</v>
      </c>
      <c r="CF326" s="1189">
        <f>'2027'!R\Max</f>
        <v>4.6320707037819001E-2</v>
      </c>
    </row>
    <row r="327" spans="1:84" s="6" customFormat="1" ht="11.25" x14ac:dyDescent="0.2">
      <c r="A327" s="11">
        <v>43413</v>
      </c>
      <c r="B327" s="380">
        <f>'2023'!Maxi_hp</f>
        <v>17.157196529957051</v>
      </c>
      <c r="C327" s="13">
        <f>'2023'!An_max</f>
        <v>2021</v>
      </c>
      <c r="D327" s="1059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51">
        <f t="shared" si="119"/>
        <v>0.7857142857142857</v>
      </c>
      <c r="J327" s="744">
        <f t="shared" si="120"/>
        <v>22.266858163954957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2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51">
        <f t="shared" si="124"/>
        <v>0.10714285714285714</v>
      </c>
      <c r="AT327" s="767">
        <f t="shared" si="125"/>
        <v>22.221565815912829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51">
        <f t="shared" si="129"/>
        <v>0.6071428571428571</v>
      </c>
      <c r="AY327" s="767">
        <f t="shared" si="130"/>
        <v>22.385150053671431</v>
      </c>
      <c r="AZ327" s="744">
        <f t="shared" si="134"/>
        <v>22.303357934792132</v>
      </c>
      <c r="BA327" s="642">
        <f t="shared" si="131"/>
        <v>0.77052615162972116</v>
      </c>
      <c r="BC327" s="11">
        <v>43413</v>
      </c>
      <c r="BD327" s="290">
        <f>[2]!FeuilCaduc*(1-Persistant)+Persistant</f>
        <v>0.73905055378765083</v>
      </c>
      <c r="BE327" s="291">
        <f>[2]!CroissVégét</f>
        <v>0.99839454030316765</v>
      </c>
      <c r="BF327" s="814">
        <f>1+[2]!Salcycl*Ksac</f>
        <v>1.0173813192234564</v>
      </c>
      <c r="BH327" s="1050">
        <f t="shared" si="132"/>
        <v>3.1331881986583571E-2</v>
      </c>
      <c r="BI327" s="11">
        <v>44509</v>
      </c>
      <c r="BJ327" s="724">
        <v>3.5424587585829341E-6</v>
      </c>
      <c r="BK327" s="724">
        <v>3.6781554294185336E-6</v>
      </c>
      <c r="BL327" s="724">
        <v>4.6798171958661186E-6</v>
      </c>
      <c r="BM327" s="724">
        <v>2.0539560901242486E-4</v>
      </c>
      <c r="BN327" s="724">
        <v>6.9092949010231301E-3</v>
      </c>
      <c r="BO327" s="725">
        <v>3.1331881986583571E-2</v>
      </c>
      <c r="BP327" s="724">
        <v>7.6836911353359336E-2</v>
      </c>
      <c r="BQ327" s="724">
        <v>0.15979346245174367</v>
      </c>
      <c r="BR327" s="724">
        <v>0.2652815929510029</v>
      </c>
      <c r="BS327" s="724">
        <v>0.37064845761512494</v>
      </c>
      <c r="BT327" s="724">
        <v>0.45322137192690165</v>
      </c>
      <c r="BW327" s="1190">
        <f>'2018'!R\Max</f>
        <v>0.24215852606379587</v>
      </c>
      <c r="BX327" s="1188">
        <f>'2019'!R\Max</f>
        <v>0.68515701401424345</v>
      </c>
      <c r="BY327" s="1188">
        <f>'2020'!R\Max</f>
        <v>0.76556760660956824</v>
      </c>
      <c r="BZ327" s="1188">
        <f>'2021'!R\Max</f>
        <v>0.77052615162972116</v>
      </c>
      <c r="CA327" s="1188">
        <f>'2022'!R\Max</f>
        <v>0.39911120571425573</v>
      </c>
      <c r="CB327" s="1188">
        <f>'2023'!R\Max</f>
        <v>0.39625343866497231</v>
      </c>
      <c r="CC327" s="1188">
        <f>'2024'!R\Max</f>
        <v>0.39214609631080888</v>
      </c>
      <c r="CD327" s="1188">
        <f>'2025'!R\Max</f>
        <v>0.38727972180026943</v>
      </c>
      <c r="CE327" s="1188">
        <f>'2026'!R\Max</f>
        <v>0.38201475139659002</v>
      </c>
      <c r="CF327" s="1189">
        <f>'2027'!R\Max</f>
        <v>0.37673255879493939</v>
      </c>
    </row>
    <row r="328" spans="1:84" s="6" customFormat="1" ht="11.25" x14ac:dyDescent="0.2">
      <c r="A328" s="11">
        <v>43414</v>
      </c>
      <c r="B328" s="380">
        <f>'2023'!Maxi_hp</f>
        <v>19.985849148012122</v>
      </c>
      <c r="C328" s="13">
        <f>'2023'!An_max</f>
        <v>2022</v>
      </c>
      <c r="D328" s="1059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51">
        <f t="shared" si="119"/>
        <v>0.8571428571428571</v>
      </c>
      <c r="J328" s="744">
        <f t="shared" si="120"/>
        <v>21.980848979098457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2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51">
        <f t="shared" si="124"/>
        <v>7.1428571428571425E-2</v>
      </c>
      <c r="AT328" s="767">
        <f t="shared" si="125"/>
        <v>21.950783673913353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51">
        <f t="shared" si="129"/>
        <v>0.5714285714285714</v>
      </c>
      <c r="AY328" s="767">
        <f t="shared" si="130"/>
        <v>22.095482215285301</v>
      </c>
      <c r="AZ328" s="744">
        <f t="shared" si="134"/>
        <v>22.023132944599325</v>
      </c>
      <c r="BA328" s="642">
        <f t="shared" si="131"/>
        <v>0.90923918211788013</v>
      </c>
      <c r="BC328" s="11">
        <v>43414</v>
      </c>
      <c r="BD328" s="290">
        <f>[2]!FeuilCaduc*(1-Persistant)+Persistant</f>
        <v>0.73353750233911663</v>
      </c>
      <c r="BE328" s="291">
        <f>[2]!CroissVégét</f>
        <v>0.99847237132123801</v>
      </c>
      <c r="BF328" s="814">
        <f>1+[2]!Salcycl*Ksac</f>
        <v>1.0166921877923896</v>
      </c>
      <c r="BH328" s="1050">
        <f t="shared" si="132"/>
        <v>3.0771759555461482E-2</v>
      </c>
      <c r="BI328" s="11">
        <v>44510</v>
      </c>
      <c r="BJ328" s="724">
        <v>3.5591210672126792E-6</v>
      </c>
      <c r="BK328" s="724">
        <v>3.6995581498994578E-6</v>
      </c>
      <c r="BL328" s="724">
        <v>4.7362118529900221E-6</v>
      </c>
      <c r="BM328" s="724">
        <v>2.0555114658780453E-4</v>
      </c>
      <c r="BN328" s="724">
        <v>6.8107423663235191E-3</v>
      </c>
      <c r="BO328" s="725">
        <v>3.0771759555461482E-2</v>
      </c>
      <c r="BP328" s="724">
        <v>7.6351262964366465E-2</v>
      </c>
      <c r="BQ328" s="724">
        <v>0.16017842416725905</v>
      </c>
      <c r="BR328" s="724">
        <v>0.26488820054543016</v>
      </c>
      <c r="BS328" s="724">
        <v>0.36788280969749043</v>
      </c>
      <c r="BT328" s="724">
        <v>0.44632834160816726</v>
      </c>
      <c r="BW328" s="1190">
        <f>'2018'!R\Max</f>
        <v>0.71625330124367337</v>
      </c>
      <c r="BX328" s="1188">
        <f>'2019'!R\Max</f>
        <v>0.67390438936458696</v>
      </c>
      <c r="BY328" s="1188">
        <f>'2020'!R\Max</f>
        <v>0.66623171226294131</v>
      </c>
      <c r="BZ328" s="1188">
        <f>'2021'!R\Max</f>
        <v>0.31498228567285436</v>
      </c>
      <c r="CA328" s="1188">
        <f>'2022'!R\Max</f>
        <v>0.90923918211788013</v>
      </c>
      <c r="CB328" s="1188">
        <f>'2023'!R\Max</f>
        <v>0.90823843902414936</v>
      </c>
      <c r="CC328" s="1188">
        <f>'2024'!R\Max</f>
        <v>0.90677142073098582</v>
      </c>
      <c r="CD328" s="1188">
        <f>'2025'!R\Max</f>
        <v>0.9050212809392959</v>
      </c>
      <c r="CE328" s="1188">
        <f>'2026'!R\Max</f>
        <v>0.90309530756639478</v>
      </c>
      <c r="CF328" s="1189">
        <f>'2027'!R\Max</f>
        <v>0.90114809903135451</v>
      </c>
    </row>
    <row r="329" spans="1:84" s="6" customFormat="1" ht="11.25" x14ac:dyDescent="0.2">
      <c r="A329" s="11">
        <v>43415</v>
      </c>
      <c r="B329" s="380">
        <f>'2023'!Maxi_hp</f>
        <v>21.657878919803085</v>
      </c>
      <c r="C329" s="13">
        <f>'2023'!An_max</f>
        <v>2022</v>
      </c>
      <c r="D329" s="1059">
        <f t="shared" si="116"/>
        <v>0.99786716168818257</v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51">
        <f t="shared" si="119"/>
        <v>0.9285714285714286</v>
      </c>
      <c r="J329" s="744">
        <f t="shared" si="120"/>
        <v>21.704170405971155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2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51">
        <f t="shared" si="124"/>
        <v>3.5714285714285712E-2</v>
      </c>
      <c r="AT329" s="767">
        <f t="shared" si="125"/>
        <v>21.689332142099737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51">
        <f t="shared" si="129"/>
        <v>0.5357142857142857</v>
      </c>
      <c r="AY329" s="767">
        <f t="shared" si="130"/>
        <v>21.811238719310079</v>
      </c>
      <c r="AZ329" s="744">
        <f t="shared" si="134"/>
        <v>21.750285430704906</v>
      </c>
      <c r="BA329" s="642">
        <f t="shared" si="131"/>
        <v>0.99786716168818257</v>
      </c>
      <c r="BC329" s="11">
        <v>43415</v>
      </c>
      <c r="BD329" s="290">
        <f>[2]!FeuilCaduc*(1-Persistant)+Persistant</f>
        <v>0.72809574557030932</v>
      </c>
      <c r="BE329" s="291">
        <f>[2]!CroissVégét</f>
        <v>0.99854708003323223</v>
      </c>
      <c r="BF329" s="814">
        <f>1+[2]!Salcycl*Ksac</f>
        <v>1.0160119681962887</v>
      </c>
      <c r="BH329" s="1050">
        <f t="shared" si="132"/>
        <v>3.0239118047420698E-2</v>
      </c>
      <c r="BI329" s="11">
        <v>44511</v>
      </c>
      <c r="BJ329" s="724">
        <v>3.5549204193010991E-6</v>
      </c>
      <c r="BK329" s="724">
        <v>3.6982274142177778E-6</v>
      </c>
      <c r="BL329" s="724">
        <v>4.7560657295471593E-6</v>
      </c>
      <c r="BM329" s="724">
        <v>2.0541548982399354E-4</v>
      </c>
      <c r="BN329" s="724">
        <v>6.7171853428315718E-3</v>
      </c>
      <c r="BO329" s="725">
        <v>3.0239118047420698E-2</v>
      </c>
      <c r="BP329" s="724">
        <v>7.6046151912605761E-2</v>
      </c>
      <c r="BQ329" s="724">
        <v>0.16065435918414242</v>
      </c>
      <c r="BR329" s="724">
        <v>0.26445622251166512</v>
      </c>
      <c r="BS329" s="724">
        <v>0.36486641395541258</v>
      </c>
      <c r="BT329" s="724">
        <v>0.43925720911950022</v>
      </c>
      <c r="BW329" s="1190">
        <f>'2018'!R\Max</f>
        <v>0.86381307874624524</v>
      </c>
      <c r="BX329" s="1188">
        <f>'2019'!R\Max</f>
        <v>0.85043692295683437</v>
      </c>
      <c r="BY329" s="1188">
        <f>'2020'!R\Max</f>
        <v>0.45398347915735543</v>
      </c>
      <c r="BZ329" s="1188">
        <f>'2021'!R\Max</f>
        <v>0.52539204551117147</v>
      </c>
      <c r="CA329" s="1188">
        <f>'2022'!R\Max</f>
        <v>0.99786716168818257</v>
      </c>
      <c r="CB329" s="1188">
        <f>'2023'!R\Max</f>
        <v>0.99784100111873975</v>
      </c>
      <c r="CC329" s="1188">
        <f>'2024'!R\Max</f>
        <v>0.99780245392982825</v>
      </c>
      <c r="CD329" s="1188">
        <f>'2025'!R\Max</f>
        <v>0.99775688279732921</v>
      </c>
      <c r="CE329" s="1188">
        <f>'2026'!R\Max</f>
        <v>0.99770679755343117</v>
      </c>
      <c r="CF329" s="1189">
        <f>'2027'!R\Max</f>
        <v>0.99765680594502415</v>
      </c>
    </row>
    <row r="330" spans="1:84" s="6" customFormat="1" ht="11.25" x14ac:dyDescent="0.2">
      <c r="A330" s="11">
        <v>43416</v>
      </c>
      <c r="B330" s="380">
        <f>'2023'!Maxi_hp</f>
        <v>21.912158265711366</v>
      </c>
      <c r="C330" s="13">
        <f>'2023'!An_max</f>
        <v>2023</v>
      </c>
      <c r="D330" s="1059">
        <f t="shared" si="116"/>
        <v>1.0221367254498741</v>
      </c>
      <c r="E330" s="1054">
        <f>AJ$13/10</f>
        <v>21.4376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51">
        <f t="shared" si="119"/>
        <v>1</v>
      </c>
      <c r="J330" s="744">
        <f t="shared" si="120"/>
        <v>21.437600000202657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2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51">
        <f t="shared" si="124"/>
        <v>0</v>
      </c>
      <c r="AT330" s="767">
        <f t="shared" si="125"/>
        <v>21.437600000947715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51">
        <f t="shared" si="129"/>
        <v>0.5</v>
      </c>
      <c r="AY330" s="767">
        <f t="shared" si="130"/>
        <v>21.532849999517204</v>
      </c>
      <c r="AZ330" s="744">
        <f t="shared" si="134"/>
        <v>21.485225000232461</v>
      </c>
      <c r="BA330" s="642">
        <f t="shared" si="131"/>
        <v>1.0221367254498741</v>
      </c>
      <c r="BC330" s="11">
        <v>43416</v>
      </c>
      <c r="BD330" s="290">
        <f>[2]!FeuilCaduc*(1-Persistant)+Persistant</f>
        <v>0.72273289002272234</v>
      </c>
      <c r="BE330" s="291">
        <f>[2]!CroissVégét</f>
        <v>0.99861879125535868</v>
      </c>
      <c r="BF330" s="814">
        <f>1+[2]!Salcycl*Ksac</f>
        <v>1.0153416112528404</v>
      </c>
      <c r="BH330" s="1050">
        <f t="shared" si="132"/>
        <v>2.9733980920811854E-2</v>
      </c>
      <c r="BI330" s="11">
        <v>44512</v>
      </c>
      <c r="BJ330" s="724">
        <v>3.529827042414156E-6</v>
      </c>
      <c r="BK330" s="724">
        <v>3.6741308442486361E-6</v>
      </c>
      <c r="BL330" s="724">
        <v>4.7393272131834851E-6</v>
      </c>
      <c r="BM330" s="724">
        <v>2.0498808633083468E-4</v>
      </c>
      <c r="BN330" s="724">
        <v>6.6286269121988645E-3</v>
      </c>
      <c r="BO330" s="725">
        <v>2.9733980920811854E-2</v>
      </c>
      <c r="BP330" s="724">
        <v>7.5921750284899128E-2</v>
      </c>
      <c r="BQ330" s="724">
        <v>0.16122122700672162</v>
      </c>
      <c r="BR330" s="724">
        <v>0.26398538577638014</v>
      </c>
      <c r="BS330" s="724">
        <v>0.36159870997307003</v>
      </c>
      <c r="BT330" s="724">
        <v>0.43200755678672709</v>
      </c>
      <c r="BW330" s="1190">
        <f>'2018'!R\Max</f>
        <v>0.95424963808696517</v>
      </c>
      <c r="BX330" s="1188">
        <f>'2019'!R\Max</f>
        <v>0.81521673977345777</v>
      </c>
      <c r="BY330" s="1188">
        <f>'2020'!R\Max</f>
        <v>0.90559981672582335</v>
      </c>
      <c r="BZ330" s="1188">
        <f>'2021'!R\Max</f>
        <v>0.38055197328270857</v>
      </c>
      <c r="CA330" s="1188">
        <f>'2022'!R\Max</f>
        <v>1.0221367254498741</v>
      </c>
      <c r="CB330" s="1188">
        <f>'2023'!R\Max</f>
        <v>1.0221367254498741</v>
      </c>
      <c r="CC330" s="1188">
        <f>'2024'!R\Max</f>
        <v>1.0221367254498743</v>
      </c>
      <c r="CD330" s="1188">
        <f>'2025'!R\Max</f>
        <v>1.0221367254498741</v>
      </c>
      <c r="CE330" s="1188">
        <f>'2026'!R\Max</f>
        <v>1.0221367254498741</v>
      </c>
      <c r="CF330" s="1189">
        <f>'2027'!R\Max</f>
        <v>1.0221367254498743</v>
      </c>
    </row>
    <row r="331" spans="1:84" s="6" customFormat="1" ht="11.25" x14ac:dyDescent="0.2">
      <c r="A331" s="11">
        <v>43417</v>
      </c>
      <c r="B331" s="380">
        <f>'2023'!Maxi_hp</f>
        <v>21.123000933531273</v>
      </c>
      <c r="C331" s="13">
        <f>'2023'!An_max</f>
        <v>2022</v>
      </c>
      <c r="D331" s="1059">
        <f t="shared" si="116"/>
        <v>0.99732150400007114</v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51">
        <f t="shared" si="119"/>
        <v>0.9285714285714286</v>
      </c>
      <c r="J331" s="744">
        <f t="shared" si="120"/>
        <v>21.179730757645196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2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51">
        <f t="shared" si="124"/>
        <v>3.5714285714285712E-2</v>
      </c>
      <c r="AT331" s="767">
        <f t="shared" si="125"/>
        <v>21.193099725512521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51">
        <f t="shared" si="129"/>
        <v>0.4642857142857143</v>
      </c>
      <c r="AY331" s="767">
        <f t="shared" si="130"/>
        <v>21.260746481881608</v>
      </c>
      <c r="AZ331" s="744">
        <f t="shared" si="134"/>
        <v>21.226923103697064</v>
      </c>
      <c r="BA331" s="642">
        <f t="shared" si="131"/>
        <v>0.99732150400007114</v>
      </c>
      <c r="BC331" s="11">
        <v>43417</v>
      </c>
      <c r="BD331" s="290">
        <f>[2]!FeuilCaduc*(1-Persistant)+Persistant</f>
        <v>0.71745626662741557</v>
      </c>
      <c r="BE331" s="291">
        <f>[2]!CroissVégét</f>
        <v>0.99868762484886009</v>
      </c>
      <c r="BF331" s="814">
        <f>1+[2]!Salcycl*Ksac</f>
        <v>1.014682033328427</v>
      </c>
      <c r="BH331" s="1050">
        <f t="shared" si="132"/>
        <v>2.9256371924606298E-2</v>
      </c>
      <c r="BI331" s="11">
        <v>44513</v>
      </c>
      <c r="BJ331" s="724">
        <v>3.4838124462256386E-6</v>
      </c>
      <c r="BK331" s="724">
        <v>3.6272374470187696E-6</v>
      </c>
      <c r="BL331" s="724">
        <v>4.685946837326858E-6</v>
      </c>
      <c r="BM331" s="724">
        <v>2.0426840204759418E-4</v>
      </c>
      <c r="BN331" s="724">
        <v>6.5450701983250986E-3</v>
      </c>
      <c r="BO331" s="725">
        <v>2.9256371924606298E-2</v>
      </c>
      <c r="BP331" s="724">
        <v>7.5978220414104139E-2</v>
      </c>
      <c r="BQ331" s="724">
        <v>0.16187898007182136</v>
      </c>
      <c r="BR331" s="724">
        <v>0.26347542142858377</v>
      </c>
      <c r="BS331" s="724">
        <v>0.35807916378273852</v>
      </c>
      <c r="BT331" s="724">
        <v>0.42457900370903445</v>
      </c>
      <c r="BW331" s="1190">
        <f>'2018'!R\Max</f>
        <v>0.39311394514922826</v>
      </c>
      <c r="BX331" s="1188">
        <f>'2019'!R\Max</f>
        <v>0.78076998179774493</v>
      </c>
      <c r="BY331" s="1188">
        <f>'2020'!R\Max</f>
        <v>0.98110555164124313</v>
      </c>
      <c r="BZ331" s="1188">
        <f>'2021'!R\Max</f>
        <v>0.26132027746726827</v>
      </c>
      <c r="CA331" s="1188">
        <f>'2022'!R\Max</f>
        <v>0.99732150400007114</v>
      </c>
      <c r="CB331" s="1188">
        <f>'2023'!R\Max</f>
        <v>0.99728774441510304</v>
      </c>
      <c r="CC331" s="1188">
        <f>'2024'!R\Max</f>
        <v>0.99723809758877391</v>
      </c>
      <c r="CD331" s="1188">
        <f>'2025'!R\Max</f>
        <v>0.99718088096833246</v>
      </c>
      <c r="CE331" s="1188">
        <f>'2026'!R\Max</f>
        <v>0.99711868809117399</v>
      </c>
      <c r="CF331" s="1189">
        <f>'2027'!R\Max</f>
        <v>0.99705898269177051</v>
      </c>
    </row>
    <row r="332" spans="1:84" s="6" customFormat="1" ht="11.25" x14ac:dyDescent="0.2">
      <c r="A332" s="11">
        <v>43418</v>
      </c>
      <c r="B332" s="380">
        <f>'2023'!Maxi_hp</f>
        <v>16.142697199455277</v>
      </c>
      <c r="C332" s="13">
        <f>'2023'!An_max</f>
        <v>2020</v>
      </c>
      <c r="D332" s="1059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51">
        <f t="shared" si="119"/>
        <v>0.8571428571428571</v>
      </c>
      <c r="J332" s="744">
        <f t="shared" si="120"/>
        <v>20.928711370698043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2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51">
        <f t="shared" si="124"/>
        <v>7.1428571428571425E-2</v>
      </c>
      <c r="AT332" s="767">
        <f t="shared" si="125"/>
        <v>20.953232350572943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51">
        <f t="shared" si="129"/>
        <v>0.42857142857142855</v>
      </c>
      <c r="AY332" s="767">
        <f t="shared" si="130"/>
        <v>20.995358599722387</v>
      </c>
      <c r="AZ332" s="744">
        <f t="shared" si="134"/>
        <v>20.974295475147663</v>
      </c>
      <c r="BA332" s="642">
        <f t="shared" si="131"/>
        <v>0.7713182581349185</v>
      </c>
      <c r="BC332" s="11">
        <v>43418</v>
      </c>
      <c r="BD332" s="290">
        <f>[2]!FeuilCaduc*(1-Persistant)+Persistant</f>
        <v>0.71227289730794707</v>
      </c>
      <c r="BE332" s="291">
        <f>[2]!CroissVégét</f>
        <v>0.99875369591398344</v>
      </c>
      <c r="BF332" s="814">
        <f>1+[2]!Salcycl*Ksac</f>
        <v>1.0140341121634935</v>
      </c>
      <c r="BH332" s="1050">
        <f t="shared" si="132"/>
        <v>2.8825531250971956E-2</v>
      </c>
      <c r="BI332" s="11">
        <v>44514</v>
      </c>
      <c r="BJ332" s="724">
        <v>3.4341277718675641E-6</v>
      </c>
      <c r="BK332" s="724">
        <v>3.5891631875230249E-6</v>
      </c>
      <c r="BL332" s="724">
        <v>4.7231521488749245E-6</v>
      </c>
      <c r="BM332" s="724">
        <v>2.034473431942236E-4</v>
      </c>
      <c r="BN332" s="724">
        <v>6.4687158198024437E-3</v>
      </c>
      <c r="BO332" s="725">
        <v>2.8825531250971956E-2</v>
      </c>
      <c r="BP332" s="724">
        <v>7.6220685872531377E-2</v>
      </c>
      <c r="BQ332" s="724">
        <v>0.1625663342391887</v>
      </c>
      <c r="BR332" s="724">
        <v>0.26285122629286611</v>
      </c>
      <c r="BS332" s="724">
        <v>0.35428382081974047</v>
      </c>
      <c r="BT332" s="724">
        <v>0.41708285414620927</v>
      </c>
      <c r="BW332" s="1190">
        <f>'2018'!R\Max</f>
        <v>0.71312050635363167</v>
      </c>
      <c r="BX332" s="1188">
        <f>'2019'!R\Max</f>
        <v>0.29781826017317681</v>
      </c>
      <c r="BY332" s="1188">
        <f>'2020'!R\Max</f>
        <v>0.7713182581349185</v>
      </c>
      <c r="BZ332" s="1188">
        <f>'2021'!R\Max</f>
        <v>0.30866374269654667</v>
      </c>
      <c r="CA332" s="1188">
        <f>'2022'!R\Max</f>
        <v>0.41511455300026223</v>
      </c>
      <c r="CB332" s="1188">
        <f>'2023'!R\Max</f>
        <v>0.41202323600811841</v>
      </c>
      <c r="CC332" s="1188">
        <f>'2024'!R\Max</f>
        <v>0.4075796780375649</v>
      </c>
      <c r="CD332" s="1188">
        <f>'2025'!R\Max</f>
        <v>0.40263730218906024</v>
      </c>
      <c r="CE332" s="1188">
        <f>'2026'!R\Max</f>
        <v>0.39742773567789397</v>
      </c>
      <c r="CF332" s="1189">
        <f>'2027'!R\Max</f>
        <v>0.39265419642682647</v>
      </c>
    </row>
    <row r="333" spans="1:84" s="6" customFormat="1" ht="11.25" x14ac:dyDescent="0.2">
      <c r="A333" s="11">
        <v>43419</v>
      </c>
      <c r="B333" s="380">
        <f>'2023'!Maxi_hp</f>
        <v>20.45344773267831</v>
      </c>
      <c r="C333" s="13">
        <f>'2023'!An_max</f>
        <v>2020</v>
      </c>
      <c r="D333" s="1059">
        <f t="shared" si="116"/>
        <v>0.988822380378796</v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51">
        <f t="shared" si="119"/>
        <v>0.7857142857142857</v>
      </c>
      <c r="J333" s="744">
        <f t="shared" si="120"/>
        <v>20.684652914958342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2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51">
        <f t="shared" si="124"/>
        <v>0.10714285714285714</v>
      </c>
      <c r="AT333" s="767">
        <f t="shared" si="125"/>
        <v>20.7182194779494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51">
        <f t="shared" si="129"/>
        <v>0.39285714285714285</v>
      </c>
      <c r="AY333" s="767">
        <f t="shared" si="130"/>
        <v>20.737116782207572</v>
      </c>
      <c r="AZ333" s="744">
        <f t="shared" si="134"/>
        <v>20.727668130078484</v>
      </c>
      <c r="BA333" s="642">
        <f t="shared" si="131"/>
        <v>0.988822380378796</v>
      </c>
      <c r="BC333" s="11">
        <v>43419</v>
      </c>
      <c r="BD333" s="290">
        <f>[2]!FeuilCaduc*(1-Persistant)+Persistant</f>
        <v>0.70718946337911481</v>
      </c>
      <c r="BE333" s="291">
        <f>[2]!CroissVégét</f>
        <v>0.99881711497657366</v>
      </c>
      <c r="BF333" s="814">
        <f>1+[2]!Salcycl*Ksac</f>
        <v>1.0133986829223893</v>
      </c>
      <c r="BH333" s="1050">
        <f t="shared" si="132"/>
        <v>2.8426790005421993E-2</v>
      </c>
      <c r="BI333" s="11">
        <v>44515</v>
      </c>
      <c r="BJ333" s="724">
        <v>3.3560698738010554E-6</v>
      </c>
      <c r="BK333" s="724">
        <v>3.535219130236222E-6</v>
      </c>
      <c r="BL333" s="724">
        <v>4.8263471662672169E-6</v>
      </c>
      <c r="BM333" s="724">
        <v>2.0238173853032325E-4</v>
      </c>
      <c r="BN333" s="724">
        <v>6.3960346883252016E-3</v>
      </c>
      <c r="BO333" s="725">
        <v>2.8426790005421993E-2</v>
      </c>
      <c r="BP333" s="724">
        <v>7.6566551184990589E-2</v>
      </c>
      <c r="BQ333" s="724">
        <v>0.1631989357396956</v>
      </c>
      <c r="BR333" s="724">
        <v>0.2621044479686051</v>
      </c>
      <c r="BS333" s="724">
        <v>0.35031336019745235</v>
      </c>
      <c r="BT333" s="724">
        <v>0.40964204246921349</v>
      </c>
      <c r="BW333" s="1190">
        <f>'2018'!R\Max</f>
        <v>0.68377356000186029</v>
      </c>
      <c r="BX333" s="1188">
        <f>'2019'!R\Max</f>
        <v>0.46468430982847458</v>
      </c>
      <c r="BY333" s="1188">
        <f>'2020'!R\Max</f>
        <v>0.988822380378796</v>
      </c>
      <c r="BZ333" s="1188">
        <f>'2021'!R\Max</f>
        <v>0.25810963092742839</v>
      </c>
      <c r="CA333" s="1188">
        <f>'2022'!R\Max</f>
        <v>0.57438707625356578</v>
      </c>
      <c r="CB333" s="1188">
        <f>'2023'!R\Max</f>
        <v>0.57122249345926213</v>
      </c>
      <c r="CC333" s="1188">
        <f>'2024'!R\Max</f>
        <v>0.56668027984519587</v>
      </c>
      <c r="CD333" s="1188">
        <f>'2025'!R\Max</f>
        <v>0.56165695278291672</v>
      </c>
      <c r="CE333" s="1188">
        <f>'2026'!R\Max</f>
        <v>0.55635465198613521</v>
      </c>
      <c r="CF333" s="1189">
        <f>'2027'!R\Max</f>
        <v>0.5515712978004117</v>
      </c>
    </row>
    <row r="334" spans="1:84" s="6" customFormat="1" ht="11.25" x14ac:dyDescent="0.2">
      <c r="A334" s="11">
        <v>43420</v>
      </c>
      <c r="B334" s="380">
        <f>'2023'!Maxi_hp</f>
        <v>21.38237855654209</v>
      </c>
      <c r="C334" s="13">
        <f>'2023'!An_max</f>
        <v>2023</v>
      </c>
      <c r="D334" s="1059">
        <f t="shared" si="116"/>
        <v>1.0457124086047511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51">
        <f t="shared" si="119"/>
        <v>0.7142857142857143</v>
      </c>
      <c r="J334" s="744">
        <f t="shared" si="120"/>
        <v>20.44766647177083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2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51">
        <f t="shared" si="124"/>
        <v>0.14285714285714285</v>
      </c>
      <c r="AT334" s="767">
        <f t="shared" si="125"/>
        <v>20.48828271116529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51">
        <f t="shared" si="129"/>
        <v>0.35714285714285715</v>
      </c>
      <c r="AY334" s="767">
        <f t="shared" si="130"/>
        <v>20.486451457281198</v>
      </c>
      <c r="AZ334" s="744">
        <f t="shared" si="134"/>
        <v>20.487367084223244</v>
      </c>
      <c r="BA334" s="642">
        <f t="shared" si="131"/>
        <v>1.0457124086047511</v>
      </c>
      <c r="BC334" s="11">
        <v>43420</v>
      </c>
      <c r="BD334" s="290">
        <f>[2]!FeuilCaduc*(1-Persistant)+Persistant</f>
        <v>0.70221227596561042</v>
      </c>
      <c r="BE334" s="291">
        <f>[2]!CroissVégét</f>
        <v>0.9988779881675528</v>
      </c>
      <c r="BF334" s="814">
        <f>1+[2]!Salcycl*Ksac</f>
        <v>1.0127765344957014</v>
      </c>
      <c r="BH334" s="1050">
        <f t="shared" si="132"/>
        <v>2.8060175463556766E-2</v>
      </c>
      <c r="BI334" s="11">
        <v>44516</v>
      </c>
      <c r="BJ334" s="724">
        <v>3.2496063694329146E-6</v>
      </c>
      <c r="BK334" s="724">
        <v>3.4653860997038272E-6</v>
      </c>
      <c r="BL334" s="724">
        <v>4.9955991049213628E-6</v>
      </c>
      <c r="BM334" s="724">
        <v>2.0107117085896951E-4</v>
      </c>
      <c r="BN334" s="724">
        <v>6.327028207259223E-3</v>
      </c>
      <c r="BO334" s="725">
        <v>2.8060175463556766E-2</v>
      </c>
      <c r="BP334" s="724">
        <v>7.7015853338001886E-2</v>
      </c>
      <c r="BQ334" s="724">
        <v>0.16377655252168685</v>
      </c>
      <c r="BR334" s="724">
        <v>0.26123474347235853</v>
      </c>
      <c r="BS334" s="724">
        <v>0.34616742755905411</v>
      </c>
      <c r="BT334" s="724">
        <v>0.40225656220505374</v>
      </c>
      <c r="BW334" s="1190">
        <f>'2018'!R\Max</f>
        <v>0.87735011765637239</v>
      </c>
      <c r="BX334" s="1188">
        <f>'2019'!R\Max</f>
        <v>0.59858379202349743</v>
      </c>
      <c r="BY334" s="1188">
        <f>'2020'!R\Max</f>
        <v>0.74903113521402009</v>
      </c>
      <c r="BZ334" s="1188">
        <f>'2021'!R\Max</f>
        <v>0.4332518567713412</v>
      </c>
      <c r="CA334" s="1188">
        <f>'2022'!R\Max</f>
        <v>1.0457124086047511</v>
      </c>
      <c r="CB334" s="1188">
        <f>'2023'!R\Max</f>
        <v>1.0457124086047511</v>
      </c>
      <c r="CC334" s="1188">
        <f>'2024'!R\Max</f>
        <v>1.0457124086047511</v>
      </c>
      <c r="CD334" s="1188">
        <f>'2025'!R\Max</f>
        <v>1.0457124086047511</v>
      </c>
      <c r="CE334" s="1188">
        <f>'2026'!R\Max</f>
        <v>1.0457124086047511</v>
      </c>
      <c r="CF334" s="1189">
        <f>'2027'!R\Max</f>
        <v>1.0457124086047513</v>
      </c>
    </row>
    <row r="335" spans="1:84" s="6" customFormat="1" ht="11.25" x14ac:dyDescent="0.2">
      <c r="A335" s="11">
        <v>43421</v>
      </c>
      <c r="B335" s="380">
        <f>'2023'!Maxi_hp</f>
        <v>19.633088626435899</v>
      </c>
      <c r="C335" s="13">
        <f>'2023'!An_max</f>
        <v>2018</v>
      </c>
      <c r="D335" s="1059">
        <f t="shared" ref="D335:D380" si="135">IF($BA335&gt;$D$11,BA335,"")</f>
        <v>0.97107634523468733</v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51">
        <f t="shared" ref="I335:I380" si="138">($A335-H335)/(INDEX(x.2m,G335)-H335)</f>
        <v>0.6428571428571429</v>
      </c>
      <c r="J335" s="744">
        <f t="shared" ref="J335:J380" si="139">((1-I335)*(INDEX(a.m,F335)*$A335*$A335+INDEX(b.m,F335)*$A335+INDEX(c.m,F335))+I335*(INDEX(a.m,G335)*$A335*$A335+INDEX(b.m,G335)*$A335+INDEX(c.m,G335)))/10</f>
        <v>20.217863119393588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2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51">
        <f t="shared" ref="AS335:AS380" si="143">($A335-AR335)/(INDEX(x.2lg,AQ335)-AR335)</f>
        <v>0.17857142857142858</v>
      </c>
      <c r="AT335" s="767">
        <f t="shared" ref="AT335:AT380" si="144">((1-AS335)*(INDEX(a.lg,AP335)*$A335*$A335+INDEX(b.lg,AP335)*$A335+INDEX(c.lg,AP335))+AS335*(INDEX(a.lg,AQ335)*$A335*$A335+INDEX(b.lg,AQ335)*$A335+INDEX(c.lg,AQ335)))/10</f>
        <v>20.263643654010124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51">
        <f t="shared" ref="AX335:AX380" si="148">($A335-AW335)/(INDEX(x.2ld,AV335)-AW335)</f>
        <v>0.32142857142857145</v>
      </c>
      <c r="AY335" s="767">
        <f t="shared" ref="AY335:AY380" si="149">((1-AX335)*(INDEX(a.ld,AU335)*$A335*$A335+INDEX(b.ld,AU335)*$A335+INDEX(c.ld,AU335))+AX335*(INDEX(a.ld,AV335)*$A335*$A335+INDEX(b.ld,AV335)*$A335+INDEX(c.ld,AV335)))/10</f>
        <v>20.243793058155905</v>
      </c>
      <c r="AZ335" s="744">
        <f t="shared" si="134"/>
        <v>20.253718356083013</v>
      </c>
      <c r="BA335" s="642">
        <f t="shared" ref="BA335:BA380" si="150">+B335/J335</f>
        <v>0.97107634523468733</v>
      </c>
      <c r="BC335" s="11">
        <v>43421</v>
      </c>
      <c r="BD335" s="290">
        <f>[2]!FeuilCaduc*(1-Persistant)+Persistant</f>
        <v>0.69734724864930842</v>
      </c>
      <c r="BE335" s="291">
        <f>[2]!CroissVégét</f>
        <v>0.99893641739554129</v>
      </c>
      <c r="BF335" s="814">
        <f>1+[2]!Salcycl*Ksac</f>
        <v>1.0121684060811635</v>
      </c>
      <c r="BH335" s="1050">
        <f t="shared" ref="BH335:BH380" si="151">INDEX($BJ335:$BT335,,$BH$10)*(1-Ratini)+INDEX($BJ335:$BT335,,$BH$10+1)*Ratini</f>
        <v>2.7725713698313306E-2</v>
      </c>
      <c r="BI335" s="11">
        <v>44517</v>
      </c>
      <c r="BJ335" s="724">
        <v>3.1147074964535549E-6</v>
      </c>
      <c r="BK335" s="724">
        <v>3.3796464235873993E-6</v>
      </c>
      <c r="BL335" s="724">
        <v>5.2309693719898812E-6</v>
      </c>
      <c r="BM335" s="724">
        <v>1.9951524703797625E-4</v>
      </c>
      <c r="BN335" s="724">
        <v>6.2616977406536609E-3</v>
      </c>
      <c r="BO335" s="725">
        <v>2.7725713698313306E-2</v>
      </c>
      <c r="BP335" s="724">
        <v>7.7568619578347167E-2</v>
      </c>
      <c r="BQ335" s="724">
        <v>0.16429895482737911</v>
      </c>
      <c r="BR335" s="724">
        <v>0.26024178269722803</v>
      </c>
      <c r="BS335" s="724">
        <v>0.34184569737248793</v>
      </c>
      <c r="BT335" s="724">
        <v>0.39492642920637588</v>
      </c>
      <c r="BW335" s="1190">
        <f>'2018'!R\Max</f>
        <v>0.97107634523468733</v>
      </c>
      <c r="BX335" s="1188">
        <f>'2019'!R\Max</f>
        <v>0.56391087058615996</v>
      </c>
      <c r="BY335" s="1188">
        <f>'2020'!R\Max</f>
        <v>0.86285507785544624</v>
      </c>
      <c r="BZ335" s="1188">
        <f>'2021'!R\Max</f>
        <v>0.15704810686901025</v>
      </c>
      <c r="CA335" s="1188">
        <f>'2022'!R\Max</f>
        <v>0.61648566462586851</v>
      </c>
      <c r="CB335" s="1188">
        <f>'2023'!R\Max</f>
        <v>0.61333570026133599</v>
      </c>
      <c r="CC335" s="1188">
        <f>'2024'!R\Max</f>
        <v>0.60888842933467446</v>
      </c>
      <c r="CD335" s="1188">
        <f>'2025'!R\Max</f>
        <v>0.60406801821780565</v>
      </c>
      <c r="CE335" s="1188">
        <f>'2026'!R\Max</f>
        <v>0.59902158138397632</v>
      </c>
      <c r="CF335" s="1189">
        <f>'2027'!R\Max</f>
        <v>0.59467425050744771</v>
      </c>
    </row>
    <row r="336" spans="1:84" s="6" customFormat="1" ht="11.25" x14ac:dyDescent="0.2">
      <c r="A336" s="11">
        <v>43422</v>
      </c>
      <c r="B336" s="380">
        <f>'2023'!Maxi_hp</f>
        <v>18.436950655926712</v>
      </c>
      <c r="C336" s="13">
        <f>'2023'!An_max</f>
        <v>2020</v>
      </c>
      <c r="D336" s="1059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51">
        <f t="shared" si="138"/>
        <v>0.5714285714285714</v>
      </c>
      <c r="J336" s="744">
        <f t="shared" si="139"/>
        <v>19.995353936723301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2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51">
        <f t="shared" si="143"/>
        <v>0.21428571428571427</v>
      </c>
      <c r="AT336" s="767">
        <f t="shared" si="144"/>
        <v>20.044523908304313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51">
        <f t="shared" si="148"/>
        <v>0.2857142857142857</v>
      </c>
      <c r="AY336" s="767">
        <f t="shared" si="149"/>
        <v>20.009572011658122</v>
      </c>
      <c r="AZ336" s="744">
        <f t="shared" ref="AZ336:AZ380" si="153">(AY336+AT336)/2</f>
        <v>20.027047959981218</v>
      </c>
      <c r="BA336" s="642">
        <f t="shared" si="150"/>
        <v>0.92206173065361752</v>
      </c>
      <c r="BC336" s="11">
        <v>43422</v>
      </c>
      <c r="BD336" s="290">
        <f>[2]!FeuilCaduc*(1-Persistant)+Persistant</f>
        <v>0.69259987253677058</v>
      </c>
      <c r="BE336" s="291">
        <f>[2]!CroissVégét</f>
        <v>0.99899250051286803</v>
      </c>
      <c r="BF336" s="814">
        <f>1+[2]!Salcycl*Ksac</f>
        <v>1.0115749840670962</v>
      </c>
      <c r="BH336" s="1050">
        <f t="shared" si="151"/>
        <v>2.7423429280025415E-2</v>
      </c>
      <c r="BI336" s="11">
        <v>44518</v>
      </c>
      <c r="BJ336" s="724">
        <v>2.951346371592147E-6</v>
      </c>
      <c r="BK336" s="724">
        <v>3.2779840771282412E-6</v>
      </c>
      <c r="BL336" s="724">
        <v>5.5325129625424155E-6</v>
      </c>
      <c r="BM336" s="724">
        <v>1.9771360018737882E-4</v>
      </c>
      <c r="BN336" s="724">
        <v>6.2000445783627579E-3</v>
      </c>
      <c r="BO336" s="725">
        <v>2.7423429280025415E-2</v>
      </c>
      <c r="BP336" s="724">
        <v>7.8224866460367443E-2</v>
      </c>
      <c r="BQ336" s="724">
        <v>0.16476591567988649</v>
      </c>
      <c r="BR336" s="724">
        <v>0.25912524949946752</v>
      </c>
      <c r="BS336" s="724">
        <v>0.33734787446456976</v>
      </c>
      <c r="BT336" s="724">
        <v>0.38765168104437892</v>
      </c>
      <c r="BW336" s="1190">
        <f>'2018'!R\Max</f>
        <v>0.85969359123320377</v>
      </c>
      <c r="BX336" s="1188">
        <f>'2019'!R\Max</f>
        <v>0.54638816627290787</v>
      </c>
      <c r="BY336" s="1188">
        <f>'2020'!R\Max</f>
        <v>0.92206173065361752</v>
      </c>
      <c r="BZ336" s="1188">
        <f>'2021'!R\Max</f>
        <v>0.70509819300091647</v>
      </c>
      <c r="CA336" s="1188">
        <f>'2022'!R\Max</f>
        <v>0.64647626044915285</v>
      </c>
      <c r="CB336" s="1188">
        <f>'2023'!R\Max</f>
        <v>0.6433880978439257</v>
      </c>
      <c r="CC336" s="1188">
        <f>'2024'!R\Max</f>
        <v>0.6390734040599042</v>
      </c>
      <c r="CD336" s="1188">
        <f>'2025'!R\Max</f>
        <v>0.63443748391674393</v>
      </c>
      <c r="CE336" s="1188">
        <f>'2026'!R\Max</f>
        <v>0.62960088132144787</v>
      </c>
      <c r="CF336" s="1189">
        <f>'2027'!R\Max</f>
        <v>0.62553616976041515</v>
      </c>
    </row>
    <row r="337" spans="1:84" s="6" customFormat="1" ht="11.25" x14ac:dyDescent="0.2">
      <c r="A337" s="11">
        <v>43423</v>
      </c>
      <c r="B337" s="380">
        <f>'2023'!Maxi_hp</f>
        <v>19.188007096665945</v>
      </c>
      <c r="C337" s="13">
        <f>'2023'!An_max</f>
        <v>2021</v>
      </c>
      <c r="D337" s="1059">
        <f t="shared" si="135"/>
        <v>0.97005887669472446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51">
        <f t="shared" si="138"/>
        <v>0.5</v>
      </c>
      <c r="J337" s="744">
        <f t="shared" si="139"/>
        <v>19.780250000953675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2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51">
        <f t="shared" si="143"/>
        <v>0.25</v>
      </c>
      <c r="AT337" s="767">
        <f t="shared" si="144"/>
        <v>19.831145077943802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51">
        <f t="shared" si="148"/>
        <v>0.25</v>
      </c>
      <c r="AY337" s="767">
        <f t="shared" si="149"/>
        <v>19.784218751080335</v>
      </c>
      <c r="AZ337" s="744">
        <f t="shared" si="153"/>
        <v>19.807681914512067</v>
      </c>
      <c r="BA337" s="642">
        <f t="shared" si="150"/>
        <v>0.97005887669472446</v>
      </c>
      <c r="BC337" s="11">
        <v>43423</v>
      </c>
      <c r="BD337" s="290">
        <f>[2]!FeuilCaduc*(1-Persistant)+Persistant</f>
        <v>0.68797519391974316</v>
      </c>
      <c r="BE337" s="291">
        <f>[2]!CroissVégét</f>
        <v>0.99904633147520905</v>
      </c>
      <c r="BF337" s="814">
        <f>1+[2]!Salcycl*Ksac</f>
        <v>1.0109968992399678</v>
      </c>
      <c r="BH337" s="1050">
        <f t="shared" si="151"/>
        <v>2.7153344976592528E-2</v>
      </c>
      <c r="BI337" s="11">
        <v>44519</v>
      </c>
      <c r="BJ337" s="724">
        <v>2.7594992493815754E-6</v>
      </c>
      <c r="BK337" s="724">
        <v>3.1603848276231761E-6</v>
      </c>
      <c r="BL337" s="724">
        <v>5.9002778557758507E-6</v>
      </c>
      <c r="BM337" s="724">
        <v>1.956658918977211E-4</v>
      </c>
      <c r="BN337" s="724">
        <v>6.1420699011924462E-3</v>
      </c>
      <c r="BO337" s="725">
        <v>2.7153344976592528E-2</v>
      </c>
      <c r="BP337" s="724">
        <v>7.8984598893601002E-2</v>
      </c>
      <c r="BQ337" s="724">
        <v>0.1651772113709517</v>
      </c>
      <c r="BR337" s="724">
        <v>0.25788484278616569</v>
      </c>
      <c r="BS337" s="724">
        <v>0.33267369555643667</v>
      </c>
      <c r="BT337" s="724">
        <v>0.38043237640321365</v>
      </c>
      <c r="BW337" s="1190">
        <f>'2018'!R\Max</f>
        <v>0.76983261438549899</v>
      </c>
      <c r="BX337" s="1188">
        <f>'2019'!R\Max</f>
        <v>0.85162988808712115</v>
      </c>
      <c r="BY337" s="1188">
        <f>'2020'!R\Max</f>
        <v>0.94286655698188671</v>
      </c>
      <c r="BZ337" s="1188">
        <f>'2021'!R\Max</f>
        <v>0.97005887669472446</v>
      </c>
      <c r="CA337" s="1188">
        <f>'2022'!R\Max</f>
        <v>0.42771385140137214</v>
      </c>
      <c r="CB337" s="1188">
        <f>'2023'!R\Max</f>
        <v>0.42437168426498656</v>
      </c>
      <c r="CC337" s="1188">
        <f>'2024'!R\Max</f>
        <v>0.41979552375953061</v>
      </c>
      <c r="CD337" s="1188">
        <f>'2025'!R\Max</f>
        <v>0.41496549522496839</v>
      </c>
      <c r="CE337" s="1188">
        <f>'2026'!R\Max</f>
        <v>0.40999323070032156</v>
      </c>
      <c r="CF337" s="1189">
        <f>'2027'!R\Max</f>
        <v>0.40596098964064131</v>
      </c>
    </row>
    <row r="338" spans="1:84" s="6" customFormat="1" ht="11.25" x14ac:dyDescent="0.2">
      <c r="A338" s="11">
        <v>43424</v>
      </c>
      <c r="B338" s="380">
        <f>'2023'!Maxi_hp</f>
        <v>20.296414509075642</v>
      </c>
      <c r="C338" s="13">
        <f>'2023'!An_max</f>
        <v>2019</v>
      </c>
      <c r="D338" s="1059">
        <f t="shared" si="135"/>
        <v>1.0369777041211301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51">
        <f t="shared" si="138"/>
        <v>0.42857142857142855</v>
      </c>
      <c r="J338" s="744">
        <f t="shared" si="139"/>
        <v>19.572662390342778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2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51">
        <f t="shared" si="143"/>
        <v>0.2857142857142857</v>
      </c>
      <c r="AT338" s="767">
        <f t="shared" si="144"/>
        <v>19.623728764589345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51">
        <f t="shared" si="148"/>
        <v>0.21428571428571427</v>
      </c>
      <c r="AY338" s="767">
        <f t="shared" si="149"/>
        <v>19.568163701732242</v>
      </c>
      <c r="AZ338" s="744">
        <f t="shared" si="153"/>
        <v>19.595946233160795</v>
      </c>
      <c r="BA338" s="642">
        <f t="shared" si="150"/>
        <v>1.0369777041211301</v>
      </c>
      <c r="BC338" s="11">
        <v>43424</v>
      </c>
      <c r="BD338" s="290">
        <f>[2]!FeuilCaduc*(1-Persistant)+Persistant</f>
        <v>0.6834777946811299</v>
      </c>
      <c r="BE338" s="291">
        <f>[2]!CroissVégét</f>
        <v>0.99909800049508712</v>
      </c>
      <c r="BF338" s="814">
        <f>1+[2]!Salcycl*Ksac</f>
        <v>1.0104347243351413</v>
      </c>
      <c r="BH338" s="1050">
        <f t="shared" si="151"/>
        <v>2.6940213515052713E-2</v>
      </c>
      <c r="BI338" s="11">
        <v>44520</v>
      </c>
      <c r="BJ338" s="724">
        <v>2.5619719524558173E-6</v>
      </c>
      <c r="BK338" s="724">
        <v>3.0506022805999537E-6</v>
      </c>
      <c r="BL338" s="724">
        <v>6.4339107770472432E-6</v>
      </c>
      <c r="BM338" s="724">
        <v>1.9360517332968268E-4</v>
      </c>
      <c r="BN338" s="724">
        <v>6.0890779082417796E-3</v>
      </c>
      <c r="BO338" s="725">
        <v>2.6940213515052713E-2</v>
      </c>
      <c r="BP338" s="724">
        <v>7.9800029021916172E-2</v>
      </c>
      <c r="BQ338" s="724">
        <v>0.16547665513110688</v>
      </c>
      <c r="BR338" s="724">
        <v>0.25647289973183218</v>
      </c>
      <c r="BS338" s="724">
        <v>0.32788379796299799</v>
      </c>
      <c r="BT338" s="724">
        <v>0.37337621697369816</v>
      </c>
      <c r="BW338" s="1190">
        <f>'2018'!R\Max</f>
        <v>0.4190661290938274</v>
      </c>
      <c r="BX338" s="1188">
        <f>'2019'!R\Max</f>
        <v>1.0369777041211301</v>
      </c>
      <c r="BY338" s="1188">
        <f>'2020'!R\Max</f>
        <v>0.41009229593294599</v>
      </c>
      <c r="BZ338" s="1188">
        <f>'2021'!R\Max</f>
        <v>0.80105596482273167</v>
      </c>
      <c r="CA338" s="1188">
        <f>'2022'!R\Max</f>
        <v>0.69019527482845244</v>
      </c>
      <c r="CB338" s="1188">
        <f>'2023'!R\Max</f>
        <v>0.68722881411226622</v>
      </c>
      <c r="CC338" s="1188">
        <f>'2024'!R\Max</f>
        <v>0.68318972786948862</v>
      </c>
      <c r="CD338" s="1188">
        <f>'2025'!R\Max</f>
        <v>0.6789201397778386</v>
      </c>
      <c r="CE338" s="1188">
        <f>'2026'!R\Max</f>
        <v>0.67449655751227611</v>
      </c>
      <c r="CF338" s="1189">
        <f>'2027'!R\Max</f>
        <v>0.67097353335849463</v>
      </c>
    </row>
    <row r="339" spans="1:84" s="6" customFormat="1" ht="11.25" x14ac:dyDescent="0.2">
      <c r="A339" s="11">
        <v>43425</v>
      </c>
      <c r="B339" s="380">
        <f>'2023'!Maxi_hp</f>
        <v>20.252187824566644</v>
      </c>
      <c r="C339" s="13">
        <f>'2023'!An_max</f>
        <v>2019</v>
      </c>
      <c r="D339" s="1059">
        <f t="shared" si="135"/>
        <v>1.0453981912331627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51">
        <f t="shared" si="138"/>
        <v>0.35714285714285715</v>
      </c>
      <c r="J339" s="744">
        <f t="shared" si="139"/>
        <v>19.372702186022487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2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51">
        <f t="shared" si="143"/>
        <v>0.32142857142857145</v>
      </c>
      <c r="AT339" s="767">
        <f t="shared" si="144"/>
        <v>19.422496574478494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51">
        <f t="shared" si="148"/>
        <v>0.17857142857142858</v>
      </c>
      <c r="AY339" s="767">
        <f t="shared" si="149"/>
        <v>19.361837299966385</v>
      </c>
      <c r="AZ339" s="744">
        <f t="shared" si="153"/>
        <v>19.392166937222441</v>
      </c>
      <c r="BA339" s="642">
        <f t="shared" si="150"/>
        <v>1.0453981912331627</v>
      </c>
      <c r="BC339" s="11">
        <v>43425</v>
      </c>
      <c r="BD339" s="290">
        <f>[2]!FeuilCaduc*(1-Persistant)+Persistant</f>
        <v>0.67911177557735525</v>
      </c>
      <c r="BE339" s="291">
        <f>[2]!CroissVégét</f>
        <v>0.99914759418945731</v>
      </c>
      <c r="BF339" s="814">
        <f>1+[2]!Salcycl*Ksac</f>
        <v>1.0098889719471693</v>
      </c>
      <c r="BH339" s="1050">
        <f t="shared" si="151"/>
        <v>2.6770467968033455E-2</v>
      </c>
      <c r="BI339" s="11">
        <v>44521</v>
      </c>
      <c r="BJ339" s="724">
        <v>2.4044328741975665E-6</v>
      </c>
      <c r="BK339" s="724">
        <v>2.9961921162104669E-6</v>
      </c>
      <c r="BL339" s="724">
        <v>7.1949524823717305E-6</v>
      </c>
      <c r="BM339" s="724">
        <v>1.9196501868657905E-4</v>
      </c>
      <c r="BN339" s="724">
        <v>6.0394502829585715E-3</v>
      </c>
      <c r="BO339" s="725">
        <v>2.6770467968033455E-2</v>
      </c>
      <c r="BP339" s="724">
        <v>8.0571684421342007E-2</v>
      </c>
      <c r="BQ339" s="724">
        <v>0.16565591772677049</v>
      </c>
      <c r="BR339" s="724">
        <v>0.25493306062773863</v>
      </c>
      <c r="BS339" s="724">
        <v>0.32312249582382219</v>
      </c>
      <c r="BT339" s="724">
        <v>0.36652866957966318</v>
      </c>
      <c r="BW339" s="1190">
        <f>'2018'!R\Max</f>
        <v>0.95839118120789657</v>
      </c>
      <c r="BX339" s="1188">
        <f>'2019'!R\Max</f>
        <v>1.0453981912331627</v>
      </c>
      <c r="BY339" s="1188">
        <f>'2020'!R\Max</f>
        <v>0.76032866967946588</v>
      </c>
      <c r="BZ339" s="1188">
        <f>'2021'!R\Max</f>
        <v>0.4126266801364874</v>
      </c>
      <c r="CA339" s="1188">
        <f>'2022'!R\Max</f>
        <v>0.18870928744695004</v>
      </c>
      <c r="CB339" s="1188">
        <f>'2023'!R\Max</f>
        <v>0.18686046790888455</v>
      </c>
      <c r="CC339" s="1188">
        <f>'2024'!R\Max</f>
        <v>0.18440901744712243</v>
      </c>
      <c r="CD339" s="1188">
        <f>'2025'!R\Max</f>
        <v>0.18187726349465644</v>
      </c>
      <c r="CE339" s="1188">
        <f>'2026'!R\Max</f>
        <v>0.17930500674758387</v>
      </c>
      <c r="CF339" s="1189">
        <f>'2027'!R\Max</f>
        <v>0.17733915271469383</v>
      </c>
    </row>
    <row r="340" spans="1:84" s="6" customFormat="1" ht="11.25" x14ac:dyDescent="0.2">
      <c r="A340" s="11">
        <v>43426</v>
      </c>
      <c r="B340" s="380">
        <f>'2023'!Maxi_hp</f>
        <v>19.238098983375799</v>
      </c>
      <c r="C340" s="13">
        <f>'2023'!An_max</f>
        <v>2020</v>
      </c>
      <c r="D340" s="1059">
        <f t="shared" si="135"/>
        <v>1.0030040184627591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51">
        <f t="shared" si="138"/>
        <v>0.2857142857142857</v>
      </c>
      <c r="J340" s="744">
        <f t="shared" si="139"/>
        <v>19.180480465931552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2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51">
        <f t="shared" si="143"/>
        <v>0.35714285714285715</v>
      </c>
      <c r="AT340" s="767">
        <f t="shared" si="144"/>
        <v>19.227670106185332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51">
        <f t="shared" si="148"/>
        <v>0.14285714285714285</v>
      </c>
      <c r="AY340" s="767">
        <f t="shared" si="149"/>
        <v>19.165669968830692</v>
      </c>
      <c r="AZ340" s="744">
        <f t="shared" si="153"/>
        <v>19.196670037508014</v>
      </c>
      <c r="BA340" s="642">
        <f t="shared" si="150"/>
        <v>1.0030040184627591</v>
      </c>
      <c r="BC340" s="11">
        <v>43426</v>
      </c>
      <c r="BD340" s="290">
        <f>[2]!FeuilCaduc*(1-Persistant)+Persistant</f>
        <v>0.67488074250533581</v>
      </c>
      <c r="BE340" s="291">
        <f>[2]!CroissVégét</f>
        <v>0.99919519572159454</v>
      </c>
      <c r="BF340" s="814">
        <f>1+[2]!Salcycl*Ksac</f>
        <v>1.009360092813167</v>
      </c>
      <c r="BH340" s="1050">
        <f t="shared" si="151"/>
        <v>2.6644129889160578E-2</v>
      </c>
      <c r="BI340" s="11">
        <v>44522</v>
      </c>
      <c r="BJ340" s="724">
        <v>2.2869228697859457E-6</v>
      </c>
      <c r="BK340" s="724">
        <v>2.9972021515435742E-6</v>
      </c>
      <c r="BL340" s="724">
        <v>8.1835496252217706E-6</v>
      </c>
      <c r="BM340" s="724">
        <v>1.9074570007862957E-4</v>
      </c>
      <c r="BN340" s="724">
        <v>5.9931869914231764E-3</v>
      </c>
      <c r="BO340" s="725">
        <v>2.6644129889160578E-2</v>
      </c>
      <c r="BP340" s="724">
        <v>8.1299408983599511E-2</v>
      </c>
      <c r="BQ340" s="724">
        <v>0.16571473018908842</v>
      </c>
      <c r="BR340" s="724">
        <v>0.2532650611831847</v>
      </c>
      <c r="BS340" s="724">
        <v>0.31838977377186956</v>
      </c>
      <c r="BT340" s="724">
        <v>0.35988994842360156</v>
      </c>
      <c r="BW340" s="1190">
        <f>'2018'!R\Max</f>
        <v>0.80021934028436159</v>
      </c>
      <c r="BX340" s="1188">
        <f>'2019'!R\Max</f>
        <v>0.56817212891905078</v>
      </c>
      <c r="BY340" s="1188">
        <f>'2020'!R\Max</f>
        <v>1.0030040184627591</v>
      </c>
      <c r="BZ340" s="1188">
        <f>'2021'!R\Max</f>
        <v>0.80593282660797505</v>
      </c>
      <c r="CA340" s="1188">
        <f>'2022'!R\Max</f>
        <v>0.42555884546369255</v>
      </c>
      <c r="CB340" s="1188">
        <f>'2023'!R\Max</f>
        <v>0.42211133544366397</v>
      </c>
      <c r="CC340" s="1188">
        <f>'2024'!R\Max</f>
        <v>0.41758184242184387</v>
      </c>
      <c r="CD340" s="1188">
        <f>'2025'!R\Max</f>
        <v>0.41291821412761437</v>
      </c>
      <c r="CE340" s="1188">
        <f>'2026'!R\Max</f>
        <v>0.40817476298484723</v>
      </c>
      <c r="CF340" s="1189">
        <f>'2027'!R\Max</f>
        <v>0.40462879948439068</v>
      </c>
    </row>
    <row r="341" spans="1:84" s="6" customFormat="1" ht="11.25" x14ac:dyDescent="0.2">
      <c r="A341" s="11">
        <v>43427</v>
      </c>
      <c r="B341" s="380">
        <f>'2023'!Maxi_hp</f>
        <v>18.879598059880493</v>
      </c>
      <c r="C341" s="13">
        <f>'2023'!An_max</f>
        <v>2020</v>
      </c>
      <c r="D341" s="1059">
        <f t="shared" si="135"/>
        <v>0.99386662536454307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51">
        <f t="shared" si="138"/>
        <v>0.21428571428571427</v>
      </c>
      <c r="J341" s="744">
        <f t="shared" si="139"/>
        <v>18.996108308753797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2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51">
        <f t="shared" si="143"/>
        <v>0.39285714285714285</v>
      </c>
      <c r="AT341" s="767">
        <f t="shared" si="144"/>
        <v>19.039470966240124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51">
        <f t="shared" si="148"/>
        <v>0.10714285714285714</v>
      </c>
      <c r="AY341" s="767">
        <f t="shared" si="149"/>
        <v>18.980092146034753</v>
      </c>
      <c r="AZ341" s="744">
        <f t="shared" si="153"/>
        <v>19.00978155613744</v>
      </c>
      <c r="BA341" s="642">
        <f t="shared" si="150"/>
        <v>0.99386662536454307</v>
      </c>
      <c r="BC341" s="11">
        <v>43427</v>
      </c>
      <c r="BD341" s="290">
        <f>[2]!FeuilCaduc*(1-Persistant)+Persistant</f>
        <v>0.67078779583869075</v>
      </c>
      <c r="BE341" s="291">
        <f>[2]!CroissVégét</f>
        <v>0.99924088493749397</v>
      </c>
      <c r="BF341" s="814">
        <f>1+[2]!Salcycl*Ksac</f>
        <v>1.0088484744798363</v>
      </c>
      <c r="BH341" s="1050">
        <f t="shared" si="151"/>
        <v>2.6561051237803099E-2</v>
      </c>
      <c r="BI341" s="11">
        <v>44523</v>
      </c>
      <c r="BJ341" s="724">
        <v>2.2094650287225868E-6</v>
      </c>
      <c r="BK341" s="724">
        <v>3.053655015137911E-6</v>
      </c>
      <c r="BL341" s="724">
        <v>9.3997611989242911E-6</v>
      </c>
      <c r="BM341" s="724">
        <v>1.8994626567160749E-4</v>
      </c>
      <c r="BN341" s="724">
        <v>5.9502507857262582E-3</v>
      </c>
      <c r="BO341" s="725">
        <v>2.6561051237803099E-2</v>
      </c>
      <c r="BP341" s="724">
        <v>8.1982538734022933E-2</v>
      </c>
      <c r="BQ341" s="724">
        <v>0.1656518062971887</v>
      </c>
      <c r="BR341" s="724">
        <v>0.25146709347676871</v>
      </c>
      <c r="BS341" s="724">
        <v>0.31368367997839047</v>
      </c>
      <c r="BT341" s="724">
        <v>0.35345807097197124</v>
      </c>
      <c r="BW341" s="1190">
        <f>'2018'!R\Max</f>
        <v>0.56506323747446185</v>
      </c>
      <c r="BX341" s="1188">
        <f>'2019'!R\Max</f>
        <v>0.34997474798750061</v>
      </c>
      <c r="BY341" s="1188">
        <f>'2020'!R\Max</f>
        <v>0.99386662536454307</v>
      </c>
      <c r="BZ341" s="1188">
        <f>'2021'!R\Max</f>
        <v>0.61607239029320415</v>
      </c>
      <c r="CA341" s="1188">
        <f>'2022'!R\Max</f>
        <v>0.59131879883594107</v>
      </c>
      <c r="CB341" s="1188">
        <f>'2023'!R\Max</f>
        <v>0.58787596433698186</v>
      </c>
      <c r="CC341" s="1188">
        <f>'2024'!R\Max</f>
        <v>0.5833867104842716</v>
      </c>
      <c r="CD341" s="1188">
        <f>'2025'!R\Max</f>
        <v>0.57877056517105951</v>
      </c>
      <c r="CE341" s="1188">
        <f>'2026'!R\Max</f>
        <v>0.57406312863613085</v>
      </c>
      <c r="CF341" s="1189">
        <f>'2027'!R\Max</f>
        <v>0.57061445985645032</v>
      </c>
    </row>
    <row r="342" spans="1:84" s="6" customFormat="1" ht="11.25" x14ac:dyDescent="0.2">
      <c r="A342" s="11">
        <v>43428</v>
      </c>
      <c r="B342" s="380">
        <f>'2023'!Maxi_hp</f>
        <v>17.858943426555001</v>
      </c>
      <c r="C342" s="13">
        <f>'2023'!An_max</f>
        <v>2020</v>
      </c>
      <c r="D342" s="1059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51">
        <f t="shared" si="138"/>
        <v>0.14285714285714285</v>
      </c>
      <c r="J342" s="744">
        <f t="shared" si="139"/>
        <v>18.819696793385916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2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51">
        <f t="shared" si="143"/>
        <v>0.42857142857142855</v>
      </c>
      <c r="AT342" s="767">
        <f t="shared" si="144"/>
        <v>18.858120755638392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51">
        <f t="shared" si="148"/>
        <v>7.1428571428571425E-2</v>
      </c>
      <c r="AY342" s="767">
        <f t="shared" si="149"/>
        <v>18.80553425481277</v>
      </c>
      <c r="AZ342" s="744">
        <f t="shared" si="153"/>
        <v>18.831827505225583</v>
      </c>
      <c r="BA342" s="642">
        <f t="shared" si="150"/>
        <v>0.94894958312141531</v>
      </c>
      <c r="BC342" s="11">
        <v>43428</v>
      </c>
      <c r="BD342" s="290">
        <f>[2]!FeuilCaduc*(1-Persistant)+Persistant</f>
        <v>0.66683552289354608</v>
      </c>
      <c r="BE342" s="291">
        <f>[2]!CroissVégét</f>
        <v>0.99928473849698995</v>
      </c>
      <c r="BF342" s="814">
        <f>1+[2]!Salcycl*Ksac</f>
        <v>1.0083544403616933</v>
      </c>
      <c r="BH342" s="1050">
        <f t="shared" si="151"/>
        <v>2.6521190162928338E-2</v>
      </c>
      <c r="BI342" s="11">
        <v>44524</v>
      </c>
      <c r="BJ342" s="724">
        <v>2.1720879674591168E-6</v>
      </c>
      <c r="BK342" s="724">
        <v>3.1655769481713192E-6</v>
      </c>
      <c r="BL342" s="724">
        <v>1.0843623855109808E-5</v>
      </c>
      <c r="BM342" s="724">
        <v>1.8956651279083517E-4</v>
      </c>
      <c r="BN342" s="724">
        <v>5.9106296834432739E-3</v>
      </c>
      <c r="BO342" s="725">
        <v>2.6521190162928338E-2</v>
      </c>
      <c r="BP342" s="724">
        <v>8.2620739011750322E-2</v>
      </c>
      <c r="BQ342" s="724">
        <v>0.16546656503502352</v>
      </c>
      <c r="BR342" s="724">
        <v>0.24953845433585312</v>
      </c>
      <c r="BS342" s="724">
        <v>0.30900367507845955</v>
      </c>
      <c r="BT342" s="724">
        <v>0.34723264952905969</v>
      </c>
      <c r="BW342" s="1190">
        <f>'2018'!R\Max</f>
        <v>0.76988239157383509</v>
      </c>
      <c r="BX342" s="1188">
        <f>'2019'!R\Max</f>
        <v>0.6837645583883829</v>
      </c>
      <c r="BY342" s="1188">
        <f>'2020'!R\Max</f>
        <v>0.94894958312141531</v>
      </c>
      <c r="BZ342" s="1188">
        <f>'2021'!R\Max</f>
        <v>9.8842262678635565E-2</v>
      </c>
      <c r="CA342" s="1188">
        <f>'2022'!R\Max</f>
        <v>0.66307863152158975</v>
      </c>
      <c r="CB342" s="1188">
        <f>'2023'!R\Max</f>
        <v>0.65987238934748793</v>
      </c>
      <c r="CC342" s="1188">
        <f>'2024'!R\Max</f>
        <v>0.65573463847671043</v>
      </c>
      <c r="CD342" s="1188">
        <f>'2025'!R\Max</f>
        <v>0.65149920910267922</v>
      </c>
      <c r="CE342" s="1188">
        <f>'2026'!R\Max</f>
        <v>0.64718412037698414</v>
      </c>
      <c r="CF342" s="1189">
        <f>'2027'!R\Max</f>
        <v>0.64409338978039798</v>
      </c>
    </row>
    <row r="343" spans="1:84" s="6" customFormat="1" ht="11.25" x14ac:dyDescent="0.2">
      <c r="A343" s="11">
        <v>43429</v>
      </c>
      <c r="B343" s="380">
        <f>'2023'!Maxi_hp</f>
        <v>17.941310299000229</v>
      </c>
      <c r="C343" s="13">
        <f>'2023'!An_max</f>
        <v>2020</v>
      </c>
      <c r="D343" s="1059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51">
        <f t="shared" si="138"/>
        <v>7.1428571428571425E-2</v>
      </c>
      <c r="J343" s="744">
        <f t="shared" si="139"/>
        <v>18.651356998298848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2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51">
        <f t="shared" si="143"/>
        <v>0.4642857142857143</v>
      </c>
      <c r="AT343" s="767">
        <f t="shared" si="144"/>
        <v>18.683841078568783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51">
        <f t="shared" si="148"/>
        <v>3.5714285714285712E-2</v>
      </c>
      <c r="AY343" s="767">
        <f t="shared" si="149"/>
        <v>18.64242673093187</v>
      </c>
      <c r="AZ343" s="744">
        <f t="shared" si="153"/>
        <v>18.663133904750325</v>
      </c>
      <c r="BA343" s="642">
        <f t="shared" si="150"/>
        <v>0.96193056090431484</v>
      </c>
      <c r="BC343" s="11">
        <v>43429</v>
      </c>
      <c r="BD343" s="290">
        <f>[2]!FeuilCaduc*(1-Persistant)+Persistant</f>
        <v>0.66302599355952796</v>
      </c>
      <c r="BE343" s="291">
        <f>[2]!CroissVégét</f>
        <v>0.99932682999978462</v>
      </c>
      <c r="BF343" s="814">
        <f>1+[2]!Salcycl*Ksac</f>
        <v>1.007878249194941</v>
      </c>
      <c r="BH343" s="1050">
        <f t="shared" si="151"/>
        <v>2.6524633902767863E-2</v>
      </c>
      <c r="BI343" s="11">
        <v>44525</v>
      </c>
      <c r="BJ343" s="724">
        <v>2.1748251288967555E-6</v>
      </c>
      <c r="BK343" s="724">
        <v>3.333000546844542E-6</v>
      </c>
      <c r="BL343" s="724">
        <v>1.2515182449785094E-5</v>
      </c>
      <c r="BM343" s="724">
        <v>1.8960714397928165E-4</v>
      </c>
      <c r="BN343" s="724">
        <v>5.8743417204492323E-3</v>
      </c>
      <c r="BO343" s="725">
        <v>2.6524633902767863E-2</v>
      </c>
      <c r="BP343" s="724">
        <v>8.3214101389647369E-2</v>
      </c>
      <c r="BQ343" s="724">
        <v>0.1651592945223424</v>
      </c>
      <c r="BR343" s="724">
        <v>0.24747975402235792</v>
      </c>
      <c r="BS343" s="724">
        <v>0.3043508313561763</v>
      </c>
      <c r="BT343" s="724">
        <v>0.34121508517181098</v>
      </c>
      <c r="BW343" s="1190">
        <f>'2018'!R\Max</f>
        <v>0.59149744966910189</v>
      </c>
      <c r="BX343" s="1188">
        <f>'2019'!R\Max</f>
        <v>0.60357290660553686</v>
      </c>
      <c r="BY343" s="1188">
        <f>'2020'!R\Max</f>
        <v>0.96193056090431484</v>
      </c>
      <c r="BZ343" s="1188">
        <f>'2021'!R\Max</f>
        <v>0.70597355914684645</v>
      </c>
      <c r="CA343" s="1188">
        <f>'2022'!R\Max</f>
        <v>0.32069177639528496</v>
      </c>
      <c r="CB343" s="1188">
        <f>'2023'!R\Max</f>
        <v>0.31756555127562941</v>
      </c>
      <c r="CC343" s="1188">
        <f>'2024'!R\Max</f>
        <v>0.31362521382275843</v>
      </c>
      <c r="CD343" s="1188">
        <f>'2025'!R\Max</f>
        <v>0.30966954174854416</v>
      </c>
      <c r="CE343" s="1188">
        <f>'2026'!R\Max</f>
        <v>0.30570446440957405</v>
      </c>
      <c r="CF343" s="1189">
        <f>'2027'!R\Max</f>
        <v>0.30296107142671314</v>
      </c>
    </row>
    <row r="344" spans="1:84" s="6" customFormat="1" ht="11.25" x14ac:dyDescent="0.2">
      <c r="A344" s="11">
        <v>43430</v>
      </c>
      <c r="B344" s="380">
        <f>'2023'!Maxi_hp</f>
        <v>17.978894299225775</v>
      </c>
      <c r="C344" s="13">
        <f>'2023'!An_max</f>
        <v>2020</v>
      </c>
      <c r="D344" s="1059">
        <f t="shared" si="135"/>
        <v>0.9722946211808543</v>
      </c>
      <c r="E344" s="1054">
        <f>AK$13/10</f>
        <v>18.491199999999999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51">
        <f t="shared" si="138"/>
        <v>0</v>
      </c>
      <c r="J344" s="744">
        <f t="shared" si="139"/>
        <v>18.491200000047684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2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51">
        <f t="shared" si="143"/>
        <v>0.5</v>
      </c>
      <c r="AT344" s="767">
        <f t="shared" si="144"/>
        <v>18.516853538528085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51">
        <f t="shared" si="148"/>
        <v>0</v>
      </c>
      <c r="AY344" s="767">
        <f t="shared" si="149"/>
        <v>18.491199998557569</v>
      </c>
      <c r="AZ344" s="744">
        <f t="shared" si="153"/>
        <v>18.504026768542829</v>
      </c>
      <c r="BA344" s="642">
        <f t="shared" si="150"/>
        <v>0.9722946211808543</v>
      </c>
      <c r="BC344" s="11">
        <v>43430</v>
      </c>
      <c r="BD344" s="290">
        <f>[2]!FeuilCaduc*(1-Persistant)+Persistant</f>
        <v>0.65936075910655212</v>
      </c>
      <c r="BE344" s="291">
        <f>[2]!CroissVégét</f>
        <v>0.99936723010658135</v>
      </c>
      <c r="BF344" s="814">
        <f>1+[2]!Salcycl*Ksac</f>
        <v>1.007420094888319</v>
      </c>
      <c r="BH344" s="1050">
        <f t="shared" si="151"/>
        <v>2.6571462348419058E-2</v>
      </c>
      <c r="BI344" s="11">
        <v>44526</v>
      </c>
      <c r="BJ344" s="724">
        <v>2.2177032821088016E-6</v>
      </c>
      <c r="BK344" s="724">
        <v>3.5559505454600054E-6</v>
      </c>
      <c r="BL344" s="724">
        <v>1.4414457860173559E-5</v>
      </c>
      <c r="BM344" s="724">
        <v>1.9006879092922063E-4</v>
      </c>
      <c r="BN344" s="724">
        <v>5.8414040369730511E-3</v>
      </c>
      <c r="BO344" s="725">
        <v>2.6571462348419058E-2</v>
      </c>
      <c r="BP344" s="724">
        <v>8.3762729388632925E-2</v>
      </c>
      <c r="BQ344" s="724">
        <v>0.16473029962949112</v>
      </c>
      <c r="BR344" s="724">
        <v>0.24529160568268737</v>
      </c>
      <c r="BS344" s="724">
        <v>0.29972617565898468</v>
      </c>
      <c r="BT344" s="724">
        <v>0.33540669175202281</v>
      </c>
      <c r="BW344" s="1190">
        <f>'2018'!R\Max</f>
        <v>0.20203907698314766</v>
      </c>
      <c r="BX344" s="1188">
        <f>'2019'!R\Max</f>
        <v>0.79016445455737516</v>
      </c>
      <c r="BY344" s="1188">
        <f>'2020'!R\Max</f>
        <v>0.9722946211808543</v>
      </c>
      <c r="BZ344" s="1188">
        <f>'2021'!R\Max</f>
        <v>0.41474054916914282</v>
      </c>
      <c r="CA344" s="1188">
        <f>'2022'!R\Max</f>
        <v>0.62179116767955001</v>
      </c>
      <c r="CB344" s="1188">
        <f>'2023'!R\Max</f>
        <v>0.61839041418013929</v>
      </c>
      <c r="CC344" s="1188">
        <f>'2024'!R\Max</f>
        <v>0.61411437599100327</v>
      </c>
      <c r="CD344" s="1188">
        <f>'2025'!R\Max</f>
        <v>0.609802347572168</v>
      </c>
      <c r="CE344" s="1188">
        <f>'2026'!R\Max</f>
        <v>0.6054466569239001</v>
      </c>
      <c r="CF344" s="1189">
        <f>'2027'!R\Max</f>
        <v>0.60247182477180716</v>
      </c>
    </row>
    <row r="345" spans="1:84" s="6" customFormat="1" ht="11.25" x14ac:dyDescent="0.2">
      <c r="A345" s="11">
        <v>43431</v>
      </c>
      <c r="B345" s="380">
        <f>'2023'!Maxi_hp</f>
        <v>16.263070033899286</v>
      </c>
      <c r="C345" s="13">
        <f>'2023'!An_max</f>
        <v>2018</v>
      </c>
      <c r="D345" s="1059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51">
        <f t="shared" si="138"/>
        <v>7.1428571428571425E-2</v>
      </c>
      <c r="J345" s="744">
        <f t="shared" si="139"/>
        <v>18.337855831640105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2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51">
        <f t="shared" si="143"/>
        <v>0.5357142857142857</v>
      </c>
      <c r="AT345" s="767">
        <f t="shared" si="144"/>
        <v>18.357379738401089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51">
        <f t="shared" si="148"/>
        <v>3.5714285714285712E-2</v>
      </c>
      <c r="AY345" s="767">
        <f t="shared" si="149"/>
        <v>18.350629849998015</v>
      </c>
      <c r="AZ345" s="744">
        <f t="shared" si="153"/>
        <v>18.354004794199554</v>
      </c>
      <c r="BA345" s="642">
        <f t="shared" si="150"/>
        <v>0.88685777569692814</v>
      </c>
      <c r="BC345" s="11">
        <v>43431</v>
      </c>
      <c r="BD345" s="290">
        <f>[2]!FeuilCaduc*(1-Persistant)+Persistant</f>
        <v>0.65584085415297422</v>
      </c>
      <c r="BE345" s="291">
        <f>[2]!CroissVégét</f>
        <v>0.9994060066555025</v>
      </c>
      <c r="BF345" s="814">
        <f>1+[2]!Salcycl*Ksac</f>
        <v>1.0069801067691218</v>
      </c>
      <c r="BH345" s="1050">
        <f t="shared" si="151"/>
        <v>2.6661748960094198E-2</v>
      </c>
      <c r="BI345" s="11">
        <v>44527</v>
      </c>
      <c r="BJ345" s="724">
        <v>2.3007433586152091E-6</v>
      </c>
      <c r="BK345" s="724">
        <v>3.8344449722156852E-6</v>
      </c>
      <c r="BL345" s="724">
        <v>1.6541451717006783E-5</v>
      </c>
      <c r="BM345" s="724">
        <v>1.9095202333890601E-4</v>
      </c>
      <c r="BN345" s="724">
        <v>5.8118329505784235E-3</v>
      </c>
      <c r="BO345" s="725">
        <v>2.6661748960094198E-2</v>
      </c>
      <c r="BP345" s="724">
        <v>8.4266737585343129E-2</v>
      </c>
      <c r="BQ345" s="724">
        <v>0.16417989953172923</v>
      </c>
      <c r="BR345" s="724">
        <v>0.24297462279618412</v>
      </c>
      <c r="BS345" s="724">
        <v>0.29513069017377191</v>
      </c>
      <c r="BT345" s="724">
        <v>0.32980870046673438</v>
      </c>
      <c r="BW345" s="1190">
        <f>'2018'!R\Max</f>
        <v>0.88685777569692814</v>
      </c>
      <c r="BX345" s="1188">
        <f>'2019'!R\Max</f>
        <v>0.76483167494309223</v>
      </c>
      <c r="BY345" s="1188">
        <f>'2020'!R\Max</f>
        <v>0.74789912755851773</v>
      </c>
      <c r="BZ345" s="1188">
        <f>'2021'!R\Max</f>
        <v>0.76283899274572775</v>
      </c>
      <c r="CA345" s="1188">
        <f>'2022'!R\Max</f>
        <v>0.70763152796768447</v>
      </c>
      <c r="CB345" s="1188">
        <f>'2023'!R\Max</f>
        <v>0.70463020041827429</v>
      </c>
      <c r="CC345" s="1188">
        <f>'2024'!R\Max</f>
        <v>0.70089115103834143</v>
      </c>
      <c r="CD345" s="1188">
        <f>'2025'!R\Max</f>
        <v>0.69713214473743146</v>
      </c>
      <c r="CE345" s="1188">
        <f>'2026'!R\Max</f>
        <v>0.69333561022741452</v>
      </c>
      <c r="CF345" s="1189">
        <f>'2027'!R\Max</f>
        <v>0.69078944804907116</v>
      </c>
    </row>
    <row r="346" spans="1:84" s="6" customFormat="1" ht="11.25" x14ac:dyDescent="0.2">
      <c r="A346" s="11">
        <v>43432</v>
      </c>
      <c r="B346" s="380">
        <f>'2023'!Maxi_hp</f>
        <v>12.704962668086491</v>
      </c>
      <c r="C346" s="13">
        <f>'2023'!An_max</f>
        <v>2018</v>
      </c>
      <c r="D346" s="1059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51">
        <f t="shared" si="138"/>
        <v>0.14285714285714285</v>
      </c>
      <c r="J346" s="744">
        <f t="shared" si="139"/>
        <v>18.190250729875906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2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51">
        <f t="shared" si="143"/>
        <v>0.5714285714285714</v>
      </c>
      <c r="AT346" s="767">
        <f t="shared" si="144"/>
        <v>18.205641280114651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51">
        <f t="shared" si="148"/>
        <v>7.1428571428571425E-2</v>
      </c>
      <c r="AY346" s="767">
        <f t="shared" si="149"/>
        <v>18.219142035394906</v>
      </c>
      <c r="AZ346" s="744">
        <f t="shared" si="153"/>
        <v>18.212391657754779</v>
      </c>
      <c r="BA346" s="642">
        <f t="shared" si="150"/>
        <v>0.69844901297702811</v>
      </c>
      <c r="BC346" s="11">
        <v>43432</v>
      </c>
      <c r="BD346" s="290">
        <f>[2]!FeuilCaduc*(1-Persistant)+Persistant</f>
        <v>0.65246680175585481</v>
      </c>
      <c r="BE346" s="291">
        <f>[2]!CroissVégét</f>
        <v>0.99944322477397196</v>
      </c>
      <c r="BF346" s="814">
        <f>1+[2]!Salcycl*Ksac</f>
        <v>1.0065583502194819</v>
      </c>
      <c r="BH346" s="1050">
        <f t="shared" si="151"/>
        <v>2.6803238935494213E-2</v>
      </c>
      <c r="BI346" s="11">
        <v>44528</v>
      </c>
      <c r="BJ346" s="724">
        <v>2.3904337840915479E-6</v>
      </c>
      <c r="BK346" s="724">
        <v>4.1070898700284729E-6</v>
      </c>
      <c r="BL346" s="724">
        <v>1.8707799574700672E-5</v>
      </c>
      <c r="BM346" s="724">
        <v>1.9184067513970646E-4</v>
      </c>
      <c r="BN346" s="724">
        <v>5.7856455116334143E-3</v>
      </c>
      <c r="BO346" s="725">
        <v>2.6803238935494213E-2</v>
      </c>
      <c r="BP346" s="724">
        <v>8.471493282191904E-2</v>
      </c>
      <c r="BQ346" s="724">
        <v>0.16352447100555648</v>
      </c>
      <c r="BR346" s="724">
        <v>0.24057067956039072</v>
      </c>
      <c r="BS346" s="724">
        <v>0.29066271434700314</v>
      </c>
      <c r="BT346" s="724">
        <v>0.32453297507959089</v>
      </c>
      <c r="BW346" s="1190">
        <f>'2018'!R\Max</f>
        <v>0.69844901297702811</v>
      </c>
      <c r="BX346" s="1188">
        <f>'2019'!R\Max</f>
        <v>0.53944744547217138</v>
      </c>
      <c r="BY346" s="1188">
        <f>'2020'!R\Max</f>
        <v>0.60670841005267517</v>
      </c>
      <c r="BZ346" s="1188">
        <f>'2021'!R\Max</f>
        <v>0.39557864694247435</v>
      </c>
      <c r="CA346" s="1188">
        <f>'2022'!R\Max</f>
        <v>0.60624545627367465</v>
      </c>
      <c r="CB346" s="1188">
        <f>'2023'!R\Max</f>
        <v>0.60278583130829189</v>
      </c>
      <c r="CC346" s="1188">
        <f>'2024'!R\Max</f>
        <v>0.59853912421626965</v>
      </c>
      <c r="CD346" s="1188">
        <f>'2025'!R\Max</f>
        <v>0.59430992115717018</v>
      </c>
      <c r="CE346" s="1188">
        <f>'2026'!R\Max</f>
        <v>0.59006733296589531</v>
      </c>
      <c r="CF346" s="1189">
        <f>'2027'!R\Max</f>
        <v>0.58728182414708829</v>
      </c>
    </row>
    <row r="347" spans="1:84" s="6" customFormat="1" ht="11.25" x14ac:dyDescent="0.2">
      <c r="A347" s="11">
        <v>43433</v>
      </c>
      <c r="B347" s="380">
        <f>'2023'!Maxi_hp</f>
        <v>18.062192612165116</v>
      </c>
      <c r="C347" s="13">
        <f>'2023'!An_max</f>
        <v>2018</v>
      </c>
      <c r="D347" s="1059">
        <f t="shared" si="135"/>
        <v>1.000734254871225</v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51">
        <f t="shared" si="138"/>
        <v>0.21428571428571427</v>
      </c>
      <c r="J347" s="744">
        <f t="shared" si="139"/>
        <v>18.048940089983596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2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51">
        <f t="shared" si="143"/>
        <v>0.6071428571428571</v>
      </c>
      <c r="AT347" s="767">
        <f t="shared" si="144"/>
        <v>18.061859766287462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51">
        <f t="shared" si="148"/>
        <v>0.10714285714285714</v>
      </c>
      <c r="AY347" s="767">
        <f t="shared" si="149"/>
        <v>18.096641945785713</v>
      </c>
      <c r="AZ347" s="744">
        <f t="shared" si="153"/>
        <v>18.079250856036587</v>
      </c>
      <c r="BA347" s="642">
        <f t="shared" si="150"/>
        <v>1.000734254871225</v>
      </c>
      <c r="BC347" s="11">
        <v>43433</v>
      </c>
      <c r="BD347" s="290">
        <f>[2]!FeuilCaduc*(1-Persistant)+Persistant</f>
        <v>0.64923862155967649</v>
      </c>
      <c r="BE347" s="291">
        <f>[2]!CroissVégét</f>
        <v>0.9994789469862303</v>
      </c>
      <c r="BF347" s="814">
        <f>1+[2]!Salcycl*Ksac</f>
        <v>1.0061548276949595</v>
      </c>
      <c r="BH347" s="1050">
        <f t="shared" si="151"/>
        <v>2.6976708782831912E-2</v>
      </c>
      <c r="BI347" s="11">
        <v>44529</v>
      </c>
      <c r="BJ347" s="724">
        <v>2.4694329730022363E-6</v>
      </c>
      <c r="BK347" s="724">
        <v>4.3421102408854063E-6</v>
      </c>
      <c r="BL347" s="724">
        <v>2.0785667558494768E-5</v>
      </c>
      <c r="BM347" s="724">
        <v>1.9254295300582204E-4</v>
      </c>
      <c r="BN347" s="724">
        <v>5.760650800822254E-3</v>
      </c>
      <c r="BO347" s="725">
        <v>2.6976708782831912E-2</v>
      </c>
      <c r="BP347" s="724">
        <v>8.5102454324868557E-2</v>
      </c>
      <c r="BQ347" s="724">
        <v>0.16282581946600516</v>
      </c>
      <c r="BR347" s="724">
        <v>0.23815551640455593</v>
      </c>
      <c r="BS347" s="724">
        <v>0.28634670995616357</v>
      </c>
      <c r="BT347" s="724">
        <v>0.31946855857024775</v>
      </c>
      <c r="BW347" s="1190">
        <f>'2018'!R\Max</f>
        <v>1.000734254871225</v>
      </c>
      <c r="BX347" s="1188">
        <f>'2019'!R\Max</f>
        <v>0.85996166833385257</v>
      </c>
      <c r="BY347" s="1188">
        <f>'2020'!R\Max</f>
        <v>0.4232303041322652</v>
      </c>
      <c r="BZ347" s="1188">
        <f>'2021'!R\Max</f>
        <v>0.42422499280283177</v>
      </c>
      <c r="CA347" s="1188">
        <f>'2022'!R\Max</f>
        <v>0.81750378159830017</v>
      </c>
      <c r="CB347" s="1188">
        <f>'2023'!R\Max</f>
        <v>0.81533595715325979</v>
      </c>
      <c r="CC347" s="1188">
        <f>'2024'!R\Max</f>
        <v>0.81268501979429408</v>
      </c>
      <c r="CD347" s="1188">
        <f>'2025'!R\Max</f>
        <v>0.81004079575345667</v>
      </c>
      <c r="CE347" s="1188">
        <f>'2026'!R\Max</f>
        <v>0.80737679138761698</v>
      </c>
      <c r="CF347" s="1189">
        <f>'2027'!R\Max</f>
        <v>0.80564550807808688</v>
      </c>
    </row>
    <row r="348" spans="1:84" s="6" customFormat="1" ht="11.25" x14ac:dyDescent="0.2">
      <c r="A348" s="11">
        <v>43434</v>
      </c>
      <c r="B348" s="380">
        <f>'2023'!Maxi_hp</f>
        <v>16.943177507664462</v>
      </c>
      <c r="C348" s="13">
        <f>'2023'!An_max</f>
        <v>2021</v>
      </c>
      <c r="D348" s="1059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51">
        <f t="shared" si="138"/>
        <v>0.2857142857142857</v>
      </c>
      <c r="J348" s="744">
        <f t="shared" si="139"/>
        <v>17.914479299741132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2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51">
        <f t="shared" si="143"/>
        <v>0.6428571428571429</v>
      </c>
      <c r="AT348" s="767">
        <f t="shared" si="144"/>
        <v>17.926256802358797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51">
        <f t="shared" si="148"/>
        <v>0.14285714285714285</v>
      </c>
      <c r="AY348" s="767">
        <f t="shared" si="149"/>
        <v>17.983034960499833</v>
      </c>
      <c r="AZ348" s="744">
        <f t="shared" si="153"/>
        <v>17.954645881429315</v>
      </c>
      <c r="BA348" s="642">
        <f t="shared" si="150"/>
        <v>0.94578118761784469</v>
      </c>
      <c r="BC348" s="11">
        <v>43434</v>
      </c>
      <c r="BD348" s="290">
        <f>[2]!FeuilCaduc*(1-Persistant)+Persistant</f>
        <v>0.64615584091608813</v>
      </c>
      <c r="BE348" s="291">
        <f>[2]!CroissVégét</f>
        <v>0.99951323331664843</v>
      </c>
      <c r="BF348" s="814">
        <f>1+[2]!Salcycl*Ksac</f>
        <v>1.0057694801145109</v>
      </c>
      <c r="BH348" s="1050">
        <f t="shared" si="151"/>
        <v>2.7182214957759503E-2</v>
      </c>
      <c r="BI348" s="11">
        <v>44530</v>
      </c>
      <c r="BJ348" s="724">
        <v>2.53773864667545E-6</v>
      </c>
      <c r="BK348" s="724">
        <v>4.5394913042842432E-6</v>
      </c>
      <c r="BL348" s="724">
        <v>2.2774960372402398E-5</v>
      </c>
      <c r="BM348" s="724">
        <v>1.9305916633642143E-4</v>
      </c>
      <c r="BN348" s="724">
        <v>5.7368625691050328E-3</v>
      </c>
      <c r="BO348" s="725">
        <v>2.7182214957759503E-2</v>
      </c>
      <c r="BP348" s="724">
        <v>8.5429441083308091E-2</v>
      </c>
      <c r="BQ348" s="724">
        <v>0.16208431041658092</v>
      </c>
      <c r="BR348" s="724">
        <v>0.23572975880088273</v>
      </c>
      <c r="BS348" s="724">
        <v>0.28218355447648608</v>
      </c>
      <c r="BT348" s="724">
        <v>0.31461645575999464</v>
      </c>
      <c r="BW348" s="1190">
        <f>'2018'!R\Max</f>
        <v>0.50615526563896829</v>
      </c>
      <c r="BX348" s="1188">
        <f>'2019'!R\Max</f>
        <v>0.60387270082039379</v>
      </c>
      <c r="BY348" s="1188">
        <f>'2020'!R\Max</f>
        <v>0.91854200978102241</v>
      </c>
      <c r="BZ348" s="1188">
        <f>'2021'!R\Max</f>
        <v>0.94578118761784469</v>
      </c>
      <c r="CA348" s="1188">
        <f>'2022'!R\Max</f>
        <v>0.24509661195742624</v>
      </c>
      <c r="CB348" s="1188">
        <f>'2023'!R\Max</f>
        <v>0.24261642608838815</v>
      </c>
      <c r="CC348" s="1188">
        <f>'2024'!R\Max</f>
        <v>0.23966217638305332</v>
      </c>
      <c r="CD348" s="1188">
        <f>'2025'!R\Max</f>
        <v>0.23678506569605823</v>
      </c>
      <c r="CE348" s="1188">
        <f>'2026'!R\Max</f>
        <v>0.23394679793719403</v>
      </c>
      <c r="CF348" s="1189">
        <f>'2027'!R\Max</f>
        <v>0.23215483894389058</v>
      </c>
    </row>
    <row r="349" spans="1:84" s="6" customFormat="1" ht="11.25" x14ac:dyDescent="0.2">
      <c r="A349" s="11">
        <v>43435</v>
      </c>
      <c r="B349" s="380">
        <f>'2023'!Maxi_hp</f>
        <v>17.003353982063814</v>
      </c>
      <c r="C349" s="13">
        <f>'2023'!An_max</f>
        <v>2020</v>
      </c>
      <c r="D349" s="1059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51">
        <f t="shared" si="138"/>
        <v>0.35714285714285715</v>
      </c>
      <c r="J349" s="744">
        <f t="shared" si="139"/>
        <v>17.787423760443925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2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51">
        <f t="shared" si="143"/>
        <v>0.6785714285714286</v>
      </c>
      <c r="AT349" s="767">
        <f t="shared" si="144"/>
        <v>17.799053990228902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51">
        <f t="shared" si="148"/>
        <v>0.17857142857142858</v>
      </c>
      <c r="AY349" s="767">
        <f t="shared" si="149"/>
        <v>17.87822646738163</v>
      </c>
      <c r="AZ349" s="744">
        <f t="shared" si="153"/>
        <v>17.838640228805268</v>
      </c>
      <c r="BA349" s="642">
        <f t="shared" si="150"/>
        <v>0.95591999218438006</v>
      </c>
      <c r="BC349" s="11">
        <v>43435</v>
      </c>
      <c r="BD349" s="290">
        <f>[2]!FeuilCaduc*(1-Persistant)+Persistant</f>
        <v>0.64321750886433393</v>
      </c>
      <c r="BE349" s="291">
        <f>[2]!CroissVégét</f>
        <v>0.99954614138899944</v>
      </c>
      <c r="BF349" s="814">
        <f>1+[2]!Salcycl*Ksac</f>
        <v>1.0054021886080418</v>
      </c>
      <c r="BH349" s="1050">
        <f t="shared" si="151"/>
        <v>2.7419812229931211E-2</v>
      </c>
      <c r="BI349" s="11">
        <v>44531</v>
      </c>
      <c r="BJ349" s="724">
        <v>2.5953502029212679E-6</v>
      </c>
      <c r="BK349" s="724">
        <v>4.6992238322826336E-6</v>
      </c>
      <c r="BL349" s="724">
        <v>2.4675608474570351E-5</v>
      </c>
      <c r="BM349" s="724">
        <v>1.9338964773457103E-4</v>
      </c>
      <c r="BN349" s="724">
        <v>5.7142942296270482E-3</v>
      </c>
      <c r="BO349" s="725">
        <v>2.7419812229931211E-2</v>
      </c>
      <c r="BP349" s="724">
        <v>8.5696040907322704E-2</v>
      </c>
      <c r="BQ349" s="724">
        <v>0.16130030724566555</v>
      </c>
      <c r="BR349" s="724">
        <v>0.23329401252426074</v>
      </c>
      <c r="BS349" s="724">
        <v>0.27817407407326816</v>
      </c>
      <c r="BT349" s="724">
        <v>0.30997760814717951</v>
      </c>
      <c r="BW349" s="1190">
        <f>'2018'!R\Max</f>
        <v>0.81298461927295484</v>
      </c>
      <c r="BX349" s="1188">
        <f>'2019'!R\Max</f>
        <v>0.41933758075401367</v>
      </c>
      <c r="BY349" s="1188">
        <f>'2020'!R\Max</f>
        <v>0.95591999218438006</v>
      </c>
      <c r="BZ349" s="1188">
        <f>'2021'!R\Max</f>
        <v>0.25393406516915518</v>
      </c>
      <c r="CA349" s="1188">
        <f>'2022'!R\Max</f>
        <v>0.22106478840188895</v>
      </c>
      <c r="CB349" s="1188">
        <f>'2023'!R\Max</f>
        <v>0.21883344057886062</v>
      </c>
      <c r="CC349" s="1188">
        <f>'2024'!R\Max</f>
        <v>0.21619856546334953</v>
      </c>
      <c r="CD349" s="1188">
        <f>'2025'!R\Max</f>
        <v>0.21364738421378401</v>
      </c>
      <c r="CE349" s="1188">
        <f>'2026'!R\Max</f>
        <v>0.21113834032381237</v>
      </c>
      <c r="CF349" s="1189">
        <f>'2027'!R\Max</f>
        <v>0.2095727765186649</v>
      </c>
    </row>
    <row r="350" spans="1:84" s="6" customFormat="1" ht="11.25" x14ac:dyDescent="0.2">
      <c r="A350" s="11">
        <v>43436</v>
      </c>
      <c r="B350" s="380">
        <f>'2023'!Maxi_hp</f>
        <v>9.0516021673760747</v>
      </c>
      <c r="C350" s="13">
        <f>'2023'!An_max</f>
        <v>2021</v>
      </c>
      <c r="D350" s="1059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51">
        <f t="shared" si="138"/>
        <v>0.42857142857142855</v>
      </c>
      <c r="J350" s="744">
        <f t="shared" si="139"/>
        <v>17.668328864233832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2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51">
        <f t="shared" si="143"/>
        <v>0.7142857142857143</v>
      </c>
      <c r="AT350" s="767">
        <f t="shared" si="144"/>
        <v>17.680472932755947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51">
        <f t="shared" si="148"/>
        <v>0.21428571428571427</v>
      </c>
      <c r="AY350" s="767">
        <f t="shared" si="149"/>
        <v>17.782121852785345</v>
      </c>
      <c r="AZ350" s="744">
        <f t="shared" si="153"/>
        <v>17.731297392770646</v>
      </c>
      <c r="BA350" s="642">
        <f t="shared" si="150"/>
        <v>0.51230663844498159</v>
      </c>
      <c r="BC350" s="11">
        <v>43436</v>
      </c>
      <c r="BD350" s="290">
        <f>[2]!FeuilCaduc*(1-Persistant)+Persistant</f>
        <v>0.64042221284015988</v>
      </c>
      <c r="BE350" s="291">
        <f>[2]!CroissVégét</f>
        <v>0.99957772652184329</v>
      </c>
      <c r="BF350" s="814">
        <f>1+[2]!Salcycl*Ksac</f>
        <v>1.0050527766050199</v>
      </c>
      <c r="BH350" s="1050">
        <f t="shared" si="151"/>
        <v>2.7689554358196783E-2</v>
      </c>
      <c r="BI350" s="11">
        <v>44532</v>
      </c>
      <c r="BJ350" s="724">
        <v>2.642268494219423E-6</v>
      </c>
      <c r="BK350" s="724">
        <v>4.8213033673740039E-6</v>
      </c>
      <c r="BL350" s="724">
        <v>2.6487566234805442E-5</v>
      </c>
      <c r="BM350" s="724">
        <v>1.9353474920335659E-4</v>
      </c>
      <c r="BN350" s="724">
        <v>5.6929588849481058E-3</v>
      </c>
      <c r="BO350" s="725">
        <v>2.7689554358196783E-2</v>
      </c>
      <c r="BP350" s="724">
        <v>8.5902409197781859E-2</v>
      </c>
      <c r="BQ350" s="724">
        <v>0.16047417039560585</v>
      </c>
      <c r="BR350" s="724">
        <v>0.23084886352546988</v>
      </c>
      <c r="BS350" s="724">
        <v>0.27431904689841752</v>
      </c>
      <c r="BT350" s="724">
        <v>0.30555289845499795</v>
      </c>
      <c r="BW350" s="1190">
        <f>'2018'!R\Max</f>
        <v>0.36719465596043416</v>
      </c>
      <c r="BX350" s="1188">
        <f>'2019'!R\Max</f>
        <v>0.23810232674296297</v>
      </c>
      <c r="BY350" s="1188">
        <f>'2020'!R\Max</f>
        <v>0.28238693581131707</v>
      </c>
      <c r="BZ350" s="1188">
        <f>'2021'!R\Max</f>
        <v>0.51230663844498159</v>
      </c>
      <c r="CA350" s="1188">
        <f>'2022'!R\Max</f>
        <v>0.37200343829547905</v>
      </c>
      <c r="CB350" s="1188">
        <f>'2023'!R\Max</f>
        <v>0.36865652999630821</v>
      </c>
      <c r="CC350" s="1188">
        <f>'2024'!R\Max</f>
        <v>0.36472564832520638</v>
      </c>
      <c r="CD350" s="1188">
        <f>'2025'!R\Max</f>
        <v>0.36093258670459494</v>
      </c>
      <c r="CE350" s="1188">
        <f>'2026'!R\Max</f>
        <v>0.35720486141930319</v>
      </c>
      <c r="CF350" s="1189">
        <f>'2027'!R\Max</f>
        <v>0.35489567608130479</v>
      </c>
    </row>
    <row r="351" spans="1:84" s="6" customFormat="1" ht="11.25" x14ac:dyDescent="0.2">
      <c r="A351" s="11">
        <v>43437</v>
      </c>
      <c r="B351" s="380">
        <f>'2023'!Maxi_hp</f>
        <v>12.664538267846305</v>
      </c>
      <c r="C351" s="13">
        <f>'2023'!An_max</f>
        <v>2021</v>
      </c>
      <c r="D351" s="1059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51">
        <f t="shared" si="138"/>
        <v>0.5</v>
      </c>
      <c r="J351" s="744">
        <f t="shared" si="139"/>
        <v>17.557750000059606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2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51">
        <f t="shared" si="143"/>
        <v>0.75</v>
      </c>
      <c r="AT351" s="767">
        <f t="shared" si="144"/>
        <v>17.570735232345761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51">
        <f t="shared" si="148"/>
        <v>0.25</v>
      </c>
      <c r="AY351" s="767">
        <f t="shared" si="149"/>
        <v>17.694626496359707</v>
      </c>
      <c r="AZ351" s="744">
        <f t="shared" si="153"/>
        <v>17.632680864352736</v>
      </c>
      <c r="BA351" s="642">
        <f t="shared" si="150"/>
        <v>0.72130758598358624</v>
      </c>
      <c r="BC351" s="11">
        <v>43437</v>
      </c>
      <c r="BD351" s="290">
        <f>[2]!FeuilCaduc*(1-Persistant)+Persistant</f>
        <v>0.63776809796037026</v>
      </c>
      <c r="BE351" s="291">
        <f>[2]!CroissVégét</f>
        <v>0.99960804182016849</v>
      </c>
      <c r="BF351" s="814">
        <f>1+[2]!Salcycl*Ksac</f>
        <v>1.0047210122450463</v>
      </c>
      <c r="BH351" s="1050">
        <f t="shared" si="151"/>
        <v>2.7991494765438937E-2</v>
      </c>
      <c r="BI351" s="11">
        <v>44533</v>
      </c>
      <c r="BJ351" s="724">
        <v>2.6784956058744843E-6</v>
      </c>
      <c r="BK351" s="724">
        <v>4.9057294403061706E-6</v>
      </c>
      <c r="BL351" s="724">
        <v>2.8210810091822957E-5</v>
      </c>
      <c r="BM351" s="724">
        <v>1.9349483833947063E-4</v>
      </c>
      <c r="BN351" s="724">
        <v>5.6728693541960688E-3</v>
      </c>
      <c r="BO351" s="725">
        <v>2.7991494765438937E-2</v>
      </c>
      <c r="BP351" s="724">
        <v>8.6048707715034908E-2</v>
      </c>
      <c r="BQ351" s="724">
        <v>0.15960625652966098</v>
      </c>
      <c r="BR351" s="724">
        <v>0.228394877801255</v>
      </c>
      <c r="BS351" s="724">
        <v>0.27061920638323866</v>
      </c>
      <c r="BT351" s="724">
        <v>0.30134315517508775</v>
      </c>
      <c r="BW351" s="1190">
        <f>'2018'!R\Max</f>
        <v>0.40037078544202837</v>
      </c>
      <c r="BX351" s="1188">
        <f>'2019'!R\Max</f>
        <v>0.27682966450641749</v>
      </c>
      <c r="BY351" s="1188">
        <f>'2020'!R\Max</f>
        <v>9.0553492957800616E-2</v>
      </c>
      <c r="BZ351" s="1188">
        <f>'2021'!R\Max</f>
        <v>0.72130758598358624</v>
      </c>
      <c r="CA351" s="1188">
        <f>'2022'!R\Max</f>
        <v>0.42074184996190878</v>
      </c>
      <c r="CB351" s="1188">
        <f>'2023'!R\Max</f>
        <v>0.4172646039402193</v>
      </c>
      <c r="CC351" s="1188">
        <f>'2024'!R\Max</f>
        <v>0.41320210060381851</v>
      </c>
      <c r="CD351" s="1188">
        <f>'2025'!R\Max</f>
        <v>0.40929913746074681</v>
      </c>
      <c r="CE351" s="1188">
        <f>'2026'!R\Max</f>
        <v>0.40546982744902632</v>
      </c>
      <c r="CF351" s="1189">
        <f>'2027'!R\Max</f>
        <v>0.40310977375271834</v>
      </c>
    </row>
    <row r="352" spans="1:84" s="6" customFormat="1" ht="11.25" x14ac:dyDescent="0.2">
      <c r="A352" s="11">
        <v>43438</v>
      </c>
      <c r="B352" s="380">
        <f>'2023'!Maxi_hp</f>
        <v>14.483247185091793</v>
      </c>
      <c r="C352" s="13">
        <f>'2023'!An_max</f>
        <v>2022</v>
      </c>
      <c r="D352" s="1059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51">
        <f t="shared" si="138"/>
        <v>0.5714285714285714</v>
      </c>
      <c r="J352" s="744">
        <f t="shared" si="139"/>
        <v>17.456242565597808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2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51">
        <f t="shared" si="143"/>
        <v>0.7857142857142857</v>
      </c>
      <c r="AT352" s="767">
        <f t="shared" si="144"/>
        <v>17.470062491510596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51">
        <f t="shared" si="148"/>
        <v>0.2857142857142857</v>
      </c>
      <c r="AY352" s="767">
        <f t="shared" si="149"/>
        <v>17.615645789248603</v>
      </c>
      <c r="AZ352" s="744">
        <f t="shared" si="153"/>
        <v>17.5428541403796</v>
      </c>
      <c r="BA352" s="642">
        <f t="shared" si="150"/>
        <v>0.82968869908091802</v>
      </c>
      <c r="BC352" s="11">
        <v>43438</v>
      </c>
      <c r="BD352" s="290">
        <f>[2]!FeuilCaduc*(1-Persistant)+Persistant</f>
        <v>0.63525288871101571</v>
      </c>
      <c r="BE352" s="291">
        <f>[2]!CroissVégét</f>
        <v>0.99963713826343847</v>
      </c>
      <c r="BF352" s="814">
        <f>1+[2]!Salcycl*Ksac</f>
        <v>1.004406611088877</v>
      </c>
      <c r="BH352" s="1050">
        <f t="shared" si="151"/>
        <v>2.8308228242433304E-2</v>
      </c>
      <c r="BI352" s="11">
        <v>44534</v>
      </c>
      <c r="BJ352" s="724">
        <v>2.7040346341846794E-6</v>
      </c>
      <c r="BK352" s="724">
        <v>4.9525047879241969E-6</v>
      </c>
      <c r="BL352" s="724">
        <v>2.977008504099255E-5</v>
      </c>
      <c r="BM352" s="724">
        <v>1.9322218939824638E-4</v>
      </c>
      <c r="BN352" s="724">
        <v>5.654582893668803E-3</v>
      </c>
      <c r="BO352" s="725">
        <v>2.8308228242433304E-2</v>
      </c>
      <c r="BP352" s="724">
        <v>8.6130666314694584E-2</v>
      </c>
      <c r="BQ352" s="724">
        <v>0.15871775899321847</v>
      </c>
      <c r="BR352" s="724">
        <v>0.22600189312421096</v>
      </c>
      <c r="BS352" s="724">
        <v>0.26716537850507655</v>
      </c>
      <c r="BT352" s="724">
        <v>0.29745083070708672</v>
      </c>
      <c r="BW352" s="1190">
        <f>'2018'!R\Max</f>
        <v>0.34523654797811998</v>
      </c>
      <c r="BX352" s="1188">
        <f>'2019'!R\Max</f>
        <v>0.35628668542385056</v>
      </c>
      <c r="BY352" s="1188">
        <f>'2020'!R\Max</f>
        <v>0.61094240392684329</v>
      </c>
      <c r="BZ352" s="1188">
        <f>'2021'!R\Max</f>
        <v>0.3634211705846711</v>
      </c>
      <c r="CA352" s="1188">
        <f>'2022'!R\Max</f>
        <v>0.82968869908091802</v>
      </c>
      <c r="CB352" s="1188">
        <f>'2023'!R\Max</f>
        <v>0.82767253942215235</v>
      </c>
      <c r="CC352" s="1188">
        <f>'2024'!R\Max</f>
        <v>0.82530071980863284</v>
      </c>
      <c r="CD352" s="1188">
        <f>'2025'!R\Max</f>
        <v>0.82300477991367571</v>
      </c>
      <c r="CE352" s="1188">
        <f>'2026'!R\Max</f>
        <v>0.82072996530532405</v>
      </c>
      <c r="CF352" s="1189">
        <f>'2027'!R\Max</f>
        <v>0.81931811297844614</v>
      </c>
    </row>
    <row r="353" spans="1:84" s="6" customFormat="1" ht="11.25" x14ac:dyDescent="0.2">
      <c r="A353" s="11">
        <v>43439</v>
      </c>
      <c r="B353" s="380">
        <f>'2023'!Maxi_hp</f>
        <v>18.162323905204577</v>
      </c>
      <c r="C353" s="13">
        <f>'2023'!An_max</f>
        <v>2023</v>
      </c>
      <c r="D353" s="1059">
        <f t="shared" si="135"/>
        <v>1.0459540036296506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51">
        <f t="shared" si="138"/>
        <v>0.6428571428571429</v>
      </c>
      <c r="J353" s="744">
        <f t="shared" si="139"/>
        <v>17.364361952990294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2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51">
        <f t="shared" si="143"/>
        <v>0.8214285714285714</v>
      </c>
      <c r="AT353" s="767">
        <f t="shared" si="144"/>
        <v>17.378676317312888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51">
        <f t="shared" si="148"/>
        <v>0.32142857142857145</v>
      </c>
      <c r="AY353" s="767">
        <f t="shared" si="149"/>
        <v>17.545085109876734</v>
      </c>
      <c r="AZ353" s="744">
        <f t="shared" si="153"/>
        <v>17.461880713594809</v>
      </c>
      <c r="BA353" s="642">
        <f t="shared" si="150"/>
        <v>1.0459540036296506</v>
      </c>
      <c r="BC353" s="11">
        <v>43439</v>
      </c>
      <c r="BD353" s="290">
        <f>[2]!FeuilCaduc*(1-Persistant)+Persistant</f>
        <v>0.63287391284958383</v>
      </c>
      <c r="BE353" s="291">
        <f>[2]!CroissVégét</f>
        <v>0.99966506479017636</v>
      </c>
      <c r="BF353" s="814">
        <f>1+[2]!Salcycl*Ksac</f>
        <v>1.0041092391061979</v>
      </c>
      <c r="BH353" s="1050">
        <f t="shared" si="151"/>
        <v>2.8615026057368893E-2</v>
      </c>
      <c r="BI353" s="11">
        <v>44535</v>
      </c>
      <c r="BJ353" s="724">
        <v>2.6960172192315259E-6</v>
      </c>
      <c r="BK353" s="724">
        <v>4.9378206986598462E-6</v>
      </c>
      <c r="BL353" s="724">
        <v>3.1065592140069286E-5</v>
      </c>
      <c r="BM353" s="724">
        <v>1.9248335562412826E-4</v>
      </c>
      <c r="BN353" s="724">
        <v>5.6368060920674833E-3</v>
      </c>
      <c r="BO353" s="725">
        <v>2.8615026057368893E-2</v>
      </c>
      <c r="BP353" s="724">
        <v>8.6196332005598009E-2</v>
      </c>
      <c r="BQ353" s="724">
        <v>0.15786510599683742</v>
      </c>
      <c r="BR353" s="724">
        <v>0.22371791474645655</v>
      </c>
      <c r="BS353" s="724">
        <v>0.26389723498159728</v>
      </c>
      <c r="BT353" s="724">
        <v>0.29376882785778097</v>
      </c>
      <c r="BW353" s="1190">
        <f>'2018'!R\Max</f>
        <v>0.77010879554997291</v>
      </c>
      <c r="BX353" s="1188">
        <f>'2019'!R\Max</f>
        <v>0.45337104483308682</v>
      </c>
      <c r="BY353" s="1188">
        <f>'2020'!R\Max</f>
        <v>0.50304914370481613</v>
      </c>
      <c r="BZ353" s="1188">
        <f>'2021'!R\Max</f>
        <v>0.53565277640819253</v>
      </c>
      <c r="CA353" s="1188">
        <f>'2022'!R\Max</f>
        <v>1.0459540036296504</v>
      </c>
      <c r="CB353" s="1188">
        <f>'2023'!R\Max</f>
        <v>1.0459540036296506</v>
      </c>
      <c r="CC353" s="1188">
        <f>'2024'!R\Max</f>
        <v>1.0459540036296502</v>
      </c>
      <c r="CD353" s="1188">
        <f>'2025'!R\Max</f>
        <v>1.04595400362965</v>
      </c>
      <c r="CE353" s="1188">
        <f>'2026'!R\Max</f>
        <v>1.0459540036296504</v>
      </c>
      <c r="CF353" s="1189">
        <f>'2027'!R\Max</f>
        <v>1.0459540036296502</v>
      </c>
    </row>
    <row r="354" spans="1:84" s="6" customFormat="1" ht="11.25" x14ac:dyDescent="0.2">
      <c r="A354" s="11">
        <v>43440</v>
      </c>
      <c r="B354" s="380">
        <f>'2023'!Maxi_hp</f>
        <v>13.343805020579753</v>
      </c>
      <c r="C354" s="13">
        <f>'2023'!An_max</f>
        <v>2020</v>
      </c>
      <c r="D354" s="1059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51">
        <f t="shared" si="138"/>
        <v>0.7142857142857143</v>
      </c>
      <c r="J354" s="744">
        <f t="shared" si="139"/>
        <v>17.282663557572025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2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51">
        <f t="shared" si="143"/>
        <v>0.8571428571428571</v>
      </c>
      <c r="AT354" s="767">
        <f t="shared" si="144"/>
        <v>17.296798307235754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51">
        <f t="shared" si="148"/>
        <v>0.35714285714285715</v>
      </c>
      <c r="AY354" s="767">
        <f t="shared" si="149"/>
        <v>17.482849848696162</v>
      </c>
      <c r="AZ354" s="744">
        <f t="shared" si="153"/>
        <v>17.389824077965958</v>
      </c>
      <c r="BA354" s="642">
        <f t="shared" si="150"/>
        <v>0.77209192762034951</v>
      </c>
      <c r="BC354" s="11">
        <v>43440</v>
      </c>
      <c r="BD354" s="290">
        <f>[2]!FeuilCaduc*(1-Persistant)+Persistant</f>
        <v>0.6306281273157095</v>
      </c>
      <c r="BE354" s="291">
        <f>[2]!CroissVégét</f>
        <v>0.9996918683792223</v>
      </c>
      <c r="BF354" s="814">
        <f>1+[2]!Salcycl*Ksac</f>
        <v>1.0038285159144638</v>
      </c>
      <c r="BH354" s="1050">
        <f t="shared" si="151"/>
        <v>2.8911941732525454E-2</v>
      </c>
      <c r="BI354" s="11">
        <v>44536</v>
      </c>
      <c r="BJ354" s="724">
        <v>2.6544461021499016E-6</v>
      </c>
      <c r="BK354" s="724">
        <v>4.8616821929678962E-6</v>
      </c>
      <c r="BL354" s="724">
        <v>3.2097350819503609E-5</v>
      </c>
      <c r="BM354" s="724">
        <v>1.91278708066186E-4</v>
      </c>
      <c r="BN354" s="724">
        <v>5.619551017585993E-3</v>
      </c>
      <c r="BO354" s="725">
        <v>2.8911941732525454E-2</v>
      </c>
      <c r="BP354" s="724">
        <v>8.6245881548232983E-2</v>
      </c>
      <c r="BQ354" s="724">
        <v>0.15704864336995103</v>
      </c>
      <c r="BR354" s="724">
        <v>0.2215434559032233</v>
      </c>
      <c r="BS354" s="724">
        <v>0.26081539590288033</v>
      </c>
      <c r="BT354" s="724">
        <v>0.29029783796393593</v>
      </c>
      <c r="BW354" s="1190">
        <f>'2018'!R\Max</f>
        <v>0.60617290934728318</v>
      </c>
      <c r="BX354" s="1188">
        <f>'2019'!R\Max</f>
        <v>0.43976696916030056</v>
      </c>
      <c r="BY354" s="1188">
        <f>'2020'!R\Max</f>
        <v>0.77209192762034951</v>
      </c>
      <c r="BZ354" s="1188">
        <f>'2021'!R\Max</f>
        <v>0.59200627893248892</v>
      </c>
      <c r="CA354" s="1188">
        <f>'2022'!R\Max</f>
        <v>0.58251620716091768</v>
      </c>
      <c r="CB354" s="1188">
        <f>'2023'!R\Max</f>
        <v>0.57910022714140807</v>
      </c>
      <c r="CC354" s="1188">
        <f>'2024'!R\Max</f>
        <v>0.57515313079198715</v>
      </c>
      <c r="CD354" s="1188">
        <f>'2025'!R\Max</f>
        <v>0.5714066092613439</v>
      </c>
      <c r="CE354" s="1188">
        <f>'2026'!R\Max</f>
        <v>0.56774761450797218</v>
      </c>
      <c r="CF354" s="1189">
        <f>'2027'!R\Max</f>
        <v>0.56550235578007513</v>
      </c>
    </row>
    <row r="355" spans="1:84" s="6" customFormat="1" ht="11.25" x14ac:dyDescent="0.2">
      <c r="A355" s="11">
        <v>43441</v>
      </c>
      <c r="B355" s="380">
        <f>'2023'!Maxi_hp</f>
        <v>16.145056868445899</v>
      </c>
      <c r="C355" s="13">
        <f>'2023'!An_max</f>
        <v>2022</v>
      </c>
      <c r="D355" s="1059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51">
        <f t="shared" si="138"/>
        <v>0.7857142857142857</v>
      </c>
      <c r="J355" s="744">
        <f t="shared" si="139"/>
        <v>17.211702770207609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2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51">
        <f t="shared" si="143"/>
        <v>0.8928571428571429</v>
      </c>
      <c r="AT355" s="767">
        <f t="shared" si="144"/>
        <v>17.224650068980242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51">
        <f t="shared" si="148"/>
        <v>0.39285714285714285</v>
      </c>
      <c r="AY355" s="767">
        <f t="shared" si="149"/>
        <v>17.428845387644003</v>
      </c>
      <c r="AZ355" s="744">
        <f t="shared" si="153"/>
        <v>17.326747728312121</v>
      </c>
      <c r="BA355" s="642">
        <f t="shared" si="150"/>
        <v>0.93802786882841083</v>
      </c>
      <c r="BC355" s="11">
        <v>43441</v>
      </c>
      <c r="BD355" s="290">
        <f>[2]!FeuilCaduc*(1-Persistant)+Persistant</f>
        <v>0.62851214593092741</v>
      </c>
      <c r="BE355" s="291">
        <f>[2]!CroissVégét</f>
        <v>0.99971759412779237</v>
      </c>
      <c r="BF355" s="814">
        <f>1+[2]!Salcycl*Ksac</f>
        <v>1.0035640182413659</v>
      </c>
      <c r="BH355" s="1050">
        <f t="shared" si="151"/>
        <v>2.9199031538902076E-2</v>
      </c>
      <c r="BI355" s="11">
        <v>44537</v>
      </c>
      <c r="BJ355" s="724">
        <v>2.579324656570052E-6</v>
      </c>
      <c r="BK355" s="724">
        <v>4.7240954497336806E-6</v>
      </c>
      <c r="BL355" s="724">
        <v>3.2865396778850537E-5</v>
      </c>
      <c r="BM355" s="724">
        <v>1.8960862128266948E-4</v>
      </c>
      <c r="BN355" s="724">
        <v>5.6028295777865722E-3</v>
      </c>
      <c r="BO355" s="725">
        <v>2.9199031538902076E-2</v>
      </c>
      <c r="BP355" s="724">
        <v>8.6279492556930334E-2</v>
      </c>
      <c r="BQ355" s="724">
        <v>0.15626870904180493</v>
      </c>
      <c r="BR355" s="724">
        <v>0.21947900847147736</v>
      </c>
      <c r="BS355" s="724">
        <v>0.25792045019871074</v>
      </c>
      <c r="BT355" s="724">
        <v>0.28703851723395302</v>
      </c>
      <c r="BW355" s="1190">
        <f>'2018'!R\Max</f>
        <v>0.83922450019597683</v>
      </c>
      <c r="BX355" s="1188">
        <f>'2019'!R\Max</f>
        <v>0.74256431503787756</v>
      </c>
      <c r="BY355" s="1188">
        <f>'2020'!R\Max</f>
        <v>0.59197832386342553</v>
      </c>
      <c r="BZ355" s="1188">
        <f>'2021'!R\Max</f>
        <v>0.30948800473878146</v>
      </c>
      <c r="CA355" s="1188">
        <f>'2022'!R\Max</f>
        <v>0.93802786882841083</v>
      </c>
      <c r="CB355" s="1188">
        <f>'2023'!R\Max</f>
        <v>0.93721250473117323</v>
      </c>
      <c r="CC355" s="1188">
        <f>'2024'!R\Max</f>
        <v>0.93626448637989368</v>
      </c>
      <c r="CD355" s="1188">
        <f>'2025'!R\Max</f>
        <v>0.93535960493562009</v>
      </c>
      <c r="CE355" s="1188">
        <f>'2026'!R\Max</f>
        <v>0.93446912216385258</v>
      </c>
      <c r="CF355" s="1189">
        <f>'2027'!R\Max</f>
        <v>0.93391873438939754</v>
      </c>
    </row>
    <row r="356" spans="1:84" s="6" customFormat="1" ht="11.25" x14ac:dyDescent="0.2">
      <c r="A356" s="11">
        <v>43442</v>
      </c>
      <c r="B356" s="380">
        <f>'2023'!Maxi_hp</f>
        <v>13.163873636421526</v>
      </c>
      <c r="C356" s="13">
        <f>'2023'!An_max</f>
        <v>2019</v>
      </c>
      <c r="D356" s="1059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51">
        <f t="shared" si="138"/>
        <v>0.8571428571428571</v>
      </c>
      <c r="J356" s="744">
        <f t="shared" si="139"/>
        <v>17.152034985593385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2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51">
        <f t="shared" si="143"/>
        <v>0.9285714285714286</v>
      </c>
      <c r="AT356" s="767">
        <f t="shared" si="144"/>
        <v>17.162453203754765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51">
        <f t="shared" si="148"/>
        <v>0.42857142857142855</v>
      </c>
      <c r="AY356" s="767">
        <f t="shared" si="149"/>
        <v>17.382977113127708</v>
      </c>
      <c r="AZ356" s="744">
        <f t="shared" si="153"/>
        <v>17.272715158441237</v>
      </c>
      <c r="BA356" s="642">
        <f t="shared" si="150"/>
        <v>0.76748173890027271</v>
      </c>
      <c r="BC356" s="11">
        <v>43442</v>
      </c>
      <c r="BD356" s="290">
        <f>[2]!FeuilCaduc*(1-Persistant)+Persistant</f>
        <v>0.62652226865599625</v>
      </c>
      <c r="BE356" s="291">
        <f>[2]!CroissVégét</f>
        <v>0.99974228532646048</v>
      </c>
      <c r="BF356" s="814">
        <f>1+[2]!Salcycl*Ksac</f>
        <v>1.0033152835819996</v>
      </c>
      <c r="BH356" s="1050">
        <f t="shared" si="151"/>
        <v>2.9476354292998348E-2</v>
      </c>
      <c r="BI356" s="11">
        <v>44538</v>
      </c>
      <c r="BJ356" s="724">
        <v>2.4706561912279564E-6</v>
      </c>
      <c r="BK356" s="724">
        <v>4.5250665289871176E-6</v>
      </c>
      <c r="BL356" s="724">
        <v>3.3369776504311519E-5</v>
      </c>
      <c r="BM356" s="724">
        <v>1.8747346367417196E-4</v>
      </c>
      <c r="BN356" s="724">
        <v>5.5866535309787276E-3</v>
      </c>
      <c r="BO356" s="725">
        <v>2.9476354292998348E-2</v>
      </c>
      <c r="BP356" s="724">
        <v>8.6297343172522037E-2</v>
      </c>
      <c r="BQ356" s="724">
        <v>0.15552563380919915</v>
      </c>
      <c r="BR356" s="724">
        <v>0.21752504526989602</v>
      </c>
      <c r="BS356" s="724">
        <v>0.25521295953980833</v>
      </c>
      <c r="BT356" s="724">
        <v>0.28399149116600875</v>
      </c>
      <c r="BW356" s="1190">
        <f>'2018'!R\Max</f>
        <v>0.63416501934488534</v>
      </c>
      <c r="BX356" s="1188">
        <f>'2019'!R\Max</f>
        <v>0.76748173890027271</v>
      </c>
      <c r="BY356" s="1188">
        <f>'2020'!R\Max</f>
        <v>0.17169330746684605</v>
      </c>
      <c r="BZ356" s="1188">
        <f>'2021'!R\Max</f>
        <v>0.55203115464314079</v>
      </c>
      <c r="CA356" s="1188">
        <f>'2022'!R\Max</f>
        <v>0.2743214889781998</v>
      </c>
      <c r="CB356" s="1188">
        <f>'2023'!R\Max</f>
        <v>0.27165969862903266</v>
      </c>
      <c r="CC356" s="1188">
        <f>'2024'!R\Max</f>
        <v>0.26863589015629519</v>
      </c>
      <c r="CD356" s="1188">
        <f>'2025'!R\Max</f>
        <v>0.26582215693544947</v>
      </c>
      <c r="CE356" s="1188">
        <f>'2026'!R\Max</f>
        <v>0.26311409721079881</v>
      </c>
      <c r="CF356" s="1189">
        <f>'2027'!R\Max</f>
        <v>0.26146650850241698</v>
      </c>
    </row>
    <row r="357" spans="1:84" s="6" customFormat="1" ht="11.25" x14ac:dyDescent="0.2">
      <c r="A357" s="11">
        <v>43443</v>
      </c>
      <c r="B357" s="380">
        <f>'2023'!Maxi_hp</f>
        <v>9.5730272396475531</v>
      </c>
      <c r="C357" s="13">
        <f>'2023'!An_max</f>
        <v>2019</v>
      </c>
      <c r="D357" s="1059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51">
        <f t="shared" si="138"/>
        <v>0.9285714285714286</v>
      </c>
      <c r="J357" s="744">
        <f t="shared" si="139"/>
        <v>17.104215598638568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2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51">
        <f t="shared" si="143"/>
        <v>0.9642857142857143</v>
      </c>
      <c r="AT357" s="767">
        <f t="shared" si="144"/>
        <v>17.110429310559162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51">
        <f t="shared" si="148"/>
        <v>0.4642857142857143</v>
      </c>
      <c r="AY357" s="767">
        <f t="shared" si="149"/>
        <v>17.345150407616579</v>
      </c>
      <c r="AZ357" s="744">
        <f t="shared" si="153"/>
        <v>17.227789859087871</v>
      </c>
      <c r="BA357" s="642">
        <f t="shared" si="150"/>
        <v>0.55968817654575931</v>
      </c>
      <c r="BC357" s="11">
        <v>43443</v>
      </c>
      <c r="BD357" s="290">
        <f>[2]!FeuilCaduc*(1-Persistant)+Persistant</f>
        <v>0.62465451216441836</v>
      </c>
      <c r="BE357" s="291">
        <f>[2]!CroissVégét</f>
        <v>0.99976598353118062</v>
      </c>
      <c r="BF357" s="814">
        <f>1+[2]!Salcycl*Ksac</f>
        <v>1.0030818140205524</v>
      </c>
      <c r="BH357" s="1050">
        <f t="shared" si="151"/>
        <v>2.9743971153578689E-2</v>
      </c>
      <c r="BI357" s="11">
        <v>44539</v>
      </c>
      <c r="BJ357" s="724">
        <v>2.3284432525720287E-6</v>
      </c>
      <c r="BK357" s="724">
        <v>4.2646000946100233E-6</v>
      </c>
      <c r="BL357" s="724">
        <v>3.3610541786267344E-5</v>
      </c>
      <c r="BM357" s="724">
        <v>1.8487358781660694E-4</v>
      </c>
      <c r="BN357" s="724">
        <v>5.5710344975932859E-3</v>
      </c>
      <c r="BO357" s="725">
        <v>2.9743971153578689E-2</v>
      </c>
      <c r="BP357" s="724">
        <v>8.6299611734931947E-2</v>
      </c>
      <c r="BQ357" s="724">
        <v>0.15481974210408855</v>
      </c>
      <c r="BR357" s="724">
        <v>0.21568202235862341</v>
      </c>
      <c r="BS357" s="724">
        <v>0.2526934622387873</v>
      </c>
      <c r="BT357" s="724">
        <v>0.28115735896589533</v>
      </c>
      <c r="BW357" s="1190">
        <f>'2018'!R\Max</f>
        <v>0.28620400579276811</v>
      </c>
      <c r="BX357" s="1188">
        <f>'2019'!R\Max</f>
        <v>0.55968817654575931</v>
      </c>
      <c r="BY357" s="1188">
        <f>'2020'!R\Max</f>
        <v>0.46000909873124551</v>
      </c>
      <c r="BZ357" s="1188">
        <f>'2021'!R\Max</f>
        <v>0.44633030117902006</v>
      </c>
      <c r="CA357" s="1188">
        <f>'2022'!R\Max</f>
        <v>0.32556365873615084</v>
      </c>
      <c r="CB357" s="1188">
        <f>'2023'!R\Max</f>
        <v>0.32255165248776674</v>
      </c>
      <c r="CC357" s="1188">
        <f>'2024'!R\Max</f>
        <v>0.31913912473144079</v>
      </c>
      <c r="CD357" s="1188">
        <f>'2025'!R\Max</f>
        <v>0.31597768195339032</v>
      </c>
      <c r="CE357" s="1188">
        <f>'2026'!R\Max</f>
        <v>0.31294156285272651</v>
      </c>
      <c r="CF357" s="1189">
        <f>'2027'!R\Max</f>
        <v>0.31109251561930917</v>
      </c>
    </row>
    <row r="358" spans="1:84" s="6" customFormat="1" ht="11.25" x14ac:dyDescent="0.2">
      <c r="A358" s="11">
        <v>43444</v>
      </c>
      <c r="B358" s="380">
        <f>'2023'!Maxi_hp</f>
        <v>15.549770066457318</v>
      </c>
      <c r="C358" s="13">
        <f>'2023'!An_max</f>
        <v>2019</v>
      </c>
      <c r="D358" s="1059" t="str">
        <f t="shared" si="135"/>
        <v/>
      </c>
      <c r="E358" s="1054">
        <f>AL$13/10</f>
        <v>17.0688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51">
        <f t="shared" si="138"/>
        <v>1</v>
      </c>
      <c r="J358" s="744">
        <f t="shared" si="139"/>
        <v>17.068800000846387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2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51">
        <f t="shared" si="143"/>
        <v>1</v>
      </c>
      <c r="AT358" s="767">
        <f t="shared" si="144"/>
        <v>17.068799999356269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51">
        <f t="shared" si="148"/>
        <v>0.5</v>
      </c>
      <c r="AY358" s="767">
        <f t="shared" si="149"/>
        <v>17.315270658582449</v>
      </c>
      <c r="AZ358" s="744">
        <f t="shared" si="153"/>
        <v>17.192035328969361</v>
      </c>
      <c r="BA358" s="642">
        <f t="shared" si="150"/>
        <v>0.91100546410329108</v>
      </c>
      <c r="BC358" s="11">
        <v>43444</v>
      </c>
      <c r="BD358" s="290">
        <f>[2]!FeuilCaduc*(1-Persistant)+Persistant</f>
        <v>0.62290464148302538</v>
      </c>
      <c r="BE358" s="291">
        <f>[2]!CroissVégét</f>
        <v>0.9997887286324697</v>
      </c>
      <c r="BF358" s="814">
        <f>1+[2]!Salcycl*Ksac</f>
        <v>1.0028630801853782</v>
      </c>
      <c r="BH358" s="1050">
        <f t="shared" si="151"/>
        <v>3.0001945418079531E-2</v>
      </c>
      <c r="BI358" s="11">
        <v>44540</v>
      </c>
      <c r="BJ358" s="724">
        <v>2.1526869273400878E-6</v>
      </c>
      <c r="BK358" s="724">
        <v>3.9426981369889808E-6</v>
      </c>
      <c r="BL358" s="724">
        <v>3.3587744236401987E-5</v>
      </c>
      <c r="BM358" s="724">
        <v>1.8180932079192743E-4</v>
      </c>
      <c r="BN358" s="724">
        <v>5.5559839714891708E-3</v>
      </c>
      <c r="BO358" s="725">
        <v>3.0001945418079531E-2</v>
      </c>
      <c r="BP358" s="724">
        <v>8.6286476454725203E-2</v>
      </c>
      <c r="BQ358" s="724">
        <v>0.15415135275931194</v>
      </c>
      <c r="BR358" s="724">
        <v>0.21395038133641409</v>
      </c>
      <c r="BS358" s="724">
        <v>0.25036247714805465</v>
      </c>
      <c r="BT358" s="724">
        <v>0.27853669796145281</v>
      </c>
      <c r="BW358" s="1190">
        <f>'2018'!R\Max</f>
        <v>0.56838038790116707</v>
      </c>
      <c r="BX358" s="1188">
        <f>'2019'!R\Max</f>
        <v>0.91100546410329108</v>
      </c>
      <c r="BY358" s="1188">
        <f>'2020'!R\Max</f>
        <v>0.49822724101512089</v>
      </c>
      <c r="BZ358" s="1188">
        <f>'2021'!R\Max</f>
        <v>0.14099017443536516</v>
      </c>
      <c r="CA358" s="1188">
        <f>'2022'!R\Max</f>
        <v>0.66795089655432938</v>
      </c>
      <c r="CB358" s="1188">
        <f>'2023'!R\Max</f>
        <v>0.66491661698701721</v>
      </c>
      <c r="CC358" s="1188">
        <f>'2024'!R\Max</f>
        <v>0.66145482621387908</v>
      </c>
      <c r="CD358" s="1188">
        <f>'2025'!R\Max</f>
        <v>0.65823136154947992</v>
      </c>
      <c r="CE358" s="1188">
        <f>'2026'!R\Max</f>
        <v>0.65511478296931913</v>
      </c>
      <c r="CF358" s="1189">
        <f>'2027'!R\Max</f>
        <v>0.65319978045814131</v>
      </c>
    </row>
    <row r="359" spans="1:84" s="6" customFormat="1" ht="11.25" x14ac:dyDescent="0.2">
      <c r="A359" s="11">
        <v>43445</v>
      </c>
      <c r="B359" s="380">
        <f>'2023'!Maxi_hp</f>
        <v>14.841331638958879</v>
      </c>
      <c r="C359" s="13">
        <f>'2023'!An_max</f>
        <v>2018</v>
      </c>
      <c r="D359" s="1059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51">
        <f t="shared" si="138"/>
        <v>0.9285714285714286</v>
      </c>
      <c r="J359" s="744">
        <f t="shared" si="139"/>
        <v>17.04704202104892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2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51">
        <f t="shared" si="143"/>
        <v>0.96551724137931039</v>
      </c>
      <c r="AT359" s="767">
        <f t="shared" si="144"/>
        <v>17.03777763280889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51">
        <f t="shared" si="148"/>
        <v>0.5357142857142857</v>
      </c>
      <c r="AY359" s="767">
        <f t="shared" si="149"/>
        <v>17.293243249292885</v>
      </c>
      <c r="AZ359" s="744">
        <f t="shared" si="153"/>
        <v>17.165510441050888</v>
      </c>
      <c r="BA359" s="642">
        <f t="shared" si="150"/>
        <v>0.87061037455257462</v>
      </c>
      <c r="BC359" s="11">
        <v>43445</v>
      </c>
      <c r="BD359" s="290">
        <f>[2]!FeuilCaduc*(1-Persistant)+Persistant</f>
        <v>0.62126820244498304</v>
      </c>
      <c r="BE359" s="291">
        <f>[2]!CroissVégét</f>
        <v>0.99981055892185233</v>
      </c>
      <c r="BF359" s="814">
        <f>1+[2]!Salcycl*Ksac</f>
        <v>1.0026585253056228</v>
      </c>
      <c r="BH359" s="1050">
        <f t="shared" si="151"/>
        <v>3.02503423194776E-2</v>
      </c>
      <c r="BI359" s="11">
        <v>44541</v>
      </c>
      <c r="BJ359" s="724">
        <v>1.943386145176029E-6</v>
      </c>
      <c r="BK359" s="724">
        <v>3.5593586957409115E-6</v>
      </c>
      <c r="BL359" s="724">
        <v>3.3301429805348889E-5</v>
      </c>
      <c r="BM359" s="724">
        <v>1.7828095452180595E-4</v>
      </c>
      <c r="BN359" s="724">
        <v>5.5415133313479982E-3</v>
      </c>
      <c r="BO359" s="725">
        <v>3.02503423194776E-2</v>
      </c>
      <c r="BP359" s="724">
        <v>8.6258115086012346E-2</v>
      </c>
      <c r="BQ359" s="724">
        <v>0.15352077977676731</v>
      </c>
      <c r="BR359" s="724">
        <v>0.21233055164120498</v>
      </c>
      <c r="BS359" s="724">
        <v>0.24822050756173222</v>
      </c>
      <c r="BT359" s="724">
        <v>0.27613006802148049</v>
      </c>
      <c r="BW359" s="1190">
        <f>'2018'!R\Max</f>
        <v>0.87061037455257462</v>
      </c>
      <c r="BX359" s="1188">
        <f>'2019'!R\Max</f>
        <v>0.11850608609945626</v>
      </c>
      <c r="BY359" s="1188">
        <f>'2020'!R\Max</f>
        <v>0.27618326106069729</v>
      </c>
      <c r="BZ359" s="1188">
        <f>'2021'!R\Max</f>
        <v>0.53674442994544291</v>
      </c>
      <c r="CA359" s="1188">
        <f>'2022'!R\Max</f>
        <v>0.81499217444268779</v>
      </c>
      <c r="CB359" s="1188">
        <f>'2023'!R\Max</f>
        <v>0.81294141974678957</v>
      </c>
      <c r="CC359" s="1188">
        <f>'2024'!R\Max</f>
        <v>0.81059779197912696</v>
      </c>
      <c r="CD359" s="1188">
        <f>'2025'!R\Max</f>
        <v>0.80841701269033894</v>
      </c>
      <c r="CE359" s="1188">
        <f>'2026'!R\Max</f>
        <v>0.80630610258177349</v>
      </c>
      <c r="CF359" s="1189">
        <f>'2027'!R\Max</f>
        <v>0.80500204324254054</v>
      </c>
    </row>
    <row r="360" spans="1:84" s="6" customFormat="1" ht="11.25" x14ac:dyDescent="0.2">
      <c r="A360" s="11">
        <v>43446</v>
      </c>
      <c r="B360" s="380">
        <f>'2023'!Maxi_hp</f>
        <v>16.842886191960798</v>
      </c>
      <c r="C360" s="13">
        <f>'2023'!An_max</f>
        <v>2021</v>
      </c>
      <c r="D360" s="1059">
        <f t="shared" si="135"/>
        <v>0.98847967649870205</v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51">
        <f t="shared" si="138"/>
        <v>0.8571428571428571</v>
      </c>
      <c r="J360" s="744">
        <f t="shared" si="139"/>
        <v>17.039183093394549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2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51">
        <f t="shared" si="143"/>
        <v>0.93103448275862066</v>
      </c>
      <c r="AT360" s="767">
        <f t="shared" si="144"/>
        <v>17.017275148887059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51">
        <f t="shared" si="148"/>
        <v>0.5714285714285714</v>
      </c>
      <c r="AY360" s="767">
        <f t="shared" si="149"/>
        <v>17.278973565995692</v>
      </c>
      <c r="AZ360" s="744">
        <f t="shared" si="153"/>
        <v>17.148124357441375</v>
      </c>
      <c r="BA360" s="642">
        <f t="shared" si="150"/>
        <v>0.98847967649870205</v>
      </c>
      <c r="BC360" s="11">
        <v>43446</v>
      </c>
      <c r="BD360" s="290">
        <f>[2]!FeuilCaduc*(1-Persistant)+Persistant</f>
        <v>0.61974055469729172</v>
      </c>
      <c r="BE360" s="291">
        <f>[2]!CroissVégét</f>
        <v>0.99983151115568181</v>
      </c>
      <c r="BF360" s="814">
        <f>1+[2]!Salcycl*Ksac</f>
        <v>1.0024675693371614</v>
      </c>
      <c r="BH360" s="1050">
        <f t="shared" si="151"/>
        <v>3.0489228822846864E-2</v>
      </c>
      <c r="BI360" s="11">
        <v>44542</v>
      </c>
      <c r="BJ360" s="724">
        <v>1.7005369812211212E-6</v>
      </c>
      <c r="BK360" s="724">
        <v>3.1145745823921895E-6</v>
      </c>
      <c r="BL360" s="724">
        <v>3.2751633299988465E-5</v>
      </c>
      <c r="BM360" s="724">
        <v>1.7428873609934661E-4</v>
      </c>
      <c r="BN360" s="724">
        <v>5.5276338520097333E-3</v>
      </c>
      <c r="BO360" s="725">
        <v>3.0489228822846864E-2</v>
      </c>
      <c r="BP360" s="724">
        <v>8.6214704598443367E-2</v>
      </c>
      <c r="BQ360" s="724">
        <v>0.15292833309394691</v>
      </c>
      <c r="BR360" s="724">
        <v>0.21082295284839192</v>
      </c>
      <c r="BS360" s="724">
        <v>0.24626804511488595</v>
      </c>
      <c r="BT360" s="724">
        <v>0.27393801597165096</v>
      </c>
      <c r="BW360" s="1190">
        <f>'2018'!R\Max</f>
        <v>0.17367826020759808</v>
      </c>
      <c r="BX360" s="1188">
        <f>'2019'!R\Max</f>
        <v>0.32651483848066798</v>
      </c>
      <c r="BY360" s="1188">
        <f>'2020'!R\Max</f>
        <v>0.34740999047926041</v>
      </c>
      <c r="BZ360" s="1188">
        <f>'2021'!R\Max</f>
        <v>0.98847967649870205</v>
      </c>
      <c r="CA360" s="1188">
        <f>'2022'!R\Max</f>
        <v>0.2705941704476727</v>
      </c>
      <c r="CB360" s="1188">
        <f>'2023'!R\Max</f>
        <v>0.26804747370121351</v>
      </c>
      <c r="CC360" s="1188">
        <f>'2024'!R\Max</f>
        <v>0.26518598270327109</v>
      </c>
      <c r="CD360" s="1188">
        <f>'2025'!R\Max</f>
        <v>0.26257619510957164</v>
      </c>
      <c r="CE360" s="1188">
        <f>'2026'!R\Max</f>
        <v>0.26009297036235512</v>
      </c>
      <c r="CF360" s="1189">
        <f>'2027'!R\Max</f>
        <v>0.25857144702751395</v>
      </c>
    </row>
    <row r="361" spans="1:84" s="6" customFormat="1" ht="11.25" x14ac:dyDescent="0.2">
      <c r="A361" s="11">
        <v>43447</v>
      </c>
      <c r="B361" s="380">
        <f>'2023'!Maxi_hp</f>
        <v>17.504311781575961</v>
      </c>
      <c r="C361" s="13">
        <f>'2023'!An_max</f>
        <v>2021</v>
      </c>
      <c r="D361" s="1059">
        <f t="shared" si="135"/>
        <v>1.0269915942232017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51">
        <f t="shared" si="138"/>
        <v>0.7857142857142857</v>
      </c>
      <c r="J361" s="744">
        <f t="shared" si="139"/>
        <v>17.04426003098488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2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51">
        <f t="shared" si="143"/>
        <v>0.89655172413793105</v>
      </c>
      <c r="AT361" s="767">
        <f t="shared" si="144"/>
        <v>17.007065008220998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51">
        <f t="shared" si="148"/>
        <v>0.6071428571428571</v>
      </c>
      <c r="AY361" s="767">
        <f t="shared" si="149"/>
        <v>17.272366990787642</v>
      </c>
      <c r="AZ361" s="744">
        <f t="shared" si="153"/>
        <v>17.139715999504318</v>
      </c>
      <c r="BA361" s="642">
        <f t="shared" si="150"/>
        <v>1.0269915942232017</v>
      </c>
      <c r="BC361" s="11">
        <v>43447</v>
      </c>
      <c r="BD361" s="290">
        <f>[2]!FeuilCaduc*(1-Persistant)+Persistant</f>
        <v>0.61831690500385694</v>
      </c>
      <c r="BE361" s="291">
        <f>[2]!CroissVégét</f>
        <v>0.99985162061643362</v>
      </c>
      <c r="BF361" s="814">
        <f>1+[2]!Salcycl*Ksac</f>
        <v>1.0022896131254821</v>
      </c>
      <c r="BH361" s="1050">
        <f t="shared" si="151"/>
        <v>3.0702137914475566E-2</v>
      </c>
      <c r="BI361" s="11">
        <v>44543</v>
      </c>
      <c r="BJ361" s="724">
        <v>1.4738782416091831E-6</v>
      </c>
      <c r="BK361" s="724">
        <v>2.6994436225435728E-6</v>
      </c>
      <c r="BL361" s="724">
        <v>3.2193710946299636E-5</v>
      </c>
      <c r="BM361" s="724">
        <v>1.7053574587987821E-4</v>
      </c>
      <c r="BN361" s="724">
        <v>5.5150787416754854E-3</v>
      </c>
      <c r="BO361" s="725">
        <v>3.0702137914475566E-2</v>
      </c>
      <c r="BP361" s="724">
        <v>8.6172666408812548E-2</v>
      </c>
      <c r="BQ361" s="724">
        <v>0.15238986864684639</v>
      </c>
      <c r="BR361" s="724">
        <v>0.20946011080978433</v>
      </c>
      <c r="BS361" s="724">
        <v>0.24450293617325394</v>
      </c>
      <c r="BT361" s="724">
        <v>0.2719565615564622</v>
      </c>
      <c r="BW361" s="1190">
        <f>'2018'!R\Max</f>
        <v>0.11743943266733528</v>
      </c>
      <c r="BX361" s="1188">
        <f>'2019'!R\Max</f>
        <v>0.14733075074199686</v>
      </c>
      <c r="BY361" s="1188">
        <f>'2020'!R\Max</f>
        <v>0.60994360077654519</v>
      </c>
      <c r="BZ361" s="1188">
        <f>'2021'!R\Max</f>
        <v>1.0269915942232017</v>
      </c>
      <c r="CA361" s="1188">
        <f>'2022'!R\Max</f>
        <v>0.35159733614183841</v>
      </c>
      <c r="CB361" s="1188">
        <f>'2023'!R\Max</f>
        <v>0.34856666605836301</v>
      </c>
      <c r="CC361" s="1188">
        <f>'2024'!R\Max</f>
        <v>0.34516234325438022</v>
      </c>
      <c r="CD361" s="1188">
        <f>'2025'!R\Max</f>
        <v>0.34206617185955546</v>
      </c>
      <c r="CE361" s="1188">
        <f>'2026'!R\Max</f>
        <v>0.33912336348898425</v>
      </c>
      <c r="CF361" s="1189">
        <f>'2027'!R\Max</f>
        <v>0.33731295161321817</v>
      </c>
    </row>
    <row r="362" spans="1:84" s="6" customFormat="1" ht="11.25" x14ac:dyDescent="0.2">
      <c r="A362" s="11">
        <v>43448</v>
      </c>
      <c r="B362" s="380">
        <f>'2023'!Maxi_hp</f>
        <v>17.825188760800483</v>
      </c>
      <c r="C362" s="13">
        <f>'2023'!An_max</f>
        <v>2021</v>
      </c>
      <c r="D362" s="1059">
        <f t="shared" si="135"/>
        <v>1.0447725961337018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51">
        <f t="shared" si="138"/>
        <v>0.7142857142857143</v>
      </c>
      <c r="J362" s="744">
        <f t="shared" si="139"/>
        <v>17.061309635000569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2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51">
        <f t="shared" si="143"/>
        <v>0.86206896551724133</v>
      </c>
      <c r="AT362" s="767">
        <f t="shared" si="144"/>
        <v>17.006919675500228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51">
        <f t="shared" si="148"/>
        <v>0.6428571428571429</v>
      </c>
      <c r="AY362" s="767">
        <f t="shared" si="149"/>
        <v>17.273328912790333</v>
      </c>
      <c r="AZ362" s="744">
        <f t="shared" si="153"/>
        <v>17.140124294145281</v>
      </c>
      <c r="BA362" s="642">
        <f t="shared" si="150"/>
        <v>1.0447725961337018</v>
      </c>
      <c r="BC362" s="11">
        <v>43448</v>
      </c>
      <c r="BD362" s="290">
        <f>[2]!FeuilCaduc*(1-Persistant)+Persistant</f>
        <v>0.61699234058646302</v>
      </c>
      <c r="BE362" s="291">
        <f>[2]!CroissVégét</f>
        <v>0.99987092117157228</v>
      </c>
      <c r="BF362" s="814">
        <f>1+[2]!Salcycl*Ksac</f>
        <v>1.0021240425733078</v>
      </c>
      <c r="BH362" s="1050">
        <f t="shared" si="151"/>
        <v>3.0889136119033753E-2</v>
      </c>
      <c r="BI362" s="11">
        <v>44544</v>
      </c>
      <c r="BJ362" s="724">
        <v>1.2634081121362669E-6</v>
      </c>
      <c r="BK362" s="724">
        <v>2.313962493436684E-6</v>
      </c>
      <c r="BL362" s="724">
        <v>3.1627709691641934E-5</v>
      </c>
      <c r="BM362" s="724">
        <v>1.670222523460571E-4</v>
      </c>
      <c r="BN362" s="724">
        <v>5.5038592454456072E-3</v>
      </c>
      <c r="BO362" s="725">
        <v>3.0889136119033753E-2</v>
      </c>
      <c r="BP362" s="724">
        <v>8.6132178171883275E-2</v>
      </c>
      <c r="BQ362" s="724">
        <v>0.15190569364398396</v>
      </c>
      <c r="BR362" s="724">
        <v>0.20824243867201833</v>
      </c>
      <c r="BS362" s="724">
        <v>0.24292566022931628</v>
      </c>
      <c r="BT362" s="724">
        <v>0.27018623786651758</v>
      </c>
      <c r="BW362" s="1190">
        <f>'2018'!R\Max</f>
        <v>0.16713499522090508</v>
      </c>
      <c r="BX362" s="1188">
        <f>'2019'!R\Max</f>
        <v>0.90883847412152641</v>
      </c>
      <c r="BY362" s="1188">
        <f>'2020'!R\Max</f>
        <v>0.52011151825376223</v>
      </c>
      <c r="BZ362" s="1188">
        <f>'2021'!R\Max</f>
        <v>1.0447725961337018</v>
      </c>
      <c r="CA362" s="1188">
        <f>'2022'!R\Max</f>
        <v>0.94419190503419825</v>
      </c>
      <c r="CB362" s="1188">
        <f>'2023'!R\Max</f>
        <v>0.9434917043705231</v>
      </c>
      <c r="CC362" s="1188">
        <f>'2024'!R\Max</f>
        <v>0.94269324502777729</v>
      </c>
      <c r="CD362" s="1188">
        <f>'2025'!R\Max</f>
        <v>0.94195753428328166</v>
      </c>
      <c r="CE362" s="1188">
        <f>'2026'!R\Max</f>
        <v>0.94124873500831463</v>
      </c>
      <c r="CF362" s="1189">
        <f>'2027'!R\Max</f>
        <v>0.94080603069850266</v>
      </c>
    </row>
    <row r="363" spans="1:84" s="6" customFormat="1" ht="11.25" x14ac:dyDescent="0.2">
      <c r="A363" s="11">
        <v>43449</v>
      </c>
      <c r="B363" s="380">
        <f>'2023'!Maxi_hp</f>
        <v>16.523910631894243</v>
      </c>
      <c r="C363" s="13">
        <f>'2023'!An_max</f>
        <v>2019</v>
      </c>
      <c r="D363" s="1059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51">
        <f t="shared" si="138"/>
        <v>0.6428571428571429</v>
      </c>
      <c r="J363" s="744">
        <f t="shared" si="139"/>
        <v>17.089368714019656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2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51">
        <f t="shared" si="143"/>
        <v>0.82758620689655171</v>
      </c>
      <c r="AT363" s="767">
        <f t="shared" si="144"/>
        <v>17.016611610327303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51">
        <f t="shared" si="148"/>
        <v>0.6785714285714286</v>
      </c>
      <c r="AY363" s="767">
        <f t="shared" si="149"/>
        <v>17.281764711812137</v>
      </c>
      <c r="AZ363" s="744">
        <f t="shared" si="153"/>
        <v>17.14918816106972</v>
      </c>
      <c r="BA363" s="642">
        <f t="shared" si="150"/>
        <v>0.96691170448785935</v>
      </c>
      <c r="BC363" s="11">
        <v>43449</v>
      </c>
      <c r="BD363" s="290">
        <f>[2]!FeuilCaduc*(1-Persistant)+Persistant</f>
        <v>0.6157618622494625</v>
      </c>
      <c r="BE363" s="291">
        <f>[2]!CroissVégét</f>
        <v>0.99988944533008528</v>
      </c>
      <c r="BF363" s="814">
        <f>1+[2]!Salcycl*Ksac</f>
        <v>1.0019702327811828</v>
      </c>
      <c r="BH363" s="1050">
        <f t="shared" si="151"/>
        <v>3.1050289641037787E-2</v>
      </c>
      <c r="BI363" s="11">
        <v>44545</v>
      </c>
      <c r="BJ363" s="724">
        <v>1.0691241714116076E-6</v>
      </c>
      <c r="BK363" s="724">
        <v>1.9581267602358127E-6</v>
      </c>
      <c r="BL363" s="724">
        <v>3.1053671165930283E-5</v>
      </c>
      <c r="BM363" s="724">
        <v>1.6374851146506292E-4</v>
      </c>
      <c r="BN363" s="724">
        <v>5.4939866016656411E-3</v>
      </c>
      <c r="BO363" s="725">
        <v>3.1050289641037787E-2</v>
      </c>
      <c r="BP363" s="724">
        <v>8.6093417192568911E-2</v>
      </c>
      <c r="BQ363" s="724">
        <v>0.15147611488813584</v>
      </c>
      <c r="BR363" s="724">
        <v>0.20717034941907952</v>
      </c>
      <c r="BS363" s="724">
        <v>0.24153669658841648</v>
      </c>
      <c r="BT363" s="724">
        <v>0.26862757780767305</v>
      </c>
      <c r="BW363" s="1190">
        <f>'2018'!R\Max</f>
        <v>0.33628798269257859</v>
      </c>
      <c r="BX363" s="1188">
        <f>'2019'!R\Max</f>
        <v>0.96691170448785935</v>
      </c>
      <c r="BY363" s="1188">
        <f>'2020'!R\Max</f>
        <v>0.22825540522612978</v>
      </c>
      <c r="BZ363" s="1188">
        <f>'2021'!R\Max</f>
        <v>0.96667317804291442</v>
      </c>
      <c r="CA363" s="1188">
        <f>'2022'!R\Max</f>
        <v>0.36720470782614828</v>
      </c>
      <c r="CB363" s="1188">
        <f>'2023'!R\Max</f>
        <v>0.36416543315608302</v>
      </c>
      <c r="CC363" s="1188">
        <f>'2024'!R\Max</f>
        <v>0.36076068462034699</v>
      </c>
      <c r="CD363" s="1188">
        <f>'2025'!R\Max</f>
        <v>0.35768571286481193</v>
      </c>
      <c r="CE363" s="1188">
        <f>'2026'!R\Max</f>
        <v>0.35477463214264965</v>
      </c>
      <c r="CF363" s="1189">
        <f>'2027'!R\Max</f>
        <v>0.3529744696431466</v>
      </c>
    </row>
    <row r="364" spans="1:84" s="6" customFormat="1" ht="11.25" x14ac:dyDescent="0.2">
      <c r="A364" s="11">
        <v>43450</v>
      </c>
      <c r="B364" s="380">
        <f>'2023'!Maxi_hp</f>
        <v>16.953885897183909</v>
      </c>
      <c r="C364" s="13">
        <f>'2023'!An_max</f>
        <v>2021</v>
      </c>
      <c r="D364" s="1059">
        <f t="shared" si="135"/>
        <v>0.98986492822329575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51">
        <f t="shared" si="138"/>
        <v>0.5714285714285714</v>
      </c>
      <c r="J364" s="744">
        <f t="shared" si="139"/>
        <v>17.12747407630086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2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51">
        <f t="shared" si="143"/>
        <v>0.7931034482758621</v>
      </c>
      <c r="AT364" s="767">
        <f t="shared" si="144"/>
        <v>17.035913275850231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51">
        <f t="shared" si="148"/>
        <v>0.7142857142857143</v>
      </c>
      <c r="AY364" s="767">
        <f t="shared" si="149"/>
        <v>17.297579777666499</v>
      </c>
      <c r="AZ364" s="744">
        <f t="shared" si="153"/>
        <v>17.166746526758367</v>
      </c>
      <c r="BA364" s="642">
        <f t="shared" si="150"/>
        <v>0.98986492822329575</v>
      </c>
      <c r="BC364" s="11">
        <v>43450</v>
      </c>
      <c r="BD364" s="290">
        <f>[2]!FeuilCaduc*(1-Persistant)+Persistant</f>
        <v>0.61462041703967107</v>
      </c>
      <c r="BE364" s="291">
        <f>[2]!CroissVégét</f>
        <v>0.9999072242967757</v>
      </c>
      <c r="BF364" s="814">
        <f>1+[2]!Salcycl*Ksac</f>
        <v>1.0018275521299589</v>
      </c>
      <c r="BH364" s="1050">
        <f t="shared" si="151"/>
        <v>3.1185663817537762E-2</v>
      </c>
      <c r="BI364" s="11">
        <v>44546</v>
      </c>
      <c r="BJ364" s="724">
        <v>8.9102372752216014E-7</v>
      </c>
      <c r="BK364" s="724">
        <v>1.6319314926371539E-6</v>
      </c>
      <c r="BL364" s="724">
        <v>3.0471631506505085E-5</v>
      </c>
      <c r="BM364" s="724">
        <v>1.6071477163051746E-4</v>
      </c>
      <c r="BN364" s="724">
        <v>5.4854720682454622E-3</v>
      </c>
      <c r="BO364" s="725">
        <v>3.1185663817537762E-2</v>
      </c>
      <c r="BP364" s="724">
        <v>8.6056560435225651E-2</v>
      </c>
      <c r="BQ364" s="724">
        <v>0.15110143986539981</v>
      </c>
      <c r="BR364" s="724">
        <v>0.20624425883718644</v>
      </c>
      <c r="BS364" s="724">
        <v>0.24033652821206741</v>
      </c>
      <c r="BT364" s="724">
        <v>0.2672811184218063</v>
      </c>
      <c r="BW364" s="1190">
        <f>'2018'!R\Max</f>
        <v>0.18484974150574346</v>
      </c>
      <c r="BX364" s="1188">
        <f>'2019'!R\Max</f>
        <v>0.70642753538314984</v>
      </c>
      <c r="BY364" s="1188">
        <f>'2020'!R\Max</f>
        <v>0.1497815396118484</v>
      </c>
      <c r="BZ364" s="1188">
        <f>'2021'!R\Max</f>
        <v>0.98986492822329575</v>
      </c>
      <c r="CA364" s="1188">
        <f>'2022'!R\Max</f>
        <v>0.30945107780995984</v>
      </c>
      <c r="CB364" s="1188">
        <f>'2023'!R\Max</f>
        <v>0.30668044979806419</v>
      </c>
      <c r="CC364" s="1188">
        <f>'2024'!R\Max</f>
        <v>0.30358562123899163</v>
      </c>
      <c r="CD364" s="1188">
        <f>'2025'!R\Max</f>
        <v>0.3008034127583144</v>
      </c>
      <c r="CE364" s="1188">
        <f>'2026'!R\Max</f>
        <v>0.29817806071907532</v>
      </c>
      <c r="CF364" s="1189">
        <f>'2027'!R\Max</f>
        <v>0.29655335829754897</v>
      </c>
    </row>
    <row r="365" spans="1:84" s="6" customFormat="1" ht="11.25" x14ac:dyDescent="0.2">
      <c r="A365" s="11">
        <v>43451</v>
      </c>
      <c r="B365" s="380">
        <f>'2023'!Maxi_hp</f>
        <v>16.997202859341002</v>
      </c>
      <c r="C365" s="13">
        <f>'2023'!An_max</f>
        <v>2021</v>
      </c>
      <c r="D365" s="1059">
        <f t="shared" si="135"/>
        <v>0.98966735619814894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51">
        <f t="shared" si="138"/>
        <v>0.5</v>
      </c>
      <c r="J365" s="744">
        <f t="shared" si="139"/>
        <v>17.174662529677153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2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51">
        <f t="shared" si="143"/>
        <v>0.75862068965517238</v>
      </c>
      <c r="AT365" s="767">
        <f t="shared" si="144"/>
        <v>17.064597134394894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51">
        <f t="shared" si="148"/>
        <v>0.75</v>
      </c>
      <c r="AY365" s="767">
        <f t="shared" si="149"/>
        <v>17.32067949026823</v>
      </c>
      <c r="AZ365" s="744">
        <f t="shared" si="153"/>
        <v>17.19263831233156</v>
      </c>
      <c r="BA365" s="642">
        <f t="shared" si="150"/>
        <v>0.98966735619814894</v>
      </c>
      <c r="BC365" s="11">
        <v>43451</v>
      </c>
      <c r="BD365" s="290">
        <f>[2]!FeuilCaduc*(1-Persistant)+Persistant</f>
        <v>0.61356293020072572</v>
      </c>
      <c r="BE365" s="291">
        <f>[2]!CroissVégét</f>
        <v>0.99992428802440059</v>
      </c>
      <c r="BF365" s="814">
        <f>1+[2]!Salcycl*Ksac</f>
        <v>1.0016953662750907</v>
      </c>
      <c r="BH365" s="1050">
        <f t="shared" si="151"/>
        <v>3.1295322571530795E-2</v>
      </c>
      <c r="BI365" s="11">
        <v>44547</v>
      </c>
      <c r="BJ365" s="724">
        <v>7.29104154723339E-7</v>
      </c>
      <c r="BK365" s="724">
        <v>1.335371881526036E-6</v>
      </c>
      <c r="BL365" s="724">
        <v>2.9881621183731546E-5</v>
      </c>
      <c r="BM365" s="724">
        <v>1.5792127860825679E-4</v>
      </c>
      <c r="BN365" s="724">
        <v>5.4783269491071309E-3</v>
      </c>
      <c r="BO365" s="725">
        <v>3.1295322571530795E-2</v>
      </c>
      <c r="BP365" s="724">
        <v>8.6021784534961121E-2</v>
      </c>
      <c r="BQ365" s="724">
        <v>0.15078197783780864</v>
      </c>
      <c r="BR365" s="724">
        <v>0.20546458848453439</v>
      </c>
      <c r="BS365" s="724">
        <v>0.23932564556692382</v>
      </c>
      <c r="BT365" s="724">
        <v>0.26614740521388758</v>
      </c>
      <c r="BW365" s="1190">
        <f>'2018'!R\Max</f>
        <v>0.80781942331338075</v>
      </c>
      <c r="BX365" s="1188">
        <f>'2019'!R\Max</f>
        <v>0.55568730222160112</v>
      </c>
      <c r="BY365" s="1188">
        <f>'2020'!R\Max</f>
        <v>0.63875267145065073</v>
      </c>
      <c r="BZ365" s="1188">
        <f>'2021'!R\Max</f>
        <v>0.98966735619814894</v>
      </c>
      <c r="CA365" s="1188">
        <f>'2022'!R\Max</f>
        <v>0.22933581477412529</v>
      </c>
      <c r="CB365" s="1188">
        <f>'2023'!R\Max</f>
        <v>0.22726339213359503</v>
      </c>
      <c r="CC365" s="1188">
        <f>'2024'!R\Max</f>
        <v>0.22495178543436992</v>
      </c>
      <c r="CD365" s="1188">
        <f>'2025'!R\Max</f>
        <v>0.22287957326343888</v>
      </c>
      <c r="CE365" s="1188">
        <f>'2026'!R\Max</f>
        <v>0.22092768456985568</v>
      </c>
      <c r="CF365" s="1189">
        <f>'2027'!R\Max</f>
        <v>0.21971815578084222</v>
      </c>
    </row>
    <row r="366" spans="1:84" s="6" customFormat="1" ht="11.25" x14ac:dyDescent="0.2">
      <c r="A366" s="11">
        <v>43452</v>
      </c>
      <c r="B366" s="380">
        <f>'2023'!Maxi_hp</f>
        <v>17.776988276378741</v>
      </c>
      <c r="C366" s="13">
        <f>'2023'!An_max</f>
        <v>2021</v>
      </c>
      <c r="D366" s="1059">
        <f t="shared" si="135"/>
        <v>1.0317480164763841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51">
        <f t="shared" si="138"/>
        <v>0.42857142857142855</v>
      </c>
      <c r="J366" s="744">
        <f t="shared" si="139"/>
        <v>17.229970877085414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2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51">
        <f t="shared" si="143"/>
        <v>0.72413793103448276</v>
      </c>
      <c r="AT366" s="767">
        <f t="shared" si="144"/>
        <v>17.102435648081631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51">
        <f t="shared" si="148"/>
        <v>0.7857142857142857</v>
      </c>
      <c r="AY366" s="767">
        <f t="shared" si="149"/>
        <v>17.350969239324332</v>
      </c>
      <c r="AZ366" s="744">
        <f t="shared" si="153"/>
        <v>17.226702443702983</v>
      </c>
      <c r="BA366" s="642">
        <f t="shared" si="150"/>
        <v>1.0317480164763841</v>
      </c>
      <c r="BC366" s="11">
        <v>43452</v>
      </c>
      <c r="BD366" s="290">
        <f>[2]!FeuilCaduc*(1-Persistant)+Persistant</f>
        <v>0.61258433619096941</v>
      </c>
      <c r="BE366" s="291">
        <f>[2]!CroissVégét</f>
        <v>0.99994066526373915</v>
      </c>
      <c r="BF366" s="814">
        <f>1+[2]!Salcycl*Ksac</f>
        <v>1.0015730420238711</v>
      </c>
      <c r="BH366" s="1050">
        <f t="shared" si="151"/>
        <v>3.1370470306385623E-2</v>
      </c>
      <c r="BI366" s="11">
        <v>44548</v>
      </c>
      <c r="BJ366" s="724">
        <v>5.9956776426485905E-7</v>
      </c>
      <c r="BK366" s="724">
        <v>1.0981228515595708E-6</v>
      </c>
      <c r="BL366" s="724">
        <v>2.9350559265659037E-5</v>
      </c>
      <c r="BM366" s="724">
        <v>1.5565435074315994E-4</v>
      </c>
      <c r="BN366" s="724">
        <v>5.4732864900661829E-3</v>
      </c>
      <c r="BO366" s="725">
        <v>3.1370470306385623E-2</v>
      </c>
      <c r="BP366" s="724">
        <v>8.5994188383489767E-2</v>
      </c>
      <c r="BQ366" s="724">
        <v>0.15054966239004511</v>
      </c>
      <c r="BR366" s="724">
        <v>0.20490520945914983</v>
      </c>
      <c r="BS366" s="724">
        <v>0.23859942616319865</v>
      </c>
      <c r="BT366" s="724">
        <v>0.26533331528565562</v>
      </c>
      <c r="BW366" s="1190">
        <f>'2018'!R\Max</f>
        <v>0.62665585032597471</v>
      </c>
      <c r="BX366" s="1188">
        <f>'2019'!R\Max</f>
        <v>0.80944218607131857</v>
      </c>
      <c r="BY366" s="1188">
        <f>'2020'!R\Max</f>
        <v>0.51843808932252677</v>
      </c>
      <c r="BZ366" s="1188">
        <f>'2021'!R\Max</f>
        <v>1.0317480164763841</v>
      </c>
      <c r="CA366" s="1188">
        <f>'2022'!R\Max</f>
        <v>0.92579364534308228</v>
      </c>
      <c r="CB366" s="1188">
        <f>'2023'!R\Max</f>
        <v>0.92490920304387192</v>
      </c>
      <c r="CC366" s="1188">
        <f>'2024'!R\Max</f>
        <v>0.92390647369967893</v>
      </c>
      <c r="CD366" s="1188">
        <f>'2025'!R\Max</f>
        <v>0.92299359157725858</v>
      </c>
      <c r="CE366" s="1188">
        <f>'2026'!R\Max</f>
        <v>0.92212083318453553</v>
      </c>
      <c r="CF366" s="1189">
        <f>'2027'!R\Max</f>
        <v>0.92157258293613031</v>
      </c>
    </row>
    <row r="367" spans="1:84" s="6" customFormat="1" ht="11.25" x14ac:dyDescent="0.2">
      <c r="A367" s="11">
        <v>43453</v>
      </c>
      <c r="B367" s="380">
        <f>'2023'!Maxi_hp</f>
        <v>17.087258276429306</v>
      </c>
      <c r="C367" s="13">
        <f>'2023'!An_max</f>
        <v>2021</v>
      </c>
      <c r="D367" s="1059">
        <f t="shared" si="135"/>
        <v>0.98813483217935305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51">
        <f t="shared" si="138"/>
        <v>0.35714285714285715</v>
      </c>
      <c r="J367" s="744">
        <f t="shared" si="139"/>
        <v>17.292435930775746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2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51">
        <f t="shared" si="143"/>
        <v>0.68965517241379315</v>
      </c>
      <c r="AT367" s="767">
        <f t="shared" si="144"/>
        <v>17.149201278337117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51">
        <f t="shared" si="148"/>
        <v>0.8214285714285714</v>
      </c>
      <c r="AY367" s="767">
        <f t="shared" si="149"/>
        <v>17.388354408794218</v>
      </c>
      <c r="AZ367" s="744">
        <f t="shared" si="153"/>
        <v>17.268777843565665</v>
      </c>
      <c r="BA367" s="642">
        <f t="shared" si="150"/>
        <v>0.98813483217935305</v>
      </c>
      <c r="BC367" s="11">
        <v>43453</v>
      </c>
      <c r="BD367" s="290">
        <f>[2]!FeuilCaduc*(1-Persistant)+Persistant</f>
        <v>0.61167960854563364</v>
      </c>
      <c r="BE367" s="291">
        <f>[2]!CroissVégét</f>
        <v>0.99995638361167161</v>
      </c>
      <c r="BF367" s="814">
        <f>1+[2]!Salcycl*Ksac</f>
        <v>1.0014599510682043</v>
      </c>
      <c r="BH367" s="1050">
        <f t="shared" si="151"/>
        <v>3.1428637696452918E-2</v>
      </c>
      <c r="BI367" s="11">
        <v>44549</v>
      </c>
      <c r="BJ367" s="724">
        <v>5.0242084204280529E-7</v>
      </c>
      <c r="BK367" s="724">
        <v>9.2019591550836599E-7</v>
      </c>
      <c r="BL367" s="724">
        <v>2.8953819211477472E-5</v>
      </c>
      <c r="BM367" s="724">
        <v>1.5396253111269489E-4</v>
      </c>
      <c r="BN367" s="724">
        <v>5.4698173049758719E-3</v>
      </c>
      <c r="BO367" s="725">
        <v>3.1428637696452918E-2</v>
      </c>
      <c r="BP367" s="724">
        <v>8.5978391571248577E-2</v>
      </c>
      <c r="BQ367" s="724">
        <v>0.15038396377745272</v>
      </c>
      <c r="BR367" s="724">
        <v>0.20449724163596009</v>
      </c>
      <c r="BS367" s="724">
        <v>0.23806821335517947</v>
      </c>
      <c r="BT367" s="724">
        <v>0.26473770533859076</v>
      </c>
      <c r="BW367" s="1190">
        <f>'2018'!R\Max</f>
        <v>0.9278187152511661</v>
      </c>
      <c r="BX367" s="1188">
        <f>'2019'!R\Max</f>
        <v>0.47603883733540264</v>
      </c>
      <c r="BY367" s="1188">
        <f>'2020'!R\Max</f>
        <v>0.52769006167316701</v>
      </c>
      <c r="BZ367" s="1188">
        <f>'2021'!R\Max</f>
        <v>0.98813483217935305</v>
      </c>
      <c r="CA367" s="1188">
        <f>'2022'!R\Max</f>
        <v>0.76606487425541858</v>
      </c>
      <c r="CB367" s="1188">
        <f>'2023'!R\Max</f>
        <v>0.76377824964808361</v>
      </c>
      <c r="CC367" s="1188">
        <f>'2024'!R\Max</f>
        <v>0.76119895276325733</v>
      </c>
      <c r="CD367" s="1188">
        <f>'2025'!R\Max</f>
        <v>0.75886454243986523</v>
      </c>
      <c r="CE367" s="1188">
        <f>'2026'!R\Max</f>
        <v>0.75664394155960457</v>
      </c>
      <c r="CF367" s="1189">
        <f>'2027'!R\Max</f>
        <v>0.75525258796874573</v>
      </c>
    </row>
    <row r="368" spans="1:84" s="6" customFormat="1" ht="11.25" x14ac:dyDescent="0.2">
      <c r="A368" s="11">
        <v>43454</v>
      </c>
      <c r="B368" s="380">
        <f>'2023'!Maxi_hp</f>
        <v>17.638070585315422</v>
      </c>
      <c r="C368" s="13">
        <f>'2023'!An_max</f>
        <v>2021</v>
      </c>
      <c r="D368" s="1059">
        <f t="shared" si="135"/>
        <v>1.0159538380767177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51">
        <f t="shared" si="138"/>
        <v>0.2857142857142857</v>
      </c>
      <c r="J368" s="744">
        <f t="shared" si="139"/>
        <v>17.361094494909047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2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51">
        <f t="shared" si="143"/>
        <v>0.65517241379310343</v>
      </c>
      <c r="AT368" s="767">
        <f t="shared" si="144"/>
        <v>17.204666485611732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51">
        <f t="shared" si="148"/>
        <v>0.8571428571428571</v>
      </c>
      <c r="AY368" s="767">
        <f t="shared" si="149"/>
        <v>17.432740377528326</v>
      </c>
      <c r="AZ368" s="744">
        <f t="shared" si="153"/>
        <v>17.318703431570029</v>
      </c>
      <c r="BA368" s="642">
        <f t="shared" si="150"/>
        <v>1.0159538380767177</v>
      </c>
      <c r="BC368" s="11">
        <v>43454</v>
      </c>
      <c r="BD368" s="290">
        <f>[2]!FeuilCaduc*(1-Persistant)+Persistant</f>
        <v>0.61084378837758946</v>
      </c>
      <c r="BE368" s="291">
        <f>[2]!CroissVégét</f>
        <v>0.99997146955734828</v>
      </c>
      <c r="BF368" s="814">
        <f>1+[2]!Salcycl*Ksac</f>
        <v>1.0013554735471988</v>
      </c>
      <c r="BH368" s="1050">
        <f t="shared" si="151"/>
        <v>3.1469885251162587E-2</v>
      </c>
      <c r="BI368" s="11">
        <v>44550</v>
      </c>
      <c r="BJ368" s="724">
        <v>4.3767317302665438E-7</v>
      </c>
      <c r="BK368" s="724">
        <v>8.0160899478051618E-7</v>
      </c>
      <c r="BL368" s="724">
        <v>2.869149725282378E-5</v>
      </c>
      <c r="BM368" s="724">
        <v>1.5284629386314705E-4</v>
      </c>
      <c r="BN368" s="724">
        <v>5.4679311469050295E-3</v>
      </c>
      <c r="BO368" s="725">
        <v>3.1469885251162587E-2</v>
      </c>
      <c r="BP368" s="724">
        <v>8.5974575358716152E-2</v>
      </c>
      <c r="BQ368" s="724">
        <v>0.15028521145410981</v>
      </c>
      <c r="BR368" s="724">
        <v>0.20424114943869562</v>
      </c>
      <c r="BS368" s="724">
        <v>0.23773255286713116</v>
      </c>
      <c r="BT368" s="724">
        <v>0.26436118267097125</v>
      </c>
      <c r="BW368" s="1190">
        <f>'2018'!R\Max</f>
        <v>0.50764853530505971</v>
      </c>
      <c r="BX368" s="1188">
        <f>'2019'!R\Max</f>
        <v>0.44870706807561817</v>
      </c>
      <c r="BY368" s="1188">
        <f>'2020'!R\Max</f>
        <v>0.45948182317656483</v>
      </c>
      <c r="BZ368" s="1188">
        <f>'2021'!R\Max</f>
        <v>1.0159538380767177</v>
      </c>
      <c r="CA368" s="1188">
        <f>'2022'!R\Max</f>
        <v>0.30688056783393713</v>
      </c>
      <c r="CB368" s="1188">
        <f>'2023'!R\Max</f>
        <v>0.30419964581941333</v>
      </c>
      <c r="CC368" s="1188">
        <f>'2024'!R\Max</f>
        <v>0.30121405769083237</v>
      </c>
      <c r="CD368" s="1188">
        <f>'2025'!R\Max</f>
        <v>0.298547745575104</v>
      </c>
      <c r="CE368" s="1188">
        <f>'2026'!R\Max</f>
        <v>0.29604167551825766</v>
      </c>
      <c r="CF368" s="1189">
        <f>'2027'!R\Max</f>
        <v>0.29448477675967732</v>
      </c>
    </row>
    <row r="369" spans="1:84" s="6" customFormat="1" ht="11.25" x14ac:dyDescent="0.2">
      <c r="A369" s="11">
        <v>43455</v>
      </c>
      <c r="B369" s="380">
        <f>'2023'!Maxi_hp</f>
        <v>16.885283849711772</v>
      </c>
      <c r="C369" s="13">
        <f>'2023'!An_max</f>
        <v>2022</v>
      </c>
      <c r="D369" s="1059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51">
        <f t="shared" si="138"/>
        <v>0.21428571428571427</v>
      </c>
      <c r="J369" s="744">
        <f t="shared" si="139"/>
        <v>17.434983375987834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2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51">
        <f t="shared" si="143"/>
        <v>0.62068965517241381</v>
      </c>
      <c r="AT369" s="767">
        <f t="shared" si="144"/>
        <v>17.268603736804476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51">
        <f t="shared" si="148"/>
        <v>0.8928571428571429</v>
      </c>
      <c r="AY369" s="767">
        <f t="shared" si="149"/>
        <v>17.484032538426774</v>
      </c>
      <c r="AZ369" s="744">
        <f t="shared" si="153"/>
        <v>17.376318137615627</v>
      </c>
      <c r="BA369" s="642">
        <f t="shared" si="150"/>
        <v>0.96847146255194427</v>
      </c>
      <c r="BC369" s="11">
        <v>43455</v>
      </c>
      <c r="BD369" s="290">
        <f>[2]!FeuilCaduc*(1-Persistant)+Persistant</f>
        <v>0.61007201132608702</v>
      </c>
      <c r="BE369" s="291">
        <f>[2]!CroissVégét</f>
        <v>0.99998594852652212</v>
      </c>
      <c r="BF369" s="814">
        <f>1+[2]!Salcycl*Ksac</f>
        <v>1.001259001415761</v>
      </c>
      <c r="BH369" s="1050">
        <f t="shared" si="151"/>
        <v>3.1494271199988995E-2</v>
      </c>
      <c r="BI369" s="11">
        <v>44551</v>
      </c>
      <c r="BJ369" s="724">
        <v>4.0533871462721434E-7</v>
      </c>
      <c r="BK369" s="724">
        <v>7.4238765271126169E-7</v>
      </c>
      <c r="BL369" s="724">
        <v>2.8563706846348455E-5</v>
      </c>
      <c r="BM369" s="724">
        <v>1.5230618680329779E-4</v>
      </c>
      <c r="BN369" s="724">
        <v>5.4676399554363037E-3</v>
      </c>
      <c r="BO369" s="725">
        <v>3.1494271199988995E-2</v>
      </c>
      <c r="BP369" s="724">
        <v>8.5982922275874715E-2</v>
      </c>
      <c r="BQ369" s="724">
        <v>0.1502537430196757</v>
      </c>
      <c r="BR369" s="724">
        <v>0.20413741620580136</v>
      </c>
      <c r="BS369" s="724">
        <v>0.23759301485798878</v>
      </c>
      <c r="BT369" s="724">
        <v>0.26420438196280494</v>
      </c>
      <c r="BW369" s="1190">
        <f>'2018'!R\Max</f>
        <v>0.44213944444196129</v>
      </c>
      <c r="BX369" s="1188">
        <f>'2019'!R\Max</f>
        <v>0.77814831328391376</v>
      </c>
      <c r="BY369" s="1188">
        <f>'2020'!R\Max</f>
        <v>0.39838163057672699</v>
      </c>
      <c r="BZ369" s="1188">
        <f>'2021'!R\Max</f>
        <v>0.79916368034822938</v>
      </c>
      <c r="CA369" s="1188">
        <f>'2022'!R\Max</f>
        <v>0.96847146255194427</v>
      </c>
      <c r="CB369" s="1188">
        <f>'2023'!R\Max</f>
        <v>0.96808569346656603</v>
      </c>
      <c r="CC369" s="1188">
        <f>'2024'!R\Max</f>
        <v>0.96764851587415246</v>
      </c>
      <c r="CD369" s="1188">
        <f>'2025'!R\Max</f>
        <v>0.96725127041135373</v>
      </c>
      <c r="CE369" s="1188">
        <f>'2026'!R\Max</f>
        <v>0.96687182792207926</v>
      </c>
      <c r="CF369" s="1189">
        <f>'2027'!R\Max</f>
        <v>0.9666329601114253</v>
      </c>
    </row>
    <row r="370" spans="1:84" s="6" customFormat="1" ht="11.25" x14ac:dyDescent="0.2">
      <c r="A370" s="11">
        <v>43456</v>
      </c>
      <c r="B370" s="380">
        <f>'2023'!Maxi_hp</f>
        <v>16.570747847760565</v>
      </c>
      <c r="C370" s="13">
        <f>'2023'!An_max</f>
        <v>2021</v>
      </c>
      <c r="D370" s="1059" t="str">
        <f t="shared" si="135"/>
        <v/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51">
        <f t="shared" si="138"/>
        <v>0.14285714285714285</v>
      </c>
      <c r="J370" s="744">
        <f t="shared" si="139"/>
        <v>17.513139382643359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2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51">
        <f t="shared" si="143"/>
        <v>0.58620689655172409</v>
      </c>
      <c r="AT370" s="767">
        <f t="shared" si="144"/>
        <v>17.340785489411189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51">
        <f t="shared" si="148"/>
        <v>0.9285714285714286</v>
      </c>
      <c r="AY370" s="767">
        <f t="shared" si="149"/>
        <v>17.542136271936553</v>
      </c>
      <c r="AZ370" s="744">
        <f t="shared" si="153"/>
        <v>17.441460880673873</v>
      </c>
      <c r="BA370" s="642">
        <f t="shared" si="150"/>
        <v>0.94618945728161308</v>
      </c>
      <c r="BC370" s="11">
        <v>43456</v>
      </c>
      <c r="BD370" s="290">
        <f>[2]!FeuilCaduc*(1-Persistant)+Persistant</f>
        <v>0.60935953277953325</v>
      </c>
      <c r="BE370" s="291">
        <f>[2]!CroissVégét</f>
        <v>0.99999984492411664</v>
      </c>
      <c r="BF370" s="814">
        <f>1+[2]!Salcycl*Ksac</f>
        <v>1.0011699415974418</v>
      </c>
      <c r="BH370" s="1050">
        <f t="shared" si="151"/>
        <v>3.150185112281554E-2</v>
      </c>
      <c r="BI370" s="11">
        <v>44552</v>
      </c>
      <c r="BJ370" s="726">
        <v>4.0543627002565422E-7</v>
      </c>
      <c r="BK370" s="726">
        <v>7.425663277813785E-7</v>
      </c>
      <c r="BL370" s="726">
        <v>2.8570581451960411E-5</v>
      </c>
      <c r="BM370" s="726">
        <v>1.5234284328392072E-4</v>
      </c>
      <c r="BN370" s="726">
        <v>5.4689558864715821E-3</v>
      </c>
      <c r="BO370" s="727">
        <v>3.150185112281554E-2</v>
      </c>
      <c r="BP370" s="726">
        <v>8.60036163224559E-2</v>
      </c>
      <c r="BQ370" s="726">
        <v>0.15028990552584254</v>
      </c>
      <c r="BR370" s="726">
        <v>0.20418654723191806</v>
      </c>
      <c r="BS370" s="726">
        <v>0.2376501978518519</v>
      </c>
      <c r="BT370" s="726">
        <v>0.26426796968048849</v>
      </c>
      <c r="BW370" s="1190">
        <f>'2018'!R\Max</f>
        <v>0.338921109993151</v>
      </c>
      <c r="BX370" s="1188">
        <f>'2019'!R\Max</f>
        <v>0.33626641682198105</v>
      </c>
      <c r="BY370" s="1188">
        <f>'2020'!R\Max</f>
        <v>0.42770165967473661</v>
      </c>
      <c r="BZ370" s="1188">
        <f>'2021'!R\Max</f>
        <v>0.94618945728161308</v>
      </c>
      <c r="CA370" s="1188">
        <f>'2022'!R\Max</f>
        <v>0.70969545216871988</v>
      </c>
      <c r="CB370" s="1188">
        <f>'2023'!R\Max</f>
        <v>0.70711511034435148</v>
      </c>
      <c r="CC370" s="1188">
        <f>'2024'!R\Max</f>
        <v>0.70421134043047284</v>
      </c>
      <c r="CD370" s="1188">
        <f>'2025'!R\Max</f>
        <v>0.70159143592584861</v>
      </c>
      <c r="CE370" s="1188">
        <f>'2026'!R\Max</f>
        <v>0.69910532988978602</v>
      </c>
      <c r="CF370" s="1189">
        <f>'2027'!R\Max</f>
        <v>0.6975484261545396</v>
      </c>
    </row>
    <row r="371" spans="1:84" s="6" customFormat="1" ht="11.25" x14ac:dyDescent="0.2">
      <c r="A371" s="11">
        <v>43457</v>
      </c>
      <c r="B371" s="380">
        <f>'2023'!Maxi_hp</f>
        <v>14.372652723691925</v>
      </c>
      <c r="C371" s="13">
        <f>'2023'!An_max</f>
        <v>2020</v>
      </c>
      <c r="D371" s="1059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51">
        <f t="shared" si="138"/>
        <v>7.1428571428571425E-2</v>
      </c>
      <c r="J371" s="744">
        <f t="shared" si="139"/>
        <v>17.594599322282843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2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51">
        <f t="shared" si="143"/>
        <v>0.55172413793103448</v>
      </c>
      <c r="AT371" s="767">
        <f t="shared" si="144"/>
        <v>17.420984205243919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51">
        <f t="shared" si="148"/>
        <v>0.9642857142857143</v>
      </c>
      <c r="AY371" s="767">
        <f t="shared" si="149"/>
        <v>17.606956964518339</v>
      </c>
      <c r="AZ371" s="744">
        <f t="shared" si="153"/>
        <v>17.513970584881129</v>
      </c>
      <c r="BA371" s="642">
        <f t="shared" si="150"/>
        <v>0.81687866034491308</v>
      </c>
      <c r="BC371" s="11">
        <v>43457</v>
      </c>
      <c r="BD371" s="290">
        <f>[2]!FeuilCaduc*(1-Persistant)+Persistant</f>
        <v>0.60870175121632608</v>
      </c>
      <c r="BE371" s="291">
        <f>[2]!CroissVégét</f>
        <v>0.99999984492411664</v>
      </c>
      <c r="BF371" s="814">
        <f>1+[2]!Salcycl*Ksac</f>
        <v>1.0010877189020408</v>
      </c>
      <c r="BH371" s="1050">
        <f t="shared" si="151"/>
        <v>3.1492699345153648E-2</v>
      </c>
      <c r="BI371" s="11">
        <v>44553</v>
      </c>
      <c r="BJ371" s="724">
        <v>4.3799046420287276E-7</v>
      </c>
      <c r="BK371" s="724">
        <v>8.0219012123855844E-7</v>
      </c>
      <c r="BL371" s="724">
        <v>2.8712297154375571E-5</v>
      </c>
      <c r="BM371" s="724">
        <v>1.5295709978717733E-4</v>
      </c>
      <c r="BN371" s="724">
        <v>5.471895123707827E-3</v>
      </c>
      <c r="BO371" s="725">
        <v>3.1492699345153648E-2</v>
      </c>
      <c r="BP371" s="724">
        <v>8.6036902628975384E-2</v>
      </c>
      <c r="BQ371" s="724">
        <v>0.15039416072139244</v>
      </c>
      <c r="BR371" s="724">
        <v>0.20438921406438304</v>
      </c>
      <c r="BS371" s="724">
        <v>0.23790489708645576</v>
      </c>
      <c r="BT371" s="724">
        <v>0.26455283131604612</v>
      </c>
      <c r="BW371" s="1190">
        <f>'2018'!R\Max</f>
        <v>0.28964800019623649</v>
      </c>
      <c r="BX371" s="1188">
        <f>'2019'!R\Max</f>
        <v>0.33016384002012455</v>
      </c>
      <c r="BY371" s="1188">
        <f>'2020'!R\Max</f>
        <v>0.81687866034491308</v>
      </c>
      <c r="BZ371" s="1188">
        <f>'2021'!R\Max</f>
        <v>0.31010566744271967</v>
      </c>
      <c r="CA371" s="1188">
        <f>'2022'!R\Max</f>
        <v>0.75981774545908731</v>
      </c>
      <c r="CB371" s="1188">
        <f>'2023'!R\Max</f>
        <v>0.7575418210473932</v>
      </c>
      <c r="CC371" s="1188">
        <f>'2024'!R\Max</f>
        <v>0.75497682848794567</v>
      </c>
      <c r="CD371" s="1188">
        <f>'2025'!R\Max</f>
        <v>0.75265855038850882</v>
      </c>
      <c r="CE371" s="1188">
        <f>'2026'!R\Max</f>
        <v>0.7504554355007711</v>
      </c>
      <c r="CF371" s="1189">
        <f>'2027'!R\Max</f>
        <v>0.74907481558881039</v>
      </c>
    </row>
    <row r="372" spans="1:84" s="6" customFormat="1" ht="11.25" x14ac:dyDescent="0.2">
      <c r="A372" s="11">
        <v>43458</v>
      </c>
      <c r="B372" s="380">
        <f>'2023'!Maxi_hp</f>
        <v>17.822245305266634</v>
      </c>
      <c r="C372" s="13">
        <f>'2023'!An_max</f>
        <v>2023</v>
      </c>
      <c r="D372" s="1059">
        <f t="shared" si="135"/>
        <v>1.008136783112872</v>
      </c>
      <c r="E372" s="1054">
        <f>AM$13/10</f>
        <v>17.6784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51">
        <f t="shared" si="138"/>
        <v>0</v>
      </c>
      <c r="J372" s="744">
        <f t="shared" si="139"/>
        <v>17.678399998694658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2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51">
        <f t="shared" si="143"/>
        <v>0.51724137931034486</v>
      </c>
      <c r="AT372" s="767">
        <f t="shared" si="144"/>
        <v>17.508972351098883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51">
        <f t="shared" si="148"/>
        <v>1</v>
      </c>
      <c r="AY372" s="767">
        <f t="shared" si="149"/>
        <v>17.678399997949601</v>
      </c>
      <c r="AZ372" s="744">
        <f t="shared" si="153"/>
        <v>17.593686174524244</v>
      </c>
      <c r="BA372" s="642">
        <f t="shared" si="150"/>
        <v>1.008136783112872</v>
      </c>
      <c r="BC372" s="11">
        <v>43458</v>
      </c>
      <c r="BD372" s="290">
        <f>[2]!FeuilCaduc*(1-Persistant)+Persistant</f>
        <v>0.60809422952685477</v>
      </c>
      <c r="BE372" s="291">
        <f>[2]!CroissVégét</f>
        <v>0.99999984492411664</v>
      </c>
      <c r="BF372" s="814">
        <f>1+[2]!Salcycl*Ksac</f>
        <v>1.0010117786908568</v>
      </c>
      <c r="BH372" s="1050">
        <f t="shared" si="151"/>
        <v>3.1466794870514743E-2</v>
      </c>
      <c r="BI372" s="11">
        <v>44554</v>
      </c>
      <c r="BJ372" s="724">
        <v>5.030308258323437E-7</v>
      </c>
      <c r="BK372" s="724">
        <v>9.2131311556196507E-7</v>
      </c>
      <c r="BL372" s="724">
        <v>2.8988971734793218E-5</v>
      </c>
      <c r="BM372" s="724">
        <v>1.5414945538079095E-4</v>
      </c>
      <c r="BN372" s="724">
        <v>5.4764581518687017E-3</v>
      </c>
      <c r="BO372" s="725">
        <v>3.1466794870514743E-2</v>
      </c>
      <c r="BP372" s="724">
        <v>8.6082777020100198E-2</v>
      </c>
      <c r="BQ372" s="724">
        <v>0.15056654334508732</v>
      </c>
      <c r="BR372" s="724">
        <v>0.20474551955750511</v>
      </c>
      <c r="BS372" s="724">
        <v>0.23835724943569039</v>
      </c>
      <c r="BT372" s="724">
        <v>0.26505912056507613</v>
      </c>
      <c r="BW372" s="1190">
        <f>'2018'!R\Max</f>
        <v>0.29135526970138942</v>
      </c>
      <c r="BX372" s="1188">
        <f>'2019'!R\Max</f>
        <v>0.75224115579572493</v>
      </c>
      <c r="BY372" s="1188">
        <f>'2020'!R\Max</f>
        <v>0.4759873818464429</v>
      </c>
      <c r="BZ372" s="1188">
        <f>'2021'!R\Max</f>
        <v>0.69463391081622761</v>
      </c>
      <c r="CA372" s="1188">
        <f>'2022'!R\Max</f>
        <v>1.008136783112872</v>
      </c>
      <c r="CB372" s="1188">
        <f>'2023'!R\Max</f>
        <v>1.008136783112872</v>
      </c>
      <c r="CC372" s="1188">
        <f>'2024'!R\Max</f>
        <v>1.0081367831128722</v>
      </c>
      <c r="CD372" s="1188">
        <f>'2025'!R\Max</f>
        <v>1.008136783112872</v>
      </c>
      <c r="CE372" s="1188">
        <f>'2026'!R\Max</f>
        <v>1.008136783112872</v>
      </c>
      <c r="CF372" s="1189">
        <f>'2027'!R\Max</f>
        <v>1.008136783112872</v>
      </c>
    </row>
    <row r="373" spans="1:84" s="6" customFormat="1" ht="11.25" x14ac:dyDescent="0.2">
      <c r="A373" s="11">
        <v>43459</v>
      </c>
      <c r="B373" s="380">
        <f>'2023'!Maxi_hp</f>
        <v>13.575447760552157</v>
      </c>
      <c r="C373" s="13">
        <f>'2023'!An_max</f>
        <v>2018</v>
      </c>
      <c r="D373" s="1059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51">
        <f t="shared" si="138"/>
        <v>6.6666666666666666E-2</v>
      </c>
      <c r="J373" s="744">
        <f t="shared" si="139"/>
        <v>17.765160949627557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2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51">
        <f t="shared" si="143"/>
        <v>0.48275862068965519</v>
      </c>
      <c r="AT373" s="767">
        <f t="shared" si="144"/>
        <v>17.604522385628059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51">
        <f t="shared" si="148"/>
        <v>0.96551724137931039</v>
      </c>
      <c r="AY373" s="767">
        <f t="shared" si="149"/>
        <v>17.758082783196507</v>
      </c>
      <c r="AZ373" s="744">
        <f t="shared" si="153"/>
        <v>17.681302584412283</v>
      </c>
      <c r="BA373" s="642">
        <f t="shared" si="150"/>
        <v>0.76416125916589361</v>
      </c>
      <c r="BC373" s="11">
        <v>43459</v>
      </c>
      <c r="BD373" s="290">
        <f>[2]!FeuilCaduc*(1-Persistant)+Persistant</f>
        <v>0.60753271419984134</v>
      </c>
      <c r="BE373" s="291">
        <f>[2]!CroissVégét</f>
        <v>0.99999984492411664</v>
      </c>
      <c r="BF373" s="814">
        <f>1+[2]!Salcycl*Ksac</f>
        <v>1.0009415892749802</v>
      </c>
      <c r="BH373" s="1050">
        <f t="shared" si="151"/>
        <v>3.1424037678304075E-2</v>
      </c>
      <c r="BI373" s="11">
        <v>44555</v>
      </c>
      <c r="BJ373" s="724">
        <v>6.0059157006391153E-7</v>
      </c>
      <c r="BK373" s="724">
        <v>1.0999979766255045E-6</v>
      </c>
      <c r="BL373" s="724">
        <v>2.9400677491775584E-5</v>
      </c>
      <c r="BM373" s="724">
        <v>1.5592014192880517E-4</v>
      </c>
      <c r="BN373" s="724">
        <v>5.4826325269654074E-3</v>
      </c>
      <c r="BO373" s="725">
        <v>3.1424037678304075E-2</v>
      </c>
      <c r="BP373" s="724">
        <v>8.6141029748218204E-2</v>
      </c>
      <c r="BQ373" s="724">
        <v>0.15080673694706256</v>
      </c>
      <c r="BR373" s="724">
        <v>0.20525510008737194</v>
      </c>
      <c r="BS373" s="724">
        <v>0.23900685213023007</v>
      </c>
      <c r="BT373" s="724">
        <v>0.26578639132319809</v>
      </c>
      <c r="BW373" s="1190">
        <f>'2018'!R\Max</f>
        <v>0.76416125916589361</v>
      </c>
      <c r="BX373" s="1188">
        <f>'2019'!R\Max</f>
        <v>0.6480783836202777</v>
      </c>
      <c r="BY373" s="1188">
        <f>'2020'!R\Max</f>
        <v>0.50745983510520876</v>
      </c>
      <c r="BZ373" s="1188">
        <f>'2021'!R\Max</f>
        <v>0.52421603136143802</v>
      </c>
      <c r="CA373" s="1188">
        <f>'2022'!R\Max</f>
        <v>0.59953873619264431</v>
      </c>
      <c r="CB373" s="1188">
        <f>'2023'!R\Max</f>
        <v>0.59657392496717065</v>
      </c>
      <c r="CC373" s="1188">
        <f>'2024'!R\Max</f>
        <v>0.59324349683299571</v>
      </c>
      <c r="CD373" s="1188">
        <f>'2025'!R\Max</f>
        <v>0.59023965481914464</v>
      </c>
      <c r="CE373" s="1188">
        <f>'2026'!R\Max</f>
        <v>0.587392550122942</v>
      </c>
      <c r="CF373" s="1189">
        <f>'2027'!R\Max</f>
        <v>0.58561634630463999</v>
      </c>
    </row>
    <row r="374" spans="1:84" s="6" customFormat="1" ht="11.25" x14ac:dyDescent="0.2">
      <c r="A374" s="11">
        <v>43460</v>
      </c>
      <c r="B374" s="380">
        <f>'2023'!Maxi_hp</f>
        <v>17.584999794203402</v>
      </c>
      <c r="C374" s="13">
        <f>'2023'!An_max</f>
        <v>2022</v>
      </c>
      <c r="D374" s="1059">
        <f t="shared" si="135"/>
        <v>0.98480208011735937</v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51">
        <f t="shared" si="138"/>
        <v>0.13333333333333333</v>
      </c>
      <c r="J374" s="744">
        <f t="shared" si="139"/>
        <v>17.85637962107857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2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51">
        <f t="shared" si="143"/>
        <v>0.44827586206896552</v>
      </c>
      <c r="AT374" s="767">
        <f t="shared" si="144"/>
        <v>17.707406771542697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51">
        <f t="shared" si="148"/>
        <v>0.93103448275862066</v>
      </c>
      <c r="AY374" s="767">
        <f t="shared" si="149"/>
        <v>17.847506553859546</v>
      </c>
      <c r="AZ374" s="744">
        <f t="shared" si="153"/>
        <v>17.77745666270112</v>
      </c>
      <c r="BA374" s="642">
        <f t="shared" si="150"/>
        <v>0.98480208011735937</v>
      </c>
      <c r="BC374" s="11">
        <v>43460</v>
      </c>
      <c r="BD374" s="290">
        <f>[2]!FeuilCaduc*(1-Persistant)+Persistant</f>
        <v>0.60701315227700314</v>
      </c>
      <c r="BE374" s="291">
        <f>[2]!CroissVégét</f>
        <v>0.99999984492411664</v>
      </c>
      <c r="BF374" s="814">
        <f>1+[2]!Salcycl*Ksac</f>
        <v>1.0008766440346255</v>
      </c>
      <c r="BH374" s="1050">
        <f t="shared" si="151"/>
        <v>3.1364325106064149E-2</v>
      </c>
      <c r="BI374" s="11">
        <v>44556</v>
      </c>
      <c r="BJ374" s="724">
        <v>7.3071174430800361E-7</v>
      </c>
      <c r="BK374" s="724">
        <v>1.3383162207051341E-6</v>
      </c>
      <c r="BL374" s="724">
        <v>2.9947506671664449E-5</v>
      </c>
      <c r="BM374" s="724">
        <v>1.5826947660033084E-4</v>
      </c>
      <c r="BN374" s="724">
        <v>5.4904060207839542E-3</v>
      </c>
      <c r="BO374" s="725">
        <v>3.1364325106064149E-2</v>
      </c>
      <c r="BP374" s="724">
        <v>8.6211452532292912E-2</v>
      </c>
      <c r="BQ374" s="724">
        <v>0.15111443450474274</v>
      </c>
      <c r="BR374" s="724">
        <v>0.20591761392723049</v>
      </c>
      <c r="BS374" s="724">
        <v>0.23985333068936351</v>
      </c>
      <c r="BT374" s="724">
        <v>0.26673422918661571</v>
      </c>
      <c r="BW374" s="1190">
        <f>'2018'!R\Max</f>
        <v>0.90296624960640848</v>
      </c>
      <c r="BX374" s="1188">
        <f>'2019'!R\Max</f>
        <v>0.47512611385680503</v>
      </c>
      <c r="BY374" s="1188">
        <f>'2020'!R\Max</f>
        <v>0.24386641976872375</v>
      </c>
      <c r="BZ374" s="1188">
        <f>'2021'!R\Max</f>
        <v>0.57482137729998906</v>
      </c>
      <c r="CA374" s="1188">
        <f>'2022'!R\Max</f>
        <v>0.98480208011735937</v>
      </c>
      <c r="CB374" s="1188">
        <f>'2023'!R\Max</f>
        <v>0.98461696265898468</v>
      </c>
      <c r="CC374" s="1188">
        <f>'2024'!R\Max</f>
        <v>0.98440673485253372</v>
      </c>
      <c r="CD374" s="1188">
        <f>'2025'!R\Max</f>
        <v>0.98421483081762895</v>
      </c>
      <c r="CE374" s="1188">
        <f>'2026'!R\Max</f>
        <v>0.9840310044542695</v>
      </c>
      <c r="CF374" s="1189">
        <f>'2027'!R\Max</f>
        <v>0.9839155738337132</v>
      </c>
    </row>
    <row r="375" spans="1:84" s="6" customFormat="1" ht="11.25" x14ac:dyDescent="0.2">
      <c r="A375" s="11">
        <v>43461</v>
      </c>
      <c r="B375" s="380">
        <f>'2023'!Maxi_hp</f>
        <v>16.697654329104385</v>
      </c>
      <c r="C375" s="13">
        <f>'2023'!An_max</f>
        <v>2018</v>
      </c>
      <c r="D375" s="1059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51">
        <f t="shared" si="138"/>
        <v>0.2</v>
      </c>
      <c r="J375" s="744">
        <f t="shared" si="139"/>
        <v>17.952409695088868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2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51">
        <f t="shared" si="143"/>
        <v>0.41379310344827586</v>
      </c>
      <c r="AT375" s="767">
        <f t="shared" si="144"/>
        <v>17.817397971091602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51">
        <f t="shared" si="148"/>
        <v>0.89655172413793105</v>
      </c>
      <c r="AY375" s="767">
        <f t="shared" si="149"/>
        <v>17.946402437419728</v>
      </c>
      <c r="AZ375" s="744">
        <f t="shared" si="153"/>
        <v>17.881900204255665</v>
      </c>
      <c r="BA375" s="642">
        <f t="shared" si="150"/>
        <v>0.93010657692779042</v>
      </c>
      <c r="BC375" s="11">
        <v>43461</v>
      </c>
      <c r="BD375" s="290">
        <f>[2]!FeuilCaduc*(1-Persistant)+Persistant</f>
        <v>0.60653170600139006</v>
      </c>
      <c r="BE375" s="291">
        <f>[2]!CroissVégét</f>
        <v>0.99999984492411664</v>
      </c>
      <c r="BF375" s="814">
        <f>1+[2]!Salcycl*Ksac</f>
        <v>1.0008164632501737</v>
      </c>
      <c r="BH375" s="1050">
        <f t="shared" si="151"/>
        <v>3.1270036792469473E-2</v>
      </c>
      <c r="BI375" s="11">
        <v>44557</v>
      </c>
      <c r="BJ375" s="724">
        <v>8.9343439683052071E-7</v>
      </c>
      <c r="BK375" s="724">
        <v>1.636346691740311E-6</v>
      </c>
      <c r="BL375" s="724">
        <v>3.0554072663322163E-5</v>
      </c>
      <c r="BM375" s="724">
        <v>1.6114958627731391E-4</v>
      </c>
      <c r="BN375" s="724">
        <v>5.5003130413288194E-3</v>
      </c>
      <c r="BO375" s="725">
        <v>3.1270036792469473E-2</v>
      </c>
      <c r="BP375" s="724">
        <v>8.6289386905067447E-2</v>
      </c>
      <c r="BQ375" s="724">
        <v>0.15151024559332979</v>
      </c>
      <c r="BR375" s="724">
        <v>0.2068022537473635</v>
      </c>
      <c r="BS375" s="724">
        <v>0.24098675993356142</v>
      </c>
      <c r="BT375" s="724">
        <v>0.2680042488716266</v>
      </c>
      <c r="BW375" s="1190">
        <f>'2018'!R\Max</f>
        <v>0.93010657692779042</v>
      </c>
      <c r="BX375" s="1188">
        <f>'2019'!R\Max</f>
        <v>0.84171570619400993</v>
      </c>
      <c r="BY375" s="1188">
        <f>'2020'!R\Max</f>
        <v>0.58854149733468442</v>
      </c>
      <c r="BZ375" s="1188">
        <f>'2021'!R\Max</f>
        <v>0.51742110991206047</v>
      </c>
      <c r="CA375" s="1188">
        <f>'2022'!R\Max</f>
        <v>0.43341391287454023</v>
      </c>
      <c r="CB375" s="1188">
        <f>'2023'!R\Max</f>
        <v>0.43040442268016249</v>
      </c>
      <c r="CC375" s="1188">
        <f>'2024'!R\Max</f>
        <v>0.42703208153118311</v>
      </c>
      <c r="CD375" s="1188">
        <f>'2025'!R\Max</f>
        <v>0.42399070771881209</v>
      </c>
      <c r="CE375" s="1188">
        <f>'2026'!R\Max</f>
        <v>0.42111226671511737</v>
      </c>
      <c r="CF375" s="1189">
        <f>'2027'!R\Max</f>
        <v>0.41932689670097917</v>
      </c>
    </row>
    <row r="376" spans="1:84" s="6" customFormat="1" ht="11.25" x14ac:dyDescent="0.2">
      <c r="A376" s="11">
        <v>43462</v>
      </c>
      <c r="B376" s="380">
        <f>'2023'!Maxi_hp</f>
        <v>16.508460643102687</v>
      </c>
      <c r="C376" s="13">
        <f>'2023'!An_max</f>
        <v>2022</v>
      </c>
      <c r="D376" s="1059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51">
        <f t="shared" si="138"/>
        <v>0.26666666666666666</v>
      </c>
      <c r="J376" s="744">
        <f t="shared" si="139"/>
        <v>18.053604851166408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2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51">
        <f t="shared" si="143"/>
        <v>0.37931034482758619</v>
      </c>
      <c r="AT376" s="767">
        <f t="shared" si="144"/>
        <v>17.93426844534175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51">
        <f t="shared" si="148"/>
        <v>0.86206896551724133</v>
      </c>
      <c r="AY376" s="767">
        <f t="shared" si="149"/>
        <v>18.054501576413365</v>
      </c>
      <c r="AZ376" s="744">
        <f t="shared" si="153"/>
        <v>17.994385010877558</v>
      </c>
      <c r="BA376" s="642">
        <f t="shared" si="150"/>
        <v>0.91441353564554773</v>
      </c>
      <c r="BC376" s="11">
        <v>43462</v>
      </c>
      <c r="BD376" s="290">
        <f>[2]!FeuilCaduc*(1-Persistant)+Persistant</f>
        <v>0.60608476510646603</v>
      </c>
      <c r="BE376" s="291">
        <f>[2]!CroissVégét</f>
        <v>0.99999984492411664</v>
      </c>
      <c r="BF376" s="814">
        <f>1+[2]!Salcycl*Ksac</f>
        <v>1.0007605956383083</v>
      </c>
      <c r="BH376" s="1050">
        <f t="shared" si="151"/>
        <v>3.1149927767215712E-2</v>
      </c>
      <c r="BI376" s="11">
        <v>44558</v>
      </c>
      <c r="BJ376" s="724">
        <v>1.0725549132926809E-6</v>
      </c>
      <c r="BK376" s="724">
        <v>1.9644102469106315E-6</v>
      </c>
      <c r="BL376" s="724">
        <v>3.1153320143176181E-5</v>
      </c>
      <c r="BM376" s="724">
        <v>1.6427396855533234E-4</v>
      </c>
      <c r="BN376" s="724">
        <v>5.5116164059787415E-3</v>
      </c>
      <c r="BO376" s="725">
        <v>3.1149927767215712E-2</v>
      </c>
      <c r="BP376" s="724">
        <v>8.6369684720649667E-2</v>
      </c>
      <c r="BQ376" s="724">
        <v>0.15196219074838216</v>
      </c>
      <c r="BR376" s="724">
        <v>0.20783514403627559</v>
      </c>
      <c r="BS376" s="724">
        <v>0.2423117703197567</v>
      </c>
      <c r="BT376" s="724">
        <v>0.26948958421089497</v>
      </c>
      <c r="BW376" s="1190">
        <f>'2018'!R\Max</f>
        <v>0.18978903040464615</v>
      </c>
      <c r="BX376" s="1188">
        <f>'2019'!R\Max</f>
        <v>0.24183546687449597</v>
      </c>
      <c r="BY376" s="1188">
        <f>'2020'!R\Max</f>
        <v>0.3736709653547215</v>
      </c>
      <c r="BZ376" s="1188">
        <f>'2021'!R\Max</f>
        <v>0.33734964738481465</v>
      </c>
      <c r="CA376" s="1188">
        <f>'2022'!R\Max</f>
        <v>0.91441353564554773</v>
      </c>
      <c r="CB376" s="1188">
        <f>'2023'!R\Max</f>
        <v>0.91345064907200424</v>
      </c>
      <c r="CC376" s="1188">
        <f>'2024'!R\Max</f>
        <v>0.9123566264606171</v>
      </c>
      <c r="CD376" s="1188">
        <f>'2025'!R\Max</f>
        <v>0.91135433339804284</v>
      </c>
      <c r="CE376" s="1188">
        <f>'2026'!R\Max</f>
        <v>0.91039271576313086</v>
      </c>
      <c r="CF376" s="1189">
        <f>'2027'!R\Max</f>
        <v>0.90979180605458609</v>
      </c>
    </row>
    <row r="377" spans="1:84" s="6" customFormat="1" ht="11.25" x14ac:dyDescent="0.2">
      <c r="A377" s="11">
        <v>43463</v>
      </c>
      <c r="B377" s="380">
        <f>'2023'!Maxi_hp</f>
        <v>18.884024419131489</v>
      </c>
      <c r="C377" s="13">
        <f>'2023'!An_max</f>
        <v>2019</v>
      </c>
      <c r="D377" s="1059">
        <f t="shared" si="135"/>
        <v>1.0398509329417609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51">
        <f t="shared" si="138"/>
        <v>0.33333333333333331</v>
      </c>
      <c r="J377" s="744">
        <f t="shared" si="139"/>
        <v>18.160318773488207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2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51">
        <f t="shared" si="143"/>
        <v>0.34482758620689657</v>
      </c>
      <c r="AT377" s="767">
        <f t="shared" si="144"/>
        <v>18.057790657158556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51">
        <f t="shared" si="148"/>
        <v>0.82758620689655171</v>
      </c>
      <c r="AY377" s="767">
        <f t="shared" si="149"/>
        <v>18.171535095366938</v>
      </c>
      <c r="AZ377" s="744">
        <f t="shared" si="153"/>
        <v>18.114662876262749</v>
      </c>
      <c r="BA377" s="642">
        <f t="shared" si="150"/>
        <v>1.0398509329417609</v>
      </c>
      <c r="BC377" s="11">
        <v>43463</v>
      </c>
      <c r="BD377" s="290">
        <f>[2]!FeuilCaduc*(1-Persistant)+Persistant</f>
        <v>0.60566895671486809</v>
      </c>
      <c r="BE377" s="291">
        <f>[2]!CroissVégét</f>
        <v>0.99999984492411664</v>
      </c>
      <c r="BF377" s="814">
        <f>1+[2]!Salcycl*Ksac</f>
        <v>1.0007086195893584</v>
      </c>
      <c r="BH377" s="1050">
        <f t="shared" si="151"/>
        <v>3.1003878215510219E-2</v>
      </c>
      <c r="BI377" s="11">
        <v>44559</v>
      </c>
      <c r="BJ377" s="724">
        <v>1.2681012215496622E-6</v>
      </c>
      <c r="BK377" s="724">
        <v>2.3225580367578597E-6</v>
      </c>
      <c r="BL377" s="724">
        <v>3.1745195324868552E-5</v>
      </c>
      <c r="BM377" s="724">
        <v>1.6764268029582411E-4</v>
      </c>
      <c r="BN377" s="724">
        <v>5.524304114674067E-3</v>
      </c>
      <c r="BO377" s="725">
        <v>3.1003878215510219E-2</v>
      </c>
      <c r="BP377" s="724">
        <v>8.6452128417802754E-2</v>
      </c>
      <c r="BQ377" s="724">
        <v>0.15246996898299811</v>
      </c>
      <c r="BR377" s="724">
        <v>0.20901598487598219</v>
      </c>
      <c r="BS377" s="724">
        <v>0.24382804220060961</v>
      </c>
      <c r="BT377" s="724">
        <v>0.27118988313689441</v>
      </c>
      <c r="BW377" s="1190">
        <f>'2018'!R\Max</f>
        <v>0.2552982528147828</v>
      </c>
      <c r="BX377" s="1188">
        <f>'2019'!R\Max</f>
        <v>1.0398509329417609</v>
      </c>
      <c r="BY377" s="1188">
        <f>'2020'!R\Max</f>
        <v>0.38012352641107516</v>
      </c>
      <c r="BZ377" s="1188">
        <f>'2021'!R\Max</f>
        <v>0.24897899451057073</v>
      </c>
      <c r="CA377" s="1188">
        <f>'2022'!R\Max</f>
        <v>0.53051717443018942</v>
      </c>
      <c r="CB377" s="1188">
        <f>'2023'!R\Max</f>
        <v>0.52747204483898746</v>
      </c>
      <c r="CC377" s="1188">
        <f>'2024'!R\Max</f>
        <v>0.52404174856657293</v>
      </c>
      <c r="CD377" s="1188">
        <f>'2025'!R\Max</f>
        <v>0.52092006695912663</v>
      </c>
      <c r="CE377" s="1188">
        <f>'2026'!R\Max</f>
        <v>0.5179472315258824</v>
      </c>
      <c r="CF377" s="1189">
        <f>'2027'!R\Max</f>
        <v>0.51610762284300582</v>
      </c>
    </row>
    <row r="378" spans="1:84" s="6" customFormat="1" ht="11.25" x14ac:dyDescent="0.2">
      <c r="A378" s="11">
        <v>43464</v>
      </c>
      <c r="B378" s="380">
        <f>'2023'!Maxi_hp</f>
        <v>17.411891706814348</v>
      </c>
      <c r="C378" s="13">
        <f>'2023'!An_max</f>
        <v>2019</v>
      </c>
      <c r="D378" s="1059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51">
        <f t="shared" si="138"/>
        <v>0.4</v>
      </c>
      <c r="J378" s="744">
        <f t="shared" si="139"/>
        <v>18.27290514290333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2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51">
        <f t="shared" si="143"/>
        <v>0.31034482758620691</v>
      </c>
      <c r="AT378" s="767">
        <f t="shared" si="144"/>
        <v>18.187737070126779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51">
        <f t="shared" si="148"/>
        <v>0.7931034482758621</v>
      </c>
      <c r="AY378" s="767">
        <f t="shared" si="149"/>
        <v>18.297234133553918</v>
      </c>
      <c r="AZ378" s="744">
        <f t="shared" si="153"/>
        <v>18.24248560184035</v>
      </c>
      <c r="BA378" s="642">
        <f t="shared" si="150"/>
        <v>0.95288032037842796</v>
      </c>
      <c r="BC378" s="11">
        <v>43464</v>
      </c>
      <c r="BD378" s="290">
        <f>[2]!FeuilCaduc*(1-Persistant)+Persistant</f>
        <v>0.60528115283757489</v>
      </c>
      <c r="BE378" s="291">
        <f>[2]!CroissVégét</f>
        <v>0.99999984492411664</v>
      </c>
      <c r="BF378" s="814">
        <f>1+[2]!Salcycl*Ksac</f>
        <v>1.0006601441046969</v>
      </c>
      <c r="BH378" s="1050">
        <f t="shared" si="151"/>
        <v>3.0831766835366387E-2</v>
      </c>
      <c r="BI378" s="11">
        <v>44560</v>
      </c>
      <c r="BJ378" s="724">
        <v>1.4801011713125309E-6</v>
      </c>
      <c r="BK378" s="724">
        <v>2.7108410687009293E-6</v>
      </c>
      <c r="BL378" s="724">
        <v>3.2329637506888508E-5</v>
      </c>
      <c r="BM378" s="724">
        <v>1.7125577276443264E-4</v>
      </c>
      <c r="BN378" s="724">
        <v>5.5383642114985587E-3</v>
      </c>
      <c r="BO378" s="725">
        <v>3.0831766835366387E-2</v>
      </c>
      <c r="BP378" s="724">
        <v>8.6536500021571885E-2</v>
      </c>
      <c r="BQ378" s="724">
        <v>0.15303328098127122</v>
      </c>
      <c r="BR378" s="724">
        <v>0.21034448206137535</v>
      </c>
      <c r="BS378" s="724">
        <v>0.2455352633635971</v>
      </c>
      <c r="BT378" s="724">
        <v>0.2731048019722257</v>
      </c>
      <c r="BW378" s="1190">
        <f>'2018'!R\Max</f>
        <v>0.18656556608874236</v>
      </c>
      <c r="BX378" s="1188">
        <f>'2019'!R\Max</f>
        <v>0.95288032037842796</v>
      </c>
      <c r="BY378" s="1188">
        <f>'2020'!R\Max</f>
        <v>0.46092379347881951</v>
      </c>
      <c r="BZ378" s="1188">
        <f>'2021'!R\Max</f>
        <v>0.81546626575084569</v>
      </c>
      <c r="CA378" s="1188">
        <f>'2022'!R\Max</f>
        <v>0.68603527731754577</v>
      </c>
      <c r="CB378" s="1188">
        <f>'2023'!R\Max</f>
        <v>0.68340017185061663</v>
      </c>
      <c r="CC378" s="1188">
        <f>'2024'!R\Max</f>
        <v>0.68041482978375034</v>
      </c>
      <c r="CD378" s="1188">
        <f>'2025'!R\Max</f>
        <v>0.67767611136962902</v>
      </c>
      <c r="CE378" s="1188">
        <f>'2026'!R\Max</f>
        <v>0.6750518306287504</v>
      </c>
      <c r="CF378" s="1189">
        <f>'2027'!R\Max</f>
        <v>0.67342717310970435</v>
      </c>
    </row>
    <row r="379" spans="1:84" s="6" customFormat="1" ht="11.25" x14ac:dyDescent="0.2">
      <c r="A379" s="11">
        <v>43465</v>
      </c>
      <c r="B379" s="380">
        <f>'2023'!Maxi_hp</f>
        <v>17.60535838608622</v>
      </c>
      <c r="C379" s="13">
        <f>'2023'!An_max</f>
        <v>2021</v>
      </c>
      <c r="D379" s="1059" t="str">
        <f t="shared" si="135"/>
        <v/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51">
        <f t="shared" si="138"/>
        <v>0.46666666666666667</v>
      </c>
      <c r="J379" s="744">
        <f t="shared" si="139"/>
        <v>18.391717639664808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2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51">
        <f t="shared" si="143"/>
        <v>0.27586206896551724</v>
      </c>
      <c r="AT379" s="767">
        <f t="shared" si="144"/>
        <v>18.323880142872703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51">
        <f t="shared" si="148"/>
        <v>0.75862068965517238</v>
      </c>
      <c r="AY379" s="767">
        <f t="shared" si="149"/>
        <v>18.431329820382182</v>
      </c>
      <c r="AZ379" s="744">
        <f t="shared" si="153"/>
        <v>18.377604981627442</v>
      </c>
      <c r="BA379" s="642">
        <f t="shared" si="150"/>
        <v>0.95724383828714976</v>
      </c>
      <c r="BC379" s="11">
        <v>43465</v>
      </c>
      <c r="BD379" s="290">
        <f>[2]!FeuilCaduc*(1-Persistant)+Persistant</f>
        <v>0.60491847548575273</v>
      </c>
      <c r="BE379" s="291">
        <f>[2]!CroissVégét</f>
        <v>0.99999984492411664</v>
      </c>
      <c r="BF379" s="814">
        <f>1+[2]!Salcycl*Ksac</f>
        <v>1.000614809435719</v>
      </c>
      <c r="BH379" s="1050">
        <f t="shared" si="151"/>
        <v>3.0633471513607392E-2</v>
      </c>
      <c r="BI379" s="11">
        <v>44561</v>
      </c>
      <c r="BJ379" s="724">
        <v>1.7085821184508735E-6</v>
      </c>
      <c r="BK379" s="724">
        <v>3.1293094456761687E-6</v>
      </c>
      <c r="BL379" s="724">
        <v>3.2906579288994682E-5</v>
      </c>
      <c r="BM379" s="724">
        <v>1.7511328552991079E-4</v>
      </c>
      <c r="BN379" s="724">
        <v>5.5537847522173292E-3</v>
      </c>
      <c r="BO379" s="725">
        <v>3.0633471513607392E-2</v>
      </c>
      <c r="BP379" s="724">
        <v>8.6622581132371465E-2</v>
      </c>
      <c r="BQ379" s="724">
        <v>0.15365182775454203</v>
      </c>
      <c r="BR379" s="724">
        <v>0.21182034344064407</v>
      </c>
      <c r="BS379" s="724">
        <v>0.24743312428701272</v>
      </c>
      <c r="BT379" s="724">
        <v>0.27523400009623933</v>
      </c>
      <c r="BW379" s="1190">
        <f>'2018'!R\Max</f>
        <v>0.34464104466406709</v>
      </c>
      <c r="BX379" s="1188">
        <f>'2019'!R\Max</f>
        <v>0.5852180502487524</v>
      </c>
      <c r="BY379" s="1188">
        <f>'2020'!R\Max</f>
        <v>0.55090572379502234</v>
      </c>
      <c r="BZ379" s="1188">
        <f>'2021'!R\Max</f>
        <v>0.95724383828714976</v>
      </c>
      <c r="CA379" s="1188">
        <f>'2022'!R\Max</f>
        <v>0.5587441003395307</v>
      </c>
      <c r="CB379" s="1188">
        <f>'2023'!R\Max</f>
        <v>0.55573527755803942</v>
      </c>
      <c r="CC379" s="1188">
        <f>'2024'!R\Max</f>
        <v>0.55233168306381819</v>
      </c>
      <c r="CD379" s="1188">
        <f>'2025'!R\Max</f>
        <v>0.54920615488714142</v>
      </c>
      <c r="CE379" s="1188">
        <f>'2026'!R\Max</f>
        <v>0.54621298487219405</v>
      </c>
      <c r="CF379" s="1189">
        <f>'2027'!R\Max</f>
        <v>0.54436990375250283</v>
      </c>
    </row>
    <row r="380" spans="1:84" s="6" customFormat="1" ht="12" customHeight="1" thickBot="1" x14ac:dyDescent="0.25">
      <c r="A380" s="11">
        <v>43466</v>
      </c>
      <c r="B380" s="381">
        <f>'2023'!Maxi_hp</f>
        <v>11.335499542840072</v>
      </c>
      <c r="C380" s="14">
        <f>'2023'!An_max</f>
        <v>2020</v>
      </c>
      <c r="D380" s="1060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6">
        <f t="shared" si="137"/>
        <v>43458</v>
      </c>
      <c r="I380" s="747">
        <f t="shared" si="138"/>
        <v>0.53333333333333333</v>
      </c>
      <c r="J380" s="745">
        <f t="shared" si="139"/>
        <v>18.517109945714473</v>
      </c>
      <c r="M380" s="804" t="s">
        <v>242</v>
      </c>
      <c r="N380" s="805">
        <f>$AZ22*10</f>
        <v>196.91455309748136</v>
      </c>
      <c r="O380" s="805">
        <f>$AZ36*10</f>
        <v>229.14015336148438</v>
      </c>
      <c r="P380" s="805">
        <f>$AZ50*10</f>
        <v>270.6011203918606</v>
      </c>
      <c r="Q380" s="805">
        <f>$AZ64*10</f>
        <v>319.97650000359863</v>
      </c>
      <c r="R380" s="805">
        <f>$AZ78*10</f>
        <v>377.79325000662357</v>
      </c>
      <c r="S380" s="805">
        <f>$AZ92*10</f>
        <v>441.07100000139326</v>
      </c>
      <c r="T380" s="805">
        <f>$AZ106*10</f>
        <v>501.52299999864772</v>
      </c>
      <c r="U380" s="805">
        <f>$AZ120*10</f>
        <v>551.49750000424683</v>
      </c>
      <c r="V380" s="805">
        <f>$AZ134*10</f>
        <v>588.35925000160933</v>
      </c>
      <c r="W380" s="805">
        <f>$AZ148*10</f>
        <v>611.98124999180436</v>
      </c>
      <c r="X380" s="805">
        <f>$AZ162*10</f>
        <v>622.83974999189377</v>
      </c>
      <c r="Y380" s="805">
        <f>$AZ176*10</f>
        <v>623.22074999846518</v>
      </c>
      <c r="Z380" s="805">
        <f>$AZ190*10</f>
        <v>615.6960000032559</v>
      </c>
      <c r="AA380" s="805">
        <f>$AZ204*10</f>
        <v>601.31325000245124</v>
      </c>
      <c r="AB380" s="805">
        <f>$AZ218*10</f>
        <v>580.83450000081211</v>
      </c>
      <c r="AC380" s="805">
        <f>$AZ232*10</f>
        <v>554.57725000102073</v>
      </c>
      <c r="AD380" s="805">
        <f>$AZ246*10</f>
        <v>521.01750000193715</v>
      </c>
      <c r="AE380" s="805">
        <f>$AZ260*10</f>
        <v>477.80575000774121</v>
      </c>
      <c r="AF380" s="805">
        <f>$AZ274*10</f>
        <v>424.62450000224635</v>
      </c>
      <c r="AG380" s="805">
        <f>$AZ288*10</f>
        <v>365.98224999941885</v>
      </c>
      <c r="AH380" s="805">
        <f>$AZ302*10</f>
        <v>308.8639999977313</v>
      </c>
      <c r="AI380" s="805">
        <f>$AZ316*10</f>
        <v>257.55599999334663</v>
      </c>
      <c r="AJ380" s="805">
        <f>$AZ330*10</f>
        <v>214.85225000232461</v>
      </c>
      <c r="AK380" s="805">
        <f>$AZ344*10</f>
        <v>185.04026768542829</v>
      </c>
      <c r="AL380" s="805">
        <f>$AZ358*10</f>
        <v>171.92035328969359</v>
      </c>
      <c r="AM380" s="805">
        <f>$AZ372*10</f>
        <v>175.93686174524242</v>
      </c>
      <c r="AO380" s="1052">
        <v>43466</v>
      </c>
      <c r="AP380" s="14">
        <f t="shared" si="140"/>
        <v>15</v>
      </c>
      <c r="AQ380" s="14">
        <f t="shared" si="141"/>
        <v>14</v>
      </c>
      <c r="AR380" s="746">
        <f t="shared" si="142"/>
        <v>43473</v>
      </c>
      <c r="AS380" s="747">
        <f t="shared" si="143"/>
        <v>0.2413793103448276</v>
      </c>
      <c r="AT380" s="768">
        <f t="shared" si="144"/>
        <v>18.465992339777536</v>
      </c>
      <c r="AU380" s="14">
        <f t="shared" si="145"/>
        <v>15</v>
      </c>
      <c r="AV380" s="14">
        <f t="shared" si="146"/>
        <v>14</v>
      </c>
      <c r="AW380" s="746">
        <f t="shared" si="147"/>
        <v>43487</v>
      </c>
      <c r="AX380" s="747">
        <f t="shared" si="148"/>
        <v>0.72413793103448276</v>
      </c>
      <c r="AY380" s="768">
        <f t="shared" si="149"/>
        <v>18.573553288496775</v>
      </c>
      <c r="AZ380" s="745">
        <f t="shared" si="153"/>
        <v>18.519772814137156</v>
      </c>
      <c r="BA380" s="642">
        <f t="shared" si="150"/>
        <v>0.61216353826659198</v>
      </c>
      <c r="BC380" s="11">
        <v>43466</v>
      </c>
      <c r="BD380" s="292">
        <f>[2]!FeuilCaduc*(1-Persistant)+Persistant</f>
        <v>0.60457829942861385</v>
      </c>
      <c r="BE380" s="293">
        <f>[2]!CroissVégét</f>
        <v>0.99999984492411664</v>
      </c>
      <c r="BF380" s="815">
        <f>1+[2]!Salcycl*Ksac</f>
        <v>1.0005722874285767</v>
      </c>
      <c r="BH380" s="1051">
        <f t="shared" si="151"/>
        <v>3.0408870001478423E-2</v>
      </c>
      <c r="BI380" s="11">
        <v>44562</v>
      </c>
      <c r="BJ380" s="820">
        <v>1.953570509292427E-6</v>
      </c>
      <c r="BK380" s="728">
        <v>3.5780116047720248E-6</v>
      </c>
      <c r="BL380" s="728">
        <v>3.347594678828418E-5</v>
      </c>
      <c r="BM380" s="728">
        <v>1.7921524036117761E-4</v>
      </c>
      <c r="BN380" s="728">
        <v>5.5705537717475632E-3</v>
      </c>
      <c r="BO380" s="729">
        <v>3.0408870001478423E-2</v>
      </c>
      <c r="BP380" s="728">
        <v>8.6710152914012073E-2</v>
      </c>
      <c r="BQ380" s="728">
        <v>0.15432530929580346</v>
      </c>
      <c r="BR380" s="728">
        <v>0.21344327525319404</v>
      </c>
      <c r="BS380" s="728">
        <v>0.24952131339305963</v>
      </c>
      <c r="BT380" s="728">
        <v>0.27757713460842576</v>
      </c>
      <c r="BW380" s="1191">
        <f>'2018'!R\Max</f>
        <v>0</v>
      </c>
      <c r="BX380" s="1192">
        <f>'2019'!R\Max</f>
        <v>0</v>
      </c>
      <c r="BY380" s="1192">
        <f>'2020'!R\Max</f>
        <v>0.61216353826659198</v>
      </c>
      <c r="BZ380" s="1192">
        <f>'2021'!R\Max</f>
        <v>0</v>
      </c>
      <c r="CA380" s="1192">
        <f>'2022'!R\Max</f>
        <v>0</v>
      </c>
      <c r="CB380" s="1192">
        <f>'2023'!R\Max</f>
        <v>0</v>
      </c>
      <c r="CC380" s="1192">
        <f>'2024'!R\Max</f>
        <v>0.68847970647213763</v>
      </c>
      <c r="CD380" s="1192">
        <f>'2025'!R\Max</f>
        <v>0</v>
      </c>
      <c r="CE380" s="1192">
        <f>'2026'!R\Max</f>
        <v>0</v>
      </c>
      <c r="CF380" s="1193">
        <f>'2027'!R\Max</f>
        <v>0</v>
      </c>
    </row>
    <row r="381" spans="1:84" ht="12" customHeight="1" x14ac:dyDescent="0.25">
      <c r="B381" s="634" t="s">
        <v>397</v>
      </c>
      <c r="M381" s="136" t="s">
        <v>243</v>
      </c>
      <c r="N381" s="806">
        <f t="shared" ref="N381:AM381" si="154">1-N3/N380*Ajust_M</f>
        <v>4.1975216380892855E-3</v>
      </c>
      <c r="O381" s="806">
        <f t="shared" si="154"/>
        <v>-2.0766619535466102E-3</v>
      </c>
      <c r="P381" s="806">
        <f t="shared" si="154"/>
        <v>-2.4792196246929965E-3</v>
      </c>
      <c r="Q381" s="806">
        <f t="shared" si="154"/>
        <v>2.9767811185755777E-3</v>
      </c>
      <c r="R381" s="806">
        <f t="shared" si="154"/>
        <v>2.2690982610423793E-3</v>
      </c>
      <c r="S381" s="806">
        <f t="shared" si="154"/>
        <v>2.879355056053523E-4</v>
      </c>
      <c r="T381" s="806">
        <f t="shared" si="154"/>
        <v>-2.785515323038279E-3</v>
      </c>
      <c r="U381" s="806">
        <f t="shared" si="154"/>
        <v>-3.4542313564744909E-4</v>
      </c>
      <c r="V381" s="806">
        <f t="shared" si="154"/>
        <v>1.6189088827800457E-4</v>
      </c>
      <c r="W381" s="806">
        <f t="shared" si="154"/>
        <v>-1.0894941768306854E-3</v>
      </c>
      <c r="X381" s="806">
        <f t="shared" si="154"/>
        <v>5.097618110305735E-5</v>
      </c>
      <c r="Y381" s="806">
        <f t="shared" si="154"/>
        <v>6.6228539159873812E-4</v>
      </c>
      <c r="Z381" s="806">
        <f t="shared" si="154"/>
        <v>5.2882143108945456E-12</v>
      </c>
      <c r="AA381" s="806">
        <f t="shared" si="154"/>
        <v>-2.6400548723670703E-4</v>
      </c>
      <c r="AB381" s="806">
        <f t="shared" si="154"/>
        <v>1.2025800822973443E-3</v>
      </c>
      <c r="AC381" s="806">
        <f t="shared" si="154"/>
        <v>-2.8625407727944641E-4</v>
      </c>
      <c r="AD381" s="806">
        <f t="shared" si="154"/>
        <v>-3.6563070926054486E-4</v>
      </c>
      <c r="AE381" s="806">
        <f t="shared" si="154"/>
        <v>-1.5283407373121172E-3</v>
      </c>
      <c r="AF381" s="806">
        <f t="shared" si="154"/>
        <v>-2.5422461439412736E-3</v>
      </c>
      <c r="AG381" s="806">
        <f t="shared" si="154"/>
        <v>3.3833608034838925E-3</v>
      </c>
      <c r="AH381" s="806">
        <f t="shared" si="154"/>
        <v>-7.3454575755249607E-12</v>
      </c>
      <c r="AI381" s="806">
        <f t="shared" si="154"/>
        <v>-1.9723866136547308E-3</v>
      </c>
      <c r="AJ381" s="806">
        <f t="shared" si="154"/>
        <v>2.216639585200797E-3</v>
      </c>
      <c r="AK381" s="806">
        <f t="shared" si="154"/>
        <v>6.931879586682399E-4</v>
      </c>
      <c r="AL381" s="806">
        <f t="shared" si="154"/>
        <v>7.1681640138152591E-3</v>
      </c>
      <c r="AM381" s="806">
        <f t="shared" si="154"/>
        <v>-4.8150128765183098E-3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9" priority="22" stopIfTrue="1" operator="lessThan">
      <formula>0.01</formula>
    </cfRule>
    <cfRule type="cellIs" dxfId="38" priority="23" stopIfTrue="1" operator="greaterThan">
      <formula>0.05</formula>
    </cfRule>
  </conditionalFormatting>
  <conditionalFormatting sqref="A9:J9 A7:E7 G7:J7">
    <cfRule type="cellIs" dxfId="37" priority="52" stopIfTrue="1" operator="lessThan">
      <formula>0.01</formula>
    </cfRule>
    <cfRule type="cellIs" dxfId="36" priority="53" stopIfTrue="1" operator="greaterThan">
      <formula>0.05</formula>
    </cfRule>
  </conditionalFormatting>
  <conditionalFormatting sqref="N381:AM381">
    <cfRule type="cellIs" dxfId="35" priority="3" stopIfTrue="1" operator="notBetween">
      <formula>-0.01</formula>
      <formula>0.01</formula>
    </cfRule>
  </conditionalFormatting>
  <conditionalFormatting sqref="F7">
    <cfRule type="cellIs" dxfId="2" priority="1" stopIfTrue="1" operator="lessThan">
      <formula>0.01</formula>
    </cfRule>
    <cfRule type="cellIs" dxfId="1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6" activePane="bottomLeft" state="frozen"/>
      <selection activeCell="B15" sqref="B15:B380"/>
      <selection pane="bottomLeft" activeCell="AF5" sqref="AF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1" t="s">
        <v>24</v>
      </c>
      <c r="I1" s="1261"/>
      <c r="J1" s="1261"/>
      <c r="K1" s="1261"/>
      <c r="L1" s="15"/>
      <c r="M1" s="34"/>
      <c r="N1" s="538"/>
      <c r="O1" s="539"/>
      <c r="P1" s="540" t="s">
        <v>4</v>
      </c>
      <c r="Q1" s="1185">
        <v>8.5000000000000006E-3</v>
      </c>
      <c r="R1" s="541"/>
      <c r="S1" s="542" t="s">
        <v>105</v>
      </c>
      <c r="T1" s="818">
        <f>PertePVan/365.25</f>
        <v>2.3271731690622863E-5</v>
      </c>
      <c r="U1" s="539"/>
      <c r="V1" s="543"/>
      <c r="W1" s="208"/>
      <c r="X1" s="544"/>
      <c r="Y1" s="536" t="s">
        <v>166</v>
      </c>
      <c r="Z1" s="1254">
        <v>0.17</v>
      </c>
      <c r="AA1" s="1255"/>
      <c r="AB1" s="628"/>
      <c r="AC1" s="629"/>
      <c r="AE1" s="536" t="s">
        <v>246</v>
      </c>
      <c r="AF1" s="816">
        <v>0.05</v>
      </c>
      <c r="AG1" s="539"/>
      <c r="AH1" s="208"/>
      <c r="AI1" s="208"/>
      <c r="AJ1" s="208"/>
      <c r="AK1" s="208"/>
      <c r="AL1" s="536" t="s">
        <v>123</v>
      </c>
      <c r="AM1" s="646">
        <v>0.8</v>
      </c>
      <c r="AN1" s="627"/>
      <c r="AO1" s="208"/>
      <c r="AP1" s="208"/>
      <c r="AQ1" s="208"/>
      <c r="AR1" s="536" t="s">
        <v>104</v>
      </c>
      <c r="AS1" s="368">
        <v>0.6</v>
      </c>
      <c r="AT1" s="647" t="s">
        <v>54</v>
      </c>
      <c r="AU1" s="537"/>
    </row>
    <row r="2" spans="1:78" s="533" customFormat="1" ht="18" customHeight="1" thickBot="1" x14ac:dyDescent="0.35">
      <c r="A2" s="83" t="s">
        <v>132</v>
      </c>
      <c r="B2" s="1217" t="str">
        <f>Station</f>
        <v>Maternelle Labège</v>
      </c>
      <c r="C2" s="1218"/>
      <c r="D2" s="1218"/>
      <c r="E2" s="1218"/>
      <c r="F2" s="1219"/>
      <c r="G2" s="817" t="s">
        <v>247</v>
      </c>
      <c r="K2" s="81"/>
      <c r="L2" s="534"/>
      <c r="M2" s="38"/>
      <c r="U2" s="35"/>
      <c r="V2" s="35"/>
      <c r="W2" s="35">
        <f>+U5/Recap!L38</f>
        <v>0.18875151526793454</v>
      </c>
      <c r="X2" s="535"/>
      <c r="AA2" s="537"/>
      <c r="AB2" s="537"/>
      <c r="AC2" s="537"/>
      <c r="AD2" s="537"/>
      <c r="AE2" s="536" t="s">
        <v>167</v>
      </c>
      <c r="AF2" s="1142">
        <v>2.5</v>
      </c>
      <c r="AG2" s="652">
        <f>+Tau_i*365</f>
        <v>912.5</v>
      </c>
      <c r="AH2" s="543"/>
      <c r="AI2" s="240"/>
      <c r="AJ2" s="544"/>
      <c r="AL2" s="644" t="s">
        <v>197</v>
      </c>
      <c r="AM2" s="1263">
        <v>0.6</v>
      </c>
      <c r="AN2" s="1264"/>
      <c r="AS2" s="209" t="s">
        <v>124</v>
      </c>
      <c r="AT2" s="648">
        <f>H_i</f>
        <v>0</v>
      </c>
      <c r="AU2" s="645"/>
      <c r="AY2" s="654"/>
      <c r="AZ2" s="654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258">
        <f>'2018'!An</f>
        <v>2018</v>
      </c>
      <c r="B3" s="1259"/>
      <c r="C3" s="1259"/>
      <c r="D3" s="1259"/>
      <c r="E3" s="1259"/>
      <c r="F3" s="1260"/>
      <c r="G3" s="1258">
        <f>'2019'!An</f>
        <v>2019</v>
      </c>
      <c r="H3" s="1259"/>
      <c r="I3" s="1259"/>
      <c r="J3" s="1259"/>
      <c r="K3" s="1259"/>
      <c r="L3" s="1260"/>
      <c r="M3" s="1258">
        <f>'2020'!An</f>
        <v>2020</v>
      </c>
      <c r="N3" s="1259"/>
      <c r="O3" s="1259"/>
      <c r="P3" s="1259"/>
      <c r="Q3" s="1259"/>
      <c r="R3" s="1260"/>
      <c r="S3" s="1258">
        <f>'2021'!An</f>
        <v>2021</v>
      </c>
      <c r="T3" s="1259"/>
      <c r="U3" s="1259"/>
      <c r="V3" s="1259"/>
      <c r="W3" s="1259"/>
      <c r="X3" s="1260"/>
      <c r="Y3" s="1258">
        <f>'2022'!An</f>
        <v>2022</v>
      </c>
      <c r="Z3" s="1259"/>
      <c r="AA3" s="1259"/>
      <c r="AB3" s="1259"/>
      <c r="AC3" s="1259"/>
      <c r="AD3" s="1260"/>
      <c r="AE3" s="1258">
        <f>'2023'!An</f>
        <v>2023</v>
      </c>
      <c r="AF3" s="1259"/>
      <c r="AG3" s="1259"/>
      <c r="AH3" s="1259"/>
      <c r="AI3" s="1259"/>
      <c r="AJ3" s="1260"/>
      <c r="AK3" s="1258">
        <f>'2024'!An</f>
        <v>2024</v>
      </c>
      <c r="AL3" s="1259"/>
      <c r="AM3" s="1266"/>
      <c r="AN3" s="1266"/>
      <c r="AO3" s="1259"/>
      <c r="AP3" s="1260"/>
      <c r="AQ3" s="1258">
        <f>'2025'!An</f>
        <v>2025</v>
      </c>
      <c r="AR3" s="1259"/>
      <c r="AS3" s="1259"/>
      <c r="AT3" s="1259"/>
      <c r="AU3" s="1259"/>
      <c r="AV3" s="1260"/>
      <c r="AW3" s="1258">
        <f>'2026'!An</f>
        <v>2026</v>
      </c>
      <c r="AX3" s="1259"/>
      <c r="AY3" s="1259"/>
      <c r="AZ3" s="1259"/>
      <c r="BA3" s="1259"/>
      <c r="BB3" s="1260"/>
      <c r="BC3" s="1258">
        <f>'2027'!An</f>
        <v>2027</v>
      </c>
      <c r="BD3" s="1259"/>
      <c r="BE3" s="1259"/>
      <c r="BF3" s="1259"/>
      <c r="BG3" s="1259"/>
      <c r="BH3" s="1260"/>
      <c r="BI3" s="1267" t="e">
        <v>#NAME?</v>
      </c>
      <c r="BJ3" s="1268"/>
      <c r="BK3" s="1268"/>
      <c r="BL3" s="1268"/>
      <c r="BM3" s="1268"/>
      <c r="BN3" s="1269"/>
      <c r="BO3" s="1267" t="e">
        <v>#NAME?</v>
      </c>
      <c r="BP3" s="1268"/>
      <c r="BQ3" s="1268"/>
      <c r="BR3" s="1268"/>
      <c r="BS3" s="1268"/>
      <c r="BT3" s="1269"/>
      <c r="BU3" s="1267" t="e">
        <v>#NAME?</v>
      </c>
      <c r="BV3" s="1268"/>
      <c r="BW3" s="1268"/>
      <c r="BX3" s="1268"/>
      <c r="BY3" s="1268"/>
      <c r="BZ3" s="1269"/>
    </row>
    <row r="4" spans="1:78" s="427" customFormat="1" ht="15" customHeight="1" x14ac:dyDescent="0.25">
      <c r="A4" s="213" t="s">
        <v>77</v>
      </c>
      <c r="B4" s="441" t="s">
        <v>135</v>
      </c>
      <c r="C4" s="442" t="s">
        <v>135</v>
      </c>
      <c r="D4" s="443" t="s">
        <v>80</v>
      </c>
      <c r="E4" s="576" t="s">
        <v>80</v>
      </c>
      <c r="F4" s="431"/>
      <c r="G4" s="358" t="s">
        <v>92</v>
      </c>
      <c r="H4" s="441" t="s">
        <v>135</v>
      </c>
      <c r="I4" s="442" t="s">
        <v>135</v>
      </c>
      <c r="J4" s="443" t="s">
        <v>80</v>
      </c>
      <c r="K4" s="576" t="s">
        <v>80</v>
      </c>
      <c r="L4" s="431"/>
      <c r="M4" s="358" t="s">
        <v>92</v>
      </c>
      <c r="N4" s="441">
        <v>44044</v>
      </c>
      <c r="O4" s="442">
        <v>1.1111111111111112E-2</v>
      </c>
      <c r="P4" s="443" t="s">
        <v>80</v>
      </c>
      <c r="Q4" s="576" t="s">
        <v>80</v>
      </c>
      <c r="R4" s="431"/>
      <c r="S4" s="358" t="s">
        <v>92</v>
      </c>
      <c r="T4" s="441" t="s">
        <v>135</v>
      </c>
      <c r="U4" s="442" t="s">
        <v>135</v>
      </c>
      <c r="V4" s="443" t="s">
        <v>80</v>
      </c>
      <c r="W4" s="576" t="s">
        <v>80</v>
      </c>
      <c r="X4" s="431"/>
      <c r="Y4" s="358" t="s">
        <v>92</v>
      </c>
      <c r="Z4" s="441">
        <v>44743</v>
      </c>
      <c r="AA4" s="442">
        <f>1%+O4</f>
        <v>2.1111111111111112E-2</v>
      </c>
      <c r="AB4" s="443" t="s">
        <v>80</v>
      </c>
      <c r="AC4" s="576" t="s">
        <v>80</v>
      </c>
      <c r="AD4" s="431"/>
      <c r="AE4" s="358" t="s">
        <v>92</v>
      </c>
      <c r="AF4" s="441" t="s">
        <v>135</v>
      </c>
      <c r="AG4" s="442" t="s">
        <v>135</v>
      </c>
      <c r="AH4" s="443" t="s">
        <v>80</v>
      </c>
      <c r="AI4" s="576" t="s">
        <v>80</v>
      </c>
      <c r="AJ4" s="431"/>
      <c r="AK4" s="358" t="s">
        <v>92</v>
      </c>
      <c r="AL4" s="441" t="s">
        <v>135</v>
      </c>
      <c r="AM4" s="442" t="s">
        <v>135</v>
      </c>
      <c r="AN4" s="443" t="s">
        <v>80</v>
      </c>
      <c r="AO4" s="576" t="s">
        <v>80</v>
      </c>
      <c r="AP4" s="431"/>
      <c r="AQ4" s="358" t="s">
        <v>92</v>
      </c>
      <c r="AR4" s="441" t="s">
        <v>135</v>
      </c>
      <c r="AS4" s="442" t="s">
        <v>135</v>
      </c>
      <c r="AT4" s="443" t="s">
        <v>80</v>
      </c>
      <c r="AU4" s="576" t="s">
        <v>80</v>
      </c>
      <c r="AV4" s="431"/>
      <c r="AW4" s="358" t="s">
        <v>92</v>
      </c>
      <c r="AX4" s="441" t="s">
        <v>135</v>
      </c>
      <c r="AY4" s="442" t="s">
        <v>135</v>
      </c>
      <c r="AZ4" s="443" t="s">
        <v>80</v>
      </c>
      <c r="BA4" s="576" t="s">
        <v>80</v>
      </c>
      <c r="BB4" s="431"/>
      <c r="BC4" s="358" t="s">
        <v>92</v>
      </c>
      <c r="BD4" s="441" t="s">
        <v>135</v>
      </c>
      <c r="BE4" s="442" t="s">
        <v>135</v>
      </c>
      <c r="BF4" s="443" t="s">
        <v>80</v>
      </c>
      <c r="BG4" s="576" t="s">
        <v>80</v>
      </c>
      <c r="BH4" s="431"/>
      <c r="BI4" s="358" t="s">
        <v>92</v>
      </c>
      <c r="BJ4" s="441" t="s">
        <v>135</v>
      </c>
      <c r="BK4" s="442" t="s">
        <v>135</v>
      </c>
      <c r="BL4" s="443" t="s">
        <v>80</v>
      </c>
      <c r="BM4" s="576" t="s">
        <v>80</v>
      </c>
      <c r="BN4" s="431"/>
      <c r="BO4" s="358" t="s">
        <v>92</v>
      </c>
      <c r="BP4" s="441" t="s">
        <v>135</v>
      </c>
      <c r="BQ4" s="442" t="s">
        <v>135</v>
      </c>
      <c r="BR4" s="443" t="s">
        <v>80</v>
      </c>
      <c r="BS4" s="576" t="s">
        <v>80</v>
      </c>
      <c r="BT4" s="431"/>
      <c r="BU4" s="358" t="s">
        <v>92</v>
      </c>
      <c r="BV4" s="441" t="s">
        <v>135</v>
      </c>
      <c r="BW4" s="442" t="s">
        <v>135</v>
      </c>
      <c r="BX4" s="443" t="s">
        <v>80</v>
      </c>
      <c r="BY4" s="576" t="s">
        <v>80</v>
      </c>
      <c r="BZ4" s="431"/>
    </row>
    <row r="5" spans="1:78" s="427" customFormat="1" ht="15" customHeight="1" x14ac:dyDescent="0.25">
      <c r="A5" s="213" t="s">
        <v>16</v>
      </c>
      <c r="B5" s="432" t="s">
        <v>135</v>
      </c>
      <c r="C5" s="438" t="s">
        <v>135</v>
      </c>
      <c r="D5" s="439" t="s">
        <v>135</v>
      </c>
      <c r="E5" s="440" t="s">
        <v>135</v>
      </c>
      <c r="F5" s="187"/>
      <c r="G5" s="358" t="s">
        <v>93</v>
      </c>
      <c r="H5" s="432" t="s">
        <v>135</v>
      </c>
      <c r="I5" s="438" t="s">
        <v>135</v>
      </c>
      <c r="J5" s="439" t="s">
        <v>135</v>
      </c>
      <c r="K5" s="440" t="s">
        <v>135</v>
      </c>
      <c r="L5" s="187"/>
      <c r="M5" s="358" t="s">
        <v>93</v>
      </c>
      <c r="N5" s="432" t="s">
        <v>135</v>
      </c>
      <c r="O5" s="438" t="s">
        <v>135</v>
      </c>
      <c r="P5" s="439" t="s">
        <v>135</v>
      </c>
      <c r="Q5" s="440" t="s">
        <v>135</v>
      </c>
      <c r="R5" s="187"/>
      <c r="S5" s="358" t="s">
        <v>93</v>
      </c>
      <c r="T5" s="432">
        <v>44307</v>
      </c>
      <c r="U5" s="438">
        <v>1.7999999999999999E-2</v>
      </c>
      <c r="V5" s="1183">
        <v>0.2</v>
      </c>
      <c r="W5" s="440">
        <v>2</v>
      </c>
      <c r="X5" s="187"/>
      <c r="Y5" s="358" t="s">
        <v>93</v>
      </c>
      <c r="Z5" s="432">
        <v>44562</v>
      </c>
      <c r="AA5" s="438" t="s">
        <v>387</v>
      </c>
      <c r="AB5" s="439">
        <v>0.17</v>
      </c>
      <c r="AC5" s="1209">
        <v>1.4</v>
      </c>
      <c r="AD5" s="187"/>
      <c r="AE5" s="358" t="s">
        <v>93</v>
      </c>
      <c r="AF5" s="432">
        <v>45046</v>
      </c>
      <c r="AG5" s="438" t="s">
        <v>135</v>
      </c>
      <c r="AH5" s="439">
        <f>AVERAGE(AB10,V10,P10)</f>
        <v>0.18000000000000002</v>
      </c>
      <c r="AI5" s="440">
        <f>AVERAGE(AC10,W10,Q10)</f>
        <v>1.9666666666666668</v>
      </c>
      <c r="AJ5" s="187"/>
      <c r="AK5" s="358" t="s">
        <v>93</v>
      </c>
      <c r="AL5" s="432" t="s">
        <v>135</v>
      </c>
      <c r="AM5" s="438" t="s">
        <v>135</v>
      </c>
      <c r="AN5" s="439" t="s">
        <v>135</v>
      </c>
      <c r="AO5" s="440" t="s">
        <v>135</v>
      </c>
      <c r="AP5" s="187"/>
      <c r="AQ5" s="358" t="s">
        <v>93</v>
      </c>
      <c r="AR5" s="432" t="s">
        <v>135</v>
      </c>
      <c r="AS5" s="438" t="s">
        <v>135</v>
      </c>
      <c r="AT5" s="439" t="s">
        <v>135</v>
      </c>
      <c r="AU5" s="440" t="s">
        <v>135</v>
      </c>
      <c r="AV5" s="187"/>
      <c r="AW5" s="358" t="s">
        <v>93</v>
      </c>
      <c r="AX5" s="432" t="s">
        <v>135</v>
      </c>
      <c r="AY5" s="438" t="s">
        <v>135</v>
      </c>
      <c r="AZ5" s="439" t="s">
        <v>135</v>
      </c>
      <c r="BA5" s="440" t="s">
        <v>135</v>
      </c>
      <c r="BB5" s="187"/>
      <c r="BC5" s="358" t="s">
        <v>93</v>
      </c>
      <c r="BD5" s="432" t="s">
        <v>135</v>
      </c>
      <c r="BE5" s="438" t="s">
        <v>135</v>
      </c>
      <c r="BF5" s="439" t="s">
        <v>135</v>
      </c>
      <c r="BG5" s="440" t="s">
        <v>135</v>
      </c>
      <c r="BH5" s="187"/>
      <c r="BI5" s="358" t="s">
        <v>93</v>
      </c>
      <c r="BJ5" s="432" t="s">
        <v>135</v>
      </c>
      <c r="BK5" s="438" t="s">
        <v>135</v>
      </c>
      <c r="BL5" s="439" t="s">
        <v>135</v>
      </c>
      <c r="BM5" s="440" t="s">
        <v>135</v>
      </c>
      <c r="BN5" s="187"/>
      <c r="BO5" s="358" t="s">
        <v>93</v>
      </c>
      <c r="BP5" s="432" t="s">
        <v>135</v>
      </c>
      <c r="BQ5" s="438" t="s">
        <v>135</v>
      </c>
      <c r="BR5" s="439" t="s">
        <v>135</v>
      </c>
      <c r="BS5" s="440" t="s">
        <v>135</v>
      </c>
      <c r="BT5" s="187"/>
      <c r="BU5" s="358" t="s">
        <v>93</v>
      </c>
      <c r="BV5" s="432" t="s">
        <v>135</v>
      </c>
      <c r="BW5" s="438" t="s">
        <v>135</v>
      </c>
      <c r="BX5" s="439" t="s">
        <v>135</v>
      </c>
      <c r="BY5" s="440" t="s">
        <v>135</v>
      </c>
      <c r="BZ5" s="187"/>
    </row>
    <row r="6" spans="1:78" s="427" customFormat="1" ht="15" customHeight="1" x14ac:dyDescent="0.25">
      <c r="A6" s="213" t="s">
        <v>18</v>
      </c>
      <c r="B6" s="419" t="s">
        <v>135</v>
      </c>
      <c r="C6" s="433" t="s">
        <v>135</v>
      </c>
      <c r="D6" s="1265" t="s">
        <v>135</v>
      </c>
      <c r="E6" s="1265"/>
      <c r="F6" s="188"/>
      <c r="G6" s="358" t="s">
        <v>94</v>
      </c>
      <c r="H6" s="419">
        <v>43814</v>
      </c>
      <c r="I6" s="433" t="s">
        <v>135</v>
      </c>
      <c r="J6" s="1265">
        <v>0</v>
      </c>
      <c r="K6" s="1265"/>
      <c r="L6" s="188"/>
      <c r="M6" s="358" t="s">
        <v>94</v>
      </c>
      <c r="N6" s="419" t="s">
        <v>135</v>
      </c>
      <c r="O6" s="433" t="s">
        <v>135</v>
      </c>
      <c r="P6" s="1265" t="s">
        <v>135</v>
      </c>
      <c r="Q6" s="1265"/>
      <c r="R6" s="188"/>
      <c r="S6" s="358" t="s">
        <v>94</v>
      </c>
      <c r="T6" s="419" t="s">
        <v>135</v>
      </c>
      <c r="U6" s="433" t="s">
        <v>135</v>
      </c>
      <c r="V6" s="1265" t="s">
        <v>135</v>
      </c>
      <c r="W6" s="1265"/>
      <c r="X6" s="188"/>
      <c r="Y6" s="358" t="s">
        <v>94</v>
      </c>
      <c r="Z6" s="419">
        <v>44576</v>
      </c>
      <c r="AA6" s="433" t="s">
        <v>135</v>
      </c>
      <c r="AB6" s="1265">
        <v>0</v>
      </c>
      <c r="AC6" s="1265"/>
      <c r="AD6" s="188"/>
      <c r="AE6" s="358" t="s">
        <v>94</v>
      </c>
      <c r="AF6" s="419" t="s">
        <v>135</v>
      </c>
      <c r="AG6" s="433" t="s">
        <v>135</v>
      </c>
      <c r="AH6" s="1265" t="s">
        <v>135</v>
      </c>
      <c r="AI6" s="1265"/>
      <c r="AJ6" s="188"/>
      <c r="AK6" s="358" t="s">
        <v>94</v>
      </c>
      <c r="AL6" s="419" t="s">
        <v>135</v>
      </c>
      <c r="AM6" s="433" t="s">
        <v>135</v>
      </c>
      <c r="AN6" s="1265" t="s">
        <v>135</v>
      </c>
      <c r="AO6" s="1265"/>
      <c r="AP6" s="188"/>
      <c r="AQ6" s="358" t="s">
        <v>94</v>
      </c>
      <c r="AR6" s="419" t="s">
        <v>135</v>
      </c>
      <c r="AS6" s="433" t="s">
        <v>135</v>
      </c>
      <c r="AT6" s="1265" t="s">
        <v>135</v>
      </c>
      <c r="AU6" s="1265"/>
      <c r="AV6" s="188"/>
      <c r="AW6" s="358" t="s">
        <v>94</v>
      </c>
      <c r="AX6" s="419" t="s">
        <v>135</v>
      </c>
      <c r="AY6" s="433" t="s">
        <v>135</v>
      </c>
      <c r="AZ6" s="1265" t="s">
        <v>135</v>
      </c>
      <c r="BA6" s="1265"/>
      <c r="BB6" s="188"/>
      <c r="BC6" s="358" t="s">
        <v>94</v>
      </c>
      <c r="BD6" s="419" t="s">
        <v>135</v>
      </c>
      <c r="BE6" s="433" t="s">
        <v>135</v>
      </c>
      <c r="BF6" s="1265" t="s">
        <v>135</v>
      </c>
      <c r="BG6" s="1265"/>
      <c r="BH6" s="188"/>
      <c r="BI6" s="358" t="s">
        <v>94</v>
      </c>
      <c r="BJ6" s="419" t="s">
        <v>135</v>
      </c>
      <c r="BK6" s="433" t="s">
        <v>135</v>
      </c>
      <c r="BL6" s="1265" t="s">
        <v>135</v>
      </c>
      <c r="BM6" s="1265"/>
      <c r="BN6" s="188"/>
      <c r="BO6" s="358" t="s">
        <v>94</v>
      </c>
      <c r="BP6" s="419" t="s">
        <v>135</v>
      </c>
      <c r="BQ6" s="433" t="s">
        <v>135</v>
      </c>
      <c r="BR6" s="1265" t="s">
        <v>135</v>
      </c>
      <c r="BS6" s="1265"/>
      <c r="BT6" s="188"/>
      <c r="BU6" s="358" t="s">
        <v>94</v>
      </c>
      <c r="BV6" s="419" t="s">
        <v>135</v>
      </c>
      <c r="BW6" s="433" t="s">
        <v>135</v>
      </c>
      <c r="BX6" s="1265" t="s">
        <v>135</v>
      </c>
      <c r="BY6" s="1265"/>
      <c r="BZ6" s="188"/>
    </row>
    <row r="7" spans="1:78" ht="15.75" x14ac:dyDescent="0.25">
      <c r="A7" s="826" t="s">
        <v>252</v>
      </c>
      <c r="B7" s="430"/>
      <c r="C7" s="430"/>
      <c r="D7" s="221"/>
      <c r="E7" s="1256">
        <f>'2018'!Dépas_env</f>
        <v>3.1348678997142221E-2</v>
      </c>
      <c r="F7" s="1257"/>
      <c r="G7" s="826" t="s">
        <v>251</v>
      </c>
      <c r="H7" s="430"/>
      <c r="I7" s="430"/>
      <c r="J7" s="221"/>
      <c r="K7" s="1256">
        <f>'2019'!Dépas_env</f>
        <v>4.5467663037300099E-2</v>
      </c>
      <c r="L7" s="1257"/>
      <c r="M7" s="826" t="s">
        <v>251</v>
      </c>
      <c r="N7" s="430"/>
      <c r="O7" s="430"/>
      <c r="P7" s="221"/>
      <c r="Q7" s="1256">
        <f>'2020'!Dépas_env</f>
        <v>4.457527350254753E-2</v>
      </c>
      <c r="R7" s="1257"/>
      <c r="S7" s="826" t="s">
        <v>251</v>
      </c>
      <c r="T7" s="430"/>
      <c r="U7" s="430"/>
      <c r="V7" s="221"/>
      <c r="W7" s="1256">
        <f>'2021'!Dépas_env</f>
        <v>4.6055850205999116E-2</v>
      </c>
      <c r="X7" s="1257"/>
      <c r="Y7" s="826" t="s">
        <v>251</v>
      </c>
      <c r="Z7" s="430"/>
      <c r="AA7" s="430"/>
      <c r="AB7" s="221"/>
      <c r="AC7" s="1256">
        <f>'2022'!Dépas_env</f>
        <v>4.5954003629650408E-2</v>
      </c>
      <c r="AD7" s="1257"/>
      <c r="AE7" s="826" t="s">
        <v>251</v>
      </c>
      <c r="AF7" s="430"/>
      <c r="AG7" s="430"/>
      <c r="AH7" s="221"/>
      <c r="AI7" s="1256">
        <f>'2023'!Dépas_env</f>
        <v>4.595400362965063E-2</v>
      </c>
      <c r="AJ7" s="1257"/>
      <c r="AK7" s="826" t="s">
        <v>251</v>
      </c>
      <c r="AL7" s="430"/>
      <c r="AM7" s="430"/>
      <c r="AN7" s="221"/>
      <c r="AO7" s="1256">
        <f>'2024'!Dépas_env</f>
        <v>4.5954003629650186E-2</v>
      </c>
      <c r="AP7" s="1257"/>
      <c r="AQ7" s="826" t="s">
        <v>251</v>
      </c>
      <c r="AR7" s="430"/>
      <c r="AS7" s="430"/>
      <c r="AT7" s="221"/>
      <c r="AU7" s="1256">
        <f>'2025'!Dépas_env</f>
        <v>4.5954003629649964E-2</v>
      </c>
      <c r="AV7" s="1257"/>
      <c r="AW7" s="826" t="s">
        <v>251</v>
      </c>
      <c r="AX7" s="430"/>
      <c r="AY7" s="430"/>
      <c r="AZ7" s="221"/>
      <c r="BA7" s="1256">
        <f>'2026'!Dépas_env</f>
        <v>4.5954003629650408E-2</v>
      </c>
      <c r="BB7" s="1257"/>
      <c r="BC7" s="826" t="s">
        <v>251</v>
      </c>
      <c r="BD7" s="430"/>
      <c r="BE7" s="430"/>
      <c r="BF7" s="221"/>
      <c r="BG7" s="1256">
        <f>'2027'!Dépas_env</f>
        <v>4.5954003629650186E-2</v>
      </c>
      <c r="BH7" s="1257"/>
      <c r="BI7" s="826" t="s">
        <v>251</v>
      </c>
      <c r="BJ7" s="430"/>
      <c r="BK7" s="430"/>
      <c r="BL7" s="221"/>
      <c r="BM7" s="1256"/>
      <c r="BN7" s="1257"/>
      <c r="BO7" s="826" t="s">
        <v>251</v>
      </c>
      <c r="BP7" s="430"/>
      <c r="BQ7" s="430"/>
      <c r="BR7" s="221"/>
      <c r="BS7" s="1256"/>
      <c r="BT7" s="1257"/>
      <c r="BU7" s="826" t="s">
        <v>251</v>
      </c>
      <c r="BV7" s="430"/>
      <c r="BW7" s="430"/>
      <c r="BX7" s="221"/>
      <c r="BY7" s="1256"/>
      <c r="BZ7" s="1257"/>
    </row>
    <row r="8" spans="1:78" ht="15.75" x14ac:dyDescent="0.25">
      <c r="A8" s="426" t="s">
        <v>134</v>
      </c>
      <c r="T8" s="653" t="s">
        <v>194</v>
      </c>
    </row>
    <row r="9" spans="1:78" s="28" customFormat="1" ht="15" customHeight="1" x14ac:dyDescent="0.25">
      <c r="A9" s="445" t="s">
        <v>77</v>
      </c>
      <c r="B9" s="579">
        <f>IF(B4="D",T0,IF(YEAR(B4)=A3,B4, "err."))</f>
        <v>43313</v>
      </c>
      <c r="C9" s="580">
        <f>IF(B9&gt;T0,IF(C4="D",0,C4),0)</f>
        <v>0</v>
      </c>
      <c r="D9" s="581" t="s">
        <v>80</v>
      </c>
      <c r="E9" s="462" t="s">
        <v>80</v>
      </c>
      <c r="F9" s="1196">
        <f>IF(C5="I",T0,B10)</f>
        <v>43313</v>
      </c>
      <c r="G9" s="446" t="s">
        <v>92</v>
      </c>
      <c r="H9" s="579">
        <f>IF(H4="D",B9,IF(YEAR(H4)=G3,H4, "err."))</f>
        <v>43313</v>
      </c>
      <c r="I9" s="580">
        <f>IF(YEAR(H9)=G3,IF(I4="D",C9,I4),C9)</f>
        <v>0</v>
      </c>
      <c r="J9" s="582" t="s">
        <v>80</v>
      </c>
      <c r="K9" s="450" t="s">
        <v>80</v>
      </c>
      <c r="L9" s="1196">
        <f>IF(I5="I",F9,IF(YEAR(H10)=G3,H10,F9))</f>
        <v>43313</v>
      </c>
      <c r="M9" s="448" t="s">
        <v>92</v>
      </c>
      <c r="N9" s="579">
        <f>IF(N4="D",H9,IF(YEAR(N4)=M3,N4, "err."))</f>
        <v>44044</v>
      </c>
      <c r="O9" s="580">
        <f>IF(YEAR(N9)=M3,IF(O4="D",I9,O4),I9)</f>
        <v>1.1111111111111112E-2</v>
      </c>
      <c r="P9" s="582" t="s">
        <v>80</v>
      </c>
      <c r="Q9" s="450" t="s">
        <v>80</v>
      </c>
      <c r="R9" s="1196">
        <f>IF(O5="I",L9,IF(YEAR(N10)=M3,N10,L9))</f>
        <v>43313</v>
      </c>
      <c r="S9" s="446" t="s">
        <v>92</v>
      </c>
      <c r="T9" s="579">
        <f>IF(T4="D",N9,IF(YEAR(T4)=S3,T4, "err."))</f>
        <v>44044</v>
      </c>
      <c r="U9" s="580">
        <f>IF(YEAR(T9)=S3,IF(U4="D",O9,U4),O9)</f>
        <v>1.1111111111111112E-2</v>
      </c>
      <c r="V9" s="582" t="s">
        <v>80</v>
      </c>
      <c r="W9" s="450" t="s">
        <v>80</v>
      </c>
      <c r="X9" s="1196">
        <f>IF(U5="I",R9,IF(YEAR(T10)=S3,T10,R9))</f>
        <v>44307</v>
      </c>
      <c r="Y9" s="446" t="s">
        <v>92</v>
      </c>
      <c r="Z9" s="579">
        <f>IF(Z4="D",T9,IF(YEAR(Z4)=Y3,Z4, "err."))</f>
        <v>44743</v>
      </c>
      <c r="AA9" s="580">
        <f>IF(YEAR(Z9)=Y3,IF(AA4="D",U9,AA4),U9)</f>
        <v>2.1111111111111112E-2</v>
      </c>
      <c r="AB9" s="582" t="s">
        <v>80</v>
      </c>
      <c r="AC9" s="450" t="s">
        <v>80</v>
      </c>
      <c r="AD9" s="1196">
        <f>IF(AA5="I",X9,IF(YEAR(Z10)=Y3,Z10,X9))</f>
        <v>44307</v>
      </c>
      <c r="AE9" s="446" t="s">
        <v>92</v>
      </c>
      <c r="AF9" s="579">
        <f>IF(AF4="D",Z9,IF(YEAR(AF4)=AE3,AF4, "err."))</f>
        <v>44743</v>
      </c>
      <c r="AG9" s="580">
        <f>IF(YEAR(AF9)=AE3,IF(AG4="D",AA9,AG4),AA9)</f>
        <v>2.1111111111111112E-2</v>
      </c>
      <c r="AH9" s="582" t="s">
        <v>80</v>
      </c>
      <c r="AI9" s="450" t="s">
        <v>80</v>
      </c>
      <c r="AJ9" s="1196">
        <f>IF(AG5="I",AD9,IF(YEAR(AF10)=AE3,AF10,AD9))</f>
        <v>45046</v>
      </c>
      <c r="AK9" s="446" t="s">
        <v>92</v>
      </c>
      <c r="AL9" s="595">
        <f>IF(AL4="D",AF9,AL4)</f>
        <v>44743</v>
      </c>
      <c r="AM9" s="596">
        <f>IF(AM4="D",AG9,AM4)</f>
        <v>2.1111111111111112E-2</v>
      </c>
      <c r="AN9" s="582" t="s">
        <v>80</v>
      </c>
      <c r="AO9" s="597" t="s">
        <v>80</v>
      </c>
      <c r="AP9" s="1196">
        <f>IF(AM5="I",AJ9,IF(YEAR(AL10)=AK3,AL10,AJ9))</f>
        <v>45046</v>
      </c>
      <c r="AQ9" s="446" t="s">
        <v>92</v>
      </c>
      <c r="AR9" s="579">
        <f>IF(AR4="D",AL9,AR4)</f>
        <v>44743</v>
      </c>
      <c r="AS9" s="580">
        <f>IF(AS4="D",AM9,AS4)</f>
        <v>2.1111111111111112E-2</v>
      </c>
      <c r="AT9" s="582" t="s">
        <v>80</v>
      </c>
      <c r="AU9" s="450" t="s">
        <v>80</v>
      </c>
      <c r="AV9" s="1196">
        <f>IF(AS5="I",AP9,IF(YEAR(AR10)=AQ3,AR10,AP9))</f>
        <v>45777</v>
      </c>
      <c r="AW9" s="446" t="s">
        <v>92</v>
      </c>
      <c r="AX9" s="579">
        <f>IF(AX4="D",AR9,AX4)</f>
        <v>44743</v>
      </c>
      <c r="AY9" s="580">
        <f>IF(AY4="D",AS9,AY4)</f>
        <v>2.1111111111111112E-2</v>
      </c>
      <c r="AZ9" s="582" t="s">
        <v>80</v>
      </c>
      <c r="BA9" s="450" t="s">
        <v>80</v>
      </c>
      <c r="BB9" s="1196">
        <f>IF(AY5="I",AV9,IF(YEAR(AX10)=AW3,AX10,AV9))</f>
        <v>45777</v>
      </c>
      <c r="BC9" s="446" t="s">
        <v>92</v>
      </c>
      <c r="BD9" s="579">
        <f>IF(BD4="D",AX9,BD4)</f>
        <v>44743</v>
      </c>
      <c r="BE9" s="580">
        <f>IF(BE4="D",AY9,BE4)</f>
        <v>2.1111111111111112E-2</v>
      </c>
      <c r="BF9" s="582" t="s">
        <v>80</v>
      </c>
      <c r="BG9" s="450" t="s">
        <v>80</v>
      </c>
      <c r="BH9" s="1196">
        <f>IF(BE5="I",BB9,IF(YEAR(BD10)=BC3,BD10,BB9))</f>
        <v>46507</v>
      </c>
      <c r="BI9" s="446" t="s">
        <v>92</v>
      </c>
      <c r="BJ9" s="579">
        <f>IF(BJ4="D",BD9,BJ4)</f>
        <v>44743</v>
      </c>
      <c r="BK9" s="580">
        <f>IF(BK4="D",BE9,BK4)</f>
        <v>2.1111111111111112E-2</v>
      </c>
      <c r="BL9" s="582" t="s">
        <v>80</v>
      </c>
      <c r="BM9" s="450" t="s">
        <v>80</v>
      </c>
      <c r="BN9" s="1196" t="e">
        <f>IF(BK5="I",BH9,IF(YEAR(BJ10)=BI3,BJ10,BH9))</f>
        <v>#NAME?</v>
      </c>
      <c r="BO9" s="446" t="s">
        <v>92</v>
      </c>
      <c r="BP9" s="579">
        <f>IF(BP4="D",BJ9,BP4)</f>
        <v>44743</v>
      </c>
      <c r="BQ9" s="580">
        <f>IF(BQ4="D",BK9,BQ4)</f>
        <v>2.1111111111111112E-2</v>
      </c>
      <c r="BR9" s="582" t="s">
        <v>80</v>
      </c>
      <c r="BS9" s="450" t="s">
        <v>80</v>
      </c>
      <c r="BT9" s="1196" t="e">
        <f>IF(BQ5="I",BN9,IF(YEAR(BP10)=BO3,BP10,BN9))</f>
        <v>#NAME?</v>
      </c>
      <c r="BU9" s="446" t="s">
        <v>92</v>
      </c>
      <c r="BV9" s="579">
        <f>IF(BV4="D",BP9,BV4)</f>
        <v>44743</v>
      </c>
      <c r="BW9" s="580">
        <f>IF(BW4="D",BQ9,BW4)</f>
        <v>2.1111111111111112E-2</v>
      </c>
      <c r="BX9" s="582" t="s">
        <v>80</v>
      </c>
      <c r="BY9" s="450" t="s">
        <v>80</v>
      </c>
      <c r="BZ9" s="1196" t="e">
        <f>IF(BW5="I",BT9,IF(YEAR(BV10)=BU3,BV10,BT9))</f>
        <v>#NAME?</v>
      </c>
    </row>
    <row r="10" spans="1:78" s="449" customFormat="1" ht="15" customHeight="1" x14ac:dyDescent="0.25">
      <c r="A10" s="463" t="s">
        <v>16</v>
      </c>
      <c r="B10" s="577">
        <f>IF(B5="D",T0,IF(YEAR(B5)=A3,B5, "err."))</f>
        <v>43313</v>
      </c>
      <c r="C10" s="583">
        <f>IF(B10&gt;T0,IF(C5="D",0,C5),0)</f>
        <v>0</v>
      </c>
      <c r="D10" s="584">
        <f>IF(YEAR(B10)=A3,IF(D5="D",Salim_i,D5),Salim_i)</f>
        <v>0.17</v>
      </c>
      <c r="E10" s="585">
        <f>IF(E5="D",Tau_i,IF(YEAR(B10)=A3,E5,Tau_i))</f>
        <v>2.5</v>
      </c>
      <c r="F10" s="1197">
        <f>C10</f>
        <v>0</v>
      </c>
      <c r="G10" s="448" t="s">
        <v>93</v>
      </c>
      <c r="H10" s="577">
        <f>IF(H5="D",IF(AND(G3&gt;=YEAR(F9)+Inter_net,G3&gt;Amaj),DATE(G3,4,30),B10),IF(YEAR(H5)=G3,H5,"err."))</f>
        <v>43313</v>
      </c>
      <c r="I10" s="583">
        <f>IF(G3=YEAR(H10),IF(I5="D",F10,I5),C13)</f>
        <v>0</v>
      </c>
      <c r="J10" s="584">
        <f>IF(G3=YEAR(H10),IF(J5="D",D10,J5),D10)</f>
        <v>0.17</v>
      </c>
      <c r="K10" s="585">
        <f>IF(G3=YEAR(H10),IF(K5="D",E10,K5),E10)</f>
        <v>2.5</v>
      </c>
      <c r="L10" s="1197">
        <f>IF(I5="I",F10,IF(I5="D",F10,I5))</f>
        <v>0</v>
      </c>
      <c r="M10" s="448" t="s">
        <v>93</v>
      </c>
      <c r="N10" s="577">
        <f>IF(N5="D",IF(AND(M3&gt;=YEAR(L9)+Inter_net,M3&gt;Amaj),DATE(M3,4,30),H10),IF(YEAR(N5)=M3,N5,"err."))</f>
        <v>43313</v>
      </c>
      <c r="O10" s="583">
        <f>IF(M3=YEAR(N10),IF(O5="D",L10,O5),I13)</f>
        <v>0</v>
      </c>
      <c r="P10" s="584">
        <f>IF(M3=YEAR(N10),IF(P5="D",J10,P5),J10)</f>
        <v>0.17</v>
      </c>
      <c r="Q10" s="585">
        <f>IF(M3=YEAR(N10),IF(Q5="D",K10,Q5),K10)</f>
        <v>2.5</v>
      </c>
      <c r="R10" s="1197">
        <f>IF(O5="I",L10,IF(O5="D",L10,O5))</f>
        <v>0</v>
      </c>
      <c r="S10" s="448" t="s">
        <v>93</v>
      </c>
      <c r="T10" s="577">
        <f>IF(T5="D",IF(AND(S3&gt;=YEAR(R9)+Inter_net,S3&gt;Amaj),DATE(S3,4,30),N10),IF(YEAR(T5)=S3,T5,"err."))</f>
        <v>44307</v>
      </c>
      <c r="U10" s="583">
        <f>IF(S3=YEAR(T10),IF(U5="D",R10,U5),O13)</f>
        <v>1.7999999999999999E-2</v>
      </c>
      <c r="V10" s="584">
        <f>IF(S3=YEAR(T10),IF(V5="D",P10,V5),P10)</f>
        <v>0.2</v>
      </c>
      <c r="W10" s="585">
        <f>IF(S3=YEAR(T10),IF(W5="D",Q10,W5),Q10)</f>
        <v>2</v>
      </c>
      <c r="X10" s="1197">
        <f>IF(U5="I",R10,IF(U5="D",R10,U5))</f>
        <v>1.7999999999999999E-2</v>
      </c>
      <c r="Y10" s="448" t="s">
        <v>93</v>
      </c>
      <c r="Z10" s="577">
        <f>IF(Z5="D",IF(AND(Y3&gt;=YEAR(X9)+Inter_net,Y3&gt;Amaj),DATE(Y3,4,30),T10),IF(YEAR(Z5)=Y3,Z5,"err."))</f>
        <v>44562</v>
      </c>
      <c r="AA10" s="583" t="str">
        <f>IF(Y3=YEAR(Z10),IF(AA5="D",X10,AA5),U13)</f>
        <v>I</v>
      </c>
      <c r="AB10" s="584">
        <f>IF(Y3=YEAR(Z10),IF(AB5="D",V10,AB5),V10)</f>
        <v>0.17</v>
      </c>
      <c r="AC10" s="585">
        <f>IF(Y3=YEAR(Z10),IF(AC5="D",W10,AC5),W10)</f>
        <v>1.4</v>
      </c>
      <c r="AD10" s="1197">
        <f>IF(AA5="I",X10,IF(AA5="D",X10,AA5))</f>
        <v>1.7999999999999999E-2</v>
      </c>
      <c r="AE10" s="448" t="s">
        <v>93</v>
      </c>
      <c r="AF10" s="577">
        <f>IF(AF5="D",IF(AND(AE3&gt;=YEAR(AD9)+Inter_net,AE3&gt;Amaj),DATE(AE3,4,30),Z10),IF(YEAR(AF5)=AE3,AF5,"err."))</f>
        <v>45046</v>
      </c>
      <c r="AG10" s="583">
        <f>IF(AE3=YEAR(AF10),IF(AG5="D",AD10,AG5),AA13)</f>
        <v>1.7999999999999999E-2</v>
      </c>
      <c r="AH10" s="584">
        <f>IF(AE3=YEAR(AF10),IF(AH5="D",AB10,AH5),AB10)</f>
        <v>0.18000000000000002</v>
      </c>
      <c r="AI10" s="585">
        <f>IF(AE3=YEAR(AF10),IF(AI5="D",AC10,AI5),AC10)</f>
        <v>1.9666666666666668</v>
      </c>
      <c r="AJ10" s="1197">
        <f>IF(AG5="I",AD10,IF(AG5="D",AD10,AG5))</f>
        <v>1.7999999999999999E-2</v>
      </c>
      <c r="AK10" s="448" t="s">
        <v>93</v>
      </c>
      <c r="AL10" s="577">
        <f>IF(AL5="D",IF(AND(AK3&gt;=YEAR(AJ9)+Inter_net,AK3&gt;Amaj),DATE(AK3,4,30),AF10),IF(YEAR(AL5)=AK3,AL5,"err."))</f>
        <v>45046</v>
      </c>
      <c r="AM10" s="583">
        <f>IF(AK3=YEAR(AL10),IF(AM5="D",AJ10,AM5),AG13)</f>
        <v>1.7999999999999999E-2</v>
      </c>
      <c r="AN10" s="584">
        <f>IF(AN5="D",AH10,AN5)</f>
        <v>0.18000000000000002</v>
      </c>
      <c r="AO10" s="585">
        <f>IF(AO5="D",AI10,AO5)</f>
        <v>1.9666666666666668</v>
      </c>
      <c r="AP10" s="1197">
        <f>IF(AM5="I",AJ10,IF(AM5="D",AJ10,AM5))</f>
        <v>1.7999999999999999E-2</v>
      </c>
      <c r="AQ10" s="448" t="s">
        <v>93</v>
      </c>
      <c r="AR10" s="577">
        <f>IF(AR5="D",IF(AND(AQ3&gt;=YEAR(AP9)+Inter_net,AQ3&gt;Amaj),DATE(AQ3,4,30),AL10),IF(YEAR(AR5)=AQ3,AR5,"err."))</f>
        <v>45777</v>
      </c>
      <c r="AS10" s="583">
        <f>IF(AQ3=YEAR(AR10),IF(AS5="D",AP10,AS5),AM13)</f>
        <v>1.7999999999999999E-2</v>
      </c>
      <c r="AT10" s="584">
        <f>IF(AT5="D",AN10,AT5)</f>
        <v>0.18000000000000002</v>
      </c>
      <c r="AU10" s="585">
        <f>IF(AU5="D",AO10,AU5)</f>
        <v>1.9666666666666668</v>
      </c>
      <c r="AV10" s="1197">
        <f>IF(AS5="I",AP10,IF(AS5="D",AP10,AS5))</f>
        <v>1.7999999999999999E-2</v>
      </c>
      <c r="AW10" s="448" t="s">
        <v>93</v>
      </c>
      <c r="AX10" s="577">
        <f>IF(AX5="D",IF(AND(AW3&gt;=YEAR(AV9)+Inter_net,AW3&gt;Amaj),DATE(AW3,4,30),AR10),IF(YEAR(AX5)=AW3,AX5,"err."))</f>
        <v>45777</v>
      </c>
      <c r="AY10" s="583">
        <f>IF(AW3=YEAR(AX10),IF(AY5="D",AV10,AY5),AS13)</f>
        <v>1.7999999999999999E-2</v>
      </c>
      <c r="AZ10" s="584">
        <f>IF(AZ5="D",AT10,AZ5)</f>
        <v>0.18000000000000002</v>
      </c>
      <c r="BA10" s="585">
        <f>IF(BA5="D",AU10,BA5)</f>
        <v>1.9666666666666668</v>
      </c>
      <c r="BB10" s="1197">
        <f>IF(AY5="I",AV10,IF(AY5="D",AV10,AY5))</f>
        <v>1.7999999999999999E-2</v>
      </c>
      <c r="BC10" s="448" t="s">
        <v>93</v>
      </c>
      <c r="BD10" s="577">
        <f>IF(BD5="D",IF(AND(BC3&gt;=YEAR(BB9)+Inter_net,BC3&gt;Amaj),DATE(BC3,4,30),AX10),IF(YEAR(BD5)=BC3,BD5,"err."))</f>
        <v>46507</v>
      </c>
      <c r="BE10" s="583">
        <f>IF(BC3=YEAR(BD10),IF(BE5="D",BB10,BE5),AY13)</f>
        <v>1.7999999999999999E-2</v>
      </c>
      <c r="BF10" s="584">
        <f>IF(BF5="D",AZ10,BF5)</f>
        <v>0.18000000000000002</v>
      </c>
      <c r="BG10" s="585">
        <f>IF(BG5="D",BA10,BG5)</f>
        <v>1.9666666666666668</v>
      </c>
      <c r="BH10" s="1197">
        <f>IF(BE5="I",BB10,IF(BE5="D",BB10,BE5))</f>
        <v>1.7999999999999999E-2</v>
      </c>
      <c r="BI10" s="448" t="s">
        <v>93</v>
      </c>
      <c r="BJ10" s="577" t="e">
        <f>IF(BJ5="D",IF(AND(BI3&gt;=YEAR(BH9)+Inter_net,BI3&gt;Amaj),DATE(BI3,4,30),BD10),IF(YEAR(BJ5)=BI3,BJ5,"err."))</f>
        <v>#NAME?</v>
      </c>
      <c r="BK10" s="583" t="e">
        <f>IF(BI3=YEAR(BJ10),IF(BK5="D",BH10,BK5),BE13)</f>
        <v>#NAME?</v>
      </c>
      <c r="BL10" s="584">
        <f>IF(BL5="D",BF10,BL5)</f>
        <v>0.18000000000000002</v>
      </c>
      <c r="BM10" s="585">
        <f>IF(BM5="D",BG10,BM5)</f>
        <v>1.9666666666666668</v>
      </c>
      <c r="BN10" s="1197">
        <f>IF(BK5="I",BH10,IF(BK5="D",BH10,BK5))</f>
        <v>1.7999999999999999E-2</v>
      </c>
      <c r="BO10" s="448" t="s">
        <v>93</v>
      </c>
      <c r="BP10" s="577" t="e">
        <f>IF(BP5="D",IF(AND(BO3&gt;=YEAR(BN9)+Inter_net,BO3&gt;Amaj),DATE(BO3,4,30),BJ10),IF(YEAR(BP5)=BO3,BP5,"err."))</f>
        <v>#NAME?</v>
      </c>
      <c r="BQ10" s="583" t="e">
        <f>IF(BO3=YEAR(BP10),IF(BQ5="D",BN10,BQ5),BK13)</f>
        <v>#NAME?</v>
      </c>
      <c r="BR10" s="584">
        <f>IF(BR5="D",BL10,BR5)</f>
        <v>0.18000000000000002</v>
      </c>
      <c r="BS10" s="585">
        <f>IF(BS5="D",BM10,BS5)</f>
        <v>1.9666666666666668</v>
      </c>
      <c r="BT10" s="1197">
        <f>IF(BQ5="I",BN10,IF(BQ5="D",BN10,BQ5))</f>
        <v>1.7999999999999999E-2</v>
      </c>
      <c r="BU10" s="448" t="s">
        <v>93</v>
      </c>
      <c r="BV10" s="577" t="e">
        <f>IF(BV5="D",IF(AND(BU3&gt;=YEAR(BT9)+Inter_net,BU3&gt;Amaj),DATE(BU3,4,30),BP10),IF(YEAR(BV5)=BU3,BV5,"err."))</f>
        <v>#NAME?</v>
      </c>
      <c r="BW10" s="583" t="e">
        <f>IF(BU3=YEAR(BV10),IF(BW5="D",BT10,BW5),BQ13)</f>
        <v>#NAME?</v>
      </c>
      <c r="BX10" s="584">
        <f>IF(BX5="D",BR10,BX5)</f>
        <v>0.18000000000000002</v>
      </c>
      <c r="BY10" s="585">
        <f>IF(BY5="D",BS10,BY5)</f>
        <v>1.9666666666666668</v>
      </c>
      <c r="BZ10" s="1197">
        <f>IF(BW5="I",BT10,IF(BW5="D",BT10,BW5))</f>
        <v>1.7999999999999999E-2</v>
      </c>
    </row>
    <row r="11" spans="1:78" s="449" customFormat="1" ht="15" customHeight="1" x14ac:dyDescent="0.25">
      <c r="A11" s="447" t="s">
        <v>18</v>
      </c>
      <c r="B11" s="578">
        <f>IF(B6="D",DATE(A3,1,1),IF(YEAR(B6)=A3,B6, "err."))</f>
        <v>43101</v>
      </c>
      <c r="C11" s="586">
        <f>IF(C6="D",D_i,C6)</f>
        <v>0.8</v>
      </c>
      <c r="D11" s="1262">
        <f>IF(D6="D",IF(B11&gt;DATE(A3,1,1),H_i,H_i+PousHi),D6)</f>
        <v>0.6</v>
      </c>
      <c r="E11" s="1262"/>
      <c r="F11" s="188"/>
      <c r="G11" s="448" t="s">
        <v>94</v>
      </c>
      <c r="H11" s="578">
        <f>IF(H6="D",IF(AND(G3&gt;=YEAR(B11)+Inter_tai,G3&gt;Amaj),DATE(G3,3,31),B11),IF(YEAR(H6)=G3,H6,"err."))</f>
        <v>43814</v>
      </c>
      <c r="I11" s="586">
        <f>IF(I6="D",IF(G3=YEAR(H11),D_i,C11),I6)</f>
        <v>0.8</v>
      </c>
      <c r="J11" s="1262">
        <f>IF(J6="D",IF(G3=YEAR(H11),H_i,D16+E16),J6)</f>
        <v>0</v>
      </c>
      <c r="K11" s="1262"/>
      <c r="L11" s="188"/>
      <c r="M11" s="448" t="s">
        <v>94</v>
      </c>
      <c r="N11" s="578">
        <f>IF(N6="D",IF(AND(M3&gt;=YEAR(H11)+Inter_tai,M3&gt;Amaj),DATE(M3,3,31),H11),IF(YEAR(N6)=M3,N6,"err."))</f>
        <v>43814</v>
      </c>
      <c r="O11" s="586">
        <f>IF(O6="D",IF(M3=YEAR(N11),D_i,I11),O6)</f>
        <v>0.8</v>
      </c>
      <c r="P11" s="1262">
        <f>IF(P6="D",IF(M3=YEAR(N11),H_i,J16+K16),P6)</f>
        <v>0.60006623975641882</v>
      </c>
      <c r="Q11" s="1262"/>
      <c r="R11" s="188"/>
      <c r="S11" s="448" t="s">
        <v>94</v>
      </c>
      <c r="T11" s="578">
        <f>IF(T6="D",IF(AND(S3&gt;=YEAR(N11)+Inter_tai,S3&gt;Amaj),DATE(S3,3,31),N11),IF(YEAR(T6)=S3,T6,"err."))</f>
        <v>43814</v>
      </c>
      <c r="U11" s="586">
        <f>IF(U6="D",IF(S3=YEAR(T11),D_i,O11),U6)</f>
        <v>0.8</v>
      </c>
      <c r="V11" s="1262">
        <f>IF(V6="D",IF(S3=YEAR(T11),H_i,P16+Q16),V6)</f>
        <v>1.2000661467108888</v>
      </c>
      <c r="W11" s="1262"/>
      <c r="X11" s="188"/>
      <c r="Y11" s="448" t="s">
        <v>94</v>
      </c>
      <c r="Z11" s="578">
        <f>IF(Z6="D",IF(AND(Y3&gt;=YEAR(T11)+Inter_tai,Y3&gt;Amaj),DATE(Y3,3,31),T11),IF(YEAR(Z6)=Y3,Z6,"err."))</f>
        <v>44576</v>
      </c>
      <c r="AA11" s="586">
        <f>IF(AA6="D",IF(Y3=YEAR(Z11),D_i,U11),AA6)</f>
        <v>0.8</v>
      </c>
      <c r="AB11" s="1262">
        <f>IF(AB6="D",IF(Y3=YEAR(Z11),H_i,V16+W16),AB6)</f>
        <v>0</v>
      </c>
      <c r="AC11" s="1262"/>
      <c r="AD11" s="188"/>
      <c r="AE11" s="448" t="s">
        <v>94</v>
      </c>
      <c r="AF11" s="578">
        <f>IF(AF6="D",IF(AND(AE3&gt;=YEAR(Z11)+Inter_tai,AE3&gt;Amaj),DATE(AE3,3,31),Z11),IF(YEAR(AF6)=AE3,AF6,"err."))</f>
        <v>44576</v>
      </c>
      <c r="AG11" s="586">
        <f>IF(AG6="D",IF(AE3=YEAR(AF11),D_i,AA11),AG6)</f>
        <v>0.8</v>
      </c>
      <c r="AH11" s="1262">
        <f>IF(AH6="D",IF(AE3=YEAR(AF11),H_i,AB16+AC16),AH6)</f>
        <v>1.1993492134549255</v>
      </c>
      <c r="AI11" s="1262"/>
      <c r="AJ11" s="188"/>
      <c r="AK11" s="448" t="s">
        <v>94</v>
      </c>
      <c r="AL11" s="578">
        <f>IF(AL6="D",IF(AND(AK3&gt;=YEAR(AF11)+Inter_tai,AK3&gt;Amaj),DATE(AK3,3,31),AF11),IF(YEAR(AL6)=AK3,AL6,"err."))</f>
        <v>44576</v>
      </c>
      <c r="AM11" s="586">
        <f>IF(AM6="D",IF(AK3=YEAR(AL11),D_i,AG11),AM6)</f>
        <v>0.8</v>
      </c>
      <c r="AN11" s="1262">
        <f>IF(AN6="D",IF(AK3=YEAR(AL11),H_i,AH16+PousHi),AN6)</f>
        <v>1.7993491204093957</v>
      </c>
      <c r="AO11" s="1262"/>
      <c r="AP11" s="188"/>
      <c r="AQ11" s="448" t="s">
        <v>94</v>
      </c>
      <c r="AR11" s="578">
        <f>IF(AR6="D",IF(AND(AQ3&gt;=YEAR(AL11)+Inter_tai,AQ3&gt;Amaj),DATE(AQ3,3,31),AL11),IF(YEAR(AR6)=AQ3,AR6,"err."))</f>
        <v>44576</v>
      </c>
      <c r="AS11" s="586">
        <f>IF(AS6="D",IF(AQ3=YEAR(AR11),D_i,AM11),AS6)</f>
        <v>0.8</v>
      </c>
      <c r="AT11" s="1262">
        <f>IF(AT6="D",IF(AQ3=YEAR(AR11),H_i,AN16+PousHi),AT6)</f>
        <v>2.3993490273638658</v>
      </c>
      <c r="AU11" s="1262"/>
      <c r="AV11" s="188"/>
      <c r="AW11" s="448" t="s">
        <v>94</v>
      </c>
      <c r="AX11" s="578">
        <f>IF(AX6="D",IF(AND(AW3&gt;=YEAR(AR11)+Inter_tai,AW3&gt;Amaj),DATE(AW3,3,31),AR11),IF(YEAR(AX6)=AW3,AX6,"err."))</f>
        <v>44576</v>
      </c>
      <c r="AY11" s="586">
        <f>IF(AY6="D",IF(AW3=YEAR(AX11),D_i,AS11),AY6)</f>
        <v>0.8</v>
      </c>
      <c r="AZ11" s="1262">
        <f>IF(AZ6="D",IF(AW3=YEAR(AX11),H_i,AT16+PousHi),AZ6)</f>
        <v>2.9993489343183359</v>
      </c>
      <c r="BA11" s="1262"/>
      <c r="BB11" s="188"/>
      <c r="BC11" s="448" t="s">
        <v>94</v>
      </c>
      <c r="BD11" s="578">
        <f>IF(BD6="D",IF(AND(BC3&gt;=YEAR(AX11)+Inter_tai,BC3&gt;Amaj),DATE(BC3,3,31),AX11),IF(YEAR(BD6)=BC3,BD6,"err."))</f>
        <v>44576</v>
      </c>
      <c r="BE11" s="586">
        <f>IF(BE6="D",IF(BC3=YEAR(BD11),D_i,AY11),BE6)</f>
        <v>0.8</v>
      </c>
      <c r="BF11" s="1262">
        <f>IF(BF6="D",IF(BC3=YEAR(BD11),H_i,AZ16+PousHi),BF6)</f>
        <v>3.5993488412728061</v>
      </c>
      <c r="BG11" s="1262"/>
      <c r="BH11" s="188"/>
      <c r="BI11" s="448" t="s">
        <v>94</v>
      </c>
      <c r="BJ11" s="578" t="e">
        <f>IF(BJ6="D",IF(AND(BI3&gt;=YEAR(BD11)+Inter_tai,BI3&gt;Amaj),DATE(BI3,3,31),BD11),IF(YEAR(BJ6)=BI3,BJ6,"err."))</f>
        <v>#NAME?</v>
      </c>
      <c r="BK11" s="586" t="e">
        <f>IF(BK6="D",IF(BI3=YEAR(BJ11),D_i,BE11),BK6)</f>
        <v>#NAME?</v>
      </c>
      <c r="BL11" s="1262" t="e">
        <f>IF(BL6="D",IF(BI3=YEAR(BJ11),H_i,BF16+PousHi),BL6)</f>
        <v>#NAME?</v>
      </c>
      <c r="BM11" s="1262"/>
      <c r="BN11" s="188"/>
      <c r="BO11" s="448" t="s">
        <v>94</v>
      </c>
      <c r="BP11" s="578" t="e">
        <f>IF(BP6="D",IF(AND(BO3&gt;=YEAR(BJ11)+Inter_tai,BO3&gt;Amaj),DATE(BO3,3,31),BJ11),IF(YEAR(BP6)=BO3,BP6,"err."))</f>
        <v>#NAME?</v>
      </c>
      <c r="BQ11" s="586" t="e">
        <f>IF(BQ6="D",IF(BO3=YEAR(BP11),D_i,BK11),BQ6)</f>
        <v>#NAME?</v>
      </c>
      <c r="BR11" s="1262" t="e">
        <f>IF(BR6="D",IF(BO3=YEAR(BP11),H_i,BL16+PousHi),BR6)</f>
        <v>#NAME?</v>
      </c>
      <c r="BS11" s="1262"/>
      <c r="BT11" s="188"/>
      <c r="BU11" s="448" t="s">
        <v>94</v>
      </c>
      <c r="BV11" s="578" t="e">
        <f>IF(BV6="D",IF(AND(BU3&gt;=YEAR(BP11)+Inter_tai,BU3&gt;Amaj),DATE(BU3,3,31),BP11),IF(YEAR(BV6)=BU3,BV6,"err."))</f>
        <v>#NAME?</v>
      </c>
      <c r="BW11" s="586" t="e">
        <f>IF(BW6="D",IF(BU3=YEAR(BV11),D_i,BQ11),BW6)</f>
        <v>#NAME?</v>
      </c>
      <c r="BX11" s="1262" t="e">
        <f>IF(BX6="D",IF(BU3=YEAR(BV11),H_i,BR16+PousHi),BX6)</f>
        <v>#NAME?</v>
      </c>
      <c r="BY11" s="1262"/>
      <c r="BZ11" s="188"/>
    </row>
    <row r="12" spans="1:78" x14ac:dyDescent="0.25">
      <c r="A12" s="8" t="s">
        <v>165</v>
      </c>
      <c r="B12" s="444"/>
      <c r="C12" s="454"/>
      <c r="D12" s="403"/>
      <c r="E12" s="455"/>
      <c r="H12" s="444"/>
      <c r="L12" s="465"/>
      <c r="M12" s="455"/>
      <c r="AL12" s="455"/>
      <c r="AM12" s="454"/>
      <c r="AN12" s="403"/>
      <c r="AO12" s="455"/>
    </row>
    <row r="13" spans="1:78" s="409" customFormat="1" ht="15" customHeight="1" x14ac:dyDescent="0.25">
      <c r="A13" s="459" t="s">
        <v>16</v>
      </c>
      <c r="B13" s="587">
        <f>+'2018'!Tnet</f>
        <v>43313</v>
      </c>
      <c r="C13" s="588">
        <f>+'2018'!Resal</f>
        <v>0</v>
      </c>
      <c r="D13" s="589">
        <f>+'2018'!Salim</f>
        <v>0.17</v>
      </c>
      <c r="E13" s="590">
        <f>+'2018'!Tau_j/365</f>
        <v>2.5</v>
      </c>
      <c r="F13" s="464"/>
      <c r="G13" s="466" t="s">
        <v>93</v>
      </c>
      <c r="H13" s="587">
        <f>+'2019'!Tnet</f>
        <v>43313</v>
      </c>
      <c r="I13" s="588">
        <f>+'2019'!Resal</f>
        <v>0</v>
      </c>
      <c r="J13" s="589">
        <f>+'2019'!Salim</f>
        <v>0.17</v>
      </c>
      <c r="K13" s="590">
        <f>+'2019'!Tau_j/365</f>
        <v>2.5</v>
      </c>
      <c r="L13" s="467"/>
      <c r="M13" s="448" t="s">
        <v>93</v>
      </c>
      <c r="N13" s="587">
        <f>+'2020'!Tnet</f>
        <v>43313</v>
      </c>
      <c r="O13" s="588">
        <f>+'2020'!Resal</f>
        <v>0</v>
      </c>
      <c r="P13" s="589">
        <f>+'2020'!Salim</f>
        <v>0.17</v>
      </c>
      <c r="Q13" s="590">
        <f>+'2020'!Tau_j/365</f>
        <v>2.5</v>
      </c>
      <c r="R13" s="467"/>
      <c r="S13" s="448" t="s">
        <v>93</v>
      </c>
      <c r="T13" s="587">
        <f>+'2021'!Tnet</f>
        <v>44307</v>
      </c>
      <c r="U13" s="588">
        <f>+'2021'!Resal</f>
        <v>1.7999999999999999E-2</v>
      </c>
      <c r="V13" s="589">
        <f>+'2021'!Salim</f>
        <v>0.2</v>
      </c>
      <c r="W13" s="590">
        <f>+'2021'!Tau_j/365</f>
        <v>2</v>
      </c>
      <c r="X13" s="467"/>
      <c r="Y13" s="448" t="s">
        <v>93</v>
      </c>
      <c r="Z13" s="587">
        <f>+'2022'!Tnet</f>
        <v>44562</v>
      </c>
      <c r="AA13" s="588">
        <f>+'2022'!Resal</f>
        <v>7.1658892900852852E-2</v>
      </c>
      <c r="AB13" s="589">
        <f>+'2022'!Salim</f>
        <v>0.17</v>
      </c>
      <c r="AC13" s="590">
        <f>+'2022'!Tau_j/365</f>
        <v>1.4</v>
      </c>
      <c r="AD13" s="467"/>
      <c r="AE13" s="448" t="s">
        <v>93</v>
      </c>
      <c r="AF13" s="587">
        <f>+'2023'!Tnet</f>
        <v>45046</v>
      </c>
      <c r="AG13" s="588">
        <f>+'2023'!Resal</f>
        <v>1.7999999999999999E-2</v>
      </c>
      <c r="AH13" s="589">
        <f>+'2023'!Salim</f>
        <v>0.18000000000000002</v>
      </c>
      <c r="AI13" s="590">
        <f>+'2023'!Tau_j/365</f>
        <v>1.9666666666666668</v>
      </c>
      <c r="AJ13" s="467"/>
      <c r="AK13" s="448" t="s">
        <v>93</v>
      </c>
      <c r="AL13" s="587">
        <f>+'2024'!Tnet</f>
        <v>45046</v>
      </c>
      <c r="AM13" s="588">
        <f>+'2024'!Resal</f>
        <v>1.7999999999999999E-2</v>
      </c>
      <c r="AN13" s="589">
        <f>+'2024'!Salim</f>
        <v>0.18000000000000002</v>
      </c>
      <c r="AO13" s="590">
        <f>+'2024'!Tau_j/365</f>
        <v>1.9666666666666668</v>
      </c>
      <c r="AP13" s="464"/>
      <c r="AQ13" s="448" t="s">
        <v>93</v>
      </c>
      <c r="AR13" s="587">
        <f>+'2025'!Tnet</f>
        <v>45777</v>
      </c>
      <c r="AS13" s="588">
        <f>+'2025'!Resal</f>
        <v>1.7999999999999999E-2</v>
      </c>
      <c r="AT13" s="589">
        <f>+'2025'!Salim</f>
        <v>0.18000000000000002</v>
      </c>
      <c r="AU13" s="590">
        <f>+'2025'!Tau_j/365</f>
        <v>1.9666666666666668</v>
      </c>
      <c r="AV13" s="464"/>
      <c r="AW13" s="448" t="s">
        <v>93</v>
      </c>
      <c r="AX13" s="587">
        <f>+'2026'!Tnet</f>
        <v>45777</v>
      </c>
      <c r="AY13" s="588">
        <f>+'2026'!Resal</f>
        <v>1.7999999999999999E-2</v>
      </c>
      <c r="AZ13" s="589">
        <f>+'2026'!Salim</f>
        <v>0.18000000000000002</v>
      </c>
      <c r="BA13" s="590">
        <f>+'2026'!Tau_j/365</f>
        <v>1.9666666666666668</v>
      </c>
      <c r="BB13" s="464"/>
      <c r="BC13" s="448" t="s">
        <v>93</v>
      </c>
      <c r="BD13" s="587">
        <f>+'2027'!Tnet</f>
        <v>46507</v>
      </c>
      <c r="BE13" s="588">
        <f>+'2027'!Resal</f>
        <v>1.7999999999999999E-2</v>
      </c>
      <c r="BF13" s="589">
        <f>+'2027'!Salim</f>
        <v>0.18000000000000002</v>
      </c>
      <c r="BG13" s="590">
        <f>+'2027'!Tau_j/365</f>
        <v>1.9666666666666668</v>
      </c>
      <c r="BH13" s="464"/>
      <c r="BI13" s="448" t="s">
        <v>93</v>
      </c>
      <c r="BJ13" s="587">
        <f>+'2018'!Tnet</f>
        <v>43313</v>
      </c>
      <c r="BK13" s="588">
        <f>+'2018'!Resal</f>
        <v>0</v>
      </c>
      <c r="BL13" s="589">
        <f>+'2018'!Salim</f>
        <v>0.17</v>
      </c>
      <c r="BM13" s="590">
        <f>+'2018'!Tau_j/365</f>
        <v>2.5</v>
      </c>
      <c r="BN13" s="464"/>
      <c r="BO13" s="448" t="s">
        <v>93</v>
      </c>
      <c r="BP13" s="587">
        <f>+'2018'!Tnet</f>
        <v>43313</v>
      </c>
      <c r="BQ13" s="588">
        <f>+'2018'!Resal</f>
        <v>0</v>
      </c>
      <c r="BR13" s="589">
        <f>+'2018'!Salim</f>
        <v>0.17</v>
      </c>
      <c r="BS13" s="590">
        <f>+'2018'!Tau_j/365</f>
        <v>2.5</v>
      </c>
      <c r="BT13" s="464"/>
      <c r="BU13" s="448" t="s">
        <v>93</v>
      </c>
      <c r="BV13" s="587">
        <f>+'2018'!Tnet</f>
        <v>43313</v>
      </c>
      <c r="BW13" s="588">
        <f>+'2018'!Resal</f>
        <v>0</v>
      </c>
      <c r="BX13" s="589">
        <f>+'2018'!Salim</f>
        <v>0.17</v>
      </c>
      <c r="BY13" s="590">
        <f>+'2018'!Tau_j/365</f>
        <v>2.5</v>
      </c>
      <c r="BZ13" s="464"/>
    </row>
    <row r="14" spans="1:78" s="458" customFormat="1" ht="12.75" customHeight="1" x14ac:dyDescent="0.25">
      <c r="A14" s="476"/>
      <c r="B14" s="477" t="s">
        <v>2</v>
      </c>
      <c r="C14" s="477" t="s">
        <v>129</v>
      </c>
      <c r="D14" s="477" t="s">
        <v>130</v>
      </c>
      <c r="E14" s="477" t="s">
        <v>131</v>
      </c>
      <c r="F14" s="478"/>
      <c r="G14" s="479"/>
      <c r="H14" s="480" t="s">
        <v>2</v>
      </c>
      <c r="I14" s="480" t="s">
        <v>129</v>
      </c>
      <c r="J14" s="480" t="s">
        <v>130</v>
      </c>
      <c r="K14" s="480" t="s">
        <v>131</v>
      </c>
      <c r="L14" s="481"/>
      <c r="M14" s="482"/>
      <c r="N14" s="480" t="s">
        <v>2</v>
      </c>
      <c r="O14" s="480" t="s">
        <v>129</v>
      </c>
      <c r="P14" s="480" t="s">
        <v>130</v>
      </c>
      <c r="Q14" s="480" t="s">
        <v>131</v>
      </c>
      <c r="R14" s="478"/>
      <c r="S14" s="479"/>
      <c r="T14" s="480" t="s">
        <v>2</v>
      </c>
      <c r="U14" s="480" t="s">
        <v>129</v>
      </c>
      <c r="V14" s="480" t="s">
        <v>130</v>
      </c>
      <c r="W14" s="480" t="s">
        <v>131</v>
      </c>
      <c r="X14" s="478"/>
      <c r="Y14" s="479"/>
      <c r="Z14" s="480" t="s">
        <v>2</v>
      </c>
      <c r="AA14" s="480" t="s">
        <v>129</v>
      </c>
      <c r="AB14" s="480" t="s">
        <v>130</v>
      </c>
      <c r="AC14" s="480" t="s">
        <v>131</v>
      </c>
      <c r="AD14" s="478"/>
      <c r="AE14" s="479"/>
      <c r="AF14" s="480" t="s">
        <v>2</v>
      </c>
      <c r="AG14" s="480" t="s">
        <v>129</v>
      </c>
      <c r="AH14" s="480" t="s">
        <v>130</v>
      </c>
      <c r="AI14" s="480" t="s">
        <v>131</v>
      </c>
      <c r="AJ14" s="478"/>
      <c r="AK14" s="479"/>
      <c r="AL14" s="480" t="s">
        <v>2</v>
      </c>
      <c r="AM14" s="480" t="s">
        <v>129</v>
      </c>
      <c r="AN14" s="480" t="s">
        <v>130</v>
      </c>
      <c r="AO14" s="480" t="s">
        <v>131</v>
      </c>
      <c r="AP14" s="478"/>
      <c r="AQ14" s="479"/>
      <c r="AR14" s="480" t="s">
        <v>2</v>
      </c>
      <c r="AS14" s="480" t="s">
        <v>129</v>
      </c>
      <c r="AT14" s="480" t="s">
        <v>130</v>
      </c>
      <c r="AU14" s="480" t="s">
        <v>131</v>
      </c>
      <c r="AV14" s="478"/>
      <c r="AW14" s="479"/>
      <c r="AX14" s="480" t="s">
        <v>2</v>
      </c>
      <c r="AY14" s="480" t="s">
        <v>129</v>
      </c>
      <c r="AZ14" s="480" t="s">
        <v>130</v>
      </c>
      <c r="BA14" s="480" t="s">
        <v>131</v>
      </c>
      <c r="BB14" s="478"/>
      <c r="BC14" s="479"/>
      <c r="BD14" s="480" t="s">
        <v>2</v>
      </c>
      <c r="BE14" s="480" t="s">
        <v>129</v>
      </c>
      <c r="BF14" s="480" t="s">
        <v>130</v>
      </c>
      <c r="BG14" s="480" t="s">
        <v>131</v>
      </c>
      <c r="BH14" s="478"/>
      <c r="BI14" s="479"/>
      <c r="BJ14" s="480" t="s">
        <v>2</v>
      </c>
      <c r="BK14" s="480" t="s">
        <v>129</v>
      </c>
      <c r="BL14" s="480" t="s">
        <v>130</v>
      </c>
      <c r="BM14" s="480" t="s">
        <v>131</v>
      </c>
      <c r="BN14" s="478"/>
      <c r="BO14" s="479"/>
      <c r="BP14" s="480" t="s">
        <v>2</v>
      </c>
      <c r="BQ14" s="480" t="s">
        <v>129</v>
      </c>
      <c r="BR14" s="480" t="s">
        <v>130</v>
      </c>
      <c r="BS14" s="480" t="s">
        <v>131</v>
      </c>
      <c r="BT14" s="478"/>
      <c r="BU14" s="479"/>
      <c r="BV14" s="480" t="s">
        <v>2</v>
      </c>
      <c r="BW14" s="480" t="s">
        <v>129</v>
      </c>
      <c r="BX14" s="480" t="s">
        <v>130</v>
      </c>
      <c r="BY14" s="480" t="s">
        <v>131</v>
      </c>
      <c r="BZ14" s="478"/>
    </row>
    <row r="15" spans="1:78" s="461" customFormat="1" ht="15" customHeight="1" x14ac:dyDescent="0.25">
      <c r="A15" s="483" t="s">
        <v>125</v>
      </c>
      <c r="B15" s="591">
        <f>B11</f>
        <v>43101</v>
      </c>
      <c r="C15" s="592">
        <f>'2018'!Dd</f>
        <v>0.8</v>
      </c>
      <c r="D15" s="592">
        <f>'2018'!Df</f>
        <v>0.8</v>
      </c>
      <c r="E15" s="592">
        <f>'2018'!PousD</f>
        <v>0</v>
      </c>
      <c r="F15" s="468"/>
      <c r="G15" s="484" t="s">
        <v>128</v>
      </c>
      <c r="H15" s="591">
        <f>H11</f>
        <v>43814</v>
      </c>
      <c r="I15" s="592">
        <f>'2019'!Dd</f>
        <v>0.8</v>
      </c>
      <c r="J15" s="592">
        <f>'2019'!Df</f>
        <v>0.8</v>
      </c>
      <c r="K15" s="592">
        <f>'2019'!PousD</f>
        <v>0</v>
      </c>
      <c r="L15" s="468"/>
      <c r="M15" s="484" t="s">
        <v>128</v>
      </c>
      <c r="N15" s="591">
        <f>N11</f>
        <v>43814</v>
      </c>
      <c r="O15" s="592">
        <f>'2020'!Dd</f>
        <v>0.8</v>
      </c>
      <c r="P15" s="592">
        <f>'2020'!Df</f>
        <v>0.8</v>
      </c>
      <c r="Q15" s="592">
        <f>'2020'!PousD</f>
        <v>0</v>
      </c>
      <c r="R15" s="468"/>
      <c r="S15" s="485" t="s">
        <v>128</v>
      </c>
      <c r="T15" s="591">
        <f>T11</f>
        <v>43814</v>
      </c>
      <c r="U15" s="592">
        <f>'2021'!Dd</f>
        <v>0.8</v>
      </c>
      <c r="V15" s="592">
        <f>'2021'!Df</f>
        <v>0.8</v>
      </c>
      <c r="W15" s="592">
        <f>'2021'!PousD</f>
        <v>0</v>
      </c>
      <c r="X15" s="468"/>
      <c r="Y15" s="485" t="s">
        <v>128</v>
      </c>
      <c r="Z15" s="591">
        <f>Z11</f>
        <v>44576</v>
      </c>
      <c r="AA15" s="592">
        <f>'2022'!Dd</f>
        <v>0.8</v>
      </c>
      <c r="AB15" s="592">
        <f>'2022'!Df</f>
        <v>0.8</v>
      </c>
      <c r="AC15" s="592">
        <f>'2022'!PousD</f>
        <v>0</v>
      </c>
      <c r="AD15" s="468"/>
      <c r="AE15" s="485" t="s">
        <v>128</v>
      </c>
      <c r="AF15" s="591">
        <f>AF11</f>
        <v>44576</v>
      </c>
      <c r="AG15" s="592">
        <f>'2023'!Dd</f>
        <v>0.8</v>
      </c>
      <c r="AH15" s="592">
        <f>'2023'!Df</f>
        <v>0.8</v>
      </c>
      <c r="AI15" s="592">
        <f>'2023'!PousD</f>
        <v>0</v>
      </c>
      <c r="AJ15" s="468"/>
      <c r="AK15" s="485" t="s">
        <v>128</v>
      </c>
      <c r="AL15" s="591">
        <f>AL11</f>
        <v>44576</v>
      </c>
      <c r="AM15" s="592">
        <f>'2024'!Dd</f>
        <v>0.8</v>
      </c>
      <c r="AN15" s="592">
        <f>'2024'!Df</f>
        <v>0.8</v>
      </c>
      <c r="AO15" s="592">
        <f>'2024'!PousD</f>
        <v>0</v>
      </c>
      <c r="AP15" s="468"/>
      <c r="AQ15" s="485" t="s">
        <v>128</v>
      </c>
      <c r="AR15" s="591">
        <f>AR11</f>
        <v>44576</v>
      </c>
      <c r="AS15" s="592">
        <f>'2025'!Dd</f>
        <v>0.8</v>
      </c>
      <c r="AT15" s="592">
        <f>'2025'!Df</f>
        <v>0.8</v>
      </c>
      <c r="AU15" s="592">
        <f>'2025'!PousD</f>
        <v>0</v>
      </c>
      <c r="AV15" s="468"/>
      <c r="AW15" s="485" t="s">
        <v>128</v>
      </c>
      <c r="AX15" s="591">
        <f>AX11</f>
        <v>44576</v>
      </c>
      <c r="AY15" s="592">
        <f>'2026'!Dd</f>
        <v>0.8</v>
      </c>
      <c r="AZ15" s="592">
        <f>'2026'!Df</f>
        <v>0.8</v>
      </c>
      <c r="BA15" s="592">
        <f>'2026'!PousD</f>
        <v>0</v>
      </c>
      <c r="BB15" s="468"/>
      <c r="BC15" s="485" t="s">
        <v>128</v>
      </c>
      <c r="BD15" s="591">
        <f>BD11</f>
        <v>44576</v>
      </c>
      <c r="BE15" s="592">
        <f>'2027'!Dd</f>
        <v>0.8</v>
      </c>
      <c r="BF15" s="592">
        <f>'2027'!Df</f>
        <v>0.8</v>
      </c>
      <c r="BG15" s="592">
        <f>'2027'!PousD</f>
        <v>0</v>
      </c>
      <c r="BH15" s="468"/>
      <c r="BI15" s="485" t="s">
        <v>128</v>
      </c>
      <c r="BJ15" s="591" t="e">
        <f>BJ11</f>
        <v>#NAME?</v>
      </c>
      <c r="BK15" s="592">
        <f>'2018'!Dd</f>
        <v>0.8</v>
      </c>
      <c r="BL15" s="592">
        <f>'2018'!Df</f>
        <v>0.8</v>
      </c>
      <c r="BM15" s="592">
        <f>'2018'!PousD</f>
        <v>0</v>
      </c>
      <c r="BN15" s="468"/>
      <c r="BO15" s="485" t="s">
        <v>128</v>
      </c>
      <c r="BP15" s="591" t="e">
        <f>BP11</f>
        <v>#NAME?</v>
      </c>
      <c r="BQ15" s="592">
        <f>'2018'!Dd</f>
        <v>0.8</v>
      </c>
      <c r="BR15" s="592">
        <f>'2018'!Df</f>
        <v>0.8</v>
      </c>
      <c r="BS15" s="592">
        <f>'2018'!PousD</f>
        <v>0</v>
      </c>
      <c r="BT15" s="468"/>
      <c r="BU15" s="485" t="s">
        <v>128</v>
      </c>
      <c r="BV15" s="591" t="e">
        <f>BV11</f>
        <v>#NAME?</v>
      </c>
      <c r="BW15" s="592">
        <f>'2018'!Dd</f>
        <v>0.8</v>
      </c>
      <c r="BX15" s="592">
        <f>'2018'!Df</f>
        <v>0.8</v>
      </c>
      <c r="BY15" s="592">
        <f>'2018'!PousD</f>
        <v>0</v>
      </c>
      <c r="BZ15" s="468"/>
    </row>
    <row r="16" spans="1:78" s="461" customFormat="1" ht="15" customHeight="1" x14ac:dyDescent="0.25">
      <c r="A16" s="473" t="s">
        <v>126</v>
      </c>
      <c r="B16" s="593"/>
      <c r="C16" s="594">
        <f>'2018'!Hdd</f>
        <v>0</v>
      </c>
      <c r="D16" s="594">
        <f>'2018'!Hdf</f>
        <v>0.59999990695446992</v>
      </c>
      <c r="E16" s="594">
        <f>'2018'!PousH</f>
        <v>0.6</v>
      </c>
      <c r="F16" s="460"/>
      <c r="G16" s="474" t="s">
        <v>127</v>
      </c>
      <c r="H16" s="593"/>
      <c r="I16" s="594">
        <f>'2019'!Hdd</f>
        <v>0.59999990695446992</v>
      </c>
      <c r="J16" s="594">
        <f>'2019'!Hdf</f>
        <v>6.6239756418817733E-5</v>
      </c>
      <c r="K16" s="594">
        <f>'2019'!PousH</f>
        <v>0.6</v>
      </c>
      <c r="L16" s="460"/>
      <c r="M16" s="474" t="s">
        <v>127</v>
      </c>
      <c r="N16" s="593"/>
      <c r="O16" s="594">
        <f>'2020'!Hdd</f>
        <v>6.6239756418817733E-5</v>
      </c>
      <c r="P16" s="594">
        <f>'2020'!Hdf</f>
        <v>0.60006614671088876</v>
      </c>
      <c r="Q16" s="594">
        <f>'2020'!PousH</f>
        <v>0.6</v>
      </c>
      <c r="R16" s="460"/>
      <c r="S16" s="475" t="s">
        <v>127</v>
      </c>
      <c r="T16" s="593"/>
      <c r="U16" s="594">
        <f>'2021'!Hdd</f>
        <v>0.60006614671088876</v>
      </c>
      <c r="V16" s="594">
        <f>'2021'!Hdf</f>
        <v>1.2000660536653589</v>
      </c>
      <c r="W16" s="594">
        <f>'2021'!PousH</f>
        <v>0.60000000000000009</v>
      </c>
      <c r="X16" s="460"/>
      <c r="Y16" s="475" t="s">
        <v>127</v>
      </c>
      <c r="Z16" s="593"/>
      <c r="AA16" s="594">
        <f>'2022'!Hdd</f>
        <v>1.2000660536653589</v>
      </c>
      <c r="AB16" s="594">
        <f>'2022'!Hdf</f>
        <v>0.59934921345492553</v>
      </c>
      <c r="AC16" s="594">
        <f>'2022'!PousH</f>
        <v>0.60000000000000009</v>
      </c>
      <c r="AD16" s="460"/>
      <c r="AE16" s="475" t="s">
        <v>127</v>
      </c>
      <c r="AF16" s="593"/>
      <c r="AG16" s="594">
        <f>'2023'!Hdd</f>
        <v>0.59934921345492553</v>
      </c>
      <c r="AH16" s="594">
        <f>'2023'!Hdf</f>
        <v>1.1993491204093956</v>
      </c>
      <c r="AI16" s="594">
        <f>'2023'!PousH</f>
        <v>0.6</v>
      </c>
      <c r="AJ16" s="460"/>
      <c r="AK16" s="475" t="s">
        <v>127</v>
      </c>
      <c r="AL16" s="593"/>
      <c r="AM16" s="594">
        <f>'2024'!Hdd</f>
        <v>1.1993491204093956</v>
      </c>
      <c r="AN16" s="594">
        <f>'2024'!Hdf</f>
        <v>1.7993490273638657</v>
      </c>
      <c r="AO16" s="594">
        <f>'2024'!PousH</f>
        <v>0.60000000000000009</v>
      </c>
      <c r="AP16" s="460"/>
      <c r="AQ16" s="475" t="s">
        <v>127</v>
      </c>
      <c r="AR16" s="593"/>
      <c r="AS16" s="594">
        <f>'2025'!Hdd</f>
        <v>1.7993490273638657</v>
      </c>
      <c r="AT16" s="594">
        <f>'2025'!Hdf</f>
        <v>2.3993489343183358</v>
      </c>
      <c r="AU16" s="594">
        <f>'2025'!PousH</f>
        <v>0.60000000000000009</v>
      </c>
      <c r="AV16" s="460"/>
      <c r="AW16" s="475" t="s">
        <v>127</v>
      </c>
      <c r="AX16" s="593"/>
      <c r="AY16" s="594">
        <f>'2026'!Hdd</f>
        <v>2.3993489343183358</v>
      </c>
      <c r="AZ16" s="594">
        <f>'2026'!Hdf</f>
        <v>2.999348841272806</v>
      </c>
      <c r="BA16" s="594">
        <f>'2026'!PousH</f>
        <v>0.60000000000000009</v>
      </c>
      <c r="BB16" s="460"/>
      <c r="BC16" s="475" t="s">
        <v>127</v>
      </c>
      <c r="BD16" s="593"/>
      <c r="BE16" s="594">
        <f>'2027'!Hdd</f>
        <v>2.999348841272806</v>
      </c>
      <c r="BF16" s="594">
        <f>'2027'!Hdf</f>
        <v>3.5993487482272761</v>
      </c>
      <c r="BG16" s="594">
        <f>'2027'!PousH</f>
        <v>0.60000000000000009</v>
      </c>
      <c r="BH16" s="460"/>
      <c r="BI16" s="475" t="s">
        <v>127</v>
      </c>
      <c r="BJ16" s="593"/>
      <c r="BK16" s="594">
        <f>'2018'!Hdd</f>
        <v>0</v>
      </c>
      <c r="BL16" s="594">
        <f>'2018'!Hdf</f>
        <v>0.59999990695446992</v>
      </c>
      <c r="BM16" s="594">
        <f>'2018'!PousH</f>
        <v>0.6</v>
      </c>
      <c r="BN16" s="460"/>
      <c r="BO16" s="475" t="s">
        <v>127</v>
      </c>
      <c r="BP16" s="593"/>
      <c r="BQ16" s="594">
        <f>'2018'!Hdd</f>
        <v>0</v>
      </c>
      <c r="BR16" s="594">
        <f>'2018'!Hdf</f>
        <v>0.59999990695446992</v>
      </c>
      <c r="BS16" s="594">
        <f>'2018'!PousH</f>
        <v>0.6</v>
      </c>
      <c r="BT16" s="460"/>
      <c r="BU16" s="475" t="s">
        <v>127</v>
      </c>
      <c r="BV16" s="593"/>
      <c r="BW16" s="594">
        <f>'2018'!Hdd</f>
        <v>0</v>
      </c>
      <c r="BX16" s="594">
        <f>'2018'!Hdf</f>
        <v>0.59999990695446992</v>
      </c>
      <c r="BY16" s="594">
        <f>'2018'!PousH</f>
        <v>0.6</v>
      </c>
      <c r="BZ16" s="460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8" t="s">
        <v>64</v>
      </c>
      <c r="C19" s="429" t="s">
        <v>65</v>
      </c>
      <c r="D19" s="429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8" t="s">
        <v>64</v>
      </c>
      <c r="AG19" s="429" t="s">
        <v>65</v>
      </c>
      <c r="AH19" s="429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7.7693320077456889E-6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5.8288779783619821E-2</v>
      </c>
      <c r="AG20" s="48">
        <f>'2023'!O29</f>
        <v>0.12317863335107883</v>
      </c>
      <c r="AH20" s="66">
        <f>'2023'!P29</f>
        <v>7.1640464904118729E-3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3.652063313671452E-5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5.8983132124166088E-2</v>
      </c>
      <c r="AG21" s="48">
        <f>'2023'!O60</f>
        <v>0.12593686362535583</v>
      </c>
      <c r="AH21" s="66">
        <f>'2023'!P60</f>
        <v>4.9620549164450193E-3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1.6481276280363771E-4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5.960985866883553E-2</v>
      </c>
      <c r="AG22" s="48">
        <f>'2023'!O88</f>
        <v>0.12834632151202935</v>
      </c>
      <c r="AH22" s="66">
        <f>'2023'!P88</f>
        <v>6.5219677340043825E-3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1.9835390960382912E-4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6.0303258295484136E-2</v>
      </c>
      <c r="AG23" s="48">
        <f>'2023'!O119</f>
        <v>0.1313706681778315</v>
      </c>
      <c r="AH23" s="66">
        <f>'2023'!P119</f>
        <v>2.4054369721492291E-3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4.1275491193885433E-4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6.0973814070045568E-2</v>
      </c>
      <c r="AG24" s="48">
        <f>'2023'!O149</f>
        <v>2.1779802357397397E-2</v>
      </c>
      <c r="AH24" s="66">
        <f>'2023'!P149</f>
        <v>2.0313085612297544E-3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1.3834888972877172E-3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6.1666230061817401E-2</v>
      </c>
      <c r="AG25" s="48">
        <f>'2023'!O180</f>
        <v>2.9203398963944745E-2</v>
      </c>
      <c r="AH25" s="66">
        <f>'2023'!P180</f>
        <v>3.8927844801715872E-3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2.1047395284585352E-3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6.2335834607071289E-2</v>
      </c>
      <c r="AG26" s="48">
        <f>'2023'!O210</f>
        <v>3.5972558409859801E-2</v>
      </c>
      <c r="AH26" s="66">
        <f>'2023'!P210</f>
        <v>4.8287039543285885E-3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2.7164848471170188E-3</v>
      </c>
      <c r="D27" s="66">
        <f>'2018'!P241</f>
        <v>1.7154640242729737E-3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6.3027268359319849E-2</v>
      </c>
      <c r="AG27" s="48">
        <f>'2023'!O241</f>
        <v>4.2436410070456648E-2</v>
      </c>
      <c r="AH27" s="66">
        <f>'2023'!P241</f>
        <v>4.3067699603332055E-3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8.5568777580736968E-3</v>
      </c>
      <c r="D28" s="66">
        <f>'2018'!P272</f>
        <v>7.6428949042079463E-3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6.3718203474770446E-2</v>
      </c>
      <c r="AG28" s="48">
        <f>'2023'!O272</f>
        <v>4.8466584041187269E-2</v>
      </c>
      <c r="AH28" s="66">
        <f>'2023'!P272</f>
        <v>1.7818130115574704E-2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1.3877445368534467E-2</v>
      </c>
      <c r="D29" s="66">
        <f>'2018'!P302</f>
        <v>9.3188627988846414E-3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6.438637593074939E-2</v>
      </c>
      <c r="AG29" s="48">
        <f>'2023'!O302</f>
        <v>5.3594809532838766E-2</v>
      </c>
      <c r="AH29" s="66">
        <f>'2023'!P302</f>
        <v>1.9336087348872485E-2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1.8893900818007445E-2</v>
      </c>
      <c r="D30" s="66">
        <f>'2018'!P333</f>
        <v>7.101681602316081E-3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6.5076330907401309E-2</v>
      </c>
      <c r="AG30" s="48">
        <f>'2023'!O333</f>
        <v>5.7989276318076606E-2</v>
      </c>
      <c r="AH30" s="66">
        <f>'2023'!P333</f>
        <v>1.6086250247796929E-2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2.3585647365447857E-2</v>
      </c>
      <c r="D31" s="67">
        <f>'2018'!P363</f>
        <v>8.5669375362237721E-3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6.5743555514973379E-2</v>
      </c>
      <c r="AG31" s="49">
        <f>'2023'!O363</f>
        <v>6.2370635821213979E-2</v>
      </c>
      <c r="AH31" s="67">
        <f>'2023'!P363</f>
        <v>1.7660083377106381E-2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2.8435887993583913E-2</v>
      </c>
      <c r="D32" s="66">
        <f>'2019'!P29</f>
        <v>7.1718158224196183E-3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6.643253174322053E-2</v>
      </c>
      <c r="AG32" s="48">
        <f>'2024'!O29</f>
        <v>6.7235657373795873E-2</v>
      </c>
      <c r="AH32" s="66">
        <f>'2024'!P29</f>
        <v>1.5252877857296947E-2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3.3165488908618673E-2</v>
      </c>
      <c r="D33" s="66">
        <f>'2019'!P60</f>
        <v>4.9674024051343879E-3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6.7121011106946377E-2</v>
      </c>
      <c r="AG33" s="48">
        <f>'2024'!O60</f>
        <v>7.200336855687349E-2</v>
      </c>
      <c r="AH33" s="66">
        <f>'2024'!P60</f>
        <v>1.0395835402126069E-2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3.7318337491193565E-2</v>
      </c>
      <c r="D34" s="66">
        <f>'2019'!P88</f>
        <v>6.5288694856418155E-3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6.7742436667872302E-2</v>
      </c>
      <c r="AG34" s="48">
        <f>'2024'!O88</f>
        <v>7.6170668533153685E-2</v>
      </c>
      <c r="AH34" s="66">
        <f>'2024'!P88</f>
        <v>1.3871214351930661E-2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4.1934470897323377E-2</v>
      </c>
      <c r="D35" s="66">
        <f>'2019'!P119</f>
        <v>2.4078331287963268E-3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6.842997137595333E-2</v>
      </c>
      <c r="AG35" s="48">
        <f>'2024'!O119</f>
        <v>8.0912676385410789E-2</v>
      </c>
      <c r="AH35" s="66">
        <f>'2024'!P119</f>
        <v>5.9720438338251441E-3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4.6799805347852094E-2</v>
      </c>
      <c r="D36" s="66">
        <f>'2019'!P149</f>
        <v>2.0330657710743898E-3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6.9094855450009401E-2</v>
      </c>
      <c r="AG36" s="48">
        <f>'2024'!O149</f>
        <v>8.628854529204634E-2</v>
      </c>
      <c r="AH36" s="66">
        <f>'2024'!P149</f>
        <v>3.9926631833626762E-3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5.206885108430772E-2</v>
      </c>
      <c r="D37" s="66">
        <f>'2019'!P180</f>
        <v>3.8955087388968242E-3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6.9781414843002515E-2</v>
      </c>
      <c r="AG37" s="48">
        <f>'2024'!O180</f>
        <v>9.2244281888951118E-2</v>
      </c>
      <c r="AH37" s="66">
        <f>'2024'!P180</f>
        <v>7.3093282443528768E-3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5.6572593155706861E-2</v>
      </c>
      <c r="D38" s="66">
        <f>'2019'!P210</f>
        <v>4.8324745679156301E-3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7.0445355733446818E-2</v>
      </c>
      <c r="AG38" s="48">
        <f>'2024'!O210</f>
        <v>9.6933809220702466E-2</v>
      </c>
      <c r="AH38" s="66">
        <f>'2024'!P210</f>
        <v>8.3055602668167718E-3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6.0641856843293082E-2</v>
      </c>
      <c r="D39" s="66">
        <f>'2019'!P241</f>
        <v>4.3118211087902879E-3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7.113094119490318E-2</v>
      </c>
      <c r="AG39" s="48">
        <f>'2024'!O241</f>
        <v>0.10082038310977744</v>
      </c>
      <c r="AH39" s="66">
        <f>'2024'!P241</f>
        <v>8.9643984849545524E-3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6.4362196081447762E-2</v>
      </c>
      <c r="D40" s="66">
        <f>'2019'!P272</f>
        <v>1.7834855052354805E-2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7.1816032237135535E-2</v>
      </c>
      <c r="AG40" s="48">
        <f>'2024'!O272</f>
        <v>0.10419789873207019</v>
      </c>
      <c r="AH40" s="66">
        <f>'2024'!P272</f>
        <v>3.324007688299447E-2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6.7285126334917067E-2</v>
      </c>
      <c r="D41" s="66">
        <f>'2019'!P302</f>
        <v>1.9348436294073419E-2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7.247855315121457E-2</v>
      </c>
      <c r="AG41" s="48">
        <f>'2024'!O302</f>
        <v>0.1064582435640065</v>
      </c>
      <c r="AH41" s="66">
        <f>'2024'!P302</f>
        <v>3.0722963008040911E-2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6.9461489758797068E-2</v>
      </c>
      <c r="D42" s="66">
        <f>'2019'!P333</f>
        <v>1.6100126646718855E-2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7.3162672344866425E-2</v>
      </c>
      <c r="AG42" s="48">
        <f>'2024'!O333</f>
        <v>0.10758255057344716</v>
      </c>
      <c r="AH42" s="66">
        <f>'2024'!P333</f>
        <v>2.8881580257775111E-2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7.1965947264670566E-2</v>
      </c>
      <c r="D43" s="67">
        <f>'2019'!P363</f>
        <v>0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7.3824253427638015E-2</v>
      </c>
      <c r="AG43" s="49">
        <f>'2024'!O363</f>
        <v>0.10939761085410894</v>
      </c>
      <c r="AH43" s="67">
        <f>'2024'!P363</f>
        <v>2.783739990928381E-2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7.5115677901104919E-2</v>
      </c>
      <c r="D44" s="66">
        <f>'2020'!P29</f>
        <v>8.5602399545588652E-6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7.4529431002549634E-2</v>
      </c>
      <c r="AG44" s="48">
        <f>'2025'!O29</f>
        <v>0.11228801709028673</v>
      </c>
      <c r="AH44" s="66">
        <f>'2025'!P29</f>
        <v>2.5191281128307905E-2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7.8286309426268116E-2</v>
      </c>
      <c r="D45" s="66">
        <f>'2020'!P60</f>
        <v>3.706500056697769E-5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7.5212071177913425E-2</v>
      </c>
      <c r="AG45" s="48">
        <f>'2025'!O60</f>
        <v>0.11515175138660137</v>
      </c>
      <c r="AH45" s="66">
        <f>'2025'!P60</f>
        <v>1.6807333004389625E-2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8.1095610179962321E-2</v>
      </c>
      <c r="D46" s="66">
        <f>'2020'!P88</f>
        <v>1.6551535219118629E-4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7.5828226252758785E-2</v>
      </c>
      <c r="AG46" s="48">
        <f>'2025'!O88</f>
        <v>0.1176873206950603</v>
      </c>
      <c r="AH46" s="66">
        <f>'2025'!P88</f>
        <v>2.2986076140382696E-2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8.4432698896595507E-2</v>
      </c>
      <c r="D47" s="66">
        <f>'2020'!P119</f>
        <v>1.9859783525047578E-4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7.6509929784369574E-2</v>
      </c>
      <c r="AG47" s="48">
        <f>'2025'!O119</f>
        <v>0.12084672389424767</v>
      </c>
      <c r="AH47" s="66">
        <f>'2025'!P119</f>
        <v>1.1397292803640852E-2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8.8544538920790283E-2</v>
      </c>
      <c r="D48" s="66">
        <f>'2020'!P149</f>
        <v>4.1293379362764796E-4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7.7169174788394052E-2</v>
      </c>
      <c r="AG48" s="48">
        <f>'2025'!O149</f>
        <v>2.1779802357397397E-2</v>
      </c>
      <c r="AH48" s="66">
        <f>'2025'!P149</f>
        <v>6.193981705165782E-3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9.3241282741207271E-2</v>
      </c>
      <c r="D49" s="66">
        <f>'2020'!P180</f>
        <v>1.383766223301436E-3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7.7849911276840184E-2</v>
      </c>
      <c r="AG49" s="48">
        <f>'2025'!O180</f>
        <v>2.9203398963944745E-2</v>
      </c>
      <c r="AH49" s="66">
        <f>'2025'!P180</f>
        <v>1.0874996775455678E-2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9.6743362279864992E-2</v>
      </c>
      <c r="D50" s="66">
        <f>'2020'!P210</f>
        <v>2.1050270343011086E-3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7.850822109666003E-2</v>
      </c>
      <c r="AG50" s="48">
        <f>'2025'!O210</f>
        <v>3.5972558409859801E-2</v>
      </c>
      <c r="AH50" s="66">
        <f>'2025'!P210</f>
        <v>1.1880446431893978E-2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2.8276250618840468E-2</v>
      </c>
      <c r="C51" s="48">
        <f>'2020'!O241</f>
        <v>9.9470394866401343E-2</v>
      </c>
      <c r="D51" s="66">
        <f>'2020'!P241</f>
        <v>1.7156659344579061E-3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7.9187991913758499E-2</v>
      </c>
      <c r="AG51" s="48">
        <f>'2025'!O241</f>
        <v>4.2436410070456648E-2</v>
      </c>
      <c r="AH51" s="66">
        <f>'2025'!P241</f>
        <v>1.6691308054488759E-2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2.8985035265341505E-2</v>
      </c>
      <c r="C52" s="48">
        <f>'2020'!O272</f>
        <v>0.10176961962900535</v>
      </c>
      <c r="D52" s="66">
        <f>'2020'!P272</f>
        <v>7.6437540817436691E-3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7.9867272504942549E-2</v>
      </c>
      <c r="AG52" s="48">
        <f>'2025'!O272</f>
        <v>4.8466584041187269E-2</v>
      </c>
      <c r="AH52" s="66">
        <f>'2025'!P272</f>
        <v>5.099486920108702E-2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2.9670469204683012E-2</v>
      </c>
      <c r="C53" s="48">
        <f>'2020'!O302</f>
        <v>0.10308536549895937</v>
      </c>
      <c r="D53" s="66">
        <f>'2020'!P302</f>
        <v>9.319896830497899E-3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8.0524174391618547E-2</v>
      </c>
      <c r="AG53" s="48">
        <f>'2025'!O302</f>
        <v>5.3594809532838766E-2</v>
      </c>
      <c r="AH53" s="66">
        <f>'2025'!P302</f>
        <v>4.2035480176266377E-2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3.0378248391602566E-2</v>
      </c>
      <c r="C54" s="48">
        <f>'2020'!O333</f>
        <v>0.10335795830549845</v>
      </c>
      <c r="D54" s="66">
        <f>'2020'!P333</f>
        <v>7.102466553589021E-3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8.1202491376744873E-2</v>
      </c>
      <c r="AG54" s="48">
        <f>'2025'!O333</f>
        <v>5.7989276318076606E-2</v>
      </c>
      <c r="AH54" s="66">
        <f>'2025'!P333</f>
        <v>4.2881267706954003E-2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3.1062709995940449E-2</v>
      </c>
      <c r="C55" s="49">
        <f>'2020'!O363</f>
        <v>0.10439623212033562</v>
      </c>
      <c r="D55" s="67">
        <f>'2020'!P363</f>
        <v>8.56788342722253E-3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8.185846140308875E-2</v>
      </c>
      <c r="AG55" s="49">
        <f>'2025'!O363</f>
        <v>6.2370635821213979E-2</v>
      </c>
      <c r="AH55" s="67">
        <f>'2025'!P363</f>
        <v>3.7011130327758934E-2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3.1792275859953964E-2</v>
      </c>
      <c r="C56" s="48">
        <f>'2021'!O29</f>
        <v>0.10647576031915912</v>
      </c>
      <c r="D56" s="66">
        <f>'2021'!P29</f>
        <v>7.1726067303664312E-3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8.253581614909869E-2</v>
      </c>
      <c r="AG56" s="48">
        <f>'2026'!O29</f>
        <v>6.7235657373795873E-2</v>
      </c>
      <c r="AH56" s="66">
        <f>'2026'!P29</f>
        <v>3.5036954693177247E-2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3.2498524877319454E-2</v>
      </c>
      <c r="C57" s="48">
        <f>'2021'!O60</f>
        <v>0.10859905618470489</v>
      </c>
      <c r="D57" s="66">
        <f>'2021'!P60</f>
        <v>4.9679467725646511E-3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8.321268241157645E-2</v>
      </c>
      <c r="AG57" s="48">
        <f>'2026'!O60</f>
        <v>7.200336855687349E-2</v>
      </c>
      <c r="AH57" s="66">
        <f>'2026'!P60</f>
        <v>2.4907356029680552E-2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3.3135989433111954E-2</v>
      </c>
      <c r="C58" s="48">
        <f>'2021'!O88</f>
        <v>0.11050574425034351</v>
      </c>
      <c r="D58" s="66">
        <f>'2021'!P88</f>
        <v>6.5295720750293629E-3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8.3823625918373473E-2</v>
      </c>
      <c r="AG58" s="48">
        <f>'2026'!O88</f>
        <v>7.6170668533153685E-2</v>
      </c>
      <c r="AH58" s="66">
        <f>'2026'!P88</f>
        <v>3.1967825180518293E-2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3.3841269413268635E-2</v>
      </c>
      <c r="C59" s="48">
        <f>'2021'!O119</f>
        <v>0.11298355431644178</v>
      </c>
      <c r="D59" s="66">
        <f>'2021'!P119</f>
        <v>2.4080770544429738E-3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8.4499563459426247E-2</v>
      </c>
      <c r="AG59" s="48">
        <f>'2026'!O119</f>
        <v>8.0912676385410789E-2</v>
      </c>
      <c r="AH59" s="66">
        <f>'2026'!P119</f>
        <v>2.0371941183599317E-2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3.4523314146494719E-2</v>
      </c>
      <c r="C60" s="48">
        <f>'2021'!O149</f>
        <v>2.4367059408882438E-2</v>
      </c>
      <c r="D60" s="66">
        <f>'2021'!P149</f>
        <v>2.0332446527631829E-3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8.5153232431800091E-2</v>
      </c>
      <c r="AG60" s="48">
        <f>'2026'!O149</f>
        <v>8.628854529204634E-2</v>
      </c>
      <c r="AH60" s="66">
        <f>'2026'!P149</f>
        <v>9.6383533802940676E-3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3.5227593638679264E-2</v>
      </c>
      <c r="C61" s="48">
        <f>'2021'!O180</f>
        <v>3.2485279847425171E-2</v>
      </c>
      <c r="D61" s="66">
        <f>'2021'!P180</f>
        <v>3.8957860649105427E-3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8.5828211109140989E-2</v>
      </c>
      <c r="AG61" s="48">
        <f>'2026'!O180</f>
        <v>9.2244281888951118E-2</v>
      </c>
      <c r="AH61" s="66">
        <f>'2026'!P180</f>
        <v>1.4546692376549987E-2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3.5908670844722865E-2</v>
      </c>
      <c r="C62" s="48">
        <f>'2021'!O210</f>
        <v>3.9886961467855635E-2</v>
      </c>
      <c r="D62" s="66">
        <f>'2021'!P210</f>
        <v>4.8328584115005591E-3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8.6480952807293204E-2</v>
      </c>
      <c r="AG62" s="48">
        <f>'2026'!O210</f>
        <v>9.6933809220702466E-2</v>
      </c>
      <c r="AH62" s="66">
        <f>'2026'!P210</f>
        <v>1.5564211779263785E-2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3.6611951268195983E-2</v>
      </c>
      <c r="C63" s="48">
        <f>'2021'!O241</f>
        <v>4.6955267298000751E-2</v>
      </c>
      <c r="D63" s="66">
        <f>'2021'!P241</f>
        <v>4.3123353091682973E-3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8.7154973981135947E-2</v>
      </c>
      <c r="AG63" s="48">
        <f>'2026'!O241</f>
        <v>0.10082038310977744</v>
      </c>
      <c r="AH63" s="66">
        <f>'2026'!P241</f>
        <v>2.6434266400322384E-2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3.731472451148414E-2</v>
      </c>
      <c r="C64" s="48">
        <f>'2021'!O272</f>
        <v>5.3552384183406507E-2</v>
      </c>
      <c r="D64" s="66">
        <f>'2021'!P272</f>
        <v>1.783655762928113E-2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8.7828509075497135E-2</v>
      </c>
      <c r="AG64" s="48">
        <f>'2026'!O272</f>
        <v>0.10419789873207019</v>
      </c>
      <c r="AH64" s="66">
        <f>'2026'!P272</f>
        <v>7.0018821635761327E-2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3.7994345091569778E-2</v>
      </c>
      <c r="C65" s="48">
        <f>'2021'!O302</f>
        <v>5.9162940065070578E-2</v>
      </c>
      <c r="D65" s="66">
        <f>'2021'!P302</f>
        <v>1.9349693400718421E-2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8.8479854749097392E-2</v>
      </c>
      <c r="AG65" s="48">
        <f>'2026'!O302</f>
        <v>0.1064582435640065</v>
      </c>
      <c r="AH65" s="66">
        <f>'2026'!P302</f>
        <v>5.3309780337958357E-2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3.8696121402863756E-2</v>
      </c>
      <c r="C66" s="48">
        <f>'2021'!O333</f>
        <v>6.3969809844287712E-2</v>
      </c>
      <c r="D66" s="66">
        <f>'2021'!P333</f>
        <v>1.6101539246176515E-2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8.9152434387781782E-2</v>
      </c>
      <c r="AG66" s="48">
        <f>'2026'!O333</f>
        <v>0.10758255057344716</v>
      </c>
      <c r="AH66" s="66">
        <f>'2026'!P333</f>
        <v>5.748929997202111E-2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3.9374777894594135E-2</v>
      </c>
      <c r="C67" s="49">
        <f>'2021'!O363</f>
        <v>6.8770282011572426E-2</v>
      </c>
      <c r="D67" s="67">
        <f>'2021'!P363</f>
        <v>1.7672244140122861E-2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8.9802856082918964E-2</v>
      </c>
      <c r="AG67" s="49">
        <f>'2026'!O363</f>
        <v>0.10939761085410894</v>
      </c>
      <c r="AH67" s="67">
        <f>'2026'!P363</f>
        <v>4.5680363531900213E-2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4.0075558688110233E-2</v>
      </c>
      <c r="C68" s="48">
        <f>'2022'!O29</f>
        <v>7.4328451101000323E-2</v>
      </c>
      <c r="D68" s="66">
        <f>'2022'!P29</f>
        <v>0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9.0474481621305919E-2</v>
      </c>
      <c r="AG68" s="48">
        <f>'2027'!O29</f>
        <v>0.11219358305095324</v>
      </c>
      <c r="AH68" s="66">
        <f>'2027'!P29</f>
        <v>4.4836263297124639E-2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4.0775834104083294E-2</v>
      </c>
      <c r="C69" s="48">
        <f>'2022'!O60</f>
        <v>7.9961860634693391E-2</v>
      </c>
      <c r="D69" s="66">
        <f>'2022'!P60</f>
        <v>3.1173144447346087E-5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9.1145622807856236E-2</v>
      </c>
      <c r="AG69" s="48">
        <f>'2027'!O60</f>
        <v>0.11506130826426637</v>
      </c>
      <c r="AH69" s="66">
        <f>'2027'!P60</f>
        <v>3.3836762632077806E-2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4.1407906851796003E-2</v>
      </c>
      <c r="C70" s="48">
        <f>'2022'!O88</f>
        <v>8.4802873322483138E-2</v>
      </c>
      <c r="D70" s="66">
        <f>'2022'!P88</f>
        <v>1.5791101116620392E-4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9.1751398827133707E-2</v>
      </c>
      <c r="AG70" s="48">
        <f>'2027'!O88</f>
        <v>0.11760029783570457</v>
      </c>
      <c r="AH70" s="66">
        <f>'2027'!P88</f>
        <v>4.083932854604827E-2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4.210722142687888E-2</v>
      </c>
      <c r="C71" s="48">
        <f>'2022'!O119</f>
        <v>9.0212842812768368E-2</v>
      </c>
      <c r="D71" s="66">
        <f>'2022'!P119</f>
        <v>1.959577529567313E-4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9.2421619147578543E-2</v>
      </c>
      <c r="AG71" s="48">
        <f>'2027'!O119</f>
        <v>0.12076301832506268</v>
      </c>
      <c r="AH71" s="66">
        <f>'2027'!P119</f>
        <v>3.0756415220208121E-2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4.2783497283592695E-2</v>
      </c>
      <c r="C72" s="48">
        <f>'2022'!O149</f>
        <v>9.6241863309627876E-2</v>
      </c>
      <c r="D72" s="66">
        <f>'2022'!P149</f>
        <v>4.1099770209421894E-4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9.3069759251539735E-2</v>
      </c>
      <c r="AG72" s="48">
        <f>'2027'!O149</f>
        <v>2.1779802357397397E-2</v>
      </c>
      <c r="AH72" s="66">
        <f>'2027'!P149</f>
        <v>1.3828956356909039E-2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4.3481819833039267E-2</v>
      </c>
      <c r="C73" s="48">
        <f>'2022'!O180</f>
        <v>0.10283810315862864</v>
      </c>
      <c r="D73" s="66">
        <f>'2022'!P180</f>
        <v>1.3807646385624807E-3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9.3739028818541709E-2</v>
      </c>
      <c r="AG73" s="48">
        <f>'2027'!O180</f>
        <v>2.9203398963944745E-2</v>
      </c>
      <c r="AH73" s="66">
        <f>'2027'!P180</f>
        <v>1.8379252481821633E-2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5.4157136346117102E-2</v>
      </c>
      <c r="C74" s="48">
        <f>'2022'!O210</f>
        <v>0.10795077148502602</v>
      </c>
      <c r="D74" s="66">
        <f>'2022'!P210</f>
        <v>2.1019152701436256E-3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9.4386249491359903E-2</v>
      </c>
      <c r="AG74" s="48">
        <f>'2027'!O210</f>
        <v>3.5972558409859801E-2</v>
      </c>
      <c r="AH74" s="66">
        <f>'2027'!P210</f>
        <v>2.0652444435627623E-2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5.4854468277183571E-2</v>
      </c>
      <c r="C75" s="48">
        <f>'2022'!O241</f>
        <v>0.11209745482718042</v>
      </c>
      <c r="D75" s="66">
        <f>'2022'!P241</f>
        <v>1.7134805984282803E-3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9.5054569653627824E-2</v>
      </c>
      <c r="AG75" s="48">
        <f>'2027'!O241</f>
        <v>4.2436410070456648E-2</v>
      </c>
      <c r="AH75" s="66">
        <f>'2027'!P241</f>
        <v>4.2300833452943311E-2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5.5551297317900789E-2</v>
      </c>
      <c r="C76" s="48">
        <f>'2022'!O272</f>
        <v>0.11561746623023145</v>
      </c>
      <c r="D76" s="66">
        <f>'2022'!P272</f>
        <v>7.6344549390317956E-3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9.5722407847775887E-2</v>
      </c>
      <c r="AG76" s="48">
        <f>'2027'!O272</f>
        <v>4.8466584041187269E-2</v>
      </c>
      <c r="AH76" s="66">
        <f>'2027'!P272</f>
        <v>8.821874410126597E-2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5.6225169525466662E-2</v>
      </c>
      <c r="C77" s="48">
        <f>'2022'!O302</f>
        <v>0.11785651655661977</v>
      </c>
      <c r="D77" s="66">
        <f>'2022'!P302</f>
        <v>9.3087051883279683E-3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9.6368244303908807E-2</v>
      </c>
      <c r="AG77" s="48">
        <f>'2027'!O302</f>
        <v>5.3594809532838766E-2</v>
      </c>
      <c r="AH77" s="66">
        <f>'2027'!P302</f>
        <v>6.5992522538063744E-2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5.6921010066448258E-2</v>
      </c>
      <c r="C78" s="48">
        <f>'2022'!O333</f>
        <v>0.11879056199771248</v>
      </c>
      <c r="D78" s="66">
        <f>'2022'!P333</f>
        <v>7.0939707845477902E-3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9.7035135123823363E-2</v>
      </c>
      <c r="AG78" s="48">
        <f>'2027'!O333</f>
        <v>5.7989276318076606E-2</v>
      </c>
      <c r="AH78" s="66">
        <f>'2027'!P333</f>
        <v>7.0521061248937103E-2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5.75939263401192E-2</v>
      </c>
      <c r="C79" s="49">
        <f>'2022'!O363</f>
        <v>0.12046627696213187</v>
      </c>
      <c r="D79" s="67">
        <f>'2022'!P363</f>
        <v>8.5576457580312567E-3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9.7680055416695472E-2</v>
      </c>
      <c r="AG79" s="49">
        <f>'2027'!O363</f>
        <v>6.2370635821213979E-2</v>
      </c>
      <c r="AH79" s="67">
        <f>'2027'!P363</f>
        <v>5.1033717511190284E-2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4" priority="132" stopIfTrue="1">
      <formula>AND(B5="D",C5&lt;&gt;"D")</formula>
    </cfRule>
    <cfRule type="expression" dxfId="33" priority="992" stopIfTrue="1">
      <formula>YEAR(B5)&lt;&gt;A3</formula>
    </cfRule>
  </conditionalFormatting>
  <conditionalFormatting sqref="B4 H4 N4 T4 Z4 AF4 AL4 AR4 AX4 BD4 BJ4 BP4 BV4">
    <cfRule type="expression" dxfId="32" priority="133" stopIfTrue="1">
      <formula>YEAR(B4)&lt;&gt;A3</formula>
    </cfRule>
    <cfRule type="expression" dxfId="31" priority="149" stopIfTrue="1">
      <formula>AND(B4="D",C4&lt;&gt;"D")</formula>
    </cfRule>
  </conditionalFormatting>
  <conditionalFormatting sqref="B6 H6 N6 T6 Z6 AF6 AL6 AR6 AX6 BD6 BJ6 BP6 BV6">
    <cfRule type="expression" dxfId="30" priority="154" stopIfTrue="1">
      <formula>YEAR(B6)&lt;&gt;A3</formula>
    </cfRule>
  </conditionalFormatting>
  <conditionalFormatting sqref="C4:BY6">
    <cfRule type="cellIs" dxfId="29" priority="1162" stopIfTrue="1" operator="equal">
      <formula>"D"</formula>
    </cfRule>
  </conditionalFormatting>
  <conditionalFormatting sqref="B6 H6 N6 T6 Z6 AL6 AR6 BD6 BJ6 BP6 BV6 AF6 AX6">
    <cfRule type="expression" dxfId="28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7" priority="4" stopIfTrue="1">
      <formula>B6&lt;&gt;"D"</formula>
    </cfRule>
  </conditionalFormatting>
  <conditionalFormatting sqref="E7 K7 Q7 W7 AC7 AI7 AO7 AU7 BA7 BG7 BM7 BS7 BY7">
    <cfRule type="cellIs" dxfId="26" priority="5" stopIfTrue="1" operator="lessThan">
      <formula>0.01</formula>
    </cfRule>
    <cfRule type="cellIs" dxfId="25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4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3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YEAR(E6)</f>
        <v>2018</v>
      </c>
      <c r="K1" s="1275"/>
      <c r="L1" s="113" t="str">
        <f>"Calcul pertes et enveloppes en "&amp;TEXT(An,0)</f>
        <v>Calcul pertes et enveloppes en 2018</v>
      </c>
      <c r="M1" s="243"/>
      <c r="N1" s="243"/>
      <c r="O1" s="457"/>
      <c r="P1" s="457"/>
      <c r="Q1" s="457"/>
      <c r="R1" s="457"/>
      <c r="S1" s="457"/>
      <c r="T1" s="457"/>
      <c r="U1" s="457"/>
      <c r="V1" s="457"/>
      <c r="W1" s="455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7"/>
      <c r="AG1" s="457"/>
      <c r="AH1" s="457"/>
      <c r="AI1" s="491"/>
      <c r="AL1" s="827" t="s">
        <v>266</v>
      </c>
    </row>
    <row r="2" spans="1:40" s="6" customFormat="1" ht="16.5" thickBot="1" x14ac:dyDescent="0.3"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97"/>
      <c r="AD2" s="497"/>
      <c r="AE2" s="497"/>
      <c r="AF2" s="461"/>
      <c r="AG2" s="498"/>
      <c r="AH2" s="499"/>
      <c r="AI2" s="497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9">
        <v>44947</v>
      </c>
      <c r="F3" s="1280"/>
      <c r="G3" s="614">
        <f>YEAR(Tmaj)</f>
        <v>2023</v>
      </c>
      <c r="H3" s="564"/>
      <c r="I3" s="56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thickBot="1" x14ac:dyDescent="0.3">
      <c r="D4" s="105" t="s">
        <v>133</v>
      </c>
      <c r="E4" s="1281" t="s">
        <v>331</v>
      </c>
      <c r="F4" s="1282"/>
      <c r="G4" s="1282"/>
      <c r="H4" s="1282"/>
      <c r="I4" s="1283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504"/>
      <c r="AD4" s="504"/>
      <c r="AE4" s="504"/>
      <c r="AF4" s="494"/>
      <c r="AG4" s="498"/>
      <c r="AH4" s="499"/>
      <c r="AI4" s="504"/>
      <c r="AJ4" s="831">
        <f>AL12-AJ12</f>
        <v>0</v>
      </c>
      <c r="AK4" s="832">
        <f>AM12-AK12</f>
        <v>0</v>
      </c>
      <c r="AL4" s="831"/>
      <c r="AM4" s="832"/>
      <c r="AN4" s="830" t="s">
        <v>268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9">
        <v>43313</v>
      </c>
      <c r="F5" s="1280"/>
      <c r="G5" s="559"/>
      <c r="H5" s="559"/>
      <c r="I5" s="559"/>
      <c r="J5" s="19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264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9">
        <v>43340</v>
      </c>
      <c r="F6" s="1280"/>
      <c r="G6" s="575"/>
      <c r="H6" s="556"/>
      <c r="I6" s="556"/>
      <c r="J6" s="35"/>
      <c r="K6" s="193"/>
      <c r="L6" s="154" t="s">
        <v>83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1"/>
      <c r="X6" s="496"/>
      <c r="Y6" s="497"/>
      <c r="Z6" s="461"/>
      <c r="AA6" s="461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2520.0139999999992</v>
      </c>
      <c r="AK6" s="515">
        <f>SUMIF(AK15:AK380,"FAUX",Wh)</f>
        <v>2520.0139999999992</v>
      </c>
      <c r="AL6" s="515">
        <f>SUMIF(AJ15:AJ380,"FAUX",Wh_s)</f>
        <v>2520.0139999999992</v>
      </c>
      <c r="AM6" s="515">
        <f>SUMIF(AK15:AK380,"FAUX",Wh_s)</f>
        <v>2520.0139999999992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497"/>
      <c r="P7" s="248"/>
      <c r="Q7" s="248"/>
      <c r="R7" s="516"/>
      <c r="S7" s="516"/>
      <c r="T7" s="516"/>
      <c r="U7" s="248"/>
      <c r="V7" s="427"/>
      <c r="W7" s="517"/>
      <c r="X7" s="518"/>
      <c r="Y7" s="248"/>
      <c r="Z7" s="517"/>
      <c r="AA7" s="517"/>
      <c r="AB7" s="248"/>
      <c r="AC7" s="497"/>
      <c r="AD7" s="248"/>
      <c r="AE7" s="248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9" t="s">
        <v>95</v>
      </c>
      <c r="P8" s="497"/>
      <c r="Q8" s="497"/>
      <c r="R8" s="497"/>
      <c r="S8" s="497"/>
      <c r="T8" s="497"/>
      <c r="U8" s="497"/>
      <c r="W8" s="404"/>
      <c r="X8" s="1272" t="s">
        <v>102</v>
      </c>
      <c r="Y8" s="1273"/>
      <c r="Z8" s="497"/>
      <c r="AA8" s="497"/>
      <c r="AB8" s="461"/>
      <c r="AC8" s="519" t="s">
        <v>95</v>
      </c>
      <c r="AD8" s="461"/>
      <c r="AE8" s="461"/>
      <c r="AF8" s="461"/>
      <c r="AG8" s="461"/>
      <c r="AH8" s="461"/>
      <c r="AI8" s="461"/>
      <c r="AJ8" s="515">
        <f>SUMIF(AJ15:AJ380,"FAUX",Wh_pvt)</f>
        <v>2524.1614955007726</v>
      </c>
      <c r="AK8" s="515">
        <f>SUMIF(AK15:AK380,"FAUX",Wh_sa)</f>
        <v>2557.2283001673422</v>
      </c>
      <c r="AL8" s="515">
        <f>SUMIF(AJ15:AJ380,"FAUX",Wh_pvt_s)</f>
        <v>2524.1614955007726</v>
      </c>
      <c r="AM8" s="515">
        <f>SUMIF(AK15:AK380,"FAUX",Wh_sa_s)</f>
        <v>2557.2283001673422</v>
      </c>
      <c r="AN8" s="830" t="s">
        <v>257</v>
      </c>
    </row>
    <row r="9" spans="1:40" s="19" customFormat="1" ht="15" customHeight="1" x14ac:dyDescent="0.25">
      <c r="A9" s="183"/>
      <c r="D9" s="73">
        <f>SUM(D$15:D$380)</f>
        <v>2524.1614955007726</v>
      </c>
      <c r="E9" s="73">
        <f>SUM(E$15:E$380)</f>
        <v>2557.2283001673422</v>
      </c>
      <c r="F9" s="73">
        <f>SUM(F$15:F$380)</f>
        <v>2571.9526095709198</v>
      </c>
      <c r="H9" s="1276">
        <f>+SUM(Wh)</f>
        <v>2520.0139999999992</v>
      </c>
      <c r="I9" s="1277"/>
      <c r="J9" s="1278"/>
      <c r="K9" s="191"/>
      <c r="L9" s="114"/>
      <c r="M9" s="114"/>
      <c r="N9" s="114"/>
      <c r="O9" s="325">
        <f>MAX(T0,Tnet_2018)</f>
        <v>43313</v>
      </c>
      <c r="P9" s="244" t="s">
        <v>112</v>
      </c>
      <c r="Q9" s="245"/>
      <c r="R9" s="245"/>
      <c r="S9" s="245"/>
      <c r="T9" s="245"/>
      <c r="U9" s="245"/>
      <c r="V9" s="461"/>
      <c r="W9" s="520"/>
      <c r="X9" s="1270">
        <f>+SUM(Wh_s)</f>
        <v>2520.0139999999992</v>
      </c>
      <c r="Y9" s="1271"/>
      <c r="Z9" s="515">
        <f>SUM(Z$15:Z$380)</f>
        <v>2524.1614955007726</v>
      </c>
      <c r="AA9" s="515">
        <f>SUM(AA$15:AA$380)</f>
        <v>2557.2283001673422</v>
      </c>
      <c r="AB9" s="515">
        <f>F9</f>
        <v>2571.9526095709198</v>
      </c>
      <c r="AC9" s="325">
        <f>IF(An_Tnet,Tnet,T0)</f>
        <v>43313</v>
      </c>
      <c r="AD9" s="315" t="s">
        <v>103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0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IF(OR(Inflex,GainD),Salim_i*(1-EXP((T0-Tnet)/Tau_ij)),IF(Acti_net,Salim_i*(1-EXP((T0-Tnet)/Tau_ij)),0))</f>
        <v>0</v>
      </c>
      <c r="AD10" s="427"/>
      <c r="AE10" s="427"/>
      <c r="AF10" s="260"/>
      <c r="AG10" s="261"/>
      <c r="AH10" s="262"/>
      <c r="AI10" s="427"/>
      <c r="AJ10" s="515">
        <f>SUMIF(AJ15:AJ380,"FAUX",Wh_sa)</f>
        <v>2557.2283001673422</v>
      </c>
      <c r="AK10" s="515">
        <f>SUMIF(AK15:AK380,"FAUX",Wh_hp)</f>
        <v>2571.9526095709198</v>
      </c>
      <c r="AL10" s="515">
        <f>SUMIF(AJ15:AJ380,"FAUX",Wh_sa_s)</f>
        <v>2557.2283001673422</v>
      </c>
      <c r="AM10" s="515">
        <f>SUMIF(AK15:AK380,"FAUX",Wh_hp)</f>
        <v>2571.9526095709198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218">
        <f>D$9-Prod_an</f>
        <v>4.1474955007734025</v>
      </c>
      <c r="E11" s="219">
        <f>(E$9-D$9)*Prod_an/D$9</f>
        <v>33.012472000524284</v>
      </c>
      <c r="F11" s="220">
        <f>(F$9-E$9)*Prod_an/E$9</f>
        <v>14.510032535976114</v>
      </c>
      <c r="G11" s="185" t="s">
        <v>6</v>
      </c>
      <c r="K11" s="194"/>
      <c r="L11" s="182">
        <f>Tvie_2018</f>
        <v>43313</v>
      </c>
      <c r="M11" s="842"/>
      <c r="N11" s="842"/>
      <c r="O11" s="318">
        <f>Salim_2018</f>
        <v>0.17</v>
      </c>
      <c r="P11" s="256">
        <f>Ttai_2018</f>
        <v>43101</v>
      </c>
      <c r="Q11" s="272">
        <f>Dens_2018</f>
        <v>0.8</v>
      </c>
      <c r="R11" s="523"/>
      <c r="S11" s="247"/>
      <c r="T11" s="524"/>
      <c r="U11" s="266">
        <f>Htf_2018</f>
        <v>0.6</v>
      </c>
      <c r="V11" s="427"/>
      <c r="W11" s="518"/>
      <c r="X11" s="525" t="s">
        <v>43</v>
      </c>
      <c r="Y11" s="50">
        <f>Z$9-Prod_an_s</f>
        <v>4.1474955007734025</v>
      </c>
      <c r="Z11" s="51">
        <f>(AA$9-Z$9)*Prod_an_s/Z$9</f>
        <v>33.012472000524284</v>
      </c>
      <c r="AA11" s="186">
        <f>(AB$9-AA$9)*Prod_an_s/AA$9</f>
        <v>14.510032535976114</v>
      </c>
      <c r="AB11" s="526" t="s">
        <v>6</v>
      </c>
      <c r="AC11" s="472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3.1348678997142221E-2</v>
      </c>
      <c r="I12" s="102"/>
      <c r="J12" s="99"/>
      <c r="K12" s="191"/>
      <c r="L12" s="204">
        <f>Pspv_2018</f>
        <v>0</v>
      </c>
      <c r="M12" s="212"/>
      <c r="N12" s="212"/>
      <c r="O12" s="527">
        <f>Tau_2018*365</f>
        <v>912.5</v>
      </c>
      <c r="P12" s="528">
        <f>INDEX(Croivg,MIN(MAX(Ttai-$A$15,0)+1,366))</f>
        <v>2.3909964587625958E-6</v>
      </c>
      <c r="Q12" s="296">
        <f>D_i</f>
        <v>0.8</v>
      </c>
      <c r="R12" s="278"/>
      <c r="S12" s="279"/>
      <c r="T12" s="529"/>
      <c r="U12" s="297">
        <f>H_i</f>
        <v>0</v>
      </c>
      <c r="V12" s="517"/>
      <c r="W12" s="504"/>
      <c r="X12" s="505"/>
      <c r="Y12" s="504"/>
      <c r="Z12" s="427"/>
      <c r="AA12" s="427"/>
      <c r="AB12" s="504"/>
      <c r="AC12" s="318" t="b">
        <f>NOT(An_Tnet)</f>
        <v>0</v>
      </c>
      <c r="AD12" s="427"/>
      <c r="AE12" s="296">
        <f>D_i</f>
        <v>0.8</v>
      </c>
      <c r="AF12" s="203"/>
      <c r="AG12" s="203"/>
      <c r="AH12" s="203"/>
      <c r="AI12" s="297">
        <f>H_i</f>
        <v>0</v>
      </c>
      <c r="AJ12" s="831">
        <f>IF($AJ8=0,0,($AJ10-$AJ8)*$AJ6/$AJ8)</f>
        <v>33.012472000524284</v>
      </c>
      <c r="AK12" s="832">
        <f>IF($AK8=0,0,($AK10-$AK8)*$AK6/$AK8)</f>
        <v>14.510032535976114</v>
      </c>
      <c r="AL12" s="831">
        <f>IF($AL8=0,0,($AL10-$AL8)*$AL6/$AL8)</f>
        <v>33.012472000524284</v>
      </c>
      <c r="AM12" s="832">
        <f>IF($AM8=0,0,($AM10-$AM8)*$AM6/$AM8)</f>
        <v>14.510032535976114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33.012472000524284</v>
      </c>
      <c r="AK13" s="73">
        <f>+AK11+AK12</f>
        <v>14.510032535976114</v>
      </c>
      <c r="AL13" s="73">
        <f>+AL11+AL12</f>
        <v>33.012472000524284</v>
      </c>
      <c r="AM13" s="73">
        <f>+AM11+AM12</f>
        <v>14.510032535976114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207</v>
      </c>
      <c r="V14" s="45" t="str">
        <f>"Enveloppe "&amp; TEXT(An,0)</f>
        <v>Enveloppe 2018</v>
      </c>
      <c r="W14" s="434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19"/>
      <c r="C15" s="852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6">
        <f t="shared" ref="L15:L78" si="2">IF(t&lt;T0,0,IF(t&lt;Tvie,1-EXP((T0-t)*PertePVj),1-EXP((T0-t)*PertePVj)+Pspv))</f>
        <v>0</v>
      </c>
      <c r="M15" s="854"/>
      <c r="N15" s="854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1.8987173556927652E-8</v>
      </c>
      <c r="Q15" s="303">
        <f>IF(OR(t&lt;Ttai,Notai),Dd+PousD*Croivg,Dens+PousD*(Croivg-Croi_tai))</f>
        <v>0.8</v>
      </c>
      <c r="R15" s="304">
        <f t="shared" ref="R15:R78" si="4">(Hp_vg-S15)/(INDEX(Echel_vg,T15+1)-S15)</f>
        <v>1.4345978752575573E-6</v>
      </c>
      <c r="S15" s="808">
        <f>INDEX(Echel_vg,T15)</f>
        <v>0</v>
      </c>
      <c r="T15" s="249">
        <f>MIN(MATCH(Hp_vg,Echel_vg),10)</f>
        <v>6</v>
      </c>
      <c r="U15" s="250">
        <f>IF(OR(t&lt;Ttai,Notai),Hdd+PousH*Croivg,Hdtf+PousH*(Croivg-Croi_tai))</f>
        <v>1.4345978752575573E-6</v>
      </c>
      <c r="V15" s="382">
        <f t="shared" ref="V15:V78" si="5">MaxiM*(1-Ppv)*(1-Pvg)*(1-Psa)</f>
        <v>18.517109595269318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3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1.8987173556927652E-8</v>
      </c>
      <c r="AE15" s="303">
        <f t="shared" ref="AE15:AE78" si="12">Dd+PousD*Croivg</f>
        <v>0.8</v>
      </c>
      <c r="AF15" s="304">
        <f t="shared" ref="AF15:AF78" si="13">(Hp_vg_s-AG15)/(INDEX(Echel_vg,AH15+1)-AG15)</f>
        <v>1.4345978752575573E-6</v>
      </c>
      <c r="AG15" s="808">
        <f>INDEX(Echel_vg,AH15)</f>
        <v>0</v>
      </c>
      <c r="AH15" s="249">
        <f t="shared" ref="AH15:AH78" si="14">MIN(MATCH(Hp_vg_s,Echel_vg),10)</f>
        <v>6</v>
      </c>
      <c r="AI15" s="224">
        <f t="shared" ref="AI15:AI78" si="15">Hdd+PousH*Croivg</f>
        <v>1.4345978752575573E-6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6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6">
        <f t="shared" si="2"/>
        <v>0</v>
      </c>
      <c r="M16" s="854"/>
      <c r="N16" s="854"/>
      <c r="O16" s="324">
        <f t="shared" si="3"/>
        <v>0</v>
      </c>
      <c r="P16" s="169">
        <f>(INDEX(Models!$BJ16:$BT16,,T16)*(1-R16)+INDEX(Models!$BJ16:$BT16,,T16+1)*R16-ERP_i)*Q16*Ramure*Pc/MaxiM</f>
        <v>4.8191221074159209E-7</v>
      </c>
      <c r="Q16" s="305">
        <f t="shared" ref="Q16:Q78" si="19">IF(OR(t&lt;Ttai,Notai),Dd+PousD*Croivg,Dens+PousD*(Croivg-Croi_tai))</f>
        <v>0.8</v>
      </c>
      <c r="R16" s="177">
        <f t="shared" si="4"/>
        <v>3.6492134668344173E-5</v>
      </c>
      <c r="S16" s="809">
        <f t="shared" ref="S16:S79" si="20">INDEX(Echel_vg,T16)</f>
        <v>0</v>
      </c>
      <c r="T16" s="176">
        <f t="shared" ref="T16:T78" si="21">MIN(MATCH(Hp_vg,Echel_vg),10)</f>
        <v>6</v>
      </c>
      <c r="U16" s="251">
        <f t="shared" ref="U16:U78" si="22">IF(OR(t&lt;Ttai,Notai),Hdd+PousH*Croivg,Hdtf+PousH*(Croivg-Croi_tai))</f>
        <v>3.6492134668344173E-5</v>
      </c>
      <c r="V16" s="383">
        <f t="shared" si="5"/>
        <v>18.649426756596753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5">
        <f t="shared" si="11"/>
        <v>0</v>
      </c>
      <c r="AD16" s="169">
        <f>(INDEX(Models!$BJ16:$BT16,,AH16)*(1-AF16)+INDEX(Models!$BJ16:$BT16,,AH16+1)*AF16-ERP_i)*AE16*Ramure*Pc/MaxiM</f>
        <v>4.8191221074159209E-7</v>
      </c>
      <c r="AE16" s="305">
        <f t="shared" si="12"/>
        <v>0.8</v>
      </c>
      <c r="AF16" s="177">
        <f t="shared" si="13"/>
        <v>3.6492134668344173E-5</v>
      </c>
      <c r="AG16" s="809">
        <f t="shared" ref="AG16:AG78" si="23">INDEX(Echel_vg,AH16)</f>
        <v>0</v>
      </c>
      <c r="AH16" s="176">
        <f t="shared" si="14"/>
        <v>6</v>
      </c>
      <c r="AI16" s="225">
        <f t="shared" si="15"/>
        <v>3.6492134668344173E-5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6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6">
        <f t="shared" si="2"/>
        <v>0</v>
      </c>
      <c r="M17" s="854"/>
      <c r="N17" s="854"/>
      <c r="O17" s="324">
        <f t="shared" si="3"/>
        <v>0</v>
      </c>
      <c r="P17" s="169">
        <f>(INDEX(Models!$BJ17:$BT17,,T17)*(1-R17)+INDEX(Models!$BJ17:$BT17,,T17+1)*R17-ERP_i)*Q17*Ramure*Pc/MaxiM</f>
        <v>9.6169569694949778E-7</v>
      </c>
      <c r="Q17" s="305">
        <f t="shared" si="19"/>
        <v>0.8</v>
      </c>
      <c r="R17" s="177">
        <f t="shared" si="4"/>
        <v>7.3016049255843362E-5</v>
      </c>
      <c r="S17" s="809">
        <f t="shared" si="20"/>
        <v>0</v>
      </c>
      <c r="T17" s="176">
        <f t="shared" si="21"/>
        <v>6</v>
      </c>
      <c r="U17" s="251">
        <f t="shared" si="22"/>
        <v>7.3016049255843362E-5</v>
      </c>
      <c r="V17" s="383">
        <f t="shared" si="5"/>
        <v>18.789030644098364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5">
        <f t="shared" si="11"/>
        <v>0</v>
      </c>
      <c r="AD17" s="169">
        <f>(INDEX(Models!$BJ17:$BT17,,AH17)*(1-AF17)+INDEX(Models!$BJ17:$BT17,,AH17+1)*AF17-ERP_i)*AE17*Ramure*Pc/MaxiM</f>
        <v>9.6169569694949778E-7</v>
      </c>
      <c r="AE17" s="305">
        <f t="shared" si="12"/>
        <v>0.8</v>
      </c>
      <c r="AF17" s="177">
        <f t="shared" si="13"/>
        <v>7.3016049255843362E-5</v>
      </c>
      <c r="AG17" s="809">
        <f t="shared" si="23"/>
        <v>0</v>
      </c>
      <c r="AH17" s="176">
        <f t="shared" si="14"/>
        <v>6</v>
      </c>
      <c r="AI17" s="225">
        <f t="shared" si="15"/>
        <v>7.3016049255843362E-5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6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6">
        <f t="shared" si="2"/>
        <v>0</v>
      </c>
      <c r="M18" s="854"/>
      <c r="N18" s="854"/>
      <c r="O18" s="324">
        <f t="shared" si="3"/>
        <v>0</v>
      </c>
      <c r="P18" s="169">
        <f>(INDEX(Models!$BJ18:$BT18,,T18)*(1-R18)+INDEX(Models!$BJ18:$BT18,,T18+1)*R18-ERP_i)*Q18*Ramure*Pc/MaxiM</f>
        <v>1.4583533382938201E-6</v>
      </c>
      <c r="Q18" s="305">
        <f t="shared" si="19"/>
        <v>0.8</v>
      </c>
      <c r="R18" s="177">
        <f t="shared" si="4"/>
        <v>1.1106748680998681E-4</v>
      </c>
      <c r="S18" s="809">
        <f t="shared" si="20"/>
        <v>0</v>
      </c>
      <c r="T18" s="176">
        <f t="shared" si="21"/>
        <v>6</v>
      </c>
      <c r="U18" s="251">
        <f t="shared" si="22"/>
        <v>1.1106748680998681E-4</v>
      </c>
      <c r="V18" s="383">
        <f t="shared" si="5"/>
        <v>18.936274922892792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5">
        <f t="shared" si="11"/>
        <v>0</v>
      </c>
      <c r="AD18" s="169">
        <f>(INDEX(Models!$BJ18:$BT18,,AH18)*(1-AF18)+INDEX(Models!$BJ18:$BT18,,AH18+1)*AF18-ERP_i)*AE18*Ramure*Pc/MaxiM</f>
        <v>1.4583533382938201E-6</v>
      </c>
      <c r="AE18" s="305">
        <f t="shared" si="12"/>
        <v>0.8</v>
      </c>
      <c r="AF18" s="177">
        <f t="shared" si="13"/>
        <v>1.1106748680998681E-4</v>
      </c>
      <c r="AG18" s="809">
        <f t="shared" si="23"/>
        <v>0</v>
      </c>
      <c r="AH18" s="176">
        <f t="shared" si="14"/>
        <v>6</v>
      </c>
      <c r="AI18" s="225">
        <f t="shared" si="15"/>
        <v>1.1106748680998681E-4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6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6">
        <f t="shared" si="2"/>
        <v>0</v>
      </c>
      <c r="M19" s="854"/>
      <c r="N19" s="854"/>
      <c r="O19" s="324">
        <f t="shared" si="3"/>
        <v>0</v>
      </c>
      <c r="P19" s="169">
        <f>(INDEX(Models!$BJ19:$BT19,,T19)*(1-R19)+INDEX(Models!$BJ19:$BT19,,T19+1)*R19-ERP_i)*Q19*Ramure*Pc/MaxiM</f>
        <v>1.9718534915437711E-6</v>
      </c>
      <c r="Q19" s="305">
        <f t="shared" si="19"/>
        <v>0.8</v>
      </c>
      <c r="R19" s="177">
        <f t="shared" si="4"/>
        <v>1.5071012588398699E-4</v>
      </c>
      <c r="S19" s="809">
        <f t="shared" si="20"/>
        <v>0</v>
      </c>
      <c r="T19" s="176">
        <f t="shared" si="21"/>
        <v>6</v>
      </c>
      <c r="U19" s="251">
        <f t="shared" si="22"/>
        <v>1.5071012588398699E-4</v>
      </c>
      <c r="V19" s="383">
        <f t="shared" si="5"/>
        <v>19.091513252065589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5">
        <f t="shared" si="11"/>
        <v>0</v>
      </c>
      <c r="AD19" s="169">
        <f>(INDEX(Models!$BJ19:$BT19,,AH19)*(1-AF19)+INDEX(Models!$BJ19:$BT19,,AH19+1)*AF19-ERP_i)*AE19*Ramure*Pc/MaxiM</f>
        <v>1.9718534915437711E-6</v>
      </c>
      <c r="AE19" s="305">
        <f t="shared" si="12"/>
        <v>0.8</v>
      </c>
      <c r="AF19" s="177">
        <f t="shared" si="13"/>
        <v>1.5071012588398699E-4</v>
      </c>
      <c r="AG19" s="809">
        <f t="shared" si="23"/>
        <v>0</v>
      </c>
      <c r="AH19" s="176">
        <f t="shared" si="14"/>
        <v>6</v>
      </c>
      <c r="AI19" s="225">
        <f t="shared" si="15"/>
        <v>1.5071012588398699E-4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6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6">
        <f t="shared" si="2"/>
        <v>0</v>
      </c>
      <c r="M20" s="854"/>
      <c r="N20" s="854"/>
      <c r="O20" s="324">
        <f t="shared" si="3"/>
        <v>0</v>
      </c>
      <c r="P20" s="169">
        <f>(INDEX(Models!$BJ20:$BT20,,T20)*(1-R20)+INDEX(Models!$BJ20:$BT20,,T20+1)*R20-ERP_i)*Q20*Ramure*Pc/MaxiM</f>
        <v>2.5021171985214327E-6</v>
      </c>
      <c r="Q20" s="305">
        <f t="shared" si="19"/>
        <v>0.8</v>
      </c>
      <c r="R20" s="177">
        <f t="shared" si="4"/>
        <v>1.9201028198484094E-4</v>
      </c>
      <c r="S20" s="809">
        <f t="shared" si="20"/>
        <v>0</v>
      </c>
      <c r="T20" s="176">
        <f t="shared" si="21"/>
        <v>6</v>
      </c>
      <c r="U20" s="251">
        <f t="shared" si="22"/>
        <v>1.9201028198484094E-4</v>
      </c>
      <c r="V20" s="383">
        <f t="shared" si="5"/>
        <v>19.255099296269194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5">
        <f t="shared" si="11"/>
        <v>0</v>
      </c>
      <c r="AD20" s="169">
        <f>(INDEX(Models!$BJ20:$BT20,,AH20)*(1-AF20)+INDEX(Models!$BJ20:$BT20,,AH20+1)*AF20-ERP_i)*AE20*Ramure*Pc/MaxiM</f>
        <v>2.5021171985214327E-6</v>
      </c>
      <c r="AE20" s="305">
        <f t="shared" si="12"/>
        <v>0.8</v>
      </c>
      <c r="AF20" s="177">
        <f t="shared" si="13"/>
        <v>1.9201028198484094E-4</v>
      </c>
      <c r="AG20" s="809">
        <f t="shared" si="23"/>
        <v>0</v>
      </c>
      <c r="AH20" s="176">
        <f t="shared" si="14"/>
        <v>6</v>
      </c>
      <c r="AI20" s="225">
        <f t="shared" si="15"/>
        <v>1.9201028198484094E-4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6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6">
        <f t="shared" si="2"/>
        <v>0</v>
      </c>
      <c r="M21" s="854"/>
      <c r="N21" s="854"/>
      <c r="O21" s="324">
        <f t="shared" si="3"/>
        <v>0</v>
      </c>
      <c r="P21" s="169">
        <f>(INDEX(Models!$BJ21:$BT21,,T21)*(1-R21)+INDEX(Models!$BJ21:$BT21,,T21+1)*R21-ERP_i)*Q21*Ramure*Pc/MaxiM</f>
        <v>3.0490185846886374E-6</v>
      </c>
      <c r="Q21" s="305">
        <f t="shared" si="19"/>
        <v>0.8</v>
      </c>
      <c r="R21" s="177">
        <f t="shared" si="4"/>
        <v>2.3503701526066139E-4</v>
      </c>
      <c r="S21" s="809">
        <f t="shared" si="20"/>
        <v>0</v>
      </c>
      <c r="T21" s="176">
        <f t="shared" si="21"/>
        <v>6</v>
      </c>
      <c r="U21" s="251">
        <f t="shared" si="22"/>
        <v>2.3503701526066139E-4</v>
      </c>
      <c r="V21" s="383">
        <f t="shared" si="5"/>
        <v>19.427386711195346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5">
        <f t="shared" si="11"/>
        <v>0</v>
      </c>
      <c r="AD21" s="169">
        <f>(INDEX(Models!$BJ21:$BT21,,AH21)*(1-AF21)+INDEX(Models!$BJ21:$BT21,,AH21+1)*AF21-ERP_i)*AE21*Ramure*Pc/MaxiM</f>
        <v>3.0490185846886374E-6</v>
      </c>
      <c r="AE21" s="305">
        <f t="shared" si="12"/>
        <v>0.8</v>
      </c>
      <c r="AF21" s="177">
        <f t="shared" si="13"/>
        <v>2.3503701526066139E-4</v>
      </c>
      <c r="AG21" s="809">
        <f t="shared" si="23"/>
        <v>0</v>
      </c>
      <c r="AH21" s="176">
        <f t="shared" si="14"/>
        <v>6</v>
      </c>
      <c r="AI21" s="225">
        <f t="shared" si="15"/>
        <v>2.3503701526066139E-4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6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6">
        <f t="shared" si="2"/>
        <v>0</v>
      </c>
      <c r="M22" s="854"/>
      <c r="N22" s="854"/>
      <c r="O22" s="324">
        <f t="shared" si="3"/>
        <v>0</v>
      </c>
      <c r="P22" s="169">
        <f>(INDEX(Models!$BJ22:$BT22,,T22)*(1-R22)+INDEX(Models!$BJ22:$BT22,,T22+1)*R22-ERP_i)*Q22*Ramure*Pc/MaxiM</f>
        <v>3.6123856116929491E-6</v>
      </c>
      <c r="Q22" s="305">
        <f t="shared" si="19"/>
        <v>0.8</v>
      </c>
      <c r="R22" s="177">
        <f t="shared" si="4"/>
        <v>2.7986224245724452E-4</v>
      </c>
      <c r="S22" s="809">
        <f t="shared" si="20"/>
        <v>0</v>
      </c>
      <c r="T22" s="176">
        <f t="shared" si="21"/>
        <v>6</v>
      </c>
      <c r="U22" s="251">
        <f t="shared" si="22"/>
        <v>2.7986224245724452E-4</v>
      </c>
      <c r="V22" s="383">
        <f t="shared" si="5"/>
        <v>19.608729165405336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5">
        <f t="shared" si="11"/>
        <v>0</v>
      </c>
      <c r="AD22" s="169">
        <f>(INDEX(Models!$BJ22:$BT22,,AH22)*(1-AF22)+INDEX(Models!$BJ22:$BT22,,AH22+1)*AF22-ERP_i)*AE22*Ramure*Pc/MaxiM</f>
        <v>3.6123856116929491E-6</v>
      </c>
      <c r="AE22" s="305">
        <f t="shared" si="12"/>
        <v>0.8</v>
      </c>
      <c r="AF22" s="177">
        <f t="shared" si="13"/>
        <v>2.7986224245724452E-4</v>
      </c>
      <c r="AG22" s="809">
        <f t="shared" si="23"/>
        <v>0</v>
      </c>
      <c r="AH22" s="176">
        <f t="shared" si="14"/>
        <v>6</v>
      </c>
      <c r="AI22" s="225">
        <f t="shared" si="15"/>
        <v>2.7986224245724452E-4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6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6">
        <f t="shared" si="2"/>
        <v>0</v>
      </c>
      <c r="M23" s="854"/>
      <c r="N23" s="854"/>
      <c r="O23" s="324">
        <f t="shared" si="3"/>
        <v>0</v>
      </c>
      <c r="P23" s="169">
        <f>(INDEX(Models!$BJ23:$BT23,,T23)*(1-R23)+INDEX(Models!$BJ23:$BT23,,T23+1)*R23-ERP_i)*Q23*Ramure*Pc/MaxiM</f>
        <v>4.1918574259135476E-6</v>
      </c>
      <c r="Q23" s="305">
        <f t="shared" si="19"/>
        <v>0.8</v>
      </c>
      <c r="R23" s="177">
        <f t="shared" si="4"/>
        <v>3.2656085329938443E-4</v>
      </c>
      <c r="S23" s="809">
        <f t="shared" si="20"/>
        <v>0</v>
      </c>
      <c r="T23" s="176">
        <f t="shared" si="21"/>
        <v>6</v>
      </c>
      <c r="U23" s="251">
        <f t="shared" si="22"/>
        <v>3.2656085329938443E-4</v>
      </c>
      <c r="V23" s="383">
        <f t="shared" si="5"/>
        <v>19.800159339334947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5">
        <f t="shared" si="11"/>
        <v>0</v>
      </c>
      <c r="AD23" s="169">
        <f>(INDEX(Models!$BJ23:$BT23,,AH23)*(1-AF23)+INDEX(Models!$BJ23:$BT23,,AH23+1)*AF23-ERP_i)*AE23*Ramure*Pc/MaxiM</f>
        <v>4.1918574259135476E-6</v>
      </c>
      <c r="AE23" s="305">
        <f t="shared" si="12"/>
        <v>0.8</v>
      </c>
      <c r="AF23" s="177">
        <f t="shared" si="13"/>
        <v>3.2656085329938443E-4</v>
      </c>
      <c r="AG23" s="809">
        <f t="shared" si="23"/>
        <v>0</v>
      </c>
      <c r="AH23" s="176">
        <f t="shared" si="14"/>
        <v>6</v>
      </c>
      <c r="AI23" s="225">
        <f t="shared" si="15"/>
        <v>3.2656085329938443E-4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6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6">
        <f t="shared" si="2"/>
        <v>0</v>
      </c>
      <c r="M24" s="854"/>
      <c r="N24" s="854"/>
      <c r="O24" s="324">
        <f t="shared" si="3"/>
        <v>0</v>
      </c>
      <c r="P24" s="169">
        <f>(INDEX(Models!$BJ24:$BT24,,T24)*(1-R24)+INDEX(Models!$BJ24:$BT24,,T24+1)*R24-ERP_i)*Q24*Ramure*Pc/MaxiM</f>
        <v>4.7811634043646196E-6</v>
      </c>
      <c r="Q24" s="305">
        <f t="shared" si="19"/>
        <v>0.8</v>
      </c>
      <c r="R24" s="177">
        <f t="shared" si="4"/>
        <v>3.7521083146285387E-4</v>
      </c>
      <c r="S24" s="809">
        <f t="shared" si="20"/>
        <v>0</v>
      </c>
      <c r="T24" s="176">
        <f t="shared" si="21"/>
        <v>6</v>
      </c>
      <c r="U24" s="251">
        <f t="shared" si="22"/>
        <v>3.7521083146285387E-4</v>
      </c>
      <c r="V24" s="383">
        <f t="shared" si="5"/>
        <v>20.001975117766051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5">
        <f t="shared" si="11"/>
        <v>0</v>
      </c>
      <c r="AD24" s="169">
        <f>(INDEX(Models!$BJ24:$BT24,,AH24)*(1-AF24)+INDEX(Models!$BJ24:$BT24,,AH24+1)*AF24-ERP_i)*AE24*Ramure*Pc/MaxiM</f>
        <v>4.7811634043646196E-6</v>
      </c>
      <c r="AE24" s="305">
        <f t="shared" si="12"/>
        <v>0.8</v>
      </c>
      <c r="AF24" s="177">
        <f t="shared" si="13"/>
        <v>3.7521083146285387E-4</v>
      </c>
      <c r="AG24" s="809">
        <f t="shared" si="23"/>
        <v>0</v>
      </c>
      <c r="AH24" s="176">
        <f t="shared" si="14"/>
        <v>6</v>
      </c>
      <c r="AI24" s="225">
        <f t="shared" si="15"/>
        <v>3.7521083146285387E-4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6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6">
        <f t="shared" si="2"/>
        <v>0</v>
      </c>
      <c r="M25" s="854"/>
      <c r="N25" s="854"/>
      <c r="O25" s="324">
        <f t="shared" si="3"/>
        <v>0</v>
      </c>
      <c r="P25" s="169">
        <f>(INDEX(Models!$BJ25:$BT25,,T25)*(1-R25)+INDEX(Models!$BJ25:$BT25,,T25+1)*R25-ERP_i)*Q25*Ramure*Pc/MaxiM</f>
        <v>5.3768348027542377E-6</v>
      </c>
      <c r="Q25" s="305">
        <f t="shared" si="19"/>
        <v>0.8</v>
      </c>
      <c r="R25" s="177">
        <f t="shared" si="4"/>
        <v>4.2589338030207043E-4</v>
      </c>
      <c r="S25" s="809">
        <f t="shared" si="20"/>
        <v>0</v>
      </c>
      <c r="T25" s="176">
        <f t="shared" si="21"/>
        <v>6</v>
      </c>
      <c r="U25" s="251">
        <f t="shared" si="22"/>
        <v>4.2589338030207043E-4</v>
      </c>
      <c r="V25" s="383">
        <f t="shared" si="5"/>
        <v>20.213427855359235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5">
        <f t="shared" si="11"/>
        <v>0</v>
      </c>
      <c r="AD25" s="169">
        <f>(INDEX(Models!$BJ25:$BT25,,AH25)*(1-AF25)+INDEX(Models!$BJ25:$BT25,,AH25+1)*AF25-ERP_i)*AE25*Ramure*Pc/MaxiM</f>
        <v>5.3768348027542377E-6</v>
      </c>
      <c r="AE25" s="305">
        <f t="shared" si="12"/>
        <v>0.8</v>
      </c>
      <c r="AF25" s="177">
        <f t="shared" si="13"/>
        <v>4.2589338030207043E-4</v>
      </c>
      <c r="AG25" s="809">
        <f t="shared" si="23"/>
        <v>0</v>
      </c>
      <c r="AH25" s="176">
        <f t="shared" si="14"/>
        <v>6</v>
      </c>
      <c r="AI25" s="225">
        <f t="shared" si="15"/>
        <v>4.2589338030207043E-4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6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6">
        <f t="shared" si="2"/>
        <v>0</v>
      </c>
      <c r="M26" s="854"/>
      <c r="N26" s="854"/>
      <c r="O26" s="324">
        <f t="shared" si="3"/>
        <v>0</v>
      </c>
      <c r="P26" s="169">
        <f>(INDEX(Models!$BJ26:$BT26,,T26)*(1-R26)+INDEX(Models!$BJ26:$BT26,,T26+1)*R26-ERP_i)*Q26*Ramure*Pc/MaxiM</f>
        <v>5.976195625517578E-6</v>
      </c>
      <c r="Q26" s="305">
        <f t="shared" si="19"/>
        <v>0.8</v>
      </c>
      <c r="R26" s="177">
        <f t="shared" si="4"/>
        <v>4.7869305350740779E-4</v>
      </c>
      <c r="S26" s="809">
        <f t="shared" si="20"/>
        <v>0</v>
      </c>
      <c r="T26" s="176">
        <f t="shared" si="21"/>
        <v>6</v>
      </c>
      <c r="U26" s="251">
        <f t="shared" si="22"/>
        <v>4.7869305350740779E-4</v>
      </c>
      <c r="V26" s="383">
        <f t="shared" si="5"/>
        <v>20.433768893141487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5">
        <f t="shared" si="11"/>
        <v>0</v>
      </c>
      <c r="AD26" s="169">
        <f>(INDEX(Models!$BJ26:$BT26,,AH26)*(1-AF26)+INDEX(Models!$BJ26:$BT26,,AH26+1)*AF26-ERP_i)*AE26*Ramure*Pc/MaxiM</f>
        <v>5.976195625517578E-6</v>
      </c>
      <c r="AE26" s="305">
        <f t="shared" si="12"/>
        <v>0.8</v>
      </c>
      <c r="AF26" s="177">
        <f t="shared" si="13"/>
        <v>4.7869305350740779E-4</v>
      </c>
      <c r="AG26" s="809">
        <f t="shared" si="23"/>
        <v>0</v>
      </c>
      <c r="AH26" s="176">
        <f t="shared" si="14"/>
        <v>6</v>
      </c>
      <c r="AI26" s="225">
        <f t="shared" si="15"/>
        <v>4.7869305350740779E-4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6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6">
        <f t="shared" si="2"/>
        <v>0</v>
      </c>
      <c r="M27" s="854"/>
      <c r="N27" s="854"/>
      <c r="O27" s="324">
        <f t="shared" si="3"/>
        <v>0</v>
      </c>
      <c r="P27" s="169">
        <f>(INDEX(Models!$BJ27:$BT27,,T27)*(1-R27)+INDEX(Models!$BJ27:$BT27,,T27+1)*R27-ERP_i)*Q27*Ramure*Pc/MaxiM</f>
        <v>6.5765494666785116E-6</v>
      </c>
      <c r="Q27" s="305">
        <f t="shared" si="19"/>
        <v>0.8</v>
      </c>
      <c r="R27" s="177">
        <f t="shared" si="4"/>
        <v>5.3369789087035087E-4</v>
      </c>
      <c r="S27" s="809">
        <f t="shared" si="20"/>
        <v>0</v>
      </c>
      <c r="T27" s="176">
        <f t="shared" si="21"/>
        <v>6</v>
      </c>
      <c r="U27" s="251">
        <f t="shared" si="22"/>
        <v>5.3369789087035087E-4</v>
      </c>
      <c r="V27" s="383">
        <f t="shared" si="5"/>
        <v>20.662249577099896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5">
        <f t="shared" si="11"/>
        <v>0</v>
      </c>
      <c r="AD27" s="169">
        <f>(INDEX(Models!$BJ27:$BT27,,AH27)*(1-AF27)+INDEX(Models!$BJ27:$BT27,,AH27+1)*AF27-ERP_i)*AE27*Ramure*Pc/MaxiM</f>
        <v>6.5765494666785116E-6</v>
      </c>
      <c r="AE27" s="305">
        <f t="shared" si="12"/>
        <v>0.8</v>
      </c>
      <c r="AF27" s="177">
        <f t="shared" si="13"/>
        <v>5.3369789087035087E-4</v>
      </c>
      <c r="AG27" s="809">
        <f t="shared" si="23"/>
        <v>0</v>
      </c>
      <c r="AH27" s="176">
        <f t="shared" si="14"/>
        <v>6</v>
      </c>
      <c r="AI27" s="225">
        <f t="shared" si="15"/>
        <v>5.3369789087035087E-4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6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6">
        <f t="shared" si="2"/>
        <v>0</v>
      </c>
      <c r="M28" s="854"/>
      <c r="N28" s="854"/>
      <c r="O28" s="324">
        <f t="shared" si="3"/>
        <v>0</v>
      </c>
      <c r="P28" s="169">
        <f>(INDEX(Models!$BJ28:$BT28,,T28)*(1-R28)+INDEX(Models!$BJ28:$BT28,,T28+1)*R28-ERP_i)*Q28*Ramure*Pc/MaxiM</f>
        <v>7.175177185369381E-6</v>
      </c>
      <c r="Q28" s="305">
        <f t="shared" si="19"/>
        <v>0.8</v>
      </c>
      <c r="R28" s="177">
        <f t="shared" si="4"/>
        <v>5.9099955933772776E-4</v>
      </c>
      <c r="S28" s="809">
        <f t="shared" si="20"/>
        <v>0</v>
      </c>
      <c r="T28" s="176">
        <f t="shared" si="21"/>
        <v>6</v>
      </c>
      <c r="U28" s="251">
        <f t="shared" si="22"/>
        <v>5.9099955933772776E-4</v>
      </c>
      <c r="V28" s="383">
        <f t="shared" si="5"/>
        <v>20.898121255732431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5">
        <f t="shared" si="11"/>
        <v>0</v>
      </c>
      <c r="AD28" s="169">
        <f>(INDEX(Models!$BJ28:$BT28,,AH28)*(1-AF28)+INDEX(Models!$BJ28:$BT28,,AH28+1)*AF28-ERP_i)*AE28*Ramure*Pc/MaxiM</f>
        <v>7.175177185369381E-6</v>
      </c>
      <c r="AE28" s="305">
        <f t="shared" si="12"/>
        <v>0.8</v>
      </c>
      <c r="AF28" s="177">
        <f t="shared" si="13"/>
        <v>5.9099955933772776E-4</v>
      </c>
      <c r="AG28" s="809">
        <f t="shared" si="23"/>
        <v>0</v>
      </c>
      <c r="AH28" s="176">
        <f t="shared" si="14"/>
        <v>6</v>
      </c>
      <c r="AI28" s="225">
        <f t="shared" si="15"/>
        <v>5.9099955933772776E-4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6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6">
        <f t="shared" si="2"/>
        <v>0</v>
      </c>
      <c r="M29" s="854"/>
      <c r="N29" s="854"/>
      <c r="O29" s="324">
        <f t="shared" si="3"/>
        <v>0</v>
      </c>
      <c r="P29" s="169">
        <f>(INDEX(Models!$BJ29:$BT29,,T29)*(1-R29)+INDEX(Models!$BJ29:$BT29,,T29+1)*R29-ERP_i)*Q29*Ramure*Pc/MaxiM</f>
        <v>7.7693320077456889E-6</v>
      </c>
      <c r="Q29" s="305">
        <f t="shared" si="19"/>
        <v>0.8</v>
      </c>
      <c r="R29" s="177">
        <f t="shared" si="4"/>
        <v>6.5069349954449273E-4</v>
      </c>
      <c r="S29" s="809">
        <f t="shared" si="20"/>
        <v>0</v>
      </c>
      <c r="T29" s="176">
        <f t="shared" si="21"/>
        <v>6</v>
      </c>
      <c r="U29" s="251">
        <f t="shared" si="22"/>
        <v>6.5069349954449273E-4</v>
      </c>
      <c r="V29" s="383">
        <f t="shared" si="5"/>
        <v>21.140635290390758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5">
        <f t="shared" si="11"/>
        <v>0</v>
      </c>
      <c r="AD29" s="169">
        <f>(INDEX(Models!$BJ29:$BT29,,AH29)*(1-AF29)+INDEX(Models!$BJ29:$BT29,,AH29+1)*AF29-ERP_i)*AE29*Ramure*Pc/MaxiM</f>
        <v>7.7693320077456889E-6</v>
      </c>
      <c r="AE29" s="305">
        <f t="shared" si="12"/>
        <v>0.8</v>
      </c>
      <c r="AF29" s="177">
        <f t="shared" si="13"/>
        <v>6.5069349954449273E-4</v>
      </c>
      <c r="AG29" s="809">
        <f t="shared" si="23"/>
        <v>0</v>
      </c>
      <c r="AH29" s="176">
        <f t="shared" si="14"/>
        <v>6</v>
      </c>
      <c r="AI29" s="225">
        <f t="shared" si="15"/>
        <v>6.5069349954449273E-4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6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6">
        <f t="shared" si="2"/>
        <v>0</v>
      </c>
      <c r="M30" s="854"/>
      <c r="N30" s="854"/>
      <c r="O30" s="324">
        <f t="shared" si="3"/>
        <v>0</v>
      </c>
      <c r="P30" s="169">
        <f>(INDEX(Models!$BJ30:$BT30,,T30)*(1-R30)+INDEX(Models!$BJ30:$BT30,,T30+1)*R30-ERP_i)*Q30*Ramure*Pc/MaxiM</f>
        <v>8.3541444336632072E-6</v>
      </c>
      <c r="Q30" s="305">
        <f t="shared" si="19"/>
        <v>0.8</v>
      </c>
      <c r="R30" s="177">
        <f t="shared" si="4"/>
        <v>7.1287907801643883E-4</v>
      </c>
      <c r="S30" s="809">
        <f t="shared" si="20"/>
        <v>0</v>
      </c>
      <c r="T30" s="176">
        <f t="shared" si="21"/>
        <v>6</v>
      </c>
      <c r="U30" s="251">
        <f t="shared" si="22"/>
        <v>7.1287907801643883E-4</v>
      </c>
      <c r="V30" s="383">
        <f t="shared" si="5"/>
        <v>21.389043081987676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5">
        <f t="shared" si="11"/>
        <v>0</v>
      </c>
      <c r="AD30" s="169">
        <f>(INDEX(Models!$BJ30:$BT30,,AH30)*(1-AF30)+INDEX(Models!$BJ30:$BT30,,AH30+1)*AF30-ERP_i)*AE30*Ramure*Pc/MaxiM</f>
        <v>8.3541444336632072E-6</v>
      </c>
      <c r="AE30" s="305">
        <f t="shared" si="12"/>
        <v>0.8</v>
      </c>
      <c r="AF30" s="177">
        <f t="shared" si="13"/>
        <v>7.1287907801643883E-4</v>
      </c>
      <c r="AG30" s="809">
        <f t="shared" si="23"/>
        <v>0</v>
      </c>
      <c r="AH30" s="176">
        <f t="shared" si="14"/>
        <v>6</v>
      </c>
      <c r="AI30" s="225">
        <f t="shared" si="15"/>
        <v>7.1287907801643883E-4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6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6">
        <f t="shared" si="2"/>
        <v>0</v>
      </c>
      <c r="M31" s="854"/>
      <c r="N31" s="854"/>
      <c r="O31" s="324">
        <f t="shared" si="3"/>
        <v>0</v>
      </c>
      <c r="P31" s="169">
        <f>(INDEX(Models!$BJ31:$BT31,,T31)*(1-R31)+INDEX(Models!$BJ31:$BT31,,T31+1)*R31-ERP_i)*Q31*Ramure*Pc/MaxiM</f>
        <v>8.9292895143361875E-6</v>
      </c>
      <c r="Q31" s="305">
        <f t="shared" si="19"/>
        <v>0.8</v>
      </c>
      <c r="R31" s="177">
        <f t="shared" si="4"/>
        <v>7.7765974524138693E-4</v>
      </c>
      <c r="S31" s="809">
        <f t="shared" si="20"/>
        <v>0</v>
      </c>
      <c r="T31" s="176">
        <f t="shared" si="21"/>
        <v>6</v>
      </c>
      <c r="U31" s="251">
        <f t="shared" si="22"/>
        <v>7.7765974524138693E-4</v>
      </c>
      <c r="V31" s="383">
        <f t="shared" si="5"/>
        <v>21.642595947825324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5">
        <f t="shared" si="11"/>
        <v>0</v>
      </c>
      <c r="AD31" s="169">
        <f>(INDEX(Models!$BJ31:$BT31,,AH31)*(1-AF31)+INDEX(Models!$BJ31:$BT31,,AH31+1)*AF31-ERP_i)*AE31*Ramure*Pc/MaxiM</f>
        <v>8.9292895143361875E-6</v>
      </c>
      <c r="AE31" s="305">
        <f t="shared" si="12"/>
        <v>0.8</v>
      </c>
      <c r="AF31" s="177">
        <f t="shared" si="13"/>
        <v>7.7765974524138693E-4</v>
      </c>
      <c r="AG31" s="809">
        <f t="shared" si="23"/>
        <v>0</v>
      </c>
      <c r="AH31" s="176">
        <f t="shared" si="14"/>
        <v>6</v>
      </c>
      <c r="AI31" s="225">
        <f t="shared" si="15"/>
        <v>7.7765974524138693E-4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6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6">
        <f t="shared" si="2"/>
        <v>0</v>
      </c>
      <c r="M32" s="854"/>
      <c r="N32" s="854"/>
      <c r="O32" s="324">
        <f t="shared" si="3"/>
        <v>0</v>
      </c>
      <c r="P32" s="169">
        <f>(INDEX(Models!$BJ32:$BT32,,T32)*(1-R32)+INDEX(Models!$BJ32:$BT32,,T32+1)*R32-ERP_i)*Q32*Ramure*Pc/MaxiM</f>
        <v>9.4920385088585673E-6</v>
      </c>
      <c r="Q32" s="305">
        <f t="shared" si="19"/>
        <v>0.8</v>
      </c>
      <c r="R32" s="177">
        <f t="shared" si="4"/>
        <v>8.4514319981140703E-4</v>
      </c>
      <c r="S32" s="809">
        <f t="shared" si="20"/>
        <v>0</v>
      </c>
      <c r="T32" s="176">
        <f t="shared" si="21"/>
        <v>6</v>
      </c>
      <c r="U32" s="251">
        <f t="shared" si="22"/>
        <v>8.4514319981140703E-4</v>
      </c>
      <c r="V32" s="383">
        <f t="shared" si="5"/>
        <v>21.900545254677137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5">
        <f t="shared" si="11"/>
        <v>0</v>
      </c>
      <c r="AD32" s="169">
        <f>(INDEX(Models!$BJ32:$BT32,,AH32)*(1-AF32)+INDEX(Models!$BJ32:$BT32,,AH32+1)*AF32-ERP_i)*AE32*Ramure*Pc/MaxiM</f>
        <v>9.4920385088585673E-6</v>
      </c>
      <c r="AE32" s="305">
        <f t="shared" si="12"/>
        <v>0.8</v>
      </c>
      <c r="AF32" s="177">
        <f t="shared" si="13"/>
        <v>8.4514319981140703E-4</v>
      </c>
      <c r="AG32" s="809">
        <f t="shared" si="23"/>
        <v>0</v>
      </c>
      <c r="AH32" s="176">
        <f t="shared" si="14"/>
        <v>6</v>
      </c>
      <c r="AI32" s="225">
        <f t="shared" si="15"/>
        <v>8.4514319981140703E-4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6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6">
        <f t="shared" si="2"/>
        <v>0</v>
      </c>
      <c r="M33" s="854"/>
      <c r="N33" s="854"/>
      <c r="O33" s="324">
        <f t="shared" si="3"/>
        <v>0</v>
      </c>
      <c r="P33" s="169">
        <f>(INDEX(Models!$BJ33:$BT33,,T33)*(1-R33)+INDEX(Models!$BJ33:$BT33,,T33+1)*R33-ERP_i)*Q33*Ramure*Pc/MaxiM</f>
        <v>1.0039598956249507E-5</v>
      </c>
      <c r="Q33" s="305">
        <f t="shared" si="19"/>
        <v>0.8</v>
      </c>
      <c r="R33" s="177">
        <f t="shared" si="4"/>
        <v>9.1544155884446367E-4</v>
      </c>
      <c r="S33" s="809">
        <f t="shared" si="20"/>
        <v>0</v>
      </c>
      <c r="T33" s="176">
        <f t="shared" si="21"/>
        <v>6</v>
      </c>
      <c r="U33" s="251">
        <f t="shared" si="22"/>
        <v>9.1544155884446367E-4</v>
      </c>
      <c r="V33" s="383">
        <f t="shared" si="5"/>
        <v>22.162142380123928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5">
        <f t="shared" si="11"/>
        <v>0</v>
      </c>
      <c r="AD33" s="169">
        <f>(INDEX(Models!$BJ33:$BT33,,AH33)*(1-AF33)+INDEX(Models!$BJ33:$BT33,,AH33+1)*AF33-ERP_i)*AE33*Ramure*Pc/MaxiM</f>
        <v>1.0039598956249507E-5</v>
      </c>
      <c r="AE33" s="305">
        <f t="shared" si="12"/>
        <v>0.8</v>
      </c>
      <c r="AF33" s="177">
        <f t="shared" si="13"/>
        <v>9.1544155884446367E-4</v>
      </c>
      <c r="AG33" s="809">
        <f t="shared" si="23"/>
        <v>0</v>
      </c>
      <c r="AH33" s="176">
        <f t="shared" si="14"/>
        <v>6</v>
      </c>
      <c r="AI33" s="225">
        <f t="shared" si="15"/>
        <v>9.1544155884446367E-4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6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6">
        <f t="shared" si="2"/>
        <v>0</v>
      </c>
      <c r="M34" s="854"/>
      <c r="N34" s="854"/>
      <c r="O34" s="324">
        <f t="shared" si="3"/>
        <v>0</v>
      </c>
      <c r="P34" s="169">
        <f>(INDEX(Models!$BJ34:$BT34,,T34)*(1-R34)+INDEX(Models!$BJ34:$BT34,,T34+1)*R34-ERP_i)*Q34*Ramure*Pc/MaxiM</f>
        <v>1.0569158407896934E-5</v>
      </c>
      <c r="Q34" s="305">
        <f t="shared" si="19"/>
        <v>0.8</v>
      </c>
      <c r="R34" s="177">
        <f t="shared" si="4"/>
        <v>9.886715348956434E-4</v>
      </c>
      <c r="S34" s="809">
        <f t="shared" si="20"/>
        <v>0</v>
      </c>
      <c r="T34" s="176">
        <f t="shared" si="21"/>
        <v>6</v>
      </c>
      <c r="U34" s="251">
        <f t="shared" si="22"/>
        <v>9.886715348956434E-4</v>
      </c>
      <c r="V34" s="383">
        <f t="shared" si="5"/>
        <v>22.426638704320066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5">
        <f t="shared" si="11"/>
        <v>0</v>
      </c>
      <c r="AD34" s="169">
        <f>(INDEX(Models!$BJ34:$BT34,,AH34)*(1-AF34)+INDEX(Models!$BJ34:$BT34,,AH34+1)*AF34-ERP_i)*AE34*Ramure*Pc/MaxiM</f>
        <v>1.0569158407896934E-5</v>
      </c>
      <c r="AE34" s="305">
        <f t="shared" si="12"/>
        <v>0.8</v>
      </c>
      <c r="AF34" s="177">
        <f t="shared" si="13"/>
        <v>9.886715348956434E-4</v>
      </c>
      <c r="AG34" s="809">
        <f t="shared" si="23"/>
        <v>0</v>
      </c>
      <c r="AH34" s="176">
        <f t="shared" si="14"/>
        <v>6</v>
      </c>
      <c r="AI34" s="225">
        <f t="shared" si="15"/>
        <v>9.886715348956434E-4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6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6">
        <f t="shared" si="2"/>
        <v>0</v>
      </c>
      <c r="M35" s="854"/>
      <c r="N35" s="854"/>
      <c r="O35" s="324">
        <f t="shared" si="3"/>
        <v>0</v>
      </c>
      <c r="P35" s="169">
        <f>(INDEX(Models!$BJ35:$BT35,,T35)*(1-R35)+INDEX(Models!$BJ35:$BT35,,T35+1)*R35-ERP_i)*Q35*Ramure*Pc/MaxiM</f>
        <v>1.1077847762805129E-5</v>
      </c>
      <c r="Q35" s="305">
        <f t="shared" si="19"/>
        <v>0.8</v>
      </c>
      <c r="R35" s="177">
        <f t="shared" si="4"/>
        <v>1.0649546195790724E-3</v>
      </c>
      <c r="S35" s="809">
        <f t="shared" si="20"/>
        <v>0</v>
      </c>
      <c r="T35" s="176">
        <f t="shared" si="21"/>
        <v>6</v>
      </c>
      <c r="U35" s="251">
        <f t="shared" si="22"/>
        <v>1.0649546195790724E-3</v>
      </c>
      <c r="V35" s="383">
        <f t="shared" si="5"/>
        <v>22.693285612309474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5">
        <f t="shared" si="11"/>
        <v>0</v>
      </c>
      <c r="AD35" s="169">
        <f>(INDEX(Models!$BJ35:$BT35,,AH35)*(1-AF35)+INDEX(Models!$BJ35:$BT35,,AH35+1)*AF35-ERP_i)*AE35*Ramure*Pc/MaxiM</f>
        <v>1.1077847762805129E-5</v>
      </c>
      <c r="AE35" s="305">
        <f t="shared" si="12"/>
        <v>0.8</v>
      </c>
      <c r="AF35" s="177">
        <f t="shared" si="13"/>
        <v>1.0649546195790724E-3</v>
      </c>
      <c r="AG35" s="809">
        <f t="shared" si="23"/>
        <v>0</v>
      </c>
      <c r="AH35" s="176">
        <f t="shared" si="14"/>
        <v>6</v>
      </c>
      <c r="AI35" s="225">
        <f t="shared" si="15"/>
        <v>1.0649546195790724E-3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6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6">
        <f t="shared" si="2"/>
        <v>0</v>
      </c>
      <c r="M36" s="854"/>
      <c r="N36" s="854"/>
      <c r="O36" s="324">
        <f t="shared" si="3"/>
        <v>0</v>
      </c>
      <c r="P36" s="169">
        <f>(INDEX(Models!$BJ36:$BT36,,T36)*(1-R36)+INDEX(Models!$BJ36:$BT36,,T36+1)*R36-ERP_i)*Q36*Ramure*Pc/MaxiM</f>
        <v>1.1562648311667108E-5</v>
      </c>
      <c r="Q36" s="305">
        <f t="shared" si="19"/>
        <v>0.8</v>
      </c>
      <c r="R36" s="177">
        <f t="shared" si="4"/>
        <v>1.1444172741175869E-3</v>
      </c>
      <c r="S36" s="809">
        <f t="shared" si="20"/>
        <v>0</v>
      </c>
      <c r="T36" s="176">
        <f t="shared" si="21"/>
        <v>6</v>
      </c>
      <c r="U36" s="251">
        <f t="shared" si="22"/>
        <v>1.1444172741175869E-3</v>
      </c>
      <c r="V36" s="383">
        <f t="shared" si="5"/>
        <v>22.961334502760742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5">
        <f t="shared" si="11"/>
        <v>0</v>
      </c>
      <c r="AD36" s="169">
        <f>(INDEX(Models!$BJ36:$BT36,,AH36)*(1-AF36)+INDEX(Models!$BJ36:$BT36,,AH36+1)*AF36-ERP_i)*AE36*Ramure*Pc/MaxiM</f>
        <v>1.1562648311667108E-5</v>
      </c>
      <c r="AE36" s="305">
        <f t="shared" si="12"/>
        <v>0.8</v>
      </c>
      <c r="AF36" s="177">
        <f t="shared" si="13"/>
        <v>1.1444172741175869E-3</v>
      </c>
      <c r="AG36" s="809">
        <f t="shared" si="23"/>
        <v>0</v>
      </c>
      <c r="AH36" s="176">
        <f t="shared" si="14"/>
        <v>6</v>
      </c>
      <c r="AI36" s="225">
        <f t="shared" si="15"/>
        <v>1.1444172741175869E-3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6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6">
        <f t="shared" si="2"/>
        <v>0</v>
      </c>
      <c r="M37" s="854"/>
      <c r="N37" s="854"/>
      <c r="O37" s="324">
        <f t="shared" si="3"/>
        <v>0</v>
      </c>
      <c r="P37" s="169">
        <f>(INDEX(Models!$BJ37:$BT37,,T37)*(1-R37)+INDEX(Models!$BJ37:$BT37,,T37+1)*R37-ERP_i)*Q37*Ramure*Pc/MaxiM</f>
        <v>1.2019193616012914E-5</v>
      </c>
      <c r="Q37" s="305">
        <f t="shared" si="19"/>
        <v>0.8</v>
      </c>
      <c r="R37" s="177">
        <f t="shared" si="4"/>
        <v>1.2271911270503393E-3</v>
      </c>
      <c r="S37" s="809">
        <f t="shared" si="20"/>
        <v>0</v>
      </c>
      <c r="T37" s="176">
        <f t="shared" si="21"/>
        <v>6</v>
      </c>
      <c r="U37" s="251">
        <f t="shared" si="22"/>
        <v>1.2271911270503393E-3</v>
      </c>
      <c r="V37" s="383">
        <f t="shared" si="5"/>
        <v>23.232389857134937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5">
        <f t="shared" si="11"/>
        <v>0</v>
      </c>
      <c r="AD37" s="169">
        <f>(INDEX(Models!$BJ37:$BT37,,AH37)*(1-AF37)+INDEX(Models!$BJ37:$BT37,,AH37+1)*AF37-ERP_i)*AE37*Ramure*Pc/MaxiM</f>
        <v>1.2019193616012914E-5</v>
      </c>
      <c r="AE37" s="305">
        <f t="shared" si="12"/>
        <v>0.8</v>
      </c>
      <c r="AF37" s="177">
        <f t="shared" si="13"/>
        <v>1.2271911270503393E-3</v>
      </c>
      <c r="AG37" s="809">
        <f t="shared" si="23"/>
        <v>0</v>
      </c>
      <c r="AH37" s="176">
        <f t="shared" si="14"/>
        <v>6</v>
      </c>
      <c r="AI37" s="225">
        <f t="shared" si="15"/>
        <v>1.2271911270503393E-3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6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6">
        <f t="shared" si="2"/>
        <v>0</v>
      </c>
      <c r="M38" s="854"/>
      <c r="N38" s="854"/>
      <c r="O38" s="324">
        <f t="shared" si="3"/>
        <v>0</v>
      </c>
      <c r="P38" s="169">
        <f>(INDEX(Models!$BJ38:$BT38,,T38)*(1-R38)+INDEX(Models!$BJ38:$BT38,,T38+1)*R38-ERP_i)*Q38*Ramure*Pc/MaxiM</f>
        <v>1.2463695520766116E-5</v>
      </c>
      <c r="Q38" s="305">
        <f t="shared" si="19"/>
        <v>0.8</v>
      </c>
      <c r="R38" s="177">
        <f t="shared" si="4"/>
        <v>1.3134131793257114E-3</v>
      </c>
      <c r="S38" s="809">
        <f t="shared" si="20"/>
        <v>0</v>
      </c>
      <c r="T38" s="176">
        <f t="shared" si="21"/>
        <v>6</v>
      </c>
      <c r="U38" s="251">
        <f t="shared" si="22"/>
        <v>1.3134131793257114E-3</v>
      </c>
      <c r="V38" s="383">
        <f t="shared" si="5"/>
        <v>23.508406702730962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5">
        <f t="shared" si="11"/>
        <v>0</v>
      </c>
      <c r="AD38" s="169">
        <f>(INDEX(Models!$BJ38:$BT38,,AH38)*(1-AF38)+INDEX(Models!$BJ38:$BT38,,AH38+1)*AF38-ERP_i)*AE38*Ramure*Pc/MaxiM</f>
        <v>1.2463695520766116E-5</v>
      </c>
      <c r="AE38" s="305">
        <f t="shared" si="12"/>
        <v>0.8</v>
      </c>
      <c r="AF38" s="177">
        <f t="shared" si="13"/>
        <v>1.3134131793257114E-3</v>
      </c>
      <c r="AG38" s="809">
        <f t="shared" si="23"/>
        <v>0</v>
      </c>
      <c r="AH38" s="176">
        <f t="shared" si="14"/>
        <v>6</v>
      </c>
      <c r="AI38" s="225">
        <f t="shared" si="15"/>
        <v>1.3134131793257114E-3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6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6">
        <f t="shared" si="2"/>
        <v>0</v>
      </c>
      <c r="M39" s="854"/>
      <c r="N39" s="854"/>
      <c r="O39" s="324">
        <f t="shared" si="3"/>
        <v>0</v>
      </c>
      <c r="P39" s="169">
        <f>(INDEX(Models!$BJ39:$BT39,,T39)*(1-R39)+INDEX(Models!$BJ39:$BT39,,T39+1)*R39-ERP_i)*Q39*Ramure*Pc/MaxiM</f>
        <v>1.2914531354253446E-5</v>
      </c>
      <c r="Q39" s="305">
        <f t="shared" si="19"/>
        <v>0.8</v>
      </c>
      <c r="R39" s="177">
        <f t="shared" si="4"/>
        <v>1.4032260170155912E-3</v>
      </c>
      <c r="S39" s="809">
        <f t="shared" si="20"/>
        <v>0</v>
      </c>
      <c r="T39" s="176">
        <f t="shared" si="21"/>
        <v>6</v>
      </c>
      <c r="U39" s="251">
        <f t="shared" si="22"/>
        <v>1.4032260170155912E-3</v>
      </c>
      <c r="V39" s="383">
        <f t="shared" si="5"/>
        <v>23.789162448289119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5">
        <f t="shared" si="11"/>
        <v>0</v>
      </c>
      <c r="AD39" s="169">
        <f>(INDEX(Models!$BJ39:$BT39,,AH39)*(1-AF39)+INDEX(Models!$BJ39:$BT39,,AH39+1)*AF39-ERP_i)*AE39*Ramure*Pc/MaxiM</f>
        <v>1.2914531354253446E-5</v>
      </c>
      <c r="AE39" s="305">
        <f t="shared" si="12"/>
        <v>0.8</v>
      </c>
      <c r="AF39" s="177">
        <f t="shared" si="13"/>
        <v>1.4032260170155912E-3</v>
      </c>
      <c r="AG39" s="809">
        <f t="shared" si="23"/>
        <v>0</v>
      </c>
      <c r="AH39" s="176">
        <f t="shared" si="14"/>
        <v>6</v>
      </c>
      <c r="AI39" s="225">
        <f t="shared" si="15"/>
        <v>1.4032260170155912E-3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6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6">
        <f t="shared" si="2"/>
        <v>0</v>
      </c>
      <c r="M40" s="854"/>
      <c r="N40" s="854"/>
      <c r="O40" s="324">
        <f t="shared" si="3"/>
        <v>0</v>
      </c>
      <c r="P40" s="169">
        <f>(INDEX(Models!$BJ40:$BT40,,T40)*(1-R40)+INDEX(Models!$BJ40:$BT40,,T40+1)*R40-ERP_i)*Q40*Ramure*Pc/MaxiM</f>
        <v>1.3374342958701629E-5</v>
      </c>
      <c r="Q40" s="305">
        <f t="shared" si="19"/>
        <v>0.8</v>
      </c>
      <c r="R40" s="177">
        <f t="shared" si="4"/>
        <v>1.4967780318867936E-3</v>
      </c>
      <c r="S40" s="809">
        <f t="shared" si="20"/>
        <v>0</v>
      </c>
      <c r="T40" s="176">
        <f t="shared" si="21"/>
        <v>6</v>
      </c>
      <c r="U40" s="251">
        <f t="shared" si="22"/>
        <v>1.4967780318867936E-3</v>
      </c>
      <c r="V40" s="383">
        <f t="shared" si="5"/>
        <v>24.074434866673201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5">
        <f t="shared" si="11"/>
        <v>0</v>
      </c>
      <c r="AD40" s="169">
        <f>(INDEX(Models!$BJ40:$BT40,,AH40)*(1-AF40)+INDEX(Models!$BJ40:$BT40,,AH40+1)*AF40-ERP_i)*AE40*Ramure*Pc/MaxiM</f>
        <v>1.3374342958701629E-5</v>
      </c>
      <c r="AE40" s="305">
        <f t="shared" si="12"/>
        <v>0.8</v>
      </c>
      <c r="AF40" s="177">
        <f t="shared" si="13"/>
        <v>1.4967780318867936E-3</v>
      </c>
      <c r="AG40" s="809">
        <f t="shared" si="23"/>
        <v>0</v>
      </c>
      <c r="AH40" s="176">
        <f t="shared" si="14"/>
        <v>6</v>
      </c>
      <c r="AI40" s="225">
        <f t="shared" si="15"/>
        <v>1.4967780318867936E-3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6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6">
        <f t="shared" si="2"/>
        <v>0</v>
      </c>
      <c r="M41" s="854"/>
      <c r="N41" s="854"/>
      <c r="O41" s="324">
        <f t="shared" si="3"/>
        <v>0</v>
      </c>
      <c r="P41" s="169">
        <f>(INDEX(Models!$BJ41:$BT41,,T41)*(1-R41)+INDEX(Models!$BJ41:$BT41,,T41+1)*R41-ERP_i)*Q41*Ramure*Pc/MaxiM</f>
        <v>1.3845902555628725E-5</v>
      </c>
      <c r="Q41" s="305">
        <f t="shared" si="19"/>
        <v>0.8</v>
      </c>
      <c r="R41" s="177">
        <f t="shared" si="4"/>
        <v>1.5942236500728843E-3</v>
      </c>
      <c r="S41" s="809">
        <f t="shared" si="20"/>
        <v>0</v>
      </c>
      <c r="T41" s="176">
        <f t="shared" si="21"/>
        <v>6</v>
      </c>
      <c r="U41" s="251">
        <f t="shared" si="22"/>
        <v>1.5942236500728843E-3</v>
      </c>
      <c r="V41" s="383">
        <f t="shared" si="5"/>
        <v>24.364001720644275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5">
        <f t="shared" si="11"/>
        <v>0</v>
      </c>
      <c r="AD41" s="169">
        <f>(INDEX(Models!$BJ41:$BT41,,AH41)*(1-AF41)+INDEX(Models!$BJ41:$BT41,,AH41+1)*AF41-ERP_i)*AE41*Ramure*Pc/MaxiM</f>
        <v>1.3845902555628725E-5</v>
      </c>
      <c r="AE41" s="305">
        <f t="shared" si="12"/>
        <v>0.8</v>
      </c>
      <c r="AF41" s="177">
        <f t="shared" si="13"/>
        <v>1.5942236500728843E-3</v>
      </c>
      <c r="AG41" s="809">
        <f t="shared" si="23"/>
        <v>0</v>
      </c>
      <c r="AH41" s="176">
        <f t="shared" si="14"/>
        <v>6</v>
      </c>
      <c r="AI41" s="225">
        <f t="shared" si="15"/>
        <v>1.5942236500728843E-3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6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6">
        <f t="shared" si="2"/>
        <v>0</v>
      </c>
      <c r="M42" s="854"/>
      <c r="N42" s="854"/>
      <c r="O42" s="324">
        <f t="shared" si="3"/>
        <v>0</v>
      </c>
      <c r="P42" s="169">
        <f>(INDEX(Models!$BJ42:$BT42,,T42)*(1-R42)+INDEX(Models!$BJ42:$BT42,,T42+1)*R42-ERP_i)*Q42*Ramure*Pc/MaxiM</f>
        <v>1.4332118022570848E-5</v>
      </c>
      <c r="Q42" s="305">
        <f t="shared" si="19"/>
        <v>0.8</v>
      </c>
      <c r="R42" s="177">
        <f t="shared" si="4"/>
        <v>1.695723569088027E-3</v>
      </c>
      <c r="S42" s="809">
        <f t="shared" si="20"/>
        <v>0</v>
      </c>
      <c r="T42" s="176">
        <f t="shared" si="21"/>
        <v>6</v>
      </c>
      <c r="U42" s="251">
        <f t="shared" si="22"/>
        <v>1.695723569088027E-3</v>
      </c>
      <c r="V42" s="383">
        <f t="shared" si="5"/>
        <v>24.657640767235218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5">
        <f t="shared" si="11"/>
        <v>0</v>
      </c>
      <c r="AD42" s="169">
        <f>(INDEX(Models!$BJ42:$BT42,,AH42)*(1-AF42)+INDEX(Models!$BJ42:$BT42,,AH42+1)*AF42-ERP_i)*AE42*Ramure*Pc/MaxiM</f>
        <v>1.4332118022570848E-5</v>
      </c>
      <c r="AE42" s="305">
        <f t="shared" si="12"/>
        <v>0.8</v>
      </c>
      <c r="AF42" s="177">
        <f t="shared" si="13"/>
        <v>1.695723569088027E-3</v>
      </c>
      <c r="AG42" s="809">
        <f t="shared" si="23"/>
        <v>0</v>
      </c>
      <c r="AH42" s="176">
        <f t="shared" si="14"/>
        <v>6</v>
      </c>
      <c r="AI42" s="225">
        <f t="shared" si="15"/>
        <v>1.695723569088027E-3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6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6">
        <f t="shared" si="2"/>
        <v>0</v>
      </c>
      <c r="M43" s="854"/>
      <c r="N43" s="854"/>
      <c r="O43" s="324">
        <f t="shared" si="3"/>
        <v>0</v>
      </c>
      <c r="P43" s="169">
        <f>(INDEX(Models!$BJ43:$BT43,,T43)*(1-R43)+INDEX(Models!$BJ43:$BT43,,T43+1)*R43-ERP_i)*Q43*Ramure*Pc/MaxiM</f>
        <v>1.4836039056151849E-5</v>
      </c>
      <c r="Q43" s="305">
        <f t="shared" si="19"/>
        <v>0.8</v>
      </c>
      <c r="R43" s="177">
        <f t="shared" si="4"/>
        <v>1.8014450034303546E-3</v>
      </c>
      <c r="S43" s="809">
        <f t="shared" si="20"/>
        <v>0</v>
      </c>
      <c r="T43" s="176">
        <f t="shared" si="21"/>
        <v>6</v>
      </c>
      <c r="U43" s="251">
        <f t="shared" si="22"/>
        <v>1.8014450034303546E-3</v>
      </c>
      <c r="V43" s="383">
        <f t="shared" si="5"/>
        <v>24.955129759011268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5">
        <f t="shared" si="11"/>
        <v>0</v>
      </c>
      <c r="AD43" s="169">
        <f>(INDEX(Models!$BJ43:$BT43,,AH43)*(1-AF43)+INDEX(Models!$BJ43:$BT43,,AH43+1)*AF43-ERP_i)*AE43*Ramure*Pc/MaxiM</f>
        <v>1.4836039056151849E-5</v>
      </c>
      <c r="AE43" s="305">
        <f t="shared" si="12"/>
        <v>0.8</v>
      </c>
      <c r="AF43" s="177">
        <f t="shared" si="13"/>
        <v>1.8014450034303546E-3</v>
      </c>
      <c r="AG43" s="809">
        <f t="shared" si="23"/>
        <v>0</v>
      </c>
      <c r="AH43" s="176">
        <f t="shared" si="14"/>
        <v>6</v>
      </c>
      <c r="AI43" s="225">
        <f t="shared" si="15"/>
        <v>1.8014450034303546E-3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6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6">
        <f t="shared" si="2"/>
        <v>0</v>
      </c>
      <c r="M44" s="854"/>
      <c r="N44" s="854"/>
      <c r="O44" s="324">
        <f t="shared" si="3"/>
        <v>0</v>
      </c>
      <c r="P44" s="169">
        <f>(INDEX(Models!$BJ44:$BT44,,T44)*(1-R44)+INDEX(Models!$BJ44:$BT44,,T44+1)*R44-ERP_i)*Q44*Ramure*Pc/MaxiM</f>
        <v>1.5383494011389923E-5</v>
      </c>
      <c r="Q44" s="305">
        <f t="shared" si="19"/>
        <v>0.8</v>
      </c>
      <c r="R44" s="177">
        <f t="shared" si="4"/>
        <v>1.9115619390225205E-3</v>
      </c>
      <c r="S44" s="809">
        <f t="shared" si="20"/>
        <v>0</v>
      </c>
      <c r="T44" s="176">
        <f t="shared" si="21"/>
        <v>6</v>
      </c>
      <c r="U44" s="251">
        <f t="shared" si="22"/>
        <v>1.9115619390225205E-3</v>
      </c>
      <c r="V44" s="383">
        <f t="shared" si="5"/>
        <v>25.256245866565269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5">
        <f t="shared" si="11"/>
        <v>0</v>
      </c>
      <c r="AD44" s="169">
        <f>(INDEX(Models!$BJ44:$BT44,,AH44)*(1-AF44)+INDEX(Models!$BJ44:$BT44,,AH44+1)*AF44-ERP_i)*AE44*Ramure*Pc/MaxiM</f>
        <v>1.5383494011389923E-5</v>
      </c>
      <c r="AE44" s="305">
        <f t="shared" si="12"/>
        <v>0.8</v>
      </c>
      <c r="AF44" s="177">
        <f t="shared" si="13"/>
        <v>1.9115619390225205E-3</v>
      </c>
      <c r="AG44" s="809">
        <f t="shared" si="23"/>
        <v>0</v>
      </c>
      <c r="AH44" s="176">
        <f t="shared" si="14"/>
        <v>6</v>
      </c>
      <c r="AI44" s="225">
        <f t="shared" si="15"/>
        <v>1.9115619390225205E-3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6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6">
        <f t="shared" si="2"/>
        <v>0</v>
      </c>
      <c r="M45" s="854"/>
      <c r="N45" s="854"/>
      <c r="O45" s="324">
        <f t="shared" si="3"/>
        <v>0</v>
      </c>
      <c r="P45" s="169">
        <f>(INDEX(Models!$BJ45:$BT45,,T45)*(1-R45)+INDEX(Models!$BJ45:$BT45,,T45+1)*R45-ERP_i)*Q45*Ramure*Pc/MaxiM</f>
        <v>1.598601888695723E-5</v>
      </c>
      <c r="Q45" s="305">
        <f t="shared" si="19"/>
        <v>0.8</v>
      </c>
      <c r="R45" s="177">
        <f t="shared" si="4"/>
        <v>2.0262553967385932E-3</v>
      </c>
      <c r="S45" s="809">
        <f t="shared" si="20"/>
        <v>0</v>
      </c>
      <c r="T45" s="176">
        <f t="shared" si="21"/>
        <v>6</v>
      </c>
      <c r="U45" s="251">
        <f t="shared" si="22"/>
        <v>2.0262553967385932E-3</v>
      </c>
      <c r="V45" s="383">
        <f t="shared" si="5"/>
        <v>25.560766596794714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5">
        <f t="shared" si="11"/>
        <v>0</v>
      </c>
      <c r="AD45" s="169">
        <f>(INDEX(Models!$BJ45:$BT45,,AH45)*(1-AF45)+INDEX(Models!$BJ45:$BT45,,AH45+1)*AF45-ERP_i)*AE45*Ramure*Pc/MaxiM</f>
        <v>1.598601888695723E-5</v>
      </c>
      <c r="AE45" s="305">
        <f t="shared" si="12"/>
        <v>0.8</v>
      </c>
      <c r="AF45" s="177">
        <f t="shared" si="13"/>
        <v>2.0262553967385932E-3</v>
      </c>
      <c r="AG45" s="809">
        <f t="shared" si="23"/>
        <v>0</v>
      </c>
      <c r="AH45" s="176">
        <f t="shared" si="14"/>
        <v>6</v>
      </c>
      <c r="AI45" s="225">
        <f t="shared" si="15"/>
        <v>2.0262553967385932E-3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6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6">
        <f t="shared" si="2"/>
        <v>0</v>
      </c>
      <c r="M46" s="854"/>
      <c r="N46" s="854"/>
      <c r="O46" s="324">
        <f t="shared" si="3"/>
        <v>0</v>
      </c>
      <c r="P46" s="169">
        <f>(INDEX(Models!$BJ46:$BT46,,T46)*(1-R46)+INDEX(Models!$BJ46:$BT46,,T46+1)*R46-ERP_i)*Q46*Ramure*Pc/MaxiM</f>
        <v>1.6651202996454665E-5</v>
      </c>
      <c r="Q46" s="305">
        <f t="shared" si="19"/>
        <v>0.8</v>
      </c>
      <c r="R46" s="177">
        <f t="shared" si="4"/>
        <v>2.1457137052671624E-3</v>
      </c>
      <c r="S46" s="809">
        <f t="shared" si="20"/>
        <v>0</v>
      </c>
      <c r="T46" s="176">
        <f t="shared" si="21"/>
        <v>6</v>
      </c>
      <c r="U46" s="251">
        <f t="shared" si="22"/>
        <v>2.1457137052671624E-3</v>
      </c>
      <c r="V46" s="383">
        <f t="shared" si="5"/>
        <v>25.86846954293911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5">
        <f t="shared" si="11"/>
        <v>0</v>
      </c>
      <c r="AD46" s="169">
        <f>(INDEX(Models!$BJ46:$BT46,,AH46)*(1-AF46)+INDEX(Models!$BJ46:$BT46,,AH46+1)*AF46-ERP_i)*AE46*Ramure*Pc/MaxiM</f>
        <v>1.6651202996454665E-5</v>
      </c>
      <c r="AE46" s="305">
        <f t="shared" si="12"/>
        <v>0.8</v>
      </c>
      <c r="AF46" s="177">
        <f t="shared" si="13"/>
        <v>2.1457137052671624E-3</v>
      </c>
      <c r="AG46" s="809">
        <f t="shared" si="23"/>
        <v>0</v>
      </c>
      <c r="AH46" s="176">
        <f t="shared" si="14"/>
        <v>6</v>
      </c>
      <c r="AI46" s="225">
        <f t="shared" si="15"/>
        <v>2.1457137052671624E-3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6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6">
        <f t="shared" si="2"/>
        <v>0</v>
      </c>
      <c r="M47" s="854"/>
      <c r="N47" s="854"/>
      <c r="O47" s="324">
        <f t="shared" si="3"/>
        <v>0</v>
      </c>
      <c r="P47" s="169">
        <f>(INDEX(Models!$BJ47:$BT47,,T47)*(1-R47)+INDEX(Models!$BJ47:$BT47,,T47+1)*R47-ERP_i)*Q47*Ramure*Pc/MaxiM</f>
        <v>1.738701997760002E-5</v>
      </c>
      <c r="Q47" s="305">
        <f t="shared" si="19"/>
        <v>0.8</v>
      </c>
      <c r="R47" s="177">
        <f t="shared" si="4"/>
        <v>2.2701327835610192E-3</v>
      </c>
      <c r="S47" s="809">
        <f t="shared" si="20"/>
        <v>0</v>
      </c>
      <c r="T47" s="176">
        <f t="shared" si="21"/>
        <v>6</v>
      </c>
      <c r="U47" s="251">
        <f t="shared" si="22"/>
        <v>2.2701327835610192E-3</v>
      </c>
      <c r="V47" s="383">
        <f t="shared" si="5"/>
        <v>26.179132278172837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5">
        <f t="shared" si="11"/>
        <v>0</v>
      </c>
      <c r="AD47" s="169">
        <f>(INDEX(Models!$BJ47:$BT47,,AH47)*(1-AF47)+INDEX(Models!$BJ47:$BT47,,AH47+1)*AF47-ERP_i)*AE47*Ramure*Pc/MaxiM</f>
        <v>1.738701997760002E-5</v>
      </c>
      <c r="AE47" s="305">
        <f t="shared" si="12"/>
        <v>0.8</v>
      </c>
      <c r="AF47" s="177">
        <f t="shared" si="13"/>
        <v>2.2701327835610192E-3</v>
      </c>
      <c r="AG47" s="809">
        <f t="shared" si="23"/>
        <v>0</v>
      </c>
      <c r="AH47" s="176">
        <f t="shared" si="14"/>
        <v>6</v>
      </c>
      <c r="AI47" s="225">
        <f t="shared" si="15"/>
        <v>2.2701327835610192E-3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6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6">
        <f t="shared" si="2"/>
        <v>0</v>
      </c>
      <c r="M48" s="854"/>
      <c r="N48" s="854"/>
      <c r="O48" s="324">
        <f t="shared" si="3"/>
        <v>0</v>
      </c>
      <c r="P48" s="169">
        <f>(INDEX(Models!$BJ48:$BT48,,T48)*(1-R48)+INDEX(Models!$BJ48:$BT48,,T48+1)*R48-ERP_i)*Q48*Ramure*Pc/MaxiM</f>
        <v>1.8201853519751188E-5</v>
      </c>
      <c r="Q48" s="305">
        <f t="shared" si="19"/>
        <v>0.8</v>
      </c>
      <c r="R48" s="177">
        <f t="shared" si="4"/>
        <v>2.3997164331205994E-3</v>
      </c>
      <c r="S48" s="809">
        <f t="shared" si="20"/>
        <v>0</v>
      </c>
      <c r="T48" s="176">
        <f t="shared" si="21"/>
        <v>6</v>
      </c>
      <c r="U48" s="251">
        <f t="shared" si="22"/>
        <v>2.3997164331205994E-3</v>
      </c>
      <c r="V48" s="383">
        <f t="shared" si="5"/>
        <v>26.492532355379815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5">
        <f t="shared" si="11"/>
        <v>0</v>
      </c>
      <c r="AD48" s="169">
        <f>(INDEX(Models!$BJ48:$BT48,,AH48)*(1-AF48)+INDEX(Models!$BJ48:$BT48,,AH48+1)*AF48-ERP_i)*AE48*Ramure*Pc/MaxiM</f>
        <v>1.8201853519751188E-5</v>
      </c>
      <c r="AE48" s="305">
        <f t="shared" si="12"/>
        <v>0.8</v>
      </c>
      <c r="AF48" s="177">
        <f t="shared" si="13"/>
        <v>2.3997164331205994E-3</v>
      </c>
      <c r="AG48" s="809">
        <f t="shared" si="23"/>
        <v>0</v>
      </c>
      <c r="AH48" s="176">
        <f t="shared" si="14"/>
        <v>6</v>
      </c>
      <c r="AI48" s="225">
        <f t="shared" si="15"/>
        <v>2.3997164331205994E-3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6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6">
        <f t="shared" si="2"/>
        <v>0</v>
      </c>
      <c r="M49" s="854"/>
      <c r="N49" s="854"/>
      <c r="O49" s="324">
        <f t="shared" si="3"/>
        <v>0</v>
      </c>
      <c r="P49" s="169">
        <f>(INDEX(Models!$BJ49:$BT49,,T49)*(1-R49)+INDEX(Models!$BJ49:$BT49,,T49+1)*R49-ERP_i)*Q49*Ramure*Pc/MaxiM</f>
        <v>1.9104525115027808E-5</v>
      </c>
      <c r="Q49" s="305">
        <f t="shared" si="19"/>
        <v>0.8</v>
      </c>
      <c r="R49" s="177">
        <f t="shared" si="4"/>
        <v>2.5346766403597605E-3</v>
      </c>
      <c r="S49" s="809">
        <f t="shared" si="20"/>
        <v>0</v>
      </c>
      <c r="T49" s="176">
        <f t="shared" si="21"/>
        <v>6</v>
      </c>
      <c r="U49" s="251">
        <f t="shared" si="22"/>
        <v>2.5346766403597605E-3</v>
      </c>
      <c r="V49" s="383">
        <f t="shared" si="5"/>
        <v>26.808447302613608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5">
        <f t="shared" si="11"/>
        <v>0</v>
      </c>
      <c r="AD49" s="169">
        <f>(INDEX(Models!$BJ49:$BT49,,AH49)*(1-AF49)+INDEX(Models!$BJ49:$BT49,,AH49+1)*AF49-ERP_i)*AE49*Ramure*Pc/MaxiM</f>
        <v>1.9104525115027808E-5</v>
      </c>
      <c r="AE49" s="305">
        <f t="shared" si="12"/>
        <v>0.8</v>
      </c>
      <c r="AF49" s="177">
        <f t="shared" si="13"/>
        <v>2.5346766403597605E-3</v>
      </c>
      <c r="AG49" s="809">
        <f t="shared" si="23"/>
        <v>0</v>
      </c>
      <c r="AH49" s="176">
        <f t="shared" si="14"/>
        <v>6</v>
      </c>
      <c r="AI49" s="225">
        <f t="shared" si="15"/>
        <v>2.5346766403597605E-3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6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6">
        <f t="shared" si="2"/>
        <v>0</v>
      </c>
      <c r="M50" s="854"/>
      <c r="N50" s="854"/>
      <c r="O50" s="324">
        <f t="shared" si="3"/>
        <v>0</v>
      </c>
      <c r="P50" s="169">
        <f>(INDEX(Models!$BJ50:$BT50,,T50)*(1-R50)+INDEX(Models!$BJ50:$BT50,,T50+1)*R50-ERP_i)*Q50*Ramure*Pc/MaxiM</f>
        <v>2.0104323880040479E-5</v>
      </c>
      <c r="Q50" s="305">
        <f t="shared" si="19"/>
        <v>0.8</v>
      </c>
      <c r="R50" s="177">
        <f t="shared" si="4"/>
        <v>2.6752338892967798E-3</v>
      </c>
      <c r="S50" s="809">
        <f t="shared" si="20"/>
        <v>0</v>
      </c>
      <c r="T50" s="176">
        <f t="shared" si="21"/>
        <v>6</v>
      </c>
      <c r="U50" s="251">
        <f t="shared" si="22"/>
        <v>2.6752338892967798E-3</v>
      </c>
      <c r="V50" s="383">
        <f t="shared" si="5"/>
        <v>27.126654626345843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5">
        <f t="shared" si="11"/>
        <v>0</v>
      </c>
      <c r="AD50" s="169">
        <f>(INDEX(Models!$BJ50:$BT50,,AH50)*(1-AF50)+INDEX(Models!$BJ50:$BT50,,AH50+1)*AF50-ERP_i)*AE50*Ramure*Pc/MaxiM</f>
        <v>2.0104323880040479E-5</v>
      </c>
      <c r="AE50" s="305">
        <f t="shared" si="12"/>
        <v>0.8</v>
      </c>
      <c r="AF50" s="177">
        <f t="shared" si="13"/>
        <v>2.6752338892967798E-3</v>
      </c>
      <c r="AG50" s="809">
        <f t="shared" si="23"/>
        <v>0</v>
      </c>
      <c r="AH50" s="176">
        <f t="shared" si="14"/>
        <v>6</v>
      </c>
      <c r="AI50" s="225">
        <f t="shared" si="15"/>
        <v>2.6752338892967798E-3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6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6">
        <f t="shared" si="2"/>
        <v>0</v>
      </c>
      <c r="M51" s="854"/>
      <c r="N51" s="854"/>
      <c r="O51" s="324">
        <f t="shared" si="3"/>
        <v>0</v>
      </c>
      <c r="P51" s="169">
        <f>(INDEX(Models!$BJ51:$BT51,,T51)*(1-R51)+INDEX(Models!$BJ51:$BT51,,T51+1)*R51-ERP_i)*Q51*Ramure*Pc/MaxiM</f>
        <v>2.1211353280476048E-5</v>
      </c>
      <c r="Q51" s="305">
        <f t="shared" si="19"/>
        <v>0.8</v>
      </c>
      <c r="R51" s="177">
        <f t="shared" si="4"/>
        <v>2.8216174848097594E-3</v>
      </c>
      <c r="S51" s="809">
        <f t="shared" si="20"/>
        <v>0</v>
      </c>
      <c r="T51" s="176">
        <f t="shared" si="21"/>
        <v>6</v>
      </c>
      <c r="U51" s="251">
        <f t="shared" si="22"/>
        <v>2.8216174848097594E-3</v>
      </c>
      <c r="V51" s="383">
        <f t="shared" si="5"/>
        <v>27.446524515275907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5">
        <f t="shared" si="11"/>
        <v>0</v>
      </c>
      <c r="AD51" s="169">
        <f>(INDEX(Models!$BJ51:$BT51,,AH51)*(1-AF51)+INDEX(Models!$BJ51:$BT51,,AH51+1)*AF51-ERP_i)*AE51*Ramure*Pc/MaxiM</f>
        <v>2.1211353280476048E-5</v>
      </c>
      <c r="AE51" s="305">
        <f t="shared" si="12"/>
        <v>0.8</v>
      </c>
      <c r="AF51" s="177">
        <f t="shared" si="13"/>
        <v>2.8216174848097594E-3</v>
      </c>
      <c r="AG51" s="809">
        <f t="shared" si="23"/>
        <v>0</v>
      </c>
      <c r="AH51" s="176">
        <f t="shared" si="14"/>
        <v>6</v>
      </c>
      <c r="AI51" s="225">
        <f t="shared" si="15"/>
        <v>2.8216174848097594E-3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6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6">
        <f t="shared" si="2"/>
        <v>0</v>
      </c>
      <c r="M52" s="854"/>
      <c r="N52" s="854"/>
      <c r="O52" s="324">
        <f t="shared" si="3"/>
        <v>0</v>
      </c>
      <c r="P52" s="169">
        <f>(INDEX(Models!$BJ52:$BT52,,T52)*(1-R52)+INDEX(Models!$BJ52:$BT52,,T52+1)*R52-ERP_i)*Q52*Ramure*Pc/MaxiM</f>
        <v>2.2447597514121189E-5</v>
      </c>
      <c r="Q52" s="305">
        <f t="shared" si="19"/>
        <v>0.8</v>
      </c>
      <c r="R52" s="177">
        <f t="shared" si="4"/>
        <v>2.9740658866915198E-3</v>
      </c>
      <c r="S52" s="809">
        <f t="shared" si="20"/>
        <v>0</v>
      </c>
      <c r="T52" s="176">
        <f t="shared" si="21"/>
        <v>6</v>
      </c>
      <c r="U52" s="251">
        <f t="shared" si="22"/>
        <v>2.9740658866915198E-3</v>
      </c>
      <c r="V52" s="383">
        <f t="shared" si="5"/>
        <v>27.76787112506382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5">
        <f t="shared" si="11"/>
        <v>0</v>
      </c>
      <c r="AD52" s="169">
        <f>(INDEX(Models!$BJ52:$BT52,,AH52)*(1-AF52)+INDEX(Models!$BJ52:$BT52,,AH52+1)*AF52-ERP_i)*AE52*Ramure*Pc/MaxiM</f>
        <v>2.2447597514121189E-5</v>
      </c>
      <c r="AE52" s="305">
        <f t="shared" si="12"/>
        <v>0.8</v>
      </c>
      <c r="AF52" s="177">
        <f t="shared" si="13"/>
        <v>2.9740658866915198E-3</v>
      </c>
      <c r="AG52" s="809">
        <f t="shared" si="23"/>
        <v>0</v>
      </c>
      <c r="AH52" s="176">
        <f t="shared" si="14"/>
        <v>6</v>
      </c>
      <c r="AI52" s="225">
        <f t="shared" si="15"/>
        <v>2.9740658866915198E-3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6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6">
        <f t="shared" si="2"/>
        <v>0</v>
      </c>
      <c r="M53" s="854"/>
      <c r="N53" s="854"/>
      <c r="O53" s="324">
        <f t="shared" si="3"/>
        <v>0</v>
      </c>
      <c r="P53" s="169">
        <f>(INDEX(Models!$BJ53:$BT53,,T53)*(1-R53)+INDEX(Models!$BJ53:$BT53,,T53+1)*R53-ERP_i)*Q53*Ramure*Pc/MaxiM</f>
        <v>2.3782888286880623E-5</v>
      </c>
      <c r="Q53" s="305">
        <f t="shared" si="19"/>
        <v>0.8</v>
      </c>
      <c r="R53" s="177">
        <f t="shared" si="4"/>
        <v>3.1328270547310343E-3</v>
      </c>
      <c r="S53" s="809">
        <f t="shared" si="20"/>
        <v>0</v>
      </c>
      <c r="T53" s="176">
        <f t="shared" si="21"/>
        <v>6</v>
      </c>
      <c r="U53" s="251">
        <f t="shared" si="22"/>
        <v>3.1328270547310343E-3</v>
      </c>
      <c r="V53" s="383">
        <f t="shared" si="5"/>
        <v>28.091139476098483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5">
        <f t="shared" si="11"/>
        <v>0</v>
      </c>
      <c r="AD53" s="169">
        <f>(INDEX(Models!$BJ53:$BT53,,AH53)*(1-AF53)+INDEX(Models!$BJ53:$BT53,,AH53+1)*AF53-ERP_i)*AE53*Ramure*Pc/MaxiM</f>
        <v>2.3782888286880623E-5</v>
      </c>
      <c r="AE53" s="305">
        <f t="shared" si="12"/>
        <v>0.8</v>
      </c>
      <c r="AF53" s="177">
        <f t="shared" si="13"/>
        <v>3.1328270547310343E-3</v>
      </c>
      <c r="AG53" s="809">
        <f t="shared" si="23"/>
        <v>0</v>
      </c>
      <c r="AH53" s="176">
        <f t="shared" si="14"/>
        <v>6</v>
      </c>
      <c r="AI53" s="225">
        <f t="shared" si="15"/>
        <v>3.1328270547310343E-3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6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6">
        <f t="shared" si="2"/>
        <v>0</v>
      </c>
      <c r="M54" s="854"/>
      <c r="N54" s="854"/>
      <c r="O54" s="324">
        <f t="shared" si="3"/>
        <v>0</v>
      </c>
      <c r="P54" s="169">
        <f>(INDEX(Models!$BJ54:$BT54,,T54)*(1-R54)+INDEX(Models!$BJ54:$BT54,,T54+1)*R54-ERP_i)*Q54*Ramure*Pc/MaxiM</f>
        <v>2.5224492203593338E-5</v>
      </c>
      <c r="Q54" s="305">
        <f t="shared" si="19"/>
        <v>0.8</v>
      </c>
      <c r="R54" s="177">
        <f t="shared" si="4"/>
        <v>3.2981588050403935E-3</v>
      </c>
      <c r="S54" s="809">
        <f t="shared" si="20"/>
        <v>0</v>
      </c>
      <c r="T54" s="176">
        <f t="shared" si="21"/>
        <v>6</v>
      </c>
      <c r="U54" s="251">
        <f t="shared" si="22"/>
        <v>3.2981588050403935E-3</v>
      </c>
      <c r="V54" s="383">
        <f t="shared" si="5"/>
        <v>28.416773563013876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5">
        <f t="shared" si="11"/>
        <v>0</v>
      </c>
      <c r="AD54" s="169">
        <f>(INDEX(Models!$BJ54:$BT54,,AH54)*(1-AF54)+INDEX(Models!$BJ54:$BT54,,AH54+1)*AF54-ERP_i)*AE54*Ramure*Pc/MaxiM</f>
        <v>2.5224492203593338E-5</v>
      </c>
      <c r="AE54" s="305">
        <f t="shared" si="12"/>
        <v>0.8</v>
      </c>
      <c r="AF54" s="177">
        <f t="shared" si="13"/>
        <v>3.2981588050403935E-3</v>
      </c>
      <c r="AG54" s="809">
        <f t="shared" si="23"/>
        <v>0</v>
      </c>
      <c r="AH54" s="176">
        <f t="shared" si="14"/>
        <v>6</v>
      </c>
      <c r="AI54" s="225">
        <f t="shared" si="15"/>
        <v>3.2981588050403935E-3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6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6">
        <f t="shared" si="2"/>
        <v>0</v>
      </c>
      <c r="M55" s="854"/>
      <c r="N55" s="854"/>
      <c r="O55" s="324">
        <f t="shared" si="3"/>
        <v>0</v>
      </c>
      <c r="P55" s="169">
        <f>(INDEX(Models!$BJ55:$BT55,,T55)*(1-R55)+INDEX(Models!$BJ55:$BT55,,T55+1)*R55-ERP_i)*Q55*Ramure*Pc/MaxiM</f>
        <v>2.6779994738748866E-5</v>
      </c>
      <c r="Q55" s="305">
        <f t="shared" si="19"/>
        <v>0.8</v>
      </c>
      <c r="R55" s="177">
        <f t="shared" si="4"/>
        <v>3.4703291778354021E-3</v>
      </c>
      <c r="S55" s="809">
        <f t="shared" si="20"/>
        <v>0</v>
      </c>
      <c r="T55" s="176">
        <f t="shared" si="21"/>
        <v>6</v>
      </c>
      <c r="U55" s="251">
        <f t="shared" si="22"/>
        <v>3.4703291778354021E-3</v>
      </c>
      <c r="V55" s="383">
        <f t="shared" si="5"/>
        <v>28.745217354826682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5">
        <f t="shared" si="11"/>
        <v>0</v>
      </c>
      <c r="AD55" s="169">
        <f>(INDEX(Models!$BJ55:$BT55,,AH55)*(1-AF55)+INDEX(Models!$BJ55:$BT55,,AH55+1)*AF55-ERP_i)*AE55*Ramure*Pc/MaxiM</f>
        <v>2.6779994738748866E-5</v>
      </c>
      <c r="AE55" s="305">
        <f t="shared" si="12"/>
        <v>0.8</v>
      </c>
      <c r="AF55" s="177">
        <f t="shared" si="13"/>
        <v>3.4703291778354021E-3</v>
      </c>
      <c r="AG55" s="809">
        <f t="shared" si="23"/>
        <v>0</v>
      </c>
      <c r="AH55" s="176">
        <f t="shared" si="14"/>
        <v>6</v>
      </c>
      <c r="AI55" s="225">
        <f t="shared" si="15"/>
        <v>3.4703291778354021E-3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6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6">
        <f t="shared" si="2"/>
        <v>0</v>
      </c>
      <c r="M56" s="854"/>
      <c r="N56" s="854"/>
      <c r="O56" s="324">
        <f t="shared" si="3"/>
        <v>0</v>
      </c>
      <c r="P56" s="169">
        <f>(INDEX(Models!$BJ56:$BT56,,T56)*(1-R56)+INDEX(Models!$BJ56:$BT56,,T56+1)*R56-ERP_i)*Q56*Ramure*Pc/MaxiM</f>
        <v>2.8457307680387968E-5</v>
      </c>
      <c r="Q56" s="305">
        <f t="shared" si="19"/>
        <v>0.8</v>
      </c>
      <c r="R56" s="177">
        <f t="shared" si="4"/>
        <v>3.6496168168688482E-3</v>
      </c>
      <c r="S56" s="809">
        <f t="shared" si="20"/>
        <v>0</v>
      </c>
      <c r="T56" s="176">
        <f t="shared" si="21"/>
        <v>6</v>
      </c>
      <c r="U56" s="251">
        <f t="shared" si="22"/>
        <v>3.6496168168688482E-3</v>
      </c>
      <c r="V56" s="383">
        <f t="shared" si="5"/>
        <v>29.076914800592039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5">
        <f t="shared" si="11"/>
        <v>0</v>
      </c>
      <c r="AD56" s="169">
        <f>(INDEX(Models!$BJ56:$BT56,,AH56)*(1-AF56)+INDEX(Models!$BJ56:$BT56,,AH56+1)*AF56-ERP_i)*AE56*Ramure*Pc/MaxiM</f>
        <v>2.8457307680387968E-5</v>
      </c>
      <c r="AE56" s="305">
        <f t="shared" si="12"/>
        <v>0.8</v>
      </c>
      <c r="AF56" s="177">
        <f t="shared" si="13"/>
        <v>3.6496168168688482E-3</v>
      </c>
      <c r="AG56" s="809">
        <f t="shared" si="23"/>
        <v>0</v>
      </c>
      <c r="AH56" s="176">
        <f t="shared" si="14"/>
        <v>6</v>
      </c>
      <c r="AI56" s="225">
        <f t="shared" si="15"/>
        <v>3.6496168168688482E-3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6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6">
        <f t="shared" si="2"/>
        <v>0</v>
      </c>
      <c r="M57" s="854"/>
      <c r="N57" s="854"/>
      <c r="O57" s="324">
        <f t="shared" si="3"/>
        <v>0</v>
      </c>
      <c r="P57" s="169">
        <f>(INDEX(Models!$BJ57:$BT57,,T57)*(1-R57)+INDEX(Models!$BJ57:$BT57,,T57+1)*R57-ERP_i)*Q57*Ramure*Pc/MaxiM</f>
        <v>3.0264676136919691E-5</v>
      </c>
      <c r="Q57" s="305">
        <f t="shared" si="19"/>
        <v>0.8</v>
      </c>
      <c r="R57" s="177">
        <f t="shared" si="4"/>
        <v>3.8363113606962583E-3</v>
      </c>
      <c r="S57" s="809">
        <f t="shared" si="20"/>
        <v>0</v>
      </c>
      <c r="T57" s="176">
        <f t="shared" si="21"/>
        <v>6</v>
      </c>
      <c r="U57" s="251">
        <f t="shared" si="22"/>
        <v>3.8363113606962583E-3</v>
      </c>
      <c r="V57" s="383">
        <f t="shared" si="5"/>
        <v>29.412309819328847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5">
        <f t="shared" si="11"/>
        <v>0</v>
      </c>
      <c r="AD57" s="169">
        <f>(INDEX(Models!$BJ57:$BT57,,AH57)*(1-AF57)+INDEX(Models!$BJ57:$BT57,,AH57+1)*AF57-ERP_i)*AE57*Ramure*Pc/MaxiM</f>
        <v>3.0264676136919691E-5</v>
      </c>
      <c r="AE57" s="305">
        <f t="shared" si="12"/>
        <v>0.8</v>
      </c>
      <c r="AF57" s="177">
        <f t="shared" si="13"/>
        <v>3.8363113606962583E-3</v>
      </c>
      <c r="AG57" s="809">
        <f t="shared" si="23"/>
        <v>0</v>
      </c>
      <c r="AH57" s="176">
        <f t="shared" si="14"/>
        <v>6</v>
      </c>
      <c r="AI57" s="225">
        <f t="shared" si="15"/>
        <v>3.8363113606962583E-3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6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6">
        <f t="shared" si="2"/>
        <v>0</v>
      </c>
      <c r="M58" s="854"/>
      <c r="N58" s="854"/>
      <c r="O58" s="324">
        <f t="shared" si="3"/>
        <v>0</v>
      </c>
      <c r="P58" s="169">
        <f>(INDEX(Models!$BJ58:$BT58,,T58)*(1-R58)+INDEX(Models!$BJ58:$BT58,,T58+1)*R58-ERP_i)*Q58*Ramure*Pc/MaxiM</f>
        <v>3.2225685410144918E-5</v>
      </c>
      <c r="Q58" s="305">
        <f t="shared" si="19"/>
        <v>0.8</v>
      </c>
      <c r="R58" s="177">
        <f t="shared" si="4"/>
        <v>4.0307138459432772E-3</v>
      </c>
      <c r="S58" s="809">
        <f t="shared" si="20"/>
        <v>0</v>
      </c>
      <c r="T58" s="176">
        <f t="shared" si="21"/>
        <v>6</v>
      </c>
      <c r="U58" s="251">
        <f t="shared" si="22"/>
        <v>4.0307138459432772E-3</v>
      </c>
      <c r="V58" s="383">
        <f t="shared" si="5"/>
        <v>29.751845860903906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5">
        <f t="shared" si="11"/>
        <v>0</v>
      </c>
      <c r="AD58" s="169">
        <f>(INDEX(Models!$BJ58:$BT58,,AH58)*(1-AF58)+INDEX(Models!$BJ58:$BT58,,AH58+1)*AF58-ERP_i)*AE58*Ramure*Pc/MaxiM</f>
        <v>3.2225685410144918E-5</v>
      </c>
      <c r="AE58" s="305">
        <f t="shared" si="12"/>
        <v>0.8</v>
      </c>
      <c r="AF58" s="177">
        <f t="shared" si="13"/>
        <v>4.0307138459432772E-3</v>
      </c>
      <c r="AG58" s="809">
        <f t="shared" si="23"/>
        <v>0</v>
      </c>
      <c r="AH58" s="176">
        <f t="shared" si="14"/>
        <v>6</v>
      </c>
      <c r="AI58" s="225">
        <f t="shared" si="15"/>
        <v>4.0307138459432772E-3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6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6">
        <f t="shared" si="2"/>
        <v>0</v>
      </c>
      <c r="M59" s="854"/>
      <c r="N59" s="854"/>
      <c r="O59" s="324">
        <f t="shared" si="3"/>
        <v>0</v>
      </c>
      <c r="P59" s="169">
        <f>(INDEX(Models!$BJ59:$BT59,,T59)*(1-R59)+INDEX(Models!$BJ59:$BT59,,T59+1)*R59-ERP_i)*Q59*Ramure*Pc/MaxiM</f>
        <v>3.4308899687485723E-5</v>
      </c>
      <c r="Q59" s="305">
        <f t="shared" si="19"/>
        <v>0.8</v>
      </c>
      <c r="R59" s="177">
        <f t="shared" si="4"/>
        <v>4.2331371227213206E-3</v>
      </c>
      <c r="S59" s="809">
        <f t="shared" si="20"/>
        <v>0</v>
      </c>
      <c r="T59" s="176">
        <f t="shared" si="21"/>
        <v>6</v>
      </c>
      <c r="U59" s="251">
        <f t="shared" si="22"/>
        <v>4.2331371227213206E-3</v>
      </c>
      <c r="V59" s="383">
        <f t="shared" si="5"/>
        <v>30.095967988979165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5">
        <f t="shared" si="11"/>
        <v>0</v>
      </c>
      <c r="AD59" s="169">
        <f>(INDEX(Models!$BJ59:$BT59,,AH59)*(1-AF59)+INDEX(Models!$BJ59:$BT59,,AH59+1)*AF59-ERP_i)*AE59*Ramure*Pc/MaxiM</f>
        <v>3.4308899687485723E-5</v>
      </c>
      <c r="AE59" s="305">
        <f t="shared" si="12"/>
        <v>0.8</v>
      </c>
      <c r="AF59" s="177">
        <f t="shared" si="13"/>
        <v>4.2331371227213206E-3</v>
      </c>
      <c r="AG59" s="809">
        <f t="shared" si="23"/>
        <v>0</v>
      </c>
      <c r="AH59" s="176">
        <f t="shared" si="14"/>
        <v>6</v>
      </c>
      <c r="AI59" s="225">
        <f t="shared" si="15"/>
        <v>4.2331371227213206E-3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6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6">
        <f t="shared" si="2"/>
        <v>0</v>
      </c>
      <c r="M60" s="854"/>
      <c r="N60" s="854"/>
      <c r="O60" s="324">
        <f t="shared" si="3"/>
        <v>0</v>
      </c>
      <c r="P60" s="169">
        <f>(INDEX(Models!$BJ60:$BT60,,T60)*(1-R60)+INDEX(Models!$BJ60:$BT60,,T60+1)*R60-ERP_i)*Q60*Ramure*Pc/MaxiM</f>
        <v>3.652063313671452E-5</v>
      </c>
      <c r="Q60" s="305">
        <f t="shared" si="19"/>
        <v>0.8</v>
      </c>
      <c r="R60" s="177">
        <f t="shared" si="4"/>
        <v>4.4439062823178489E-3</v>
      </c>
      <c r="S60" s="809">
        <f t="shared" si="20"/>
        <v>0</v>
      </c>
      <c r="T60" s="176">
        <f t="shared" si="21"/>
        <v>6</v>
      </c>
      <c r="U60" s="251">
        <f t="shared" si="22"/>
        <v>4.4439062823178489E-3</v>
      </c>
      <c r="V60" s="383">
        <f t="shared" si="5"/>
        <v>30.445120155314854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5">
        <f t="shared" si="11"/>
        <v>0</v>
      </c>
      <c r="AD60" s="169">
        <f>(INDEX(Models!$BJ60:$BT60,,AH60)*(1-AF60)+INDEX(Models!$BJ60:$BT60,,AH60+1)*AF60-ERP_i)*AE60*Ramure*Pc/MaxiM</f>
        <v>3.652063313671452E-5</v>
      </c>
      <c r="AE60" s="305">
        <f t="shared" si="12"/>
        <v>0.8</v>
      </c>
      <c r="AF60" s="177">
        <f t="shared" si="13"/>
        <v>4.4439062823178489E-3</v>
      </c>
      <c r="AG60" s="809">
        <f t="shared" si="23"/>
        <v>0</v>
      </c>
      <c r="AH60" s="176">
        <f t="shared" si="14"/>
        <v>6</v>
      </c>
      <c r="AI60" s="225">
        <f t="shared" si="15"/>
        <v>4.4439062823178489E-3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6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6">
        <f t="shared" si="2"/>
        <v>0</v>
      </c>
      <c r="M61" s="854"/>
      <c r="N61" s="854"/>
      <c r="O61" s="324">
        <f t="shared" si="3"/>
        <v>0</v>
      </c>
      <c r="P61" s="169">
        <f>(INDEX(Models!$BJ61:$BT61,,T61)*(1-R61)+INDEX(Models!$BJ61:$BT61,,T61+1)*R61-ERP_i)*Q61*Ramure*Pc/MaxiM</f>
        <v>3.886740302520945E-5</v>
      </c>
      <c r="Q61" s="305">
        <f t="shared" si="19"/>
        <v>0.8</v>
      </c>
      <c r="R61" s="177">
        <f t="shared" si="4"/>
        <v>4.6633590972635433E-3</v>
      </c>
      <c r="S61" s="809">
        <f t="shared" si="20"/>
        <v>0</v>
      </c>
      <c r="T61" s="176">
        <f t="shared" si="21"/>
        <v>6</v>
      </c>
      <c r="U61" s="251">
        <f t="shared" si="22"/>
        <v>4.6633590972635433E-3</v>
      </c>
      <c r="V61" s="383">
        <f t="shared" si="5"/>
        <v>30.799746289166357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5">
        <f t="shared" si="11"/>
        <v>0</v>
      </c>
      <c r="AD61" s="169">
        <f>(INDEX(Models!$BJ61:$BT61,,AH61)*(1-AF61)+INDEX(Models!$BJ61:$BT61,,AH61+1)*AF61-ERP_i)*AE61*Ramure*Pc/MaxiM</f>
        <v>3.886740302520945E-5</v>
      </c>
      <c r="AE61" s="305">
        <f t="shared" si="12"/>
        <v>0.8</v>
      </c>
      <c r="AF61" s="177">
        <f t="shared" si="13"/>
        <v>4.6633590972635433E-3</v>
      </c>
      <c r="AG61" s="809">
        <f t="shared" si="23"/>
        <v>0</v>
      </c>
      <c r="AH61" s="176">
        <f t="shared" si="14"/>
        <v>6</v>
      </c>
      <c r="AI61" s="225">
        <f t="shared" si="15"/>
        <v>4.6633590972635433E-3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6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6">
        <f t="shared" si="2"/>
        <v>0</v>
      </c>
      <c r="M62" s="854"/>
      <c r="N62" s="854"/>
      <c r="O62" s="324">
        <f t="shared" si="3"/>
        <v>0</v>
      </c>
      <c r="P62" s="169">
        <f>(INDEX(Models!$BJ62:$BT62,,T62)*(1-R62)+INDEX(Models!$BJ62:$BT62,,T62+1)*R62-ERP_i)*Q62*Ramure*Pc/MaxiM</f>
        <v>4.1355931844873081E-5</v>
      </c>
      <c r="Q62" s="305">
        <f t="shared" si="19"/>
        <v>0.8</v>
      </c>
      <c r="R62" s="177">
        <f t="shared" si="4"/>
        <v>4.891846473851145E-3</v>
      </c>
      <c r="S62" s="809">
        <f t="shared" si="20"/>
        <v>0</v>
      </c>
      <c r="T62" s="176">
        <f t="shared" si="21"/>
        <v>6</v>
      </c>
      <c r="U62" s="251">
        <f t="shared" si="22"/>
        <v>4.891846473851145E-3</v>
      </c>
      <c r="V62" s="383">
        <f t="shared" si="5"/>
        <v>31.160290292741738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5">
        <f t="shared" si="11"/>
        <v>0</v>
      </c>
      <c r="AD62" s="169">
        <f>(INDEX(Models!$BJ62:$BT62,,AH62)*(1-AF62)+INDEX(Models!$BJ62:$BT62,,AH62+1)*AF62-ERP_i)*AE62*Ramure*Pc/MaxiM</f>
        <v>4.1355931844873081E-5</v>
      </c>
      <c r="AE62" s="305">
        <f t="shared" si="12"/>
        <v>0.8</v>
      </c>
      <c r="AF62" s="177">
        <f t="shared" si="13"/>
        <v>4.891846473851145E-3</v>
      </c>
      <c r="AG62" s="809">
        <f t="shared" si="23"/>
        <v>0</v>
      </c>
      <c r="AH62" s="176">
        <f t="shared" si="14"/>
        <v>6</v>
      </c>
      <c r="AI62" s="225">
        <f t="shared" si="15"/>
        <v>4.891846473851145E-3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6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6">
        <f t="shared" si="2"/>
        <v>0</v>
      </c>
      <c r="M63" s="854"/>
      <c r="N63" s="854"/>
      <c r="O63" s="324">
        <f t="shared" si="3"/>
        <v>0</v>
      </c>
      <c r="P63" s="169">
        <f>(INDEX(Models!$BJ63:$BT63,,T63)*(1-R63)+INDEX(Models!$BJ63:$BT63,,T63+1)*R63-ERP_i)*Q63*Ramure*Pc/MaxiM</f>
        <v>4.3993149557449111E-5</v>
      </c>
      <c r="Q63" s="305">
        <f t="shared" si="19"/>
        <v>0.8</v>
      </c>
      <c r="R63" s="177">
        <f t="shared" si="4"/>
        <v>5.1297329171490708E-3</v>
      </c>
      <c r="S63" s="809">
        <f t="shared" si="20"/>
        <v>0</v>
      </c>
      <c r="T63" s="176">
        <f t="shared" si="21"/>
        <v>6</v>
      </c>
      <c r="U63" s="251">
        <f t="shared" si="22"/>
        <v>5.1297329171490708E-3</v>
      </c>
      <c r="V63" s="383">
        <f t="shared" si="5"/>
        <v>31.527196049879354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5">
        <f t="shared" si="11"/>
        <v>0</v>
      </c>
      <c r="AD63" s="169">
        <f>(INDEX(Models!$BJ63:$BT63,,AH63)*(1-AF63)+INDEX(Models!$BJ63:$BT63,,AH63+1)*AF63-ERP_i)*AE63*Ramure*Pc/MaxiM</f>
        <v>4.3993149557449111E-5</v>
      </c>
      <c r="AE63" s="305">
        <f t="shared" si="12"/>
        <v>0.8</v>
      </c>
      <c r="AF63" s="177">
        <f t="shared" si="13"/>
        <v>5.1297329171490708E-3</v>
      </c>
      <c r="AG63" s="809">
        <f t="shared" si="23"/>
        <v>0</v>
      </c>
      <c r="AH63" s="176">
        <f t="shared" si="14"/>
        <v>6</v>
      </c>
      <c r="AI63" s="225">
        <f t="shared" si="15"/>
        <v>5.1297329171490708E-3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6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6">
        <f t="shared" si="2"/>
        <v>0</v>
      </c>
      <c r="M64" s="854"/>
      <c r="N64" s="854"/>
      <c r="O64" s="324">
        <f t="shared" si="3"/>
        <v>0</v>
      </c>
      <c r="P64" s="169">
        <f>(INDEX(Models!$BJ64:$BT64,,T64)*(1-R64)+INDEX(Models!$BJ64:$BT64,,T64+1)*R64-ERP_i)*Q64*Ramure*Pc/MaxiM</f>
        <v>4.6786196093944328E-5</v>
      </c>
      <c r="Q64" s="305">
        <f t="shared" si="19"/>
        <v>0.8</v>
      </c>
      <c r="R64" s="177">
        <f t="shared" si="4"/>
        <v>5.3773970085198288E-3</v>
      </c>
      <c r="S64" s="809">
        <f t="shared" si="20"/>
        <v>0</v>
      </c>
      <c r="T64" s="176">
        <f t="shared" si="21"/>
        <v>6</v>
      </c>
      <c r="U64" s="251">
        <f t="shared" si="22"/>
        <v>5.3773970085198288E-3</v>
      </c>
      <c r="V64" s="383">
        <f t="shared" si="5"/>
        <v>31.900907408451104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5">
        <f t="shared" si="11"/>
        <v>0</v>
      </c>
      <c r="AD64" s="169">
        <f>(INDEX(Models!$BJ64:$BT64,,AH64)*(1-AF64)+INDEX(Models!$BJ64:$BT64,,AH64+1)*AF64-ERP_i)*AE64*Ramure*Pc/MaxiM</f>
        <v>4.6786196093944328E-5</v>
      </c>
      <c r="AE64" s="305">
        <f t="shared" si="12"/>
        <v>0.8</v>
      </c>
      <c r="AF64" s="177">
        <f t="shared" si="13"/>
        <v>5.3773970085198288E-3</v>
      </c>
      <c r="AG64" s="809">
        <f t="shared" si="23"/>
        <v>0</v>
      </c>
      <c r="AH64" s="176">
        <f t="shared" si="14"/>
        <v>6</v>
      </c>
      <c r="AI64" s="225">
        <f t="shared" si="15"/>
        <v>5.3773970085198288E-3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6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6">
        <f t="shared" si="2"/>
        <v>0</v>
      </c>
      <c r="M65" s="854"/>
      <c r="N65" s="854"/>
      <c r="O65" s="324">
        <f t="shared" si="3"/>
        <v>0</v>
      </c>
      <c r="P65" s="169">
        <f>(INDEX(Models!$BJ65:$BT65,,T65)*(1-R65)+INDEX(Models!$BJ65:$BT65,,T65+1)*R65-ERP_i)*Q65*Ramure*Pc/MaxiM</f>
        <v>4.9742652318509599E-5</v>
      </c>
      <c r="Q65" s="305">
        <f t="shared" si="19"/>
        <v>0.8</v>
      </c>
      <c r="R65" s="177">
        <f t="shared" si="4"/>
        <v>5.6352318956121713E-3</v>
      </c>
      <c r="S65" s="809">
        <f t="shared" si="20"/>
        <v>0</v>
      </c>
      <c r="T65" s="176">
        <f t="shared" si="21"/>
        <v>6</v>
      </c>
      <c r="U65" s="251">
        <f t="shared" si="22"/>
        <v>5.6352318956121713E-3</v>
      </c>
      <c r="V65" s="383">
        <f t="shared" si="5"/>
        <v>32.281720090307857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5">
        <f t="shared" si="11"/>
        <v>0</v>
      </c>
      <c r="AD65" s="169">
        <f>(INDEX(Models!$BJ65:$BT65,,AH65)*(1-AF65)+INDEX(Models!$BJ65:$BT65,,AH65+1)*AF65-ERP_i)*AE65*Ramure*Pc/MaxiM</f>
        <v>4.9742652318509599E-5</v>
      </c>
      <c r="AE65" s="305">
        <f t="shared" si="12"/>
        <v>0.8</v>
      </c>
      <c r="AF65" s="177">
        <f t="shared" si="13"/>
        <v>5.6352318956121713E-3</v>
      </c>
      <c r="AG65" s="809">
        <f t="shared" si="23"/>
        <v>0</v>
      </c>
      <c r="AH65" s="176">
        <f t="shared" si="14"/>
        <v>6</v>
      </c>
      <c r="AI65" s="225">
        <f t="shared" si="15"/>
        <v>5.6352318956121713E-3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6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6">
        <f t="shared" si="2"/>
        <v>0</v>
      </c>
      <c r="M66" s="854"/>
      <c r="N66" s="854"/>
      <c r="O66" s="324">
        <f t="shared" si="3"/>
        <v>0</v>
      </c>
      <c r="P66" s="169">
        <f>(INDEX(Models!$BJ66:$BT66,,T66)*(1-R66)+INDEX(Models!$BJ66:$BT66,,T66+1)*R66-ERP_i)*Q66*Ramure*Pc/MaxiM</f>
        <v>5.287807546245637E-5</v>
      </c>
      <c r="Q66" s="305">
        <f t="shared" si="19"/>
        <v>0.8</v>
      </c>
      <c r="R66" s="177">
        <f t="shared" si="4"/>
        <v>5.9036457947561176E-3</v>
      </c>
      <c r="S66" s="809">
        <f t="shared" si="20"/>
        <v>0</v>
      </c>
      <c r="T66" s="176">
        <f t="shared" si="21"/>
        <v>6</v>
      </c>
      <c r="U66" s="251">
        <f t="shared" si="22"/>
        <v>5.9036457947561176E-3</v>
      </c>
      <c r="V66" s="383">
        <f t="shared" si="5"/>
        <v>32.66933714116184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5">
        <f t="shared" si="11"/>
        <v>0</v>
      </c>
      <c r="AD66" s="169">
        <f>(INDEX(Models!$BJ66:$BT66,,AH66)*(1-AF66)+INDEX(Models!$BJ66:$BT66,,AH66+1)*AF66-ERP_i)*AE66*Ramure*Pc/MaxiM</f>
        <v>5.287807546245637E-5</v>
      </c>
      <c r="AE66" s="305">
        <f t="shared" si="12"/>
        <v>0.8</v>
      </c>
      <c r="AF66" s="177">
        <f t="shared" si="13"/>
        <v>5.9036457947561176E-3</v>
      </c>
      <c r="AG66" s="809">
        <f t="shared" si="23"/>
        <v>0</v>
      </c>
      <c r="AH66" s="176">
        <f t="shared" si="14"/>
        <v>6</v>
      </c>
      <c r="AI66" s="225">
        <f t="shared" si="15"/>
        <v>5.9036457947561176E-3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6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6">
        <f t="shared" si="2"/>
        <v>0</v>
      </c>
      <c r="M67" s="854"/>
      <c r="N67" s="854"/>
      <c r="O67" s="324">
        <f t="shared" si="3"/>
        <v>0</v>
      </c>
      <c r="P67" s="169">
        <f>(INDEX(Models!$BJ67:$BT67,,T67)*(1-R67)+INDEX(Models!$BJ67:$BT67,,T67+1)*R67-ERP_i)*Q67*Ramure*Pc/MaxiM</f>
        <v>5.6182002795602181E-5</v>
      </c>
      <c r="Q67" s="305">
        <f t="shared" si="19"/>
        <v>0.8</v>
      </c>
      <c r="R67" s="177">
        <f t="shared" si="4"/>
        <v>6.1830625056392644E-3</v>
      </c>
      <c r="S67" s="809">
        <f t="shared" si="20"/>
        <v>0</v>
      </c>
      <c r="T67" s="176">
        <f t="shared" si="21"/>
        <v>6</v>
      </c>
      <c r="U67" s="251">
        <f t="shared" si="22"/>
        <v>6.1830625056392644E-3</v>
      </c>
      <c r="V67" s="383">
        <f t="shared" si="5"/>
        <v>33.063314344297794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5">
        <f t="shared" si="11"/>
        <v>0</v>
      </c>
      <c r="AD67" s="169">
        <f>(INDEX(Models!$BJ67:$BT67,,AH67)*(1-AF67)+INDEX(Models!$BJ67:$BT67,,AH67+1)*AF67-ERP_i)*AE67*Ramure*Pc/MaxiM</f>
        <v>5.6182002795602181E-5</v>
      </c>
      <c r="AE67" s="305">
        <f t="shared" si="12"/>
        <v>0.8</v>
      </c>
      <c r="AF67" s="177">
        <f t="shared" si="13"/>
        <v>6.1830625056392644E-3</v>
      </c>
      <c r="AG67" s="809">
        <f t="shared" si="23"/>
        <v>0</v>
      </c>
      <c r="AH67" s="176">
        <f t="shared" si="14"/>
        <v>6</v>
      </c>
      <c r="AI67" s="225">
        <f t="shared" si="15"/>
        <v>6.1830625056392644E-3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6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6">
        <f t="shared" si="2"/>
        <v>0</v>
      </c>
      <c r="M68" s="854"/>
      <c r="N68" s="854"/>
      <c r="O68" s="324">
        <f t="shared" si="3"/>
        <v>0</v>
      </c>
      <c r="P68" s="169">
        <f>(INDEX(Models!$BJ68:$BT68,,T68)*(1-R68)+INDEX(Models!$BJ68:$BT68,,T68+1)*R68-ERP_i)*Q68*Ramure*Pc/MaxiM</f>
        <v>5.9662662858929278E-5</v>
      </c>
      <c r="Q68" s="305">
        <f t="shared" si="19"/>
        <v>0.8</v>
      </c>
      <c r="R68" s="177">
        <f t="shared" si="4"/>
        <v>6.473921938092703E-3</v>
      </c>
      <c r="S68" s="809">
        <f t="shared" si="20"/>
        <v>0</v>
      </c>
      <c r="T68" s="176">
        <f t="shared" si="21"/>
        <v>6</v>
      </c>
      <c r="U68" s="251">
        <f t="shared" si="22"/>
        <v>6.473921938092703E-3</v>
      </c>
      <c r="V68" s="383">
        <f t="shared" si="5"/>
        <v>33.463206876427236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5">
        <f t="shared" si="11"/>
        <v>0</v>
      </c>
      <c r="AD68" s="169">
        <f>(INDEX(Models!$BJ68:$BT68,,AH68)*(1-AF68)+INDEX(Models!$BJ68:$BT68,,AH68+1)*AF68-ERP_i)*AE68*Ramure*Pc/MaxiM</f>
        <v>5.9662662858929278E-5</v>
      </c>
      <c r="AE68" s="305">
        <f t="shared" si="12"/>
        <v>0.8</v>
      </c>
      <c r="AF68" s="177">
        <f t="shared" si="13"/>
        <v>6.473921938092703E-3</v>
      </c>
      <c r="AG68" s="809">
        <f t="shared" si="23"/>
        <v>0</v>
      </c>
      <c r="AH68" s="176">
        <f t="shared" si="14"/>
        <v>6</v>
      </c>
      <c r="AI68" s="225">
        <f t="shared" si="15"/>
        <v>6.473921938092703E-3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6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6">
        <f t="shared" si="2"/>
        <v>0</v>
      </c>
      <c r="M69" s="854"/>
      <c r="N69" s="854"/>
      <c r="O69" s="324">
        <f t="shared" si="3"/>
        <v>0</v>
      </c>
      <c r="P69" s="169">
        <f>(INDEX(Models!$BJ69:$BT69,,T69)*(1-R69)+INDEX(Models!$BJ69:$BT69,,T69+1)*R69-ERP_i)*Q69*Ramure*Pc/MaxiM</f>
        <v>6.3329000205613985E-5</v>
      </c>
      <c r="Q69" s="305">
        <f t="shared" si="19"/>
        <v>0.8</v>
      </c>
      <c r="R69" s="177">
        <f t="shared" si="4"/>
        <v>6.7766806507546466E-3</v>
      </c>
      <c r="S69" s="809">
        <f t="shared" si="20"/>
        <v>0</v>
      </c>
      <c r="T69" s="176">
        <f t="shared" si="21"/>
        <v>6</v>
      </c>
      <c r="U69" s="251">
        <f t="shared" si="22"/>
        <v>6.7766806507546466E-3</v>
      </c>
      <c r="V69" s="383">
        <f t="shared" si="5"/>
        <v>33.868569870309123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5">
        <f t="shared" si="11"/>
        <v>0</v>
      </c>
      <c r="AD69" s="169">
        <f>(INDEX(Models!$BJ69:$BT69,,AH69)*(1-AF69)+INDEX(Models!$BJ69:$BT69,,AH69+1)*AF69-ERP_i)*AE69*Ramure*Pc/MaxiM</f>
        <v>6.3329000205613985E-5</v>
      </c>
      <c r="AE69" s="305">
        <f t="shared" si="12"/>
        <v>0.8</v>
      </c>
      <c r="AF69" s="177">
        <f t="shared" si="13"/>
        <v>6.7766806507546466E-3</v>
      </c>
      <c r="AG69" s="809">
        <f t="shared" si="23"/>
        <v>0</v>
      </c>
      <c r="AH69" s="176">
        <f t="shared" si="14"/>
        <v>6</v>
      </c>
      <c r="AI69" s="225">
        <f t="shared" si="15"/>
        <v>6.7766806507546466E-3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6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6">
        <f t="shared" si="2"/>
        <v>0</v>
      </c>
      <c r="M70" s="854"/>
      <c r="N70" s="854"/>
      <c r="O70" s="324">
        <f t="shared" si="3"/>
        <v>0</v>
      </c>
      <c r="P70" s="169">
        <f>(INDEX(Models!$BJ70:$BT70,,T70)*(1-R70)+INDEX(Models!$BJ70:$BT70,,T70+1)*R70-ERP_i)*Q70*Ramure*Pc/MaxiM</f>
        <v>6.7190458471352122E-5</v>
      </c>
      <c r="Q70" s="305">
        <f t="shared" si="19"/>
        <v>0.8</v>
      </c>
      <c r="R70" s="177">
        <f t="shared" si="4"/>
        <v>7.0918124013179089E-3</v>
      </c>
      <c r="S70" s="809">
        <f t="shared" si="20"/>
        <v>0</v>
      </c>
      <c r="T70" s="176">
        <f t="shared" si="21"/>
        <v>6</v>
      </c>
      <c r="U70" s="251">
        <f t="shared" si="22"/>
        <v>7.0918124013179089E-3</v>
      </c>
      <c r="V70" s="383">
        <f t="shared" si="5"/>
        <v>34.278958434248366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5">
        <f t="shared" si="11"/>
        <v>0</v>
      </c>
      <c r="AD70" s="169">
        <f>(INDEX(Models!$BJ70:$BT70,,AH70)*(1-AF70)+INDEX(Models!$BJ70:$BT70,,AH70+1)*AF70-ERP_i)*AE70*Ramure*Pc/MaxiM</f>
        <v>6.7190458471352122E-5</v>
      </c>
      <c r="AE70" s="305">
        <f t="shared" si="12"/>
        <v>0.8</v>
      </c>
      <c r="AF70" s="177">
        <f t="shared" si="13"/>
        <v>7.0918124013179089E-3</v>
      </c>
      <c r="AG70" s="809">
        <f t="shared" si="23"/>
        <v>0</v>
      </c>
      <c r="AH70" s="176">
        <f t="shared" si="14"/>
        <v>6</v>
      </c>
      <c r="AI70" s="225">
        <f t="shared" si="15"/>
        <v>7.0918124013179089E-3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6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6">
        <f t="shared" si="2"/>
        <v>0</v>
      </c>
      <c r="M71" s="854"/>
      <c r="N71" s="854"/>
      <c r="O71" s="324">
        <f t="shared" si="3"/>
        <v>0</v>
      </c>
      <c r="P71" s="169">
        <f>(INDEX(Models!$BJ71:$BT71,,T71)*(1-R71)+INDEX(Models!$BJ71:$BT71,,T71+1)*R71-ERP_i)*Q71*Ramure*Pc/MaxiM</f>
        <v>7.125701210389685E-5</v>
      </c>
      <c r="Q71" s="305">
        <f t="shared" si="19"/>
        <v>0.8</v>
      </c>
      <c r="R71" s="177">
        <f t="shared" si="4"/>
        <v>7.4198087079962692E-3</v>
      </c>
      <c r="S71" s="809">
        <f t="shared" si="20"/>
        <v>0</v>
      </c>
      <c r="T71" s="176">
        <f t="shared" si="21"/>
        <v>6</v>
      </c>
      <c r="U71" s="251">
        <f t="shared" si="22"/>
        <v>7.4198087079962692E-3</v>
      </c>
      <c r="V71" s="383">
        <f t="shared" si="5"/>
        <v>34.693927638732703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5">
        <f t="shared" si="11"/>
        <v>0</v>
      </c>
      <c r="AD71" s="169">
        <f>(INDEX(Models!$BJ71:$BT71,,AH71)*(1-AF71)+INDEX(Models!$BJ71:$BT71,,AH71+1)*AF71-ERP_i)*AE71*Ramure*Pc/MaxiM</f>
        <v>7.125701210389685E-5</v>
      </c>
      <c r="AE71" s="305">
        <f t="shared" si="12"/>
        <v>0.8</v>
      </c>
      <c r="AF71" s="177">
        <f t="shared" si="13"/>
        <v>7.4198087079962692E-3</v>
      </c>
      <c r="AG71" s="809">
        <f t="shared" si="23"/>
        <v>0</v>
      </c>
      <c r="AH71" s="176">
        <f t="shared" si="14"/>
        <v>6</v>
      </c>
      <c r="AI71" s="225">
        <f t="shared" si="15"/>
        <v>7.4198087079962692E-3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6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6">
        <f t="shared" si="2"/>
        <v>0</v>
      </c>
      <c r="M72" s="854"/>
      <c r="N72" s="854"/>
      <c r="O72" s="324">
        <f t="shared" si="3"/>
        <v>0</v>
      </c>
      <c r="P72" s="169">
        <f>(INDEX(Models!$BJ72:$BT72,,T72)*(1-R72)+INDEX(Models!$BJ72:$BT72,,T72+1)*R72-ERP_i)*Q72*Ramure*Pc/MaxiM</f>
        <v>7.5520344446919292E-5</v>
      </c>
      <c r="Q72" s="305">
        <f t="shared" si="19"/>
        <v>0.8</v>
      </c>
      <c r="R72" s="177">
        <f t="shared" si="4"/>
        <v>7.7611794217684266E-3</v>
      </c>
      <c r="S72" s="809">
        <f t="shared" si="20"/>
        <v>0</v>
      </c>
      <c r="T72" s="176">
        <f t="shared" si="21"/>
        <v>6</v>
      </c>
      <c r="U72" s="251">
        <f t="shared" si="22"/>
        <v>7.7611794217684266E-3</v>
      </c>
      <c r="V72" s="383">
        <f t="shared" si="5"/>
        <v>35.113033182657787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5">
        <f t="shared" si="11"/>
        <v>0</v>
      </c>
      <c r="AD72" s="169">
        <f>(INDEX(Models!$BJ72:$BT72,,AH72)*(1-AF72)+INDEX(Models!$BJ72:$BT72,,AH72+1)*AF72-ERP_i)*AE72*Ramure*Pc/MaxiM</f>
        <v>7.5520344446919292E-5</v>
      </c>
      <c r="AE72" s="305">
        <f t="shared" si="12"/>
        <v>0.8</v>
      </c>
      <c r="AF72" s="177">
        <f t="shared" si="13"/>
        <v>7.7611794217684266E-3</v>
      </c>
      <c r="AG72" s="809">
        <f t="shared" si="23"/>
        <v>0</v>
      </c>
      <c r="AH72" s="176">
        <f t="shared" si="14"/>
        <v>6</v>
      </c>
      <c r="AI72" s="225">
        <f t="shared" si="15"/>
        <v>7.7611794217684266E-3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6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6">
        <f t="shared" si="2"/>
        <v>0</v>
      </c>
      <c r="M73" s="854"/>
      <c r="N73" s="854"/>
      <c r="O73" s="324">
        <f t="shared" si="3"/>
        <v>0</v>
      </c>
      <c r="P73" s="169">
        <f>(INDEX(Models!$BJ73:$BT73,,T73)*(1-R73)+INDEX(Models!$BJ73:$BT73,,T73+1)*R73-ERP_i)*Q73*Ramure*Pc/MaxiM</f>
        <v>7.9964348634537589E-5</v>
      </c>
      <c r="Q73" s="305">
        <f t="shared" si="19"/>
        <v>0.8</v>
      </c>
      <c r="R73" s="177">
        <f t="shared" si="4"/>
        <v>8.1164533088736168E-3</v>
      </c>
      <c r="S73" s="809">
        <f t="shared" si="20"/>
        <v>0</v>
      </c>
      <c r="T73" s="176">
        <f t="shared" si="21"/>
        <v>6</v>
      </c>
      <c r="U73" s="251">
        <f t="shared" si="22"/>
        <v>8.1164533088736168E-3</v>
      </c>
      <c r="V73" s="383">
        <f t="shared" si="5"/>
        <v>35.535831059268332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5">
        <f t="shared" si="11"/>
        <v>0</v>
      </c>
      <c r="AD73" s="169">
        <f>(INDEX(Models!$BJ73:$BT73,,AH73)*(1-AF73)+INDEX(Models!$BJ73:$BT73,,AH73+1)*AF73-ERP_i)*AE73*Ramure*Pc/MaxiM</f>
        <v>7.9964348634537589E-5</v>
      </c>
      <c r="AE73" s="305">
        <f t="shared" si="12"/>
        <v>0.8</v>
      </c>
      <c r="AF73" s="177">
        <f t="shared" si="13"/>
        <v>8.1164533088736168E-3</v>
      </c>
      <c r="AG73" s="809">
        <f t="shared" si="23"/>
        <v>0</v>
      </c>
      <c r="AH73" s="176">
        <f t="shared" si="14"/>
        <v>6</v>
      </c>
      <c r="AI73" s="225">
        <f t="shared" si="15"/>
        <v>8.1164533088736168E-3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6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6">
        <f t="shared" si="2"/>
        <v>0</v>
      </c>
      <c r="M74" s="854"/>
      <c r="N74" s="854"/>
      <c r="O74" s="324">
        <f t="shared" si="3"/>
        <v>0</v>
      </c>
      <c r="P74" s="169">
        <f>(INDEX(Models!$BJ74:$BT74,,T74)*(1-R74)+INDEX(Models!$BJ74:$BT74,,T74+1)*R74-ERP_i)*Q74*Ramure*Pc/MaxiM</f>
        <v>8.4596266039509163E-5</v>
      </c>
      <c r="Q74" s="305">
        <f t="shared" si="19"/>
        <v>0.8</v>
      </c>
      <c r="R74" s="177">
        <f t="shared" si="4"/>
        <v>8.4861786429441567E-3</v>
      </c>
      <c r="S74" s="809">
        <f t="shared" si="20"/>
        <v>0</v>
      </c>
      <c r="T74" s="176">
        <f t="shared" si="21"/>
        <v>6</v>
      </c>
      <c r="U74" s="251">
        <f t="shared" si="22"/>
        <v>8.4861786429441567E-3</v>
      </c>
      <c r="V74" s="383">
        <f t="shared" si="5"/>
        <v>35.961876452135627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5">
        <f t="shared" si="11"/>
        <v>0</v>
      </c>
      <c r="AD74" s="169">
        <f>(INDEX(Models!$BJ74:$BT74,,AH74)*(1-AF74)+INDEX(Models!$BJ74:$BT74,,AH74+1)*AF74-ERP_i)*AE74*Ramure*Pc/MaxiM</f>
        <v>8.4596266039509163E-5</v>
      </c>
      <c r="AE74" s="305">
        <f t="shared" si="12"/>
        <v>0.8</v>
      </c>
      <c r="AF74" s="177">
        <f t="shared" si="13"/>
        <v>8.4861786429441567E-3</v>
      </c>
      <c r="AG74" s="809">
        <f t="shared" si="23"/>
        <v>0</v>
      </c>
      <c r="AH74" s="176">
        <f t="shared" si="14"/>
        <v>6</v>
      </c>
      <c r="AI74" s="225">
        <f t="shared" si="15"/>
        <v>8.4861786429441567E-3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6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6">
        <f t="shared" si="2"/>
        <v>0</v>
      </c>
      <c r="M75" s="854"/>
      <c r="N75" s="854"/>
      <c r="O75" s="324">
        <f t="shared" si="3"/>
        <v>0</v>
      </c>
      <c r="P75" s="169">
        <f>(INDEX(Models!$BJ75:$BT75,,T75)*(1-R75)+INDEX(Models!$BJ75:$BT75,,T75+1)*R75-ERP_i)*Q75*Ramure*Pc/MaxiM</f>
        <v>8.9423758203320685E-5</v>
      </c>
      <c r="Q75" s="305">
        <f t="shared" si="19"/>
        <v>0.8</v>
      </c>
      <c r="R75" s="177">
        <f t="shared" si="4"/>
        <v>8.87092380605802E-3</v>
      </c>
      <c r="S75" s="809">
        <f t="shared" si="20"/>
        <v>0</v>
      </c>
      <c r="T75" s="176">
        <f t="shared" si="21"/>
        <v>6</v>
      </c>
      <c r="U75" s="251">
        <f t="shared" si="22"/>
        <v>8.87092380605802E-3</v>
      </c>
      <c r="V75" s="383">
        <f t="shared" si="5"/>
        <v>36.390724521664573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5">
        <f t="shared" si="11"/>
        <v>0</v>
      </c>
      <c r="AD75" s="169">
        <f>(INDEX(Models!$BJ75:$BT75,,AH75)*(1-AF75)+INDEX(Models!$BJ75:$BT75,,AH75+1)*AF75-ERP_i)*AE75*Ramure*Pc/MaxiM</f>
        <v>8.9423758203320685E-5</v>
      </c>
      <c r="AE75" s="305">
        <f t="shared" si="12"/>
        <v>0.8</v>
      </c>
      <c r="AF75" s="177">
        <f t="shared" si="13"/>
        <v>8.87092380605802E-3</v>
      </c>
      <c r="AG75" s="809">
        <f t="shared" si="23"/>
        <v>0</v>
      </c>
      <c r="AH75" s="176">
        <f t="shared" si="14"/>
        <v>6</v>
      </c>
      <c r="AI75" s="225">
        <f t="shared" si="15"/>
        <v>8.87092380605802E-3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6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6">
        <f t="shared" si="2"/>
        <v>0</v>
      </c>
      <c r="M76" s="854"/>
      <c r="N76" s="854"/>
      <c r="O76" s="324">
        <f t="shared" si="3"/>
        <v>0</v>
      </c>
      <c r="P76" s="169">
        <f>(INDEX(Models!$BJ76:$BT76,,T76)*(1-R76)+INDEX(Models!$BJ76:$BT76,,T76+1)*R76-ERP_i)*Q76*Ramure*Pc/MaxiM</f>
        <v>9.4454931415576327E-5</v>
      </c>
      <c r="Q76" s="305">
        <f t="shared" si="19"/>
        <v>0.8</v>
      </c>
      <c r="R76" s="177">
        <f t="shared" si="4"/>
        <v>9.2712778978874793E-3</v>
      </c>
      <c r="S76" s="809">
        <f t="shared" si="20"/>
        <v>0</v>
      </c>
      <c r="T76" s="176">
        <f t="shared" si="21"/>
        <v>6</v>
      </c>
      <c r="U76" s="251">
        <f t="shared" si="22"/>
        <v>9.2712778978874793E-3</v>
      </c>
      <c r="V76" s="383">
        <f t="shared" si="5"/>
        <v>36.821930405057508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5">
        <f t="shared" si="11"/>
        <v>0</v>
      </c>
      <c r="AD76" s="169">
        <f>(INDEX(Models!$BJ76:$BT76,,AH76)*(1-AF76)+INDEX(Models!$BJ76:$BT76,,AH76+1)*AF76-ERP_i)*AE76*Ramure*Pc/MaxiM</f>
        <v>9.4454931415576327E-5</v>
      </c>
      <c r="AE76" s="305">
        <f t="shared" si="12"/>
        <v>0.8</v>
      </c>
      <c r="AF76" s="177">
        <f t="shared" si="13"/>
        <v>9.2712778978874793E-3</v>
      </c>
      <c r="AG76" s="809">
        <f t="shared" si="23"/>
        <v>0</v>
      </c>
      <c r="AH76" s="176">
        <f t="shared" si="14"/>
        <v>6</v>
      </c>
      <c r="AI76" s="225">
        <f t="shared" si="15"/>
        <v>9.2712778978874793E-3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6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6">
        <f t="shared" si="2"/>
        <v>0</v>
      </c>
      <c r="M77" s="854"/>
      <c r="N77" s="854"/>
      <c r="O77" s="324">
        <f t="shared" si="3"/>
        <v>0</v>
      </c>
      <c r="P77" s="169">
        <f>(INDEX(Models!$BJ77:$BT77,,T77)*(1-R77)+INDEX(Models!$BJ77:$BT77,,T77+1)*R77-ERP_i)*Q77*Ramure*Pc/MaxiM</f>
        <v>9.9698362892155771E-5</v>
      </c>
      <c r="Q77" s="305">
        <f t="shared" si="19"/>
        <v>0.8</v>
      </c>
      <c r="R77" s="177">
        <f t="shared" si="4"/>
        <v>9.6878513520054221E-3</v>
      </c>
      <c r="S77" s="809">
        <f t="shared" si="20"/>
        <v>0</v>
      </c>
      <c r="T77" s="176">
        <f t="shared" si="21"/>
        <v>6</v>
      </c>
      <c r="U77" s="251">
        <f t="shared" si="22"/>
        <v>9.6878513520054221E-3</v>
      </c>
      <c r="V77" s="383">
        <f t="shared" si="5"/>
        <v>37.25504921037966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5">
        <f t="shared" si="11"/>
        <v>0</v>
      </c>
      <c r="AD77" s="169">
        <f>(INDEX(Models!$BJ77:$BT77,,AH77)*(1-AF77)+INDEX(Models!$BJ77:$BT77,,AH77+1)*AF77-ERP_i)*AE77*Ramure*Pc/MaxiM</f>
        <v>9.9698362892155771E-5</v>
      </c>
      <c r="AE77" s="305">
        <f t="shared" si="12"/>
        <v>0.8</v>
      </c>
      <c r="AF77" s="177">
        <f t="shared" si="13"/>
        <v>9.6878513520054221E-3</v>
      </c>
      <c r="AG77" s="809">
        <f t="shared" si="23"/>
        <v>0</v>
      </c>
      <c r="AH77" s="176">
        <f t="shared" si="14"/>
        <v>6</v>
      </c>
      <c r="AI77" s="225">
        <f t="shared" si="15"/>
        <v>9.6878513520054221E-3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6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6">
        <f t="shared" si="2"/>
        <v>0</v>
      </c>
      <c r="M78" s="854"/>
      <c r="N78" s="854"/>
      <c r="O78" s="324">
        <f t="shared" si="3"/>
        <v>0</v>
      </c>
      <c r="P78" s="169">
        <f>(INDEX(Models!$BJ78:$BT78,,T78)*(1-R78)+INDEX(Models!$BJ78:$BT78,,T78+1)*R78-ERP_i)*Q78*Ramure*Pc/MaxiM</f>
        <v>1.0516312860741443E-4</v>
      </c>
      <c r="Q78" s="305">
        <f t="shared" si="19"/>
        <v>0.8</v>
      </c>
      <c r="R78" s="177">
        <f t="shared" si="4"/>
        <v>1.0121276558280193E-2</v>
      </c>
      <c r="S78" s="809">
        <f t="shared" si="20"/>
        <v>0</v>
      </c>
      <c r="T78" s="176">
        <f t="shared" si="21"/>
        <v>6</v>
      </c>
      <c r="U78" s="251">
        <f t="shared" si="22"/>
        <v>1.0121276558280193E-2</v>
      </c>
      <c r="V78" s="383">
        <f t="shared" si="5"/>
        <v>37.689636022791575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5">
        <f t="shared" si="11"/>
        <v>0</v>
      </c>
      <c r="AD78" s="169">
        <f>(INDEX(Models!$BJ78:$BT78,,AH78)*(1-AF78)+INDEX(Models!$BJ78:$BT78,,AH78+1)*AF78-ERP_i)*AE78*Ramure*Pc/MaxiM</f>
        <v>1.0516312860741443E-4</v>
      </c>
      <c r="AE78" s="305">
        <f t="shared" si="12"/>
        <v>0.8</v>
      </c>
      <c r="AF78" s="177">
        <f t="shared" si="13"/>
        <v>1.0121276558280193E-2</v>
      </c>
      <c r="AG78" s="809">
        <f t="shared" si="23"/>
        <v>0</v>
      </c>
      <c r="AH78" s="176">
        <f t="shared" si="14"/>
        <v>6</v>
      </c>
      <c r="AI78" s="225">
        <f t="shared" si="15"/>
        <v>1.0121276558280193E-2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6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6">
        <f t="shared" ref="L79:L142" si="26">IF(t&lt;T0,0,IF(t&lt;Tvie,1-EXP((T0-t)*PertePVj),1-EXP((T0-t)*PertePVj)+Pspv))</f>
        <v>0</v>
      </c>
      <c r="M79" s="854"/>
      <c r="N79" s="854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1.1085000624826625E-4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1.0572208490157942E-2</v>
      </c>
      <c r="S79" s="809">
        <f t="shared" si="20"/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1.0572208490157942E-2</v>
      </c>
      <c r="V79" s="383">
        <f t="shared" ref="V79:V142" si="32">MaxiM*(1-Ppv)*(1-Pvg)*(1-Psa)</f>
        <v>38.128282048574782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5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1.1085000624826625E-4</v>
      </c>
      <c r="AE79" s="305">
        <f t="shared" ref="AE79:AE142" si="39">Dd+PousD*Croivg</f>
        <v>0.8</v>
      </c>
      <c r="AF79" s="177">
        <f t="shared" ref="AF79:AF142" si="40">(Hp_vg_s-AG79)/(INDEX(Echel_vg,AH79+1)-AG79)</f>
        <v>1.0572208490157942E-2</v>
      </c>
      <c r="AG79" s="809">
        <f t="shared" ref="AG79:AG142" si="41">INDEX(Echel_vg,AH79)</f>
        <v>0</v>
      </c>
      <c r="AH79" s="176">
        <f t="shared" ref="AH79:AH142" si="42">MIN(MATCH(Hp_vg_s,Echel_vg),10)</f>
        <v>6</v>
      </c>
      <c r="AI79" s="225">
        <f t="shared" ref="AI79:AI142" si="43">Hdd+PousH*Croivg</f>
        <v>1.0572208490157942E-2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6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6">
        <f t="shared" si="26"/>
        <v>0</v>
      </c>
      <c r="M80" s="854"/>
      <c r="N80" s="854"/>
      <c r="O80" s="324">
        <f t="shared" si="27"/>
        <v>0</v>
      </c>
      <c r="P80" s="169">
        <f>(INDEX(Models!$BJ80:$BT80,,T80)*(1-R80)+INDEX(Models!$BJ80:$BT80,,T80+1)*R80-ERP_i)*Q80*Ramure*Pc/MaxiM</f>
        <v>1.1664439501690462E-4</v>
      </c>
      <c r="Q80" s="305">
        <f t="shared" si="28"/>
        <v>0.8</v>
      </c>
      <c r="R80" s="177">
        <f t="shared" si="29"/>
        <v>1.1041325335480624E-2</v>
      </c>
      <c r="S80" s="809">
        <f t="shared" ref="S80:S143" si="47">INDEX(Echel_vg,T80)</f>
        <v>0</v>
      </c>
      <c r="T80" s="176">
        <f t="shared" si="30"/>
        <v>6</v>
      </c>
      <c r="U80" s="251">
        <f t="shared" si="31"/>
        <v>1.1041325335480624E-2</v>
      </c>
      <c r="V80" s="383">
        <f t="shared" si="32"/>
        <v>38.573286706250734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5">
        <f t="shared" si="38"/>
        <v>0</v>
      </c>
      <c r="AD80" s="169">
        <f>(INDEX(Models!$BJ80:$BT80,,AH80)*(1-AF80)+INDEX(Models!$BJ80:$BT80,,AH80+1)*AF80-ERP_i)*AE80*Ramure*Pc/MaxiM</f>
        <v>1.1664439501690462E-4</v>
      </c>
      <c r="AE80" s="305">
        <f t="shared" si="39"/>
        <v>0.8</v>
      </c>
      <c r="AF80" s="177">
        <f t="shared" si="40"/>
        <v>1.1041325335480624E-2</v>
      </c>
      <c r="AG80" s="809">
        <f t="shared" si="41"/>
        <v>0</v>
      </c>
      <c r="AH80" s="176">
        <f t="shared" si="42"/>
        <v>6</v>
      </c>
      <c r="AI80" s="225">
        <f t="shared" si="43"/>
        <v>1.1041325335480624E-2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6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6">
        <f t="shared" si="26"/>
        <v>0</v>
      </c>
      <c r="M81" s="854"/>
      <c r="N81" s="854"/>
      <c r="O81" s="324">
        <f t="shared" si="27"/>
        <v>0</v>
      </c>
      <c r="P81" s="169">
        <f>(INDEX(Models!$BJ81:$BT81,,T81)*(1-R81)+INDEX(Models!$BJ81:$BT81,,T81+1)*R81-ERP_i)*Q81*Ramure*Pc/MaxiM</f>
        <v>1.2253400760234856E-4</v>
      </c>
      <c r="Q81" s="305">
        <f t="shared" si="28"/>
        <v>0.8</v>
      </c>
      <c r="R81" s="177">
        <f t="shared" si="29"/>
        <v>1.1529329129332721E-2</v>
      </c>
      <c r="S81" s="809">
        <f t="shared" si="47"/>
        <v>0</v>
      </c>
      <c r="T81" s="176">
        <f t="shared" si="30"/>
        <v>6</v>
      </c>
      <c r="U81" s="251">
        <f t="shared" si="31"/>
        <v>1.1529329129332721E-2</v>
      </c>
      <c r="V81" s="383">
        <f t="shared" si="32"/>
        <v>39.023761698884812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5">
        <f t="shared" si="38"/>
        <v>0</v>
      </c>
      <c r="AD81" s="169">
        <f>(INDEX(Models!$BJ81:$BT81,,AH81)*(1-AF81)+INDEX(Models!$BJ81:$BT81,,AH81+1)*AF81-ERP_i)*AE81*Ramure*Pc/MaxiM</f>
        <v>1.2253400760234856E-4</v>
      </c>
      <c r="AE81" s="305">
        <f t="shared" si="39"/>
        <v>0.8</v>
      </c>
      <c r="AF81" s="177">
        <f t="shared" si="40"/>
        <v>1.1529329129332721E-2</v>
      </c>
      <c r="AG81" s="809">
        <f t="shared" si="41"/>
        <v>0</v>
      </c>
      <c r="AH81" s="176">
        <f t="shared" si="42"/>
        <v>6</v>
      </c>
      <c r="AI81" s="225">
        <f t="shared" si="43"/>
        <v>1.1529329129332721E-2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6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6">
        <f t="shared" si="26"/>
        <v>0</v>
      </c>
      <c r="M82" s="854"/>
      <c r="N82" s="854"/>
      <c r="O82" s="324">
        <f t="shared" si="27"/>
        <v>0</v>
      </c>
      <c r="P82" s="169">
        <f>(INDEX(Models!$BJ82:$BT82,,T82)*(1-R82)+INDEX(Models!$BJ82:$BT82,,T82+1)*R82-ERP_i)*Q82*Ramure*Pc/MaxiM</f>
        <v>1.2851666647919178E-4</v>
      </c>
      <c r="Q82" s="305">
        <f t="shared" si="28"/>
        <v>0.8</v>
      </c>
      <c r="R82" s="177">
        <f t="shared" si="29"/>
        <v>1.203694638723703E-2</v>
      </c>
      <c r="S82" s="809">
        <f t="shared" si="47"/>
        <v>0</v>
      </c>
      <c r="T82" s="176">
        <f t="shared" si="30"/>
        <v>6</v>
      </c>
      <c r="U82" s="251">
        <f t="shared" si="31"/>
        <v>1.203694638723703E-2</v>
      </c>
      <c r="V82" s="383">
        <f t="shared" si="32"/>
        <v>39.478818372821465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5">
        <f t="shared" si="38"/>
        <v>0</v>
      </c>
      <c r="AD82" s="169">
        <f>(INDEX(Models!$BJ82:$BT82,,AH82)*(1-AF82)+INDEX(Models!$BJ82:$BT82,,AH82+1)*AF82-ERP_i)*AE82*Ramure*Pc/MaxiM</f>
        <v>1.2851666647919178E-4</v>
      </c>
      <c r="AE82" s="305">
        <f t="shared" si="39"/>
        <v>0.8</v>
      </c>
      <c r="AF82" s="177">
        <f t="shared" si="40"/>
        <v>1.203694638723703E-2</v>
      </c>
      <c r="AG82" s="809">
        <f t="shared" si="41"/>
        <v>0</v>
      </c>
      <c r="AH82" s="176">
        <f t="shared" si="42"/>
        <v>6</v>
      </c>
      <c r="AI82" s="225">
        <f t="shared" si="43"/>
        <v>1.203694638723703E-2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6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6">
        <f t="shared" si="26"/>
        <v>0</v>
      </c>
      <c r="M83" s="854"/>
      <c r="N83" s="854"/>
      <c r="O83" s="324">
        <f t="shared" si="27"/>
        <v>0</v>
      </c>
      <c r="P83" s="169">
        <f>(INDEX(Models!$BJ83:$BT83,,T83)*(1-R83)+INDEX(Models!$BJ83:$BT83,,T83+1)*R83-ERP_i)*Q83*Ramure*Pc/MaxiM</f>
        <v>1.3459021664778931E-4</v>
      </c>
      <c r="Q83" s="305">
        <f t="shared" si="28"/>
        <v>0.8</v>
      </c>
      <c r="R83" s="177">
        <f t="shared" si="29"/>
        <v>1.2564928736841141E-2</v>
      </c>
      <c r="S83" s="809">
        <f t="shared" si="47"/>
        <v>0</v>
      </c>
      <c r="T83" s="176">
        <f t="shared" si="30"/>
        <v>6</v>
      </c>
      <c r="U83" s="251">
        <f t="shared" si="31"/>
        <v>1.2564928736841141E-2</v>
      </c>
      <c r="V83" s="383">
        <f t="shared" si="32"/>
        <v>39.9375680934969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5">
        <f t="shared" si="38"/>
        <v>0</v>
      </c>
      <c r="AD83" s="169">
        <f>(INDEX(Models!$BJ83:$BT83,,AH83)*(1-AF83)+INDEX(Models!$BJ83:$BT83,,AH83+1)*AF83-ERP_i)*AE83*Ramure*Pc/MaxiM</f>
        <v>1.3459021664778931E-4</v>
      </c>
      <c r="AE83" s="305">
        <f t="shared" si="39"/>
        <v>0.8</v>
      </c>
      <c r="AF83" s="177">
        <f t="shared" si="40"/>
        <v>1.2564928736841141E-2</v>
      </c>
      <c r="AG83" s="809">
        <f t="shared" si="41"/>
        <v>0</v>
      </c>
      <c r="AH83" s="176">
        <f t="shared" si="42"/>
        <v>6</v>
      </c>
      <c r="AI83" s="225">
        <f t="shared" si="43"/>
        <v>1.2564928736841141E-2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6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6">
        <f t="shared" si="26"/>
        <v>0</v>
      </c>
      <c r="M84" s="854"/>
      <c r="N84" s="854"/>
      <c r="O84" s="324">
        <f t="shared" si="27"/>
        <v>0</v>
      </c>
      <c r="P84" s="169">
        <f>(INDEX(Models!$BJ84:$BT84,,T84)*(1-R84)+INDEX(Models!$BJ84:$BT84,,T84+1)*R84-ERP_i)*Q84*Ramure*Pc/MaxiM</f>
        <v>1.4075249608887444E-4</v>
      </c>
      <c r="Q84" s="305">
        <f t="shared" si="28"/>
        <v>0.8</v>
      </c>
      <c r="R84" s="177">
        <f t="shared" si="29"/>
        <v>1.3114053546038959E-2</v>
      </c>
      <c r="S84" s="809">
        <f t="shared" si="47"/>
        <v>0</v>
      </c>
      <c r="T84" s="176">
        <f t="shared" si="30"/>
        <v>6</v>
      </c>
      <c r="U84" s="251">
        <f t="shared" si="31"/>
        <v>1.3114053546038959E-2</v>
      </c>
      <c r="V84" s="383">
        <f t="shared" si="32"/>
        <v>40.399122251226473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5">
        <f t="shared" si="38"/>
        <v>0</v>
      </c>
      <c r="AD84" s="169">
        <f>(INDEX(Models!$BJ84:$BT84,,AH84)*(1-AF84)+INDEX(Models!$BJ84:$BT84,,AH84+1)*AF84-ERP_i)*AE84*Ramure*Pc/MaxiM</f>
        <v>1.4075249608887444E-4</v>
      </c>
      <c r="AE84" s="305">
        <f t="shared" si="39"/>
        <v>0.8</v>
      </c>
      <c r="AF84" s="177">
        <f t="shared" si="40"/>
        <v>1.3114053546038959E-2</v>
      </c>
      <c r="AG84" s="809">
        <f t="shared" si="41"/>
        <v>0</v>
      </c>
      <c r="AH84" s="176">
        <f t="shared" si="42"/>
        <v>6</v>
      </c>
      <c r="AI84" s="225">
        <f t="shared" si="43"/>
        <v>1.3114053546038959E-2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6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6">
        <f t="shared" si="26"/>
        <v>0</v>
      </c>
      <c r="M85" s="854"/>
      <c r="N85" s="854"/>
      <c r="O85" s="324">
        <f t="shared" si="27"/>
        <v>0</v>
      </c>
      <c r="P85" s="169">
        <f>(INDEX(Models!$BJ85:$BT85,,T85)*(1-R85)+INDEX(Models!$BJ85:$BT85,,T85+1)*R85-ERP_i)*Q85*Ramure*Pc/MaxiM</f>
        <v>1.4700130297862964E-4</v>
      </c>
      <c r="Q85" s="305">
        <f t="shared" si="28"/>
        <v>0.8</v>
      </c>
      <c r="R85" s="177">
        <f t="shared" si="29"/>
        <v>1.3685124545265251E-2</v>
      </c>
      <c r="S85" s="809">
        <f t="shared" si="47"/>
        <v>0</v>
      </c>
      <c r="T85" s="176">
        <f t="shared" si="30"/>
        <v>6</v>
      </c>
      <c r="U85" s="251">
        <f t="shared" si="31"/>
        <v>1.3685124545265251E-2</v>
      </c>
      <c r="V85" s="383">
        <f t="shared" si="32"/>
        <v>40.862592262152035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5">
        <f t="shared" si="38"/>
        <v>0</v>
      </c>
      <c r="AD85" s="169">
        <f>(INDEX(Models!$BJ85:$BT85,,AH85)*(1-AF85)+INDEX(Models!$BJ85:$BT85,,AH85+1)*AF85-ERP_i)*AE85*Ramure*Pc/MaxiM</f>
        <v>1.4700130297862964E-4</v>
      </c>
      <c r="AE85" s="305">
        <f t="shared" si="39"/>
        <v>0.8</v>
      </c>
      <c r="AF85" s="177">
        <f t="shared" si="40"/>
        <v>1.3685124545265251E-2</v>
      </c>
      <c r="AG85" s="809">
        <f t="shared" si="41"/>
        <v>0</v>
      </c>
      <c r="AH85" s="176">
        <f t="shared" si="42"/>
        <v>6</v>
      </c>
      <c r="AI85" s="225">
        <f t="shared" si="43"/>
        <v>1.3685124545265251E-2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6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6">
        <f t="shared" si="26"/>
        <v>0</v>
      </c>
      <c r="M86" s="854"/>
      <c r="N86" s="854"/>
      <c r="O86" s="324">
        <f t="shared" si="27"/>
        <v>0</v>
      </c>
      <c r="P86" s="169">
        <f>(INDEX(Models!$BJ86:$BT86,,T86)*(1-R86)+INDEX(Models!$BJ86:$BT86,,T86+1)*R86-ERP_i)*Q86*Ramure*Pc/MaxiM</f>
        <v>1.5309568641409471E-4</v>
      </c>
      <c r="Q86" s="305">
        <f t="shared" si="28"/>
        <v>0.8</v>
      </c>
      <c r="R86" s="177">
        <f t="shared" si="29"/>
        <v>1.427897244148019E-2</v>
      </c>
      <c r="S86" s="809">
        <f t="shared" si="47"/>
        <v>0</v>
      </c>
      <c r="T86" s="176">
        <f t="shared" si="30"/>
        <v>6</v>
      </c>
      <c r="U86" s="251">
        <f t="shared" si="31"/>
        <v>1.427897244148019E-2</v>
      </c>
      <c r="V86" s="383">
        <f t="shared" si="32"/>
        <v>41.327099435384781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5">
        <f t="shared" si="38"/>
        <v>0</v>
      </c>
      <c r="AD86" s="169">
        <f>(INDEX(Models!$BJ86:$BT86,,AH86)*(1-AF86)+INDEX(Models!$BJ86:$BT86,,AH86+1)*AF86-ERP_i)*AE86*Ramure*Pc/MaxiM</f>
        <v>1.5309568641409471E-4</v>
      </c>
      <c r="AE86" s="305">
        <f t="shared" si="39"/>
        <v>0.8</v>
      </c>
      <c r="AF86" s="177">
        <f t="shared" si="40"/>
        <v>1.427897244148019E-2</v>
      </c>
      <c r="AG86" s="809">
        <f t="shared" si="41"/>
        <v>0</v>
      </c>
      <c r="AH86" s="176">
        <f t="shared" si="42"/>
        <v>6</v>
      </c>
      <c r="AI86" s="225">
        <f t="shared" si="43"/>
        <v>1.427897244148019E-2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6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6">
        <f t="shared" si="26"/>
        <v>0</v>
      </c>
      <c r="M87" s="854"/>
      <c r="N87" s="854"/>
      <c r="O87" s="324">
        <f t="shared" si="27"/>
        <v>0</v>
      </c>
      <c r="P87" s="169">
        <f>(INDEX(Models!$BJ87:$BT87,,T87)*(1-R87)+INDEX(Models!$BJ87:$BT87,,T87+1)*R87-ERP_i)*Q87*Ramure*Pc/MaxiM</f>
        <v>1.5904085460670229E-4</v>
      </c>
      <c r="Q87" s="305">
        <f t="shared" si="28"/>
        <v>0.8</v>
      </c>
      <c r="R87" s="177">
        <f t="shared" si="29"/>
        <v>1.4896455521125351E-2</v>
      </c>
      <c r="S87" s="809">
        <f t="shared" si="47"/>
        <v>0</v>
      </c>
      <c r="T87" s="176">
        <f t="shared" si="30"/>
        <v>6</v>
      </c>
      <c r="U87" s="251">
        <f t="shared" si="31"/>
        <v>1.4896455521125351E-2</v>
      </c>
      <c r="V87" s="383">
        <f t="shared" si="32"/>
        <v>41.791755261841473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5">
        <f t="shared" si="38"/>
        <v>0</v>
      </c>
      <c r="AD87" s="169">
        <f>(INDEX(Models!$BJ87:$BT87,,AH87)*(1-AF87)+INDEX(Models!$BJ87:$BT87,,AH87+1)*AF87-ERP_i)*AE87*Ramure*Pc/MaxiM</f>
        <v>1.5904085460670229E-4</v>
      </c>
      <c r="AE87" s="305">
        <f t="shared" si="39"/>
        <v>0.8</v>
      </c>
      <c r="AF87" s="177">
        <f t="shared" si="40"/>
        <v>1.4896455521125351E-2</v>
      </c>
      <c r="AG87" s="809">
        <f t="shared" si="41"/>
        <v>0</v>
      </c>
      <c r="AH87" s="176">
        <f t="shared" si="42"/>
        <v>6</v>
      </c>
      <c r="AI87" s="225">
        <f t="shared" si="43"/>
        <v>1.4896455521125351E-2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6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6">
        <f t="shared" si="26"/>
        <v>0</v>
      </c>
      <c r="M88" s="854"/>
      <c r="N88" s="854"/>
      <c r="O88" s="324">
        <f t="shared" si="27"/>
        <v>0</v>
      </c>
      <c r="P88" s="169">
        <f>(INDEX(Models!$BJ88:$BT88,,T88)*(1-R88)+INDEX(Models!$BJ88:$BT88,,T88+1)*R88-ERP_i)*Q88*Ramure*Pc/MaxiM</f>
        <v>1.6481276280363771E-4</v>
      </c>
      <c r="Q88" s="305">
        <f t="shared" si="28"/>
        <v>0.8</v>
      </c>
      <c r="R88" s="177">
        <f t="shared" si="29"/>
        <v>1.5538460239083271E-2</v>
      </c>
      <c r="S88" s="809">
        <f t="shared" si="47"/>
        <v>0</v>
      </c>
      <c r="T88" s="176">
        <f t="shared" si="30"/>
        <v>6</v>
      </c>
      <c r="U88" s="251">
        <f t="shared" si="31"/>
        <v>1.5538460239083271E-2</v>
      </c>
      <c r="V88" s="383">
        <f t="shared" si="32"/>
        <v>42.255672478871006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5">
        <f t="shared" si="38"/>
        <v>0</v>
      </c>
      <c r="AD88" s="169">
        <f>(INDEX(Models!$BJ88:$BT88,,AH88)*(1-AF88)+INDEX(Models!$BJ88:$BT88,,AH88+1)*AF88-ERP_i)*AE88*Ramure*Pc/MaxiM</f>
        <v>1.6481276280363771E-4</v>
      </c>
      <c r="AE88" s="305">
        <f t="shared" si="39"/>
        <v>0.8</v>
      </c>
      <c r="AF88" s="177">
        <f t="shared" si="40"/>
        <v>1.5538460239083271E-2</v>
      </c>
      <c r="AG88" s="809">
        <f t="shared" si="41"/>
        <v>0</v>
      </c>
      <c r="AH88" s="176">
        <f t="shared" si="42"/>
        <v>6</v>
      </c>
      <c r="AI88" s="225">
        <f t="shared" si="43"/>
        <v>1.5538460239083271E-2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6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6">
        <f t="shared" si="26"/>
        <v>0</v>
      </c>
      <c r="M89" s="854"/>
      <c r="N89" s="854"/>
      <c r="O89" s="324">
        <f t="shared" si="27"/>
        <v>0</v>
      </c>
      <c r="P89" s="169">
        <f>(INDEX(Models!$BJ89:$BT89,,T89)*(1-R89)+INDEX(Models!$BJ89:$BT89,,T89+1)*R89-ERP_i)*Q89*Ramure*Pc/MaxiM</f>
        <v>1.7038569008006501E-4</v>
      </c>
      <c r="Q89" s="305">
        <f t="shared" si="28"/>
        <v>0.8</v>
      </c>
      <c r="R89" s="177">
        <f t="shared" si="29"/>
        <v>1.6205901790409583E-2</v>
      </c>
      <c r="S89" s="809">
        <f t="shared" si="47"/>
        <v>0</v>
      </c>
      <c r="T89" s="176">
        <f t="shared" si="30"/>
        <v>6</v>
      </c>
      <c r="U89" s="251">
        <f t="shared" si="31"/>
        <v>1.6205901790409583E-2</v>
      </c>
      <c r="V89" s="383">
        <f t="shared" si="32"/>
        <v>42.717963961663912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5">
        <f t="shared" si="38"/>
        <v>0</v>
      </c>
      <c r="AD89" s="169">
        <f>(INDEX(Models!$BJ89:$BT89,,AH89)*(1-AF89)+INDEX(Models!$BJ89:$BT89,,AH89+1)*AF89-ERP_i)*AE89*Ramure*Pc/MaxiM</f>
        <v>1.7038569008006501E-4</v>
      </c>
      <c r="AE89" s="305">
        <f t="shared" si="39"/>
        <v>0.8</v>
      </c>
      <c r="AF89" s="177">
        <f t="shared" si="40"/>
        <v>1.6205901790409583E-2</v>
      </c>
      <c r="AG89" s="809">
        <f t="shared" si="41"/>
        <v>0</v>
      </c>
      <c r="AH89" s="176">
        <f t="shared" si="42"/>
        <v>6</v>
      </c>
      <c r="AI89" s="225">
        <f t="shared" si="43"/>
        <v>1.6205901790409583E-2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6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6">
        <f t="shared" si="26"/>
        <v>0</v>
      </c>
      <c r="M90" s="854"/>
      <c r="N90" s="854"/>
      <c r="O90" s="324">
        <f t="shared" si="27"/>
        <v>0</v>
      </c>
      <c r="P90" s="169">
        <f>(INDEX(Models!$BJ90:$BT90,,T90)*(1-R90)+INDEX(Models!$BJ90:$BT90,,T90+1)*R90-ERP_i)*Q90*Ramure*Pc/MaxiM</f>
        <v>1.7573204403164617E-4</v>
      </c>
      <c r="Q90" s="305">
        <f t="shared" si="28"/>
        <v>0.8</v>
      </c>
      <c r="R90" s="177">
        <f t="shared" si="29"/>
        <v>1.6899724661326682E-2</v>
      </c>
      <c r="S90" s="809">
        <f t="shared" si="47"/>
        <v>0</v>
      </c>
      <c r="T90" s="176">
        <f t="shared" si="30"/>
        <v>6</v>
      </c>
      <c r="U90" s="251">
        <f t="shared" si="31"/>
        <v>1.6899724661326682E-2</v>
      </c>
      <c r="V90" s="383">
        <f t="shared" si="32"/>
        <v>43.177742731762336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5">
        <f t="shared" si="38"/>
        <v>0</v>
      </c>
      <c r="AD90" s="169">
        <f>(INDEX(Models!$BJ90:$BT90,,AH90)*(1-AF90)+INDEX(Models!$BJ90:$BT90,,AH90+1)*AF90-ERP_i)*AE90*Ramure*Pc/MaxiM</f>
        <v>1.7573204403164617E-4</v>
      </c>
      <c r="AE90" s="305">
        <f t="shared" si="39"/>
        <v>0.8</v>
      </c>
      <c r="AF90" s="177">
        <f t="shared" si="40"/>
        <v>1.6899724661326682E-2</v>
      </c>
      <c r="AG90" s="809">
        <f t="shared" si="41"/>
        <v>0</v>
      </c>
      <c r="AH90" s="176">
        <f t="shared" si="42"/>
        <v>6</v>
      </c>
      <c r="AI90" s="225">
        <f t="shared" si="43"/>
        <v>1.6899724661326682E-2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6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6">
        <f t="shared" si="26"/>
        <v>0</v>
      </c>
      <c r="M91" s="854"/>
      <c r="N91" s="854"/>
      <c r="O91" s="324">
        <f t="shared" si="27"/>
        <v>0</v>
      </c>
      <c r="P91" s="169">
        <f>(INDEX(Models!$BJ91:$BT91,,T91)*(1-R91)+INDEX(Models!$BJ91:$BT91,,T91+1)*R91-ERP_i)*Q91*Ramure*Pc/MaxiM</f>
        <v>1.8082214825651747E-4</v>
      </c>
      <c r="Q91" s="305">
        <f t="shared" si="28"/>
        <v>0.8</v>
      </c>
      <c r="R91" s="177">
        <f t="shared" si="29"/>
        <v>1.7620903155677197E-2</v>
      </c>
      <c r="S91" s="809">
        <f t="shared" si="47"/>
        <v>0</v>
      </c>
      <c r="T91" s="176">
        <f t="shared" si="30"/>
        <v>6</v>
      </c>
      <c r="U91" s="251">
        <f t="shared" si="31"/>
        <v>1.7620903155677197E-2</v>
      </c>
      <c r="V91" s="383">
        <f t="shared" si="32"/>
        <v>43.634121968657837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5">
        <f t="shared" si="38"/>
        <v>0</v>
      </c>
      <c r="AD91" s="169">
        <f>(INDEX(Models!$BJ91:$BT91,,AH91)*(1-AF91)+INDEX(Models!$BJ91:$BT91,,AH91+1)*AF91-ERP_i)*AE91*Ramure*Pc/MaxiM</f>
        <v>1.8082214825651747E-4</v>
      </c>
      <c r="AE91" s="305">
        <f t="shared" si="39"/>
        <v>0.8</v>
      </c>
      <c r="AF91" s="177">
        <f t="shared" si="40"/>
        <v>1.7620903155677197E-2</v>
      </c>
      <c r="AG91" s="809">
        <f t="shared" si="41"/>
        <v>0</v>
      </c>
      <c r="AH91" s="176">
        <f t="shared" si="42"/>
        <v>6</v>
      </c>
      <c r="AI91" s="225">
        <f t="shared" si="43"/>
        <v>1.7620903155677197E-2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6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6">
        <f t="shared" si="26"/>
        <v>0</v>
      </c>
      <c r="M92" s="854"/>
      <c r="N92" s="854"/>
      <c r="O92" s="324">
        <f t="shared" si="27"/>
        <v>0</v>
      </c>
      <c r="P92" s="169">
        <f>(INDEX(Models!$BJ92:$BT92,,T92)*(1-R92)+INDEX(Models!$BJ92:$BT92,,T92+1)*R92-ERP_i)*Q92*Ramure*Pc/MaxiM</f>
        <v>1.856240111075004E-4</v>
      </c>
      <c r="Q92" s="305">
        <f t="shared" si="28"/>
        <v>0.8</v>
      </c>
      <c r="R92" s="177">
        <f t="shared" si="29"/>
        <v>1.83704418927251E-2</v>
      </c>
      <c r="S92" s="809">
        <f t="shared" si="47"/>
        <v>0</v>
      </c>
      <c r="T92" s="176">
        <f t="shared" si="30"/>
        <v>6</v>
      </c>
      <c r="U92" s="251">
        <f t="shared" si="31"/>
        <v>1.83704418927251E-2</v>
      </c>
      <c r="V92" s="383">
        <f t="shared" si="32"/>
        <v>44.086215020618027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5">
        <f t="shared" si="38"/>
        <v>0</v>
      </c>
      <c r="AD92" s="169">
        <f>(INDEX(Models!$BJ92:$BT92,,AH92)*(1-AF92)+INDEX(Models!$BJ92:$BT92,,AH92+1)*AF92-ERP_i)*AE92*Ramure*Pc/MaxiM</f>
        <v>1.856240111075004E-4</v>
      </c>
      <c r="AE92" s="305">
        <f t="shared" si="39"/>
        <v>0.8</v>
      </c>
      <c r="AF92" s="177">
        <f t="shared" si="40"/>
        <v>1.83704418927251E-2</v>
      </c>
      <c r="AG92" s="809">
        <f t="shared" si="41"/>
        <v>0</v>
      </c>
      <c r="AH92" s="176">
        <f t="shared" si="42"/>
        <v>6</v>
      </c>
      <c r="AI92" s="225">
        <f t="shared" si="43"/>
        <v>1.83704418927251E-2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6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6">
        <f t="shared" si="26"/>
        <v>0</v>
      </c>
      <c r="M93" s="854"/>
      <c r="N93" s="854"/>
      <c r="O93" s="324">
        <f t="shared" si="27"/>
        <v>0</v>
      </c>
      <c r="P93" s="169">
        <f>(INDEX(Models!$BJ93:$BT93,,T93)*(1-R93)+INDEX(Models!$BJ93:$BT93,,T93+1)*R93-ERP_i)*Q93*Ramure*Pc/MaxiM</f>
        <v>1.9008230192326924E-4</v>
      </c>
      <c r="Q93" s="305">
        <f t="shared" si="28"/>
        <v>0.8</v>
      </c>
      <c r="R93" s="177">
        <f t="shared" si="29"/>
        <v>1.9149376271870872E-2</v>
      </c>
      <c r="S93" s="809">
        <f t="shared" si="47"/>
        <v>0</v>
      </c>
      <c r="T93" s="176">
        <f t="shared" si="30"/>
        <v>6</v>
      </c>
      <c r="U93" s="251">
        <f t="shared" si="31"/>
        <v>1.9149376271870872E-2</v>
      </c>
      <c r="V93" s="383">
        <f t="shared" si="32"/>
        <v>44.538004369906282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5">
        <f t="shared" si="38"/>
        <v>0</v>
      </c>
      <c r="AD93" s="169">
        <f>(INDEX(Models!$BJ93:$BT93,,AH93)*(1-AF93)+INDEX(Models!$BJ93:$BT93,,AH93+1)*AF93-ERP_i)*AE93*Ramure*Pc/MaxiM</f>
        <v>1.9008230192326924E-4</v>
      </c>
      <c r="AE93" s="305">
        <f t="shared" si="39"/>
        <v>0.8</v>
      </c>
      <c r="AF93" s="177">
        <f t="shared" si="40"/>
        <v>1.9149376271870872E-2</v>
      </c>
      <c r="AG93" s="809">
        <f t="shared" si="41"/>
        <v>0</v>
      </c>
      <c r="AH93" s="176">
        <f t="shared" si="42"/>
        <v>6</v>
      </c>
      <c r="AI93" s="225">
        <f t="shared" si="43"/>
        <v>1.9149376271870872E-2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6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6">
        <f t="shared" si="26"/>
        <v>0</v>
      </c>
      <c r="M94" s="854"/>
      <c r="N94" s="854"/>
      <c r="O94" s="324">
        <f t="shared" si="27"/>
        <v>0</v>
      </c>
      <c r="P94" s="169">
        <f>(INDEX(Models!$BJ94:$BT94,,T94)*(1-R94)+INDEX(Models!$BJ94:$BT94,,T94+1)*R94-ERP_i)*Q94*Ramure*Pc/MaxiM</f>
        <v>1.9404214697557324E-4</v>
      </c>
      <c r="Q94" s="305">
        <f t="shared" si="28"/>
        <v>0.8</v>
      </c>
      <c r="R94" s="177">
        <f t="shared" si="29"/>
        <v>1.9958772899511121E-2</v>
      </c>
      <c r="S94" s="809">
        <f t="shared" si="47"/>
        <v>0</v>
      </c>
      <c r="T94" s="176">
        <f t="shared" si="30"/>
        <v>6</v>
      </c>
      <c r="U94" s="251">
        <f t="shared" si="31"/>
        <v>1.9958772899511121E-2</v>
      </c>
      <c r="V94" s="383">
        <f t="shared" si="32"/>
        <v>44.993254889655944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5">
        <f t="shared" si="38"/>
        <v>0</v>
      </c>
      <c r="AD94" s="169">
        <f>(INDEX(Models!$BJ94:$BT94,,AH94)*(1-AF94)+INDEX(Models!$BJ94:$BT94,,AH94+1)*AF94-ERP_i)*AE94*Ramure*Pc/MaxiM</f>
        <v>1.9404214697557324E-4</v>
      </c>
      <c r="AE94" s="305">
        <f t="shared" si="39"/>
        <v>0.8</v>
      </c>
      <c r="AF94" s="177">
        <f t="shared" si="40"/>
        <v>1.9958772899511121E-2</v>
      </c>
      <c r="AG94" s="809">
        <f t="shared" si="41"/>
        <v>0</v>
      </c>
      <c r="AH94" s="176">
        <f t="shared" si="42"/>
        <v>6</v>
      </c>
      <c r="AI94" s="225">
        <f t="shared" si="43"/>
        <v>1.9958772899511121E-2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6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6">
        <f t="shared" si="26"/>
        <v>0</v>
      </c>
      <c r="M95" s="854"/>
      <c r="N95" s="854"/>
      <c r="O95" s="324">
        <f t="shared" si="27"/>
        <v>0</v>
      </c>
      <c r="P95" s="169">
        <f>(INDEX(Models!$BJ95:$BT95,,T95)*(1-R95)+INDEX(Models!$BJ95:$BT95,,T95+1)*R95-ERP_i)*Q95*Ramure*Pc/MaxiM</f>
        <v>1.976401959327566E-4</v>
      </c>
      <c r="Q95" s="305">
        <f t="shared" si="28"/>
        <v>0.8</v>
      </c>
      <c r="R95" s="177">
        <f t="shared" si="29"/>
        <v>2.0799729972920771E-2</v>
      </c>
      <c r="S95" s="809">
        <f t="shared" si="47"/>
        <v>0</v>
      </c>
      <c r="T95" s="176">
        <f t="shared" si="30"/>
        <v>6</v>
      </c>
      <c r="U95" s="251">
        <f t="shared" si="31"/>
        <v>2.0799729972920771E-2</v>
      </c>
      <c r="V95" s="383">
        <f t="shared" si="32"/>
        <v>45.450739383840805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5">
        <f t="shared" si="38"/>
        <v>0</v>
      </c>
      <c r="AD95" s="169">
        <f>(INDEX(Models!$BJ95:$BT95,,AH95)*(1-AF95)+INDEX(Models!$BJ95:$BT95,,AH95+1)*AF95-ERP_i)*AE95*Ramure*Pc/MaxiM</f>
        <v>1.976401959327566E-4</v>
      </c>
      <c r="AE95" s="305">
        <f t="shared" si="39"/>
        <v>0.8</v>
      </c>
      <c r="AF95" s="177">
        <f t="shared" si="40"/>
        <v>2.0799729972920771E-2</v>
      </c>
      <c r="AG95" s="809">
        <f t="shared" si="41"/>
        <v>0</v>
      </c>
      <c r="AH95" s="176">
        <f t="shared" si="42"/>
        <v>6</v>
      </c>
      <c r="AI95" s="225">
        <f t="shared" si="43"/>
        <v>2.0799729972920771E-2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6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6">
        <f t="shared" si="26"/>
        <v>0</v>
      </c>
      <c r="M96" s="854"/>
      <c r="N96" s="854"/>
      <c r="O96" s="324">
        <f t="shared" si="27"/>
        <v>0</v>
      </c>
      <c r="P96" s="169">
        <f>(INDEX(Models!$BJ96:$BT96,,T96)*(1-R96)+INDEX(Models!$BJ96:$BT96,,T96+1)*R96-ERP_i)*Q96*Ramure*Pc/MaxiM</f>
        <v>2.0084161321832461E-4</v>
      </c>
      <c r="Q96" s="305">
        <f t="shared" si="28"/>
        <v>0.8</v>
      </c>
      <c r="R96" s="177">
        <f t="shared" si="29"/>
        <v>2.1673377615674342E-2</v>
      </c>
      <c r="S96" s="809">
        <f t="shared" si="47"/>
        <v>0</v>
      </c>
      <c r="T96" s="176">
        <f t="shared" si="30"/>
        <v>6</v>
      </c>
      <c r="U96" s="251">
        <f t="shared" si="31"/>
        <v>2.1673377615674342E-2</v>
      </c>
      <c r="V96" s="383">
        <f t="shared" si="32"/>
        <v>45.90923830353087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5">
        <f t="shared" si="38"/>
        <v>0</v>
      </c>
      <c r="AD96" s="169">
        <f>(INDEX(Models!$BJ96:$BT96,,AH96)*(1-AF96)+INDEX(Models!$BJ96:$BT96,,AH96+1)*AF96-ERP_i)*AE96*Ramure*Pc/MaxiM</f>
        <v>2.0084161321832461E-4</v>
      </c>
      <c r="AE96" s="305">
        <f t="shared" si="39"/>
        <v>0.8</v>
      </c>
      <c r="AF96" s="177">
        <f t="shared" si="40"/>
        <v>2.1673377615674342E-2</v>
      </c>
      <c r="AG96" s="809">
        <f t="shared" si="41"/>
        <v>0</v>
      </c>
      <c r="AH96" s="176">
        <f t="shared" si="42"/>
        <v>6</v>
      </c>
      <c r="AI96" s="225">
        <f t="shared" si="43"/>
        <v>2.1673377615674342E-2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6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6">
        <f t="shared" si="26"/>
        <v>0</v>
      </c>
      <c r="M97" s="854"/>
      <c r="N97" s="854"/>
      <c r="O97" s="324">
        <f t="shared" si="27"/>
        <v>0</v>
      </c>
      <c r="P97" s="169">
        <f>(INDEX(Models!$BJ97:$BT97,,T97)*(1-R97)+INDEX(Models!$BJ97:$BT97,,T97+1)*R97-ERP_i)*Q97*Ramure*Pc/MaxiM</f>
        <v>2.036089333648988E-4</v>
      </c>
      <c r="Q97" s="305">
        <f t="shared" si="28"/>
        <v>0.8</v>
      </c>
      <c r="R97" s="177">
        <f t="shared" si="29"/>
        <v>2.2580878158746123E-2</v>
      </c>
      <c r="S97" s="809">
        <f t="shared" si="47"/>
        <v>0</v>
      </c>
      <c r="T97" s="176">
        <f t="shared" si="30"/>
        <v>6</v>
      </c>
      <c r="U97" s="251">
        <f t="shared" si="31"/>
        <v>2.2580878158746123E-2</v>
      </c>
      <c r="V97" s="383">
        <f t="shared" si="32"/>
        <v>46.367532306027471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5">
        <f t="shared" si="38"/>
        <v>0</v>
      </c>
      <c r="AD97" s="169">
        <f>(INDEX(Models!$BJ97:$BT97,,AH97)*(1-AF97)+INDEX(Models!$BJ97:$BT97,,AH97+1)*AF97-ERP_i)*AE97*Ramure*Pc/MaxiM</f>
        <v>2.036089333648988E-4</v>
      </c>
      <c r="AE97" s="305">
        <f t="shared" si="39"/>
        <v>0.8</v>
      </c>
      <c r="AF97" s="177">
        <f t="shared" si="40"/>
        <v>2.2580878158746123E-2</v>
      </c>
      <c r="AG97" s="809">
        <f t="shared" si="41"/>
        <v>0</v>
      </c>
      <c r="AH97" s="176">
        <f t="shared" si="42"/>
        <v>6</v>
      </c>
      <c r="AI97" s="225">
        <f t="shared" si="43"/>
        <v>2.2580878158746123E-2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6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6">
        <f t="shared" si="26"/>
        <v>0</v>
      </c>
      <c r="M98" s="854"/>
      <c r="N98" s="854"/>
      <c r="O98" s="324">
        <f t="shared" si="27"/>
        <v>0</v>
      </c>
      <c r="P98" s="169">
        <f>(INDEX(Models!$BJ98:$BT98,,T98)*(1-R98)+INDEX(Models!$BJ98:$BT98,,T98+1)*R98-ERP_i)*Q98*Ramure*Pc/MaxiM</f>
        <v>2.0590175534073324E-4</v>
      </c>
      <c r="Q98" s="305">
        <f t="shared" si="28"/>
        <v>0.8</v>
      </c>
      <c r="R98" s="177">
        <f t="shared" si="29"/>
        <v>2.352342636104281E-2</v>
      </c>
      <c r="S98" s="809">
        <f t="shared" si="47"/>
        <v>0</v>
      </c>
      <c r="T98" s="176">
        <f t="shared" si="30"/>
        <v>6</v>
      </c>
      <c r="U98" s="251">
        <f t="shared" si="31"/>
        <v>2.352342636104281E-2</v>
      </c>
      <c r="V98" s="383">
        <f t="shared" si="32"/>
        <v>46.824402268762526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5">
        <f t="shared" si="38"/>
        <v>0</v>
      </c>
      <c r="AD98" s="169">
        <f>(INDEX(Models!$BJ98:$BT98,,AH98)*(1-AF98)+INDEX(Models!$BJ98:$BT98,,AH98+1)*AF98-ERP_i)*AE98*Ramure*Pc/MaxiM</f>
        <v>2.0590175534073324E-4</v>
      </c>
      <c r="AE98" s="305">
        <f t="shared" si="39"/>
        <v>0.8</v>
      </c>
      <c r="AF98" s="177">
        <f t="shared" si="40"/>
        <v>2.352342636104281E-2</v>
      </c>
      <c r="AG98" s="809">
        <f t="shared" si="41"/>
        <v>0</v>
      </c>
      <c r="AH98" s="176">
        <f t="shared" si="42"/>
        <v>6</v>
      </c>
      <c r="AI98" s="225">
        <f t="shared" si="43"/>
        <v>2.352342636104281E-2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6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6">
        <f t="shared" si="26"/>
        <v>0</v>
      </c>
      <c r="M99" s="854"/>
      <c r="N99" s="854"/>
      <c r="O99" s="324">
        <f t="shared" si="27"/>
        <v>0</v>
      </c>
      <c r="P99" s="169">
        <f>(INDEX(Models!$BJ99:$BT99,,T99)*(1-R99)+INDEX(Models!$BJ99:$BT99,,T99+1)*R99-ERP_i)*Q99*Ramure*Pc/MaxiM</f>
        <v>2.0767641177028414E-4</v>
      </c>
      <c r="Q99" s="305">
        <f t="shared" si="28"/>
        <v>0.8</v>
      </c>
      <c r="R99" s="177">
        <f t="shared" si="29"/>
        <v>2.450224956272715E-2</v>
      </c>
      <c r="S99" s="809">
        <f t="shared" si="47"/>
        <v>0</v>
      </c>
      <c r="T99" s="176">
        <f t="shared" si="30"/>
        <v>6</v>
      </c>
      <c r="U99" s="251">
        <f t="shared" si="31"/>
        <v>2.450224956272715E-2</v>
      </c>
      <c r="V99" s="383">
        <f t="shared" si="32"/>
        <v>47.278629303517256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5">
        <f t="shared" si="38"/>
        <v>0</v>
      </c>
      <c r="AD99" s="169">
        <f>(INDEX(Models!$BJ99:$BT99,,AH99)*(1-AF99)+INDEX(Models!$BJ99:$BT99,,AH99+1)*AF99-ERP_i)*AE99*Ramure*Pc/MaxiM</f>
        <v>2.0767641177028414E-4</v>
      </c>
      <c r="AE99" s="305">
        <f t="shared" si="39"/>
        <v>0.8</v>
      </c>
      <c r="AF99" s="177">
        <f t="shared" si="40"/>
        <v>2.450224956272715E-2</v>
      </c>
      <c r="AG99" s="809">
        <f t="shared" si="41"/>
        <v>0</v>
      </c>
      <c r="AH99" s="176">
        <f t="shared" si="42"/>
        <v>6</v>
      </c>
      <c r="AI99" s="225">
        <f t="shared" si="43"/>
        <v>2.450224956272715E-2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6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6">
        <f t="shared" si="26"/>
        <v>0</v>
      </c>
      <c r="M100" s="854"/>
      <c r="N100" s="854"/>
      <c r="O100" s="324">
        <f t="shared" si="27"/>
        <v>0</v>
      </c>
      <c r="P100" s="169">
        <f>(INDEX(Models!$BJ100:$BT100,,T100)*(1-R100)+INDEX(Models!$BJ100:$BT100,,T100+1)*R100-ERP_i)*Q100*Ramure*Pc/MaxiM</f>
        <v>2.0897763464245418E-4</v>
      </c>
      <c r="Q100" s="305">
        <f t="shared" si="28"/>
        <v>0.8</v>
      </c>
      <c r="R100" s="177">
        <f t="shared" si="29"/>
        <v>2.5518607764284645E-2</v>
      </c>
      <c r="S100" s="809">
        <f t="shared" si="47"/>
        <v>0</v>
      </c>
      <c r="T100" s="176">
        <f t="shared" si="30"/>
        <v>6</v>
      </c>
      <c r="U100" s="251">
        <f t="shared" si="31"/>
        <v>2.5518607764284645E-2</v>
      </c>
      <c r="V100" s="383">
        <f t="shared" si="32"/>
        <v>47.728990386824776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5">
        <f t="shared" si="38"/>
        <v>0</v>
      </c>
      <c r="AD100" s="169">
        <f>(INDEX(Models!$BJ100:$BT100,,AH100)*(1-AF100)+INDEX(Models!$BJ100:$BT100,,AH100+1)*AF100-ERP_i)*AE100*Ramure*Pc/MaxiM</f>
        <v>2.0897763464245418E-4</v>
      </c>
      <c r="AE100" s="305">
        <f t="shared" si="39"/>
        <v>0.8</v>
      </c>
      <c r="AF100" s="177">
        <f t="shared" si="40"/>
        <v>2.5518607764284645E-2</v>
      </c>
      <c r="AG100" s="809">
        <f t="shared" si="41"/>
        <v>0</v>
      </c>
      <c r="AH100" s="176">
        <f t="shared" si="42"/>
        <v>6</v>
      </c>
      <c r="AI100" s="225">
        <f t="shared" si="43"/>
        <v>2.5518607764284645E-2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6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6">
        <f t="shared" si="26"/>
        <v>0</v>
      </c>
      <c r="M101" s="854"/>
      <c r="N101" s="854"/>
      <c r="O101" s="324">
        <f t="shared" si="27"/>
        <v>0</v>
      </c>
      <c r="P101" s="169">
        <f>(INDEX(Models!$BJ101:$BT101,,T101)*(1-R101)+INDEX(Models!$BJ101:$BT101,,T101+1)*R101-ERP_i)*Q101*Ramure*Pc/MaxiM</f>
        <v>2.1014840570509954E-4</v>
      </c>
      <c r="Q101" s="305">
        <f t="shared" si="28"/>
        <v>0.8</v>
      </c>
      <c r="R101" s="177">
        <f t="shared" si="29"/>
        <v>2.6573793623881733E-2</v>
      </c>
      <c r="S101" s="809">
        <f t="shared" si="47"/>
        <v>0</v>
      </c>
      <c r="T101" s="176">
        <f t="shared" si="30"/>
        <v>6</v>
      </c>
      <c r="U101" s="251">
        <f t="shared" si="31"/>
        <v>2.6573793623881733E-2</v>
      </c>
      <c r="V101" s="383">
        <f t="shared" si="32"/>
        <v>48.174248037217716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5">
        <f t="shared" si="38"/>
        <v>0</v>
      </c>
      <c r="AD101" s="169">
        <f>(INDEX(Models!$BJ101:$BT101,,AH101)*(1-AF101)+INDEX(Models!$BJ101:$BT101,,AH101+1)*AF101-ERP_i)*AE101*Ramure*Pc/MaxiM</f>
        <v>2.1014840570509954E-4</v>
      </c>
      <c r="AE101" s="305">
        <f t="shared" si="39"/>
        <v>0.8</v>
      </c>
      <c r="AF101" s="177">
        <f t="shared" si="40"/>
        <v>2.6573793623881733E-2</v>
      </c>
      <c r="AG101" s="809">
        <f t="shared" si="41"/>
        <v>0</v>
      </c>
      <c r="AH101" s="176">
        <f t="shared" si="42"/>
        <v>6</v>
      </c>
      <c r="AI101" s="225">
        <f t="shared" si="43"/>
        <v>2.6573793623881733E-2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6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6">
        <f t="shared" si="26"/>
        <v>0</v>
      </c>
      <c r="M102" s="854"/>
      <c r="N102" s="854"/>
      <c r="O102" s="324">
        <f t="shared" si="27"/>
        <v>0</v>
      </c>
      <c r="P102" s="169">
        <f>(INDEX(Models!$BJ102:$BT102,,T102)*(1-R102)+INDEX(Models!$BJ102:$BT102,,T102+1)*R102-ERP_i)*Q102*Ramure*Pc/MaxiM</f>
        <v>2.1118120483402386E-4</v>
      </c>
      <c r="Q102" s="305">
        <f t="shared" si="28"/>
        <v>0.8</v>
      </c>
      <c r="R102" s="177">
        <f t="shared" si="29"/>
        <v>2.7669132365145392E-2</v>
      </c>
      <c r="S102" s="809">
        <f t="shared" si="47"/>
        <v>0</v>
      </c>
      <c r="T102" s="176">
        <f t="shared" si="30"/>
        <v>6</v>
      </c>
      <c r="U102" s="251">
        <f t="shared" si="31"/>
        <v>2.7669132365145392E-2</v>
      </c>
      <c r="V102" s="383">
        <f t="shared" si="32"/>
        <v>48.613181202976882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5">
        <f t="shared" si="38"/>
        <v>0</v>
      </c>
      <c r="AD102" s="169">
        <f>(INDEX(Models!$BJ102:$BT102,,AH102)*(1-AF102)+INDEX(Models!$BJ102:$BT102,,AH102+1)*AF102-ERP_i)*AE102*Ramure*Pc/MaxiM</f>
        <v>2.1118120483402386E-4</v>
      </c>
      <c r="AE102" s="305">
        <f t="shared" si="39"/>
        <v>0.8</v>
      </c>
      <c r="AF102" s="177">
        <f t="shared" si="40"/>
        <v>2.7669132365145392E-2</v>
      </c>
      <c r="AG102" s="809">
        <f t="shared" si="41"/>
        <v>0</v>
      </c>
      <c r="AH102" s="176">
        <f t="shared" si="42"/>
        <v>6</v>
      </c>
      <c r="AI102" s="225">
        <f t="shared" si="43"/>
        <v>2.7669132365145392E-2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6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6">
        <f t="shared" si="26"/>
        <v>0</v>
      </c>
      <c r="M103" s="854"/>
      <c r="N103" s="854"/>
      <c r="O103" s="324">
        <f t="shared" si="27"/>
        <v>0</v>
      </c>
      <c r="P103" s="169">
        <f>(INDEX(Models!$BJ103:$BT103,,T103)*(1-R103)+INDEX(Models!$BJ103:$BT103,,T103+1)*R103-ERP_i)*Q103*Ramure*Pc/MaxiM</f>
        <v>2.1206749108768796E-4</v>
      </c>
      <c r="Q103" s="305">
        <f t="shared" si="28"/>
        <v>0.8</v>
      </c>
      <c r="R103" s="177">
        <f t="shared" si="29"/>
        <v>2.8805981587087397E-2</v>
      </c>
      <c r="S103" s="809">
        <f t="shared" si="47"/>
        <v>0</v>
      </c>
      <c r="T103" s="176">
        <f t="shared" si="30"/>
        <v>6</v>
      </c>
      <c r="U103" s="251">
        <f t="shared" si="31"/>
        <v>2.8805981587087397E-2</v>
      </c>
      <c r="V103" s="383">
        <f t="shared" si="32"/>
        <v>49.044568900542842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5">
        <f t="shared" si="38"/>
        <v>0</v>
      </c>
      <c r="AD103" s="169">
        <f>(INDEX(Models!$BJ103:$BT103,,AH103)*(1-AF103)+INDEX(Models!$BJ103:$BT103,,AH103+1)*AF103-ERP_i)*AE103*Ramure*Pc/MaxiM</f>
        <v>2.1206749108768796E-4</v>
      </c>
      <c r="AE103" s="305">
        <f t="shared" si="39"/>
        <v>0.8</v>
      </c>
      <c r="AF103" s="177">
        <f t="shared" si="40"/>
        <v>2.8805981587087397E-2</v>
      </c>
      <c r="AG103" s="809">
        <f t="shared" si="41"/>
        <v>0</v>
      </c>
      <c r="AH103" s="176">
        <f t="shared" si="42"/>
        <v>6</v>
      </c>
      <c r="AI103" s="225">
        <f t="shared" si="43"/>
        <v>2.8805981587087397E-2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6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6">
        <f t="shared" si="26"/>
        <v>0</v>
      </c>
      <c r="M104" s="854"/>
      <c r="N104" s="854"/>
      <c r="O104" s="324">
        <f t="shared" si="27"/>
        <v>0</v>
      </c>
      <c r="P104" s="169">
        <f>(INDEX(Models!$BJ104:$BT104,,T104)*(1-R104)+INDEX(Models!$BJ104:$BT104,,T104+1)*R104-ERP_i)*Q104*Ramure*Pc/MaxiM</f>
        <v>2.1279761186733569E-4</v>
      </c>
      <c r="Q104" s="305">
        <f t="shared" si="28"/>
        <v>0.8</v>
      </c>
      <c r="R104" s="177">
        <f t="shared" si="29"/>
        <v>2.9985730967484504E-2</v>
      </c>
      <c r="S104" s="809">
        <f t="shared" si="47"/>
        <v>0</v>
      </c>
      <c r="T104" s="176">
        <f t="shared" si="30"/>
        <v>6</v>
      </c>
      <c r="U104" s="251">
        <f t="shared" si="31"/>
        <v>2.9985730967484504E-2</v>
      </c>
      <c r="V104" s="383">
        <f t="shared" si="32"/>
        <v>49.4671902083794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5">
        <f t="shared" si="38"/>
        <v>0</v>
      </c>
      <c r="AD104" s="169">
        <f>(INDEX(Models!$BJ104:$BT104,,AH104)*(1-AF104)+INDEX(Models!$BJ104:$BT104,,AH104+1)*AF104-ERP_i)*AE104*Ramure*Pc/MaxiM</f>
        <v>2.1279761186733569E-4</v>
      </c>
      <c r="AE104" s="305">
        <f t="shared" si="39"/>
        <v>0.8</v>
      </c>
      <c r="AF104" s="177">
        <f t="shared" si="40"/>
        <v>2.9985730967484504E-2</v>
      </c>
      <c r="AG104" s="809">
        <f t="shared" si="41"/>
        <v>0</v>
      </c>
      <c r="AH104" s="176">
        <f t="shared" si="42"/>
        <v>6</v>
      </c>
      <c r="AI104" s="225">
        <f t="shared" si="43"/>
        <v>2.9985730967484504E-2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6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6">
        <f t="shared" si="26"/>
        <v>0</v>
      </c>
      <c r="M105" s="854"/>
      <c r="N105" s="854"/>
      <c r="O105" s="324">
        <f t="shared" si="27"/>
        <v>0</v>
      </c>
      <c r="P105" s="169">
        <f>(INDEX(Models!$BJ105:$BT105,,T105)*(1-R105)+INDEX(Models!$BJ105:$BT105,,T105+1)*R105-ERP_i)*Q105*Ramure*Pc/MaxiM</f>
        <v>2.1336070496915882E-4</v>
      </c>
      <c r="Q105" s="305">
        <f t="shared" si="28"/>
        <v>0.8</v>
      </c>
      <c r="R105" s="177">
        <f t="shared" si="29"/>
        <v>3.120980185062679E-2</v>
      </c>
      <c r="S105" s="809">
        <f t="shared" si="47"/>
        <v>0</v>
      </c>
      <c r="T105" s="176">
        <f t="shared" si="30"/>
        <v>6</v>
      </c>
      <c r="U105" s="251">
        <f t="shared" si="31"/>
        <v>3.120980185062679E-2</v>
      </c>
      <c r="V105" s="383">
        <f t="shared" si="32"/>
        <v>49.879824283533111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5">
        <f t="shared" si="38"/>
        <v>0</v>
      </c>
      <c r="AD105" s="169">
        <f>(INDEX(Models!$BJ105:$BT105,,AH105)*(1-AF105)+INDEX(Models!$BJ105:$BT105,,AH105+1)*AF105-ERP_i)*AE105*Ramure*Pc/MaxiM</f>
        <v>2.1336070496915882E-4</v>
      </c>
      <c r="AE105" s="305">
        <f t="shared" si="39"/>
        <v>0.8</v>
      </c>
      <c r="AF105" s="177">
        <f t="shared" si="40"/>
        <v>3.120980185062679E-2</v>
      </c>
      <c r="AG105" s="809">
        <f t="shared" si="41"/>
        <v>0</v>
      </c>
      <c r="AH105" s="176">
        <f t="shared" si="42"/>
        <v>6</v>
      </c>
      <c r="AI105" s="225">
        <f t="shared" si="43"/>
        <v>3.120980185062679E-2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6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6">
        <f t="shared" si="26"/>
        <v>0</v>
      </c>
      <c r="M106" s="854"/>
      <c r="N106" s="854"/>
      <c r="O106" s="324">
        <f t="shared" si="27"/>
        <v>0</v>
      </c>
      <c r="P106" s="169">
        <f>(INDEX(Models!$BJ106:$BT106,,T106)*(1-R106)+INDEX(Models!$BJ106:$BT106,,T106+1)*R106-ERP_i)*Q106*Ramure*Pc/MaxiM</f>
        <v>2.1374459273900692E-4</v>
      </c>
      <c r="Q106" s="305">
        <f t="shared" si="28"/>
        <v>0.8</v>
      </c>
      <c r="R106" s="177">
        <f t="shared" si="29"/>
        <v>3.2479646709954027E-2</v>
      </c>
      <c r="S106" s="809">
        <f t="shared" si="47"/>
        <v>0</v>
      </c>
      <c r="T106" s="176">
        <f t="shared" si="30"/>
        <v>6</v>
      </c>
      <c r="U106" s="251">
        <f t="shared" si="31"/>
        <v>3.2479646709954027E-2</v>
      </c>
      <c r="V106" s="383">
        <f t="shared" si="32"/>
        <v>50.281250356375843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5">
        <f t="shared" si="38"/>
        <v>0</v>
      </c>
      <c r="AD106" s="169">
        <f>(INDEX(Models!$BJ106:$BT106,,AH106)*(1-AF106)+INDEX(Models!$BJ106:$BT106,,AH106+1)*AF106-ERP_i)*AE106*Ramure*Pc/MaxiM</f>
        <v>2.1374459273900692E-4</v>
      </c>
      <c r="AE106" s="305">
        <f t="shared" si="39"/>
        <v>0.8</v>
      </c>
      <c r="AF106" s="177">
        <f t="shared" si="40"/>
        <v>3.2479646709954027E-2</v>
      </c>
      <c r="AG106" s="809">
        <f t="shared" si="41"/>
        <v>0</v>
      </c>
      <c r="AH106" s="176">
        <f t="shared" si="42"/>
        <v>6</v>
      </c>
      <c r="AI106" s="225">
        <f t="shared" si="43"/>
        <v>3.2479646709954027E-2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6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6">
        <f t="shared" si="26"/>
        <v>0</v>
      </c>
      <c r="M107" s="854"/>
      <c r="N107" s="854"/>
      <c r="O107" s="324">
        <f t="shared" si="27"/>
        <v>0</v>
      </c>
      <c r="P107" s="169">
        <f>(INDEX(Models!$BJ107:$BT107,,T107)*(1-R107)+INDEX(Models!$BJ107:$BT107,,T107+1)*R107-ERP_i)*Q107*Ramure*Pc/MaxiM</f>
        <v>2.1392378928793967E-4</v>
      </c>
      <c r="Q107" s="305">
        <f t="shared" si="28"/>
        <v>0.8</v>
      </c>
      <c r="R107" s="177">
        <f t="shared" si="29"/>
        <v>3.3796748475730311E-2</v>
      </c>
      <c r="S107" s="809">
        <f t="shared" si="47"/>
        <v>0</v>
      </c>
      <c r="T107" s="176">
        <f t="shared" si="30"/>
        <v>6</v>
      </c>
      <c r="U107" s="251">
        <f t="shared" si="31"/>
        <v>3.3796748475730311E-2</v>
      </c>
      <c r="V107" s="383">
        <f t="shared" si="32"/>
        <v>50.673061733701985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5">
        <f t="shared" si="38"/>
        <v>0</v>
      </c>
      <c r="AD107" s="169">
        <f>(INDEX(Models!$BJ107:$BT107,,AH107)*(1-AF107)+INDEX(Models!$BJ107:$BT107,,AH107+1)*AF107-ERP_i)*AE107*Ramure*Pc/MaxiM</f>
        <v>2.1392378928793967E-4</v>
      </c>
      <c r="AE107" s="305">
        <f t="shared" si="39"/>
        <v>0.8</v>
      </c>
      <c r="AF107" s="177">
        <f t="shared" si="40"/>
        <v>3.3796748475730311E-2</v>
      </c>
      <c r="AG107" s="809">
        <f t="shared" si="41"/>
        <v>0</v>
      </c>
      <c r="AH107" s="176">
        <f t="shared" si="42"/>
        <v>6</v>
      </c>
      <c r="AI107" s="225">
        <f t="shared" si="43"/>
        <v>3.3796748475730311E-2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6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6">
        <f t="shared" si="26"/>
        <v>0</v>
      </c>
      <c r="M108" s="854"/>
      <c r="N108" s="854"/>
      <c r="O108" s="324">
        <f t="shared" si="27"/>
        <v>0</v>
      </c>
      <c r="P108" s="169">
        <f>(INDEX(Models!$BJ108:$BT108,,T108)*(1-R108)+INDEX(Models!$BJ108:$BT108,,T108+1)*R108-ERP_i)*Q108*Ramure*Pc/MaxiM</f>
        <v>2.1381128643688493E-4</v>
      </c>
      <c r="Q108" s="305">
        <f t="shared" si="28"/>
        <v>0.8</v>
      </c>
      <c r="R108" s="177">
        <f t="shared" si="29"/>
        <v>3.5162619717553516E-2</v>
      </c>
      <c r="S108" s="809">
        <f t="shared" si="47"/>
        <v>0</v>
      </c>
      <c r="T108" s="176">
        <f t="shared" si="30"/>
        <v>6</v>
      </c>
      <c r="U108" s="251">
        <f t="shared" si="31"/>
        <v>3.5162619717553516E-2</v>
      </c>
      <c r="V108" s="383">
        <f t="shared" si="32"/>
        <v>51.057743333817051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5">
        <f t="shared" si="38"/>
        <v>0</v>
      </c>
      <c r="AD108" s="169">
        <f>(INDEX(Models!$BJ108:$BT108,,AH108)*(1-AF108)+INDEX(Models!$BJ108:$BT108,,AH108+1)*AF108-ERP_i)*AE108*Ramure*Pc/MaxiM</f>
        <v>2.1381128643688493E-4</v>
      </c>
      <c r="AE108" s="305">
        <f t="shared" si="39"/>
        <v>0.8</v>
      </c>
      <c r="AF108" s="177">
        <f t="shared" si="40"/>
        <v>3.5162619717553516E-2</v>
      </c>
      <c r="AG108" s="809">
        <f t="shared" si="41"/>
        <v>0</v>
      </c>
      <c r="AH108" s="176">
        <f t="shared" si="42"/>
        <v>6</v>
      </c>
      <c r="AI108" s="225">
        <f t="shared" si="43"/>
        <v>3.5162619717553516E-2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6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6">
        <f t="shared" si="26"/>
        <v>0</v>
      </c>
      <c r="M109" s="854"/>
      <c r="N109" s="854"/>
      <c r="O109" s="324">
        <f t="shared" si="27"/>
        <v>0</v>
      </c>
      <c r="P109" s="169">
        <f>(INDEX(Models!$BJ109:$BT109,,T109)*(1-R109)+INDEX(Models!$BJ109:$BT109,,T109+1)*R109-ERP_i)*Q109*Ramure*Pc/MaxiM</f>
        <v>2.135390690776856E-4</v>
      </c>
      <c r="Q109" s="305">
        <f t="shared" si="28"/>
        <v>0.8</v>
      </c>
      <c r="R109" s="177">
        <f t="shared" si="29"/>
        <v>3.6578801671175991E-2</v>
      </c>
      <c r="S109" s="809">
        <f t="shared" si="47"/>
        <v>0</v>
      </c>
      <c r="T109" s="176">
        <f t="shared" si="30"/>
        <v>6</v>
      </c>
      <c r="U109" s="251">
        <f t="shared" si="31"/>
        <v>3.6578801671175991E-2</v>
      </c>
      <c r="V109" s="383">
        <f t="shared" si="32"/>
        <v>51.435399753874911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5">
        <f t="shared" si="38"/>
        <v>0</v>
      </c>
      <c r="AD109" s="169">
        <f>(INDEX(Models!$BJ109:$BT109,,AH109)*(1-AF109)+INDEX(Models!$BJ109:$BT109,,AH109+1)*AF109-ERP_i)*AE109*Ramure*Pc/MaxiM</f>
        <v>2.135390690776856E-4</v>
      </c>
      <c r="AE109" s="305">
        <f t="shared" si="39"/>
        <v>0.8</v>
      </c>
      <c r="AF109" s="177">
        <f t="shared" si="40"/>
        <v>3.6578801671175991E-2</v>
      </c>
      <c r="AG109" s="809">
        <f t="shared" si="41"/>
        <v>0</v>
      </c>
      <c r="AH109" s="176">
        <f t="shared" si="42"/>
        <v>6</v>
      </c>
      <c r="AI109" s="225">
        <f t="shared" si="43"/>
        <v>3.6578801671175991E-2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6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6">
        <f t="shared" si="26"/>
        <v>0</v>
      </c>
      <c r="M110" s="854"/>
      <c r="N110" s="854"/>
      <c r="O110" s="324">
        <f t="shared" si="27"/>
        <v>0</v>
      </c>
      <c r="P110" s="169">
        <f>(INDEX(Models!$BJ110:$BT110,,T110)*(1-R110)+INDEX(Models!$BJ110:$BT110,,T110+1)*R110-ERP_i)*Q110*Ramure*Pc/MaxiM</f>
        <v>2.1309436681069772E-4</v>
      </c>
      <c r="Q110" s="305">
        <f t="shared" si="28"/>
        <v>0.8</v>
      </c>
      <c r="R110" s="177">
        <f t="shared" si="29"/>
        <v>3.8046863098824234E-2</v>
      </c>
      <c r="S110" s="809">
        <f t="shared" si="47"/>
        <v>0</v>
      </c>
      <c r="T110" s="176">
        <f t="shared" si="30"/>
        <v>6</v>
      </c>
      <c r="U110" s="251">
        <f t="shared" si="31"/>
        <v>3.8046863098824234E-2</v>
      </c>
      <c r="V110" s="383">
        <f t="shared" si="32"/>
        <v>51.806142888459505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5">
        <f t="shared" si="38"/>
        <v>0</v>
      </c>
      <c r="AD110" s="169">
        <f>(INDEX(Models!$BJ110:$BT110,,AH110)*(1-AF110)+INDEX(Models!$BJ110:$BT110,,AH110+1)*AF110-ERP_i)*AE110*Ramure*Pc/MaxiM</f>
        <v>2.1309436681069772E-4</v>
      </c>
      <c r="AE110" s="305">
        <f t="shared" si="39"/>
        <v>0.8</v>
      </c>
      <c r="AF110" s="177">
        <f t="shared" si="40"/>
        <v>3.8046863098824234E-2</v>
      </c>
      <c r="AG110" s="809">
        <f t="shared" si="41"/>
        <v>0</v>
      </c>
      <c r="AH110" s="176">
        <f t="shared" si="42"/>
        <v>6</v>
      </c>
      <c r="AI110" s="225">
        <f t="shared" si="43"/>
        <v>3.8046863098824234E-2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6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6">
        <f t="shared" si="26"/>
        <v>0</v>
      </c>
      <c r="M111" s="854"/>
      <c r="N111" s="854"/>
      <c r="O111" s="324">
        <f t="shared" si="27"/>
        <v>0</v>
      </c>
      <c r="P111" s="169">
        <f>(INDEX(Models!$BJ111:$BT111,,T111)*(1-R111)+INDEX(Models!$BJ111:$BT111,,T111+1)*R111-ERP_i)*Q111*Ramure*Pc/MaxiM</f>
        <v>2.1246368005183131E-4</v>
      </c>
      <c r="Q111" s="305">
        <f t="shared" si="28"/>
        <v>0.8</v>
      </c>
      <c r="R111" s="177">
        <f t="shared" si="29"/>
        <v>3.9568398971963042E-2</v>
      </c>
      <c r="S111" s="809">
        <f t="shared" si="47"/>
        <v>0</v>
      </c>
      <c r="T111" s="176">
        <f t="shared" si="30"/>
        <v>6</v>
      </c>
      <c r="U111" s="251">
        <f t="shared" si="31"/>
        <v>3.9568398971963042E-2</v>
      </c>
      <c r="V111" s="383">
        <f t="shared" si="32"/>
        <v>52.170084678966788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5">
        <f t="shared" si="38"/>
        <v>0</v>
      </c>
      <c r="AD111" s="169">
        <f>(INDEX(Models!$BJ111:$BT111,,AH111)*(1-AF111)+INDEX(Models!$BJ111:$BT111,,AH111+1)*AF111-ERP_i)*AE111*Ramure*Pc/MaxiM</f>
        <v>2.1246368005183131E-4</v>
      </c>
      <c r="AE111" s="305">
        <f t="shared" si="39"/>
        <v>0.8</v>
      </c>
      <c r="AF111" s="177">
        <f t="shared" si="40"/>
        <v>3.9568398971963042E-2</v>
      </c>
      <c r="AG111" s="809">
        <f t="shared" si="41"/>
        <v>0</v>
      </c>
      <c r="AH111" s="176">
        <f t="shared" si="42"/>
        <v>6</v>
      </c>
      <c r="AI111" s="225">
        <f t="shared" si="43"/>
        <v>3.9568398971963042E-2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6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6">
        <f t="shared" si="26"/>
        <v>0</v>
      </c>
      <c r="M112" s="854"/>
      <c r="N112" s="854"/>
      <c r="O112" s="324">
        <f t="shared" si="27"/>
        <v>0</v>
      </c>
      <c r="P112" s="169">
        <f>(INDEX(Models!$BJ112:$BT112,,T112)*(1-R112)+INDEX(Models!$BJ112:$BT112,,T112+1)*R112-ERP_i)*Q112*Ramure*Pc/MaxiM</f>
        <v>2.1163274585795223E-4</v>
      </c>
      <c r="Q112" s="305">
        <f t="shared" si="28"/>
        <v>0.8</v>
      </c>
      <c r="R112" s="177">
        <f t="shared" si="29"/>
        <v>4.1145028965255341E-2</v>
      </c>
      <c r="S112" s="809">
        <f t="shared" si="47"/>
        <v>0</v>
      </c>
      <c r="T112" s="176">
        <f t="shared" si="30"/>
        <v>6</v>
      </c>
      <c r="U112" s="251">
        <f t="shared" si="31"/>
        <v>4.1145028965255341E-2</v>
      </c>
      <c r="V112" s="383">
        <f t="shared" si="32"/>
        <v>52.527337117460966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5">
        <f t="shared" si="38"/>
        <v>0</v>
      </c>
      <c r="AD112" s="169">
        <f>(INDEX(Models!$BJ112:$BT112,,AH112)*(1-AF112)+INDEX(Models!$BJ112:$BT112,,AH112+1)*AF112-ERP_i)*AE112*Ramure*Pc/MaxiM</f>
        <v>2.1163274585795223E-4</v>
      </c>
      <c r="AE112" s="305">
        <f t="shared" si="39"/>
        <v>0.8</v>
      </c>
      <c r="AF112" s="177">
        <f t="shared" si="40"/>
        <v>4.1145028965255341E-2</v>
      </c>
      <c r="AG112" s="809">
        <f t="shared" si="41"/>
        <v>0</v>
      </c>
      <c r="AH112" s="176">
        <f t="shared" si="42"/>
        <v>6</v>
      </c>
      <c r="AI112" s="225">
        <f t="shared" si="43"/>
        <v>4.1145028965255341E-2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6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6">
        <f t="shared" si="26"/>
        <v>0</v>
      </c>
      <c r="M113" s="854"/>
      <c r="N113" s="854"/>
      <c r="O113" s="324">
        <f t="shared" si="27"/>
        <v>0</v>
      </c>
      <c r="P113" s="169">
        <f>(INDEX(Models!$BJ113:$BT113,,T113)*(1-R113)+INDEX(Models!$BJ113:$BT113,,T113+1)*R113-ERP_i)*Q113*Ramure*Pc/MaxiM</f>
        <v>2.1058650388504921E-4</v>
      </c>
      <c r="Q113" s="305">
        <f t="shared" si="28"/>
        <v>0.8</v>
      </c>
      <c r="R113" s="177">
        <f t="shared" si="29"/>
        <v>4.2778395750334583E-2</v>
      </c>
      <c r="S113" s="809">
        <f t="shared" si="47"/>
        <v>0</v>
      </c>
      <c r="T113" s="176">
        <f t="shared" si="30"/>
        <v>6</v>
      </c>
      <c r="U113" s="251">
        <f t="shared" si="31"/>
        <v>4.2778395750334583E-2</v>
      </c>
      <c r="V113" s="383">
        <f t="shared" si="32"/>
        <v>52.878012258426658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5">
        <f t="shared" si="38"/>
        <v>0</v>
      </c>
      <c r="AD113" s="169">
        <f>(INDEX(Models!$BJ113:$BT113,,AH113)*(1-AF113)+INDEX(Models!$BJ113:$BT113,,AH113+1)*AF113-ERP_i)*AE113*Ramure*Pc/MaxiM</f>
        <v>2.1058650388504921E-4</v>
      </c>
      <c r="AE113" s="305">
        <f t="shared" si="39"/>
        <v>0.8</v>
      </c>
      <c r="AF113" s="177">
        <f t="shared" si="40"/>
        <v>4.2778395750334583E-2</v>
      </c>
      <c r="AG113" s="809">
        <f t="shared" si="41"/>
        <v>0</v>
      </c>
      <c r="AH113" s="176">
        <f t="shared" si="42"/>
        <v>6</v>
      </c>
      <c r="AI113" s="225">
        <f t="shared" si="43"/>
        <v>4.2778395750334583E-2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6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6">
        <f t="shared" si="26"/>
        <v>0</v>
      </c>
      <c r="M114" s="854"/>
      <c r="N114" s="854"/>
      <c r="O114" s="324">
        <f t="shared" si="27"/>
        <v>0</v>
      </c>
      <c r="P114" s="169">
        <f>(INDEX(Models!$BJ114:$BT114,,T114)*(1-R114)+INDEX(Models!$BJ114:$BT114,,T114+1)*R114-ERP_i)*Q114*Ramure*Pc/MaxiM</f>
        <v>2.0939553597589265E-4</v>
      </c>
      <c r="Q114" s="305">
        <f t="shared" si="28"/>
        <v>0.8</v>
      </c>
      <c r="R114" s="177">
        <f t="shared" si="29"/>
        <v>4.4470163077945608E-2</v>
      </c>
      <c r="S114" s="809">
        <f t="shared" si="47"/>
        <v>0</v>
      </c>
      <c r="T114" s="176">
        <f t="shared" si="30"/>
        <v>6</v>
      </c>
      <c r="U114" s="251">
        <f t="shared" si="31"/>
        <v>4.4470163077945608E-2</v>
      </c>
      <c r="V114" s="383">
        <f t="shared" si="32"/>
        <v>53.222217601512526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5">
        <f t="shared" si="38"/>
        <v>0</v>
      </c>
      <c r="AD114" s="169">
        <f>(INDEX(Models!$BJ114:$BT114,,AH114)*(1-AF114)+INDEX(Models!$BJ114:$BT114,,AH114+1)*AF114-ERP_i)*AE114*Ramure*Pc/MaxiM</f>
        <v>2.0939553597589265E-4</v>
      </c>
      <c r="AE114" s="305">
        <f t="shared" si="39"/>
        <v>0.8</v>
      </c>
      <c r="AF114" s="177">
        <f t="shared" si="40"/>
        <v>4.4470163077945608E-2</v>
      </c>
      <c r="AG114" s="809">
        <f t="shared" si="41"/>
        <v>0</v>
      </c>
      <c r="AH114" s="176">
        <f t="shared" si="42"/>
        <v>6</v>
      </c>
      <c r="AI114" s="225">
        <f t="shared" si="43"/>
        <v>4.4470163077945608E-2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6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6">
        <f t="shared" si="26"/>
        <v>0</v>
      </c>
      <c r="M115" s="854"/>
      <c r="N115" s="854"/>
      <c r="O115" s="324">
        <f t="shared" si="27"/>
        <v>0</v>
      </c>
      <c r="P115" s="169">
        <f>(INDEX(Models!$BJ115:$BT115,,T115)*(1-R115)+INDEX(Models!$BJ115:$BT115,,T115+1)*R115-ERP_i)*Q115*Ramure*Pc/MaxiM</f>
        <v>2.078991631812703E-4</v>
      </c>
      <c r="Q115" s="305">
        <f t="shared" si="28"/>
        <v>0.8</v>
      </c>
      <c r="R115" s="177">
        <f t="shared" si="29"/>
        <v>4.6222013637022136E-2</v>
      </c>
      <c r="S115" s="809">
        <f t="shared" si="47"/>
        <v>0</v>
      </c>
      <c r="T115" s="176">
        <f t="shared" si="30"/>
        <v>6</v>
      </c>
      <c r="U115" s="251">
        <f t="shared" si="31"/>
        <v>4.6222013637022136E-2</v>
      </c>
      <c r="V115" s="383">
        <f t="shared" si="32"/>
        <v>53.560072938804026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5">
        <f t="shared" si="38"/>
        <v>0</v>
      </c>
      <c r="AD115" s="169">
        <f>(INDEX(Models!$BJ115:$BT115,,AH115)*(1-AF115)+INDEX(Models!$BJ115:$BT115,,AH115+1)*AF115-ERP_i)*AE115*Ramure*Pc/MaxiM</f>
        <v>2.078991631812703E-4</v>
      </c>
      <c r="AE115" s="305">
        <f t="shared" si="39"/>
        <v>0.8</v>
      </c>
      <c r="AF115" s="177">
        <f t="shared" si="40"/>
        <v>4.6222013637022136E-2</v>
      </c>
      <c r="AG115" s="809">
        <f t="shared" si="41"/>
        <v>0</v>
      </c>
      <c r="AH115" s="176">
        <f t="shared" si="42"/>
        <v>6</v>
      </c>
      <c r="AI115" s="225">
        <f t="shared" si="43"/>
        <v>4.6222013637022136E-2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6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6">
        <f t="shared" si="26"/>
        <v>0</v>
      </c>
      <c r="M116" s="854"/>
      <c r="N116" s="854"/>
      <c r="O116" s="324">
        <f t="shared" si="27"/>
        <v>0</v>
      </c>
      <c r="P116" s="169">
        <f>(INDEX(Models!$BJ116:$BT116,,T116)*(1-R116)+INDEX(Models!$BJ116:$BT116,,T116+1)*R116-ERP_i)*Q116*Ramure*Pc/MaxiM</f>
        <v>2.0607321680851665E-4</v>
      </c>
      <c r="Q116" s="305">
        <f t="shared" si="28"/>
        <v>0.8</v>
      </c>
      <c r="R116" s="177">
        <f t="shared" si="29"/>
        <v>4.8035646679376126E-2</v>
      </c>
      <c r="S116" s="809">
        <f t="shared" si="47"/>
        <v>0</v>
      </c>
      <c r="T116" s="176">
        <f t="shared" si="30"/>
        <v>6</v>
      </c>
      <c r="U116" s="251">
        <f t="shared" si="31"/>
        <v>4.8035646679376126E-2</v>
      </c>
      <c r="V116" s="383">
        <f t="shared" si="32"/>
        <v>53.891690910547389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5">
        <f t="shared" si="38"/>
        <v>0</v>
      </c>
      <c r="AD116" s="169">
        <f>(INDEX(Models!$BJ116:$BT116,,AH116)*(1-AF116)+INDEX(Models!$BJ116:$BT116,,AH116+1)*AF116-ERP_i)*AE116*Ramure*Pc/MaxiM</f>
        <v>2.0607321680851665E-4</v>
      </c>
      <c r="AE116" s="305">
        <f t="shared" si="39"/>
        <v>0.8</v>
      </c>
      <c r="AF116" s="177">
        <f t="shared" si="40"/>
        <v>4.8035646679376126E-2</v>
      </c>
      <c r="AG116" s="809">
        <f t="shared" si="41"/>
        <v>0</v>
      </c>
      <c r="AH116" s="176">
        <f t="shared" si="42"/>
        <v>6</v>
      </c>
      <c r="AI116" s="225">
        <f t="shared" si="43"/>
        <v>4.8035646679376126E-2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6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6">
        <f t="shared" si="26"/>
        <v>0</v>
      </c>
      <c r="M117" s="854"/>
      <c r="N117" s="854"/>
      <c r="O117" s="324">
        <f t="shared" si="27"/>
        <v>0</v>
      </c>
      <c r="P117" s="169">
        <f>(INDEX(Models!$BJ117:$BT117,,T117)*(1-R117)+INDEX(Models!$BJ117:$BT117,,T117+1)*R117-ERP_i)*Q117*Ramure*Pc/MaxiM</f>
        <v>2.038920646841922E-4</v>
      </c>
      <c r="Q117" s="305">
        <f t="shared" si="28"/>
        <v>0.8</v>
      </c>
      <c r="R117" s="177">
        <f t="shared" si="29"/>
        <v>4.9912775398881989E-2</v>
      </c>
      <c r="S117" s="809">
        <f t="shared" si="47"/>
        <v>0</v>
      </c>
      <c r="T117" s="176">
        <f t="shared" si="30"/>
        <v>6</v>
      </c>
      <c r="U117" s="251">
        <f t="shared" si="31"/>
        <v>4.9912775398881989E-2</v>
      </c>
      <c r="V117" s="383">
        <f t="shared" si="32"/>
        <v>54.217184253301575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5">
        <f t="shared" si="38"/>
        <v>0</v>
      </c>
      <c r="AD117" s="169">
        <f>(INDEX(Models!$BJ117:$BT117,,AH117)*(1-AF117)+INDEX(Models!$BJ117:$BT117,,AH117+1)*AF117-ERP_i)*AE117*Ramure*Pc/MaxiM</f>
        <v>2.038920646841922E-4</v>
      </c>
      <c r="AE117" s="305">
        <f t="shared" si="39"/>
        <v>0.8</v>
      </c>
      <c r="AF117" s="177">
        <f t="shared" si="40"/>
        <v>4.9912775398881989E-2</v>
      </c>
      <c r="AG117" s="809">
        <f t="shared" si="41"/>
        <v>0</v>
      </c>
      <c r="AH117" s="176">
        <f t="shared" si="42"/>
        <v>6</v>
      </c>
      <c r="AI117" s="225">
        <f t="shared" si="43"/>
        <v>4.9912775398881989E-2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6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6">
        <f t="shared" si="26"/>
        <v>0</v>
      </c>
      <c r="M118" s="854"/>
      <c r="N118" s="854"/>
      <c r="O118" s="324">
        <f t="shared" si="27"/>
        <v>0</v>
      </c>
      <c r="P118" s="169">
        <f>(INDEX(Models!$BJ118:$BT118,,T118)*(1-R118)+INDEX(Models!$BJ118:$BT118,,T118+1)*R118-ERP_i)*Q118*Ramure*Pc/MaxiM</f>
        <v>2.013285465054195E-4</v>
      </c>
      <c r="Q118" s="305">
        <f t="shared" si="28"/>
        <v>0.8</v>
      </c>
      <c r="R118" s="177">
        <f t="shared" si="29"/>
        <v>5.1855124054358277E-2</v>
      </c>
      <c r="S118" s="809">
        <f t="shared" si="47"/>
        <v>0</v>
      </c>
      <c r="T118" s="176">
        <f t="shared" si="30"/>
        <v>6</v>
      </c>
      <c r="U118" s="251">
        <f t="shared" si="31"/>
        <v>5.1855124054358277E-2</v>
      </c>
      <c r="V118" s="383">
        <f t="shared" si="32"/>
        <v>54.536665815270801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5">
        <f t="shared" si="38"/>
        <v>0</v>
      </c>
      <c r="AD118" s="169">
        <f>(INDEX(Models!$BJ118:$BT118,,AH118)*(1-AF118)+INDEX(Models!$BJ118:$BT118,,AH118+1)*AF118-ERP_i)*AE118*Ramure*Pc/MaxiM</f>
        <v>2.013285465054195E-4</v>
      </c>
      <c r="AE118" s="305">
        <f t="shared" si="39"/>
        <v>0.8</v>
      </c>
      <c r="AF118" s="177">
        <f t="shared" si="40"/>
        <v>5.1855124054358277E-2</v>
      </c>
      <c r="AG118" s="809">
        <f t="shared" si="41"/>
        <v>0</v>
      </c>
      <c r="AH118" s="176">
        <f t="shared" si="42"/>
        <v>6</v>
      </c>
      <c r="AI118" s="225">
        <f t="shared" si="43"/>
        <v>5.1855124054358277E-2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6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6">
        <f t="shared" si="26"/>
        <v>0</v>
      </c>
      <c r="M119" s="854"/>
      <c r="N119" s="854"/>
      <c r="O119" s="324">
        <f t="shared" si="27"/>
        <v>0</v>
      </c>
      <c r="P119" s="169">
        <f>(INDEX(Models!$BJ119:$BT119,,T119)*(1-R119)+INDEX(Models!$BJ119:$BT119,,T119+1)*R119-ERP_i)*Q119*Ramure*Pc/MaxiM</f>
        <v>1.9835390960382912E-4</v>
      </c>
      <c r="Q119" s="305">
        <f t="shared" si="28"/>
        <v>0.8</v>
      </c>
      <c r="R119" s="177">
        <f t="shared" si="29"/>
        <v>5.3864424825796078E-2</v>
      </c>
      <c r="S119" s="809">
        <f t="shared" si="47"/>
        <v>0</v>
      </c>
      <c r="T119" s="176">
        <f t="shared" si="30"/>
        <v>6</v>
      </c>
      <c r="U119" s="251">
        <f t="shared" si="31"/>
        <v>5.3864424825796078E-2</v>
      </c>
      <c r="V119" s="383">
        <f t="shared" si="32"/>
        <v>54.85024854553474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5">
        <f t="shared" si="38"/>
        <v>0</v>
      </c>
      <c r="AD119" s="169">
        <f>(INDEX(Models!$BJ119:$BT119,,AH119)*(1-AF119)+INDEX(Models!$BJ119:$BT119,,AH119+1)*AF119-ERP_i)*AE119*Ramure*Pc/MaxiM</f>
        <v>1.9835390960382912E-4</v>
      </c>
      <c r="AE119" s="305">
        <f t="shared" si="39"/>
        <v>0.8</v>
      </c>
      <c r="AF119" s="177">
        <f t="shared" si="40"/>
        <v>5.3864424825796078E-2</v>
      </c>
      <c r="AG119" s="809">
        <f t="shared" si="41"/>
        <v>0</v>
      </c>
      <c r="AH119" s="176">
        <f t="shared" si="42"/>
        <v>6</v>
      </c>
      <c r="AI119" s="225">
        <f t="shared" si="43"/>
        <v>5.3864424825796078E-2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6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6">
        <f t="shared" si="26"/>
        <v>0</v>
      </c>
      <c r="M120" s="854"/>
      <c r="N120" s="854"/>
      <c r="O120" s="324">
        <f t="shared" si="27"/>
        <v>0</v>
      </c>
      <c r="P120" s="169">
        <f>(INDEX(Models!$BJ120:$BT120,,T120)*(1-R120)+INDEX(Models!$BJ120:$BT120,,T120+1)*R120-ERP_i)*Q120*Ramure*Pc/MaxiM</f>
        <v>1.949377453157955E-4</v>
      </c>
      <c r="Q120" s="305">
        <f t="shared" si="28"/>
        <v>0.8</v>
      </c>
      <c r="R120" s="177">
        <f t="shared" si="29"/>
        <v>5.5942414394166952E-2</v>
      </c>
      <c r="S120" s="809">
        <f t="shared" si="47"/>
        <v>0</v>
      </c>
      <c r="T120" s="176">
        <f t="shared" si="30"/>
        <v>6</v>
      </c>
      <c r="U120" s="251">
        <f t="shared" si="31"/>
        <v>5.5942414394166952E-2</v>
      </c>
      <c r="V120" s="383">
        <f t="shared" si="32"/>
        <v>55.158045518617534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5">
        <f t="shared" si="38"/>
        <v>0</v>
      </c>
      <c r="AD120" s="169">
        <f>(INDEX(Models!$BJ120:$BT120,,AH120)*(1-AF120)+INDEX(Models!$BJ120:$BT120,,AH120+1)*AF120-ERP_i)*AE120*Ramure*Pc/MaxiM</f>
        <v>1.949377453157955E-4</v>
      </c>
      <c r="AE120" s="305">
        <f t="shared" si="39"/>
        <v>0.8</v>
      </c>
      <c r="AF120" s="177">
        <f t="shared" si="40"/>
        <v>5.5942414394166952E-2</v>
      </c>
      <c r="AG120" s="809">
        <f t="shared" si="41"/>
        <v>0</v>
      </c>
      <c r="AH120" s="176">
        <f t="shared" si="42"/>
        <v>6</v>
      </c>
      <c r="AI120" s="225">
        <f t="shared" si="43"/>
        <v>5.5942414394166952E-2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6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6">
        <f t="shared" si="26"/>
        <v>0</v>
      </c>
      <c r="M121" s="854"/>
      <c r="N121" s="854"/>
      <c r="O121" s="324">
        <f t="shared" si="27"/>
        <v>0</v>
      </c>
      <c r="P121" s="169">
        <f>(INDEX(Models!$BJ121:$BT121,,T121)*(1-R121)+INDEX(Models!$BJ121:$BT121,,T121+1)*R121-ERP_i)*Q121*Ramure*Pc/MaxiM</f>
        <v>1.9104888316784973E-4</v>
      </c>
      <c r="Q121" s="305">
        <f t="shared" si="28"/>
        <v>0.8</v>
      </c>
      <c r="R121" s="177">
        <f t="shared" si="29"/>
        <v>5.8090830235779094E-2</v>
      </c>
      <c r="S121" s="809">
        <f t="shared" si="47"/>
        <v>0</v>
      </c>
      <c r="T121" s="176">
        <f t="shared" si="30"/>
        <v>6</v>
      </c>
      <c r="U121" s="251">
        <f t="shared" si="31"/>
        <v>5.8090830235779094E-2</v>
      </c>
      <c r="V121" s="383">
        <f t="shared" si="32"/>
        <v>55.459892220435002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5">
        <f t="shared" si="38"/>
        <v>0</v>
      </c>
      <c r="AD121" s="169">
        <f>(INDEX(Models!$BJ121:$BT121,,AH121)*(1-AF121)+INDEX(Models!$BJ121:$BT121,,AH121+1)*AF121-ERP_i)*AE121*Ramure*Pc/MaxiM</f>
        <v>1.9104888316784973E-4</v>
      </c>
      <c r="AE121" s="305">
        <f t="shared" si="39"/>
        <v>0.8</v>
      </c>
      <c r="AF121" s="177">
        <f t="shared" si="40"/>
        <v>5.8090830235779094E-2</v>
      </c>
      <c r="AG121" s="809">
        <f t="shared" si="41"/>
        <v>0</v>
      </c>
      <c r="AH121" s="176">
        <f t="shared" si="42"/>
        <v>6</v>
      </c>
      <c r="AI121" s="225">
        <f t="shared" si="43"/>
        <v>5.8090830235779094E-2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6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2">
        <f t="shared" si="26"/>
        <v>0</v>
      </c>
      <c r="M122" s="854"/>
      <c r="N122" s="854"/>
      <c r="O122" s="324">
        <f t="shared" si="27"/>
        <v>0</v>
      </c>
      <c r="P122" s="169">
        <f>(INDEX(Models!$BJ122:$BT122,,T122)*(1-R122)+INDEX(Models!$BJ122:$BT122,,T122+1)*R122-ERP_i)*Q122*Ramure*Pc/MaxiM</f>
        <v>1.8724310363594387E-4</v>
      </c>
      <c r="Q122" s="305">
        <f t="shared" si="28"/>
        <v>0.8</v>
      </c>
      <c r="R122" s="177">
        <f t="shared" si="29"/>
        <v>6.0311406623046591E-2</v>
      </c>
      <c r="S122" s="809">
        <f t="shared" si="47"/>
        <v>0</v>
      </c>
      <c r="T122" s="176">
        <f t="shared" si="30"/>
        <v>6</v>
      </c>
      <c r="U122" s="251">
        <f t="shared" si="31"/>
        <v>6.0311406623046591E-2</v>
      </c>
      <c r="V122" s="383">
        <f t="shared" si="32"/>
        <v>55.75551739131992</v>
      </c>
      <c r="W122" s="434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1">
        <f t="shared" si="38"/>
        <v>0</v>
      </c>
      <c r="AD122" s="169">
        <f>(INDEX(Models!$BJ122:$BT122,,AH122)*(1-AF122)+INDEX(Models!$BJ122:$BT122,,AH122+1)*AF122-ERP_i)*AE122*Ramure*Pc/MaxiM</f>
        <v>1.8724310363594387E-4</v>
      </c>
      <c r="AE122" s="305">
        <f t="shared" si="39"/>
        <v>0.8</v>
      </c>
      <c r="AF122" s="177">
        <f t="shared" si="40"/>
        <v>6.0311406623046591E-2</v>
      </c>
      <c r="AG122" s="809">
        <f t="shared" si="41"/>
        <v>0</v>
      </c>
      <c r="AH122" s="176">
        <f t="shared" si="42"/>
        <v>6</v>
      </c>
      <c r="AI122" s="225">
        <f t="shared" si="43"/>
        <v>6.0311406623046591E-2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6"/>
      <c r="C123" s="390"/>
      <c r="D123" s="393"/>
      <c r="E123" s="385"/>
      <c r="F123" s="385"/>
      <c r="G123" s="110"/>
      <c r="H123" s="435"/>
      <c r="I123" s="380">
        <f t="shared" si="24"/>
        <v>0</v>
      </c>
      <c r="J123" s="85">
        <v>2018</v>
      </c>
      <c r="K123" s="197">
        <f t="shared" si="25"/>
        <v>43209</v>
      </c>
      <c r="L123" s="436">
        <f t="shared" si="26"/>
        <v>0</v>
      </c>
      <c r="M123" s="854"/>
      <c r="N123" s="854"/>
      <c r="O123" s="324">
        <f t="shared" si="27"/>
        <v>0</v>
      </c>
      <c r="P123" s="169">
        <f>(INDEX(Models!$BJ123:$BT123,,T123)*(1-R123)+INDEX(Models!$BJ123:$BT123,,T123+1)*R123-ERP_i)*Q123*Ramure*Pc/MaxiM</f>
        <v>1.8364637325784825E-4</v>
      </c>
      <c r="Q123" s="305">
        <f t="shared" si="28"/>
        <v>0.8</v>
      </c>
      <c r="R123" s="177">
        <f t="shared" si="29"/>
        <v>6.2605870324610818E-2</v>
      </c>
      <c r="S123" s="809">
        <f t="shared" si="47"/>
        <v>0</v>
      </c>
      <c r="T123" s="176">
        <f t="shared" si="30"/>
        <v>6</v>
      </c>
      <c r="U123" s="251">
        <f t="shared" si="31"/>
        <v>6.2605870324610818E-2</v>
      </c>
      <c r="V123" s="383">
        <f t="shared" si="32"/>
        <v>56.044913827016003</v>
      </c>
      <c r="W123" s="434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7">
        <f t="shared" si="38"/>
        <v>0</v>
      </c>
      <c r="AD123" s="169">
        <f>(INDEX(Models!$BJ123:$BT123,,AH123)*(1-AF123)+INDEX(Models!$BJ123:$BT123,,AH123+1)*AF123-ERP_i)*AE123*Ramure*Pc/MaxiM</f>
        <v>1.8364637325784825E-4</v>
      </c>
      <c r="AE123" s="305">
        <f t="shared" si="39"/>
        <v>0.8</v>
      </c>
      <c r="AF123" s="177">
        <f t="shared" si="40"/>
        <v>6.2605870324610818E-2</v>
      </c>
      <c r="AG123" s="809">
        <f t="shared" si="41"/>
        <v>0</v>
      </c>
      <c r="AH123" s="176">
        <f t="shared" si="42"/>
        <v>6</v>
      </c>
      <c r="AI123" s="225">
        <f t="shared" si="43"/>
        <v>6.2605870324610818E-2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6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6">
        <f t="shared" si="26"/>
        <v>0</v>
      </c>
      <c r="M124" s="854"/>
      <c r="N124" s="854"/>
      <c r="O124" s="324">
        <f t="shared" si="27"/>
        <v>0</v>
      </c>
      <c r="P124" s="169">
        <f>(INDEX(Models!$BJ124:$BT124,,T124)*(1-R124)+INDEX(Models!$BJ124:$BT124,,T124+1)*R124-ERP_i)*Q124*Ramure*Pc/MaxiM</f>
        <v>1.8030234131039851E-4</v>
      </c>
      <c r="Q124" s="305">
        <f t="shared" si="28"/>
        <v>0.8</v>
      </c>
      <c r="R124" s="177">
        <f t="shared" si="29"/>
        <v>6.497593599901387E-2</v>
      </c>
      <c r="S124" s="809">
        <f t="shared" si="47"/>
        <v>0</v>
      </c>
      <c r="T124" s="176">
        <f t="shared" si="30"/>
        <v>6</v>
      </c>
      <c r="U124" s="251">
        <f t="shared" si="31"/>
        <v>6.497593599901387E-2</v>
      </c>
      <c r="V124" s="383">
        <f t="shared" si="32"/>
        <v>56.328078818708228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5">
        <f t="shared" si="38"/>
        <v>0</v>
      </c>
      <c r="AD124" s="169">
        <f>(INDEX(Models!$BJ124:$BT124,,AH124)*(1-AF124)+INDEX(Models!$BJ124:$BT124,,AH124+1)*AF124-ERP_i)*AE124*Ramure*Pc/MaxiM</f>
        <v>1.8030234131039851E-4</v>
      </c>
      <c r="AE124" s="305">
        <f t="shared" si="39"/>
        <v>0.8</v>
      </c>
      <c r="AF124" s="177">
        <f t="shared" si="40"/>
        <v>6.497593599901387E-2</v>
      </c>
      <c r="AG124" s="809">
        <f t="shared" si="41"/>
        <v>0</v>
      </c>
      <c r="AH124" s="176">
        <f t="shared" si="42"/>
        <v>6</v>
      </c>
      <c r="AI124" s="225">
        <f t="shared" si="43"/>
        <v>6.497593599901387E-2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6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6">
        <f t="shared" si="26"/>
        <v>0</v>
      </c>
      <c r="M125" s="854"/>
      <c r="N125" s="854"/>
      <c r="O125" s="324">
        <f t="shared" si="27"/>
        <v>0</v>
      </c>
      <c r="P125" s="169">
        <f>(INDEX(Models!$BJ125:$BT125,,T125)*(1-R125)+INDEX(Models!$BJ125:$BT125,,T125+1)*R125-ERP_i)*Q125*Ramure*Pc/MaxiM</f>
        <v>1.7725949799305644E-4</v>
      </c>
      <c r="Q125" s="305">
        <f t="shared" si="28"/>
        <v>0.8</v>
      </c>
      <c r="R125" s="177">
        <f t="shared" si="29"/>
        <v>6.7423301277581546E-2</v>
      </c>
      <c r="S125" s="809">
        <f t="shared" si="47"/>
        <v>0</v>
      </c>
      <c r="T125" s="176">
        <f t="shared" si="30"/>
        <v>6</v>
      </c>
      <c r="U125" s="251">
        <f t="shared" si="31"/>
        <v>6.7423301277581546E-2</v>
      </c>
      <c r="V125" s="383">
        <f t="shared" si="32"/>
        <v>56.605009343623323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5">
        <f t="shared" si="38"/>
        <v>0</v>
      </c>
      <c r="AD125" s="169">
        <f>(INDEX(Models!$BJ125:$BT125,,AH125)*(1-AF125)+INDEX(Models!$BJ125:$BT125,,AH125+1)*AF125-ERP_i)*AE125*Ramure*Pc/MaxiM</f>
        <v>1.7725949799305644E-4</v>
      </c>
      <c r="AE125" s="305">
        <f t="shared" si="39"/>
        <v>0.8</v>
      </c>
      <c r="AF125" s="177">
        <f t="shared" si="40"/>
        <v>6.7423301277581546E-2</v>
      </c>
      <c r="AG125" s="809">
        <f t="shared" si="41"/>
        <v>0</v>
      </c>
      <c r="AH125" s="176">
        <f t="shared" si="42"/>
        <v>6</v>
      </c>
      <c r="AI125" s="225">
        <f t="shared" si="43"/>
        <v>6.7423301277581546E-2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6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6">
        <f t="shared" si="26"/>
        <v>0</v>
      </c>
      <c r="M126" s="854"/>
      <c r="N126" s="854"/>
      <c r="O126" s="324">
        <f t="shared" si="27"/>
        <v>0</v>
      </c>
      <c r="P126" s="169">
        <f>(INDEX(Models!$BJ126:$BT126,,T126)*(1-R126)+INDEX(Models!$BJ126:$BT126,,T126+1)*R126-ERP_i)*Q126*Ramure*Pc/MaxiM</f>
        <v>1.745709670840481E-4</v>
      </c>
      <c r="Q126" s="305">
        <f t="shared" si="28"/>
        <v>0.8</v>
      </c>
      <c r="R126" s="177">
        <f t="shared" si="29"/>
        <v>6.9949641533840493E-2</v>
      </c>
      <c r="S126" s="809">
        <f t="shared" si="47"/>
        <v>0</v>
      </c>
      <c r="T126" s="176">
        <f t="shared" si="30"/>
        <v>6</v>
      </c>
      <c r="U126" s="251">
        <f t="shared" si="31"/>
        <v>6.9949641533840493E-2</v>
      </c>
      <c r="V126" s="383">
        <f t="shared" si="32"/>
        <v>56.875702072777557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5">
        <f t="shared" si="38"/>
        <v>0</v>
      </c>
      <c r="AD126" s="169">
        <f>(INDEX(Models!$BJ126:$BT126,,AH126)*(1-AF126)+INDEX(Models!$BJ126:$BT126,,AH126+1)*AF126-ERP_i)*AE126*Ramure*Pc/MaxiM</f>
        <v>1.745709670840481E-4</v>
      </c>
      <c r="AE126" s="305">
        <f t="shared" si="39"/>
        <v>0.8</v>
      </c>
      <c r="AF126" s="177">
        <f t="shared" si="40"/>
        <v>6.9949641533840493E-2</v>
      </c>
      <c r="AG126" s="809">
        <f t="shared" si="41"/>
        <v>0</v>
      </c>
      <c r="AH126" s="176">
        <f t="shared" si="42"/>
        <v>6</v>
      </c>
      <c r="AI126" s="225">
        <f t="shared" si="43"/>
        <v>6.9949641533840493E-2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6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6">
        <f t="shared" si="26"/>
        <v>0</v>
      </c>
      <c r="M127" s="854"/>
      <c r="N127" s="854"/>
      <c r="O127" s="324">
        <f t="shared" si="27"/>
        <v>0</v>
      </c>
      <c r="P127" s="169">
        <f>(INDEX(Models!$BJ127:$BT127,,T127)*(1-R127)+INDEX(Models!$BJ127:$BT127,,T127+1)*R127-ERP_i)*Q127*Ramure*Pc/MaxiM</f>
        <v>1.7229434923660033E-4</v>
      </c>
      <c r="Q127" s="305">
        <f t="shared" si="28"/>
        <v>0.8</v>
      </c>
      <c r="R127" s="177">
        <f t="shared" si="29"/>
        <v>7.2556604338680566E-2</v>
      </c>
      <c r="S127" s="809">
        <f t="shared" si="47"/>
        <v>0</v>
      </c>
      <c r="T127" s="176">
        <f t="shared" si="30"/>
        <v>6</v>
      </c>
      <c r="U127" s="251">
        <f t="shared" si="31"/>
        <v>7.2556604338680566E-2</v>
      </c>
      <c r="V127" s="383">
        <f t="shared" si="32"/>
        <v>57.140153378313592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5">
        <f t="shared" si="38"/>
        <v>0</v>
      </c>
      <c r="AD127" s="169">
        <f>(INDEX(Models!$BJ127:$BT127,,AH127)*(1-AF127)+INDEX(Models!$BJ127:$BT127,,AH127+1)*AF127-ERP_i)*AE127*Ramure*Pc/MaxiM</f>
        <v>1.7229434923660033E-4</v>
      </c>
      <c r="AE127" s="305">
        <f t="shared" si="39"/>
        <v>0.8</v>
      </c>
      <c r="AF127" s="177">
        <f t="shared" si="40"/>
        <v>7.2556604338680566E-2</v>
      </c>
      <c r="AG127" s="809">
        <f t="shared" si="41"/>
        <v>0</v>
      </c>
      <c r="AH127" s="176">
        <f t="shared" si="42"/>
        <v>6</v>
      </c>
      <c r="AI127" s="225">
        <f t="shared" si="43"/>
        <v>7.2556604338680566E-2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6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6">
        <f t="shared" si="26"/>
        <v>0</v>
      </c>
      <c r="M128" s="854"/>
      <c r="N128" s="854"/>
      <c r="O128" s="324">
        <f t="shared" si="27"/>
        <v>0</v>
      </c>
      <c r="P128" s="169">
        <f>(INDEX(Models!$BJ128:$BT128,,T128)*(1-R128)+INDEX(Models!$BJ128:$BT128,,T128+1)*R128-ERP_i)*Q128*Ramure*Pc/MaxiM</f>
        <v>1.7090347047184743E-4</v>
      </c>
      <c r="Q128" s="305">
        <f t="shared" si="28"/>
        <v>0.8</v>
      </c>
      <c r="R128" s="177">
        <f t="shared" si="29"/>
        <v>7.5245803602578362E-2</v>
      </c>
      <c r="S128" s="809">
        <f t="shared" si="47"/>
        <v>0</v>
      </c>
      <c r="T128" s="176">
        <f t="shared" si="30"/>
        <v>6</v>
      </c>
      <c r="U128" s="251">
        <f t="shared" si="31"/>
        <v>7.5245803602578362E-2</v>
      </c>
      <c r="V128" s="383">
        <f t="shared" si="32"/>
        <v>57.398335687562096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5">
        <f t="shared" si="38"/>
        <v>0</v>
      </c>
      <c r="AD128" s="169">
        <f>(INDEX(Models!$BJ128:$BT128,,AH128)*(1-AF128)+INDEX(Models!$BJ128:$BT128,,AH128+1)*AF128-ERP_i)*AE128*Ramure*Pc/MaxiM</f>
        <v>1.7090347047184743E-4</v>
      </c>
      <c r="AE128" s="305">
        <f t="shared" si="39"/>
        <v>0.8</v>
      </c>
      <c r="AF128" s="177">
        <f t="shared" si="40"/>
        <v>7.5245803602578362E-2</v>
      </c>
      <c r="AG128" s="809">
        <f t="shared" si="41"/>
        <v>0</v>
      </c>
      <c r="AH128" s="176">
        <f t="shared" si="42"/>
        <v>6</v>
      </c>
      <c r="AI128" s="225">
        <f t="shared" si="43"/>
        <v>7.5245803602578362E-2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6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6">
        <f t="shared" si="26"/>
        <v>0</v>
      </c>
      <c r="M129" s="854"/>
      <c r="N129" s="854"/>
      <c r="O129" s="324">
        <f t="shared" si="27"/>
        <v>0</v>
      </c>
      <c r="P129" s="169">
        <f>(INDEX(Models!$BJ129:$BT129,,T129)*(1-R129)+INDEX(Models!$BJ129:$BT129,,T129+1)*R129-ERP_i)*Q129*Ramure*Pc/MaxiM</f>
        <v>1.7036446804898566E-4</v>
      </c>
      <c r="Q129" s="305">
        <f t="shared" si="28"/>
        <v>0.8</v>
      </c>
      <c r="R129" s="177">
        <f t="shared" si="29"/>
        <v>7.8018813408537377E-2</v>
      </c>
      <c r="S129" s="809">
        <f t="shared" si="47"/>
        <v>0</v>
      </c>
      <c r="T129" s="176">
        <f t="shared" si="30"/>
        <v>6</v>
      </c>
      <c r="U129" s="251">
        <f t="shared" si="31"/>
        <v>7.8018813408537377E-2</v>
      </c>
      <c r="V129" s="383">
        <f t="shared" si="32"/>
        <v>57.650250241568862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5">
        <f t="shared" si="38"/>
        <v>0</v>
      </c>
      <c r="AD129" s="169">
        <f>(INDEX(Models!$BJ129:$BT129,,AH129)*(1-AF129)+INDEX(Models!$BJ129:$BT129,,AH129+1)*AF129-ERP_i)*AE129*Ramure*Pc/MaxiM</f>
        <v>1.7036446804898566E-4</v>
      </c>
      <c r="AE129" s="305">
        <f t="shared" si="39"/>
        <v>0.8</v>
      </c>
      <c r="AF129" s="177">
        <f t="shared" si="40"/>
        <v>7.8018813408537377E-2</v>
      </c>
      <c r="AG129" s="809">
        <f t="shared" si="41"/>
        <v>0</v>
      </c>
      <c r="AH129" s="176">
        <f t="shared" si="42"/>
        <v>6</v>
      </c>
      <c r="AI129" s="225">
        <f t="shared" si="43"/>
        <v>7.8018813408537377E-2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6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6">
        <f t="shared" si="26"/>
        <v>0</v>
      </c>
      <c r="M130" s="854"/>
      <c r="N130" s="854"/>
      <c r="O130" s="324">
        <f t="shared" si="27"/>
        <v>0</v>
      </c>
      <c r="P130" s="169">
        <f>(INDEX(Models!$BJ130:$BT130,,T130)*(1-R130)+INDEX(Models!$BJ130:$BT130,,T130+1)*R130-ERP_i)*Q130*Ramure*Pc/MaxiM</f>
        <v>1.7078512857981171E-4</v>
      </c>
      <c r="Q130" s="305">
        <f t="shared" si="28"/>
        <v>0.8</v>
      </c>
      <c r="R130" s="177">
        <f t="shared" si="29"/>
        <v>8.0877161541968126E-2</v>
      </c>
      <c r="S130" s="809">
        <f t="shared" si="47"/>
        <v>0</v>
      </c>
      <c r="T130" s="176">
        <f t="shared" si="30"/>
        <v>6</v>
      </c>
      <c r="U130" s="251">
        <f t="shared" si="31"/>
        <v>8.0877161541968126E-2</v>
      </c>
      <c r="V130" s="383">
        <f t="shared" si="32"/>
        <v>57.895890145721836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5">
        <f t="shared" si="38"/>
        <v>0</v>
      </c>
      <c r="AD130" s="169">
        <f>(INDEX(Models!$BJ130:$BT130,,AH130)*(1-AF130)+INDEX(Models!$BJ130:$BT130,,AH130+1)*AF130-ERP_i)*AE130*Ramure*Pc/MaxiM</f>
        <v>1.7078512857981171E-4</v>
      </c>
      <c r="AE130" s="305">
        <f t="shared" si="39"/>
        <v>0.8</v>
      </c>
      <c r="AF130" s="177">
        <f t="shared" si="40"/>
        <v>8.0877161541968126E-2</v>
      </c>
      <c r="AG130" s="809">
        <f t="shared" si="41"/>
        <v>0</v>
      </c>
      <c r="AH130" s="176">
        <f t="shared" si="42"/>
        <v>6</v>
      </c>
      <c r="AI130" s="225">
        <f t="shared" si="43"/>
        <v>8.0877161541968126E-2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6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6">
        <f t="shared" si="26"/>
        <v>0</v>
      </c>
      <c r="M131" s="854"/>
      <c r="N131" s="854"/>
      <c r="O131" s="324">
        <f t="shared" si="27"/>
        <v>0</v>
      </c>
      <c r="P131" s="169">
        <f>(INDEX(Models!$BJ131:$BT131,,T131)*(1-R131)+INDEX(Models!$BJ131:$BT131,,T131+1)*R131-ERP_i)*Q131*Ramure*Pc/MaxiM</f>
        <v>1.7228219534256889E-4</v>
      </c>
      <c r="Q131" s="305">
        <f t="shared" si="28"/>
        <v>0.8</v>
      </c>
      <c r="R131" s="177">
        <f t="shared" si="29"/>
        <v>8.3822322726530077E-2</v>
      </c>
      <c r="S131" s="809">
        <f t="shared" si="47"/>
        <v>0</v>
      </c>
      <c r="T131" s="176">
        <f t="shared" si="30"/>
        <v>6</v>
      </c>
      <c r="U131" s="251">
        <f t="shared" si="31"/>
        <v>8.3822322726530077E-2</v>
      </c>
      <c r="V131" s="383">
        <f t="shared" si="32"/>
        <v>58.135247913002267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5">
        <f t="shared" si="38"/>
        <v>0</v>
      </c>
      <c r="AD131" s="169">
        <f>(INDEX(Models!$BJ131:$BT131,,AH131)*(1-AF131)+INDEX(Models!$BJ131:$BT131,,AH131+1)*AF131-ERP_i)*AE131*Ramure*Pc/MaxiM</f>
        <v>1.7228219534256889E-4</v>
      </c>
      <c r="AE131" s="305">
        <f t="shared" si="39"/>
        <v>0.8</v>
      </c>
      <c r="AF131" s="177">
        <f t="shared" si="40"/>
        <v>8.3822322726530077E-2</v>
      </c>
      <c r="AG131" s="809">
        <f t="shared" si="41"/>
        <v>0</v>
      </c>
      <c r="AH131" s="176">
        <f t="shared" si="42"/>
        <v>6</v>
      </c>
      <c r="AI131" s="225">
        <f t="shared" si="43"/>
        <v>8.3822322726530077E-2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6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6">
        <f t="shared" si="26"/>
        <v>0</v>
      </c>
      <c r="M132" s="854"/>
      <c r="N132" s="854"/>
      <c r="O132" s="324">
        <f t="shared" si="27"/>
        <v>0</v>
      </c>
      <c r="P132" s="169">
        <f>(INDEX(Models!$BJ132:$BT132,,T132)*(1-R132)+INDEX(Models!$BJ132:$BT132,,T132+1)*R132-ERP_i)*Q132*Ramure*Pc/MaxiM</f>
        <v>1.7498188849690864E-4</v>
      </c>
      <c r="Q132" s="305">
        <f t="shared" si="28"/>
        <v>0.8</v>
      </c>
      <c r="R132" s="177">
        <f t="shared" si="29"/>
        <v>8.6855711577982844E-2</v>
      </c>
      <c r="S132" s="809">
        <f t="shared" si="47"/>
        <v>0</v>
      </c>
      <c r="T132" s="176">
        <f t="shared" si="30"/>
        <v>6</v>
      </c>
      <c r="U132" s="251">
        <f t="shared" si="31"/>
        <v>8.6855711577982844E-2</v>
      </c>
      <c r="V132" s="383">
        <f t="shared" si="32"/>
        <v>58.368315427585742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5">
        <f t="shared" si="38"/>
        <v>0</v>
      </c>
      <c r="AD132" s="169">
        <f>(INDEX(Models!$BJ132:$BT132,,AH132)*(1-AF132)+INDEX(Models!$BJ132:$BT132,,AH132+1)*AF132-ERP_i)*AE132*Ramure*Pc/MaxiM</f>
        <v>1.7498188849690864E-4</v>
      </c>
      <c r="AE132" s="305">
        <f t="shared" si="39"/>
        <v>0.8</v>
      </c>
      <c r="AF132" s="177">
        <f t="shared" si="40"/>
        <v>8.6855711577982844E-2</v>
      </c>
      <c r="AG132" s="809">
        <f t="shared" si="41"/>
        <v>0</v>
      </c>
      <c r="AH132" s="176">
        <f t="shared" si="42"/>
        <v>6</v>
      </c>
      <c r="AI132" s="225">
        <f t="shared" si="43"/>
        <v>8.6855711577982844E-2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6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6">
        <f t="shared" si="26"/>
        <v>0</v>
      </c>
      <c r="M133" s="854"/>
      <c r="N133" s="854"/>
      <c r="O133" s="324">
        <f t="shared" si="27"/>
        <v>0</v>
      </c>
      <c r="P133" s="169">
        <f>(INDEX(Models!$BJ133:$BT133,,T133)*(1-R133)+INDEX(Models!$BJ133:$BT133,,T133+1)*R133-ERP_i)*Q133*Ramure*Pc/MaxiM</f>
        <v>1.7902043307086138E-4</v>
      </c>
      <c r="Q133" s="305">
        <f t="shared" si="28"/>
        <v>0.8</v>
      </c>
      <c r="R133" s="177">
        <f t="shared" si="29"/>
        <v>8.9978675291341348E-2</v>
      </c>
      <c r="S133" s="809">
        <f t="shared" si="47"/>
        <v>0</v>
      </c>
      <c r="T133" s="176">
        <f t="shared" si="30"/>
        <v>6</v>
      </c>
      <c r="U133" s="251">
        <f t="shared" si="31"/>
        <v>8.9978675291341348E-2</v>
      </c>
      <c r="V133" s="383">
        <f t="shared" si="32"/>
        <v>58.595083914553037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5">
        <f t="shared" si="38"/>
        <v>0</v>
      </c>
      <c r="AD133" s="169">
        <f>(INDEX(Models!$BJ133:$BT133,,AH133)*(1-AF133)+INDEX(Models!$BJ133:$BT133,,AH133+1)*AF133-ERP_i)*AE133*Ramure*Pc/MaxiM</f>
        <v>1.7902043307086138E-4</v>
      </c>
      <c r="AE133" s="305">
        <f t="shared" si="39"/>
        <v>0.8</v>
      </c>
      <c r="AF133" s="177">
        <f t="shared" si="40"/>
        <v>8.9978675291341348E-2</v>
      </c>
      <c r="AG133" s="809">
        <f t="shared" si="41"/>
        <v>0</v>
      </c>
      <c r="AH133" s="176">
        <f t="shared" si="42"/>
        <v>6</v>
      </c>
      <c r="AI133" s="225">
        <f t="shared" si="43"/>
        <v>8.9978675291341348E-2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6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6">
        <f t="shared" si="26"/>
        <v>0</v>
      </c>
      <c r="M134" s="854"/>
      <c r="N134" s="854"/>
      <c r="O134" s="324">
        <f t="shared" si="27"/>
        <v>0</v>
      </c>
      <c r="P134" s="169">
        <f>(INDEX(Models!$BJ134:$BT134,,T134)*(1-R134)+INDEX(Models!$BJ134:$BT134,,T134+1)*R134-ERP_i)*Q134*Ramure*Pc/MaxiM</f>
        <v>1.8454459187403592E-4</v>
      </c>
      <c r="Q134" s="305">
        <f t="shared" si="28"/>
        <v>0.8</v>
      </c>
      <c r="R134" s="177">
        <f t="shared" si="29"/>
        <v>9.3192486080076298E-2</v>
      </c>
      <c r="S134" s="809">
        <f t="shared" si="47"/>
        <v>0</v>
      </c>
      <c r="T134" s="176">
        <f t="shared" si="30"/>
        <v>6</v>
      </c>
      <c r="U134" s="251">
        <f t="shared" si="31"/>
        <v>9.3192486080076298E-2</v>
      </c>
      <c r="V134" s="383">
        <f t="shared" si="32"/>
        <v>58.815543905877554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5">
        <f t="shared" si="38"/>
        <v>0</v>
      </c>
      <c r="AD134" s="169">
        <f>(INDEX(Models!$BJ134:$BT134,,AH134)*(1-AF134)+INDEX(Models!$BJ134:$BT134,,AH134+1)*AF134-ERP_i)*AE134*Ramure*Pc/MaxiM</f>
        <v>1.8454459187403592E-4</v>
      </c>
      <c r="AE134" s="305">
        <f t="shared" si="39"/>
        <v>0.8</v>
      </c>
      <c r="AF134" s="177">
        <f t="shared" si="40"/>
        <v>9.3192486080076298E-2</v>
      </c>
      <c r="AG134" s="809">
        <f t="shared" si="41"/>
        <v>0</v>
      </c>
      <c r="AH134" s="176">
        <f t="shared" si="42"/>
        <v>6</v>
      </c>
      <c r="AI134" s="225">
        <f t="shared" si="43"/>
        <v>9.3192486080076298E-2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6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6">
        <f t="shared" si="26"/>
        <v>0</v>
      </c>
      <c r="M135" s="854"/>
      <c r="N135" s="854"/>
      <c r="O135" s="324">
        <f t="shared" si="27"/>
        <v>0</v>
      </c>
      <c r="P135" s="169">
        <f>(INDEX(Models!$BJ135:$BT135,,T135)*(1-R135)+INDEX(Models!$BJ135:$BT135,,T135+1)*R135-ERP_i)*Q135*Ramure*Pc/MaxiM</f>
        <v>1.9171063710892458E-4</v>
      </c>
      <c r="Q135" s="305">
        <f t="shared" si="28"/>
        <v>0.8</v>
      </c>
      <c r="R135" s="177">
        <f t="shared" si="29"/>
        <v>9.6498333389748295E-2</v>
      </c>
      <c r="S135" s="809">
        <f t="shared" si="47"/>
        <v>0</v>
      </c>
      <c r="T135" s="176">
        <f t="shared" si="30"/>
        <v>6</v>
      </c>
      <c r="U135" s="251">
        <f t="shared" si="31"/>
        <v>9.6498333389748295E-2</v>
      </c>
      <c r="V135" s="383">
        <f t="shared" si="32"/>
        <v>59.030166542808303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5">
        <f t="shared" si="38"/>
        <v>0</v>
      </c>
      <c r="AD135" s="169">
        <f>(INDEX(Models!$BJ135:$BT135,,AH135)*(1-AF135)+INDEX(Models!$BJ135:$BT135,,AH135+1)*AF135-ERP_i)*AE135*Ramure*Pc/MaxiM</f>
        <v>1.9171063710892458E-4</v>
      </c>
      <c r="AE135" s="305">
        <f t="shared" si="39"/>
        <v>0.8</v>
      </c>
      <c r="AF135" s="177">
        <f t="shared" si="40"/>
        <v>9.6498333389748295E-2</v>
      </c>
      <c r="AG135" s="809">
        <f t="shared" si="41"/>
        <v>0</v>
      </c>
      <c r="AH135" s="176">
        <f t="shared" si="42"/>
        <v>6</v>
      </c>
      <c r="AI135" s="225">
        <f t="shared" si="43"/>
        <v>9.6498333389748295E-2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6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6">
        <f t="shared" si="26"/>
        <v>0</v>
      </c>
      <c r="M136" s="854"/>
      <c r="N136" s="854"/>
      <c r="O136" s="324">
        <f t="shared" si="27"/>
        <v>0</v>
      </c>
      <c r="P136" s="169">
        <f>(INDEX(Models!$BJ136:$BT136,,T136)*(1-R136)+INDEX(Models!$BJ136:$BT136,,T136+1)*R136-ERP_i)*Q136*Ramure*Pc/MaxiM</f>
        <v>2.0068250152537303E-4</v>
      </c>
      <c r="Q136" s="305">
        <f t="shared" si="28"/>
        <v>0.8</v>
      </c>
      <c r="R136" s="177">
        <f t="shared" si="29"/>
        <v>9.9897315912270399E-2</v>
      </c>
      <c r="S136" s="809">
        <f t="shared" si="47"/>
        <v>0</v>
      </c>
      <c r="T136" s="176">
        <f t="shared" si="30"/>
        <v>6</v>
      </c>
      <c r="U136" s="251">
        <f t="shared" si="31"/>
        <v>9.9897315912270399E-2</v>
      </c>
      <c r="V136" s="383">
        <f t="shared" si="32"/>
        <v>59.239274343130475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5">
        <f t="shared" si="38"/>
        <v>0</v>
      </c>
      <c r="AD136" s="169">
        <f>(INDEX(Models!$BJ136:$BT136,,AH136)*(1-AF136)+INDEX(Models!$BJ136:$BT136,,AH136+1)*AF136-ERP_i)*AE136*Ramure*Pc/MaxiM</f>
        <v>2.0068250152537303E-4</v>
      </c>
      <c r="AE136" s="305">
        <f t="shared" si="39"/>
        <v>0.8</v>
      </c>
      <c r="AF136" s="177">
        <f t="shared" si="40"/>
        <v>9.9897315912270399E-2</v>
      </c>
      <c r="AG136" s="809">
        <f t="shared" si="41"/>
        <v>0</v>
      </c>
      <c r="AH136" s="176">
        <f t="shared" si="42"/>
        <v>6</v>
      </c>
      <c r="AI136" s="225">
        <f t="shared" si="43"/>
        <v>9.9897315912270399E-2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6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6">
        <f t="shared" si="26"/>
        <v>0</v>
      </c>
      <c r="M137" s="854"/>
      <c r="N137" s="854"/>
      <c r="O137" s="324">
        <f t="shared" si="27"/>
        <v>0</v>
      </c>
      <c r="P137" s="169">
        <f>(INDEX(Models!$BJ137:$BT137,,T137)*(1-R137)+INDEX(Models!$BJ137:$BT137,,T137+1)*R137-ERP_i)*Q137*Ramure*Pc/MaxiM</f>
        <v>2.106197798013296E-4</v>
      </c>
      <c r="Q137" s="305">
        <f t="shared" si="28"/>
        <v>0.8</v>
      </c>
      <c r="R137" s="177">
        <f t="shared" si="29"/>
        <v>0.10339043343094692</v>
      </c>
      <c r="S137" s="809">
        <f t="shared" si="47"/>
        <v>0</v>
      </c>
      <c r="T137" s="176">
        <f t="shared" si="30"/>
        <v>6</v>
      </c>
      <c r="U137" s="251">
        <f t="shared" si="31"/>
        <v>0.10339043343094692</v>
      </c>
      <c r="V137" s="383">
        <f t="shared" si="32"/>
        <v>59.442694173037317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5">
        <f t="shared" si="38"/>
        <v>0</v>
      </c>
      <c r="AD137" s="169">
        <f>(INDEX(Models!$BJ137:$BT137,,AH137)*(1-AF137)+INDEX(Models!$BJ137:$BT137,,AH137+1)*AF137-ERP_i)*AE137*Ramure*Pc/MaxiM</f>
        <v>2.106197798013296E-4</v>
      </c>
      <c r="AE137" s="305">
        <f t="shared" si="39"/>
        <v>0.8</v>
      </c>
      <c r="AF137" s="177">
        <f t="shared" si="40"/>
        <v>0.10339043343094692</v>
      </c>
      <c r="AG137" s="809">
        <f t="shared" si="41"/>
        <v>0</v>
      </c>
      <c r="AH137" s="176">
        <f t="shared" si="42"/>
        <v>6</v>
      </c>
      <c r="AI137" s="225">
        <f t="shared" si="43"/>
        <v>0.10339043343094692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6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6">
        <f t="shared" si="26"/>
        <v>0</v>
      </c>
      <c r="M138" s="854"/>
      <c r="N138" s="854"/>
      <c r="O138" s="324">
        <f t="shared" si="27"/>
        <v>0</v>
      </c>
      <c r="P138" s="169">
        <f>(INDEX(Models!$BJ138:$BT138,,T138)*(1-R138)+INDEX(Models!$BJ138:$BT138,,T138+1)*R138-ERP_i)*Q138*Ramure*Pc/MaxiM</f>
        <v>2.2160135095361687E-4</v>
      </c>
      <c r="Q138" s="305">
        <f t="shared" si="28"/>
        <v>0.8</v>
      </c>
      <c r="R138" s="177">
        <f t="shared" si="29"/>
        <v>0.1069785785304954</v>
      </c>
      <c r="S138" s="809">
        <f t="shared" si="47"/>
        <v>0</v>
      </c>
      <c r="T138" s="176">
        <f t="shared" si="30"/>
        <v>6</v>
      </c>
      <c r="U138" s="251">
        <f t="shared" si="31"/>
        <v>0.1069785785304954</v>
      </c>
      <c r="V138" s="383">
        <f t="shared" si="32"/>
        <v>59.640198797045983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5">
        <f t="shared" si="38"/>
        <v>0</v>
      </c>
      <c r="AD138" s="169">
        <f>(INDEX(Models!$BJ138:$BT138,,AH138)*(1-AF138)+INDEX(Models!$BJ138:$BT138,,AH138+1)*AF138-ERP_i)*AE138*Ramure*Pc/MaxiM</f>
        <v>2.2160135095361687E-4</v>
      </c>
      <c r="AE138" s="305">
        <f t="shared" si="39"/>
        <v>0.8</v>
      </c>
      <c r="AF138" s="177">
        <f t="shared" si="40"/>
        <v>0.1069785785304954</v>
      </c>
      <c r="AG138" s="809">
        <f t="shared" si="41"/>
        <v>0</v>
      </c>
      <c r="AH138" s="176">
        <f t="shared" si="42"/>
        <v>6</v>
      </c>
      <c r="AI138" s="225">
        <f t="shared" si="43"/>
        <v>0.1069785785304954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6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6">
        <f t="shared" si="26"/>
        <v>0</v>
      </c>
      <c r="M139" s="854"/>
      <c r="N139" s="854"/>
      <c r="O139" s="324">
        <f t="shared" si="27"/>
        <v>0</v>
      </c>
      <c r="P139" s="169">
        <f>(INDEX(Models!$BJ139:$BT139,,T139)*(1-R139)+INDEX(Models!$BJ139:$BT139,,T139+1)*R139-ERP_i)*Q139*Ramure*Pc/MaxiM</f>
        <v>2.3371095269831378E-4</v>
      </c>
      <c r="Q139" s="305">
        <f t="shared" si="28"/>
        <v>0.8</v>
      </c>
      <c r="R139" s="177">
        <f t="shared" si="29"/>
        <v>0.11066252821038708</v>
      </c>
      <c r="S139" s="809">
        <f t="shared" si="47"/>
        <v>0</v>
      </c>
      <c r="T139" s="176">
        <f t="shared" si="30"/>
        <v>6</v>
      </c>
      <c r="U139" s="251">
        <f t="shared" si="31"/>
        <v>0.11066252821038708</v>
      </c>
      <c r="V139" s="383">
        <f t="shared" si="32"/>
        <v>59.831560671162556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5">
        <f t="shared" si="38"/>
        <v>0</v>
      </c>
      <c r="AD139" s="169">
        <f>(INDEX(Models!$BJ139:$BT139,,AH139)*(1-AF139)+INDEX(Models!$BJ139:$BT139,,AH139+1)*AF139-ERP_i)*AE139*Ramure*Pc/MaxiM</f>
        <v>2.3371095269831378E-4</v>
      </c>
      <c r="AE139" s="305">
        <f t="shared" si="39"/>
        <v>0.8</v>
      </c>
      <c r="AF139" s="177">
        <f t="shared" si="40"/>
        <v>0.11066252821038708</v>
      </c>
      <c r="AG139" s="809">
        <f t="shared" si="41"/>
        <v>0</v>
      </c>
      <c r="AH139" s="176">
        <f t="shared" si="42"/>
        <v>6</v>
      </c>
      <c r="AI139" s="225">
        <f t="shared" si="43"/>
        <v>0.11066252821038708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6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6">
        <f t="shared" si="26"/>
        <v>0</v>
      </c>
      <c r="M140" s="854"/>
      <c r="N140" s="854"/>
      <c r="O140" s="324">
        <f t="shared" si="27"/>
        <v>0</v>
      </c>
      <c r="P140" s="169">
        <f>(INDEX(Models!$BJ140:$BT140,,T140)*(1-R140)+INDEX(Models!$BJ140:$BT140,,T140+1)*R140-ERP_i)*Q140*Ramure*Pc/MaxiM</f>
        <v>2.4703736035705238E-4</v>
      </c>
      <c r="Q140" s="305">
        <f t="shared" si="28"/>
        <v>0.8</v>
      </c>
      <c r="R140" s="177">
        <f t="shared" si="29"/>
        <v>0.11444293544399672</v>
      </c>
      <c r="S140" s="809">
        <f t="shared" si="47"/>
        <v>0</v>
      </c>
      <c r="T140" s="176">
        <f t="shared" si="30"/>
        <v>6</v>
      </c>
      <c r="U140" s="251">
        <f t="shared" si="31"/>
        <v>0.11444293544399672</v>
      </c>
      <c r="V140" s="383">
        <f t="shared" si="32"/>
        <v>60.016551930321199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5">
        <f t="shared" si="38"/>
        <v>0</v>
      </c>
      <c r="AD140" s="169">
        <f>(INDEX(Models!$BJ140:$BT140,,AH140)*(1-AF140)+INDEX(Models!$BJ140:$BT140,,AH140+1)*AF140-ERP_i)*AE140*Ramure*Pc/MaxiM</f>
        <v>2.4703736035705238E-4</v>
      </c>
      <c r="AE140" s="305">
        <f t="shared" si="39"/>
        <v>0.8</v>
      </c>
      <c r="AF140" s="177">
        <f t="shared" si="40"/>
        <v>0.11444293544399672</v>
      </c>
      <c r="AG140" s="809">
        <f t="shared" si="41"/>
        <v>0</v>
      </c>
      <c r="AH140" s="176">
        <f t="shared" si="42"/>
        <v>6</v>
      </c>
      <c r="AI140" s="225">
        <f t="shared" si="43"/>
        <v>0.11444293544399672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6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6">
        <f t="shared" si="26"/>
        <v>0</v>
      </c>
      <c r="M141" s="854"/>
      <c r="N141" s="854"/>
      <c r="O141" s="324">
        <f t="shared" si="27"/>
        <v>0</v>
      </c>
      <c r="P141" s="169">
        <f>(INDEX(Models!$BJ141:$BT141,,T141)*(1-R141)+INDEX(Models!$BJ141:$BT141,,T141+1)*R141-ERP_i)*Q141*Ramure*Pc/MaxiM</f>
        <v>2.6167455938044332E-4</v>
      </c>
      <c r="Q141" s="305">
        <f t="shared" si="28"/>
        <v>0.8</v>
      </c>
      <c r="R141" s="177">
        <f t="shared" si="29"/>
        <v>0.11832032073017952</v>
      </c>
      <c r="S141" s="809">
        <f t="shared" si="47"/>
        <v>0</v>
      </c>
      <c r="T141" s="176">
        <f t="shared" si="30"/>
        <v>6</v>
      </c>
      <c r="U141" s="251">
        <f t="shared" si="31"/>
        <v>0.11832032073017952</v>
      </c>
      <c r="V141" s="383">
        <f t="shared" si="32"/>
        <v>60.194944392057415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5">
        <f t="shared" si="38"/>
        <v>0</v>
      </c>
      <c r="AD141" s="169">
        <f>(INDEX(Models!$BJ141:$BT141,,AH141)*(1-AF141)+INDEX(Models!$BJ141:$BT141,,AH141+1)*AF141-ERP_i)*AE141*Ramure*Pc/MaxiM</f>
        <v>2.6167455938044332E-4</v>
      </c>
      <c r="AE141" s="305">
        <f t="shared" si="39"/>
        <v>0.8</v>
      </c>
      <c r="AF141" s="177">
        <f t="shared" si="40"/>
        <v>0.11832032073017952</v>
      </c>
      <c r="AG141" s="809">
        <f t="shared" si="41"/>
        <v>0</v>
      </c>
      <c r="AH141" s="176">
        <f t="shared" si="42"/>
        <v>6</v>
      </c>
      <c r="AI141" s="225">
        <f t="shared" si="43"/>
        <v>0.11832032073017952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6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6">
        <f t="shared" si="26"/>
        <v>0</v>
      </c>
      <c r="M142" s="854"/>
      <c r="N142" s="854"/>
      <c r="O142" s="324">
        <f t="shared" si="27"/>
        <v>0</v>
      </c>
      <c r="P142" s="169">
        <f>(INDEX(Models!$BJ142:$BT142,,T142)*(1-R142)+INDEX(Models!$BJ142:$BT142,,T142+1)*R142-ERP_i)*Q142*Ramure*Pc/MaxiM</f>
        <v>2.7768965718934463E-4</v>
      </c>
      <c r="Q142" s="305">
        <f t="shared" si="28"/>
        <v>0.8</v>
      </c>
      <c r="R142" s="177">
        <f t="shared" si="29"/>
        <v>0.12229506368793905</v>
      </c>
      <c r="S142" s="809">
        <f t="shared" si="47"/>
        <v>0</v>
      </c>
      <c r="T142" s="176">
        <f t="shared" si="30"/>
        <v>6</v>
      </c>
      <c r="U142" s="251">
        <f t="shared" si="31"/>
        <v>0.12229506368793905</v>
      </c>
      <c r="V142" s="383">
        <f t="shared" si="32"/>
        <v>60.366511487607312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5">
        <f t="shared" si="38"/>
        <v>0</v>
      </c>
      <c r="AD142" s="169">
        <f>(INDEX(Models!$BJ142:$BT142,,AH142)*(1-AF142)+INDEX(Models!$BJ142:$BT142,,AH142+1)*AF142-ERP_i)*AE142*Ramure*Pc/MaxiM</f>
        <v>2.7768965718934463E-4</v>
      </c>
      <c r="AE142" s="305">
        <f t="shared" si="39"/>
        <v>0.8</v>
      </c>
      <c r="AF142" s="177">
        <f t="shared" si="40"/>
        <v>0.12229506368793905</v>
      </c>
      <c r="AG142" s="809">
        <f t="shared" si="41"/>
        <v>0</v>
      </c>
      <c r="AH142" s="176">
        <f t="shared" si="42"/>
        <v>6</v>
      </c>
      <c r="AI142" s="225">
        <f t="shared" si="43"/>
        <v>0.12229506368793905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6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6">
        <f t="shared" ref="L143:L206" si="50">IF(t&lt;T0,0,IF(t&lt;Tvie,1-EXP((T0-t)*PertePVj),1-EXP((T0-t)*PertePVj)+Pspv))</f>
        <v>0</v>
      </c>
      <c r="M143" s="854"/>
      <c r="N143" s="854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2.9446987231747721E-4</v>
      </c>
      <c r="Q143" s="305">
        <f t="shared" ref="Q143:Q206" si="52">IF(OR(t&lt;Ttai,Notai),Dd+PousD*Croivg,Dens+PousD*(Croivg-Croi_tai))</f>
        <v>0.8</v>
      </c>
      <c r="R143" s="177">
        <f t="shared" ref="R143:R206" si="53">(Hp_vg-S143)/(INDEX(Echel_vg,T143+1)-S143)</f>
        <v>0.12636739474875353</v>
      </c>
      <c r="S143" s="809">
        <f t="shared" si="47"/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0.12636739474875353</v>
      </c>
      <c r="V143" s="383">
        <f t="shared" ref="V143:V206" si="56">MaxiM*(1-Ppv)*(1-Pvg)*(1-Psa)</f>
        <v>60.531067841596162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5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2.9446987231747721E-4</v>
      </c>
      <c r="AE143" s="305">
        <f t="shared" ref="AE143:AE206" si="63">Dd+PousD*Croivg</f>
        <v>0.8</v>
      </c>
      <c r="AF143" s="177">
        <f t="shared" ref="AF143:AF206" si="64">(Hp_vg_s-AG143)/(INDEX(Echel_vg,AH143+1)-AG143)</f>
        <v>0.12636739474875353</v>
      </c>
      <c r="AG143" s="809">
        <f t="shared" ref="AG143:AG206" si="65">INDEX(Echel_vg,AH143)</f>
        <v>0</v>
      </c>
      <c r="AH143" s="176">
        <f t="shared" ref="AH143:AH206" si="66">MIN(MATCH(Hp_vg_s,Echel_vg),10)</f>
        <v>6</v>
      </c>
      <c r="AI143" s="225">
        <f t="shared" ref="AI143:AI206" si="67">Hdd+PousH*Croivg</f>
        <v>0.12636739474875353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6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6">
        <f t="shared" si="50"/>
        <v>0</v>
      </c>
      <c r="M144" s="854"/>
      <c r="N144" s="854"/>
      <c r="O144" s="324">
        <f t="shared" si="51"/>
        <v>0</v>
      </c>
      <c r="P144" s="169">
        <f>(INDEX(Models!$BJ144:$BT144,,T144)*(1-R144)+INDEX(Models!$BJ144:$BT144,,T144+1)*R144-ERP_i)*Q144*Ramure*Pc/MaxiM</f>
        <v>3.1204245349618121E-4</v>
      </c>
      <c r="Q144" s="305">
        <f t="shared" si="52"/>
        <v>0.8</v>
      </c>
      <c r="R144" s="177">
        <f t="shared" si="53"/>
        <v>0.1305373870048154</v>
      </c>
      <c r="S144" s="809">
        <f t="shared" ref="S144:S207" si="71">INDEX(Echel_vg,T144)</f>
        <v>0</v>
      </c>
      <c r="T144" s="176">
        <f t="shared" si="54"/>
        <v>6</v>
      </c>
      <c r="U144" s="251">
        <f t="shared" si="55"/>
        <v>0.1305373870048154</v>
      </c>
      <c r="V144" s="383">
        <f t="shared" si="56"/>
        <v>60.688389678901444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5">
        <f t="shared" si="62"/>
        <v>0</v>
      </c>
      <c r="AD144" s="169">
        <f>(INDEX(Models!$BJ144:$BT144,,AH144)*(1-AF144)+INDEX(Models!$BJ144:$BT144,,AH144+1)*AF144-ERP_i)*AE144*Ramure*Pc/MaxiM</f>
        <v>3.1204245349618121E-4</v>
      </c>
      <c r="AE144" s="305">
        <f t="shared" si="63"/>
        <v>0.8</v>
      </c>
      <c r="AF144" s="177">
        <f t="shared" si="64"/>
        <v>0.1305373870048154</v>
      </c>
      <c r="AG144" s="809">
        <f t="shared" si="65"/>
        <v>0</v>
      </c>
      <c r="AH144" s="176">
        <f t="shared" si="66"/>
        <v>6</v>
      </c>
      <c r="AI144" s="225">
        <f t="shared" si="67"/>
        <v>0.1305373870048154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6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6">
        <f t="shared" si="50"/>
        <v>0</v>
      </c>
      <c r="M145" s="854"/>
      <c r="N145" s="854"/>
      <c r="O145" s="324">
        <f t="shared" si="51"/>
        <v>0</v>
      </c>
      <c r="P145" s="169">
        <f>(INDEX(Models!$BJ145:$BT145,,T145)*(1-R145)+INDEX(Models!$BJ145:$BT145,,T145+1)*R145-ERP_i)*Q145*Ramure*Pc/MaxiM</f>
        <v>3.3043481846095683E-4</v>
      </c>
      <c r="Q145" s="305">
        <f t="shared" si="52"/>
        <v>0.8</v>
      </c>
      <c r="R145" s="177">
        <f t="shared" si="53"/>
        <v>0.13480494827485251</v>
      </c>
      <c r="S145" s="809">
        <f t="shared" si="71"/>
        <v>0</v>
      </c>
      <c r="T145" s="176">
        <f t="shared" si="54"/>
        <v>6</v>
      </c>
      <c r="U145" s="251">
        <f t="shared" si="55"/>
        <v>0.13480494827485251</v>
      </c>
      <c r="V145" s="383">
        <f t="shared" si="56"/>
        <v>60.838253251998857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5">
        <f t="shared" si="62"/>
        <v>0</v>
      </c>
      <c r="AD145" s="169">
        <f>(INDEX(Models!$BJ145:$BT145,,AH145)*(1-AF145)+INDEX(Models!$BJ145:$BT145,,AH145+1)*AF145-ERP_i)*AE145*Ramure*Pc/MaxiM</f>
        <v>3.3043481846095683E-4</v>
      </c>
      <c r="AE145" s="305">
        <f t="shared" si="63"/>
        <v>0.8</v>
      </c>
      <c r="AF145" s="177">
        <f t="shared" si="64"/>
        <v>0.13480494827485251</v>
      </c>
      <c r="AG145" s="809">
        <f t="shared" si="65"/>
        <v>0</v>
      </c>
      <c r="AH145" s="176">
        <f t="shared" si="66"/>
        <v>6</v>
      </c>
      <c r="AI145" s="225">
        <f t="shared" si="67"/>
        <v>0.13480494827485251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6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6">
        <f t="shared" si="50"/>
        <v>0</v>
      </c>
      <c r="M146" s="854"/>
      <c r="N146" s="854"/>
      <c r="O146" s="324">
        <f t="shared" si="51"/>
        <v>0</v>
      </c>
      <c r="P146" s="169">
        <f>(INDEX(Models!$BJ146:$BT146,,T146)*(1-R146)+INDEX(Models!$BJ146:$BT146,,T146+1)*R146-ERP_i)*Q146*Ramure*Pc/MaxiM</f>
        <v>3.496744809095038E-4</v>
      </c>
      <c r="Q146" s="305">
        <f t="shared" si="52"/>
        <v>0.8</v>
      </c>
      <c r="R146" s="177">
        <f t="shared" si="53"/>
        <v>0.13916981345224702</v>
      </c>
      <c r="S146" s="809">
        <f t="shared" si="71"/>
        <v>0</v>
      </c>
      <c r="T146" s="176">
        <f t="shared" si="54"/>
        <v>6</v>
      </c>
      <c r="U146" s="251">
        <f t="shared" si="55"/>
        <v>0.13916981345224702</v>
      </c>
      <c r="V146" s="383">
        <f t="shared" si="56"/>
        <v>60.980434836785363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5">
        <f t="shared" si="62"/>
        <v>0</v>
      </c>
      <c r="AD146" s="169">
        <f>(INDEX(Models!$BJ146:$BT146,,AH146)*(1-AF146)+INDEX(Models!$BJ146:$BT146,,AH146+1)*AF146-ERP_i)*AE146*Ramure*Pc/MaxiM</f>
        <v>3.496744809095038E-4</v>
      </c>
      <c r="AE146" s="305">
        <f t="shared" si="63"/>
        <v>0.8</v>
      </c>
      <c r="AF146" s="177">
        <f t="shared" si="64"/>
        <v>0.13916981345224702</v>
      </c>
      <c r="AG146" s="809">
        <f t="shared" si="65"/>
        <v>0</v>
      </c>
      <c r="AH146" s="176">
        <f t="shared" si="66"/>
        <v>6</v>
      </c>
      <c r="AI146" s="225">
        <f t="shared" si="67"/>
        <v>0.13916981345224702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6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6">
        <f t="shared" si="50"/>
        <v>0</v>
      </c>
      <c r="M147" s="854"/>
      <c r="N147" s="854"/>
      <c r="O147" s="324">
        <f t="shared" si="51"/>
        <v>0</v>
      </c>
      <c r="P147" s="169">
        <f>(INDEX(Models!$BJ147:$BT147,,T147)*(1-R147)+INDEX(Models!$BJ147:$BT147,,T147+1)*R147-ERP_i)*Q147*Ramure*Pc/MaxiM</f>
        <v>3.6978897291692732E-4</v>
      </c>
      <c r="Q147" s="305">
        <f t="shared" si="52"/>
        <v>0.8</v>
      </c>
      <c r="R147" s="177">
        <f t="shared" si="53"/>
        <v>0.14363153720278954</v>
      </c>
      <c r="S147" s="809">
        <f t="shared" si="71"/>
        <v>0</v>
      </c>
      <c r="T147" s="176">
        <f t="shared" si="54"/>
        <v>6</v>
      </c>
      <c r="U147" s="251">
        <f t="shared" si="55"/>
        <v>0.14363153720278954</v>
      </c>
      <c r="V147" s="383">
        <f t="shared" si="56"/>
        <v>61.114710753246577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5">
        <f t="shared" si="62"/>
        <v>0</v>
      </c>
      <c r="AD147" s="169">
        <f>(INDEX(Models!$BJ147:$BT147,,AH147)*(1-AF147)+INDEX(Models!$BJ147:$BT147,,AH147+1)*AF147-ERP_i)*AE147*Ramure*Pc/MaxiM</f>
        <v>3.6978897291692732E-4</v>
      </c>
      <c r="AE147" s="305">
        <f t="shared" si="63"/>
        <v>0.8</v>
      </c>
      <c r="AF147" s="177">
        <f t="shared" si="64"/>
        <v>0.14363153720278954</v>
      </c>
      <c r="AG147" s="809">
        <f t="shared" si="65"/>
        <v>0</v>
      </c>
      <c r="AH147" s="176">
        <f t="shared" si="66"/>
        <v>6</v>
      </c>
      <c r="AI147" s="225">
        <f t="shared" si="67"/>
        <v>0.14363153720278954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6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6">
        <f t="shared" si="50"/>
        <v>0</v>
      </c>
      <c r="M148" s="854"/>
      <c r="N148" s="854"/>
      <c r="O148" s="324">
        <f t="shared" si="51"/>
        <v>0</v>
      </c>
      <c r="P148" s="169">
        <f>(INDEX(Models!$BJ148:$BT148,,T148)*(1-R148)+INDEX(Models!$BJ148:$BT148,,T148+1)*R148-ERP_i)*Q148*Ramure*Pc/MaxiM</f>
        <v>3.908057634664618E-4</v>
      </c>
      <c r="Q148" s="305">
        <f t="shared" si="52"/>
        <v>0.8</v>
      </c>
      <c r="R148" s="177">
        <f t="shared" si="53"/>
        <v>0.14818948708151239</v>
      </c>
      <c r="S148" s="809">
        <f t="shared" si="71"/>
        <v>0</v>
      </c>
      <c r="T148" s="176">
        <f t="shared" si="54"/>
        <v>6</v>
      </c>
      <c r="U148" s="251">
        <f t="shared" si="55"/>
        <v>0.14818948708151239</v>
      </c>
      <c r="V148" s="383">
        <f t="shared" si="56"/>
        <v>61.240857361763503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5">
        <f t="shared" si="62"/>
        <v>0</v>
      </c>
      <c r="AD148" s="169">
        <f>(INDEX(Models!$BJ148:$BT148,,AH148)*(1-AF148)+INDEX(Models!$BJ148:$BT148,,AH148+1)*AF148-ERP_i)*AE148*Ramure*Pc/MaxiM</f>
        <v>3.908057634664618E-4</v>
      </c>
      <c r="AE148" s="305">
        <f t="shared" si="63"/>
        <v>0.8</v>
      </c>
      <c r="AF148" s="177">
        <f t="shared" si="64"/>
        <v>0.14818948708151239</v>
      </c>
      <c r="AG148" s="809">
        <f t="shared" si="65"/>
        <v>0</v>
      </c>
      <c r="AH148" s="176">
        <f t="shared" si="66"/>
        <v>6</v>
      </c>
      <c r="AI148" s="225">
        <f t="shared" si="67"/>
        <v>0.14818948708151239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6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6">
        <f t="shared" si="50"/>
        <v>0</v>
      </c>
      <c r="M149" s="854"/>
      <c r="N149" s="854"/>
      <c r="O149" s="324">
        <f t="shared" si="51"/>
        <v>0</v>
      </c>
      <c r="P149" s="169">
        <f>(INDEX(Models!$BJ149:$BT149,,T149)*(1-R149)+INDEX(Models!$BJ149:$BT149,,T149+1)*R149-ERP_i)*Q149*Ramure*Pc/MaxiM</f>
        <v>4.1275491193885433E-4</v>
      </c>
      <c r="Q149" s="305">
        <f t="shared" si="52"/>
        <v>0.8</v>
      </c>
      <c r="R149" s="177">
        <f t="shared" si="53"/>
        <v>0.15284283713955993</v>
      </c>
      <c r="S149" s="809">
        <f t="shared" si="71"/>
        <v>0</v>
      </c>
      <c r="T149" s="176">
        <f t="shared" si="54"/>
        <v>6</v>
      </c>
      <c r="U149" s="251">
        <f t="shared" si="55"/>
        <v>0.15284283713955993</v>
      </c>
      <c r="V149" s="383">
        <f t="shared" si="56"/>
        <v>61.35824380070612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5">
        <f t="shared" si="62"/>
        <v>0</v>
      </c>
      <c r="AD149" s="169">
        <f>(INDEX(Models!$BJ149:$BT149,,AH149)*(1-AF149)+INDEX(Models!$BJ149:$BT149,,AH149+1)*AF149-ERP_i)*AE149*Ramure*Pc/MaxiM</f>
        <v>4.1275491193885433E-4</v>
      </c>
      <c r="AE149" s="305">
        <f t="shared" si="63"/>
        <v>0.8</v>
      </c>
      <c r="AF149" s="177">
        <f t="shared" si="64"/>
        <v>0.15284283713955993</v>
      </c>
      <c r="AG149" s="809">
        <f t="shared" si="65"/>
        <v>0</v>
      </c>
      <c r="AH149" s="176">
        <f t="shared" si="66"/>
        <v>6</v>
      </c>
      <c r="AI149" s="225">
        <f t="shared" si="67"/>
        <v>0.15284283713955993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6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6">
        <f t="shared" si="50"/>
        <v>0</v>
      </c>
      <c r="M150" s="854"/>
      <c r="N150" s="854"/>
      <c r="O150" s="324">
        <f t="shared" si="51"/>
        <v>0</v>
      </c>
      <c r="P150" s="169">
        <f>(INDEX(Models!$BJ150:$BT150,,T150)*(1-R150)+INDEX(Models!$BJ150:$BT150,,T150+1)*R150-ERP_i)*Q150*Ramure*Pc/MaxiM</f>
        <v>4.3556130048286065E-4</v>
      </c>
      <c r="Q150" s="305">
        <f t="shared" si="52"/>
        <v>0.8</v>
      </c>
      <c r="R150" s="177">
        <f t="shared" si="53"/>
        <v>0.15759056209291128</v>
      </c>
      <c r="S150" s="809">
        <f t="shared" si="71"/>
        <v>0</v>
      </c>
      <c r="T150" s="176">
        <f t="shared" si="54"/>
        <v>6</v>
      </c>
      <c r="U150" s="251">
        <f t="shared" si="55"/>
        <v>0.15759056209291128</v>
      </c>
      <c r="V150" s="383">
        <f t="shared" si="56"/>
        <v>61.466689873614513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5">
        <f t="shared" si="62"/>
        <v>0</v>
      </c>
      <c r="AD150" s="169">
        <f>(INDEX(Models!$BJ150:$BT150,,AH150)*(1-AF150)+INDEX(Models!$BJ150:$BT150,,AH150+1)*AF150-ERP_i)*AE150*Ramure*Pc/MaxiM</f>
        <v>4.3556130048286065E-4</v>
      </c>
      <c r="AE150" s="305">
        <f t="shared" si="63"/>
        <v>0.8</v>
      </c>
      <c r="AF150" s="177">
        <f t="shared" si="64"/>
        <v>0.15759056209291128</v>
      </c>
      <c r="AG150" s="809">
        <f t="shared" si="65"/>
        <v>0</v>
      </c>
      <c r="AH150" s="176">
        <f t="shared" si="66"/>
        <v>6</v>
      </c>
      <c r="AI150" s="225">
        <f t="shared" si="67"/>
        <v>0.15759056209291128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6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6">
        <f t="shared" si="50"/>
        <v>0</v>
      </c>
      <c r="M151" s="854"/>
      <c r="N151" s="854"/>
      <c r="O151" s="324">
        <f t="shared" si="51"/>
        <v>0</v>
      </c>
      <c r="P151" s="169">
        <f>(INDEX(Models!$BJ151:$BT151,,T151)*(1-R151)+INDEX(Models!$BJ151:$BT151,,T151+1)*R151-ERP_i)*Q151*Ramure*Pc/MaxiM</f>
        <v>4.5924328100441545E-4</v>
      </c>
      <c r="Q151" s="305">
        <f t="shared" si="52"/>
        <v>0.8</v>
      </c>
      <c r="R151" s="177">
        <f t="shared" si="53"/>
        <v>0.16243143212487984</v>
      </c>
      <c r="S151" s="809">
        <f t="shared" si="71"/>
        <v>0</v>
      </c>
      <c r="T151" s="176">
        <f t="shared" si="54"/>
        <v>6</v>
      </c>
      <c r="U151" s="251">
        <f t="shared" si="55"/>
        <v>0.16243143212487984</v>
      </c>
      <c r="V151" s="383">
        <f t="shared" si="56"/>
        <v>61.566638892878657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5">
        <f t="shared" si="62"/>
        <v>0</v>
      </c>
      <c r="AD151" s="169">
        <f>(INDEX(Models!$BJ151:$BT151,,AH151)*(1-AF151)+INDEX(Models!$BJ151:$BT151,,AH151+1)*AF151-ERP_i)*AE151*Ramure*Pc/MaxiM</f>
        <v>4.5924328100441545E-4</v>
      </c>
      <c r="AE151" s="305">
        <f t="shared" si="63"/>
        <v>0.8</v>
      </c>
      <c r="AF151" s="177">
        <f t="shared" si="64"/>
        <v>0.16243143212487984</v>
      </c>
      <c r="AG151" s="809">
        <f t="shared" si="65"/>
        <v>0</v>
      </c>
      <c r="AH151" s="176">
        <f t="shared" si="66"/>
        <v>6</v>
      </c>
      <c r="AI151" s="225">
        <f t="shared" si="67"/>
        <v>0.16243143212487984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6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6">
        <f t="shared" si="50"/>
        <v>0</v>
      </c>
      <c r="M152" s="854"/>
      <c r="N152" s="854"/>
      <c r="O152" s="324">
        <f t="shared" si="51"/>
        <v>0</v>
      </c>
      <c r="P152" s="169">
        <f>(INDEX(Models!$BJ152:$BT152,,T152)*(1-R152)+INDEX(Models!$BJ152:$BT152,,T152+1)*R152-ERP_i)*Q152*Ramure*Pc/MaxiM</f>
        <v>4.8381068829509642E-4</v>
      </c>
      <c r="Q152" s="305">
        <f t="shared" si="52"/>
        <v>0.8</v>
      </c>
      <c r="R152" s="177">
        <f t="shared" si="53"/>
        <v>0.16736400839362836</v>
      </c>
      <c r="S152" s="809">
        <f t="shared" si="71"/>
        <v>0</v>
      </c>
      <c r="T152" s="176">
        <f t="shared" si="54"/>
        <v>6</v>
      </c>
      <c r="U152" s="251">
        <f t="shared" si="55"/>
        <v>0.16736400839362836</v>
      </c>
      <c r="V152" s="383">
        <f t="shared" si="56"/>
        <v>61.658534676879626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5">
        <f t="shared" si="62"/>
        <v>0</v>
      </c>
      <c r="AD152" s="169">
        <f>(INDEX(Models!$BJ152:$BT152,,AH152)*(1-AF152)+INDEX(Models!$BJ152:$BT152,,AH152+1)*AF152-ERP_i)*AE152*Ramure*Pc/MaxiM</f>
        <v>4.8381068829509642E-4</v>
      </c>
      <c r="AE152" s="305">
        <f t="shared" si="63"/>
        <v>0.8</v>
      </c>
      <c r="AF152" s="177">
        <f t="shared" si="64"/>
        <v>0.16736400839362836</v>
      </c>
      <c r="AG152" s="809">
        <f t="shared" si="65"/>
        <v>0</v>
      </c>
      <c r="AH152" s="176">
        <f t="shared" si="66"/>
        <v>6</v>
      </c>
      <c r="AI152" s="225">
        <f t="shared" si="67"/>
        <v>0.16736400839362836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6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6">
        <f t="shared" si="50"/>
        <v>0</v>
      </c>
      <c r="M153" s="854"/>
      <c r="N153" s="854"/>
      <c r="O153" s="324">
        <f t="shared" si="51"/>
        <v>0</v>
      </c>
      <c r="P153" s="169">
        <f>(INDEX(Models!$BJ153:$BT153,,T153)*(1-R153)+INDEX(Models!$BJ153:$BT153,,T153+1)*R153-ERP_i)*Q153*Ramure*Pc/MaxiM</f>
        <v>5.092711122219308E-4</v>
      </c>
      <c r="Q153" s="305">
        <f t="shared" si="52"/>
        <v>0.8</v>
      </c>
      <c r="R153" s="177">
        <f t="shared" si="53"/>
        <v>0.17238663931438414</v>
      </c>
      <c r="S153" s="809">
        <f t="shared" si="71"/>
        <v>0</v>
      </c>
      <c r="T153" s="176">
        <f t="shared" si="54"/>
        <v>6</v>
      </c>
      <c r="U153" s="251">
        <f t="shared" si="55"/>
        <v>0.17238663931438414</v>
      </c>
      <c r="V153" s="383">
        <f t="shared" si="56"/>
        <v>61.742821193713617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5">
        <f t="shared" si="62"/>
        <v>0</v>
      </c>
      <c r="AD153" s="169">
        <f>(INDEX(Models!$BJ153:$BT153,,AH153)*(1-AF153)+INDEX(Models!$BJ153:$BT153,,AH153+1)*AF153-ERP_i)*AE153*Ramure*Pc/MaxiM</f>
        <v>5.092711122219308E-4</v>
      </c>
      <c r="AE153" s="305">
        <f t="shared" si="63"/>
        <v>0.8</v>
      </c>
      <c r="AF153" s="177">
        <f t="shared" si="64"/>
        <v>0.17238663931438414</v>
      </c>
      <c r="AG153" s="809">
        <f t="shared" si="65"/>
        <v>0</v>
      </c>
      <c r="AH153" s="176">
        <f t="shared" si="66"/>
        <v>6</v>
      </c>
      <c r="AI153" s="225">
        <f t="shared" si="67"/>
        <v>0.17238663931438414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6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6">
        <f t="shared" si="50"/>
        <v>0</v>
      </c>
      <c r="M154" s="854"/>
      <c r="N154" s="854"/>
      <c r="O154" s="324">
        <f t="shared" si="51"/>
        <v>0</v>
      </c>
      <c r="P154" s="169">
        <f>(INDEX(Models!$BJ154:$BT154,,T154)*(1-R154)+INDEX(Models!$BJ154:$BT154,,T154+1)*R154-ERP_i)*Q154*Ramure*Pc/MaxiM</f>
        <v>5.3562969708347637E-4</v>
      </c>
      <c r="Q154" s="305">
        <f t="shared" si="52"/>
        <v>0.8</v>
      </c>
      <c r="R154" s="177">
        <f t="shared" si="53"/>
        <v>0.17749745768357694</v>
      </c>
      <c r="S154" s="809">
        <f t="shared" si="71"/>
        <v>0</v>
      </c>
      <c r="T154" s="176">
        <f t="shared" si="54"/>
        <v>6</v>
      </c>
      <c r="U154" s="251">
        <f t="shared" si="55"/>
        <v>0.17749745768357694</v>
      </c>
      <c r="V154" s="383">
        <f t="shared" si="56"/>
        <v>61.819942543049734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5">
        <f t="shared" si="62"/>
        <v>0</v>
      </c>
      <c r="AD154" s="169">
        <f>(INDEX(Models!$BJ154:$BT154,,AH154)*(1-AF154)+INDEX(Models!$BJ154:$BT154,,AH154+1)*AF154-ERP_i)*AE154*Ramure*Pc/MaxiM</f>
        <v>5.3562969708347637E-4</v>
      </c>
      <c r="AE154" s="305">
        <f t="shared" si="63"/>
        <v>0.8</v>
      </c>
      <c r="AF154" s="177">
        <f t="shared" si="64"/>
        <v>0.17749745768357694</v>
      </c>
      <c r="AG154" s="809">
        <f t="shared" si="65"/>
        <v>0</v>
      </c>
      <c r="AH154" s="176">
        <f t="shared" si="66"/>
        <v>6</v>
      </c>
      <c r="AI154" s="225">
        <f t="shared" si="67"/>
        <v>0.17749745768357694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6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6">
        <f t="shared" si="50"/>
        <v>0</v>
      </c>
      <c r="M155" s="854"/>
      <c r="N155" s="854"/>
      <c r="O155" s="324">
        <f t="shared" si="51"/>
        <v>0</v>
      </c>
      <c r="P155" s="169">
        <f>(INDEX(Models!$BJ155:$BT155,,T155)*(1-R155)+INDEX(Models!$BJ155:$BT155,,T155+1)*R155-ERP_i)*Q155*Ramure*Pc/MaxiM</f>
        <v>5.6288894132746497E-4</v>
      </c>
      <c r="Q155" s="305">
        <f t="shared" si="52"/>
        <v>0.8</v>
      </c>
      <c r="R155" s="177">
        <f t="shared" si="53"/>
        <v>0.18269437870870839</v>
      </c>
      <c r="S155" s="809">
        <f t="shared" si="71"/>
        <v>0</v>
      </c>
      <c r="T155" s="176">
        <f t="shared" si="54"/>
        <v>6</v>
      </c>
      <c r="U155" s="251">
        <f t="shared" si="55"/>
        <v>0.18269437870870839</v>
      </c>
      <c r="V155" s="383">
        <f t="shared" si="56"/>
        <v>61.890342991252545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5">
        <f t="shared" si="62"/>
        <v>0</v>
      </c>
      <c r="AD155" s="169">
        <f>(INDEX(Models!$BJ155:$BT155,,AH155)*(1-AF155)+INDEX(Models!$BJ155:$BT155,,AH155+1)*AF155-ERP_i)*AE155*Ramure*Pc/MaxiM</f>
        <v>5.6288894132746497E-4</v>
      </c>
      <c r="AE155" s="305">
        <f t="shared" si="63"/>
        <v>0.8</v>
      </c>
      <c r="AF155" s="177">
        <f t="shared" si="64"/>
        <v>0.18269437870870839</v>
      </c>
      <c r="AG155" s="809">
        <f t="shared" si="65"/>
        <v>0</v>
      </c>
      <c r="AH155" s="176">
        <f t="shared" si="66"/>
        <v>6</v>
      </c>
      <c r="AI155" s="225">
        <f t="shared" si="67"/>
        <v>0.18269437870870839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6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6">
        <f t="shared" si="50"/>
        <v>0</v>
      </c>
      <c r="M156" s="854"/>
      <c r="N156" s="854"/>
      <c r="O156" s="324">
        <f t="shared" si="51"/>
        <v>0</v>
      </c>
      <c r="P156" s="169">
        <f>(INDEX(Models!$BJ156:$BT156,,T156)*(1-R156)+INDEX(Models!$BJ156:$BT156,,T156+1)*R156-ERP_i)*Q156*Ramure*Pc/MaxiM</f>
        <v>5.9082815546815848E-4</v>
      </c>
      <c r="Q156" s="305">
        <f t="shared" si="52"/>
        <v>0.8</v>
      </c>
      <c r="R156" s="177">
        <f t="shared" si="53"/>
        <v>0.18797509900337508</v>
      </c>
      <c r="S156" s="809">
        <f t="shared" si="71"/>
        <v>0</v>
      </c>
      <c r="T156" s="176">
        <f t="shared" si="54"/>
        <v>6</v>
      </c>
      <c r="U156" s="251">
        <f t="shared" si="55"/>
        <v>0.18797509900337508</v>
      </c>
      <c r="V156" s="383">
        <f t="shared" si="56"/>
        <v>61.954480614988391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5">
        <f t="shared" si="62"/>
        <v>0</v>
      </c>
      <c r="AD156" s="169">
        <f>(INDEX(Models!$BJ156:$BT156,,AH156)*(1-AF156)+INDEX(Models!$BJ156:$BT156,,AH156+1)*AF156-ERP_i)*AE156*Ramure*Pc/MaxiM</f>
        <v>5.9082815546815848E-4</v>
      </c>
      <c r="AE156" s="305">
        <f t="shared" si="63"/>
        <v>0.8</v>
      </c>
      <c r="AF156" s="177">
        <f t="shared" si="64"/>
        <v>0.18797509900337508</v>
      </c>
      <c r="AG156" s="809">
        <f t="shared" si="65"/>
        <v>0</v>
      </c>
      <c r="AH156" s="176">
        <f t="shared" si="66"/>
        <v>6</v>
      </c>
      <c r="AI156" s="225">
        <f t="shared" si="67"/>
        <v>0.18797509900337508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6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6">
        <f t="shared" si="50"/>
        <v>0</v>
      </c>
      <c r="M157" s="854"/>
      <c r="N157" s="854"/>
      <c r="O157" s="324">
        <f t="shared" si="51"/>
        <v>0</v>
      </c>
      <c r="P157" s="169">
        <f>(INDEX(Models!$BJ157:$BT157,,T157)*(1-R157)+INDEX(Models!$BJ157:$BT157,,T157+1)*R157-ERP_i)*Q157*Ramure*Pc/MaxiM</f>
        <v>6.1947267230707116E-4</v>
      </c>
      <c r="Q157" s="305">
        <f t="shared" si="52"/>
        <v>0.8</v>
      </c>
      <c r="R157" s="177">
        <f t="shared" si="53"/>
        <v>0.19333709660150189</v>
      </c>
      <c r="S157" s="809">
        <f t="shared" si="71"/>
        <v>0</v>
      </c>
      <c r="T157" s="176">
        <f t="shared" si="54"/>
        <v>6</v>
      </c>
      <c r="U157" s="251">
        <f t="shared" si="55"/>
        <v>0.19333709660150189</v>
      </c>
      <c r="V157" s="383">
        <f t="shared" si="56"/>
        <v>62.012798272118431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5">
        <f t="shared" si="62"/>
        <v>0</v>
      </c>
      <c r="AD157" s="169">
        <f>(INDEX(Models!$BJ157:$BT157,,AH157)*(1-AF157)+INDEX(Models!$BJ157:$BT157,,AH157+1)*AF157-ERP_i)*AE157*Ramure*Pc/MaxiM</f>
        <v>6.1947267230707116E-4</v>
      </c>
      <c r="AE157" s="305">
        <f t="shared" si="63"/>
        <v>0.8</v>
      </c>
      <c r="AF157" s="177">
        <f t="shared" si="64"/>
        <v>0.19333709660150189</v>
      </c>
      <c r="AG157" s="809">
        <f t="shared" si="65"/>
        <v>0</v>
      </c>
      <c r="AH157" s="176">
        <f t="shared" si="66"/>
        <v>6</v>
      </c>
      <c r="AI157" s="225">
        <f t="shared" si="67"/>
        <v>0.19333709660150189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6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6">
        <f t="shared" si="50"/>
        <v>0</v>
      </c>
      <c r="M158" s="854"/>
      <c r="N158" s="854"/>
      <c r="O158" s="324">
        <f t="shared" si="51"/>
        <v>0</v>
      </c>
      <c r="P158" s="169">
        <f>(INDEX(Models!$BJ158:$BT158,,T158)*(1-R158)+INDEX(Models!$BJ158:$BT158,,T158+1)*R158-ERP_i)*Q158*Ramure*Pc/MaxiM</f>
        <v>6.4879426366079411E-4</v>
      </c>
      <c r="Q158" s="305">
        <f t="shared" si="52"/>
        <v>0.8</v>
      </c>
      <c r="R158" s="177">
        <f t="shared" si="53"/>
        <v>0.1987776320384973</v>
      </c>
      <c r="S158" s="809">
        <f t="shared" si="71"/>
        <v>0</v>
      </c>
      <c r="T158" s="176">
        <f t="shared" si="54"/>
        <v>6</v>
      </c>
      <c r="U158" s="251">
        <f t="shared" si="55"/>
        <v>0.1987776320384973</v>
      </c>
      <c r="V158" s="383">
        <f t="shared" si="56"/>
        <v>62.065742110887818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5">
        <f t="shared" si="62"/>
        <v>0</v>
      </c>
      <c r="AD158" s="169">
        <f>(INDEX(Models!$BJ158:$BT158,,AH158)*(1-AF158)+INDEX(Models!$BJ158:$BT158,,AH158+1)*AF158-ERP_i)*AE158*Ramure*Pc/MaxiM</f>
        <v>6.4879426366079411E-4</v>
      </c>
      <c r="AE158" s="305">
        <f t="shared" si="63"/>
        <v>0.8</v>
      </c>
      <c r="AF158" s="177">
        <f t="shared" si="64"/>
        <v>0.1987776320384973</v>
      </c>
      <c r="AG158" s="809">
        <f t="shared" si="65"/>
        <v>0</v>
      </c>
      <c r="AH158" s="176">
        <f t="shared" si="66"/>
        <v>6</v>
      </c>
      <c r="AI158" s="225">
        <f t="shared" si="67"/>
        <v>0.1987776320384973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6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6">
        <f t="shared" si="50"/>
        <v>0</v>
      </c>
      <c r="M159" s="854"/>
      <c r="N159" s="854"/>
      <c r="O159" s="324">
        <f t="shared" si="51"/>
        <v>0</v>
      </c>
      <c r="P159" s="169">
        <f>(INDEX(Models!$BJ159:$BT159,,T159)*(1-R159)+INDEX(Models!$BJ159:$BT159,,T159+1)*R159-ERP_i)*Q159*Ramure*Pc/MaxiM</f>
        <v>6.7876403870847197E-4</v>
      </c>
      <c r="Q159" s="305">
        <f t="shared" si="52"/>
        <v>0.8</v>
      </c>
      <c r="R159" s="177">
        <f t="shared" si="53"/>
        <v>0.20429375053975782</v>
      </c>
      <c r="S159" s="809">
        <f t="shared" si="71"/>
        <v>0</v>
      </c>
      <c r="T159" s="176">
        <f t="shared" si="54"/>
        <v>6</v>
      </c>
      <c r="U159" s="251">
        <f t="shared" si="55"/>
        <v>0.20429375053975782</v>
      </c>
      <c r="V159" s="383">
        <f t="shared" si="56"/>
        <v>62.113758300157329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5">
        <f t="shared" si="62"/>
        <v>0</v>
      </c>
      <c r="AD159" s="169">
        <f>(INDEX(Models!$BJ159:$BT159,,AH159)*(1-AF159)+INDEX(Models!$BJ159:$BT159,,AH159+1)*AF159-ERP_i)*AE159*Ramure*Pc/MaxiM</f>
        <v>6.7876403870847197E-4</v>
      </c>
      <c r="AE159" s="305">
        <f t="shared" si="63"/>
        <v>0.8</v>
      </c>
      <c r="AF159" s="177">
        <f t="shared" si="64"/>
        <v>0.20429375053975782</v>
      </c>
      <c r="AG159" s="809">
        <f t="shared" si="65"/>
        <v>0</v>
      </c>
      <c r="AH159" s="176">
        <f t="shared" si="66"/>
        <v>6</v>
      </c>
      <c r="AI159" s="225">
        <f t="shared" si="67"/>
        <v>0.20429375053975782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6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6">
        <f t="shared" si="50"/>
        <v>0</v>
      </c>
      <c r="M160" s="854"/>
      <c r="N160" s="854"/>
      <c r="O160" s="324">
        <f t="shared" si="51"/>
        <v>0</v>
      </c>
      <c r="P160" s="169">
        <f>(INDEX(Models!$BJ160:$BT160,,T160)*(1-R160)+INDEX(Models!$BJ160:$BT160,,T160+1)*R160-ERP_i)*Q160*Ramure*Pc/MaxiM</f>
        <v>7.0934894335353998E-4</v>
      </c>
      <c r="Q160" s="305">
        <f t="shared" si="52"/>
        <v>0.8</v>
      </c>
      <c r="R160" s="177">
        <f t="shared" si="53"/>
        <v>0.20988228534875661</v>
      </c>
      <c r="S160" s="809">
        <f t="shared" si="71"/>
        <v>0</v>
      </c>
      <c r="T160" s="176">
        <f t="shared" si="54"/>
        <v>6</v>
      </c>
      <c r="U160" s="251">
        <f t="shared" si="55"/>
        <v>0.20988228534875661</v>
      </c>
      <c r="V160" s="383">
        <f t="shared" si="56"/>
        <v>62.157293234826852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5">
        <f t="shared" si="62"/>
        <v>0</v>
      </c>
      <c r="AD160" s="169">
        <f>(INDEX(Models!$BJ160:$BT160,,AH160)*(1-AF160)+INDEX(Models!$BJ160:$BT160,,AH160+1)*AF160-ERP_i)*AE160*Ramure*Pc/MaxiM</f>
        <v>7.0934894335353998E-4</v>
      </c>
      <c r="AE160" s="305">
        <f t="shared" si="63"/>
        <v>0.8</v>
      </c>
      <c r="AF160" s="177">
        <f t="shared" si="64"/>
        <v>0.20988228534875661</v>
      </c>
      <c r="AG160" s="809">
        <f t="shared" si="65"/>
        <v>0</v>
      </c>
      <c r="AH160" s="176">
        <f t="shared" si="66"/>
        <v>6</v>
      </c>
      <c r="AI160" s="225">
        <f t="shared" si="67"/>
        <v>0.20988228534875661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6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6">
        <f t="shared" si="50"/>
        <v>0</v>
      </c>
      <c r="M161" s="854"/>
      <c r="N161" s="854"/>
      <c r="O161" s="324">
        <f t="shared" si="51"/>
        <v>0</v>
      </c>
      <c r="P161" s="169">
        <f>(INDEX(Models!$BJ161:$BT161,,T161)*(1-R161)+INDEX(Models!$BJ161:$BT161,,T161+1)*R161-ERP_i)*Q161*Ramure*Pc/MaxiM</f>
        <v>7.4051167059185105E-4</v>
      </c>
      <c r="Q161" s="305">
        <f t="shared" si="52"/>
        <v>0.8</v>
      </c>
      <c r="R161" s="177">
        <f t="shared" si="53"/>
        <v>0.21553986221792762</v>
      </c>
      <c r="S161" s="809">
        <f t="shared" si="71"/>
        <v>0</v>
      </c>
      <c r="T161" s="176">
        <f t="shared" si="54"/>
        <v>6</v>
      </c>
      <c r="U161" s="251">
        <f t="shared" si="55"/>
        <v>0.21553986221792762</v>
      </c>
      <c r="V161" s="383">
        <f t="shared" si="56"/>
        <v>62.196793548697336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5">
        <f t="shared" si="62"/>
        <v>0</v>
      </c>
      <c r="AD161" s="169">
        <f>(INDEX(Models!$BJ161:$BT161,,AH161)*(1-AF161)+INDEX(Models!$BJ161:$BT161,,AH161+1)*AF161-ERP_i)*AE161*Ramure*Pc/MaxiM</f>
        <v>7.4051167059185105E-4</v>
      </c>
      <c r="AE161" s="305">
        <f t="shared" si="63"/>
        <v>0.8</v>
      </c>
      <c r="AF161" s="177">
        <f t="shared" si="64"/>
        <v>0.21553986221792762</v>
      </c>
      <c r="AG161" s="809">
        <f t="shared" si="65"/>
        <v>0</v>
      </c>
      <c r="AH161" s="176">
        <f t="shared" si="66"/>
        <v>6</v>
      </c>
      <c r="AI161" s="225">
        <f t="shared" si="67"/>
        <v>0.21553986221792762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6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6">
        <f t="shared" si="50"/>
        <v>0</v>
      </c>
      <c r="M162" s="854"/>
      <c r="N162" s="854"/>
      <c r="O162" s="324">
        <f t="shared" si="51"/>
        <v>0</v>
      </c>
      <c r="P162" s="169">
        <f>(INDEX(Models!$BJ162:$BT162,,T162)*(1-R162)+INDEX(Models!$BJ162:$BT162,,T162+1)*R162-ERP_i)*Q162*Ramure*Pc/MaxiM</f>
        <v>7.7221059536020282E-4</v>
      </c>
      <c r="Q162" s="305">
        <f t="shared" si="52"/>
        <v>0.8</v>
      </c>
      <c r="R162" s="177">
        <f t="shared" si="53"/>
        <v>0.22126290507577848</v>
      </c>
      <c r="S162" s="809">
        <f t="shared" si="71"/>
        <v>0</v>
      </c>
      <c r="T162" s="176">
        <f t="shared" si="54"/>
        <v>6</v>
      </c>
      <c r="U162" s="251">
        <f t="shared" si="55"/>
        <v>0.22126290507577848</v>
      </c>
      <c r="V162" s="383">
        <f t="shared" si="56"/>
        <v>62.232706106930209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5">
        <f t="shared" si="62"/>
        <v>0</v>
      </c>
      <c r="AD162" s="169">
        <f>(INDEX(Models!$BJ162:$BT162,,AH162)*(1-AF162)+INDEX(Models!$BJ162:$BT162,,AH162+1)*AF162-ERP_i)*AE162*Ramure*Pc/MaxiM</f>
        <v>7.7221059536020282E-4</v>
      </c>
      <c r="AE162" s="305">
        <f t="shared" si="63"/>
        <v>0.8</v>
      </c>
      <c r="AF162" s="177">
        <f t="shared" si="64"/>
        <v>0.22126290507577848</v>
      </c>
      <c r="AG162" s="809">
        <f t="shared" si="65"/>
        <v>0</v>
      </c>
      <c r="AH162" s="176">
        <f t="shared" si="66"/>
        <v>6</v>
      </c>
      <c r="AI162" s="225">
        <f t="shared" si="67"/>
        <v>0.22126290507577848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6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6">
        <f t="shared" si="50"/>
        <v>0</v>
      </c>
      <c r="M163" s="854"/>
      <c r="N163" s="854"/>
      <c r="O163" s="324">
        <f t="shared" si="51"/>
        <v>0</v>
      </c>
      <c r="P163" s="169">
        <f>(INDEX(Models!$BJ163:$BT163,,T163)*(1-R163)+INDEX(Models!$BJ163:$BT163,,T163+1)*R163-ERP_i)*Q163*Ramure*Pc/MaxiM</f>
        <v>8.0442339501462026E-4</v>
      </c>
      <c r="Q163" s="305">
        <f t="shared" si="52"/>
        <v>0.8</v>
      </c>
      <c r="R163" s="177">
        <f t="shared" si="53"/>
        <v>0.22704764287324486</v>
      </c>
      <c r="S163" s="809">
        <f t="shared" si="71"/>
        <v>0</v>
      </c>
      <c r="T163" s="176">
        <f t="shared" si="54"/>
        <v>6</v>
      </c>
      <c r="U163" s="251">
        <f t="shared" si="55"/>
        <v>0.22704764287324486</v>
      </c>
      <c r="V163" s="383">
        <f t="shared" si="56"/>
        <v>62.263645210607017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5">
        <f t="shared" si="62"/>
        <v>0</v>
      </c>
      <c r="AD163" s="169">
        <f>(INDEX(Models!$BJ163:$BT163,,AH163)*(1-AF163)+INDEX(Models!$BJ163:$BT163,,AH163+1)*AF163-ERP_i)*AE163*Ramure*Pc/MaxiM</f>
        <v>8.0442339501462026E-4</v>
      </c>
      <c r="AE163" s="305">
        <f t="shared" si="63"/>
        <v>0.8</v>
      </c>
      <c r="AF163" s="177">
        <f t="shared" si="64"/>
        <v>0.22704764287324486</v>
      </c>
      <c r="AG163" s="809">
        <f t="shared" si="65"/>
        <v>0</v>
      </c>
      <c r="AH163" s="176">
        <f t="shared" si="66"/>
        <v>6</v>
      </c>
      <c r="AI163" s="225">
        <f t="shared" si="67"/>
        <v>0.22704764287324486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6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6">
        <f t="shared" si="50"/>
        <v>0</v>
      </c>
      <c r="M164" s="854"/>
      <c r="N164" s="854"/>
      <c r="O164" s="324">
        <f t="shared" si="51"/>
        <v>0</v>
      </c>
      <c r="P164" s="169">
        <f>(INDEX(Models!$BJ164:$BT164,,T164)*(1-R164)+INDEX(Models!$BJ164:$BT164,,T164+1)*R164-ERP_i)*Q164*Ramure*Pc/MaxiM</f>
        <v>8.3693829696806219E-4</v>
      </c>
      <c r="Q164" s="305">
        <f t="shared" si="52"/>
        <v>0.8</v>
      </c>
      <c r="R164" s="177">
        <f t="shared" si="53"/>
        <v>0.23289011760134992</v>
      </c>
      <c r="S164" s="809">
        <f t="shared" si="71"/>
        <v>0</v>
      </c>
      <c r="T164" s="176">
        <f t="shared" si="54"/>
        <v>6</v>
      </c>
      <c r="U164" s="251">
        <f t="shared" si="55"/>
        <v>0.23289011760134992</v>
      </c>
      <c r="V164" s="383">
        <f t="shared" si="56"/>
        <v>62.288163176506934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5">
        <f t="shared" si="62"/>
        <v>0</v>
      </c>
      <c r="AD164" s="169">
        <f>(INDEX(Models!$BJ164:$BT164,,AH164)*(1-AF164)+INDEX(Models!$BJ164:$BT164,,AH164+1)*AF164-ERP_i)*AE164*Ramure*Pc/MaxiM</f>
        <v>8.3693829696806219E-4</v>
      </c>
      <c r="AE164" s="305">
        <f t="shared" si="63"/>
        <v>0.8</v>
      </c>
      <c r="AF164" s="177">
        <f t="shared" si="64"/>
        <v>0.23289011760134992</v>
      </c>
      <c r="AG164" s="809">
        <f t="shared" si="65"/>
        <v>0</v>
      </c>
      <c r="AH164" s="176">
        <f t="shared" si="66"/>
        <v>6</v>
      </c>
      <c r="AI164" s="225">
        <f t="shared" si="67"/>
        <v>0.23289011760134992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6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6">
        <f t="shared" si="50"/>
        <v>0</v>
      </c>
      <c r="M165" s="854"/>
      <c r="N165" s="854"/>
      <c r="O165" s="324">
        <f t="shared" si="51"/>
        <v>0</v>
      </c>
      <c r="P165" s="169">
        <f>(INDEX(Models!$BJ165:$BT165,,T165)*(1-R165)+INDEX(Models!$BJ165:$BT165,,T165+1)*R165-ERP_i)*Q165*Ramure*Pc/MaxiM</f>
        <v>8.6985908246288044E-4</v>
      </c>
      <c r="Q165" s="305">
        <f t="shared" si="52"/>
        <v>0.8</v>
      </c>
      <c r="R165" s="177">
        <f t="shared" si="53"/>
        <v>0.23878619346090191</v>
      </c>
      <c r="S165" s="809">
        <f t="shared" si="71"/>
        <v>0</v>
      </c>
      <c r="T165" s="176">
        <f t="shared" si="54"/>
        <v>6</v>
      </c>
      <c r="U165" s="251">
        <f t="shared" si="55"/>
        <v>0.23878619346090191</v>
      </c>
      <c r="V165" s="383">
        <f t="shared" si="56"/>
        <v>62.306587081041506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5">
        <f t="shared" si="62"/>
        <v>0</v>
      </c>
      <c r="AD165" s="169">
        <f>(INDEX(Models!$BJ165:$BT165,,AH165)*(1-AF165)+INDEX(Models!$BJ165:$BT165,,AH165+1)*AF165-ERP_i)*AE165*Ramure*Pc/MaxiM</f>
        <v>8.6985908246288044E-4</v>
      </c>
      <c r="AE165" s="305">
        <f t="shared" si="63"/>
        <v>0.8</v>
      </c>
      <c r="AF165" s="177">
        <f t="shared" si="64"/>
        <v>0.23878619346090191</v>
      </c>
      <c r="AG165" s="809">
        <f t="shared" si="65"/>
        <v>0</v>
      </c>
      <c r="AH165" s="176">
        <f t="shared" si="66"/>
        <v>6</v>
      </c>
      <c r="AI165" s="225">
        <f t="shared" si="67"/>
        <v>0.23878619346090191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6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6">
        <f t="shared" si="50"/>
        <v>0</v>
      </c>
      <c r="M166" s="854"/>
      <c r="N166" s="854"/>
      <c r="O166" s="324">
        <f t="shared" si="51"/>
        <v>0</v>
      </c>
      <c r="P166" s="169">
        <f>(INDEX(Models!$BJ166:$BT166,,T166)*(1-R166)+INDEX(Models!$BJ166:$BT166,,T166+1)*R166-ERP_i)*Q166*Ramure*Pc/MaxiM</f>
        <v>9.031318141424936E-4</v>
      </c>
      <c r="Q166" s="305">
        <f t="shared" si="52"/>
        <v>0.8</v>
      </c>
      <c r="R166" s="177">
        <f t="shared" si="53"/>
        <v>0.24473156715340072</v>
      </c>
      <c r="S166" s="809">
        <f t="shared" si="71"/>
        <v>0</v>
      </c>
      <c r="T166" s="176">
        <f t="shared" si="54"/>
        <v>6</v>
      </c>
      <c r="U166" s="251">
        <f t="shared" si="55"/>
        <v>0.24473156715340072</v>
      </c>
      <c r="V166" s="383">
        <f t="shared" si="56"/>
        <v>62.319253795923707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5">
        <f t="shared" si="62"/>
        <v>0</v>
      </c>
      <c r="AD166" s="169">
        <f>(INDEX(Models!$BJ166:$BT166,,AH166)*(1-AF166)+INDEX(Models!$BJ166:$BT166,,AH166+1)*AF166-ERP_i)*AE166*Ramure*Pc/MaxiM</f>
        <v>9.031318141424936E-4</v>
      </c>
      <c r="AE166" s="305">
        <f t="shared" si="63"/>
        <v>0.8</v>
      </c>
      <c r="AF166" s="177">
        <f t="shared" si="64"/>
        <v>0.24473156715340072</v>
      </c>
      <c r="AG166" s="809">
        <f t="shared" si="65"/>
        <v>0</v>
      </c>
      <c r="AH166" s="176">
        <f t="shared" si="66"/>
        <v>6</v>
      </c>
      <c r="AI166" s="225">
        <f t="shared" si="67"/>
        <v>0.24473156715340072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6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6">
        <f t="shared" si="50"/>
        <v>0</v>
      </c>
      <c r="M167" s="854"/>
      <c r="N167" s="854"/>
      <c r="O167" s="324">
        <f t="shared" si="51"/>
        <v>0</v>
      </c>
      <c r="P167" s="169">
        <f>(INDEX(Models!$BJ167:$BT167,,T167)*(1-R167)+INDEX(Models!$BJ167:$BT167,,T167+1)*R167-ERP_i)*Q167*Ramure*Pc/MaxiM</f>
        <v>9.3669862384347473E-4</v>
      </c>
      <c r="Q167" s="305">
        <f t="shared" si="52"/>
        <v>0.8</v>
      </c>
      <c r="R167" s="177">
        <f t="shared" si="53"/>
        <v>0.25072177925069578</v>
      </c>
      <c r="S167" s="809">
        <f t="shared" si="71"/>
        <v>0</v>
      </c>
      <c r="T167" s="176">
        <f t="shared" si="54"/>
        <v>6</v>
      </c>
      <c r="U167" s="251">
        <f t="shared" si="55"/>
        <v>0.25072177925069578</v>
      </c>
      <c r="V167" s="383">
        <f t="shared" si="56"/>
        <v>62.326500413493633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5">
        <f t="shared" si="62"/>
        <v>0</v>
      </c>
      <c r="AD167" s="169">
        <f>(INDEX(Models!$BJ167:$BT167,,AH167)*(1-AF167)+INDEX(Models!$BJ167:$BT167,,AH167+1)*AF167-ERP_i)*AE167*Ramure*Pc/MaxiM</f>
        <v>9.3669862384347473E-4</v>
      </c>
      <c r="AE167" s="305">
        <f t="shared" si="63"/>
        <v>0.8</v>
      </c>
      <c r="AF167" s="177">
        <f t="shared" si="64"/>
        <v>0.25072177925069578</v>
      </c>
      <c r="AG167" s="809">
        <f t="shared" si="65"/>
        <v>0</v>
      </c>
      <c r="AH167" s="176">
        <f t="shared" si="66"/>
        <v>6</v>
      </c>
      <c r="AI167" s="225">
        <f t="shared" si="67"/>
        <v>0.25072177925069578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6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6">
        <f t="shared" si="50"/>
        <v>0</v>
      </c>
      <c r="M168" s="854"/>
      <c r="N168" s="854"/>
      <c r="O168" s="324">
        <f t="shared" si="51"/>
        <v>0</v>
      </c>
      <c r="P168" s="169">
        <f>(INDEX(Models!$BJ168:$BT168,,T168)*(1-R168)+INDEX(Models!$BJ168:$BT168,,T168+1)*R168-ERP_i)*Q168*Ramure*Pc/MaxiM</f>
        <v>9.7049780401367006E-4</v>
      </c>
      <c r="Q168" s="305">
        <f t="shared" si="52"/>
        <v>0.8</v>
      </c>
      <c r="R168" s="177">
        <f t="shared" si="53"/>
        <v>0.25675222658942209</v>
      </c>
      <c r="S168" s="809">
        <f t="shared" si="71"/>
        <v>0</v>
      </c>
      <c r="T168" s="176">
        <f t="shared" si="54"/>
        <v>6</v>
      </c>
      <c r="U168" s="251">
        <f t="shared" si="55"/>
        <v>0.25675222658942209</v>
      </c>
      <c r="V168" s="383">
        <f t="shared" si="56"/>
        <v>62.328664234723689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5">
        <f t="shared" si="62"/>
        <v>0</v>
      </c>
      <c r="AD168" s="169">
        <f>(INDEX(Models!$BJ168:$BT168,,AH168)*(1-AF168)+INDEX(Models!$BJ168:$BT168,,AH168+1)*AF168-ERP_i)*AE168*Ramure*Pc/MaxiM</f>
        <v>9.7049780401367006E-4</v>
      </c>
      <c r="AE168" s="305">
        <f t="shared" si="63"/>
        <v>0.8</v>
      </c>
      <c r="AF168" s="177">
        <f t="shared" si="64"/>
        <v>0.25675222658942209</v>
      </c>
      <c r="AG168" s="809">
        <f t="shared" si="65"/>
        <v>0</v>
      </c>
      <c r="AH168" s="176">
        <f t="shared" si="66"/>
        <v>6</v>
      </c>
      <c r="AI168" s="225">
        <f t="shared" si="67"/>
        <v>0.25675222658942209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6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6">
        <f t="shared" si="50"/>
        <v>0</v>
      </c>
      <c r="M169" s="854"/>
      <c r="N169" s="854"/>
      <c r="O169" s="324">
        <f t="shared" si="51"/>
        <v>0</v>
      </c>
      <c r="P169" s="169">
        <f>(INDEX(Models!$BJ169:$BT169,,T169)*(1-R169)+INDEX(Models!$BJ169:$BT169,,T169+1)*R169-ERP_i)*Q169*Ramure*Pc/MaxiM</f>
        <v>1.0044639280155148E-3</v>
      </c>
      <c r="Q169" s="305">
        <f t="shared" si="52"/>
        <v>0.8</v>
      </c>
      <c r="R169" s="177">
        <f t="shared" si="53"/>
        <v>0.26281817562501386</v>
      </c>
      <c r="S169" s="809">
        <f t="shared" si="71"/>
        <v>0</v>
      </c>
      <c r="T169" s="176">
        <f t="shared" si="54"/>
        <v>6</v>
      </c>
      <c r="U169" s="251">
        <f t="shared" si="55"/>
        <v>0.26281817562501386</v>
      </c>
      <c r="V169" s="383">
        <f t="shared" si="56"/>
        <v>62.326082751780902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5">
        <f t="shared" si="62"/>
        <v>0</v>
      </c>
      <c r="AD169" s="169">
        <f>(INDEX(Models!$BJ169:$BT169,,AH169)*(1-AF169)+INDEX(Models!$BJ169:$BT169,,AH169+1)*AF169-ERP_i)*AE169*Ramure*Pc/MaxiM</f>
        <v>1.0044639280155148E-3</v>
      </c>
      <c r="AE169" s="305">
        <f t="shared" si="63"/>
        <v>0.8</v>
      </c>
      <c r="AF169" s="177">
        <f t="shared" si="64"/>
        <v>0.26281817562501386</v>
      </c>
      <c r="AG169" s="809">
        <f t="shared" si="65"/>
        <v>0</v>
      </c>
      <c r="AH169" s="176">
        <f t="shared" si="66"/>
        <v>6</v>
      </c>
      <c r="AI169" s="225">
        <f t="shared" si="67"/>
        <v>0.26281817562501386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6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6">
        <f t="shared" si="50"/>
        <v>0</v>
      </c>
      <c r="M170" s="854"/>
      <c r="N170" s="854"/>
      <c r="O170" s="324">
        <f t="shared" si="51"/>
        <v>0</v>
      </c>
      <c r="P170" s="169">
        <f>(INDEX(Models!$BJ170:$BT170,,T170)*(1-R170)+INDEX(Models!$BJ170:$BT170,,T170+1)*R170-ERP_i)*Q170*Ramure*Pc/MaxiM</f>
        <v>1.0384299143755815E-3</v>
      </c>
      <c r="Q170" s="305">
        <f t="shared" si="52"/>
        <v>0.8</v>
      </c>
      <c r="R170" s="177">
        <f t="shared" si="53"/>
        <v>0.26891477666934016</v>
      </c>
      <c r="S170" s="809">
        <f t="shared" si="71"/>
        <v>0</v>
      </c>
      <c r="T170" s="176">
        <f t="shared" si="54"/>
        <v>6</v>
      </c>
      <c r="U170" s="251">
        <f t="shared" si="55"/>
        <v>0.26891477666934016</v>
      </c>
      <c r="V170" s="383">
        <f t="shared" si="56"/>
        <v>62.319099762303402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5">
        <f t="shared" si="62"/>
        <v>0</v>
      </c>
      <c r="AD170" s="169">
        <f>(INDEX(Models!$BJ170:$BT170,,AH170)*(1-AF170)+INDEX(Models!$BJ170:$BT170,,AH170+1)*AF170-ERP_i)*AE170*Ramure*Pc/MaxiM</f>
        <v>1.0384299143755815E-3</v>
      </c>
      <c r="AE170" s="305">
        <f t="shared" si="63"/>
        <v>0.8</v>
      </c>
      <c r="AF170" s="177">
        <f t="shared" si="64"/>
        <v>0.26891477666934016</v>
      </c>
      <c r="AG170" s="809">
        <f t="shared" si="65"/>
        <v>0</v>
      </c>
      <c r="AH170" s="176">
        <f t="shared" si="66"/>
        <v>6</v>
      </c>
      <c r="AI170" s="225">
        <f t="shared" si="67"/>
        <v>0.26891477666934016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6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6">
        <f t="shared" si="50"/>
        <v>0</v>
      </c>
      <c r="M171" s="854"/>
      <c r="N171" s="854"/>
      <c r="O171" s="324">
        <f t="shared" si="51"/>
        <v>0</v>
      </c>
      <c r="P171" s="169">
        <f>(INDEX(Models!$BJ171:$BT171,,T171)*(1-R171)+INDEX(Models!$BJ171:$BT171,,T171+1)*R171-ERP_i)*Q171*Ramure*Pc/MaxiM</f>
        <v>1.0726661247186921E-3</v>
      </c>
      <c r="Q171" s="305">
        <f t="shared" si="52"/>
        <v>0.8</v>
      </c>
      <c r="R171" s="177">
        <f t="shared" si="53"/>
        <v>0.27503707892590812</v>
      </c>
      <c r="S171" s="809">
        <f t="shared" si="71"/>
        <v>0</v>
      </c>
      <c r="T171" s="176">
        <f t="shared" si="54"/>
        <v>6</v>
      </c>
      <c r="U171" s="251">
        <f t="shared" si="55"/>
        <v>0.27503707892590812</v>
      </c>
      <c r="V171" s="383">
        <f t="shared" si="56"/>
        <v>62.308031728835608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5">
        <f t="shared" si="62"/>
        <v>0</v>
      </c>
      <c r="AD171" s="169">
        <f>(INDEX(Models!$BJ171:$BT171,,AH171)*(1-AF171)+INDEX(Models!$BJ171:$BT171,,AH171+1)*AF171-ERP_i)*AE171*Ramure*Pc/MaxiM</f>
        <v>1.0726661247186921E-3</v>
      </c>
      <c r="AE171" s="305">
        <f t="shared" si="63"/>
        <v>0.8</v>
      </c>
      <c r="AF171" s="177">
        <f t="shared" si="64"/>
        <v>0.27503707892590812</v>
      </c>
      <c r="AG171" s="809">
        <f t="shared" si="65"/>
        <v>0</v>
      </c>
      <c r="AH171" s="176">
        <f t="shared" si="66"/>
        <v>6</v>
      </c>
      <c r="AI171" s="225">
        <f t="shared" si="67"/>
        <v>0.27503707892590812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6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6">
        <f t="shared" si="50"/>
        <v>0</v>
      </c>
      <c r="M172" s="854"/>
      <c r="N172" s="854"/>
      <c r="O172" s="324">
        <f t="shared" si="51"/>
        <v>0</v>
      </c>
      <c r="P172" s="169">
        <f>(INDEX(Models!$BJ172:$BT172,,T172)*(1-R172)+INDEX(Models!$BJ172:$BT172,,T172+1)*R172-ERP_i)*Q172*Ramure*Pc/MaxiM</f>
        <v>1.107117830759364E-3</v>
      </c>
      <c r="Q172" s="305">
        <f t="shared" si="52"/>
        <v>0.8</v>
      </c>
      <c r="R172" s="177">
        <f t="shared" si="53"/>
        <v>0.28118004622729931</v>
      </c>
      <c r="S172" s="809">
        <f t="shared" si="71"/>
        <v>0</v>
      </c>
      <c r="T172" s="176">
        <f t="shared" si="54"/>
        <v>6</v>
      </c>
      <c r="U172" s="251">
        <f t="shared" si="55"/>
        <v>0.28118004622729931</v>
      </c>
      <c r="V172" s="383">
        <f t="shared" si="56"/>
        <v>62.293215359207721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5">
        <f t="shared" si="62"/>
        <v>0</v>
      </c>
      <c r="AD172" s="169">
        <f>(INDEX(Models!$BJ172:$BT172,,AH172)*(1-AF172)+INDEX(Models!$BJ172:$BT172,,AH172+1)*AF172-ERP_i)*AE172*Ramure*Pc/MaxiM</f>
        <v>1.107117830759364E-3</v>
      </c>
      <c r="AE172" s="305">
        <f t="shared" si="63"/>
        <v>0.8</v>
      </c>
      <c r="AF172" s="177">
        <f t="shared" si="64"/>
        <v>0.28118004622729931</v>
      </c>
      <c r="AG172" s="809">
        <f t="shared" si="65"/>
        <v>0</v>
      </c>
      <c r="AH172" s="176">
        <f t="shared" si="66"/>
        <v>6</v>
      </c>
      <c r="AI172" s="225">
        <f t="shared" si="67"/>
        <v>0.28118004622729931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6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6">
        <f t="shared" si="50"/>
        <v>0</v>
      </c>
      <c r="M173" s="854"/>
      <c r="N173" s="854"/>
      <c r="O173" s="324">
        <f t="shared" si="51"/>
        <v>0</v>
      </c>
      <c r="P173" s="169">
        <f>(INDEX(Models!$BJ173:$BT173,,T173)*(1-R173)+INDEX(Models!$BJ173:$BT173,,T173+1)*R173-ERP_i)*Q173*Ramure*Pc/MaxiM</f>
        <v>1.1417277298610342E-3</v>
      </c>
      <c r="Q173" s="305">
        <f t="shared" si="52"/>
        <v>0.8</v>
      </c>
      <c r="R173" s="177">
        <f t="shared" si="53"/>
        <v>0.2873385733712191</v>
      </c>
      <c r="S173" s="809">
        <f t="shared" si="71"/>
        <v>0</v>
      </c>
      <c r="T173" s="176">
        <f t="shared" si="54"/>
        <v>6</v>
      </c>
      <c r="U173" s="251">
        <f t="shared" si="55"/>
        <v>0.2873385733712191</v>
      </c>
      <c r="V173" s="383">
        <f t="shared" si="56"/>
        <v>62.274987475128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5">
        <f t="shared" si="62"/>
        <v>0</v>
      </c>
      <c r="AD173" s="169">
        <f>(INDEX(Models!$BJ173:$BT173,,AH173)*(1-AF173)+INDEX(Models!$BJ173:$BT173,,AH173+1)*AF173-ERP_i)*AE173*Ramure*Pc/MaxiM</f>
        <v>1.1417277298610342E-3</v>
      </c>
      <c r="AE173" s="305">
        <f t="shared" si="63"/>
        <v>0.8</v>
      </c>
      <c r="AF173" s="177">
        <f t="shared" si="64"/>
        <v>0.2873385733712191</v>
      </c>
      <c r="AG173" s="809">
        <f t="shared" si="65"/>
        <v>0</v>
      </c>
      <c r="AH173" s="176">
        <f t="shared" si="66"/>
        <v>6</v>
      </c>
      <c r="AI173" s="225">
        <f t="shared" si="67"/>
        <v>0.2873385733712191</v>
      </c>
      <c r="AJ173" s="265" t="b">
        <f t="shared" si="68"/>
        <v>1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6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6">
        <f t="shared" si="50"/>
        <v>0</v>
      </c>
      <c r="M174" s="854"/>
      <c r="N174" s="854"/>
      <c r="O174" s="324">
        <f t="shared" si="51"/>
        <v>0</v>
      </c>
      <c r="P174" s="169">
        <f>(INDEX(Models!$BJ174:$BT174,,T174)*(1-R174)+INDEX(Models!$BJ174:$BT174,,T174+1)*R174-ERP_i)*Q174*Ramure*Pc/MaxiM</f>
        <v>1.1764361245180357E-3</v>
      </c>
      <c r="Q174" s="305">
        <f t="shared" si="52"/>
        <v>0.8</v>
      </c>
      <c r="R174" s="177">
        <f t="shared" si="53"/>
        <v>0.29350750294438616</v>
      </c>
      <c r="S174" s="809">
        <f t="shared" si="71"/>
        <v>0</v>
      </c>
      <c r="T174" s="176">
        <f t="shared" si="54"/>
        <v>6</v>
      </c>
      <c r="U174" s="251">
        <f t="shared" si="55"/>
        <v>0.29350750294438616</v>
      </c>
      <c r="V174" s="383">
        <f t="shared" si="56"/>
        <v>62.253685003217527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5">
        <f t="shared" si="62"/>
        <v>0</v>
      </c>
      <c r="AD174" s="169">
        <f>(INDEX(Models!$BJ174:$BT174,,AH174)*(1-AF174)+INDEX(Models!$BJ174:$BT174,,AH174+1)*AF174-ERP_i)*AE174*Ramure*Pc/MaxiM</f>
        <v>1.1764361245180357E-3</v>
      </c>
      <c r="AE174" s="305">
        <f t="shared" si="63"/>
        <v>0.8</v>
      </c>
      <c r="AF174" s="177">
        <f t="shared" si="64"/>
        <v>0.29350750294438616</v>
      </c>
      <c r="AG174" s="809">
        <f t="shared" si="65"/>
        <v>0</v>
      </c>
      <c r="AH174" s="176">
        <f t="shared" si="66"/>
        <v>6</v>
      </c>
      <c r="AI174" s="225">
        <f t="shared" si="67"/>
        <v>0.29350750294438616</v>
      </c>
      <c r="AJ174" s="265" t="b">
        <f t="shared" si="68"/>
        <v>1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6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6">
        <f t="shared" si="50"/>
        <v>0</v>
      </c>
      <c r="M175" s="854"/>
      <c r="N175" s="854"/>
      <c r="O175" s="324">
        <f t="shared" si="51"/>
        <v>0</v>
      </c>
      <c r="P175" s="169">
        <f>(INDEX(Models!$BJ175:$BT175,,T175)*(1-R175)+INDEX(Models!$BJ175:$BT175,,T175+1)*R175-ERP_i)*Q175*Ramure*Pc/MaxiM</f>
        <v>1.2111811217016097E-3</v>
      </c>
      <c r="Q175" s="305">
        <f t="shared" si="52"/>
        <v>0.8</v>
      </c>
      <c r="R175" s="177">
        <f t="shared" si="53"/>
        <v>0.29968164251759999</v>
      </c>
      <c r="S175" s="809">
        <f t="shared" si="71"/>
        <v>0</v>
      </c>
      <c r="T175" s="176">
        <f t="shared" si="54"/>
        <v>6</v>
      </c>
      <c r="U175" s="251">
        <f t="shared" si="55"/>
        <v>0.29968164251759999</v>
      </c>
      <c r="V175" s="383">
        <f t="shared" si="56"/>
        <v>62.229644955733747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5">
        <f t="shared" si="62"/>
        <v>0</v>
      </c>
      <c r="AD175" s="169">
        <f>(INDEX(Models!$BJ175:$BT175,,AH175)*(1-AF175)+INDEX(Models!$BJ175:$BT175,,AH175+1)*AF175-ERP_i)*AE175*Ramure*Pc/MaxiM</f>
        <v>1.2111811217016097E-3</v>
      </c>
      <c r="AE175" s="305">
        <f t="shared" si="63"/>
        <v>0.8</v>
      </c>
      <c r="AF175" s="177">
        <f t="shared" si="64"/>
        <v>0.29968164251759999</v>
      </c>
      <c r="AG175" s="809">
        <f t="shared" si="65"/>
        <v>0</v>
      </c>
      <c r="AH175" s="176">
        <f t="shared" si="66"/>
        <v>6</v>
      </c>
      <c r="AI175" s="225">
        <f t="shared" si="67"/>
        <v>0.29968164251759999</v>
      </c>
      <c r="AJ175" s="265" t="b">
        <f t="shared" si="68"/>
        <v>1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6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6">
        <f t="shared" si="50"/>
        <v>0</v>
      </c>
      <c r="M176" s="854"/>
      <c r="N176" s="854"/>
      <c r="O176" s="324">
        <f t="shared" si="51"/>
        <v>0</v>
      </c>
      <c r="P176" s="169">
        <f>(INDEX(Models!$BJ176:$BT176,,T176)*(1-R176)+INDEX(Models!$BJ176:$BT176,,T176+1)*R176-ERP_i)*Q176*Ramure*Pc/MaxiM</f>
        <v>1.245898850306658E-3</v>
      </c>
      <c r="Q176" s="305">
        <f t="shared" si="52"/>
        <v>0.8</v>
      </c>
      <c r="R176" s="177">
        <f t="shared" si="53"/>
        <v>0.30585578209081382</v>
      </c>
      <c r="S176" s="809">
        <f t="shared" si="71"/>
        <v>0</v>
      </c>
      <c r="T176" s="176">
        <f t="shared" si="54"/>
        <v>6</v>
      </c>
      <c r="U176" s="251">
        <f t="shared" si="55"/>
        <v>0.30585578209081382</v>
      </c>
      <c r="V176" s="383">
        <f t="shared" si="56"/>
        <v>62.203204423461266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5">
        <f t="shared" si="62"/>
        <v>0</v>
      </c>
      <c r="AD176" s="169">
        <f>(INDEX(Models!$BJ176:$BT176,,AH176)*(1-AF176)+INDEX(Models!$BJ176:$BT176,,AH176+1)*AF176-ERP_i)*AE176*Ramure*Pc/MaxiM</f>
        <v>1.245898850306658E-3</v>
      </c>
      <c r="AE176" s="305">
        <f t="shared" si="63"/>
        <v>0.8</v>
      </c>
      <c r="AF176" s="177">
        <f t="shared" si="64"/>
        <v>0.30585578209081382</v>
      </c>
      <c r="AG176" s="809">
        <f t="shared" si="65"/>
        <v>0</v>
      </c>
      <c r="AH176" s="176">
        <f t="shared" si="66"/>
        <v>6</v>
      </c>
      <c r="AI176" s="225">
        <f t="shared" si="67"/>
        <v>0.30585578209081382</v>
      </c>
      <c r="AJ176" s="265" t="b">
        <f t="shared" si="68"/>
        <v>1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6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6">
        <f t="shared" si="50"/>
        <v>0</v>
      </c>
      <c r="M177" s="854"/>
      <c r="N177" s="854"/>
      <c r="O177" s="324">
        <f t="shared" si="51"/>
        <v>0</v>
      </c>
      <c r="P177" s="169">
        <f>(INDEX(Models!$BJ177:$BT177,,T177)*(1-R177)+INDEX(Models!$BJ177:$BT177,,T177+1)*R177-ERP_i)*Q177*Ramure*Pc/MaxiM</f>
        <v>1.2805408320240737E-3</v>
      </c>
      <c r="Q177" s="305">
        <f t="shared" si="52"/>
        <v>0.8</v>
      </c>
      <c r="R177" s="177">
        <f t="shared" si="53"/>
        <v>0.31202471166398088</v>
      </c>
      <c r="S177" s="809">
        <f t="shared" si="71"/>
        <v>0</v>
      </c>
      <c r="T177" s="176">
        <f t="shared" si="54"/>
        <v>6</v>
      </c>
      <c r="U177" s="251">
        <f t="shared" si="55"/>
        <v>0.31202471166398088</v>
      </c>
      <c r="V177" s="383">
        <f t="shared" si="56"/>
        <v>62.173867457036877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5">
        <f t="shared" si="62"/>
        <v>0</v>
      </c>
      <c r="AD177" s="169">
        <f>(INDEX(Models!$BJ177:$BT177,,AH177)*(1-AF177)+INDEX(Models!$BJ177:$BT177,,AH177+1)*AF177-ERP_i)*AE177*Ramure*Pc/MaxiM</f>
        <v>1.2805408320240737E-3</v>
      </c>
      <c r="AE177" s="305">
        <f t="shared" si="63"/>
        <v>0.8</v>
      </c>
      <c r="AF177" s="177">
        <f t="shared" si="64"/>
        <v>0.31202471166398088</v>
      </c>
      <c r="AG177" s="809">
        <f t="shared" si="65"/>
        <v>0</v>
      </c>
      <c r="AH177" s="176">
        <f t="shared" si="66"/>
        <v>6</v>
      </c>
      <c r="AI177" s="225">
        <f t="shared" si="67"/>
        <v>0.31202471166398088</v>
      </c>
      <c r="AJ177" s="265" t="b">
        <f t="shared" si="68"/>
        <v>1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6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6">
        <f t="shared" si="50"/>
        <v>0</v>
      </c>
      <c r="M178" s="854"/>
      <c r="N178" s="854"/>
      <c r="O178" s="324">
        <f t="shared" si="51"/>
        <v>0</v>
      </c>
      <c r="P178" s="169">
        <f>(INDEX(Models!$BJ178:$BT178,,T178)*(1-R178)+INDEX(Models!$BJ178:$BT178,,T178+1)*R178-ERP_i)*Q178*Ramure*Pc/MaxiM</f>
        <v>1.3149188785324972E-3</v>
      </c>
      <c r="Q178" s="305">
        <f t="shared" si="52"/>
        <v>0.8</v>
      </c>
      <c r="R178" s="177">
        <f t="shared" si="53"/>
        <v>0.31818323880790073</v>
      </c>
      <c r="S178" s="809">
        <f t="shared" si="71"/>
        <v>0</v>
      </c>
      <c r="T178" s="176">
        <f t="shared" si="54"/>
        <v>6</v>
      </c>
      <c r="U178" s="251">
        <f t="shared" si="55"/>
        <v>0.31818323880790073</v>
      </c>
      <c r="V178" s="383">
        <f t="shared" si="56"/>
        <v>62.140924999164042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5">
        <f t="shared" si="62"/>
        <v>0</v>
      </c>
      <c r="AD178" s="169">
        <f>(INDEX(Models!$BJ178:$BT178,,AH178)*(1-AF178)+INDEX(Models!$BJ178:$BT178,,AH178+1)*AF178-ERP_i)*AE178*Ramure*Pc/MaxiM</f>
        <v>1.3149188785324972E-3</v>
      </c>
      <c r="AE178" s="305">
        <f t="shared" si="63"/>
        <v>0.8</v>
      </c>
      <c r="AF178" s="177">
        <f t="shared" si="64"/>
        <v>0.31818323880790073</v>
      </c>
      <c r="AG178" s="809">
        <f t="shared" si="65"/>
        <v>0</v>
      </c>
      <c r="AH178" s="176">
        <f t="shared" si="66"/>
        <v>6</v>
      </c>
      <c r="AI178" s="225">
        <f t="shared" si="67"/>
        <v>0.31818323880790073</v>
      </c>
      <c r="AJ178" s="265" t="b">
        <f t="shared" si="68"/>
        <v>1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6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6">
        <f t="shared" si="50"/>
        <v>0</v>
      </c>
      <c r="M179" s="854"/>
      <c r="N179" s="854"/>
      <c r="O179" s="324">
        <f t="shared" si="51"/>
        <v>0</v>
      </c>
      <c r="P179" s="169">
        <f>(INDEX(Models!$BJ179:$BT179,,T179)*(1-R179)+INDEX(Models!$BJ179:$BT179,,T179+1)*R179-ERP_i)*Q179*Ramure*Pc/MaxiM</f>
        <v>1.3492510322706637E-3</v>
      </c>
      <c r="Q179" s="305">
        <f t="shared" si="52"/>
        <v>0.8</v>
      </c>
      <c r="R179" s="177">
        <f t="shared" si="53"/>
        <v>0.32432620610929186</v>
      </c>
      <c r="S179" s="809">
        <f t="shared" si="71"/>
        <v>0</v>
      </c>
      <c r="T179" s="176">
        <f t="shared" si="54"/>
        <v>6</v>
      </c>
      <c r="U179" s="251">
        <f t="shared" si="55"/>
        <v>0.32432620610929186</v>
      </c>
      <c r="V179" s="383">
        <f t="shared" si="56"/>
        <v>62.104363840553084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5">
        <f t="shared" si="62"/>
        <v>0</v>
      </c>
      <c r="AD179" s="169">
        <f>(INDEX(Models!$BJ179:$BT179,,AH179)*(1-AF179)+INDEX(Models!$BJ179:$BT179,,AH179+1)*AF179-ERP_i)*AE179*Ramure*Pc/MaxiM</f>
        <v>1.3492510322706637E-3</v>
      </c>
      <c r="AE179" s="305">
        <f t="shared" si="63"/>
        <v>0.8</v>
      </c>
      <c r="AF179" s="177">
        <f t="shared" si="64"/>
        <v>0.32432620610929186</v>
      </c>
      <c r="AG179" s="809">
        <f t="shared" si="65"/>
        <v>0</v>
      </c>
      <c r="AH179" s="176">
        <f t="shared" si="66"/>
        <v>6</v>
      </c>
      <c r="AI179" s="225">
        <f t="shared" si="67"/>
        <v>0.32432620610929186</v>
      </c>
      <c r="AJ179" s="265" t="b">
        <f t="shared" si="68"/>
        <v>1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6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6">
        <f t="shared" si="50"/>
        <v>0</v>
      </c>
      <c r="M180" s="854"/>
      <c r="N180" s="854"/>
      <c r="O180" s="324">
        <f t="shared" si="51"/>
        <v>0</v>
      </c>
      <c r="P180" s="169">
        <f>(INDEX(Models!$BJ180:$BT180,,T180)*(1-R180)+INDEX(Models!$BJ180:$BT180,,T180+1)*R180-ERP_i)*Q180*Ramure*Pc/MaxiM</f>
        <v>1.3834888972877172E-3</v>
      </c>
      <c r="Q180" s="305">
        <f t="shared" si="52"/>
        <v>0.8</v>
      </c>
      <c r="R180" s="177">
        <f t="shared" si="53"/>
        <v>0.33044850836585987</v>
      </c>
      <c r="S180" s="809">
        <f t="shared" si="71"/>
        <v>0</v>
      </c>
      <c r="T180" s="176">
        <f t="shared" si="54"/>
        <v>6</v>
      </c>
      <c r="U180" s="251">
        <f t="shared" si="55"/>
        <v>0.33044850836585987</v>
      </c>
      <c r="V180" s="383">
        <f t="shared" si="56"/>
        <v>62.064187356569818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5">
        <f t="shared" si="62"/>
        <v>0</v>
      </c>
      <c r="AD180" s="169">
        <f>(INDEX(Models!$BJ180:$BT180,,AH180)*(1-AF180)+INDEX(Models!$BJ180:$BT180,,AH180+1)*AF180-ERP_i)*AE180*Ramure*Pc/MaxiM</f>
        <v>1.3834888972877172E-3</v>
      </c>
      <c r="AE180" s="305">
        <f t="shared" si="63"/>
        <v>0.8</v>
      </c>
      <c r="AF180" s="177">
        <f t="shared" si="64"/>
        <v>0.33044850836585987</v>
      </c>
      <c r="AG180" s="809">
        <f t="shared" si="65"/>
        <v>0</v>
      </c>
      <c r="AH180" s="176">
        <f t="shared" si="66"/>
        <v>6</v>
      </c>
      <c r="AI180" s="225">
        <f t="shared" si="67"/>
        <v>0.33044850836585987</v>
      </c>
      <c r="AJ180" s="265" t="b">
        <f t="shared" si="68"/>
        <v>1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6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6">
        <f t="shared" si="50"/>
        <v>0</v>
      </c>
      <c r="M181" s="854"/>
      <c r="N181" s="854"/>
      <c r="O181" s="324">
        <f t="shared" si="51"/>
        <v>0</v>
      </c>
      <c r="P181" s="169">
        <f>(INDEX(Models!$BJ181:$BT181,,T181)*(1-R181)+INDEX(Models!$BJ181:$BT181,,T181+1)*R181-ERP_i)*Q181*Ramure*Pc/MaxiM</f>
        <v>1.4175841124328577E-3</v>
      </c>
      <c r="Q181" s="305">
        <f t="shared" si="52"/>
        <v>0.8</v>
      </c>
      <c r="R181" s="177">
        <f t="shared" si="53"/>
        <v>0.33654510941018617</v>
      </c>
      <c r="S181" s="809">
        <f t="shared" si="71"/>
        <v>0</v>
      </c>
      <c r="T181" s="176">
        <f t="shared" si="54"/>
        <v>6</v>
      </c>
      <c r="U181" s="251">
        <f t="shared" si="55"/>
        <v>0.33654510941018617</v>
      </c>
      <c r="V181" s="383">
        <f t="shared" si="56"/>
        <v>62.020398915752551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5">
        <f t="shared" si="62"/>
        <v>0</v>
      </c>
      <c r="AD181" s="169">
        <f>(INDEX(Models!$BJ181:$BT181,,AH181)*(1-AF181)+INDEX(Models!$BJ181:$BT181,,AH181+1)*AF181-ERP_i)*AE181*Ramure*Pc/MaxiM</f>
        <v>1.4175841124328577E-3</v>
      </c>
      <c r="AE181" s="305">
        <f t="shared" si="63"/>
        <v>0.8</v>
      </c>
      <c r="AF181" s="177">
        <f t="shared" si="64"/>
        <v>0.33654510941018617</v>
      </c>
      <c r="AG181" s="809">
        <f t="shared" si="65"/>
        <v>0</v>
      </c>
      <c r="AH181" s="176">
        <f t="shared" si="66"/>
        <v>6</v>
      </c>
      <c r="AI181" s="225">
        <f t="shared" si="67"/>
        <v>0.33654510941018617</v>
      </c>
      <c r="AJ181" s="265" t="b">
        <f t="shared" si="68"/>
        <v>1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6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6">
        <f t="shared" si="50"/>
        <v>0</v>
      </c>
      <c r="M182" s="854"/>
      <c r="N182" s="854"/>
      <c r="O182" s="324">
        <f t="shared" si="51"/>
        <v>0</v>
      </c>
      <c r="P182" s="169">
        <f>(INDEX(Models!$BJ182:$BT182,,T182)*(1-R182)+INDEX(Models!$BJ182:$BT182,,T182+1)*R182-ERP_i)*Q182*Ramure*Pc/MaxiM</f>
        <v>1.4514885700078312E-3</v>
      </c>
      <c r="Q182" s="305">
        <f t="shared" si="52"/>
        <v>0.8</v>
      </c>
      <c r="R182" s="177">
        <f t="shared" si="53"/>
        <v>0.34261105844577794</v>
      </c>
      <c r="S182" s="809">
        <f t="shared" si="71"/>
        <v>0</v>
      </c>
      <c r="T182" s="176">
        <f t="shared" si="54"/>
        <v>6</v>
      </c>
      <c r="U182" s="251">
        <f t="shared" si="55"/>
        <v>0.34261105844577794</v>
      </c>
      <c r="V182" s="383">
        <f t="shared" si="56"/>
        <v>61.973001855618421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5">
        <f t="shared" si="62"/>
        <v>0</v>
      </c>
      <c r="AD182" s="169">
        <f>(INDEX(Models!$BJ182:$BT182,,AH182)*(1-AF182)+INDEX(Models!$BJ182:$BT182,,AH182+1)*AF182-ERP_i)*AE182*Ramure*Pc/MaxiM</f>
        <v>1.4514885700078312E-3</v>
      </c>
      <c r="AE182" s="305">
        <f t="shared" si="63"/>
        <v>0.8</v>
      </c>
      <c r="AF182" s="177">
        <f t="shared" si="64"/>
        <v>0.34261105844577794</v>
      </c>
      <c r="AG182" s="809">
        <f t="shared" si="65"/>
        <v>0</v>
      </c>
      <c r="AH182" s="176">
        <f t="shared" si="66"/>
        <v>6</v>
      </c>
      <c r="AI182" s="225">
        <f t="shared" si="67"/>
        <v>0.34261105844577794</v>
      </c>
      <c r="AJ182" s="265" t="b">
        <f t="shared" si="68"/>
        <v>1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6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6">
        <f t="shared" si="50"/>
        <v>0</v>
      </c>
      <c r="M183" s="854"/>
      <c r="N183" s="854"/>
      <c r="O183" s="324">
        <f t="shared" si="51"/>
        <v>0</v>
      </c>
      <c r="P183" s="169">
        <f>(INDEX(Models!$BJ183:$BT183,,T183)*(1-R183)+INDEX(Models!$BJ183:$BT183,,T183+1)*R183-ERP_i)*Q183*Ramure*Pc/MaxiM</f>
        <v>1.4851546315388022E-3</v>
      </c>
      <c r="Q183" s="305">
        <f t="shared" si="52"/>
        <v>0.8</v>
      </c>
      <c r="R183" s="177">
        <f t="shared" si="53"/>
        <v>0.34864150578450426</v>
      </c>
      <c r="S183" s="809">
        <f t="shared" si="71"/>
        <v>0</v>
      </c>
      <c r="T183" s="176">
        <f t="shared" si="54"/>
        <v>6</v>
      </c>
      <c r="U183" s="251">
        <f t="shared" si="55"/>
        <v>0.34864150578450426</v>
      </c>
      <c r="V183" s="383">
        <f t="shared" si="56"/>
        <v>61.921999473542087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5">
        <f t="shared" si="62"/>
        <v>0</v>
      </c>
      <c r="AD183" s="169">
        <f>(INDEX(Models!$BJ183:$BT183,,AH183)*(1-AF183)+INDEX(Models!$BJ183:$BT183,,AH183+1)*AF183-ERP_i)*AE183*Ramure*Pc/MaxiM</f>
        <v>1.4851546315388022E-3</v>
      </c>
      <c r="AE183" s="305">
        <f t="shared" si="63"/>
        <v>0.8</v>
      </c>
      <c r="AF183" s="177">
        <f t="shared" si="64"/>
        <v>0.34864150578450426</v>
      </c>
      <c r="AG183" s="809">
        <f t="shared" si="65"/>
        <v>0</v>
      </c>
      <c r="AH183" s="176">
        <f t="shared" si="66"/>
        <v>6</v>
      </c>
      <c r="AI183" s="225">
        <f t="shared" si="67"/>
        <v>0.34864150578450426</v>
      </c>
      <c r="AJ183" s="265" t="b">
        <f t="shared" si="68"/>
        <v>1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6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6">
        <f t="shared" si="50"/>
        <v>0</v>
      </c>
      <c r="M184" s="854"/>
      <c r="N184" s="854"/>
      <c r="O184" s="324">
        <f t="shared" si="51"/>
        <v>0</v>
      </c>
      <c r="P184" s="169">
        <f>(INDEX(Models!$BJ184:$BT184,,T184)*(1-R184)+INDEX(Models!$BJ184:$BT184,,T184+1)*R184-ERP_i)*Q184*Ramure*Pc/MaxiM</f>
        <v>1.5183695067601405E-3</v>
      </c>
      <c r="Q184" s="305">
        <f t="shared" si="52"/>
        <v>0.8</v>
      </c>
      <c r="R184" s="177">
        <f t="shared" si="53"/>
        <v>0.35463171788179926</v>
      </c>
      <c r="S184" s="809">
        <f t="shared" si="71"/>
        <v>0</v>
      </c>
      <c r="T184" s="176">
        <f t="shared" si="54"/>
        <v>6</v>
      </c>
      <c r="U184" s="251">
        <f t="shared" si="55"/>
        <v>0.35463171788179926</v>
      </c>
      <c r="V184" s="383">
        <f t="shared" si="56"/>
        <v>61.867405283962988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5">
        <f t="shared" si="62"/>
        <v>0</v>
      </c>
      <c r="AD184" s="169">
        <f>(INDEX(Models!$BJ184:$BT184,,AH184)*(1-AF184)+INDEX(Models!$BJ184:$BT184,,AH184+1)*AF184-ERP_i)*AE184*Ramure*Pc/MaxiM</f>
        <v>1.5183695067601405E-3</v>
      </c>
      <c r="AE184" s="305">
        <f t="shared" si="63"/>
        <v>0.8</v>
      </c>
      <c r="AF184" s="177">
        <f t="shared" si="64"/>
        <v>0.35463171788179926</v>
      </c>
      <c r="AG184" s="809">
        <f t="shared" si="65"/>
        <v>0</v>
      </c>
      <c r="AH184" s="176">
        <f t="shared" si="66"/>
        <v>6</v>
      </c>
      <c r="AI184" s="225">
        <f t="shared" si="67"/>
        <v>0.35463171788179926</v>
      </c>
      <c r="AJ184" s="265" t="b">
        <f t="shared" si="68"/>
        <v>1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6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6">
        <f t="shared" si="50"/>
        <v>0</v>
      </c>
      <c r="M185" s="854"/>
      <c r="N185" s="854"/>
      <c r="O185" s="324">
        <f t="shared" si="51"/>
        <v>0</v>
      </c>
      <c r="P185" s="169">
        <f>(INDEX(Models!$BJ185:$BT185,,T185)*(1-R185)+INDEX(Models!$BJ185:$BT185,,T185+1)*R185-ERP_i)*Q185*Ramure*Pc/MaxiM</f>
        <v>1.5512181013304606E-3</v>
      </c>
      <c r="Q185" s="305">
        <f t="shared" si="52"/>
        <v>0.8</v>
      </c>
      <c r="R185" s="177">
        <f t="shared" si="53"/>
        <v>0.36057709157429801</v>
      </c>
      <c r="S185" s="809">
        <f t="shared" si="71"/>
        <v>0</v>
      </c>
      <c r="T185" s="176">
        <f t="shared" si="54"/>
        <v>6</v>
      </c>
      <c r="U185" s="251">
        <f t="shared" si="55"/>
        <v>0.36057709157429801</v>
      </c>
      <c r="V185" s="383">
        <f t="shared" si="56"/>
        <v>61.809214324315121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5">
        <f t="shared" si="62"/>
        <v>0</v>
      </c>
      <c r="AD185" s="169">
        <f>(INDEX(Models!$BJ185:$BT185,,AH185)*(1-AF185)+INDEX(Models!$BJ185:$BT185,,AH185+1)*AF185-ERP_i)*AE185*Ramure*Pc/MaxiM</f>
        <v>1.5512181013304606E-3</v>
      </c>
      <c r="AE185" s="305">
        <f t="shared" si="63"/>
        <v>0.8</v>
      </c>
      <c r="AF185" s="177">
        <f t="shared" si="64"/>
        <v>0.36057709157429801</v>
      </c>
      <c r="AG185" s="809">
        <f t="shared" si="65"/>
        <v>0</v>
      </c>
      <c r="AH185" s="176">
        <f t="shared" si="66"/>
        <v>6</v>
      </c>
      <c r="AI185" s="225">
        <f t="shared" si="67"/>
        <v>0.36057709157429801</v>
      </c>
      <c r="AJ185" s="265" t="b">
        <f t="shared" si="68"/>
        <v>1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6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6">
        <f t="shared" si="50"/>
        <v>0</v>
      </c>
      <c r="M186" s="854"/>
      <c r="N186" s="854"/>
      <c r="O186" s="324">
        <f t="shared" si="51"/>
        <v>0</v>
      </c>
      <c r="P186" s="169">
        <f>(INDEX(Models!$BJ186:$BT186,,T186)*(1-R186)+INDEX(Models!$BJ186:$BT186,,T186+1)*R186-ERP_i)*Q186*Ramure*Pc/MaxiM</f>
        <v>1.5836537371788036E-3</v>
      </c>
      <c r="Q186" s="305">
        <f t="shared" si="52"/>
        <v>0.8</v>
      </c>
      <c r="R186" s="177">
        <f t="shared" si="53"/>
        <v>0.36647316743385006</v>
      </c>
      <c r="S186" s="809">
        <f t="shared" si="71"/>
        <v>0</v>
      </c>
      <c r="T186" s="176">
        <f t="shared" si="54"/>
        <v>6</v>
      </c>
      <c r="U186" s="251">
        <f t="shared" si="55"/>
        <v>0.36647316743385006</v>
      </c>
      <c r="V186" s="383">
        <f t="shared" si="56"/>
        <v>61.7474297754991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5">
        <f t="shared" si="62"/>
        <v>0</v>
      </c>
      <c r="AD186" s="169">
        <f>(INDEX(Models!$BJ186:$BT186,,AH186)*(1-AF186)+INDEX(Models!$BJ186:$BT186,,AH186+1)*AF186-ERP_i)*AE186*Ramure*Pc/MaxiM</f>
        <v>1.5836537371788036E-3</v>
      </c>
      <c r="AE186" s="305">
        <f t="shared" si="63"/>
        <v>0.8</v>
      </c>
      <c r="AF186" s="177">
        <f t="shared" si="64"/>
        <v>0.36647316743385006</v>
      </c>
      <c r="AG186" s="809">
        <f t="shared" si="65"/>
        <v>0</v>
      </c>
      <c r="AH186" s="176">
        <f t="shared" si="66"/>
        <v>6</v>
      </c>
      <c r="AI186" s="225">
        <f t="shared" si="67"/>
        <v>0.36647316743385006</v>
      </c>
      <c r="AJ186" s="265" t="b">
        <f t="shared" si="68"/>
        <v>1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6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6">
        <f t="shared" si="50"/>
        <v>0</v>
      </c>
      <c r="M187" s="854"/>
      <c r="N187" s="854"/>
      <c r="O187" s="324">
        <f t="shared" si="51"/>
        <v>0</v>
      </c>
      <c r="P187" s="169">
        <f>(INDEX(Models!$BJ187:$BT187,,T187)*(1-R187)+INDEX(Models!$BJ187:$BT187,,T187+1)*R187-ERP_i)*Q187*Ramure*Pc/MaxiM</f>
        <v>1.6156310274629451E-3</v>
      </c>
      <c r="Q187" s="305">
        <f t="shared" si="52"/>
        <v>0.8</v>
      </c>
      <c r="R187" s="177">
        <f t="shared" si="53"/>
        <v>0.37231564216195517</v>
      </c>
      <c r="S187" s="809">
        <f t="shared" si="71"/>
        <v>0</v>
      </c>
      <c r="T187" s="176">
        <f t="shared" si="54"/>
        <v>6</v>
      </c>
      <c r="U187" s="251">
        <f t="shared" si="55"/>
        <v>0.37231564216195517</v>
      </c>
      <c r="V187" s="383">
        <f t="shared" si="56"/>
        <v>61.682054720829576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5">
        <f t="shared" si="62"/>
        <v>0</v>
      </c>
      <c r="AD187" s="169">
        <f>(INDEX(Models!$BJ187:$BT187,,AH187)*(1-AF187)+INDEX(Models!$BJ187:$BT187,,AH187+1)*AF187-ERP_i)*AE187*Ramure*Pc/MaxiM</f>
        <v>1.6156310274629451E-3</v>
      </c>
      <c r="AE187" s="305">
        <f t="shared" si="63"/>
        <v>0.8</v>
      </c>
      <c r="AF187" s="177">
        <f t="shared" si="64"/>
        <v>0.37231564216195517</v>
      </c>
      <c r="AG187" s="809">
        <f t="shared" si="65"/>
        <v>0</v>
      </c>
      <c r="AH187" s="176">
        <f t="shared" si="66"/>
        <v>6</v>
      </c>
      <c r="AI187" s="225">
        <f t="shared" si="67"/>
        <v>0.37231564216195517</v>
      </c>
      <c r="AJ187" s="265" t="b">
        <f t="shared" si="68"/>
        <v>1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6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6">
        <f t="shared" si="50"/>
        <v>0</v>
      </c>
      <c r="M188" s="854"/>
      <c r="N188" s="854"/>
      <c r="O188" s="324">
        <f t="shared" si="51"/>
        <v>0</v>
      </c>
      <c r="P188" s="169">
        <f>(INDEX(Models!$BJ188:$BT188,,T188)*(1-R188)+INDEX(Models!$BJ188:$BT188,,T188+1)*R188-ERP_i)*Q188*Ramure*Pc/MaxiM</f>
        <v>1.6470892105385031E-3</v>
      </c>
      <c r="Q188" s="305">
        <f t="shared" si="52"/>
        <v>0.8</v>
      </c>
      <c r="R188" s="177">
        <f t="shared" si="53"/>
        <v>0.37810037995942153</v>
      </c>
      <c r="S188" s="809">
        <f t="shared" si="71"/>
        <v>0</v>
      </c>
      <c r="T188" s="176">
        <f t="shared" si="54"/>
        <v>6</v>
      </c>
      <c r="U188" s="251">
        <f t="shared" si="55"/>
        <v>0.37810037995942153</v>
      </c>
      <c r="V188" s="383">
        <f t="shared" si="56"/>
        <v>61.613093170126504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5">
        <f t="shared" si="62"/>
        <v>0</v>
      </c>
      <c r="AD188" s="169">
        <f>(INDEX(Models!$BJ188:$BT188,,AH188)*(1-AF188)+INDEX(Models!$BJ188:$BT188,,AH188+1)*AF188-ERP_i)*AE188*Ramure*Pc/MaxiM</f>
        <v>1.6470892105385031E-3</v>
      </c>
      <c r="AE188" s="305">
        <f t="shared" si="63"/>
        <v>0.8</v>
      </c>
      <c r="AF188" s="177">
        <f t="shared" si="64"/>
        <v>0.37810037995942153</v>
      </c>
      <c r="AG188" s="809">
        <f t="shared" si="65"/>
        <v>0</v>
      </c>
      <c r="AH188" s="176">
        <f t="shared" si="66"/>
        <v>6</v>
      </c>
      <c r="AI188" s="225">
        <f t="shared" si="67"/>
        <v>0.37810037995942153</v>
      </c>
      <c r="AJ188" s="265" t="b">
        <f t="shared" si="68"/>
        <v>1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6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6">
        <f t="shared" si="50"/>
        <v>0</v>
      </c>
      <c r="M189" s="854"/>
      <c r="N189" s="854"/>
      <c r="O189" s="324">
        <f t="shared" si="51"/>
        <v>0</v>
      </c>
      <c r="P189" s="169">
        <f>(INDEX(Models!$BJ189:$BT189,,T189)*(1-R189)+INDEX(Models!$BJ189:$BT189,,T189+1)*R189-ERP_i)*Q189*Ramure*Pc/MaxiM</f>
        <v>1.6779669832216481E-3</v>
      </c>
      <c r="Q189" s="305">
        <f t="shared" si="52"/>
        <v>0.8</v>
      </c>
      <c r="R189" s="177">
        <f t="shared" si="53"/>
        <v>0.38382342281727239</v>
      </c>
      <c r="S189" s="809">
        <f t="shared" si="71"/>
        <v>0</v>
      </c>
      <c r="T189" s="176">
        <f t="shared" si="54"/>
        <v>6</v>
      </c>
      <c r="U189" s="251">
        <f t="shared" si="55"/>
        <v>0.38382342281727239</v>
      </c>
      <c r="V189" s="383">
        <f t="shared" si="56"/>
        <v>61.540549142019842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5">
        <f t="shared" si="62"/>
        <v>0</v>
      </c>
      <c r="AD189" s="169">
        <f>(INDEX(Models!$BJ189:$BT189,,AH189)*(1-AF189)+INDEX(Models!$BJ189:$BT189,,AH189+1)*AF189-ERP_i)*AE189*Ramure*Pc/MaxiM</f>
        <v>1.6779669832216481E-3</v>
      </c>
      <c r="AE189" s="305">
        <f t="shared" si="63"/>
        <v>0.8</v>
      </c>
      <c r="AF189" s="177">
        <f t="shared" si="64"/>
        <v>0.38382342281727239</v>
      </c>
      <c r="AG189" s="809">
        <f t="shared" si="65"/>
        <v>0</v>
      </c>
      <c r="AH189" s="176">
        <f t="shared" si="66"/>
        <v>6</v>
      </c>
      <c r="AI189" s="225">
        <f t="shared" si="67"/>
        <v>0.38382342281727239</v>
      </c>
      <c r="AJ189" s="265" t="b">
        <f t="shared" si="68"/>
        <v>1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6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6">
        <f t="shared" si="50"/>
        <v>0</v>
      </c>
      <c r="M190" s="854"/>
      <c r="N190" s="854"/>
      <c r="O190" s="324">
        <f t="shared" si="51"/>
        <v>0</v>
      </c>
      <c r="P190" s="169">
        <f>(INDEX(Models!$BJ190:$BT190,,T190)*(1-R190)+INDEX(Models!$BJ190:$BT190,,T190+1)*R190-ERP_i)*Q190*Ramure*Pc/MaxiM</f>
        <v>1.7082205604368372E-3</v>
      </c>
      <c r="Q190" s="305">
        <f t="shared" si="52"/>
        <v>0.8</v>
      </c>
      <c r="R190" s="177">
        <f t="shared" si="53"/>
        <v>0.3894809996864434</v>
      </c>
      <c r="S190" s="809">
        <f t="shared" si="71"/>
        <v>0</v>
      </c>
      <c r="T190" s="176">
        <f t="shared" si="54"/>
        <v>6</v>
      </c>
      <c r="U190" s="251">
        <f t="shared" si="55"/>
        <v>0.3894809996864434</v>
      </c>
      <c r="V190" s="383">
        <f t="shared" si="56"/>
        <v>61.464425543614183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5">
        <f t="shared" si="62"/>
        <v>0</v>
      </c>
      <c r="AD190" s="169">
        <f>(INDEX(Models!$BJ190:$BT190,,AH190)*(1-AF190)+INDEX(Models!$BJ190:$BT190,,AH190+1)*AF190-ERP_i)*AE190*Ramure*Pc/MaxiM</f>
        <v>1.7082205604368372E-3</v>
      </c>
      <c r="AE190" s="305">
        <f t="shared" si="63"/>
        <v>0.8</v>
      </c>
      <c r="AF190" s="177">
        <f t="shared" si="64"/>
        <v>0.3894809996864434</v>
      </c>
      <c r="AG190" s="809">
        <f t="shared" si="65"/>
        <v>0</v>
      </c>
      <c r="AH190" s="176">
        <f t="shared" si="66"/>
        <v>6</v>
      </c>
      <c r="AI190" s="225">
        <f t="shared" si="67"/>
        <v>0.3894809996864434</v>
      </c>
      <c r="AJ190" s="265" t="b">
        <f t="shared" si="68"/>
        <v>1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6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6">
        <f t="shared" si="50"/>
        <v>0</v>
      </c>
      <c r="M191" s="854"/>
      <c r="N191" s="854"/>
      <c r="O191" s="324">
        <f t="shared" si="51"/>
        <v>0</v>
      </c>
      <c r="P191" s="169">
        <f>(INDEX(Models!$BJ191:$BT191,,T191)*(1-R191)+INDEX(Models!$BJ191:$BT191,,T191+1)*R191-ERP_i)*Q191*Ramure*Pc/MaxiM</f>
        <v>1.7378080549395249E-3</v>
      </c>
      <c r="Q191" s="305">
        <f t="shared" si="52"/>
        <v>0.8</v>
      </c>
      <c r="R191" s="177">
        <f t="shared" si="53"/>
        <v>0.39506953449544213</v>
      </c>
      <c r="S191" s="809">
        <f t="shared" si="71"/>
        <v>0</v>
      </c>
      <c r="T191" s="176">
        <f t="shared" si="54"/>
        <v>6</v>
      </c>
      <c r="U191" s="251">
        <f t="shared" si="55"/>
        <v>0.39506953449544213</v>
      </c>
      <c r="V191" s="383">
        <f t="shared" si="56"/>
        <v>61.384725142042093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5">
        <f t="shared" si="62"/>
        <v>0</v>
      </c>
      <c r="AD191" s="169">
        <f>(INDEX(Models!$BJ191:$BT191,,AH191)*(1-AF191)+INDEX(Models!$BJ191:$BT191,,AH191+1)*AF191-ERP_i)*AE191*Ramure*Pc/MaxiM</f>
        <v>1.7378080549395249E-3</v>
      </c>
      <c r="AE191" s="305">
        <f t="shared" si="63"/>
        <v>0.8</v>
      </c>
      <c r="AF191" s="177">
        <f t="shared" si="64"/>
        <v>0.39506953449544213</v>
      </c>
      <c r="AG191" s="809">
        <f t="shared" si="65"/>
        <v>0</v>
      </c>
      <c r="AH191" s="176">
        <f t="shared" si="66"/>
        <v>6</v>
      </c>
      <c r="AI191" s="225">
        <f t="shared" si="67"/>
        <v>0.39506953449544213</v>
      </c>
      <c r="AJ191" s="265" t="b">
        <f t="shared" si="68"/>
        <v>1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6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6">
        <f t="shared" si="50"/>
        <v>0</v>
      </c>
      <c r="M192" s="854"/>
      <c r="N192" s="854"/>
      <c r="O192" s="324">
        <f t="shared" si="51"/>
        <v>0</v>
      </c>
      <c r="P192" s="169">
        <f>(INDEX(Models!$BJ192:$BT192,,T192)*(1-R192)+INDEX(Models!$BJ192:$BT192,,T192+1)*R192-ERP_i)*Q192*Ramure*Pc/MaxiM</f>
        <v>1.7665281213131352E-3</v>
      </c>
      <c r="Q192" s="305">
        <f t="shared" si="52"/>
        <v>0.8</v>
      </c>
      <c r="R192" s="177">
        <f t="shared" si="53"/>
        <v>0.40058565299670273</v>
      </c>
      <c r="S192" s="809">
        <f t="shared" si="71"/>
        <v>0</v>
      </c>
      <c r="T192" s="176">
        <f t="shared" si="54"/>
        <v>6</v>
      </c>
      <c r="U192" s="251">
        <f t="shared" si="55"/>
        <v>0.40058565299670273</v>
      </c>
      <c r="V192" s="383">
        <f t="shared" si="56"/>
        <v>61.301460465553134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5">
        <f t="shared" si="62"/>
        <v>0</v>
      </c>
      <c r="AD192" s="169">
        <f>(INDEX(Models!$BJ192:$BT192,,AH192)*(1-AF192)+INDEX(Models!$BJ192:$BT192,,AH192+1)*AF192-ERP_i)*AE192*Ramure*Pc/MaxiM</f>
        <v>1.7665281213131352E-3</v>
      </c>
      <c r="AE192" s="305">
        <f t="shared" si="63"/>
        <v>0.8</v>
      </c>
      <c r="AF192" s="177">
        <f t="shared" si="64"/>
        <v>0.40058565299670273</v>
      </c>
      <c r="AG192" s="809">
        <f t="shared" si="65"/>
        <v>0</v>
      </c>
      <c r="AH192" s="176">
        <f t="shared" si="66"/>
        <v>6</v>
      </c>
      <c r="AI192" s="225">
        <f t="shared" si="67"/>
        <v>0.40058565299670273</v>
      </c>
      <c r="AJ192" s="265" t="b">
        <f t="shared" si="68"/>
        <v>1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6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6">
        <f t="shared" si="50"/>
        <v>0</v>
      </c>
      <c r="M193" s="854"/>
      <c r="N193" s="854"/>
      <c r="O193" s="324">
        <f t="shared" si="51"/>
        <v>0</v>
      </c>
      <c r="P193" s="169">
        <f>(INDEX(Models!$BJ193:$BT193,,T193)*(1-R193)+INDEX(Models!$BJ193:$BT193,,T193+1)*R193-ERP_i)*Q193*Ramure*Pc/MaxiM</f>
        <v>1.7945313315696659E-3</v>
      </c>
      <c r="Q193" s="305">
        <f t="shared" si="52"/>
        <v>0.8</v>
      </c>
      <c r="R193" s="177">
        <f t="shared" si="53"/>
        <v>0.40602618843369814</v>
      </c>
      <c r="S193" s="809">
        <f t="shared" si="71"/>
        <v>0</v>
      </c>
      <c r="T193" s="176">
        <f t="shared" si="54"/>
        <v>6</v>
      </c>
      <c r="U193" s="251">
        <f t="shared" si="55"/>
        <v>0.40602618843369814</v>
      </c>
      <c r="V193" s="383">
        <f t="shared" si="56"/>
        <v>61.214622384533058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5">
        <f t="shared" si="62"/>
        <v>0</v>
      </c>
      <c r="AD193" s="169">
        <f>(INDEX(Models!$BJ193:$BT193,,AH193)*(1-AF193)+INDEX(Models!$BJ193:$BT193,,AH193+1)*AF193-ERP_i)*AE193*Ramure*Pc/MaxiM</f>
        <v>1.7945313315696659E-3</v>
      </c>
      <c r="AE193" s="305">
        <f t="shared" si="63"/>
        <v>0.8</v>
      </c>
      <c r="AF193" s="177">
        <f t="shared" si="64"/>
        <v>0.40602618843369814</v>
      </c>
      <c r="AG193" s="809">
        <f t="shared" si="65"/>
        <v>0</v>
      </c>
      <c r="AH193" s="176">
        <f t="shared" si="66"/>
        <v>6</v>
      </c>
      <c r="AI193" s="225">
        <f t="shared" si="67"/>
        <v>0.40602618843369814</v>
      </c>
      <c r="AJ193" s="265" t="b">
        <f t="shared" si="68"/>
        <v>1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6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6">
        <f t="shared" si="50"/>
        <v>0</v>
      </c>
      <c r="M194" s="854"/>
      <c r="N194" s="854"/>
      <c r="O194" s="324">
        <f t="shared" si="51"/>
        <v>0</v>
      </c>
      <c r="P194" s="169">
        <f>(INDEX(Models!$BJ194:$BT194,,T194)*(1-R194)+INDEX(Models!$BJ194:$BT194,,T194+1)*R194-ERP_i)*Q194*Ramure*Pc/MaxiM</f>
        <v>1.8217838921364318E-3</v>
      </c>
      <c r="Q194" s="305">
        <f t="shared" si="52"/>
        <v>0.8</v>
      </c>
      <c r="R194" s="177">
        <f t="shared" si="53"/>
        <v>0.41138818603182492</v>
      </c>
      <c r="S194" s="809">
        <f t="shared" si="71"/>
        <v>0</v>
      </c>
      <c r="T194" s="176">
        <f t="shared" si="54"/>
        <v>6</v>
      </c>
      <c r="U194" s="251">
        <f t="shared" si="55"/>
        <v>0.41138818603182492</v>
      </c>
      <c r="V194" s="383">
        <f t="shared" si="56"/>
        <v>61.124213086569668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5">
        <f t="shared" si="62"/>
        <v>0</v>
      </c>
      <c r="AD194" s="169">
        <f>(INDEX(Models!$BJ194:$BT194,,AH194)*(1-AF194)+INDEX(Models!$BJ194:$BT194,,AH194+1)*AF194-ERP_i)*AE194*Ramure*Pc/MaxiM</f>
        <v>1.8217838921364318E-3</v>
      </c>
      <c r="AE194" s="305">
        <f t="shared" si="63"/>
        <v>0.8</v>
      </c>
      <c r="AF194" s="177">
        <f t="shared" si="64"/>
        <v>0.41138818603182492</v>
      </c>
      <c r="AG194" s="809">
        <f t="shared" si="65"/>
        <v>0</v>
      </c>
      <c r="AH194" s="176">
        <f t="shared" si="66"/>
        <v>6</v>
      </c>
      <c r="AI194" s="225">
        <f t="shared" si="67"/>
        <v>0.41138818603182492</v>
      </c>
      <c r="AJ194" s="265" t="b">
        <f t="shared" si="68"/>
        <v>1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6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6">
        <f t="shared" si="50"/>
        <v>0</v>
      </c>
      <c r="M195" s="854"/>
      <c r="N195" s="854"/>
      <c r="O195" s="324">
        <f t="shared" si="51"/>
        <v>0</v>
      </c>
      <c r="P195" s="169">
        <f>(INDEX(Models!$BJ195:$BT195,,T195)*(1-R195)+INDEX(Models!$BJ195:$BT195,,T195+1)*R195-ERP_i)*Q195*Ramure*Pc/MaxiM</f>
        <v>1.8482542792328232E-3</v>
      </c>
      <c r="Q195" s="305">
        <f t="shared" si="52"/>
        <v>0.8</v>
      </c>
      <c r="R195" s="177">
        <f t="shared" si="53"/>
        <v>0.41666890632649162</v>
      </c>
      <c r="S195" s="809">
        <f t="shared" si="71"/>
        <v>0</v>
      </c>
      <c r="T195" s="176">
        <f t="shared" si="54"/>
        <v>6</v>
      </c>
      <c r="U195" s="251">
        <f t="shared" si="55"/>
        <v>0.41666890632649162</v>
      </c>
      <c r="V195" s="383">
        <f t="shared" si="56"/>
        <v>61.030234597081872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5">
        <f t="shared" si="62"/>
        <v>0</v>
      </c>
      <c r="AD195" s="169">
        <f>(INDEX(Models!$BJ195:$BT195,,AH195)*(1-AF195)+INDEX(Models!$BJ195:$BT195,,AH195+1)*AF195-ERP_i)*AE195*Ramure*Pc/MaxiM</f>
        <v>1.8482542792328232E-3</v>
      </c>
      <c r="AE195" s="305">
        <f t="shared" si="63"/>
        <v>0.8</v>
      </c>
      <c r="AF195" s="177">
        <f t="shared" si="64"/>
        <v>0.41666890632649162</v>
      </c>
      <c r="AG195" s="809">
        <f t="shared" si="65"/>
        <v>0</v>
      </c>
      <c r="AH195" s="176">
        <f t="shared" si="66"/>
        <v>6</v>
      </c>
      <c r="AI195" s="225">
        <f t="shared" si="67"/>
        <v>0.41666890632649162</v>
      </c>
      <c r="AJ195" s="265" t="b">
        <f t="shared" si="68"/>
        <v>1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6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6">
        <f t="shared" si="50"/>
        <v>0</v>
      </c>
      <c r="M196" s="854"/>
      <c r="N196" s="854"/>
      <c r="O196" s="324">
        <f t="shared" si="51"/>
        <v>0</v>
      </c>
      <c r="P196" s="169">
        <f>(INDEX(Models!$BJ196:$BT196,,T196)*(1-R196)+INDEX(Models!$BJ196:$BT196,,T196+1)*R196-ERP_i)*Q196*Ramure*Pc/MaxiM</f>
        <v>1.8739132885249559E-3</v>
      </c>
      <c r="Q196" s="305">
        <f t="shared" si="52"/>
        <v>0.8</v>
      </c>
      <c r="R196" s="177">
        <f t="shared" si="53"/>
        <v>0.42186582735162309</v>
      </c>
      <c r="S196" s="809">
        <f t="shared" si="71"/>
        <v>0</v>
      </c>
      <c r="T196" s="176">
        <f t="shared" si="54"/>
        <v>6</v>
      </c>
      <c r="U196" s="251">
        <f t="shared" si="55"/>
        <v>0.42186582735162309</v>
      </c>
      <c r="V196" s="383">
        <f t="shared" si="56"/>
        <v>60.932688769938046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5">
        <f t="shared" si="62"/>
        <v>0</v>
      </c>
      <c r="AD196" s="169">
        <f>(INDEX(Models!$BJ196:$BT196,,AH196)*(1-AF196)+INDEX(Models!$BJ196:$BT196,,AH196+1)*AF196-ERP_i)*AE196*Ramure*Pc/MaxiM</f>
        <v>1.8739132885249559E-3</v>
      </c>
      <c r="AE196" s="305">
        <f t="shared" si="63"/>
        <v>0.8</v>
      </c>
      <c r="AF196" s="177">
        <f t="shared" si="64"/>
        <v>0.42186582735162309</v>
      </c>
      <c r="AG196" s="809">
        <f t="shared" si="65"/>
        <v>0</v>
      </c>
      <c r="AH196" s="176">
        <f t="shared" si="66"/>
        <v>6</v>
      </c>
      <c r="AI196" s="225">
        <f t="shared" si="67"/>
        <v>0.42186582735162309</v>
      </c>
      <c r="AJ196" s="265" t="b">
        <f t="shared" si="68"/>
        <v>1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6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6">
        <f t="shared" si="50"/>
        <v>0</v>
      </c>
      <c r="M197" s="854"/>
      <c r="N197" s="854"/>
      <c r="O197" s="324">
        <f t="shared" si="51"/>
        <v>0</v>
      </c>
      <c r="P197" s="169">
        <f>(INDEX(Models!$BJ197:$BT197,,T197)*(1-R197)+INDEX(Models!$BJ197:$BT197,,T197+1)*R197-ERP_i)*Q197*Ramure*Pc/MaxiM</f>
        <v>1.8987340658332831E-3</v>
      </c>
      <c r="Q197" s="305">
        <f t="shared" si="52"/>
        <v>0.8</v>
      </c>
      <c r="R197" s="177">
        <f t="shared" si="53"/>
        <v>0.42697664572081584</v>
      </c>
      <c r="S197" s="809">
        <f t="shared" si="71"/>
        <v>0</v>
      </c>
      <c r="T197" s="176">
        <f t="shared" si="54"/>
        <v>6</v>
      </c>
      <c r="U197" s="251">
        <f t="shared" si="55"/>
        <v>0.42697664572081584</v>
      </c>
      <c r="V197" s="383">
        <f t="shared" si="56"/>
        <v>60.83157728538545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5">
        <f t="shared" si="62"/>
        <v>0</v>
      </c>
      <c r="AD197" s="169">
        <f>(INDEX(Models!$BJ197:$BT197,,AH197)*(1-AF197)+INDEX(Models!$BJ197:$BT197,,AH197+1)*AF197-ERP_i)*AE197*Ramure*Pc/MaxiM</f>
        <v>1.8987340658332831E-3</v>
      </c>
      <c r="AE197" s="305">
        <f t="shared" si="63"/>
        <v>0.8</v>
      </c>
      <c r="AF197" s="177">
        <f t="shared" si="64"/>
        <v>0.42697664572081584</v>
      </c>
      <c r="AG197" s="809">
        <f t="shared" si="65"/>
        <v>0</v>
      </c>
      <c r="AH197" s="176">
        <f t="shared" si="66"/>
        <v>6</v>
      </c>
      <c r="AI197" s="225">
        <f t="shared" si="67"/>
        <v>0.42697664572081584</v>
      </c>
      <c r="AJ197" s="265" t="b">
        <f t="shared" si="68"/>
        <v>1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6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6">
        <f t="shared" si="50"/>
        <v>0</v>
      </c>
      <c r="M198" s="854"/>
      <c r="N198" s="854"/>
      <c r="O198" s="324">
        <f t="shared" si="51"/>
        <v>0</v>
      </c>
      <c r="P198" s="169">
        <f>(INDEX(Models!$BJ198:$BT198,,T198)*(1-R198)+INDEX(Models!$BJ198:$BT198,,T198+1)*R198-ERP_i)*Q198*Ramure*Pc/MaxiM</f>
        <v>1.9222813188117191E-3</v>
      </c>
      <c r="Q198" s="305">
        <f t="shared" si="52"/>
        <v>0.8</v>
      </c>
      <c r="R198" s="177">
        <f t="shared" si="53"/>
        <v>0.43199927664157162</v>
      </c>
      <c r="S198" s="809">
        <f t="shared" si="71"/>
        <v>0</v>
      </c>
      <c r="T198" s="176">
        <f t="shared" si="54"/>
        <v>6</v>
      </c>
      <c r="U198" s="251">
        <f t="shared" si="55"/>
        <v>0.43199927664157162</v>
      </c>
      <c r="V198" s="383">
        <f t="shared" si="56"/>
        <v>60.726926649262801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5">
        <f t="shared" si="62"/>
        <v>0</v>
      </c>
      <c r="AD198" s="169">
        <f>(INDEX(Models!$BJ198:$BT198,,AH198)*(1-AF198)+INDEX(Models!$BJ198:$BT198,,AH198+1)*AF198-ERP_i)*AE198*Ramure*Pc/MaxiM</f>
        <v>1.9222813188117191E-3</v>
      </c>
      <c r="AE198" s="305">
        <f t="shared" si="63"/>
        <v>0.8</v>
      </c>
      <c r="AF198" s="177">
        <f t="shared" si="64"/>
        <v>0.43199927664157162</v>
      </c>
      <c r="AG198" s="809">
        <f t="shared" si="65"/>
        <v>0</v>
      </c>
      <c r="AH198" s="176">
        <f t="shared" si="66"/>
        <v>6</v>
      </c>
      <c r="AI198" s="225">
        <f t="shared" si="67"/>
        <v>0.43199927664157162</v>
      </c>
      <c r="AJ198" s="265" t="b">
        <f t="shared" si="68"/>
        <v>1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6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6">
        <f t="shared" si="50"/>
        <v>0</v>
      </c>
      <c r="M199" s="854"/>
      <c r="N199" s="854"/>
      <c r="O199" s="324">
        <f t="shared" si="51"/>
        <v>0</v>
      </c>
      <c r="P199" s="169">
        <f>(INDEX(Models!$BJ199:$BT199,,T199)*(1-R199)+INDEX(Models!$BJ199:$BT199,,T199+1)*R199-ERP_i)*Q199*Ramure*Pc/MaxiM</f>
        <v>1.9447307270110128E-3</v>
      </c>
      <c r="Q199" s="305">
        <f t="shared" si="52"/>
        <v>0.8</v>
      </c>
      <c r="R199" s="177">
        <f t="shared" si="53"/>
        <v>0.43693185291032016</v>
      </c>
      <c r="S199" s="809">
        <f t="shared" si="71"/>
        <v>0</v>
      </c>
      <c r="T199" s="176">
        <f t="shared" si="54"/>
        <v>6</v>
      </c>
      <c r="U199" s="251">
        <f t="shared" si="55"/>
        <v>0.43693185291032016</v>
      </c>
      <c r="V199" s="383">
        <f t="shared" si="56"/>
        <v>60.618726052734999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5">
        <f t="shared" si="62"/>
        <v>0</v>
      </c>
      <c r="AD199" s="169">
        <f>(INDEX(Models!$BJ199:$BT199,,AH199)*(1-AF199)+INDEX(Models!$BJ199:$BT199,,AH199+1)*AF199-ERP_i)*AE199*Ramure*Pc/MaxiM</f>
        <v>1.9447307270110128E-3</v>
      </c>
      <c r="AE199" s="305">
        <f t="shared" si="63"/>
        <v>0.8</v>
      </c>
      <c r="AF199" s="177">
        <f t="shared" si="64"/>
        <v>0.43693185291032016</v>
      </c>
      <c r="AG199" s="809">
        <f t="shared" si="65"/>
        <v>0</v>
      </c>
      <c r="AH199" s="176">
        <f t="shared" si="66"/>
        <v>6</v>
      </c>
      <c r="AI199" s="225">
        <f t="shared" si="67"/>
        <v>0.43693185291032016</v>
      </c>
      <c r="AJ199" s="265" t="b">
        <f t="shared" si="68"/>
        <v>1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6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6">
        <f t="shared" si="50"/>
        <v>0</v>
      </c>
      <c r="M200" s="854"/>
      <c r="N200" s="854"/>
      <c r="O200" s="324">
        <f t="shared" si="51"/>
        <v>0</v>
      </c>
      <c r="P200" s="169">
        <f>(INDEX(Models!$BJ200:$BT200,,T200)*(1-R200)+INDEX(Models!$BJ200:$BT200,,T200+1)*R200-ERP_i)*Q200*Ramure*Pc/MaxiM</f>
        <v>1.9660541877992194E-3</v>
      </c>
      <c r="Q200" s="305">
        <f t="shared" si="52"/>
        <v>0.8</v>
      </c>
      <c r="R200" s="177">
        <f t="shared" si="53"/>
        <v>0.44177272294228875</v>
      </c>
      <c r="S200" s="809">
        <f t="shared" si="71"/>
        <v>0</v>
      </c>
      <c r="T200" s="176">
        <f t="shared" si="54"/>
        <v>6</v>
      </c>
      <c r="U200" s="251">
        <f t="shared" si="55"/>
        <v>0.44177272294228875</v>
      </c>
      <c r="V200" s="383">
        <f t="shared" si="56"/>
        <v>60.506977090695017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5">
        <f t="shared" si="62"/>
        <v>0</v>
      </c>
      <c r="AD200" s="169">
        <f>(INDEX(Models!$BJ200:$BT200,,AH200)*(1-AF200)+INDEX(Models!$BJ200:$BT200,,AH200+1)*AF200-ERP_i)*AE200*Ramure*Pc/MaxiM</f>
        <v>1.9660541877992194E-3</v>
      </c>
      <c r="AE200" s="305">
        <f t="shared" si="63"/>
        <v>0.8</v>
      </c>
      <c r="AF200" s="177">
        <f t="shared" si="64"/>
        <v>0.44177272294228875</v>
      </c>
      <c r="AG200" s="809">
        <f t="shared" si="65"/>
        <v>0</v>
      </c>
      <c r="AH200" s="176">
        <f t="shared" si="66"/>
        <v>6</v>
      </c>
      <c r="AI200" s="225">
        <f t="shared" si="67"/>
        <v>0.44177272294228875</v>
      </c>
      <c r="AJ200" s="265" t="b">
        <f t="shared" si="68"/>
        <v>1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6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6">
        <f t="shared" si="50"/>
        <v>0</v>
      </c>
      <c r="M201" s="854"/>
      <c r="N201" s="854"/>
      <c r="O201" s="324">
        <f t="shared" si="51"/>
        <v>0</v>
      </c>
      <c r="P201" s="169">
        <f>(INDEX(Models!$BJ201:$BT201,,T201)*(1-R201)+INDEX(Models!$BJ201:$BT201,,T201+1)*R201-ERP_i)*Q201*Ramure*Pc/MaxiM</f>
        <v>1.9862261229193789E-3</v>
      </c>
      <c r="Q201" s="305">
        <f t="shared" si="52"/>
        <v>0.8</v>
      </c>
      <c r="R201" s="177">
        <f t="shared" si="53"/>
        <v>0.4465204478956401</v>
      </c>
      <c r="S201" s="809">
        <f t="shared" si="71"/>
        <v>0</v>
      </c>
      <c r="T201" s="176">
        <f t="shared" si="54"/>
        <v>6</v>
      </c>
      <c r="U201" s="251">
        <f t="shared" si="55"/>
        <v>0.4465204478956401</v>
      </c>
      <c r="V201" s="383">
        <f t="shared" si="56"/>
        <v>60.391681169434008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5">
        <f t="shared" si="62"/>
        <v>0</v>
      </c>
      <c r="AD201" s="169">
        <f>(INDEX(Models!$BJ201:$BT201,,AH201)*(1-AF201)+INDEX(Models!$BJ201:$BT201,,AH201+1)*AF201-ERP_i)*AE201*Ramure*Pc/MaxiM</f>
        <v>1.9862261229193789E-3</v>
      </c>
      <c r="AE201" s="305">
        <f t="shared" si="63"/>
        <v>0.8</v>
      </c>
      <c r="AF201" s="177">
        <f t="shared" si="64"/>
        <v>0.4465204478956401</v>
      </c>
      <c r="AG201" s="809">
        <f t="shared" si="65"/>
        <v>0</v>
      </c>
      <c r="AH201" s="176">
        <f t="shared" si="66"/>
        <v>6</v>
      </c>
      <c r="AI201" s="225">
        <f t="shared" si="67"/>
        <v>0.4465204478956401</v>
      </c>
      <c r="AJ201" s="265" t="b">
        <f t="shared" si="68"/>
        <v>1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6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6">
        <f t="shared" si="50"/>
        <v>0</v>
      </c>
      <c r="M202" s="854"/>
      <c r="N202" s="854"/>
      <c r="O202" s="324">
        <f t="shared" si="51"/>
        <v>0</v>
      </c>
      <c r="P202" s="169">
        <f>(INDEX(Models!$BJ202:$BT202,,T202)*(1-R202)+INDEX(Models!$BJ202:$BT202,,T202+1)*R202-ERP_i)*Q202*Ramure*Pc/MaxiM</f>
        <v>2.0052234234245046E-3</v>
      </c>
      <c r="Q202" s="305">
        <f t="shared" si="52"/>
        <v>0.8</v>
      </c>
      <c r="R202" s="177">
        <f t="shared" si="53"/>
        <v>0.45117379795368762</v>
      </c>
      <c r="S202" s="809">
        <f t="shared" si="71"/>
        <v>0</v>
      </c>
      <c r="T202" s="176">
        <f t="shared" si="54"/>
        <v>6</v>
      </c>
      <c r="U202" s="251">
        <f t="shared" si="55"/>
        <v>0.45117379795368762</v>
      </c>
      <c r="V202" s="383">
        <f t="shared" si="56"/>
        <v>60.272839508045465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5">
        <f t="shared" si="62"/>
        <v>0</v>
      </c>
      <c r="AD202" s="169">
        <f>(INDEX(Models!$BJ202:$BT202,,AH202)*(1-AF202)+INDEX(Models!$BJ202:$BT202,,AH202+1)*AF202-ERP_i)*AE202*Ramure*Pc/MaxiM</f>
        <v>2.0052234234245046E-3</v>
      </c>
      <c r="AE202" s="305">
        <f t="shared" si="63"/>
        <v>0.8</v>
      </c>
      <c r="AF202" s="177">
        <f t="shared" si="64"/>
        <v>0.45117379795368762</v>
      </c>
      <c r="AG202" s="809">
        <f t="shared" si="65"/>
        <v>0</v>
      </c>
      <c r="AH202" s="176">
        <f t="shared" si="66"/>
        <v>6</v>
      </c>
      <c r="AI202" s="225">
        <f t="shared" si="67"/>
        <v>0.45117379795368762</v>
      </c>
      <c r="AJ202" s="265" t="b">
        <f t="shared" si="68"/>
        <v>1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6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6">
        <f t="shared" si="50"/>
        <v>0</v>
      </c>
      <c r="M203" s="854"/>
      <c r="N203" s="854"/>
      <c r="O203" s="324">
        <f t="shared" si="51"/>
        <v>0</v>
      </c>
      <c r="P203" s="169">
        <f>(INDEX(Models!$BJ203:$BT203,,T203)*(1-R203)+INDEX(Models!$BJ203:$BT203,,T203+1)*R203-ERP_i)*Q203*Ramure*Pc/MaxiM</f>
        <v>2.0230253773717206E-3</v>
      </c>
      <c r="Q203" s="305">
        <f t="shared" si="52"/>
        <v>0.8</v>
      </c>
      <c r="R203" s="177">
        <f t="shared" si="53"/>
        <v>0.45573174783241049</v>
      </c>
      <c r="S203" s="809">
        <f t="shared" si="71"/>
        <v>0</v>
      </c>
      <c r="T203" s="176">
        <f t="shared" si="54"/>
        <v>6</v>
      </c>
      <c r="U203" s="251">
        <f t="shared" si="55"/>
        <v>0.45573174783241049</v>
      </c>
      <c r="V203" s="383">
        <f t="shared" si="56"/>
        <v>60.15045314840166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5">
        <f t="shared" si="62"/>
        <v>0</v>
      </c>
      <c r="AD203" s="169">
        <f>(INDEX(Models!$BJ203:$BT203,,AH203)*(1-AF203)+INDEX(Models!$BJ203:$BT203,,AH203+1)*AF203-ERP_i)*AE203*Ramure*Pc/MaxiM</f>
        <v>2.0230253773717206E-3</v>
      </c>
      <c r="AE203" s="305">
        <f t="shared" si="63"/>
        <v>0.8</v>
      </c>
      <c r="AF203" s="177">
        <f t="shared" si="64"/>
        <v>0.45573174783241049</v>
      </c>
      <c r="AG203" s="809">
        <f t="shared" si="65"/>
        <v>0</v>
      </c>
      <c r="AH203" s="176">
        <f t="shared" si="66"/>
        <v>6</v>
      </c>
      <c r="AI203" s="225">
        <f t="shared" si="67"/>
        <v>0.45573174783241049</v>
      </c>
      <c r="AJ203" s="265" t="b">
        <f t="shared" si="68"/>
        <v>1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6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6">
        <f t="shared" si="50"/>
        <v>0</v>
      </c>
      <c r="M204" s="854"/>
      <c r="N204" s="854"/>
      <c r="O204" s="324">
        <f t="shared" si="51"/>
        <v>0</v>
      </c>
      <c r="P204" s="169">
        <f>(INDEX(Models!$BJ204:$BT204,,T204)*(1-R204)+INDEX(Models!$BJ204:$BT204,,T204+1)*R204-ERP_i)*Q204*Ramure*Pc/MaxiM</f>
        <v>2.0396135822088731E-3</v>
      </c>
      <c r="Q204" s="305">
        <f t="shared" si="52"/>
        <v>0.8</v>
      </c>
      <c r="R204" s="177">
        <f t="shared" si="53"/>
        <v>0.46019347158295298</v>
      </c>
      <c r="S204" s="809">
        <f t="shared" si="71"/>
        <v>0</v>
      </c>
      <c r="T204" s="176">
        <f t="shared" si="54"/>
        <v>6</v>
      </c>
      <c r="U204" s="251">
        <f t="shared" si="55"/>
        <v>0.46019347158295298</v>
      </c>
      <c r="V204" s="383">
        <f t="shared" si="56"/>
        <v>60.024522954233689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5">
        <f t="shared" si="62"/>
        <v>0</v>
      </c>
      <c r="AD204" s="169">
        <f>(INDEX(Models!$BJ204:$BT204,,AH204)*(1-AF204)+INDEX(Models!$BJ204:$BT204,,AH204+1)*AF204-ERP_i)*AE204*Ramure*Pc/MaxiM</f>
        <v>2.0396135822088731E-3</v>
      </c>
      <c r="AE204" s="305">
        <f t="shared" si="63"/>
        <v>0.8</v>
      </c>
      <c r="AF204" s="177">
        <f t="shared" si="64"/>
        <v>0.46019347158295298</v>
      </c>
      <c r="AG204" s="809">
        <f t="shared" si="65"/>
        <v>0</v>
      </c>
      <c r="AH204" s="176">
        <f t="shared" si="66"/>
        <v>6</v>
      </c>
      <c r="AI204" s="225">
        <f t="shared" si="67"/>
        <v>0.46019347158295298</v>
      </c>
      <c r="AJ204" s="265" t="b">
        <f t="shared" si="68"/>
        <v>1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6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6">
        <f t="shared" si="50"/>
        <v>0</v>
      </c>
      <c r="M205" s="854"/>
      <c r="N205" s="854"/>
      <c r="O205" s="324">
        <f t="shared" si="51"/>
        <v>0</v>
      </c>
      <c r="P205" s="169">
        <f>(INDEX(Models!$BJ205:$BT205,,T205)*(1-R205)+INDEX(Models!$BJ205:$BT205,,T205+1)*R205-ERP_i)*Q205*Ramure*Pc/MaxiM</f>
        <v>2.0549965640505223E-3</v>
      </c>
      <c r="Q205" s="305">
        <f t="shared" si="52"/>
        <v>0.8</v>
      </c>
      <c r="R205" s="177">
        <f t="shared" si="53"/>
        <v>0.46455833676034741</v>
      </c>
      <c r="S205" s="809">
        <f t="shared" si="71"/>
        <v>0</v>
      </c>
      <c r="T205" s="176">
        <f t="shared" si="54"/>
        <v>6</v>
      </c>
      <c r="U205" s="251">
        <f t="shared" si="55"/>
        <v>0.46455833676034741</v>
      </c>
      <c r="V205" s="383">
        <f t="shared" si="56"/>
        <v>59.894327609226615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5">
        <f t="shared" si="62"/>
        <v>0</v>
      </c>
      <c r="AD205" s="169">
        <f>(INDEX(Models!$BJ205:$BT205,,AH205)*(1-AF205)+INDEX(Models!$BJ205:$BT205,,AH205+1)*AF205-ERP_i)*AE205*Ramure*Pc/MaxiM</f>
        <v>2.0549965640505223E-3</v>
      </c>
      <c r="AE205" s="305">
        <f t="shared" si="63"/>
        <v>0.8</v>
      </c>
      <c r="AF205" s="177">
        <f t="shared" si="64"/>
        <v>0.46455833676034741</v>
      </c>
      <c r="AG205" s="809">
        <f t="shared" si="65"/>
        <v>0</v>
      </c>
      <c r="AH205" s="176">
        <f t="shared" si="66"/>
        <v>6</v>
      </c>
      <c r="AI205" s="225">
        <f t="shared" si="67"/>
        <v>0.46455833676034741</v>
      </c>
      <c r="AJ205" s="265" t="b">
        <f t="shared" si="68"/>
        <v>1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6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6">
        <f t="shared" si="50"/>
        <v>0</v>
      </c>
      <c r="M206" s="854"/>
      <c r="N206" s="854"/>
      <c r="O206" s="324">
        <f t="shared" si="51"/>
        <v>0</v>
      </c>
      <c r="P206" s="169">
        <f>(INDEX(Models!$BJ206:$BT206,,T206)*(1-R206)+INDEX(Models!$BJ206:$BT206,,T206+1)*R206-ERP_i)*Q206*Ramure*Pc/MaxiM</f>
        <v>2.0684911066426578E-3</v>
      </c>
      <c r="Q206" s="305">
        <f t="shared" si="52"/>
        <v>0.8</v>
      </c>
      <c r="R206" s="177">
        <f t="shared" si="53"/>
        <v>0.4688258980303846</v>
      </c>
      <c r="S206" s="809">
        <f t="shared" si="71"/>
        <v>0</v>
      </c>
      <c r="T206" s="176">
        <f t="shared" si="54"/>
        <v>6</v>
      </c>
      <c r="U206" s="251">
        <f t="shared" si="55"/>
        <v>0.4688258980303846</v>
      </c>
      <c r="V206" s="383">
        <f t="shared" si="56"/>
        <v>59.759408941913087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5">
        <f t="shared" si="62"/>
        <v>0</v>
      </c>
      <c r="AD206" s="169">
        <f>(INDEX(Models!$BJ206:$BT206,,AH206)*(1-AF206)+INDEX(Models!$BJ206:$BT206,,AH206+1)*AF206-ERP_i)*AE206*Ramure*Pc/MaxiM</f>
        <v>2.0684911066426578E-3</v>
      </c>
      <c r="AE206" s="305">
        <f t="shared" si="63"/>
        <v>0.8</v>
      </c>
      <c r="AF206" s="177">
        <f t="shared" si="64"/>
        <v>0.4688258980303846</v>
      </c>
      <c r="AG206" s="809">
        <f t="shared" si="65"/>
        <v>0</v>
      </c>
      <c r="AH206" s="176">
        <f t="shared" si="66"/>
        <v>6</v>
      </c>
      <c r="AI206" s="225">
        <f t="shared" si="67"/>
        <v>0.4688258980303846</v>
      </c>
      <c r="AJ206" s="265" t="b">
        <f t="shared" si="68"/>
        <v>1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6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6">
        <f t="shared" ref="L207:L270" si="75">IF(t&lt;T0,0,IF(t&lt;Tvie,1-EXP((T0-t)*PertePVj),1-EXP((T0-t)*PertePVj)+Pspv))</f>
        <v>0</v>
      </c>
      <c r="M207" s="854"/>
      <c r="N207" s="854"/>
      <c r="O207" s="324">
        <f t="shared" ref="O207:O270" si="76">IF(t&lt;T0,0,IF(t&lt;Tnet,Salim_i*(1-EXP((T0-t)/Tau_ij)),Resal+(Salim-Resal)*(1-EXP((Tnet-t)/(Tau_j)))))*Salcycl</f>
        <v>0</v>
      </c>
      <c r="P207" s="169">
        <f>(INDEX(Models!$BJ207:$BT207,,T207)*(1-R207)+INDEX(Models!$BJ207:$BT207,,T207+1)*R207-ERP_i)*Q207*Ramure*Pc/MaxiM</f>
        <v>2.0802499569371065E-3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0.47299589028644645</v>
      </c>
      <c r="S207" s="809">
        <f t="shared" si="71"/>
        <v>0</v>
      </c>
      <c r="T207" s="176">
        <f t="shared" ref="T207:T270" si="79">MIN(MATCH(Hp_vg,Echel_vg),10)</f>
        <v>6</v>
      </c>
      <c r="U207" s="251">
        <f t="shared" ref="U207:U270" si="80">IF(OR(t&lt;Ttai,Notai),Hdd+PousH*Croivg,Hdtf+PousH*(Croivg-Croi_tai))</f>
        <v>0.47299589028644645</v>
      </c>
      <c r="V207" s="383">
        <f t="shared" ref="V207:V270" si="81">MaxiM*(1-Ppv)*(1-Pvg)*(1-Psa)</f>
        <v>59.620089803022687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5">
        <f t="shared" ref="AC207:AC270" si="87">IF(t&lt;T0,0,IF(OR(t&lt;Tnet,NoTnet),Salim_i*(1-EXP((T0-t)/Tau_ij)),Resal_s+(Salim-Resal_s)*(1-EXP((Tnet_s-t)/Tau_j))))*Salcycl</f>
        <v>0</v>
      </c>
      <c r="AD207" s="169">
        <f>(INDEX(Models!$BJ207:$BT207,,AH207)*(1-AF207)+INDEX(Models!$BJ207:$BT207,,AH207+1)*AF207-ERP_i)*AE207*Ramure*Pc/MaxiM</f>
        <v>2.0802499569371065E-3</v>
      </c>
      <c r="AE207" s="305">
        <f t="shared" ref="AE207:AE270" si="88">Dd+PousD*Croivg</f>
        <v>0.8</v>
      </c>
      <c r="AF207" s="177">
        <f t="shared" ref="AF207:AF270" si="89">(Hp_vg_s-AG207)/(INDEX(Echel_vg,AH207+1)-AG207)</f>
        <v>0.47299589028644645</v>
      </c>
      <c r="AG207" s="809">
        <f t="shared" ref="AG207:AG270" si="90">INDEX(Echel_vg,AH207)</f>
        <v>0</v>
      </c>
      <c r="AH207" s="176">
        <f t="shared" ref="AH207:AH270" si="91">MIN(MATCH(Hp_vg_s,Echel_vg),10)</f>
        <v>6</v>
      </c>
      <c r="AI207" s="225">
        <f t="shared" ref="AI207:AI270" si="92">Hdd+PousH*Croivg</f>
        <v>0.47299589028644645</v>
      </c>
      <c r="AJ207" s="265" t="b">
        <f t="shared" ref="AJ207:AJ270" si="93">t&lt;Tnet</f>
        <v>1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6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6">
        <f t="shared" si="75"/>
        <v>0</v>
      </c>
      <c r="M208" s="854"/>
      <c r="N208" s="854"/>
      <c r="O208" s="324">
        <f t="shared" si="76"/>
        <v>0</v>
      </c>
      <c r="P208" s="169">
        <f>(INDEX(Models!$BJ208:$BT208,,T208)*(1-R208)+INDEX(Models!$BJ208:$BT208,,T208+1)*R208-ERP_i)*Q208*Ramure*Pc/MaxiM</f>
        <v>2.0902349914202756E-3</v>
      </c>
      <c r="Q208" s="305">
        <f t="shared" si="77"/>
        <v>0.8</v>
      </c>
      <c r="R208" s="177">
        <f t="shared" si="78"/>
        <v>0.47706822134726096</v>
      </c>
      <c r="S208" s="809">
        <f t="shared" ref="S208:S271" si="96">INDEX(Echel_vg,T208)</f>
        <v>0</v>
      </c>
      <c r="T208" s="176">
        <f t="shared" si="79"/>
        <v>6</v>
      </c>
      <c r="U208" s="251">
        <f t="shared" si="80"/>
        <v>0.47706822134726096</v>
      </c>
      <c r="V208" s="383">
        <f t="shared" si="81"/>
        <v>59.476704439879285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5">
        <f t="shared" si="87"/>
        <v>0</v>
      </c>
      <c r="AD208" s="169">
        <f>(INDEX(Models!$BJ208:$BT208,,AH208)*(1-AF208)+INDEX(Models!$BJ208:$BT208,,AH208+1)*AF208-ERP_i)*AE208*Ramure*Pc/MaxiM</f>
        <v>2.0902349914202756E-3</v>
      </c>
      <c r="AE208" s="305">
        <f t="shared" si="88"/>
        <v>0.8</v>
      </c>
      <c r="AF208" s="177">
        <f t="shared" si="89"/>
        <v>0.47706822134726096</v>
      </c>
      <c r="AG208" s="809">
        <f t="shared" si="90"/>
        <v>0</v>
      </c>
      <c r="AH208" s="176">
        <f t="shared" si="91"/>
        <v>6</v>
      </c>
      <c r="AI208" s="225">
        <f t="shared" si="92"/>
        <v>0.47706822134726096</v>
      </c>
      <c r="AJ208" s="265" t="b">
        <f t="shared" si="93"/>
        <v>1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6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6">
        <f t="shared" si="75"/>
        <v>0</v>
      </c>
      <c r="M209" s="854"/>
      <c r="N209" s="854"/>
      <c r="O209" s="324">
        <f t="shared" si="76"/>
        <v>0</v>
      </c>
      <c r="P209" s="169">
        <f>(INDEX(Models!$BJ209:$BT209,,T209)*(1-R209)+INDEX(Models!$BJ209:$BT209,,T209+1)*R209-ERP_i)*Q209*Ramure*Pc/MaxiM</f>
        <v>2.0984097857912835E-3</v>
      </c>
      <c r="Q209" s="305">
        <f t="shared" si="77"/>
        <v>0.8</v>
      </c>
      <c r="R209" s="177">
        <f t="shared" si="78"/>
        <v>0.48104296430502047</v>
      </c>
      <c r="S209" s="809">
        <f t="shared" si="96"/>
        <v>0</v>
      </c>
      <c r="T209" s="176">
        <f t="shared" si="79"/>
        <v>6</v>
      </c>
      <c r="U209" s="251">
        <f t="shared" si="80"/>
        <v>0.48104296430502047</v>
      </c>
      <c r="V209" s="383">
        <f t="shared" si="81"/>
        <v>59.329586918496823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5">
        <f t="shared" si="87"/>
        <v>0</v>
      </c>
      <c r="AD209" s="169">
        <f>(INDEX(Models!$BJ209:$BT209,,AH209)*(1-AF209)+INDEX(Models!$BJ209:$BT209,,AH209+1)*AF209-ERP_i)*AE209*Ramure*Pc/MaxiM</f>
        <v>2.0984097857912835E-3</v>
      </c>
      <c r="AE209" s="305">
        <f t="shared" si="88"/>
        <v>0.8</v>
      </c>
      <c r="AF209" s="177">
        <f t="shared" si="89"/>
        <v>0.48104296430502047</v>
      </c>
      <c r="AG209" s="809">
        <f t="shared" si="90"/>
        <v>0</v>
      </c>
      <c r="AH209" s="176">
        <f t="shared" si="91"/>
        <v>6</v>
      </c>
      <c r="AI209" s="225">
        <f t="shared" si="92"/>
        <v>0.48104296430502047</v>
      </c>
      <c r="AJ209" s="265" t="b">
        <f t="shared" si="93"/>
        <v>1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6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6">
        <f t="shared" si="75"/>
        <v>0</v>
      </c>
      <c r="M210" s="854"/>
      <c r="N210" s="854"/>
      <c r="O210" s="324">
        <f t="shared" si="76"/>
        <v>0</v>
      </c>
      <c r="P210" s="169">
        <f>(INDEX(Models!$BJ210:$BT210,,T210)*(1-R210)+INDEX(Models!$BJ210:$BT210,,T210+1)*R210-ERP_i)*Q210*Ramure*Pc/MaxiM</f>
        <v>2.1047395284585352E-3</v>
      </c>
      <c r="Q210" s="305">
        <f t="shared" si="77"/>
        <v>0.8</v>
      </c>
      <c r="R210" s="177">
        <f t="shared" si="78"/>
        <v>0.48492034959120334</v>
      </c>
      <c r="S210" s="809">
        <f t="shared" si="96"/>
        <v>0</v>
      </c>
      <c r="T210" s="176">
        <f t="shared" si="79"/>
        <v>6</v>
      </c>
      <c r="U210" s="251">
        <f t="shared" si="80"/>
        <v>0.48492034959120334</v>
      </c>
      <c r="V210" s="383">
        <f t="shared" si="81"/>
        <v>59.179071136660951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5">
        <f t="shared" si="87"/>
        <v>0</v>
      </c>
      <c r="AD210" s="169">
        <f>(INDEX(Models!$BJ210:$BT210,,AH210)*(1-AF210)+INDEX(Models!$BJ210:$BT210,,AH210+1)*AF210-ERP_i)*AE210*Ramure*Pc/MaxiM</f>
        <v>2.1047395284585352E-3</v>
      </c>
      <c r="AE210" s="305">
        <f t="shared" si="88"/>
        <v>0.8</v>
      </c>
      <c r="AF210" s="177">
        <f t="shared" si="89"/>
        <v>0.48492034959120334</v>
      </c>
      <c r="AG210" s="809">
        <f t="shared" si="90"/>
        <v>0</v>
      </c>
      <c r="AH210" s="176">
        <f t="shared" si="91"/>
        <v>6</v>
      </c>
      <c r="AI210" s="225">
        <f t="shared" si="92"/>
        <v>0.48492034959120334</v>
      </c>
      <c r="AJ210" s="265" t="b">
        <f t="shared" si="93"/>
        <v>1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6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6">
        <f t="shared" si="75"/>
        <v>0</v>
      </c>
      <c r="M211" s="854"/>
      <c r="N211" s="854"/>
      <c r="O211" s="324">
        <f t="shared" si="76"/>
        <v>0</v>
      </c>
      <c r="P211" s="169">
        <f>(INDEX(Models!$BJ211:$BT211,,T211)*(1-R211)+INDEX(Models!$BJ211:$BT211,,T211+1)*R211-ERP_i)*Q211*Ramure*Pc/MaxiM</f>
        <v>2.1091909313654144E-3</v>
      </c>
      <c r="Q211" s="305">
        <f t="shared" si="77"/>
        <v>0.8</v>
      </c>
      <c r="R211" s="177">
        <f t="shared" si="78"/>
        <v>0.48870075682481301</v>
      </c>
      <c r="S211" s="809">
        <f t="shared" si="96"/>
        <v>0</v>
      </c>
      <c r="T211" s="176">
        <f t="shared" si="79"/>
        <v>6</v>
      </c>
      <c r="U211" s="251">
        <f t="shared" si="80"/>
        <v>0.48870075682481301</v>
      </c>
      <c r="V211" s="383">
        <f t="shared" si="81"/>
        <v>59.025490829245825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5">
        <f t="shared" si="87"/>
        <v>0</v>
      </c>
      <c r="AD211" s="169">
        <f>(INDEX(Models!$BJ211:$BT211,,AH211)*(1-AF211)+INDEX(Models!$BJ211:$BT211,,AH211+1)*AF211-ERP_i)*AE211*Ramure*Pc/MaxiM</f>
        <v>2.1091909313654144E-3</v>
      </c>
      <c r="AE211" s="305">
        <f t="shared" si="88"/>
        <v>0.8</v>
      </c>
      <c r="AF211" s="177">
        <f t="shared" si="89"/>
        <v>0.48870075682481301</v>
      </c>
      <c r="AG211" s="809">
        <f t="shared" si="90"/>
        <v>0</v>
      </c>
      <c r="AH211" s="176">
        <f t="shared" si="91"/>
        <v>6</v>
      </c>
      <c r="AI211" s="225">
        <f t="shared" si="92"/>
        <v>0.48870075682481301</v>
      </c>
      <c r="AJ211" s="265" t="b">
        <f t="shared" si="93"/>
        <v>1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6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6">
        <f t="shared" si="75"/>
        <v>0</v>
      </c>
      <c r="M212" s="854"/>
      <c r="N212" s="854"/>
      <c r="O212" s="324">
        <f t="shared" si="76"/>
        <v>0</v>
      </c>
      <c r="P212" s="169">
        <f>(INDEX(Models!$BJ212:$BT212,,T212)*(1-R212)+INDEX(Models!$BJ212:$BT212,,T212+1)*R212-ERP_i)*Q212*Ramure*Pc/MaxiM</f>
        <v>2.1113118380372037E-3</v>
      </c>
      <c r="Q212" s="305">
        <f t="shared" si="77"/>
        <v>0.8</v>
      </c>
      <c r="R212" s="177">
        <f t="shared" si="78"/>
        <v>0.49238470650470462</v>
      </c>
      <c r="S212" s="809">
        <f t="shared" si="96"/>
        <v>0</v>
      </c>
      <c r="T212" s="176">
        <f t="shared" si="79"/>
        <v>6</v>
      </c>
      <c r="U212" s="251">
        <f t="shared" si="80"/>
        <v>0.49238470650470462</v>
      </c>
      <c r="V212" s="383">
        <f t="shared" si="81"/>
        <v>58.869204380045744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5">
        <f t="shared" si="87"/>
        <v>0</v>
      </c>
      <c r="AD212" s="169">
        <f>(INDEX(Models!$BJ212:$BT212,,AH212)*(1-AF212)+INDEX(Models!$BJ212:$BT212,,AH212+1)*AF212-ERP_i)*AE212*Ramure*Pc/MaxiM</f>
        <v>2.1113118380372037E-3</v>
      </c>
      <c r="AE212" s="305">
        <f t="shared" si="88"/>
        <v>0.8</v>
      </c>
      <c r="AF212" s="177">
        <f t="shared" si="89"/>
        <v>0.49238470650470462</v>
      </c>
      <c r="AG212" s="809">
        <f t="shared" si="90"/>
        <v>0</v>
      </c>
      <c r="AH212" s="176">
        <f t="shared" si="91"/>
        <v>6</v>
      </c>
      <c r="AI212" s="225">
        <f t="shared" si="92"/>
        <v>0.49238470650470462</v>
      </c>
      <c r="AJ212" s="265" t="b">
        <f t="shared" si="93"/>
        <v>1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6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6">
        <f t="shared" si="75"/>
        <v>0</v>
      </c>
      <c r="M213" s="854"/>
      <c r="N213" s="854"/>
      <c r="O213" s="324">
        <f t="shared" si="76"/>
        <v>0</v>
      </c>
      <c r="P213" s="169">
        <f>(INDEX(Models!$BJ213:$BT213,,T213)*(1-R213)+INDEX(Models!$BJ213:$BT213,,T213+1)*R213-ERP_i)*Q213*Ramure*Pc/MaxiM</f>
        <v>2.1115514973491633E-3</v>
      </c>
      <c r="Q213" s="305">
        <f t="shared" si="77"/>
        <v>0.8</v>
      </c>
      <c r="R213" s="177">
        <f t="shared" si="78"/>
        <v>0.49597285160425308</v>
      </c>
      <c r="S213" s="809">
        <f t="shared" si="96"/>
        <v>0</v>
      </c>
      <c r="T213" s="176">
        <f t="shared" si="79"/>
        <v>6</v>
      </c>
      <c r="U213" s="251">
        <f t="shared" si="80"/>
        <v>0.49597285160425308</v>
      </c>
      <c r="V213" s="383">
        <f t="shared" si="81"/>
        <v>58.710516813752776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5">
        <f t="shared" si="87"/>
        <v>0</v>
      </c>
      <c r="AD213" s="169">
        <f>(INDEX(Models!$BJ213:$BT213,,AH213)*(1-AF213)+INDEX(Models!$BJ213:$BT213,,AH213+1)*AF213-ERP_i)*AE213*Ramure*Pc/MaxiM</f>
        <v>2.1115514973491633E-3</v>
      </c>
      <c r="AE213" s="305">
        <f t="shared" si="88"/>
        <v>0.8</v>
      </c>
      <c r="AF213" s="177">
        <f t="shared" si="89"/>
        <v>0.49597285160425308</v>
      </c>
      <c r="AG213" s="809">
        <f t="shared" si="90"/>
        <v>0</v>
      </c>
      <c r="AH213" s="176">
        <f t="shared" si="91"/>
        <v>6</v>
      </c>
      <c r="AI213" s="225">
        <f t="shared" si="92"/>
        <v>0.49597285160425308</v>
      </c>
      <c r="AJ213" s="265" t="b">
        <f t="shared" si="93"/>
        <v>1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6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6">
        <f t="shared" si="75"/>
        <v>0</v>
      </c>
      <c r="M214" s="854"/>
      <c r="N214" s="854"/>
      <c r="O214" s="324">
        <f t="shared" si="76"/>
        <v>0</v>
      </c>
      <c r="P214" s="169">
        <f>(INDEX(Models!$BJ214:$BT214,,T214)*(1-R214)+INDEX(Models!$BJ214:$BT214,,T214+1)*R214-ERP_i)*Q214*Ramure*Pc/MaxiM</f>
        <v>2.1098828607497597E-3</v>
      </c>
      <c r="Q214" s="305">
        <f t="shared" si="77"/>
        <v>0.8</v>
      </c>
      <c r="R214" s="177">
        <f t="shared" si="78"/>
        <v>0.49946596912292962</v>
      </c>
      <c r="S214" s="809">
        <f t="shared" si="96"/>
        <v>0</v>
      </c>
      <c r="T214" s="176">
        <f t="shared" si="79"/>
        <v>6</v>
      </c>
      <c r="U214" s="251">
        <f t="shared" si="80"/>
        <v>0.49946596912292962</v>
      </c>
      <c r="V214" s="383">
        <f t="shared" si="81"/>
        <v>58.549761356006421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5">
        <f t="shared" si="87"/>
        <v>0</v>
      </c>
      <c r="AD214" s="169">
        <f>(INDEX(Models!$BJ214:$BT214,,AH214)*(1-AF214)+INDEX(Models!$BJ214:$BT214,,AH214+1)*AF214-ERP_i)*AE214*Ramure*Pc/MaxiM</f>
        <v>2.1098828607497597E-3</v>
      </c>
      <c r="AE214" s="305">
        <f t="shared" si="88"/>
        <v>0.8</v>
      </c>
      <c r="AF214" s="177">
        <f t="shared" si="89"/>
        <v>0.49946596912292962</v>
      </c>
      <c r="AG214" s="809">
        <f t="shared" si="90"/>
        <v>0</v>
      </c>
      <c r="AH214" s="176">
        <f t="shared" si="91"/>
        <v>6</v>
      </c>
      <c r="AI214" s="225">
        <f t="shared" si="92"/>
        <v>0.49946596912292962</v>
      </c>
      <c r="AJ214" s="265" t="b">
        <f t="shared" si="93"/>
        <v>1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6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6">
        <f t="shared" si="75"/>
        <v>0</v>
      </c>
      <c r="M215" s="854"/>
      <c r="N215" s="854"/>
      <c r="O215" s="324">
        <f t="shared" si="76"/>
        <v>0</v>
      </c>
      <c r="P215" s="169">
        <f>(INDEX(Models!$BJ215:$BT215,,T215)*(1-R215)+INDEX(Models!$BJ215:$BT215,,T215+1)*R215-ERP_i)*Q215*Ramure*Pc/MaxiM</f>
        <v>2.1062799962422939E-3</v>
      </c>
      <c r="Q215" s="305">
        <f t="shared" si="77"/>
        <v>0.8</v>
      </c>
      <c r="R215" s="177">
        <f t="shared" si="78"/>
        <v>0.50286495164545175</v>
      </c>
      <c r="S215" s="809">
        <f t="shared" si="96"/>
        <v>0</v>
      </c>
      <c r="T215" s="176">
        <f t="shared" si="79"/>
        <v>6</v>
      </c>
      <c r="U215" s="251">
        <f t="shared" si="80"/>
        <v>0.50286495164545175</v>
      </c>
      <c r="V215" s="383">
        <f t="shared" si="81"/>
        <v>58.387271123361991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5">
        <f t="shared" si="87"/>
        <v>0</v>
      </c>
      <c r="AD215" s="169">
        <f>(INDEX(Models!$BJ215:$BT215,,AH215)*(1-AF215)+INDEX(Models!$BJ215:$BT215,,AH215+1)*AF215-ERP_i)*AE215*Ramure*Pc/MaxiM</f>
        <v>2.1062799962422939E-3</v>
      </c>
      <c r="AE215" s="305">
        <f t="shared" si="88"/>
        <v>0.8</v>
      </c>
      <c r="AF215" s="177">
        <f t="shared" si="89"/>
        <v>0.50286495164545175</v>
      </c>
      <c r="AG215" s="809">
        <f t="shared" si="90"/>
        <v>0</v>
      </c>
      <c r="AH215" s="176">
        <f t="shared" si="91"/>
        <v>6</v>
      </c>
      <c r="AI215" s="225">
        <f t="shared" si="92"/>
        <v>0.50286495164545175</v>
      </c>
      <c r="AJ215" s="265" t="b">
        <f t="shared" si="93"/>
        <v>1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6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6">
        <f t="shared" si="75"/>
        <v>0</v>
      </c>
      <c r="M216" s="854"/>
      <c r="N216" s="854"/>
      <c r="O216" s="324">
        <f t="shared" si="76"/>
        <v>0</v>
      </c>
      <c r="P216" s="169">
        <f>(INDEX(Models!$BJ216:$BT216,,T216)*(1-R216)+INDEX(Models!$BJ216:$BT216,,T216+1)*R216-ERP_i)*Q216*Ramure*Pc/MaxiM</f>
        <v>2.100718012139337E-3</v>
      </c>
      <c r="Q216" s="305">
        <f t="shared" si="77"/>
        <v>0.8</v>
      </c>
      <c r="R216" s="177">
        <f t="shared" si="78"/>
        <v>0.50617079895512374</v>
      </c>
      <c r="S216" s="809">
        <f t="shared" si="96"/>
        <v>0</v>
      </c>
      <c r="T216" s="176">
        <f t="shared" si="79"/>
        <v>6</v>
      </c>
      <c r="U216" s="251">
        <f t="shared" si="80"/>
        <v>0.50617079895512374</v>
      </c>
      <c r="V216" s="383">
        <f t="shared" si="81"/>
        <v>58.223379138924116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5">
        <f t="shared" si="87"/>
        <v>0</v>
      </c>
      <c r="AD216" s="169">
        <f>(INDEX(Models!$BJ216:$BT216,,AH216)*(1-AF216)+INDEX(Models!$BJ216:$BT216,,AH216+1)*AF216-ERP_i)*AE216*Ramure*Pc/MaxiM</f>
        <v>2.100718012139337E-3</v>
      </c>
      <c r="AE216" s="305">
        <f t="shared" si="88"/>
        <v>0.8</v>
      </c>
      <c r="AF216" s="177">
        <f t="shared" si="89"/>
        <v>0.50617079895512374</v>
      </c>
      <c r="AG216" s="809">
        <f t="shared" si="90"/>
        <v>0</v>
      </c>
      <c r="AH216" s="176">
        <f t="shared" si="91"/>
        <v>6</v>
      </c>
      <c r="AI216" s="225">
        <f t="shared" si="92"/>
        <v>0.50617079895512374</v>
      </c>
      <c r="AJ216" s="265" t="b">
        <f t="shared" si="93"/>
        <v>1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6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6">
        <f t="shared" si="75"/>
        <v>0</v>
      </c>
      <c r="M217" s="854"/>
      <c r="N217" s="854"/>
      <c r="O217" s="324">
        <f t="shared" si="76"/>
        <v>0</v>
      </c>
      <c r="P217" s="169">
        <f>(INDEX(Models!$BJ217:$BT217,,T217)*(1-R217)+INDEX(Models!$BJ217:$BT217,,T217+1)*R217-ERP_i)*Q217*Ramure*Pc/MaxiM</f>
        <v>2.0931729889044517E-3</v>
      </c>
      <c r="Q217" s="305">
        <f t="shared" si="77"/>
        <v>0.8</v>
      </c>
      <c r="R217" s="177">
        <f t="shared" si="78"/>
        <v>0.50938460974385869</v>
      </c>
      <c r="S217" s="809">
        <f t="shared" si="96"/>
        <v>0</v>
      </c>
      <c r="T217" s="176">
        <f t="shared" si="79"/>
        <v>6</v>
      </c>
      <c r="U217" s="251">
        <f t="shared" si="80"/>
        <v>0.50938460974385869</v>
      </c>
      <c r="V217" s="383">
        <f t="shared" si="81"/>
        <v>58.058418340624037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5">
        <f t="shared" si="87"/>
        <v>0</v>
      </c>
      <c r="AD217" s="169">
        <f>(INDEX(Models!$BJ217:$BT217,,AH217)*(1-AF217)+INDEX(Models!$BJ217:$BT217,,AH217+1)*AF217-ERP_i)*AE217*Ramure*Pc/MaxiM</f>
        <v>2.0931729889044517E-3</v>
      </c>
      <c r="AE217" s="305">
        <f t="shared" si="88"/>
        <v>0.8</v>
      </c>
      <c r="AF217" s="177">
        <f t="shared" si="89"/>
        <v>0.50938460974385869</v>
      </c>
      <c r="AG217" s="809">
        <f t="shared" si="90"/>
        <v>0</v>
      </c>
      <c r="AH217" s="176">
        <f t="shared" si="91"/>
        <v>6</v>
      </c>
      <c r="AI217" s="225">
        <f t="shared" si="92"/>
        <v>0.50938460974385869</v>
      </c>
      <c r="AJ217" s="265" t="b">
        <f t="shared" si="93"/>
        <v>1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6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6">
        <f t="shared" si="75"/>
        <v>0</v>
      </c>
      <c r="M218" s="854"/>
      <c r="N218" s="854"/>
      <c r="O218" s="324">
        <f t="shared" si="76"/>
        <v>0</v>
      </c>
      <c r="P218" s="169">
        <f>(INDEX(Models!$BJ218:$BT218,,T218)*(1-R218)+INDEX(Models!$BJ218:$BT218,,T218+1)*R218-ERP_i)*Q218*Ramure*Pc/MaxiM</f>
        <v>2.0836219201266683E-3</v>
      </c>
      <c r="Q218" s="305">
        <f t="shared" si="77"/>
        <v>0.8</v>
      </c>
      <c r="R218" s="177">
        <f t="shared" si="78"/>
        <v>0.5125075734572172</v>
      </c>
      <c r="S218" s="809">
        <f t="shared" si="96"/>
        <v>0</v>
      </c>
      <c r="T218" s="176">
        <f t="shared" si="79"/>
        <v>6</v>
      </c>
      <c r="U218" s="251">
        <f t="shared" si="80"/>
        <v>0.5125075734572172</v>
      </c>
      <c r="V218" s="383">
        <f t="shared" si="81"/>
        <v>57.89272159174034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5">
        <f t="shared" si="87"/>
        <v>0</v>
      </c>
      <c r="AD218" s="169">
        <f>(INDEX(Models!$BJ218:$BT218,,AH218)*(1-AF218)+INDEX(Models!$BJ218:$BT218,,AH218+1)*AF218-ERP_i)*AE218*Ramure*Pc/MaxiM</f>
        <v>2.0836219201266683E-3</v>
      </c>
      <c r="AE218" s="305">
        <f t="shared" si="88"/>
        <v>0.8</v>
      </c>
      <c r="AF218" s="177">
        <f t="shared" si="89"/>
        <v>0.5125075734572172</v>
      </c>
      <c r="AG218" s="809">
        <f t="shared" si="90"/>
        <v>0</v>
      </c>
      <c r="AH218" s="176">
        <f t="shared" si="91"/>
        <v>6</v>
      </c>
      <c r="AI218" s="225">
        <f t="shared" si="92"/>
        <v>0.5125075734572172</v>
      </c>
      <c r="AJ218" s="265" t="b">
        <f t="shared" si="93"/>
        <v>1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6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6">
        <f t="shared" si="75"/>
        <v>0</v>
      </c>
      <c r="M219" s="854"/>
      <c r="N219" s="854"/>
      <c r="O219" s="324">
        <f t="shared" si="76"/>
        <v>0</v>
      </c>
      <c r="P219" s="169">
        <f>(INDEX(Models!$BJ219:$BT219,,T219)*(1-R219)+INDEX(Models!$BJ219:$BT219,,T219+1)*R219-ERP_i)*Q219*Ramure*Pc/MaxiM</f>
        <v>2.0720346758697356E-3</v>
      </c>
      <c r="Q219" s="305">
        <f t="shared" si="77"/>
        <v>0.8</v>
      </c>
      <c r="R219" s="177">
        <f t="shared" si="78"/>
        <v>0.51554096230866986</v>
      </c>
      <c r="S219" s="809">
        <f t="shared" si="96"/>
        <v>0</v>
      </c>
      <c r="T219" s="176">
        <f t="shared" si="79"/>
        <v>6</v>
      </c>
      <c r="U219" s="251">
        <f t="shared" si="80"/>
        <v>0.51554096230866986</v>
      </c>
      <c r="V219" s="383">
        <f t="shared" si="81"/>
        <v>57.726751477122697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5">
        <f t="shared" si="87"/>
        <v>0</v>
      </c>
      <c r="AD219" s="169">
        <f>(INDEX(Models!$BJ219:$BT219,,AH219)*(1-AF219)+INDEX(Models!$BJ219:$BT219,,AH219+1)*AF219-ERP_i)*AE219*Ramure*Pc/MaxiM</f>
        <v>2.0720346758697356E-3</v>
      </c>
      <c r="AE219" s="305">
        <f t="shared" si="88"/>
        <v>0.8</v>
      </c>
      <c r="AF219" s="177">
        <f t="shared" si="89"/>
        <v>0.51554096230866986</v>
      </c>
      <c r="AG219" s="809">
        <f t="shared" si="90"/>
        <v>0</v>
      </c>
      <c r="AH219" s="176">
        <f t="shared" si="91"/>
        <v>6</v>
      </c>
      <c r="AI219" s="225">
        <f t="shared" si="92"/>
        <v>0.51554096230866986</v>
      </c>
      <c r="AJ219" s="265" t="b">
        <f t="shared" si="93"/>
        <v>1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6"/>
      <c r="C220" s="390"/>
      <c r="D220" s="393"/>
      <c r="E220" s="385"/>
      <c r="F220" s="385"/>
      <c r="G220" s="110"/>
      <c r="I220" s="380">
        <f t="shared" si="73"/>
        <v>0</v>
      </c>
      <c r="J220" s="85">
        <v>2018</v>
      </c>
      <c r="K220" s="197">
        <f t="shared" si="74"/>
        <v>43306</v>
      </c>
      <c r="L220" s="436">
        <f t="shared" si="75"/>
        <v>0</v>
      </c>
      <c r="M220" s="854"/>
      <c r="N220" s="854"/>
      <c r="O220" s="324">
        <f t="shared" si="76"/>
        <v>0</v>
      </c>
      <c r="P220" s="169">
        <f>(INDEX(Models!$BJ220:$BT220,,T220)*(1-R220)+INDEX(Models!$BJ220:$BT220,,T220+1)*R220-ERP_i)*Q220*Ramure*Pc/MaxiM</f>
        <v>2.0582090141415461E-3</v>
      </c>
      <c r="Q220" s="305">
        <f t="shared" si="77"/>
        <v>0.8</v>
      </c>
      <c r="R220" s="177">
        <f t="shared" si="78"/>
        <v>0.51848612349323187</v>
      </c>
      <c r="S220" s="809">
        <f t="shared" si="96"/>
        <v>0</v>
      </c>
      <c r="T220" s="176">
        <f t="shared" si="79"/>
        <v>6</v>
      </c>
      <c r="U220" s="251">
        <f t="shared" si="80"/>
        <v>0.51848612349323187</v>
      </c>
      <c r="V220" s="383">
        <f t="shared" si="81"/>
        <v>57.560463202672977</v>
      </c>
      <c r="W220" s="58"/>
      <c r="X220" s="157">
        <f t="shared" si="82"/>
        <v>43306</v>
      </c>
      <c r="Y220" s="385">
        <f t="shared" si="83"/>
        <v>0</v>
      </c>
      <c r="Z220" s="385">
        <f t="shared" si="84"/>
        <v>0</v>
      </c>
      <c r="AA220" s="386">
        <f t="shared" si="85"/>
        <v>0</v>
      </c>
      <c r="AB220" s="197">
        <f t="shared" si="86"/>
        <v>43306</v>
      </c>
      <c r="AC220" s="425">
        <f t="shared" si="87"/>
        <v>0</v>
      </c>
      <c r="AD220" s="169">
        <f>(INDEX(Models!$BJ220:$BT220,,AH220)*(1-AF220)+INDEX(Models!$BJ220:$BT220,,AH220+1)*AF220-ERP_i)*AE220*Ramure*Pc/MaxiM</f>
        <v>2.0582090141415461E-3</v>
      </c>
      <c r="AE220" s="305">
        <f t="shared" si="88"/>
        <v>0.8</v>
      </c>
      <c r="AF220" s="177">
        <f t="shared" si="89"/>
        <v>0.51848612349323187</v>
      </c>
      <c r="AG220" s="809">
        <f t="shared" si="90"/>
        <v>0</v>
      </c>
      <c r="AH220" s="176">
        <f t="shared" si="91"/>
        <v>6</v>
      </c>
      <c r="AI220" s="225">
        <f t="shared" si="92"/>
        <v>0.51848612349323187</v>
      </c>
      <c r="AJ220" s="265" t="b">
        <f t="shared" si="93"/>
        <v>1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6"/>
      <c r="C221" s="390"/>
      <c r="D221" s="393"/>
      <c r="E221" s="385"/>
      <c r="F221" s="385"/>
      <c r="G221" s="110"/>
      <c r="I221" s="380">
        <f t="shared" si="73"/>
        <v>0</v>
      </c>
      <c r="J221" s="85">
        <v>2018</v>
      </c>
      <c r="K221" s="197">
        <f t="shared" si="74"/>
        <v>43307</v>
      </c>
      <c r="L221" s="436">
        <f t="shared" si="75"/>
        <v>0</v>
      </c>
      <c r="M221" s="854"/>
      <c r="N221" s="854"/>
      <c r="O221" s="324">
        <f t="shared" si="76"/>
        <v>0</v>
      </c>
      <c r="P221" s="169">
        <f>(INDEX(Models!$BJ221:$BT221,,T221)*(1-R221)+INDEX(Models!$BJ221:$BT221,,T221+1)*R221-ERP_i)*Q221*Ramure*Pc/MaxiM</f>
        <v>2.0429426311711061E-3</v>
      </c>
      <c r="Q221" s="305">
        <f t="shared" si="77"/>
        <v>0.8</v>
      </c>
      <c r="R221" s="177">
        <f t="shared" si="78"/>
        <v>0.52134447162666264</v>
      </c>
      <c r="S221" s="809">
        <f t="shared" si="96"/>
        <v>0</v>
      </c>
      <c r="T221" s="176">
        <f t="shared" si="79"/>
        <v>6</v>
      </c>
      <c r="U221" s="251">
        <f t="shared" si="80"/>
        <v>0.52134447162666264</v>
      </c>
      <c r="V221" s="383">
        <f t="shared" si="81"/>
        <v>57.393366342938165</v>
      </c>
      <c r="W221" s="58"/>
      <c r="X221" s="157">
        <f t="shared" si="82"/>
        <v>43307</v>
      </c>
      <c r="Y221" s="385">
        <f t="shared" si="83"/>
        <v>0</v>
      </c>
      <c r="Z221" s="385">
        <f t="shared" si="84"/>
        <v>0</v>
      </c>
      <c r="AA221" s="386">
        <f t="shared" si="85"/>
        <v>0</v>
      </c>
      <c r="AB221" s="197">
        <f t="shared" si="86"/>
        <v>43307</v>
      </c>
      <c r="AC221" s="425">
        <f t="shared" si="87"/>
        <v>0</v>
      </c>
      <c r="AD221" s="169">
        <f>(INDEX(Models!$BJ221:$BT221,,AH221)*(1-AF221)+INDEX(Models!$BJ221:$BT221,,AH221+1)*AF221-ERP_i)*AE221*Ramure*Pc/MaxiM</f>
        <v>2.0429426311711061E-3</v>
      </c>
      <c r="AE221" s="305">
        <f t="shared" si="88"/>
        <v>0.8</v>
      </c>
      <c r="AF221" s="177">
        <f t="shared" si="89"/>
        <v>0.52134447162666264</v>
      </c>
      <c r="AG221" s="809">
        <f t="shared" si="90"/>
        <v>0</v>
      </c>
      <c r="AH221" s="176">
        <f t="shared" si="91"/>
        <v>6</v>
      </c>
      <c r="AI221" s="225">
        <f t="shared" si="92"/>
        <v>0.52134447162666264</v>
      </c>
      <c r="AJ221" s="265" t="b">
        <f t="shared" si="93"/>
        <v>1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6"/>
      <c r="C222" s="390"/>
      <c r="D222" s="393"/>
      <c r="E222" s="385"/>
      <c r="F222" s="385"/>
      <c r="G222" s="110"/>
      <c r="I222" s="380">
        <f t="shared" si="73"/>
        <v>0</v>
      </c>
      <c r="J222" s="85">
        <v>2018</v>
      </c>
      <c r="K222" s="197">
        <f t="shared" si="74"/>
        <v>43308</v>
      </c>
      <c r="L222" s="436">
        <f t="shared" si="75"/>
        <v>0</v>
      </c>
      <c r="M222" s="854"/>
      <c r="N222" s="854"/>
      <c r="O222" s="324">
        <f t="shared" si="76"/>
        <v>0</v>
      </c>
      <c r="P222" s="169">
        <f>(INDEX(Models!$BJ222:$BT222,,T222)*(1-R222)+INDEX(Models!$BJ222:$BT222,,T222+1)*R222-ERP_i)*Q222*Ramure*Pc/MaxiM</f>
        <v>2.0262559013120417E-3</v>
      </c>
      <c r="Q222" s="305">
        <f t="shared" si="77"/>
        <v>0.8</v>
      </c>
      <c r="R222" s="177">
        <f t="shared" si="78"/>
        <v>0.5241174814326216</v>
      </c>
      <c r="S222" s="809">
        <f t="shared" si="96"/>
        <v>0</v>
      </c>
      <c r="T222" s="176">
        <f t="shared" si="79"/>
        <v>6</v>
      </c>
      <c r="U222" s="251">
        <f t="shared" si="80"/>
        <v>0.5241174814326216</v>
      </c>
      <c r="V222" s="383">
        <f t="shared" si="81"/>
        <v>57.225015546756254</v>
      </c>
      <c r="W222" s="58"/>
      <c r="X222" s="157">
        <f t="shared" si="82"/>
        <v>43308</v>
      </c>
      <c r="Y222" s="385">
        <f t="shared" si="83"/>
        <v>0</v>
      </c>
      <c r="Z222" s="385">
        <f t="shared" si="84"/>
        <v>0</v>
      </c>
      <c r="AA222" s="386">
        <f t="shared" si="85"/>
        <v>0</v>
      </c>
      <c r="AB222" s="197">
        <f t="shared" si="86"/>
        <v>43308</v>
      </c>
      <c r="AC222" s="425">
        <f t="shared" si="87"/>
        <v>0</v>
      </c>
      <c r="AD222" s="169">
        <f>(INDEX(Models!$BJ222:$BT222,,AH222)*(1-AF222)+INDEX(Models!$BJ222:$BT222,,AH222+1)*AF222-ERP_i)*AE222*Ramure*Pc/MaxiM</f>
        <v>2.0262559013120417E-3</v>
      </c>
      <c r="AE222" s="305">
        <f t="shared" si="88"/>
        <v>0.8</v>
      </c>
      <c r="AF222" s="177">
        <f t="shared" si="89"/>
        <v>0.5241174814326216</v>
      </c>
      <c r="AG222" s="809">
        <f t="shared" si="90"/>
        <v>0</v>
      </c>
      <c r="AH222" s="176">
        <f t="shared" si="91"/>
        <v>6</v>
      </c>
      <c r="AI222" s="225">
        <f t="shared" si="92"/>
        <v>0.5241174814326216</v>
      </c>
      <c r="AJ222" s="265" t="b">
        <f t="shared" si="93"/>
        <v>1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6"/>
      <c r="C223" s="390"/>
      <c r="D223" s="393"/>
      <c r="E223" s="385"/>
      <c r="F223" s="385"/>
      <c r="G223" s="110"/>
      <c r="I223" s="380">
        <f t="shared" si="73"/>
        <v>0</v>
      </c>
      <c r="J223" s="85">
        <v>2018</v>
      </c>
      <c r="K223" s="197">
        <f t="shared" si="74"/>
        <v>43309</v>
      </c>
      <c r="L223" s="436">
        <f t="shared" si="75"/>
        <v>0</v>
      </c>
      <c r="M223" s="854"/>
      <c r="N223" s="854"/>
      <c r="O223" s="324">
        <f t="shared" si="76"/>
        <v>0</v>
      </c>
      <c r="P223" s="169">
        <f>(INDEX(Models!$BJ223:$BT223,,T223)*(1-R223)+INDEX(Models!$BJ223:$BT223,,T223+1)*R223-ERP_i)*Q223*Ramure*Pc/MaxiM</f>
        <v>2.0081687527482772E-3</v>
      </c>
      <c r="Q223" s="305">
        <f t="shared" si="77"/>
        <v>0.8</v>
      </c>
      <c r="R223" s="177">
        <f t="shared" si="78"/>
        <v>0.52680668069651948</v>
      </c>
      <c r="S223" s="809">
        <f t="shared" si="96"/>
        <v>0</v>
      </c>
      <c r="T223" s="176">
        <f t="shared" si="79"/>
        <v>6</v>
      </c>
      <c r="U223" s="251">
        <f t="shared" si="80"/>
        <v>0.52680668069651948</v>
      </c>
      <c r="V223" s="383">
        <f t="shared" si="81"/>
        <v>57.054965462269891</v>
      </c>
      <c r="W223" s="58"/>
      <c r="X223" s="157">
        <f t="shared" si="82"/>
        <v>43309</v>
      </c>
      <c r="Y223" s="385">
        <f t="shared" si="83"/>
        <v>0</v>
      </c>
      <c r="Z223" s="385">
        <f t="shared" si="84"/>
        <v>0</v>
      </c>
      <c r="AA223" s="386">
        <f t="shared" si="85"/>
        <v>0</v>
      </c>
      <c r="AB223" s="197">
        <f t="shared" si="86"/>
        <v>43309</v>
      </c>
      <c r="AC223" s="425">
        <f t="shared" si="87"/>
        <v>0</v>
      </c>
      <c r="AD223" s="169">
        <f>(INDEX(Models!$BJ223:$BT223,,AH223)*(1-AF223)+INDEX(Models!$BJ223:$BT223,,AH223+1)*AF223-ERP_i)*AE223*Ramure*Pc/MaxiM</f>
        <v>2.0081687527482772E-3</v>
      </c>
      <c r="AE223" s="305">
        <f t="shared" si="88"/>
        <v>0.8</v>
      </c>
      <c r="AF223" s="177">
        <f t="shared" si="89"/>
        <v>0.52680668069651948</v>
      </c>
      <c r="AG223" s="809">
        <f t="shared" si="90"/>
        <v>0</v>
      </c>
      <c r="AH223" s="176">
        <f t="shared" si="91"/>
        <v>6</v>
      </c>
      <c r="AI223" s="225">
        <f t="shared" si="92"/>
        <v>0.52680668069651948</v>
      </c>
      <c r="AJ223" s="265" t="b">
        <f t="shared" si="93"/>
        <v>1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6"/>
      <c r="C224" s="390"/>
      <c r="D224" s="393"/>
      <c r="E224" s="385"/>
      <c r="F224" s="385"/>
      <c r="G224" s="110"/>
      <c r="I224" s="380">
        <f t="shared" si="73"/>
        <v>0</v>
      </c>
      <c r="J224" s="85">
        <v>2018</v>
      </c>
      <c r="K224" s="197">
        <f t="shared" si="74"/>
        <v>43310</v>
      </c>
      <c r="L224" s="436">
        <f t="shared" si="75"/>
        <v>0</v>
      </c>
      <c r="M224" s="854"/>
      <c r="N224" s="854"/>
      <c r="O224" s="324">
        <f t="shared" si="76"/>
        <v>0</v>
      </c>
      <c r="P224" s="169">
        <f>(INDEX(Models!$BJ224:$BT224,,T224)*(1-R224)+INDEX(Models!$BJ224:$BT224,,T224+1)*R224-ERP_i)*Q224*Ramure*Pc/MaxiM</f>
        <v>1.9887004826351601E-3</v>
      </c>
      <c r="Q224" s="305">
        <f t="shared" si="77"/>
        <v>0.8</v>
      </c>
      <c r="R224" s="177">
        <f t="shared" si="78"/>
        <v>0.52941364350135955</v>
      </c>
      <c r="S224" s="809">
        <f t="shared" si="96"/>
        <v>0</v>
      </c>
      <c r="T224" s="176">
        <f t="shared" si="79"/>
        <v>6</v>
      </c>
      <c r="U224" s="251">
        <f t="shared" si="80"/>
        <v>0.52941364350135955</v>
      </c>
      <c r="V224" s="383">
        <f t="shared" si="81"/>
        <v>56.882770741684162</v>
      </c>
      <c r="W224" s="58"/>
      <c r="X224" s="157">
        <f t="shared" si="82"/>
        <v>43310</v>
      </c>
      <c r="Y224" s="385">
        <f t="shared" si="83"/>
        <v>0</v>
      </c>
      <c r="Z224" s="385">
        <f t="shared" si="84"/>
        <v>0</v>
      </c>
      <c r="AA224" s="386">
        <f t="shared" si="85"/>
        <v>0</v>
      </c>
      <c r="AB224" s="197">
        <f t="shared" si="86"/>
        <v>43310</v>
      </c>
      <c r="AC224" s="425">
        <f t="shared" si="87"/>
        <v>0</v>
      </c>
      <c r="AD224" s="169">
        <f>(INDEX(Models!$BJ224:$BT224,,AH224)*(1-AF224)+INDEX(Models!$BJ224:$BT224,,AH224+1)*AF224-ERP_i)*AE224*Ramure*Pc/MaxiM</f>
        <v>1.9887004826351601E-3</v>
      </c>
      <c r="AE224" s="305">
        <f t="shared" si="88"/>
        <v>0.8</v>
      </c>
      <c r="AF224" s="177">
        <f t="shared" si="89"/>
        <v>0.52941364350135955</v>
      </c>
      <c r="AG224" s="809">
        <f t="shared" si="90"/>
        <v>0</v>
      </c>
      <c r="AH224" s="176">
        <f t="shared" si="91"/>
        <v>6</v>
      </c>
      <c r="AI224" s="225">
        <f t="shared" si="92"/>
        <v>0.52941364350135955</v>
      </c>
      <c r="AJ224" s="265" t="b">
        <f t="shared" si="93"/>
        <v>1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6"/>
      <c r="C225" s="390"/>
      <c r="D225" s="393"/>
      <c r="E225" s="385"/>
      <c r="F225" s="385"/>
      <c r="G225" s="110"/>
      <c r="I225" s="380">
        <f t="shared" si="73"/>
        <v>0</v>
      </c>
      <c r="J225" s="85">
        <v>2018</v>
      </c>
      <c r="K225" s="197">
        <f t="shared" si="74"/>
        <v>43311</v>
      </c>
      <c r="L225" s="436">
        <f t="shared" si="75"/>
        <v>0</v>
      </c>
      <c r="M225" s="854"/>
      <c r="N225" s="854"/>
      <c r="O225" s="324">
        <f t="shared" si="76"/>
        <v>0</v>
      </c>
      <c r="P225" s="169">
        <f>(INDEX(Models!$BJ225:$BT225,,T225)*(1-R225)+INDEX(Models!$BJ225:$BT225,,T225+1)*R225-ERP_i)*Q225*Ramure*Pc/MaxiM</f>
        <v>1.9678695826928919E-3</v>
      </c>
      <c r="Q225" s="305">
        <f t="shared" si="77"/>
        <v>0.8</v>
      </c>
      <c r="R225" s="177">
        <f t="shared" si="78"/>
        <v>0.53193998375761842</v>
      </c>
      <c r="S225" s="809">
        <f t="shared" si="96"/>
        <v>0</v>
      </c>
      <c r="T225" s="176">
        <f t="shared" si="79"/>
        <v>6</v>
      </c>
      <c r="U225" s="251">
        <f t="shared" si="80"/>
        <v>0.53193998375761842</v>
      </c>
      <c r="V225" s="383">
        <f t="shared" si="81"/>
        <v>56.707986043778227</v>
      </c>
      <c r="W225" s="58"/>
      <c r="X225" s="157">
        <f t="shared" si="82"/>
        <v>43311</v>
      </c>
      <c r="Y225" s="385">
        <f t="shared" si="83"/>
        <v>0</v>
      </c>
      <c r="Z225" s="385">
        <f t="shared" si="84"/>
        <v>0</v>
      </c>
      <c r="AA225" s="386">
        <f t="shared" si="85"/>
        <v>0</v>
      </c>
      <c r="AB225" s="197">
        <f t="shared" si="86"/>
        <v>43311</v>
      </c>
      <c r="AC225" s="425">
        <f t="shared" si="87"/>
        <v>0</v>
      </c>
      <c r="AD225" s="169">
        <f>(INDEX(Models!$BJ225:$BT225,,AH225)*(1-AF225)+INDEX(Models!$BJ225:$BT225,,AH225+1)*AF225-ERP_i)*AE225*Ramure*Pc/MaxiM</f>
        <v>1.9678695826928919E-3</v>
      </c>
      <c r="AE225" s="305">
        <f t="shared" si="88"/>
        <v>0.8</v>
      </c>
      <c r="AF225" s="177">
        <f t="shared" si="89"/>
        <v>0.53193998375761842</v>
      </c>
      <c r="AG225" s="809">
        <f t="shared" si="90"/>
        <v>0</v>
      </c>
      <c r="AH225" s="176">
        <f t="shared" si="91"/>
        <v>6</v>
      </c>
      <c r="AI225" s="225">
        <f t="shared" si="92"/>
        <v>0.53193998375761842</v>
      </c>
      <c r="AJ225" s="265" t="b">
        <f t="shared" si="93"/>
        <v>1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6"/>
      <c r="C226" s="390"/>
      <c r="D226" s="393"/>
      <c r="E226" s="385"/>
      <c r="F226" s="385"/>
      <c r="G226" s="110"/>
      <c r="I226" s="380">
        <f t="shared" si="73"/>
        <v>0</v>
      </c>
      <c r="J226" s="85">
        <v>2018</v>
      </c>
      <c r="K226" s="197">
        <f t="shared" si="74"/>
        <v>43312</v>
      </c>
      <c r="L226" s="436">
        <f t="shared" si="75"/>
        <v>0</v>
      </c>
      <c r="M226" s="854"/>
      <c r="N226" s="854"/>
      <c r="O226" s="324">
        <f t="shared" si="76"/>
        <v>0</v>
      </c>
      <c r="P226" s="169">
        <f>(INDEX(Models!$BJ226:$BT226,,T226)*(1-R226)+INDEX(Models!$BJ226:$BT226,,T226+1)*R226-ERP_i)*Q226*Ramure*Pc/MaxiM</f>
        <v>1.9456613512200207E-3</v>
      </c>
      <c r="Q226" s="305">
        <f t="shared" si="77"/>
        <v>0.8</v>
      </c>
      <c r="R226" s="177">
        <f t="shared" si="78"/>
        <v>0.53438734903618612</v>
      </c>
      <c r="S226" s="809">
        <f t="shared" si="96"/>
        <v>0</v>
      </c>
      <c r="T226" s="176">
        <f t="shared" si="79"/>
        <v>6</v>
      </c>
      <c r="U226" s="251">
        <f t="shared" si="80"/>
        <v>0.53438734903618612</v>
      </c>
      <c r="V226" s="383">
        <f t="shared" si="81"/>
        <v>56.530167865002561</v>
      </c>
      <c r="W226" s="58"/>
      <c r="X226" s="157">
        <f t="shared" si="82"/>
        <v>43312</v>
      </c>
      <c r="Y226" s="385">
        <f t="shared" si="83"/>
        <v>0</v>
      </c>
      <c r="Z226" s="385">
        <f t="shared" si="84"/>
        <v>0</v>
      </c>
      <c r="AA226" s="386">
        <f t="shared" si="85"/>
        <v>0</v>
      </c>
      <c r="AB226" s="197">
        <f t="shared" si="86"/>
        <v>43312</v>
      </c>
      <c r="AC226" s="425">
        <f t="shared" si="87"/>
        <v>0</v>
      </c>
      <c r="AD226" s="169">
        <f>(INDEX(Models!$BJ226:$BT226,,AH226)*(1-AF226)+INDEX(Models!$BJ226:$BT226,,AH226+1)*AF226-ERP_i)*AE226*Ramure*Pc/MaxiM</f>
        <v>1.9456613512200207E-3</v>
      </c>
      <c r="AE226" s="305">
        <f t="shared" si="88"/>
        <v>0.8</v>
      </c>
      <c r="AF226" s="177">
        <f t="shared" si="89"/>
        <v>0.53438734903618612</v>
      </c>
      <c r="AG226" s="809">
        <f t="shared" si="90"/>
        <v>0</v>
      </c>
      <c r="AH226" s="176">
        <f t="shared" si="91"/>
        <v>6</v>
      </c>
      <c r="AI226" s="225">
        <f t="shared" si="92"/>
        <v>0.53438734903618612</v>
      </c>
      <c r="AJ226" s="265" t="b">
        <f t="shared" si="93"/>
        <v>1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6"/>
      <c r="C227" s="390"/>
      <c r="D227" s="393"/>
      <c r="E227" s="385"/>
      <c r="F227" s="385"/>
      <c r="G227" s="110"/>
      <c r="I227" s="380">
        <f t="shared" si="73"/>
        <v>0</v>
      </c>
      <c r="J227" s="85">
        <v>2018</v>
      </c>
      <c r="K227" s="197">
        <f t="shared" si="74"/>
        <v>43313</v>
      </c>
      <c r="L227" s="436">
        <f t="shared" si="75"/>
        <v>0</v>
      </c>
      <c r="M227" s="854"/>
      <c r="N227" s="854"/>
      <c r="O227" s="324">
        <f t="shared" si="76"/>
        <v>0</v>
      </c>
      <c r="P227" s="169">
        <f>(INDEX(Models!$BJ227:$BT227,,T227)*(1-R227)+INDEX(Models!$BJ227:$BT227,,T227+1)*R227-ERP_i)*Q227*Ramure*Pc/MaxiM</f>
        <v>1.9225696064807767E-3</v>
      </c>
      <c r="Q227" s="305">
        <f t="shared" si="77"/>
        <v>0.8</v>
      </c>
      <c r="R227" s="177">
        <f t="shared" si="78"/>
        <v>0.53675741471058924</v>
      </c>
      <c r="S227" s="809">
        <f t="shared" si="96"/>
        <v>0</v>
      </c>
      <c r="T227" s="176">
        <f t="shared" si="79"/>
        <v>6</v>
      </c>
      <c r="U227" s="251">
        <f t="shared" si="80"/>
        <v>0.53675741471058924</v>
      </c>
      <c r="V227" s="383">
        <f t="shared" si="81"/>
        <v>56.348843915313687</v>
      </c>
      <c r="W227" s="58"/>
      <c r="X227" s="157">
        <f t="shared" si="82"/>
        <v>43313</v>
      </c>
      <c r="Y227" s="385">
        <f t="shared" si="83"/>
        <v>0</v>
      </c>
      <c r="Z227" s="385">
        <f t="shared" si="84"/>
        <v>0</v>
      </c>
      <c r="AA227" s="386">
        <f t="shared" si="85"/>
        <v>0</v>
      </c>
      <c r="AB227" s="197">
        <f t="shared" si="86"/>
        <v>43313</v>
      </c>
      <c r="AC227" s="425">
        <f t="shared" si="87"/>
        <v>0</v>
      </c>
      <c r="AD227" s="169">
        <f>(INDEX(Models!$BJ227:$BT227,,AH227)*(1-AF227)+INDEX(Models!$BJ227:$BT227,,AH227+1)*AF227-ERP_i)*AE227*Ramure*Pc/MaxiM</f>
        <v>1.9225696064807767E-3</v>
      </c>
      <c r="AE227" s="305">
        <f t="shared" si="88"/>
        <v>0.8</v>
      </c>
      <c r="AF227" s="177">
        <f t="shared" si="89"/>
        <v>0.53675741471058924</v>
      </c>
      <c r="AG227" s="809">
        <f t="shared" si="90"/>
        <v>0</v>
      </c>
      <c r="AH227" s="176">
        <f t="shared" si="91"/>
        <v>6</v>
      </c>
      <c r="AI227" s="225">
        <f t="shared" si="92"/>
        <v>0.53675741471058924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6"/>
      <c r="C228" s="390"/>
      <c r="D228" s="393"/>
      <c r="E228" s="385"/>
      <c r="F228" s="385"/>
      <c r="G228" s="110"/>
      <c r="I228" s="380">
        <f t="shared" si="73"/>
        <v>0</v>
      </c>
      <c r="J228" s="85">
        <v>2018</v>
      </c>
      <c r="K228" s="197">
        <f t="shared" si="74"/>
        <v>43314</v>
      </c>
      <c r="L228" s="436">
        <f t="shared" si="75"/>
        <v>2.3271460905971431E-5</v>
      </c>
      <c r="M228" s="854"/>
      <c r="N228" s="854"/>
      <c r="O228" s="324">
        <f t="shared" si="76"/>
        <v>1.9549813094950794E-4</v>
      </c>
      <c r="P228" s="169">
        <f>(INDEX(Models!$BJ228:$BT228,,T228)*(1-R228)+INDEX(Models!$BJ228:$BT228,,T228+1)*R228-ERP_i)*Q228*Ramure*Pc/MaxiM</f>
        <v>1.8986193221778793E-3</v>
      </c>
      <c r="Q228" s="305">
        <f t="shared" si="77"/>
        <v>0.8</v>
      </c>
      <c r="R228" s="177">
        <f t="shared" si="78"/>
        <v>0.53905187841215341</v>
      </c>
      <c r="S228" s="809">
        <f t="shared" si="96"/>
        <v>0</v>
      </c>
      <c r="T228" s="176">
        <f t="shared" si="79"/>
        <v>6</v>
      </c>
      <c r="U228" s="251">
        <f t="shared" si="80"/>
        <v>0.53905187841215341</v>
      </c>
      <c r="V228" s="383">
        <f t="shared" si="81"/>
        <v>56.151281962254863</v>
      </c>
      <c r="W228" s="58"/>
      <c r="X228" s="157">
        <f t="shared" si="82"/>
        <v>43314</v>
      </c>
      <c r="Y228" s="385">
        <f t="shared" si="83"/>
        <v>0</v>
      </c>
      <c r="Z228" s="385">
        <f t="shared" si="84"/>
        <v>0</v>
      </c>
      <c r="AA228" s="386">
        <f t="shared" si="85"/>
        <v>0</v>
      </c>
      <c r="AB228" s="197">
        <f t="shared" si="86"/>
        <v>43314</v>
      </c>
      <c r="AC228" s="425">
        <f t="shared" si="87"/>
        <v>1.9549813094950794E-4</v>
      </c>
      <c r="AD228" s="169">
        <f>(INDEX(Models!$BJ228:$BT228,,AH228)*(1-AF228)+INDEX(Models!$BJ228:$BT228,,AH228+1)*AF228-ERP_i)*AE228*Ramure*Pc/MaxiM</f>
        <v>1.8986193221778793E-3</v>
      </c>
      <c r="AE228" s="305">
        <f t="shared" si="88"/>
        <v>0.8</v>
      </c>
      <c r="AF228" s="177">
        <f t="shared" si="89"/>
        <v>0.53905187841215341</v>
      </c>
      <c r="AG228" s="809">
        <f t="shared" si="90"/>
        <v>0</v>
      </c>
      <c r="AH228" s="176">
        <f t="shared" si="91"/>
        <v>6</v>
      </c>
      <c r="AI228" s="225">
        <f t="shared" si="92"/>
        <v>0.53905187841215341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6"/>
      <c r="C229" s="390"/>
      <c r="D229" s="393"/>
      <c r="E229" s="385"/>
      <c r="F229" s="385"/>
      <c r="G229" s="110"/>
      <c r="I229" s="380">
        <f t="shared" si="73"/>
        <v>0</v>
      </c>
      <c r="J229" s="85">
        <v>2018</v>
      </c>
      <c r="K229" s="197">
        <f t="shared" si="74"/>
        <v>43315</v>
      </c>
      <c r="L229" s="436">
        <f t="shared" si="75"/>
        <v>4.6542380251035631E-5</v>
      </c>
      <c r="M229" s="854"/>
      <c r="N229" s="854"/>
      <c r="O229" s="324">
        <f t="shared" si="76"/>
        <v>3.9077563726979113E-4</v>
      </c>
      <c r="P229" s="169">
        <f>(INDEX(Models!$BJ229:$BT229,,T229)*(1-R229)+INDEX(Models!$BJ229:$BT229,,T229+1)*R229-ERP_i)*Q229*Ramure*Pc/MaxiM</f>
        <v>1.8738339991696802E-3</v>
      </c>
      <c r="Q229" s="305">
        <f t="shared" si="77"/>
        <v>0.8</v>
      </c>
      <c r="R229" s="177">
        <f t="shared" si="78"/>
        <v>0.54127245479942088</v>
      </c>
      <c r="S229" s="809">
        <f t="shared" si="96"/>
        <v>0</v>
      </c>
      <c r="T229" s="176">
        <f t="shared" si="79"/>
        <v>6</v>
      </c>
      <c r="U229" s="251">
        <f t="shared" si="80"/>
        <v>0.54127245479942088</v>
      </c>
      <c r="V229" s="383">
        <f t="shared" si="81"/>
        <v>55.949418935990252</v>
      </c>
      <c r="W229" s="58"/>
      <c r="X229" s="157">
        <f t="shared" si="82"/>
        <v>43315</v>
      </c>
      <c r="Y229" s="385">
        <f t="shared" si="83"/>
        <v>0</v>
      </c>
      <c r="Z229" s="385">
        <f t="shared" si="84"/>
        <v>0</v>
      </c>
      <c r="AA229" s="386">
        <f t="shared" si="85"/>
        <v>0</v>
      </c>
      <c r="AB229" s="197">
        <f t="shared" si="86"/>
        <v>43315</v>
      </c>
      <c r="AC229" s="425">
        <f t="shared" si="87"/>
        <v>3.9077563726979113E-4</v>
      </c>
      <c r="AD229" s="169">
        <f>(INDEX(Models!$BJ229:$BT229,,AH229)*(1-AF229)+INDEX(Models!$BJ229:$BT229,,AH229+1)*AF229-ERP_i)*AE229*Ramure*Pc/MaxiM</f>
        <v>1.8738339991696802E-3</v>
      </c>
      <c r="AE229" s="305">
        <f t="shared" si="88"/>
        <v>0.8</v>
      </c>
      <c r="AF229" s="177">
        <f t="shared" si="89"/>
        <v>0.54127245479942088</v>
      </c>
      <c r="AG229" s="809">
        <f t="shared" si="90"/>
        <v>0</v>
      </c>
      <c r="AH229" s="176">
        <f t="shared" si="91"/>
        <v>6</v>
      </c>
      <c r="AI229" s="225">
        <f t="shared" si="92"/>
        <v>0.54127245479942088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6"/>
      <c r="C230" s="390"/>
      <c r="D230" s="393"/>
      <c r="E230" s="385"/>
      <c r="F230" s="385"/>
      <c r="G230" s="110"/>
      <c r="I230" s="380">
        <f t="shared" si="73"/>
        <v>0</v>
      </c>
      <c r="J230" s="85">
        <v>2018</v>
      </c>
      <c r="K230" s="197">
        <f t="shared" si="74"/>
        <v>43316</v>
      </c>
      <c r="L230" s="436">
        <f t="shared" si="75"/>
        <v>6.9812758047849144E-5</v>
      </c>
      <c r="M230" s="854"/>
      <c r="N230" s="854"/>
      <c r="O230" s="324">
        <f t="shared" si="76"/>
        <v>5.8583127309492925E-4</v>
      </c>
      <c r="P230" s="169">
        <f>(INDEX(Models!$BJ230:$BT230,,T230)*(1-R230)+INDEX(Models!$BJ230:$BT230,,T230+1)*R230-ERP_i)*Q230*Ramure*Pc/MaxiM</f>
        <v>1.8482355926296822E-3</v>
      </c>
      <c r="Q230" s="305">
        <f t="shared" si="77"/>
        <v>0.8</v>
      </c>
      <c r="R230" s="177">
        <f t="shared" si="78"/>
        <v>0.54342087064103306</v>
      </c>
      <c r="S230" s="809">
        <f t="shared" si="96"/>
        <v>0</v>
      </c>
      <c r="T230" s="176">
        <f t="shared" si="79"/>
        <v>6</v>
      </c>
      <c r="U230" s="251">
        <f t="shared" si="80"/>
        <v>0.54342087064103306</v>
      </c>
      <c r="V230" s="383">
        <f t="shared" si="81"/>
        <v>55.742812419943981</v>
      </c>
      <c r="W230" s="58"/>
      <c r="X230" s="157">
        <f t="shared" si="82"/>
        <v>43316</v>
      </c>
      <c r="Y230" s="385">
        <f t="shared" si="83"/>
        <v>0</v>
      </c>
      <c r="Z230" s="385">
        <f t="shared" si="84"/>
        <v>0</v>
      </c>
      <c r="AA230" s="386">
        <f t="shared" si="85"/>
        <v>0</v>
      </c>
      <c r="AB230" s="197">
        <f t="shared" si="86"/>
        <v>43316</v>
      </c>
      <c r="AC230" s="425">
        <f t="shared" si="87"/>
        <v>5.8583127309492925E-4</v>
      </c>
      <c r="AD230" s="169">
        <f>(INDEX(Models!$BJ230:$BT230,,AH230)*(1-AF230)+INDEX(Models!$BJ230:$BT230,,AH230+1)*AF230-ERP_i)*AE230*Ramure*Pc/MaxiM</f>
        <v>1.8482355926296822E-3</v>
      </c>
      <c r="AE230" s="305">
        <f t="shared" si="88"/>
        <v>0.8</v>
      </c>
      <c r="AF230" s="177">
        <f t="shared" si="89"/>
        <v>0.54342087064103306</v>
      </c>
      <c r="AG230" s="809">
        <f t="shared" si="90"/>
        <v>0</v>
      </c>
      <c r="AH230" s="176">
        <f t="shared" si="91"/>
        <v>6</v>
      </c>
      <c r="AI230" s="225">
        <f t="shared" si="92"/>
        <v>0.54342087064103306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6"/>
      <c r="C231" s="390"/>
      <c r="D231" s="393"/>
      <c r="E231" s="385"/>
      <c r="F231" s="385"/>
      <c r="G231" s="110"/>
      <c r="I231" s="380">
        <f t="shared" si="73"/>
        <v>0</v>
      </c>
      <c r="J231" s="85">
        <v>2018</v>
      </c>
      <c r="K231" s="197">
        <f t="shared" si="74"/>
        <v>43317</v>
      </c>
      <c r="L231" s="436">
        <f t="shared" si="75"/>
        <v>9.3082594308957489E-5</v>
      </c>
      <c r="M231" s="854"/>
      <c r="N231" s="854"/>
      <c r="O231" s="324">
        <f t="shared" si="76"/>
        <v>7.8066387211572655E-4</v>
      </c>
      <c r="P231" s="169">
        <f>(INDEX(Models!$BJ231:$BT231,,T231)*(1-R231)+INDEX(Models!$BJ231:$BT231,,T231+1)*R231-ERP_i)*Q231*Ramure*Pc/MaxiM</f>
        <v>1.8218444464378322E-3</v>
      </c>
      <c r="Q231" s="305">
        <f t="shared" si="77"/>
        <v>0.8</v>
      </c>
      <c r="R231" s="177">
        <f t="shared" si="78"/>
        <v>0.54549886020940386</v>
      </c>
      <c r="S231" s="809">
        <f t="shared" si="96"/>
        <v>0</v>
      </c>
      <c r="T231" s="176">
        <f t="shared" si="79"/>
        <v>6</v>
      </c>
      <c r="U231" s="251">
        <f t="shared" si="80"/>
        <v>0.54549886020940386</v>
      </c>
      <c r="V231" s="383">
        <f t="shared" si="81"/>
        <v>55.531020410627036</v>
      </c>
      <c r="W231" s="58"/>
      <c r="X231" s="157">
        <f t="shared" si="82"/>
        <v>43317</v>
      </c>
      <c r="Y231" s="385">
        <f t="shared" si="83"/>
        <v>0</v>
      </c>
      <c r="Z231" s="385">
        <f t="shared" si="84"/>
        <v>0</v>
      </c>
      <c r="AA231" s="386">
        <f t="shared" si="85"/>
        <v>0</v>
      </c>
      <c r="AB231" s="197">
        <f t="shared" si="86"/>
        <v>43317</v>
      </c>
      <c r="AC231" s="425">
        <f t="shared" si="87"/>
        <v>7.8066387211572655E-4</v>
      </c>
      <c r="AD231" s="169">
        <f>(INDEX(Models!$BJ231:$BT231,,AH231)*(1-AF231)+INDEX(Models!$BJ231:$BT231,,AH231+1)*AF231-ERP_i)*AE231*Ramure*Pc/MaxiM</f>
        <v>1.8218444464378322E-3</v>
      </c>
      <c r="AE231" s="305">
        <f t="shared" si="88"/>
        <v>0.8</v>
      </c>
      <c r="AF231" s="177">
        <f t="shared" si="89"/>
        <v>0.54549886020940386</v>
      </c>
      <c r="AG231" s="809">
        <f t="shared" si="90"/>
        <v>0</v>
      </c>
      <c r="AH231" s="176">
        <f t="shared" si="91"/>
        <v>6</v>
      </c>
      <c r="AI231" s="225">
        <f t="shared" si="92"/>
        <v>0.54549886020940386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6"/>
      <c r="C232" s="390"/>
      <c r="D232" s="393"/>
      <c r="E232" s="385"/>
      <c r="F232" s="385"/>
      <c r="G232" s="110"/>
      <c r="I232" s="380">
        <f t="shared" si="73"/>
        <v>0</v>
      </c>
      <c r="J232" s="85">
        <v>2018</v>
      </c>
      <c r="K232" s="197">
        <f t="shared" si="74"/>
        <v>43318</v>
      </c>
      <c r="L232" s="436">
        <f t="shared" si="75"/>
        <v>1.1635188904701721E-4</v>
      </c>
      <c r="M232" s="854"/>
      <c r="N232" s="854"/>
      <c r="O232" s="324">
        <f t="shared" si="76"/>
        <v>9.7527232650977604E-4</v>
      </c>
      <c r="P232" s="169">
        <f>(INDEX(Models!$BJ232:$BT232,,T232)*(1-R232)+INDEX(Models!$BJ232:$BT232,,T232+1)*R232-ERP_i)*Q232*Ramure*Pc/MaxiM</f>
        <v>1.7946792329306752E-3</v>
      </c>
      <c r="Q232" s="305">
        <f t="shared" si="77"/>
        <v>0.8</v>
      </c>
      <c r="R232" s="177">
        <f t="shared" si="78"/>
        <v>0.54750816098084176</v>
      </c>
      <c r="S232" s="809">
        <f t="shared" si="96"/>
        <v>0</v>
      </c>
      <c r="T232" s="176">
        <f t="shared" si="79"/>
        <v>6</v>
      </c>
      <c r="U232" s="251">
        <f t="shared" si="80"/>
        <v>0.54750816098084176</v>
      </c>
      <c r="V232" s="383">
        <f t="shared" si="81"/>
        <v>55.313601319898851</v>
      </c>
      <c r="W232" s="58"/>
      <c r="X232" s="157">
        <f t="shared" si="82"/>
        <v>43318</v>
      </c>
      <c r="Y232" s="385">
        <f t="shared" si="83"/>
        <v>0</v>
      </c>
      <c r="Z232" s="385">
        <f t="shared" si="84"/>
        <v>0</v>
      </c>
      <c r="AA232" s="386">
        <f t="shared" si="85"/>
        <v>0</v>
      </c>
      <c r="AB232" s="197">
        <f t="shared" si="86"/>
        <v>43318</v>
      </c>
      <c r="AC232" s="425">
        <f t="shared" si="87"/>
        <v>9.7527232650977604E-4</v>
      </c>
      <c r="AD232" s="169">
        <f>(INDEX(Models!$BJ232:$BT232,,AH232)*(1-AF232)+INDEX(Models!$BJ232:$BT232,,AH232+1)*AF232-ERP_i)*AE232*Ramure*Pc/MaxiM</f>
        <v>1.7946792329306752E-3</v>
      </c>
      <c r="AE232" s="305">
        <f t="shared" si="88"/>
        <v>0.8</v>
      </c>
      <c r="AF232" s="177">
        <f t="shared" si="89"/>
        <v>0.54750816098084176</v>
      </c>
      <c r="AG232" s="809">
        <f t="shared" si="90"/>
        <v>0</v>
      </c>
      <c r="AH232" s="176">
        <f t="shared" si="91"/>
        <v>6</v>
      </c>
      <c r="AI232" s="225">
        <f t="shared" si="92"/>
        <v>0.54750816098084176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6"/>
      <c r="C233" s="390"/>
      <c r="D233" s="393"/>
      <c r="E233" s="385"/>
      <c r="F233" s="385"/>
      <c r="G233" s="110"/>
      <c r="I233" s="380">
        <f t="shared" si="73"/>
        <v>0</v>
      </c>
      <c r="J233" s="85">
        <v>2018</v>
      </c>
      <c r="K233" s="197">
        <f t="shared" si="74"/>
        <v>43319</v>
      </c>
      <c r="L233" s="436">
        <f t="shared" si="75"/>
        <v>1.396206422744628E-4</v>
      </c>
      <c r="M233" s="854"/>
      <c r="N233" s="854"/>
      <c r="O233" s="324">
        <f t="shared" si="76"/>
        <v>1.1696555670883976E-3</v>
      </c>
      <c r="P233" s="169">
        <f>(INDEX(Models!$BJ233:$BT233,,T233)*(1-R233)+INDEX(Models!$BJ233:$BT233,,T233+1)*R233-ERP_i)*Q233*Ramure*Pc/MaxiM</f>
        <v>1.7667136897614249E-3</v>
      </c>
      <c r="Q233" s="305">
        <f t="shared" si="77"/>
        <v>0.8</v>
      </c>
      <c r="R233" s="177">
        <f t="shared" si="78"/>
        <v>0.54945050963631803</v>
      </c>
      <c r="S233" s="809">
        <f t="shared" si="96"/>
        <v>0</v>
      </c>
      <c r="T233" s="176">
        <f t="shared" si="79"/>
        <v>6</v>
      </c>
      <c r="U233" s="251">
        <f t="shared" si="80"/>
        <v>0.54945050963631803</v>
      </c>
      <c r="V233" s="383">
        <f t="shared" si="81"/>
        <v>55.091463661412639</v>
      </c>
      <c r="W233" s="58"/>
      <c r="X233" s="157">
        <f t="shared" si="82"/>
        <v>43319</v>
      </c>
      <c r="Y233" s="385">
        <f t="shared" si="83"/>
        <v>0</v>
      </c>
      <c r="Z233" s="385">
        <f t="shared" si="84"/>
        <v>0</v>
      </c>
      <c r="AA233" s="386">
        <f t="shared" si="85"/>
        <v>0</v>
      </c>
      <c r="AB233" s="197">
        <f t="shared" si="86"/>
        <v>43319</v>
      </c>
      <c r="AC233" s="425">
        <f t="shared" si="87"/>
        <v>1.1696555670883976E-3</v>
      </c>
      <c r="AD233" s="169">
        <f>(INDEX(Models!$BJ233:$BT233,,AH233)*(1-AF233)+INDEX(Models!$BJ233:$BT233,,AH233+1)*AF233-ERP_i)*AE233*Ramure*Pc/MaxiM</f>
        <v>1.7667136897614249E-3</v>
      </c>
      <c r="AE233" s="305">
        <f t="shared" si="88"/>
        <v>0.8</v>
      </c>
      <c r="AF233" s="177">
        <f t="shared" si="89"/>
        <v>0.54945050963631803</v>
      </c>
      <c r="AG233" s="809">
        <f t="shared" si="90"/>
        <v>0</v>
      </c>
      <c r="AH233" s="176">
        <f t="shared" si="91"/>
        <v>6</v>
      </c>
      <c r="AI233" s="225">
        <f t="shared" si="92"/>
        <v>0.54945050963631803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6"/>
      <c r="C234" s="390"/>
      <c r="D234" s="393"/>
      <c r="E234" s="385"/>
      <c r="F234" s="385"/>
      <c r="G234" s="110"/>
      <c r="I234" s="380">
        <f t="shared" si="73"/>
        <v>0</v>
      </c>
      <c r="J234" s="85">
        <v>2018</v>
      </c>
      <c r="K234" s="197">
        <f t="shared" si="74"/>
        <v>43320</v>
      </c>
      <c r="L234" s="436">
        <f t="shared" si="75"/>
        <v>1.6288885400417286E-4</v>
      </c>
      <c r="M234" s="854"/>
      <c r="N234" s="854"/>
      <c r="O234" s="324">
        <f t="shared" si="76"/>
        <v>1.3638125447541245E-3</v>
      </c>
      <c r="P234" s="169">
        <f>(INDEX(Models!$BJ234:$BT234,,T234)*(1-R234)+INDEX(Models!$BJ234:$BT234,,T234+1)*R234-ERP_i)*Q234*Ramure*Pc/MaxiM</f>
        <v>1.7424275441796076E-3</v>
      </c>
      <c r="Q234" s="305">
        <f t="shared" si="77"/>
        <v>0.8</v>
      </c>
      <c r="R234" s="177">
        <f t="shared" si="78"/>
        <v>0.55132763835582388</v>
      </c>
      <c r="S234" s="809">
        <f t="shared" si="96"/>
        <v>0</v>
      </c>
      <c r="T234" s="176">
        <f t="shared" si="79"/>
        <v>6</v>
      </c>
      <c r="U234" s="251">
        <f t="shared" si="80"/>
        <v>0.55132763835582388</v>
      </c>
      <c r="V234" s="383">
        <f t="shared" si="81"/>
        <v>54.865488982975613</v>
      </c>
      <c r="W234" s="58"/>
      <c r="X234" s="157">
        <f t="shared" si="82"/>
        <v>43320</v>
      </c>
      <c r="Y234" s="385">
        <f t="shared" si="83"/>
        <v>0</v>
      </c>
      <c r="Z234" s="385">
        <f t="shared" si="84"/>
        <v>0</v>
      </c>
      <c r="AA234" s="386">
        <f t="shared" si="85"/>
        <v>0</v>
      </c>
      <c r="AB234" s="197">
        <f t="shared" si="86"/>
        <v>43320</v>
      </c>
      <c r="AC234" s="425">
        <f t="shared" si="87"/>
        <v>1.3638125447541245E-3</v>
      </c>
      <c r="AD234" s="169">
        <f>(INDEX(Models!$BJ234:$BT234,,AH234)*(1-AF234)+INDEX(Models!$BJ234:$BT234,,AH234+1)*AF234-ERP_i)*AE234*Ramure*Pc/MaxiM</f>
        <v>1.7424275441796076E-3</v>
      </c>
      <c r="AE234" s="305">
        <f t="shared" si="88"/>
        <v>0.8</v>
      </c>
      <c r="AF234" s="177">
        <f t="shared" si="89"/>
        <v>0.55132763835582388</v>
      </c>
      <c r="AG234" s="809">
        <f t="shared" si="90"/>
        <v>0</v>
      </c>
      <c r="AH234" s="176">
        <f t="shared" si="91"/>
        <v>6</v>
      </c>
      <c r="AI234" s="225">
        <f t="shared" si="92"/>
        <v>0.55132763835582388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6"/>
      <c r="C235" s="390"/>
      <c r="D235" s="393"/>
      <c r="E235" s="385"/>
      <c r="F235" s="385"/>
      <c r="G235" s="110"/>
      <c r="I235" s="380">
        <f t="shared" si="73"/>
        <v>0</v>
      </c>
      <c r="J235" s="85">
        <v>2018</v>
      </c>
      <c r="K235" s="197">
        <f t="shared" si="74"/>
        <v>43321</v>
      </c>
      <c r="L235" s="436">
        <f t="shared" si="75"/>
        <v>1.8615652424858187E-4</v>
      </c>
      <c r="M235" s="854"/>
      <c r="N235" s="854"/>
      <c r="O235" s="324">
        <f t="shared" si="76"/>
        <v>1.5577422133358847E-3</v>
      </c>
      <c r="P235" s="169">
        <f>(INDEX(Models!$BJ235:$BT235,,T235)*(1-R235)+INDEX(Models!$BJ235:$BT235,,T235+1)*R235-ERP_i)*Q235*Ramure*Pc/MaxiM</f>
        <v>1.7221350156293117E-3</v>
      </c>
      <c r="Q235" s="305">
        <f t="shared" si="77"/>
        <v>0.8</v>
      </c>
      <c r="R235" s="177">
        <f t="shared" si="78"/>
        <v>0.55314127139817781</v>
      </c>
      <c r="S235" s="809">
        <f t="shared" si="96"/>
        <v>0</v>
      </c>
      <c r="T235" s="176">
        <f t="shared" si="79"/>
        <v>6</v>
      </c>
      <c r="U235" s="251">
        <f t="shared" si="80"/>
        <v>0.55314127139817781</v>
      </c>
      <c r="V235" s="383">
        <f t="shared" si="81"/>
        <v>54.63555398246551</v>
      </c>
      <c r="W235" s="58"/>
      <c r="X235" s="157">
        <f t="shared" si="82"/>
        <v>43321</v>
      </c>
      <c r="Y235" s="385">
        <f t="shared" si="83"/>
        <v>0</v>
      </c>
      <c r="Z235" s="385">
        <f t="shared" si="84"/>
        <v>0</v>
      </c>
      <c r="AA235" s="386">
        <f t="shared" si="85"/>
        <v>0</v>
      </c>
      <c r="AB235" s="197">
        <f t="shared" si="86"/>
        <v>43321</v>
      </c>
      <c r="AC235" s="425">
        <f t="shared" si="87"/>
        <v>1.5577422133358847E-3</v>
      </c>
      <c r="AD235" s="169">
        <f>(INDEX(Models!$BJ235:$BT235,,AH235)*(1-AF235)+INDEX(Models!$BJ235:$BT235,,AH235+1)*AF235-ERP_i)*AE235*Ramure*Pc/MaxiM</f>
        <v>1.7221350156293117E-3</v>
      </c>
      <c r="AE235" s="305">
        <f t="shared" si="88"/>
        <v>0.8</v>
      </c>
      <c r="AF235" s="177">
        <f t="shared" si="89"/>
        <v>0.55314127139817781</v>
      </c>
      <c r="AG235" s="809">
        <f t="shared" si="90"/>
        <v>0</v>
      </c>
      <c r="AH235" s="176">
        <f t="shared" si="91"/>
        <v>6</v>
      </c>
      <c r="AI235" s="225">
        <f t="shared" si="92"/>
        <v>0.55314127139817781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6"/>
      <c r="C236" s="390"/>
      <c r="D236" s="393"/>
      <c r="E236" s="385"/>
      <c r="F236" s="385"/>
      <c r="G236" s="110"/>
      <c r="I236" s="380">
        <f t="shared" si="73"/>
        <v>0</v>
      </c>
      <c r="J236" s="85">
        <v>2018</v>
      </c>
      <c r="K236" s="197">
        <f t="shared" si="74"/>
        <v>43322</v>
      </c>
      <c r="L236" s="436">
        <f t="shared" si="75"/>
        <v>2.0942365302023536E-4</v>
      </c>
      <c r="M236" s="854"/>
      <c r="N236" s="854"/>
      <c r="O236" s="324">
        <f t="shared" si="76"/>
        <v>1.7514435138419487E-3</v>
      </c>
      <c r="P236" s="169">
        <f>(INDEX(Models!$BJ236:$BT236,,T236)*(1-R236)+INDEX(Models!$BJ236:$BT236,,T236+1)*R236-ERP_i)*Q236*Ramure*Pc/MaxiM</f>
        <v>1.7059409512969418E-3</v>
      </c>
      <c r="Q236" s="305">
        <f t="shared" si="77"/>
        <v>0.8</v>
      </c>
      <c r="R236" s="177">
        <f t="shared" si="78"/>
        <v>0.55489312195725438</v>
      </c>
      <c r="S236" s="809">
        <f t="shared" si="96"/>
        <v>0</v>
      </c>
      <c r="T236" s="176">
        <f t="shared" si="79"/>
        <v>6</v>
      </c>
      <c r="U236" s="251">
        <f t="shared" si="80"/>
        <v>0.55489312195725438</v>
      </c>
      <c r="V236" s="383">
        <f t="shared" si="81"/>
        <v>54.401547223298913</v>
      </c>
      <c r="W236" s="58"/>
      <c r="X236" s="157">
        <f t="shared" si="82"/>
        <v>43322</v>
      </c>
      <c r="Y236" s="385">
        <f t="shared" si="83"/>
        <v>0</v>
      </c>
      <c r="Z236" s="385">
        <f t="shared" si="84"/>
        <v>0</v>
      </c>
      <c r="AA236" s="386">
        <f t="shared" si="85"/>
        <v>0</v>
      </c>
      <c r="AB236" s="197">
        <f t="shared" si="86"/>
        <v>43322</v>
      </c>
      <c r="AC236" s="425">
        <f t="shared" si="87"/>
        <v>1.7514435138419487E-3</v>
      </c>
      <c r="AD236" s="169">
        <f>(INDEX(Models!$BJ236:$BT236,,AH236)*(1-AF236)+INDEX(Models!$BJ236:$BT236,,AH236+1)*AF236-ERP_i)*AE236*Ramure*Pc/MaxiM</f>
        <v>1.7059409512969418E-3</v>
      </c>
      <c r="AE236" s="305">
        <f t="shared" si="88"/>
        <v>0.8</v>
      </c>
      <c r="AF236" s="177">
        <f t="shared" si="89"/>
        <v>0.55489312195725438</v>
      </c>
      <c r="AG236" s="809">
        <f t="shared" si="90"/>
        <v>0</v>
      </c>
      <c r="AH236" s="176">
        <f t="shared" si="91"/>
        <v>6</v>
      </c>
      <c r="AI236" s="225">
        <f t="shared" si="92"/>
        <v>0.55489312195725438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6"/>
      <c r="C237" s="390"/>
      <c r="D237" s="393"/>
      <c r="E237" s="385"/>
      <c r="F237" s="385"/>
      <c r="G237" s="110"/>
      <c r="I237" s="380">
        <f t="shared" si="73"/>
        <v>0</v>
      </c>
      <c r="J237" s="85">
        <v>2018</v>
      </c>
      <c r="K237" s="197">
        <f t="shared" si="74"/>
        <v>43323</v>
      </c>
      <c r="L237" s="436">
        <f t="shared" si="75"/>
        <v>2.3269024033190089E-4</v>
      </c>
      <c r="M237" s="854"/>
      <c r="N237" s="854"/>
      <c r="O237" s="324">
        <f t="shared" si="76"/>
        <v>1.9449153601445507E-3</v>
      </c>
      <c r="P237" s="169">
        <f>(INDEX(Models!$BJ237:$BT237,,T237)*(1-R237)+INDEX(Models!$BJ237:$BT237,,T237+1)*R237-ERP_i)*Q237*Ramure*Pc/MaxiM</f>
        <v>1.6939495711581437E-3</v>
      </c>
      <c r="Q237" s="305">
        <f t="shared" si="77"/>
        <v>0.8</v>
      </c>
      <c r="R237" s="177">
        <f t="shared" si="78"/>
        <v>0.55658488928486538</v>
      </c>
      <c r="S237" s="809">
        <f t="shared" si="96"/>
        <v>0</v>
      </c>
      <c r="T237" s="176">
        <f t="shared" si="79"/>
        <v>6</v>
      </c>
      <c r="U237" s="251">
        <f t="shared" si="80"/>
        <v>0.55658488928486538</v>
      </c>
      <c r="V237" s="383">
        <f t="shared" si="81"/>
        <v>54.163357580694125</v>
      </c>
      <c r="W237" s="58"/>
      <c r="X237" s="157">
        <f t="shared" si="82"/>
        <v>43323</v>
      </c>
      <c r="Y237" s="385">
        <f t="shared" si="83"/>
        <v>0</v>
      </c>
      <c r="Z237" s="385">
        <f t="shared" si="84"/>
        <v>0</v>
      </c>
      <c r="AA237" s="386">
        <f t="shared" si="85"/>
        <v>0</v>
      </c>
      <c r="AB237" s="197">
        <f t="shared" si="86"/>
        <v>43323</v>
      </c>
      <c r="AC237" s="425">
        <f t="shared" si="87"/>
        <v>1.9449153601445507E-3</v>
      </c>
      <c r="AD237" s="169">
        <f>(INDEX(Models!$BJ237:$BT237,,AH237)*(1-AF237)+INDEX(Models!$BJ237:$BT237,,AH237+1)*AF237-ERP_i)*AE237*Ramure*Pc/MaxiM</f>
        <v>1.6939495711581437E-3</v>
      </c>
      <c r="AE237" s="305">
        <f t="shared" si="88"/>
        <v>0.8</v>
      </c>
      <c r="AF237" s="177">
        <f t="shared" si="89"/>
        <v>0.55658488928486538</v>
      </c>
      <c r="AG237" s="809">
        <f t="shared" si="90"/>
        <v>0</v>
      </c>
      <c r="AH237" s="176">
        <f t="shared" si="91"/>
        <v>6</v>
      </c>
      <c r="AI237" s="225">
        <f t="shared" si="92"/>
        <v>0.55658488928486538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6"/>
      <c r="C238" s="390"/>
      <c r="D238" s="393"/>
      <c r="E238" s="385"/>
      <c r="F238" s="385"/>
      <c r="G238" s="110"/>
      <c r="I238" s="380">
        <f t="shared" si="73"/>
        <v>0</v>
      </c>
      <c r="J238" s="85">
        <v>2018</v>
      </c>
      <c r="K238" s="197">
        <f t="shared" si="74"/>
        <v>43324</v>
      </c>
      <c r="L238" s="436">
        <f t="shared" si="75"/>
        <v>2.5595628619601296E-4</v>
      </c>
      <c r="M238" s="854"/>
      <c r="N238" s="854"/>
      <c r="O238" s="324">
        <f t="shared" si="76"/>
        <v>2.1381566260843974E-3</v>
      </c>
      <c r="P238" s="169">
        <f>(INDEX(Models!$BJ238:$BT238,,T238)*(1-R238)+INDEX(Models!$BJ238:$BT238,,T238+1)*R238-ERP_i)*Q238*Ramure*Pc/MaxiM</f>
        <v>1.6862647671653862E-3</v>
      </c>
      <c r="Q238" s="305">
        <f t="shared" si="77"/>
        <v>0.8</v>
      </c>
      <c r="R238" s="177">
        <f t="shared" si="78"/>
        <v>0.55821825606994468</v>
      </c>
      <c r="S238" s="809">
        <f t="shared" si="96"/>
        <v>0</v>
      </c>
      <c r="T238" s="176">
        <f t="shared" si="79"/>
        <v>6</v>
      </c>
      <c r="U238" s="251">
        <f t="shared" si="80"/>
        <v>0.55821825606994468</v>
      </c>
      <c r="V238" s="383">
        <f t="shared" si="81"/>
        <v>53.920874231208451</v>
      </c>
      <c r="W238" s="58"/>
      <c r="X238" s="157">
        <f t="shared" si="82"/>
        <v>43324</v>
      </c>
      <c r="Y238" s="385">
        <f t="shared" si="83"/>
        <v>0</v>
      </c>
      <c r="Z238" s="385">
        <f t="shared" si="84"/>
        <v>0</v>
      </c>
      <c r="AA238" s="386">
        <f t="shared" si="85"/>
        <v>0</v>
      </c>
      <c r="AB238" s="197">
        <f t="shared" si="86"/>
        <v>43324</v>
      </c>
      <c r="AC238" s="425">
        <f t="shared" si="87"/>
        <v>2.1381566260843974E-3</v>
      </c>
      <c r="AD238" s="169">
        <f>(INDEX(Models!$BJ238:$BT238,,AH238)*(1-AF238)+INDEX(Models!$BJ238:$BT238,,AH238+1)*AF238-ERP_i)*AE238*Ramure*Pc/MaxiM</f>
        <v>1.6862647671653862E-3</v>
      </c>
      <c r="AE238" s="305">
        <f t="shared" si="88"/>
        <v>0.8</v>
      </c>
      <c r="AF238" s="177">
        <f t="shared" si="89"/>
        <v>0.55821825606994468</v>
      </c>
      <c r="AG238" s="809">
        <f t="shared" si="90"/>
        <v>0</v>
      </c>
      <c r="AH238" s="176">
        <f t="shared" si="91"/>
        <v>6</v>
      </c>
      <c r="AI238" s="225">
        <f t="shared" si="92"/>
        <v>0.55821825606994468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6"/>
      <c r="C239" s="390"/>
      <c r="D239" s="393"/>
      <c r="E239" s="385"/>
      <c r="F239" s="385"/>
      <c r="G239" s="110"/>
      <c r="I239" s="380">
        <f t="shared" si="73"/>
        <v>0</v>
      </c>
      <c r="J239" s="85">
        <v>2018</v>
      </c>
      <c r="K239" s="197">
        <f t="shared" si="74"/>
        <v>43325</v>
      </c>
      <c r="L239" s="436">
        <f t="shared" si="75"/>
        <v>2.7922179062522812E-4</v>
      </c>
      <c r="M239" s="854"/>
      <c r="N239" s="854"/>
      <c r="O239" s="324">
        <f t="shared" si="76"/>
        <v>2.331166133959321E-3</v>
      </c>
      <c r="P239" s="169">
        <f>(INDEX(Models!$BJ239:$BT239,,T239)*(1-R239)+INDEX(Models!$BJ239:$BT239,,T239+1)*R239-ERP_i)*Q239*Ramure*Pc/MaxiM</f>
        <v>1.6829904034918308E-3</v>
      </c>
      <c r="Q239" s="305">
        <f t="shared" si="77"/>
        <v>0.8</v>
      </c>
      <c r="R239" s="177">
        <f t="shared" si="78"/>
        <v>0.55979488606323702</v>
      </c>
      <c r="S239" s="809">
        <f t="shared" si="96"/>
        <v>0</v>
      </c>
      <c r="T239" s="176">
        <f t="shared" si="79"/>
        <v>6</v>
      </c>
      <c r="U239" s="251">
        <f t="shared" si="80"/>
        <v>0.55979488606323702</v>
      </c>
      <c r="V239" s="383">
        <f t="shared" si="81"/>
        <v>53.67398664455304</v>
      </c>
      <c r="W239" s="58"/>
      <c r="X239" s="157">
        <f t="shared" si="82"/>
        <v>43325</v>
      </c>
      <c r="Y239" s="385">
        <f t="shared" si="83"/>
        <v>0</v>
      </c>
      <c r="Z239" s="385">
        <f t="shared" si="84"/>
        <v>0</v>
      </c>
      <c r="AA239" s="386">
        <f t="shared" si="85"/>
        <v>0</v>
      </c>
      <c r="AB239" s="197">
        <f t="shared" si="86"/>
        <v>43325</v>
      </c>
      <c r="AC239" s="425">
        <f t="shared" si="87"/>
        <v>2.331166133959321E-3</v>
      </c>
      <c r="AD239" s="169">
        <f>(INDEX(Models!$BJ239:$BT239,,AH239)*(1-AF239)+INDEX(Models!$BJ239:$BT239,,AH239+1)*AF239-ERP_i)*AE239*Ramure*Pc/MaxiM</f>
        <v>1.6829904034918308E-3</v>
      </c>
      <c r="AE239" s="305">
        <f t="shared" si="88"/>
        <v>0.8</v>
      </c>
      <c r="AF239" s="177">
        <f t="shared" si="89"/>
        <v>0.55979488606323702</v>
      </c>
      <c r="AG239" s="809">
        <f t="shared" si="90"/>
        <v>0</v>
      </c>
      <c r="AH239" s="176">
        <f t="shared" si="91"/>
        <v>6</v>
      </c>
      <c r="AI239" s="225">
        <f t="shared" si="92"/>
        <v>0.55979488606323702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6"/>
      <c r="C240" s="390"/>
      <c r="D240" s="393"/>
      <c r="E240" s="385"/>
      <c r="F240" s="385"/>
      <c r="G240" s="110"/>
      <c r="I240" s="380">
        <f t="shared" si="73"/>
        <v>0</v>
      </c>
      <c r="J240" s="85">
        <v>2018</v>
      </c>
      <c r="K240" s="197">
        <f t="shared" si="74"/>
        <v>43326</v>
      </c>
      <c r="L240" s="436">
        <f t="shared" si="75"/>
        <v>3.0248675363231392E-4</v>
      </c>
      <c r="M240" s="854"/>
      <c r="N240" s="854"/>
      <c r="O240" s="324">
        <f t="shared" si="76"/>
        <v>2.5239426443376574E-3</v>
      </c>
      <c r="P240" s="169">
        <f>(INDEX(Models!$BJ240:$BT240,,T240)*(1-R240)+INDEX(Models!$BJ240:$BT240,,T240+1)*R240-ERP_i)*Q240*Ramure*Pc/MaxiM</f>
        <v>1.692619297840906E-3</v>
      </c>
      <c r="Q240" s="305">
        <f t="shared" si="77"/>
        <v>0.8</v>
      </c>
      <c r="R240" s="177">
        <f t="shared" si="78"/>
        <v>0.56131642193637576</v>
      </c>
      <c r="S240" s="809">
        <f t="shared" si="96"/>
        <v>0</v>
      </c>
      <c r="T240" s="176">
        <f t="shared" si="79"/>
        <v>6</v>
      </c>
      <c r="U240" s="251">
        <f t="shared" si="80"/>
        <v>0.56131642193637576</v>
      </c>
      <c r="V240" s="383">
        <f t="shared" si="81"/>
        <v>53.422135678599837</v>
      </c>
      <c r="W240" s="58"/>
      <c r="X240" s="157">
        <f t="shared" si="82"/>
        <v>43326</v>
      </c>
      <c r="Y240" s="385">
        <f t="shared" si="83"/>
        <v>0</v>
      </c>
      <c r="Z240" s="385">
        <f t="shared" si="84"/>
        <v>0</v>
      </c>
      <c r="AA240" s="386">
        <f t="shared" si="85"/>
        <v>0</v>
      </c>
      <c r="AB240" s="197">
        <f t="shared" si="86"/>
        <v>43326</v>
      </c>
      <c r="AC240" s="425">
        <f t="shared" si="87"/>
        <v>2.5239426443376574E-3</v>
      </c>
      <c r="AD240" s="169">
        <f>(INDEX(Models!$BJ240:$BT240,,AH240)*(1-AF240)+INDEX(Models!$BJ240:$BT240,,AH240+1)*AF240-ERP_i)*AE240*Ramure*Pc/MaxiM</f>
        <v>1.692619297840906E-3</v>
      </c>
      <c r="AE240" s="305">
        <f t="shared" si="88"/>
        <v>0.8</v>
      </c>
      <c r="AF240" s="177">
        <f t="shared" si="89"/>
        <v>0.56131642193637576</v>
      </c>
      <c r="AG240" s="809">
        <f t="shared" si="90"/>
        <v>0</v>
      </c>
      <c r="AH240" s="176">
        <f t="shared" si="91"/>
        <v>6</v>
      </c>
      <c r="AI240" s="225">
        <f t="shared" si="92"/>
        <v>0.56131642193637576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6"/>
      <c r="C241" s="390"/>
      <c r="D241" s="393"/>
      <c r="E241" s="385"/>
      <c r="F241" s="385"/>
      <c r="G241" s="110"/>
      <c r="I241" s="380">
        <f t="shared" si="73"/>
        <v>0</v>
      </c>
      <c r="J241" s="85">
        <v>2018</v>
      </c>
      <c r="K241" s="197">
        <f t="shared" si="74"/>
        <v>43327</v>
      </c>
      <c r="L241" s="436">
        <f t="shared" si="75"/>
        <v>3.2575117522959385E-4</v>
      </c>
      <c r="M241" s="854"/>
      <c r="N241" s="854"/>
      <c r="O241" s="324">
        <f t="shared" si="76"/>
        <v>2.7164848471170188E-3</v>
      </c>
      <c r="P241" s="169">
        <f>(INDEX(Models!$BJ241:$BT241,,T241)*(1-R241)+INDEX(Models!$BJ241:$BT241,,T241+1)*R241-ERP_i)*Q241*Ramure*Pc/MaxiM</f>
        <v>1.7154640242729737E-3</v>
      </c>
      <c r="Q241" s="305">
        <f t="shared" si="77"/>
        <v>0.8</v>
      </c>
      <c r="R241" s="177">
        <f t="shared" si="78"/>
        <v>0.56278448336402398</v>
      </c>
      <c r="S241" s="809">
        <f t="shared" si="96"/>
        <v>0</v>
      </c>
      <c r="T241" s="176">
        <f t="shared" si="79"/>
        <v>6</v>
      </c>
      <c r="U241" s="251">
        <f t="shared" si="80"/>
        <v>0.56278448336402398</v>
      </c>
      <c r="V241" s="383">
        <f t="shared" si="81"/>
        <v>53.165206748501838</v>
      </c>
      <c r="W241" s="58"/>
      <c r="X241" s="157">
        <f t="shared" si="82"/>
        <v>43327</v>
      </c>
      <c r="Y241" s="385">
        <f t="shared" si="83"/>
        <v>0</v>
      </c>
      <c r="Z241" s="385">
        <f t="shared" si="84"/>
        <v>0</v>
      </c>
      <c r="AA241" s="386">
        <f t="shared" si="85"/>
        <v>0</v>
      </c>
      <c r="AB241" s="197">
        <f t="shared" si="86"/>
        <v>43327</v>
      </c>
      <c r="AC241" s="425">
        <f t="shared" si="87"/>
        <v>2.7164848471170188E-3</v>
      </c>
      <c r="AD241" s="169">
        <f>(INDEX(Models!$BJ241:$BT241,,AH241)*(1-AF241)+INDEX(Models!$BJ241:$BT241,,AH241+1)*AF241-ERP_i)*AE241*Ramure*Pc/MaxiM</f>
        <v>1.7154640242729737E-3</v>
      </c>
      <c r="AE241" s="305">
        <f t="shared" si="88"/>
        <v>0.8</v>
      </c>
      <c r="AF241" s="177">
        <f t="shared" si="89"/>
        <v>0.56278448336402398</v>
      </c>
      <c r="AG241" s="809">
        <f t="shared" si="90"/>
        <v>0</v>
      </c>
      <c r="AH241" s="176">
        <f t="shared" si="91"/>
        <v>6</v>
      </c>
      <c r="AI241" s="225">
        <f t="shared" si="92"/>
        <v>0.56278448336402398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6"/>
      <c r="C242" s="390"/>
      <c r="D242" s="393"/>
      <c r="E242" s="385"/>
      <c r="F242" s="385"/>
      <c r="G242" s="110"/>
      <c r="I242" s="380">
        <f t="shared" si="73"/>
        <v>0</v>
      </c>
      <c r="J242" s="85">
        <v>2018</v>
      </c>
      <c r="K242" s="197">
        <f t="shared" si="74"/>
        <v>43328</v>
      </c>
      <c r="L242" s="436">
        <f t="shared" si="75"/>
        <v>3.4901505542983546E-4</v>
      </c>
      <c r="M242" s="854"/>
      <c r="N242" s="854"/>
      <c r="O242" s="324">
        <f t="shared" si="76"/>
        <v>2.9087913537289294E-3</v>
      </c>
      <c r="P242" s="169">
        <f>(INDEX(Models!$BJ242:$BT242,,T242)*(1-R242)+INDEX(Models!$BJ242:$BT242,,T242+1)*R242-ERP_i)*Q242*Ramure*Pc/MaxiM</f>
        <v>1.7518050708340905E-3</v>
      </c>
      <c r="Q242" s="305">
        <f t="shared" si="77"/>
        <v>0.8</v>
      </c>
      <c r="R242" s="177">
        <f t="shared" si="78"/>
        <v>0.56420066531764645</v>
      </c>
      <c r="S242" s="809">
        <f t="shared" si="96"/>
        <v>0</v>
      </c>
      <c r="T242" s="176">
        <f t="shared" si="79"/>
        <v>6</v>
      </c>
      <c r="U242" s="251">
        <f t="shared" si="80"/>
        <v>0.56420066531764645</v>
      </c>
      <c r="V242" s="383">
        <f t="shared" si="81"/>
        <v>52.903087733438781</v>
      </c>
      <c r="W242" s="58"/>
      <c r="X242" s="157">
        <f t="shared" si="82"/>
        <v>43328</v>
      </c>
      <c r="Y242" s="385">
        <f t="shared" si="83"/>
        <v>0</v>
      </c>
      <c r="Z242" s="385">
        <f t="shared" si="84"/>
        <v>0</v>
      </c>
      <c r="AA242" s="386">
        <f t="shared" si="85"/>
        <v>0</v>
      </c>
      <c r="AB242" s="197">
        <f t="shared" si="86"/>
        <v>43328</v>
      </c>
      <c r="AC242" s="425">
        <f t="shared" si="87"/>
        <v>2.9087913537289294E-3</v>
      </c>
      <c r="AD242" s="169">
        <f>(INDEX(Models!$BJ242:$BT242,,AH242)*(1-AF242)+INDEX(Models!$BJ242:$BT242,,AH242+1)*AF242-ERP_i)*AE242*Ramure*Pc/MaxiM</f>
        <v>1.7518050708340905E-3</v>
      </c>
      <c r="AE242" s="305">
        <f t="shared" si="88"/>
        <v>0.8</v>
      </c>
      <c r="AF242" s="177">
        <f t="shared" si="89"/>
        <v>0.56420066531764645</v>
      </c>
      <c r="AG242" s="809">
        <f t="shared" si="90"/>
        <v>0</v>
      </c>
      <c r="AH242" s="176">
        <f t="shared" si="91"/>
        <v>6</v>
      </c>
      <c r="AI242" s="225">
        <f t="shared" si="92"/>
        <v>0.56420066531764645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6"/>
      <c r="C243" s="390"/>
      <c r="D243" s="393"/>
      <c r="E243" s="385"/>
      <c r="F243" s="385"/>
      <c r="G243" s="110"/>
      <c r="I243" s="380">
        <f t="shared" si="73"/>
        <v>0</v>
      </c>
      <c r="J243" s="85">
        <v>2018</v>
      </c>
      <c r="K243" s="197">
        <f t="shared" si="74"/>
        <v>43329</v>
      </c>
      <c r="L243" s="436">
        <f t="shared" si="75"/>
        <v>3.7227839424558429E-4</v>
      </c>
      <c r="M243" s="854"/>
      <c r="N243" s="854"/>
      <c r="O243" s="324">
        <f t="shared" si="76"/>
        <v>3.1008606903746212E-3</v>
      </c>
      <c r="P243" s="169">
        <f>(INDEX(Models!$BJ243:$BT243,,T243)*(1-R243)+INDEX(Models!$BJ243:$BT243,,T243+1)*R243-ERP_i)*Q243*Ramure*Pc/MaxiM</f>
        <v>1.8019267736217163E-3</v>
      </c>
      <c r="Q243" s="305">
        <f t="shared" si="77"/>
        <v>0.8</v>
      </c>
      <c r="R243" s="177">
        <f t="shared" si="78"/>
        <v>0.56556653655946965</v>
      </c>
      <c r="S243" s="809">
        <f t="shared" si="96"/>
        <v>0</v>
      </c>
      <c r="T243" s="176">
        <f t="shared" si="79"/>
        <v>6</v>
      </c>
      <c r="U243" s="251">
        <f t="shared" si="80"/>
        <v>0.56556653655946965</v>
      </c>
      <c r="V243" s="383">
        <f t="shared" si="81"/>
        <v>52.635667070691355</v>
      </c>
      <c r="W243" s="58"/>
      <c r="X243" s="157">
        <f t="shared" si="82"/>
        <v>43329</v>
      </c>
      <c r="Y243" s="385">
        <f t="shared" si="83"/>
        <v>0</v>
      </c>
      <c r="Z243" s="385">
        <f t="shared" si="84"/>
        <v>0</v>
      </c>
      <c r="AA243" s="386">
        <f t="shared" si="85"/>
        <v>0</v>
      </c>
      <c r="AB243" s="197">
        <f t="shared" si="86"/>
        <v>43329</v>
      </c>
      <c r="AC243" s="425">
        <f t="shared" si="87"/>
        <v>3.1008606903746212E-3</v>
      </c>
      <c r="AD243" s="169">
        <f>(INDEX(Models!$BJ243:$BT243,,AH243)*(1-AF243)+INDEX(Models!$BJ243:$BT243,,AH243+1)*AF243-ERP_i)*AE243*Ramure*Pc/MaxiM</f>
        <v>1.8019267736217163E-3</v>
      </c>
      <c r="AE243" s="305">
        <f t="shared" si="88"/>
        <v>0.8</v>
      </c>
      <c r="AF243" s="177">
        <f t="shared" si="89"/>
        <v>0.56556653655946965</v>
      </c>
      <c r="AG243" s="809">
        <f t="shared" si="90"/>
        <v>0</v>
      </c>
      <c r="AH243" s="176">
        <f t="shared" si="91"/>
        <v>6</v>
      </c>
      <c r="AI243" s="225">
        <f t="shared" si="92"/>
        <v>0.56556653655946965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6"/>
      <c r="C244" s="390"/>
      <c r="D244" s="393"/>
      <c r="E244" s="385"/>
      <c r="F244" s="385"/>
      <c r="G244" s="110"/>
      <c r="I244" s="380">
        <f t="shared" si="73"/>
        <v>0</v>
      </c>
      <c r="J244" s="85">
        <v>2018</v>
      </c>
      <c r="K244" s="197">
        <f t="shared" si="74"/>
        <v>43330</v>
      </c>
      <c r="L244" s="436">
        <f t="shared" si="75"/>
        <v>3.9554119168949686E-4</v>
      </c>
      <c r="M244" s="854"/>
      <c r="N244" s="854"/>
      <c r="O244" s="324">
        <f t="shared" si="76"/>
        <v>3.292691292162237E-3</v>
      </c>
      <c r="P244" s="169">
        <f>(INDEX(Models!$BJ244:$BT244,,T244)*(1-R244)+INDEX(Models!$BJ244:$BT244,,T244+1)*R244-ERP_i)*Q244*Ramure*Pc/MaxiM</f>
        <v>1.8661181741065759E-3</v>
      </c>
      <c r="Q244" s="305">
        <f t="shared" si="77"/>
        <v>0.8</v>
      </c>
      <c r="R244" s="177">
        <f t="shared" si="78"/>
        <v>0.56688363832524602</v>
      </c>
      <c r="S244" s="809">
        <f t="shared" si="96"/>
        <v>0</v>
      </c>
      <c r="T244" s="176">
        <f t="shared" si="79"/>
        <v>6</v>
      </c>
      <c r="U244" s="251">
        <f t="shared" si="80"/>
        <v>0.56688363832524602</v>
      </c>
      <c r="V244" s="383">
        <f t="shared" si="81"/>
        <v>52.362833736013989</v>
      </c>
      <c r="W244" s="58"/>
      <c r="X244" s="157">
        <f t="shared" si="82"/>
        <v>43330</v>
      </c>
      <c r="Y244" s="385">
        <f t="shared" si="83"/>
        <v>0</v>
      </c>
      <c r="Z244" s="385">
        <f t="shared" si="84"/>
        <v>0</v>
      </c>
      <c r="AA244" s="386">
        <f t="shared" si="85"/>
        <v>0</v>
      </c>
      <c r="AB244" s="197">
        <f t="shared" si="86"/>
        <v>43330</v>
      </c>
      <c r="AC244" s="425">
        <f t="shared" si="87"/>
        <v>3.292691292162237E-3</v>
      </c>
      <c r="AD244" s="169">
        <f>(INDEX(Models!$BJ244:$BT244,,AH244)*(1-AF244)+INDEX(Models!$BJ244:$BT244,,AH244+1)*AF244-ERP_i)*AE244*Ramure*Pc/MaxiM</f>
        <v>1.8661181741065759E-3</v>
      </c>
      <c r="AE244" s="305">
        <f t="shared" si="88"/>
        <v>0.8</v>
      </c>
      <c r="AF244" s="177">
        <f t="shared" si="89"/>
        <v>0.56688363832524602</v>
      </c>
      <c r="AG244" s="809">
        <f t="shared" si="90"/>
        <v>0</v>
      </c>
      <c r="AH244" s="176">
        <f t="shared" si="91"/>
        <v>6</v>
      </c>
      <c r="AI244" s="225">
        <f t="shared" si="92"/>
        <v>0.56688363832524602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6"/>
      <c r="C245" s="390"/>
      <c r="D245" s="393"/>
      <c r="E245" s="385"/>
      <c r="F245" s="385"/>
      <c r="G245" s="110"/>
      <c r="I245" s="380">
        <f t="shared" si="73"/>
        <v>0</v>
      </c>
      <c r="J245" s="85">
        <v>2018</v>
      </c>
      <c r="K245" s="197">
        <f t="shared" si="74"/>
        <v>43331</v>
      </c>
      <c r="L245" s="436">
        <f t="shared" si="75"/>
        <v>4.1880344777400769E-4</v>
      </c>
      <c r="M245" s="854"/>
      <c r="N245" s="854"/>
      <c r="O245" s="324">
        <f t="shared" si="76"/>
        <v>3.4842814980053432E-3</v>
      </c>
      <c r="P245" s="169">
        <f>(INDEX(Models!$BJ245:$BT245,,T245)*(1-R245)+INDEX(Models!$BJ245:$BT245,,T245+1)*R245-ERP_i)*Q245*Ramure*Pc/MaxiM</f>
        <v>1.9446738938613314E-3</v>
      </c>
      <c r="Q245" s="305">
        <f t="shared" si="77"/>
        <v>0.8</v>
      </c>
      <c r="R245" s="177">
        <f t="shared" si="78"/>
        <v>0.56815348318457315</v>
      </c>
      <c r="S245" s="809">
        <f t="shared" si="96"/>
        <v>0</v>
      </c>
      <c r="T245" s="176">
        <f t="shared" si="79"/>
        <v>6</v>
      </c>
      <c r="U245" s="251">
        <f t="shared" si="80"/>
        <v>0.56815348318457315</v>
      </c>
      <c r="V245" s="383">
        <f t="shared" si="81"/>
        <v>52.084477243265653</v>
      </c>
      <c r="W245" s="58"/>
      <c r="X245" s="157">
        <f t="shared" si="82"/>
        <v>43331</v>
      </c>
      <c r="Y245" s="385">
        <f t="shared" si="83"/>
        <v>0</v>
      </c>
      <c r="Z245" s="385">
        <f t="shared" si="84"/>
        <v>0</v>
      </c>
      <c r="AA245" s="386">
        <f t="shared" si="85"/>
        <v>0</v>
      </c>
      <c r="AB245" s="197">
        <f t="shared" si="86"/>
        <v>43331</v>
      </c>
      <c r="AC245" s="425">
        <f t="shared" si="87"/>
        <v>3.4842814980053432E-3</v>
      </c>
      <c r="AD245" s="169">
        <f>(INDEX(Models!$BJ245:$BT245,,AH245)*(1-AF245)+INDEX(Models!$BJ245:$BT245,,AH245+1)*AF245-ERP_i)*AE245*Ramure*Pc/MaxiM</f>
        <v>1.9446738938613314E-3</v>
      </c>
      <c r="AE245" s="305">
        <f t="shared" si="88"/>
        <v>0.8</v>
      </c>
      <c r="AF245" s="177">
        <f t="shared" si="89"/>
        <v>0.56815348318457315</v>
      </c>
      <c r="AG245" s="809">
        <f t="shared" si="90"/>
        <v>0</v>
      </c>
      <c r="AH245" s="176">
        <f t="shared" si="91"/>
        <v>6</v>
      </c>
      <c r="AI245" s="225">
        <f t="shared" si="92"/>
        <v>0.56815348318457315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6"/>
      <c r="C246" s="390"/>
      <c r="D246" s="393"/>
      <c r="E246" s="385"/>
      <c r="F246" s="385"/>
      <c r="G246" s="110"/>
      <c r="I246" s="380">
        <f t="shared" si="73"/>
        <v>0</v>
      </c>
      <c r="J246" s="85">
        <v>2018</v>
      </c>
      <c r="K246" s="197">
        <f t="shared" si="74"/>
        <v>43332</v>
      </c>
      <c r="L246" s="436">
        <f t="shared" si="75"/>
        <v>4.4206516251199535E-4</v>
      </c>
      <c r="M246" s="854"/>
      <c r="N246" s="854"/>
      <c r="O246" s="324">
        <f t="shared" si="76"/>
        <v>3.6756295461345206E-3</v>
      </c>
      <c r="P246" s="169">
        <f>(INDEX(Models!$BJ246:$BT246,,T246)*(1-R246)+INDEX(Models!$BJ246:$BT246,,T246+1)*R246-ERP_i)*Q246*Ramure*Pc/MaxiM</f>
        <v>2.0378950317778148E-3</v>
      </c>
      <c r="Q246" s="305">
        <f t="shared" si="77"/>
        <v>0.8</v>
      </c>
      <c r="R246" s="177">
        <f t="shared" si="78"/>
        <v>0.56937755406771551</v>
      </c>
      <c r="S246" s="809">
        <f t="shared" si="96"/>
        <v>0</v>
      </c>
      <c r="T246" s="176">
        <f t="shared" si="79"/>
        <v>6</v>
      </c>
      <c r="U246" s="251">
        <f t="shared" si="80"/>
        <v>0.56937755406771551</v>
      </c>
      <c r="V246" s="383">
        <f t="shared" si="81"/>
        <v>51.800487622786733</v>
      </c>
      <c r="W246" s="58"/>
      <c r="X246" s="157">
        <f t="shared" si="82"/>
        <v>43332</v>
      </c>
      <c r="Y246" s="385">
        <f t="shared" si="83"/>
        <v>0</v>
      </c>
      <c r="Z246" s="385">
        <f t="shared" si="84"/>
        <v>0</v>
      </c>
      <c r="AA246" s="386">
        <f t="shared" si="85"/>
        <v>0</v>
      </c>
      <c r="AB246" s="197">
        <f t="shared" si="86"/>
        <v>43332</v>
      </c>
      <c r="AC246" s="425">
        <f t="shared" si="87"/>
        <v>3.6756295461345206E-3</v>
      </c>
      <c r="AD246" s="169">
        <f>(INDEX(Models!$BJ246:$BT246,,AH246)*(1-AF246)+INDEX(Models!$BJ246:$BT246,,AH246+1)*AF246-ERP_i)*AE246*Ramure*Pc/MaxiM</f>
        <v>2.0378950317778148E-3</v>
      </c>
      <c r="AE246" s="305">
        <f t="shared" si="88"/>
        <v>0.8</v>
      </c>
      <c r="AF246" s="177">
        <f t="shared" si="89"/>
        <v>0.56937755406771551</v>
      </c>
      <c r="AG246" s="809">
        <f t="shared" si="90"/>
        <v>0</v>
      </c>
      <c r="AH246" s="176">
        <f t="shared" si="91"/>
        <v>6</v>
      </c>
      <c r="AI246" s="225">
        <f t="shared" si="92"/>
        <v>0.56937755406771551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6"/>
      <c r="C247" s="390"/>
      <c r="D247" s="393"/>
      <c r="E247" s="385"/>
      <c r="F247" s="385"/>
      <c r="G247" s="110"/>
      <c r="I247" s="380">
        <f t="shared" si="73"/>
        <v>0</v>
      </c>
      <c r="J247" s="85">
        <v>2018</v>
      </c>
      <c r="K247" s="197">
        <f t="shared" si="74"/>
        <v>43333</v>
      </c>
      <c r="L247" s="436">
        <f t="shared" si="75"/>
        <v>4.6532633591578332E-4</v>
      </c>
      <c r="M247" s="854"/>
      <c r="N247" s="854"/>
      <c r="O247" s="324">
        <f t="shared" si="76"/>
        <v>3.8667335700682372E-3</v>
      </c>
      <c r="P247" s="169">
        <f>(INDEX(Models!$BJ247:$BT247,,T247)*(1-R247)+INDEX(Models!$BJ247:$BT247,,T247+1)*R247-ERP_i)*Q247*Ramure*Pc/MaxiM</f>
        <v>2.1460686292110384E-3</v>
      </c>
      <c r="Q247" s="305">
        <f t="shared" si="77"/>
        <v>0.8</v>
      </c>
      <c r="R247" s="177">
        <f t="shared" si="78"/>
        <v>0.57055730344811262</v>
      </c>
      <c r="S247" s="809">
        <f t="shared" si="96"/>
        <v>0</v>
      </c>
      <c r="T247" s="176">
        <f t="shared" si="79"/>
        <v>6</v>
      </c>
      <c r="U247" s="251">
        <f t="shared" si="80"/>
        <v>0.57055730344811262</v>
      </c>
      <c r="V247" s="383">
        <f t="shared" si="81"/>
        <v>51.511271545802352</v>
      </c>
      <c r="W247" s="58"/>
      <c r="X247" s="157">
        <f t="shared" si="82"/>
        <v>43333</v>
      </c>
      <c r="Y247" s="385">
        <f t="shared" si="83"/>
        <v>0</v>
      </c>
      <c r="Z247" s="385">
        <f t="shared" si="84"/>
        <v>0</v>
      </c>
      <c r="AA247" s="386">
        <f t="shared" si="85"/>
        <v>0</v>
      </c>
      <c r="AB247" s="197">
        <f t="shared" si="86"/>
        <v>43333</v>
      </c>
      <c r="AC247" s="425">
        <f t="shared" si="87"/>
        <v>3.8667335700682372E-3</v>
      </c>
      <c r="AD247" s="169">
        <f>(INDEX(Models!$BJ247:$BT247,,AH247)*(1-AF247)+INDEX(Models!$BJ247:$BT247,,AH247+1)*AF247-ERP_i)*AE247*Ramure*Pc/MaxiM</f>
        <v>2.1460686292110384E-3</v>
      </c>
      <c r="AE247" s="305">
        <f t="shared" si="88"/>
        <v>0.8</v>
      </c>
      <c r="AF247" s="177">
        <f t="shared" si="89"/>
        <v>0.57055730344811262</v>
      </c>
      <c r="AG247" s="809">
        <f t="shared" si="90"/>
        <v>0</v>
      </c>
      <c r="AH247" s="176">
        <f t="shared" si="91"/>
        <v>6</v>
      </c>
      <c r="AI247" s="225">
        <f t="shared" si="92"/>
        <v>0.57055730344811262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6"/>
      <c r="C248" s="390"/>
      <c r="D248" s="393"/>
      <c r="E248" s="385"/>
      <c r="F248" s="385"/>
      <c r="G248" s="110"/>
      <c r="I248" s="380">
        <f t="shared" si="73"/>
        <v>0</v>
      </c>
      <c r="J248" s="85">
        <v>2018</v>
      </c>
      <c r="K248" s="197">
        <f t="shared" si="74"/>
        <v>43334</v>
      </c>
      <c r="L248" s="436">
        <f t="shared" si="75"/>
        <v>4.8858696799813917E-4</v>
      </c>
      <c r="M248" s="854"/>
      <c r="N248" s="854"/>
      <c r="O248" s="324">
        <f t="shared" si="76"/>
        <v>4.0575915948883479E-3</v>
      </c>
      <c r="P248" s="169">
        <f>(INDEX(Models!$BJ248:$BT248,,T248)*(1-R248)+INDEX(Models!$BJ248:$BT248,,T248+1)*R248-ERP_i)*Q248*Ramure*Pc/MaxiM</f>
        <v>2.2712176540779527E-3</v>
      </c>
      <c r="Q248" s="305">
        <f t="shared" si="77"/>
        <v>0.8</v>
      </c>
      <c r="R248" s="177">
        <f t="shared" si="78"/>
        <v>0.57169415267005463</v>
      </c>
      <c r="S248" s="809">
        <f t="shared" si="96"/>
        <v>0</v>
      </c>
      <c r="T248" s="176">
        <f t="shared" si="79"/>
        <v>6</v>
      </c>
      <c r="U248" s="251">
        <f t="shared" si="80"/>
        <v>0.57169415267005463</v>
      </c>
      <c r="V248" s="383">
        <f t="shared" si="81"/>
        <v>51.217146781272071</v>
      </c>
      <c r="W248" s="58"/>
      <c r="X248" s="157">
        <f t="shared" si="82"/>
        <v>43334</v>
      </c>
      <c r="Y248" s="385">
        <f t="shared" si="83"/>
        <v>0</v>
      </c>
      <c r="Z248" s="385">
        <f t="shared" si="84"/>
        <v>0</v>
      </c>
      <c r="AA248" s="386">
        <f t="shared" si="85"/>
        <v>0</v>
      </c>
      <c r="AB248" s="197">
        <f t="shared" si="86"/>
        <v>43334</v>
      </c>
      <c r="AC248" s="425">
        <f t="shared" si="87"/>
        <v>4.0575915948883479E-3</v>
      </c>
      <c r="AD248" s="169">
        <f>(INDEX(Models!$BJ248:$BT248,,AH248)*(1-AF248)+INDEX(Models!$BJ248:$BT248,,AH248+1)*AF248-ERP_i)*AE248*Ramure*Pc/MaxiM</f>
        <v>2.2712176540779527E-3</v>
      </c>
      <c r="AE248" s="305">
        <f t="shared" si="88"/>
        <v>0.8</v>
      </c>
      <c r="AF248" s="177">
        <f t="shared" si="89"/>
        <v>0.57169415267005463</v>
      </c>
      <c r="AG248" s="809">
        <f t="shared" si="90"/>
        <v>0</v>
      </c>
      <c r="AH248" s="176">
        <f t="shared" si="91"/>
        <v>6</v>
      </c>
      <c r="AI248" s="225">
        <f t="shared" si="92"/>
        <v>0.57169415267005463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6"/>
      <c r="C249" s="390"/>
      <c r="D249" s="393"/>
      <c r="E249" s="385"/>
      <c r="F249" s="385"/>
      <c r="G249" s="110"/>
      <c r="I249" s="380">
        <f t="shared" si="73"/>
        <v>0</v>
      </c>
      <c r="J249" s="85">
        <v>2018</v>
      </c>
      <c r="K249" s="197">
        <f t="shared" si="74"/>
        <v>43335</v>
      </c>
      <c r="L249" s="436">
        <f t="shared" si="75"/>
        <v>5.1184705877160841E-4</v>
      </c>
      <c r="M249" s="854"/>
      <c r="N249" s="854"/>
      <c r="O249" s="324">
        <f t="shared" si="76"/>
        <v>4.2482015336659205E-3</v>
      </c>
      <c r="P249" s="169">
        <f>(INDEX(Models!$BJ249:$BT249,,T249)*(1-R249)+INDEX(Models!$BJ249:$BT249,,T249+1)*R249-ERP_i)*Q249*Ramure*Pc/MaxiM</f>
        <v>2.4086929158928364E-3</v>
      </c>
      <c r="Q249" s="305">
        <f t="shared" si="77"/>
        <v>0.8</v>
      </c>
      <c r="R249" s="177">
        <f t="shared" si="78"/>
        <v>0.57278949141131819</v>
      </c>
      <c r="S249" s="809">
        <f t="shared" si="96"/>
        <v>0</v>
      </c>
      <c r="T249" s="176">
        <f t="shared" si="79"/>
        <v>6</v>
      </c>
      <c r="U249" s="251">
        <f t="shared" si="80"/>
        <v>0.57278949141131819</v>
      </c>
      <c r="V249" s="383">
        <f t="shared" si="81"/>
        <v>50.918259190913538</v>
      </c>
      <c r="W249" s="58"/>
      <c r="X249" s="157">
        <f t="shared" si="82"/>
        <v>43335</v>
      </c>
      <c r="Y249" s="385">
        <f t="shared" si="83"/>
        <v>0</v>
      </c>
      <c r="Z249" s="385">
        <f t="shared" si="84"/>
        <v>0</v>
      </c>
      <c r="AA249" s="386">
        <f t="shared" si="85"/>
        <v>0</v>
      </c>
      <c r="AB249" s="197">
        <f t="shared" si="86"/>
        <v>43335</v>
      </c>
      <c r="AC249" s="425">
        <f t="shared" si="87"/>
        <v>4.2482015336659205E-3</v>
      </c>
      <c r="AD249" s="169">
        <f>(INDEX(Models!$BJ249:$BT249,,AH249)*(1-AF249)+INDEX(Models!$BJ249:$BT249,,AH249+1)*AF249-ERP_i)*AE249*Ramure*Pc/MaxiM</f>
        <v>2.4086929158928364E-3</v>
      </c>
      <c r="AE249" s="305">
        <f t="shared" si="88"/>
        <v>0.8</v>
      </c>
      <c r="AF249" s="177">
        <f t="shared" si="89"/>
        <v>0.57278949141131819</v>
      </c>
      <c r="AG249" s="809">
        <f t="shared" si="90"/>
        <v>0</v>
      </c>
      <c r="AH249" s="176">
        <f t="shared" si="91"/>
        <v>6</v>
      </c>
      <c r="AI249" s="225">
        <f t="shared" si="92"/>
        <v>0.57278949141131819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6"/>
      <c r="C250" s="390"/>
      <c r="D250" s="393"/>
      <c r="E250" s="385"/>
      <c r="F250" s="385"/>
      <c r="G250" s="110"/>
      <c r="I250" s="380">
        <f t="shared" si="73"/>
        <v>0</v>
      </c>
      <c r="J250" s="85">
        <v>2018</v>
      </c>
      <c r="K250" s="197">
        <f t="shared" si="74"/>
        <v>43336</v>
      </c>
      <c r="L250" s="436">
        <f t="shared" si="75"/>
        <v>5.3510660824873657E-4</v>
      </c>
      <c r="M250" s="854"/>
      <c r="N250" s="854"/>
      <c r="O250" s="324">
        <f t="shared" si="76"/>
        <v>4.4385611838885395E-3</v>
      </c>
      <c r="P250" s="169">
        <f>(INDEX(Models!$BJ250:$BT250,,T250)*(1-R250)+INDEX(Models!$BJ250:$BT250,,T250+1)*R250-ERP_i)*Q250*Ramure*Pc/MaxiM</f>
        <v>2.5587537438992352E-3</v>
      </c>
      <c r="Q250" s="305">
        <f t="shared" si="77"/>
        <v>0.8</v>
      </c>
      <c r="R250" s="177">
        <f t="shared" si="78"/>
        <v>0.57384467727091526</v>
      </c>
      <c r="S250" s="809">
        <f t="shared" si="96"/>
        <v>0</v>
      </c>
      <c r="T250" s="176">
        <f t="shared" si="79"/>
        <v>6</v>
      </c>
      <c r="U250" s="251">
        <f t="shared" si="80"/>
        <v>0.57384467727091526</v>
      </c>
      <c r="V250" s="383">
        <f t="shared" si="81"/>
        <v>50.614500615208001</v>
      </c>
      <c r="W250" s="58"/>
      <c r="X250" s="157">
        <f t="shared" si="82"/>
        <v>43336</v>
      </c>
      <c r="Y250" s="385">
        <f t="shared" si="83"/>
        <v>0</v>
      </c>
      <c r="Z250" s="385">
        <f t="shared" si="84"/>
        <v>0</v>
      </c>
      <c r="AA250" s="386">
        <f t="shared" si="85"/>
        <v>0</v>
      </c>
      <c r="AB250" s="197">
        <f t="shared" si="86"/>
        <v>43336</v>
      </c>
      <c r="AC250" s="425">
        <f t="shared" si="87"/>
        <v>4.4385611838885395E-3</v>
      </c>
      <c r="AD250" s="169">
        <f>(INDEX(Models!$BJ250:$BT250,,AH250)*(1-AF250)+INDEX(Models!$BJ250:$BT250,,AH250+1)*AF250-ERP_i)*AE250*Ramure*Pc/MaxiM</f>
        <v>2.5587537438992352E-3</v>
      </c>
      <c r="AE250" s="305">
        <f t="shared" si="88"/>
        <v>0.8</v>
      </c>
      <c r="AF250" s="177">
        <f t="shared" si="89"/>
        <v>0.57384467727091526</v>
      </c>
      <c r="AG250" s="809">
        <f t="shared" si="90"/>
        <v>0</v>
      </c>
      <c r="AH250" s="176">
        <f t="shared" si="91"/>
        <v>6</v>
      </c>
      <c r="AI250" s="225">
        <f t="shared" si="92"/>
        <v>0.57384467727091526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6"/>
      <c r="C251" s="390"/>
      <c r="D251" s="393"/>
      <c r="E251" s="385"/>
      <c r="F251" s="385"/>
      <c r="G251" s="110"/>
      <c r="I251" s="380">
        <f t="shared" si="73"/>
        <v>0</v>
      </c>
      <c r="J251" s="85">
        <v>2018</v>
      </c>
      <c r="K251" s="197">
        <f t="shared" si="74"/>
        <v>43337</v>
      </c>
      <c r="L251" s="436">
        <f t="shared" si="75"/>
        <v>5.5836561644218019E-4</v>
      </c>
      <c r="M251" s="854"/>
      <c r="N251" s="854"/>
      <c r="O251" s="324">
        <f t="shared" si="76"/>
        <v>4.6286682237471344E-3</v>
      </c>
      <c r="P251" s="169">
        <f>(INDEX(Models!$BJ251:$BT251,,T251)*(1-R251)+INDEX(Models!$BJ251:$BT251,,T251+1)*R251-ERP_i)*Q251*Ramure*Pc/MaxiM</f>
        <v>2.7216685539352896E-3</v>
      </c>
      <c r="Q251" s="305">
        <f t="shared" si="77"/>
        <v>0.8</v>
      </c>
      <c r="R251" s="177">
        <f t="shared" si="78"/>
        <v>0.5748610354724728</v>
      </c>
      <c r="S251" s="809">
        <f t="shared" si="96"/>
        <v>0</v>
      </c>
      <c r="T251" s="176">
        <f t="shared" si="79"/>
        <v>6</v>
      </c>
      <c r="U251" s="251">
        <f t="shared" si="80"/>
        <v>0.5748610354724728</v>
      </c>
      <c r="V251" s="383">
        <f t="shared" si="81"/>
        <v>50.305763218736956</v>
      </c>
      <c r="W251" s="58"/>
      <c r="X251" s="157">
        <f t="shared" si="82"/>
        <v>43337</v>
      </c>
      <c r="Y251" s="385">
        <f t="shared" si="83"/>
        <v>0</v>
      </c>
      <c r="Z251" s="385">
        <f t="shared" si="84"/>
        <v>0</v>
      </c>
      <c r="AA251" s="386">
        <f t="shared" si="85"/>
        <v>0</v>
      </c>
      <c r="AB251" s="197">
        <f t="shared" si="86"/>
        <v>43337</v>
      </c>
      <c r="AC251" s="425">
        <f t="shared" si="87"/>
        <v>4.6286682237471344E-3</v>
      </c>
      <c r="AD251" s="169">
        <f>(INDEX(Models!$BJ251:$BT251,,AH251)*(1-AF251)+INDEX(Models!$BJ251:$BT251,,AH251+1)*AF251-ERP_i)*AE251*Ramure*Pc/MaxiM</f>
        <v>2.7216685539352896E-3</v>
      </c>
      <c r="AE251" s="305">
        <f t="shared" si="88"/>
        <v>0.8</v>
      </c>
      <c r="AF251" s="177">
        <f t="shared" si="89"/>
        <v>0.5748610354724728</v>
      </c>
      <c r="AG251" s="809">
        <f t="shared" si="90"/>
        <v>0</v>
      </c>
      <c r="AH251" s="176">
        <f t="shared" si="91"/>
        <v>6</v>
      </c>
      <c r="AI251" s="225">
        <f t="shared" si="92"/>
        <v>0.5748610354724728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6"/>
      <c r="C252" s="390"/>
      <c r="D252" s="393"/>
      <c r="E252" s="385"/>
      <c r="F252" s="385"/>
      <c r="G252" s="110"/>
      <c r="I252" s="380">
        <f t="shared" si="73"/>
        <v>0</v>
      </c>
      <c r="J252" s="85">
        <v>2018</v>
      </c>
      <c r="K252" s="197">
        <f t="shared" si="74"/>
        <v>43338</v>
      </c>
      <c r="L252" s="436">
        <f t="shared" si="75"/>
        <v>5.8162408336459581E-4</v>
      </c>
      <c r="M252" s="854"/>
      <c r="N252" s="854"/>
      <c r="O252" s="324">
        <f t="shared" si="76"/>
        <v>4.8185202081517855E-3</v>
      </c>
      <c r="P252" s="169">
        <f>(INDEX(Models!$BJ252:$BT252,,T252)*(1-R252)+INDEX(Models!$BJ252:$BT252,,T252+1)*R252-ERP_i)*Q252*Ramure*Pc/MaxiM</f>
        <v>2.8977131873744277E-3</v>
      </c>
      <c r="Q252" s="305">
        <f t="shared" si="77"/>
        <v>0.8</v>
      </c>
      <c r="R252" s="177">
        <f t="shared" si="78"/>
        <v>0.57583985867415721</v>
      </c>
      <c r="S252" s="809">
        <f t="shared" si="96"/>
        <v>0</v>
      </c>
      <c r="T252" s="176">
        <f t="shared" si="79"/>
        <v>6</v>
      </c>
      <c r="U252" s="251">
        <f t="shared" si="80"/>
        <v>0.57583985867415721</v>
      </c>
      <c r="V252" s="383">
        <f t="shared" si="81"/>
        <v>49.991939619952511</v>
      </c>
      <c r="W252" s="58"/>
      <c r="X252" s="157">
        <f t="shared" si="82"/>
        <v>43338</v>
      </c>
      <c r="Y252" s="385">
        <f t="shared" si="83"/>
        <v>0</v>
      </c>
      <c r="Z252" s="385">
        <f t="shared" si="84"/>
        <v>0</v>
      </c>
      <c r="AA252" s="386">
        <f t="shared" si="85"/>
        <v>0</v>
      </c>
      <c r="AB252" s="197">
        <f t="shared" si="86"/>
        <v>43338</v>
      </c>
      <c r="AC252" s="425">
        <f t="shared" si="87"/>
        <v>4.8185202081517855E-3</v>
      </c>
      <c r="AD252" s="169">
        <f>(INDEX(Models!$BJ252:$BT252,,AH252)*(1-AF252)+INDEX(Models!$BJ252:$BT252,,AH252+1)*AF252-ERP_i)*AE252*Ramure*Pc/MaxiM</f>
        <v>2.8977131873744277E-3</v>
      </c>
      <c r="AE252" s="305">
        <f t="shared" si="88"/>
        <v>0.8</v>
      </c>
      <c r="AF252" s="177">
        <f t="shared" si="89"/>
        <v>0.57583985867415721</v>
      </c>
      <c r="AG252" s="809">
        <f t="shared" si="90"/>
        <v>0</v>
      </c>
      <c r="AH252" s="176">
        <f t="shared" si="91"/>
        <v>6</v>
      </c>
      <c r="AI252" s="225">
        <f t="shared" si="92"/>
        <v>0.57583985867415721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6"/>
      <c r="C253" s="390"/>
      <c r="D253" s="393"/>
      <c r="E253" s="385"/>
      <c r="F253" s="385"/>
      <c r="G253" s="110"/>
      <c r="I253" s="380">
        <f t="shared" si="73"/>
        <v>0</v>
      </c>
      <c r="J253" s="85">
        <v>2018</v>
      </c>
      <c r="K253" s="197">
        <f t="shared" si="74"/>
        <v>43339</v>
      </c>
      <c r="L253" s="436">
        <f t="shared" si="75"/>
        <v>6.0488200902841793E-4</v>
      </c>
      <c r="M253" s="854"/>
      <c r="N253" s="854"/>
      <c r="O253" s="324">
        <f t="shared" si="76"/>
        <v>5.0081145643586936E-3</v>
      </c>
      <c r="P253" s="169">
        <f>(INDEX(Models!$BJ253:$BT253,,T253)*(1-R253)+INDEX(Models!$BJ253:$BT253,,T253+1)*R253-ERP_i)*Q253*Ramure*Pc/MaxiM</f>
        <v>3.0871732328102116E-3</v>
      </c>
      <c r="Q253" s="305">
        <f t="shared" si="77"/>
        <v>0.8</v>
      </c>
      <c r="R253" s="177">
        <f t="shared" si="78"/>
        <v>0.57678240687645388</v>
      </c>
      <c r="S253" s="809">
        <f t="shared" si="96"/>
        <v>0</v>
      </c>
      <c r="T253" s="176">
        <f t="shared" si="79"/>
        <v>6</v>
      </c>
      <c r="U253" s="251">
        <f t="shared" si="80"/>
        <v>0.57678240687645388</v>
      </c>
      <c r="V253" s="383">
        <f t="shared" si="81"/>
        <v>49.672922804153558</v>
      </c>
      <c r="W253" s="58"/>
      <c r="X253" s="157">
        <f t="shared" si="82"/>
        <v>43339</v>
      </c>
      <c r="Y253" s="385">
        <f t="shared" si="83"/>
        <v>0</v>
      </c>
      <c r="Z253" s="385">
        <f t="shared" si="84"/>
        <v>0</v>
      </c>
      <c r="AA253" s="386">
        <f t="shared" si="85"/>
        <v>0</v>
      </c>
      <c r="AB253" s="197">
        <f t="shared" si="86"/>
        <v>43339</v>
      </c>
      <c r="AC253" s="425">
        <f t="shared" si="87"/>
        <v>5.0081145643586936E-3</v>
      </c>
      <c r="AD253" s="169">
        <f>(INDEX(Models!$BJ253:$BT253,,AH253)*(1-AF253)+INDEX(Models!$BJ253:$BT253,,AH253+1)*AF253-ERP_i)*AE253*Ramure*Pc/MaxiM</f>
        <v>3.0871732328102116E-3</v>
      </c>
      <c r="AE253" s="305">
        <f t="shared" si="88"/>
        <v>0.8</v>
      </c>
      <c r="AF253" s="177">
        <f t="shared" si="89"/>
        <v>0.57678240687645388</v>
      </c>
      <c r="AG253" s="809">
        <f t="shared" si="90"/>
        <v>0</v>
      </c>
      <c r="AH253" s="176">
        <f t="shared" si="91"/>
        <v>6</v>
      </c>
      <c r="AI253" s="225">
        <f t="shared" si="92"/>
        <v>0.57678240687645388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6">
        <v>28.984999999999999</v>
      </c>
      <c r="C254" s="390"/>
      <c r="D254" s="393">
        <f t="shared" ref="D254:D270" si="97">Wh/(1-Ppv)</f>
        <v>29.003218063802592</v>
      </c>
      <c r="E254" s="385">
        <f t="shared" ref="E254:E296" si="98">Wh_pvt/(1-Psa)</f>
        <v>29.15474836952324</v>
      </c>
      <c r="F254" s="385">
        <f t="shared" ref="F254:F260" si="99">Wh_sa/(1-Pvg*MEDIAN((-Sdif+Wh/Env_an)/Csdif,0,1))</f>
        <v>29.194163224399706</v>
      </c>
      <c r="G254" s="110">
        <f t="shared" ref="G254:G296" si="100">+Wh_hp/MaxiM</f>
        <v>0.58621079822659072</v>
      </c>
      <c r="I254" s="380">
        <f t="shared" si="73"/>
        <v>29.194163224399706</v>
      </c>
      <c r="J254" s="85">
        <v>2018</v>
      </c>
      <c r="K254" s="197">
        <f t="shared" si="74"/>
        <v>43340</v>
      </c>
      <c r="L254" s="436">
        <f t="shared" si="75"/>
        <v>6.2813939344641412E-4</v>
      </c>
      <c r="M254" s="854"/>
      <c r="N254" s="854"/>
      <c r="O254" s="324">
        <f t="shared" si="76"/>
        <v>5.1974485871073223E-3</v>
      </c>
      <c r="P254" s="169">
        <f>(INDEX(Models!$BJ254:$BT254,,T254)*(1-R254)+INDEX(Models!$BJ254:$BT254,,T254+1)*R254-ERP_i)*Q254*Ramure*Pc/MaxiM</f>
        <v>3.2888880441783344E-3</v>
      </c>
      <c r="Q254" s="305">
        <f t="shared" si="77"/>
        <v>0.8</v>
      </c>
      <c r="R254" s="177">
        <f t="shared" si="78"/>
        <v>0.57768990741952564</v>
      </c>
      <c r="S254" s="809">
        <f t="shared" si="96"/>
        <v>0</v>
      </c>
      <c r="T254" s="176">
        <f t="shared" si="79"/>
        <v>6</v>
      </c>
      <c r="U254" s="251">
        <f t="shared" si="80"/>
        <v>0.57768990741952564</v>
      </c>
      <c r="V254" s="383">
        <f t="shared" si="81"/>
        <v>49.348678257230965</v>
      </c>
      <c r="W254" s="58"/>
      <c r="X254" s="157">
        <f t="shared" si="82"/>
        <v>43340</v>
      </c>
      <c r="Y254" s="385">
        <f t="shared" si="83"/>
        <v>28.984999999999999</v>
      </c>
      <c r="Z254" s="385">
        <f t="shared" si="84"/>
        <v>29.003218063802592</v>
      </c>
      <c r="AA254" s="386">
        <f t="shared" si="85"/>
        <v>29.15474836952324</v>
      </c>
      <c r="AB254" s="197">
        <f t="shared" si="86"/>
        <v>43340</v>
      </c>
      <c r="AC254" s="425">
        <f t="shared" si="87"/>
        <v>5.1974485871073223E-3</v>
      </c>
      <c r="AD254" s="169">
        <f>(INDEX(Models!$BJ254:$BT254,,AH254)*(1-AF254)+INDEX(Models!$BJ254:$BT254,,AH254+1)*AF254-ERP_i)*AE254*Ramure*Pc/MaxiM</f>
        <v>3.2888880441783344E-3</v>
      </c>
      <c r="AE254" s="305">
        <f t="shared" si="88"/>
        <v>0.8</v>
      </c>
      <c r="AF254" s="177">
        <f t="shared" si="89"/>
        <v>0.57768990741952564</v>
      </c>
      <c r="AG254" s="809">
        <f t="shared" si="90"/>
        <v>0</v>
      </c>
      <c r="AH254" s="176">
        <f t="shared" si="91"/>
        <v>6</v>
      </c>
      <c r="AI254" s="225">
        <f t="shared" si="92"/>
        <v>0.57768990741952564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6">
        <v>34.466999999999999</v>
      </c>
      <c r="C255" s="390"/>
      <c r="D255" s="393">
        <f t="shared" si="97"/>
        <v>34.489466308556807</v>
      </c>
      <c r="E255" s="385">
        <f t="shared" si="98"/>
        <v>34.676250606317737</v>
      </c>
      <c r="F255" s="385">
        <f t="shared" si="99"/>
        <v>34.746162828876358</v>
      </c>
      <c r="G255" s="110">
        <f t="shared" si="100"/>
        <v>0.7020835653385763</v>
      </c>
      <c r="I255" s="380">
        <f t="shared" si="73"/>
        <v>34.746162828876358</v>
      </c>
      <c r="J255" s="85">
        <v>2018</v>
      </c>
      <c r="K255" s="197">
        <f t="shared" si="74"/>
        <v>43341</v>
      </c>
      <c r="L255" s="436">
        <f t="shared" si="75"/>
        <v>6.5139623663101887E-4</v>
      </c>
      <c r="M255" s="854"/>
      <c r="N255" s="854"/>
      <c r="O255" s="324">
        <f t="shared" si="76"/>
        <v>5.3865194331851451E-3</v>
      </c>
      <c r="P255" s="169">
        <f>(INDEX(Models!$BJ255:$BT255,,T255)*(1-R255)+INDEX(Models!$BJ255:$BT255,,T255+1)*R255-ERP_i)*Q255*Ramure*Pc/MaxiM</f>
        <v>3.4938306399236604E-3</v>
      </c>
      <c r="Q255" s="305">
        <f t="shared" si="77"/>
        <v>0.8</v>
      </c>
      <c r="R255" s="177">
        <f t="shared" si="78"/>
        <v>0.57856355506227919</v>
      </c>
      <c r="S255" s="809">
        <f t="shared" si="96"/>
        <v>0</v>
      </c>
      <c r="T255" s="176">
        <f t="shared" si="79"/>
        <v>6</v>
      </c>
      <c r="U255" s="251">
        <f t="shared" si="80"/>
        <v>0.57856355506227919</v>
      </c>
      <c r="V255" s="383">
        <f t="shared" si="81"/>
        <v>49.019557492425157</v>
      </c>
      <c r="W255" s="58"/>
      <c r="X255" s="157">
        <f t="shared" si="82"/>
        <v>43341</v>
      </c>
      <c r="Y255" s="385">
        <f t="shared" si="83"/>
        <v>34.466999999999999</v>
      </c>
      <c r="Z255" s="385">
        <f t="shared" si="84"/>
        <v>34.489466308556807</v>
      </c>
      <c r="AA255" s="386">
        <f t="shared" si="85"/>
        <v>34.676250606317737</v>
      </c>
      <c r="AB255" s="197">
        <f t="shared" si="86"/>
        <v>43341</v>
      </c>
      <c r="AC255" s="425">
        <f t="shared" si="87"/>
        <v>5.3865194331851451E-3</v>
      </c>
      <c r="AD255" s="169">
        <f>(INDEX(Models!$BJ255:$BT255,,AH255)*(1-AF255)+INDEX(Models!$BJ255:$BT255,,AH255+1)*AF255-ERP_i)*AE255*Ramure*Pc/MaxiM</f>
        <v>3.4938306399236604E-3</v>
      </c>
      <c r="AE255" s="305">
        <f t="shared" si="88"/>
        <v>0.8</v>
      </c>
      <c r="AF255" s="177">
        <f t="shared" si="89"/>
        <v>0.57856355506227919</v>
      </c>
      <c r="AG255" s="809">
        <f t="shared" si="90"/>
        <v>0</v>
      </c>
      <c r="AH255" s="176">
        <f t="shared" si="91"/>
        <v>6</v>
      </c>
      <c r="AI255" s="225">
        <f t="shared" si="92"/>
        <v>0.57856355506227919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6">
        <v>40.466999999999999</v>
      </c>
      <c r="C256" s="390"/>
      <c r="D256" s="393">
        <f t="shared" si="97"/>
        <v>40.494319595513787</v>
      </c>
      <c r="E256" s="385">
        <f t="shared" si="98"/>
        <v>40.721354344400147</v>
      </c>
      <c r="F256" s="385">
        <f t="shared" si="99"/>
        <v>40.836075885679683</v>
      </c>
      <c r="G256" s="110">
        <f t="shared" si="100"/>
        <v>0.8304486449825349</v>
      </c>
      <c r="I256" s="380">
        <f t="shared" si="73"/>
        <v>40.836075885679683</v>
      </c>
      <c r="J256" s="85">
        <v>2018</v>
      </c>
      <c r="K256" s="197">
        <f t="shared" si="74"/>
        <v>43342</v>
      </c>
      <c r="L256" s="436">
        <f t="shared" si="75"/>
        <v>6.7465253859488872E-4</v>
      </c>
      <c r="M256" s="854"/>
      <c r="N256" s="854"/>
      <c r="O256" s="324">
        <f t="shared" si="76"/>
        <v>5.5753241153578218E-3</v>
      </c>
      <c r="P256" s="169">
        <f>(INDEX(Models!$BJ256:$BT256,,T256)*(1-R256)+INDEX(Models!$BJ256:$BT256,,T256+1)*R256-ERP_i)*Q256*Ramure*Pc/MaxiM</f>
        <v>3.7020887959085141E-3</v>
      </c>
      <c r="Q256" s="305">
        <f t="shared" si="77"/>
        <v>0.8</v>
      </c>
      <c r="R256" s="177">
        <f t="shared" si="78"/>
        <v>0.57940451213568889</v>
      </c>
      <c r="S256" s="809">
        <f t="shared" si="96"/>
        <v>0</v>
      </c>
      <c r="T256" s="176">
        <f t="shared" si="79"/>
        <v>6</v>
      </c>
      <c r="U256" s="251">
        <f t="shared" si="80"/>
        <v>0.57940451213568889</v>
      </c>
      <c r="V256" s="383">
        <f t="shared" si="81"/>
        <v>48.685455417750426</v>
      </c>
      <c r="W256" s="58"/>
      <c r="X256" s="157">
        <f t="shared" si="82"/>
        <v>43342</v>
      </c>
      <c r="Y256" s="385">
        <f t="shared" si="83"/>
        <v>40.466999999999999</v>
      </c>
      <c r="Z256" s="385">
        <f t="shared" si="84"/>
        <v>40.494319595513787</v>
      </c>
      <c r="AA256" s="386">
        <f t="shared" si="85"/>
        <v>40.721354344400147</v>
      </c>
      <c r="AB256" s="197">
        <f t="shared" si="86"/>
        <v>43342</v>
      </c>
      <c r="AC256" s="425">
        <f t="shared" si="87"/>
        <v>5.5753241153578218E-3</v>
      </c>
      <c r="AD256" s="169">
        <f>(INDEX(Models!$BJ256:$BT256,,AH256)*(1-AF256)+INDEX(Models!$BJ256:$BT256,,AH256+1)*AF256-ERP_i)*AE256*Ramure*Pc/MaxiM</f>
        <v>3.7020887959085141E-3</v>
      </c>
      <c r="AE256" s="305">
        <f t="shared" si="88"/>
        <v>0.8</v>
      </c>
      <c r="AF256" s="177">
        <f t="shared" si="89"/>
        <v>0.57940451213568889</v>
      </c>
      <c r="AG256" s="809">
        <f t="shared" si="90"/>
        <v>0</v>
      </c>
      <c r="AH256" s="176">
        <f t="shared" si="91"/>
        <v>6</v>
      </c>
      <c r="AI256" s="225">
        <f t="shared" si="92"/>
        <v>0.57940451213568889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6">
        <v>40.289000000000001</v>
      </c>
      <c r="C257" s="390"/>
      <c r="D257" s="393">
        <f t="shared" si="97"/>
        <v>40.317137664982454</v>
      </c>
      <c r="E257" s="385">
        <f t="shared" si="98"/>
        <v>40.55086716575164</v>
      </c>
      <c r="F257" s="385">
        <f t="shared" si="99"/>
        <v>40.672149932876934</v>
      </c>
      <c r="G257" s="110">
        <f t="shared" si="100"/>
        <v>0.83256369282964726</v>
      </c>
      <c r="I257" s="380">
        <f t="shared" si="73"/>
        <v>40.672149932876934</v>
      </c>
      <c r="J257" s="85">
        <v>2018</v>
      </c>
      <c r="K257" s="197">
        <f t="shared" si="74"/>
        <v>43343</v>
      </c>
      <c r="L257" s="436">
        <f t="shared" si="75"/>
        <v>6.9790829935068022E-4</v>
      </c>
      <c r="M257" s="854"/>
      <c r="N257" s="854"/>
      <c r="O257" s="324">
        <f t="shared" si="76"/>
        <v>5.7638594956259583E-3</v>
      </c>
      <c r="P257" s="169">
        <f>(INDEX(Models!$BJ257:$BT257,,T257)*(1-R257)+INDEX(Models!$BJ257:$BT257,,T257+1)*R257-ERP_i)*Q257*Ramure*Pc/MaxiM</f>
        <v>3.9137564702971849E-3</v>
      </c>
      <c r="Q257" s="305">
        <f t="shared" si="77"/>
        <v>0.8</v>
      </c>
      <c r="R257" s="177">
        <f t="shared" si="78"/>
        <v>0.58021390876332912</v>
      </c>
      <c r="S257" s="809">
        <f t="shared" si="96"/>
        <v>0</v>
      </c>
      <c r="T257" s="176">
        <f t="shared" si="79"/>
        <v>6</v>
      </c>
      <c r="U257" s="251">
        <f t="shared" si="80"/>
        <v>0.58021390876332912</v>
      </c>
      <c r="V257" s="383">
        <f t="shared" si="81"/>
        <v>48.346267030670809</v>
      </c>
      <c r="W257" s="58"/>
      <c r="X257" s="157">
        <f t="shared" si="82"/>
        <v>43343</v>
      </c>
      <c r="Y257" s="385">
        <f t="shared" si="83"/>
        <v>40.289000000000001</v>
      </c>
      <c r="Z257" s="385">
        <f t="shared" si="84"/>
        <v>40.317137664982454</v>
      </c>
      <c r="AA257" s="386">
        <f t="shared" si="85"/>
        <v>40.55086716575164</v>
      </c>
      <c r="AB257" s="197">
        <f t="shared" si="86"/>
        <v>43343</v>
      </c>
      <c r="AC257" s="425">
        <f t="shared" si="87"/>
        <v>5.7638594956259583E-3</v>
      </c>
      <c r="AD257" s="169">
        <f>(INDEX(Models!$BJ257:$BT257,,AH257)*(1-AF257)+INDEX(Models!$BJ257:$BT257,,AH257+1)*AF257-ERP_i)*AE257*Ramure*Pc/MaxiM</f>
        <v>3.9137564702971849E-3</v>
      </c>
      <c r="AE257" s="305">
        <f t="shared" si="88"/>
        <v>0.8</v>
      </c>
      <c r="AF257" s="177">
        <f t="shared" si="89"/>
        <v>0.58021390876332912</v>
      </c>
      <c r="AG257" s="809">
        <f t="shared" si="90"/>
        <v>0</v>
      </c>
      <c r="AH257" s="176">
        <f t="shared" si="91"/>
        <v>6</v>
      </c>
      <c r="AI257" s="225">
        <f t="shared" si="92"/>
        <v>0.58021390876332912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6">
        <v>47.155000000000001</v>
      </c>
      <c r="C258" s="390"/>
      <c r="D258" s="393">
        <f t="shared" si="97"/>
        <v>47.189031007655487</v>
      </c>
      <c r="E258" s="385">
        <f t="shared" si="98"/>
        <v>47.471587702381036</v>
      </c>
      <c r="F258" s="385">
        <f t="shared" si="99"/>
        <v>47.663426724874789</v>
      </c>
      <c r="G258" s="110">
        <f t="shared" si="100"/>
        <v>0.9822545631153542</v>
      </c>
      <c r="I258" s="380">
        <f t="shared" si="73"/>
        <v>47.663426724874789</v>
      </c>
      <c r="J258" s="85">
        <v>2018</v>
      </c>
      <c r="K258" s="197">
        <f t="shared" si="74"/>
        <v>43344</v>
      </c>
      <c r="L258" s="436">
        <f t="shared" si="75"/>
        <v>7.2116351891104991E-4</v>
      </c>
      <c r="M258" s="854"/>
      <c r="N258" s="854"/>
      <c r="O258" s="324">
        <f t="shared" si="76"/>
        <v>5.952122277793021E-3</v>
      </c>
      <c r="P258" s="169">
        <f>(INDEX(Models!$BJ258:$BT258,,T258)*(1-R258)+INDEX(Models!$BJ258:$BT258,,T258+1)*R258-ERP_i)*Q258*Ramure*Pc/MaxiM</f>
        <v>4.1289340708610773E-3</v>
      </c>
      <c r="Q258" s="305">
        <f t="shared" si="77"/>
        <v>0.8</v>
      </c>
      <c r="R258" s="177">
        <f t="shared" si="78"/>
        <v>0.5809928431424749</v>
      </c>
      <c r="S258" s="809">
        <f t="shared" si="96"/>
        <v>0</v>
      </c>
      <c r="T258" s="176">
        <f t="shared" si="79"/>
        <v>6</v>
      </c>
      <c r="U258" s="251">
        <f t="shared" si="80"/>
        <v>0.5809928431424749</v>
      </c>
      <c r="V258" s="383">
        <f t="shared" si="81"/>
        <v>48.001887418518862</v>
      </c>
      <c r="W258" s="58"/>
      <c r="X258" s="157">
        <f t="shared" si="82"/>
        <v>43344</v>
      </c>
      <c r="Y258" s="385">
        <f t="shared" si="83"/>
        <v>47.155000000000001</v>
      </c>
      <c r="Z258" s="385">
        <f t="shared" si="84"/>
        <v>47.189031007655487</v>
      </c>
      <c r="AA258" s="386">
        <f t="shared" si="85"/>
        <v>47.471587702381036</v>
      </c>
      <c r="AB258" s="197">
        <f t="shared" si="86"/>
        <v>43344</v>
      </c>
      <c r="AC258" s="425">
        <f t="shared" si="87"/>
        <v>5.952122277793021E-3</v>
      </c>
      <c r="AD258" s="169">
        <f>(INDEX(Models!$BJ258:$BT258,,AH258)*(1-AF258)+INDEX(Models!$BJ258:$BT258,,AH258+1)*AF258-ERP_i)*AE258*Ramure*Pc/MaxiM</f>
        <v>4.1289340708610773E-3</v>
      </c>
      <c r="AE258" s="305">
        <f t="shared" si="88"/>
        <v>0.8</v>
      </c>
      <c r="AF258" s="177">
        <f t="shared" si="89"/>
        <v>0.5809928431424749</v>
      </c>
      <c r="AG258" s="809">
        <f t="shared" si="90"/>
        <v>0</v>
      </c>
      <c r="AH258" s="176">
        <f t="shared" si="91"/>
        <v>6</v>
      </c>
      <c r="AI258" s="225">
        <f t="shared" si="92"/>
        <v>0.5809928431424749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6">
        <v>44.725999999999999</v>
      </c>
      <c r="C259" s="390"/>
      <c r="D259" s="393">
        <f t="shared" si="97"/>
        <v>44.759319652047225</v>
      </c>
      <c r="E259" s="385">
        <f t="shared" si="98"/>
        <v>45.03584464705817</v>
      </c>
      <c r="F259" s="385">
        <f t="shared" si="99"/>
        <v>45.215182671416329</v>
      </c>
      <c r="G259" s="110">
        <f t="shared" si="100"/>
        <v>0.9382329100018546</v>
      </c>
      <c r="I259" s="380">
        <f t="shared" si="73"/>
        <v>45.215182671416329</v>
      </c>
      <c r="J259" s="85">
        <v>2018</v>
      </c>
      <c r="K259" s="197">
        <f t="shared" si="74"/>
        <v>43345</v>
      </c>
      <c r="L259" s="436">
        <f t="shared" si="75"/>
        <v>7.4441819728832126E-4</v>
      </c>
      <c r="M259" s="854"/>
      <c r="N259" s="854"/>
      <c r="O259" s="324">
        <f t="shared" si="76"/>
        <v>6.1401089993548368E-3</v>
      </c>
      <c r="P259" s="169">
        <f>(INDEX(Models!$BJ259:$BT259,,T259)*(1-R259)+INDEX(Models!$BJ259:$BT259,,T259+1)*R259-ERP_i)*Q259*Ramure*Pc/MaxiM</f>
        <v>4.3477287412470094E-3</v>
      </c>
      <c r="Q259" s="305">
        <f t="shared" si="77"/>
        <v>0.8</v>
      </c>
      <c r="R259" s="177">
        <f t="shared" si="78"/>
        <v>0.58174238187952276</v>
      </c>
      <c r="S259" s="809">
        <f t="shared" si="96"/>
        <v>0</v>
      </c>
      <c r="T259" s="176">
        <f t="shared" si="79"/>
        <v>6</v>
      </c>
      <c r="U259" s="251">
        <f t="shared" si="80"/>
        <v>0.58174238187952276</v>
      </c>
      <c r="V259" s="383">
        <f t="shared" si="81"/>
        <v>47.652211775551145</v>
      </c>
      <c r="W259" s="58"/>
      <c r="X259" s="157">
        <f t="shared" si="82"/>
        <v>43345</v>
      </c>
      <c r="Y259" s="385">
        <f t="shared" si="83"/>
        <v>44.725999999999999</v>
      </c>
      <c r="Z259" s="385">
        <f t="shared" si="84"/>
        <v>44.759319652047225</v>
      </c>
      <c r="AA259" s="386">
        <f t="shared" si="85"/>
        <v>45.03584464705817</v>
      </c>
      <c r="AB259" s="197">
        <f t="shared" si="86"/>
        <v>43345</v>
      </c>
      <c r="AC259" s="425">
        <f t="shared" si="87"/>
        <v>6.1401089993548368E-3</v>
      </c>
      <c r="AD259" s="169">
        <f>(INDEX(Models!$BJ259:$BT259,,AH259)*(1-AF259)+INDEX(Models!$BJ259:$BT259,,AH259+1)*AF259-ERP_i)*AE259*Ramure*Pc/MaxiM</f>
        <v>4.3477287412470094E-3</v>
      </c>
      <c r="AE259" s="305">
        <f t="shared" si="88"/>
        <v>0.8</v>
      </c>
      <c r="AF259" s="177">
        <f t="shared" si="89"/>
        <v>0.58174238187952276</v>
      </c>
      <c r="AG259" s="809">
        <f t="shared" si="90"/>
        <v>0</v>
      </c>
      <c r="AH259" s="176">
        <f t="shared" si="91"/>
        <v>6</v>
      </c>
      <c r="AI259" s="225">
        <f t="shared" si="92"/>
        <v>0.58174238187952276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6">
        <v>44.863</v>
      </c>
      <c r="C260" s="390"/>
      <c r="D260" s="393">
        <f t="shared" si="97"/>
        <v>44.897466542953957</v>
      </c>
      <c r="E260" s="385">
        <f t="shared" si="98"/>
        <v>45.183378650339421</v>
      </c>
      <c r="F260" s="385">
        <f t="shared" si="99"/>
        <v>45.37550965845076</v>
      </c>
      <c r="G260" s="110">
        <f t="shared" si="100"/>
        <v>0.94821517415390344</v>
      </c>
      <c r="I260" s="380">
        <f t="shared" si="73"/>
        <v>45.37550965845076</v>
      </c>
      <c r="J260" s="85">
        <v>2018</v>
      </c>
      <c r="K260" s="197">
        <f t="shared" si="74"/>
        <v>43346</v>
      </c>
      <c r="L260" s="436">
        <f t="shared" si="75"/>
        <v>7.6767233449537287E-4</v>
      </c>
      <c r="M260" s="854"/>
      <c r="N260" s="854"/>
      <c r="O260" s="324">
        <f t="shared" si="76"/>
        <v>6.3278160227469701E-3</v>
      </c>
      <c r="P260" s="169">
        <f>(INDEX(Models!$BJ260:$BT260,,T260)*(1-R260)+INDEX(Models!$BJ260:$BT260,,T260+1)*R260-ERP_i)*Q260*Ramure*Pc/MaxiM</f>
        <v>4.5702546712534046E-3</v>
      </c>
      <c r="Q260" s="305">
        <f t="shared" si="77"/>
        <v>0.8</v>
      </c>
      <c r="R260" s="177">
        <f t="shared" si="78"/>
        <v>0.58246356037387337</v>
      </c>
      <c r="S260" s="809">
        <f t="shared" si="96"/>
        <v>0</v>
      </c>
      <c r="T260" s="176">
        <f t="shared" si="79"/>
        <v>6</v>
      </c>
      <c r="U260" s="251">
        <f t="shared" si="80"/>
        <v>0.58246356037387337</v>
      </c>
      <c r="V260" s="383">
        <f t="shared" si="81"/>
        <v>47.297135401099524</v>
      </c>
      <c r="W260" s="58"/>
      <c r="X260" s="157">
        <f t="shared" si="82"/>
        <v>43346</v>
      </c>
      <c r="Y260" s="385">
        <f t="shared" si="83"/>
        <v>44.863</v>
      </c>
      <c r="Z260" s="385">
        <f t="shared" si="84"/>
        <v>44.897466542953957</v>
      </c>
      <c r="AA260" s="386">
        <f t="shared" si="85"/>
        <v>45.183378650339421</v>
      </c>
      <c r="AB260" s="197">
        <f t="shared" si="86"/>
        <v>43346</v>
      </c>
      <c r="AC260" s="425">
        <f t="shared" si="87"/>
        <v>6.3278160227469701E-3</v>
      </c>
      <c r="AD260" s="169">
        <f>(INDEX(Models!$BJ260:$BT260,,AH260)*(1-AF260)+INDEX(Models!$BJ260:$BT260,,AH260+1)*AF260-ERP_i)*AE260*Ramure*Pc/MaxiM</f>
        <v>4.5702546712534046E-3</v>
      </c>
      <c r="AE260" s="305">
        <f t="shared" si="88"/>
        <v>0.8</v>
      </c>
      <c r="AF260" s="177">
        <f t="shared" si="89"/>
        <v>0.58246356037387337</v>
      </c>
      <c r="AG260" s="809">
        <f t="shared" si="90"/>
        <v>0</v>
      </c>
      <c r="AH260" s="176">
        <f t="shared" si="91"/>
        <v>6</v>
      </c>
      <c r="AI260" s="225">
        <f t="shared" si="92"/>
        <v>0.58246356037387337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6">
        <v>41.765000000000001</v>
      </c>
      <c r="C261" s="390"/>
      <c r="D261" s="393">
        <f t="shared" si="97"/>
        <v>41.798059168843075</v>
      </c>
      <c r="E261" s="385">
        <f t="shared" si="98"/>
        <v>42.072169430058906</v>
      </c>
      <c r="F261" s="385">
        <f t="shared" ref="F261:F292" si="101">Wh_sa/(1-Pvg*MEDIAN((-Sdif+Wh/Env_an)/Csdif,0,1))</f>
        <v>42.242901492977168</v>
      </c>
      <c r="G261" s="110">
        <f t="shared" si="100"/>
        <v>0.88914751485675381</v>
      </c>
      <c r="I261" s="380">
        <f t="shared" si="73"/>
        <v>42.242901492977168</v>
      </c>
      <c r="J261" s="85">
        <v>2018</v>
      </c>
      <c r="K261" s="197">
        <f t="shared" si="74"/>
        <v>43347</v>
      </c>
      <c r="L261" s="436">
        <f t="shared" si="75"/>
        <v>7.9092593054463922E-4</v>
      </c>
      <c r="M261" s="854"/>
      <c r="N261" s="854"/>
      <c r="O261" s="324">
        <f t="shared" si="76"/>
        <v>6.5152395260128079E-3</v>
      </c>
      <c r="P261" s="169">
        <f>(INDEX(Models!$BJ261:$BT261,,T261)*(1-R261)+INDEX(Models!$BJ261:$BT261,,T261+1)*R261-ERP_i)*Q261*Ramure*Pc/MaxiM</f>
        <v>4.7966539928741029E-3</v>
      </c>
      <c r="Q261" s="305">
        <f t="shared" si="77"/>
        <v>0.8</v>
      </c>
      <c r="R261" s="177">
        <f t="shared" si="78"/>
        <v>0.58315738324479049</v>
      </c>
      <c r="S261" s="809">
        <f t="shared" si="96"/>
        <v>0</v>
      </c>
      <c r="T261" s="176">
        <f t="shared" si="79"/>
        <v>6</v>
      </c>
      <c r="U261" s="251">
        <f t="shared" si="80"/>
        <v>0.58315738324479049</v>
      </c>
      <c r="V261" s="383">
        <f t="shared" si="81"/>
        <v>46.936351540275616</v>
      </c>
      <c r="W261" s="58"/>
      <c r="X261" s="157">
        <f t="shared" si="82"/>
        <v>43347</v>
      </c>
      <c r="Y261" s="385">
        <f t="shared" si="83"/>
        <v>41.765000000000001</v>
      </c>
      <c r="Z261" s="385">
        <f t="shared" si="84"/>
        <v>41.798059168843075</v>
      </c>
      <c r="AA261" s="386">
        <f t="shared" si="85"/>
        <v>42.072169430058906</v>
      </c>
      <c r="AB261" s="197">
        <f t="shared" si="86"/>
        <v>43347</v>
      </c>
      <c r="AC261" s="425">
        <f t="shared" si="87"/>
        <v>6.5152395260128079E-3</v>
      </c>
      <c r="AD261" s="169">
        <f>(INDEX(Models!$BJ261:$BT261,,AH261)*(1-AF261)+INDEX(Models!$BJ261:$BT261,,AH261+1)*AF261-ERP_i)*AE261*Ramure*Pc/MaxiM</f>
        <v>4.7966539928741029E-3</v>
      </c>
      <c r="AE261" s="305">
        <f t="shared" si="88"/>
        <v>0.8</v>
      </c>
      <c r="AF261" s="177">
        <f t="shared" si="89"/>
        <v>0.58315738324479049</v>
      </c>
      <c r="AG261" s="809">
        <f t="shared" si="90"/>
        <v>0</v>
      </c>
      <c r="AH261" s="176">
        <f t="shared" si="91"/>
        <v>6</v>
      </c>
      <c r="AI261" s="225">
        <f t="shared" si="92"/>
        <v>0.58315738324479049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6">
        <v>39.451000000000001</v>
      </c>
      <c r="C262" s="390"/>
      <c r="D262" s="393">
        <f t="shared" si="97"/>
        <v>39.483146348035966</v>
      </c>
      <c r="E262" s="385">
        <f t="shared" si="98"/>
        <v>39.749562843897642</v>
      </c>
      <c r="F262" s="385">
        <f t="shared" si="101"/>
        <v>39.906469322720199</v>
      </c>
      <c r="G262" s="110">
        <f t="shared" si="100"/>
        <v>0.84620600586470929</v>
      </c>
      <c r="I262" s="380">
        <f t="shared" si="73"/>
        <v>39.906469322720199</v>
      </c>
      <c r="J262" s="85">
        <v>2018</v>
      </c>
      <c r="K262" s="197">
        <f t="shared" si="74"/>
        <v>43348</v>
      </c>
      <c r="L262" s="436">
        <f t="shared" si="75"/>
        <v>8.1417898544866585E-4</v>
      </c>
      <c r="M262" s="854"/>
      <c r="N262" s="854"/>
      <c r="O262" s="324">
        <f t="shared" si="76"/>
        <v>6.7023754929816564E-3</v>
      </c>
      <c r="P262" s="169">
        <f>(INDEX(Models!$BJ262:$BT262,,T262)*(1-R262)+INDEX(Models!$BJ262:$BT262,,T262+1)*R262-ERP_i)*Q262*Ramure*Pc/MaxiM</f>
        <v>5.0303354784941431E-3</v>
      </c>
      <c r="Q262" s="305">
        <f t="shared" si="77"/>
        <v>0.8</v>
      </c>
      <c r="R262" s="177">
        <f t="shared" si="78"/>
        <v>0.58382482479611675</v>
      </c>
      <c r="S262" s="809">
        <f t="shared" si="96"/>
        <v>0</v>
      </c>
      <c r="T262" s="176">
        <f t="shared" si="79"/>
        <v>6</v>
      </c>
      <c r="U262" s="251">
        <f t="shared" si="80"/>
        <v>0.58382482479611675</v>
      </c>
      <c r="V262" s="383">
        <f t="shared" si="81"/>
        <v>46.56962079812596</v>
      </c>
      <c r="W262" s="58"/>
      <c r="X262" s="157">
        <f t="shared" si="82"/>
        <v>43348</v>
      </c>
      <c r="Y262" s="385">
        <f t="shared" si="83"/>
        <v>39.451000000000001</v>
      </c>
      <c r="Z262" s="385">
        <f t="shared" si="84"/>
        <v>39.483146348035966</v>
      </c>
      <c r="AA262" s="386">
        <f t="shared" si="85"/>
        <v>39.749562843897642</v>
      </c>
      <c r="AB262" s="197">
        <f t="shared" si="86"/>
        <v>43348</v>
      </c>
      <c r="AC262" s="425">
        <f t="shared" si="87"/>
        <v>6.7023754929816564E-3</v>
      </c>
      <c r="AD262" s="169">
        <f>(INDEX(Models!$BJ262:$BT262,,AH262)*(1-AF262)+INDEX(Models!$BJ262:$BT262,,AH262+1)*AF262-ERP_i)*AE262*Ramure*Pc/MaxiM</f>
        <v>5.0303354784941431E-3</v>
      </c>
      <c r="AE262" s="305">
        <f t="shared" si="88"/>
        <v>0.8</v>
      </c>
      <c r="AF262" s="177">
        <f t="shared" si="89"/>
        <v>0.58382482479611675</v>
      </c>
      <c r="AG262" s="809">
        <f t="shared" si="90"/>
        <v>0</v>
      </c>
      <c r="AH262" s="176">
        <f t="shared" si="91"/>
        <v>6</v>
      </c>
      <c r="AI262" s="225">
        <f t="shared" si="92"/>
        <v>0.58382482479611675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6">
        <v>29.050999999999998</v>
      </c>
      <c r="C263" s="390"/>
      <c r="D263" s="393">
        <f t="shared" si="97"/>
        <v>29.075348612779148</v>
      </c>
      <c r="E263" s="385">
        <f t="shared" si="98"/>
        <v>29.277044605321858</v>
      </c>
      <c r="F263" s="385">
        <f t="shared" si="101"/>
        <v>29.349700796753794</v>
      </c>
      <c r="G263" s="110">
        <f t="shared" si="100"/>
        <v>0.6270854616118664</v>
      </c>
      <c r="I263" s="380">
        <f t="shared" si="73"/>
        <v>29.349700796753794</v>
      </c>
      <c r="J263" s="85">
        <v>2018</v>
      </c>
      <c r="K263" s="197">
        <f t="shared" si="74"/>
        <v>43349</v>
      </c>
      <c r="L263" s="436">
        <f t="shared" si="75"/>
        <v>8.3743149922022031E-4</v>
      </c>
      <c r="M263" s="854"/>
      <c r="N263" s="854"/>
      <c r="O263" s="324">
        <f t="shared" si="76"/>
        <v>6.8892197030723063E-3</v>
      </c>
      <c r="P263" s="169">
        <f>(INDEX(Models!$BJ263:$BT263,,T263)*(1-R263)+INDEX(Models!$BJ263:$BT263,,T263+1)*R263-ERP_i)*Q263*Ramure*Pc/MaxiM</f>
        <v>5.2695476147710633E-3</v>
      </c>
      <c r="Q263" s="305">
        <f t="shared" si="77"/>
        <v>0.8</v>
      </c>
      <c r="R263" s="177">
        <f t="shared" si="78"/>
        <v>0.58446682951407469</v>
      </c>
      <c r="S263" s="809">
        <f t="shared" si="96"/>
        <v>0</v>
      </c>
      <c r="T263" s="176">
        <f t="shared" si="79"/>
        <v>6</v>
      </c>
      <c r="U263" s="251">
        <f t="shared" si="80"/>
        <v>0.58446682951407469</v>
      </c>
      <c r="V263" s="383">
        <f t="shared" si="81"/>
        <v>46.197259317942802</v>
      </c>
      <c r="W263" s="58"/>
      <c r="X263" s="157">
        <f t="shared" si="82"/>
        <v>43349</v>
      </c>
      <c r="Y263" s="385">
        <f t="shared" si="83"/>
        <v>29.050999999999998</v>
      </c>
      <c r="Z263" s="385">
        <f t="shared" si="84"/>
        <v>29.075348612779148</v>
      </c>
      <c r="AA263" s="386">
        <f t="shared" si="85"/>
        <v>29.277044605321858</v>
      </c>
      <c r="AB263" s="197">
        <f t="shared" si="86"/>
        <v>43349</v>
      </c>
      <c r="AC263" s="425">
        <f t="shared" si="87"/>
        <v>6.8892197030723063E-3</v>
      </c>
      <c r="AD263" s="169">
        <f>(INDEX(Models!$BJ263:$BT263,,AH263)*(1-AF263)+INDEX(Models!$BJ263:$BT263,,AH263+1)*AF263-ERP_i)*AE263*Ramure*Pc/MaxiM</f>
        <v>5.2695476147710633E-3</v>
      </c>
      <c r="AE263" s="305">
        <f t="shared" si="88"/>
        <v>0.8</v>
      </c>
      <c r="AF263" s="177">
        <f t="shared" si="89"/>
        <v>0.58446682951407469</v>
      </c>
      <c r="AG263" s="809">
        <f t="shared" si="90"/>
        <v>0</v>
      </c>
      <c r="AH263" s="176">
        <f t="shared" si="91"/>
        <v>6</v>
      </c>
      <c r="AI263" s="225">
        <f t="shared" si="92"/>
        <v>0.58446682951407469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6">
        <v>33.094999999999999</v>
      </c>
      <c r="C264" s="390"/>
      <c r="D264" s="393">
        <f t="shared" si="97"/>
        <v>33.12350885660328</v>
      </c>
      <c r="E264" s="385">
        <f t="shared" si="98"/>
        <v>33.359553307075892</v>
      </c>
      <c r="F264" s="385">
        <f t="shared" si="101"/>
        <v>33.470901073400981</v>
      </c>
      <c r="G264" s="110">
        <f t="shared" si="100"/>
        <v>0.72070538324779554</v>
      </c>
      <c r="I264" s="380">
        <f t="shared" si="73"/>
        <v>33.470901073400981</v>
      </c>
      <c r="J264" s="85">
        <v>2018</v>
      </c>
      <c r="K264" s="197">
        <f t="shared" si="74"/>
        <v>43350</v>
      </c>
      <c r="L264" s="436">
        <f t="shared" si="75"/>
        <v>8.6068347187184813E-4</v>
      </c>
      <c r="M264" s="854"/>
      <c r="N264" s="854"/>
      <c r="O264" s="324">
        <f t="shared" si="76"/>
        <v>7.0757677208628132E-3</v>
      </c>
      <c r="P264" s="169">
        <f>(INDEX(Models!$BJ264:$BT264,,T264)*(1-R264)+INDEX(Models!$BJ264:$BT264,,T264+1)*R264-ERP_i)*Q264*Ramure*Pc/MaxiM</f>
        <v>5.5144282863611623E-3</v>
      </c>
      <c r="Q264" s="305">
        <f t="shared" si="77"/>
        <v>0.8</v>
      </c>
      <c r="R264" s="177">
        <f t="shared" si="78"/>
        <v>0.58508431259371985</v>
      </c>
      <c r="S264" s="809">
        <f t="shared" si="96"/>
        <v>0</v>
      </c>
      <c r="T264" s="176">
        <f t="shared" si="79"/>
        <v>6</v>
      </c>
      <c r="U264" s="251">
        <f t="shared" si="80"/>
        <v>0.58508431259371985</v>
      </c>
      <c r="V264" s="383">
        <f t="shared" si="81"/>
        <v>45.819493446118877</v>
      </c>
      <c r="W264" s="58"/>
      <c r="X264" s="157">
        <f t="shared" si="82"/>
        <v>43350</v>
      </c>
      <c r="Y264" s="385">
        <f t="shared" si="83"/>
        <v>33.094999999999999</v>
      </c>
      <c r="Z264" s="385">
        <f t="shared" si="84"/>
        <v>33.12350885660328</v>
      </c>
      <c r="AA264" s="386">
        <f t="shared" si="85"/>
        <v>33.359553307075892</v>
      </c>
      <c r="AB264" s="197">
        <f t="shared" si="86"/>
        <v>43350</v>
      </c>
      <c r="AC264" s="425">
        <f t="shared" si="87"/>
        <v>7.0757677208628132E-3</v>
      </c>
      <c r="AD264" s="169">
        <f>(INDEX(Models!$BJ264:$BT264,,AH264)*(1-AF264)+INDEX(Models!$BJ264:$BT264,,AH264+1)*AF264-ERP_i)*AE264*Ramure*Pc/MaxiM</f>
        <v>5.5144282863611623E-3</v>
      </c>
      <c r="AE264" s="305">
        <f t="shared" si="88"/>
        <v>0.8</v>
      </c>
      <c r="AF264" s="177">
        <f t="shared" si="89"/>
        <v>0.58508431259371985</v>
      </c>
      <c r="AG264" s="809">
        <f t="shared" si="90"/>
        <v>0</v>
      </c>
      <c r="AH264" s="176">
        <f t="shared" si="91"/>
        <v>6</v>
      </c>
      <c r="AI264" s="225">
        <f t="shared" si="92"/>
        <v>0.58508431259371985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6">
        <v>42.186</v>
      </c>
      <c r="C265" s="390"/>
      <c r="D265" s="393">
        <f t="shared" si="97"/>
        <v>42.223322668645011</v>
      </c>
      <c r="E265" s="385">
        <f t="shared" si="98"/>
        <v>42.532192080651519</v>
      </c>
      <c r="F265" s="385">
        <f t="shared" si="101"/>
        <v>42.753480627950061</v>
      </c>
      <c r="G265" s="110">
        <f t="shared" si="100"/>
        <v>0.92790969588107675</v>
      </c>
      <c r="I265" s="380">
        <f t="shared" si="73"/>
        <v>42.753480627950061</v>
      </c>
      <c r="J265" s="85">
        <v>2018</v>
      </c>
      <c r="K265" s="197">
        <f t="shared" si="74"/>
        <v>43351</v>
      </c>
      <c r="L265" s="436">
        <f t="shared" si="75"/>
        <v>8.839349034159838E-4</v>
      </c>
      <c r="M265" s="854"/>
      <c r="N265" s="854"/>
      <c r="O265" s="324">
        <f t="shared" si="76"/>
        <v>7.2620148855909762E-3</v>
      </c>
      <c r="P265" s="169">
        <f>(INDEX(Models!$BJ265:$BT265,,T265)*(1-R265)+INDEX(Models!$BJ265:$BT265,,T265+1)*R265-ERP_i)*Q265*Ramure*Pc/MaxiM</f>
        <v>5.7651172410347323E-3</v>
      </c>
      <c r="Q265" s="305">
        <f t="shared" si="77"/>
        <v>0.8</v>
      </c>
      <c r="R265" s="177">
        <f t="shared" si="78"/>
        <v>0.58567816048993482</v>
      </c>
      <c r="S265" s="809">
        <f t="shared" si="96"/>
        <v>0</v>
      </c>
      <c r="T265" s="176">
        <f t="shared" si="79"/>
        <v>6</v>
      </c>
      <c r="U265" s="251">
        <f t="shared" si="80"/>
        <v>0.58567816048993482</v>
      </c>
      <c r="V265" s="383">
        <f t="shared" si="81"/>
        <v>45.436549422028548</v>
      </c>
      <c r="W265" s="58"/>
      <c r="X265" s="157">
        <f t="shared" si="82"/>
        <v>43351</v>
      </c>
      <c r="Y265" s="385">
        <f t="shared" si="83"/>
        <v>42.186</v>
      </c>
      <c r="Z265" s="385">
        <f t="shared" si="84"/>
        <v>42.223322668645011</v>
      </c>
      <c r="AA265" s="386">
        <f t="shared" si="85"/>
        <v>42.532192080651519</v>
      </c>
      <c r="AB265" s="197">
        <f t="shared" si="86"/>
        <v>43351</v>
      </c>
      <c r="AC265" s="425">
        <f t="shared" si="87"/>
        <v>7.2620148855909762E-3</v>
      </c>
      <c r="AD265" s="169">
        <f>(INDEX(Models!$BJ265:$BT265,,AH265)*(1-AF265)+INDEX(Models!$BJ265:$BT265,,AH265+1)*AF265-ERP_i)*AE265*Ramure*Pc/MaxiM</f>
        <v>5.7651172410347323E-3</v>
      </c>
      <c r="AE265" s="305">
        <f t="shared" si="88"/>
        <v>0.8</v>
      </c>
      <c r="AF265" s="177">
        <f t="shared" si="89"/>
        <v>0.58567816048993482</v>
      </c>
      <c r="AG265" s="809">
        <f t="shared" si="90"/>
        <v>0</v>
      </c>
      <c r="AH265" s="176">
        <f t="shared" si="91"/>
        <v>6</v>
      </c>
      <c r="AI265" s="225">
        <f t="shared" si="92"/>
        <v>0.58567816048993482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6">
        <v>30.643000000000001</v>
      </c>
      <c r="C266" s="390"/>
      <c r="D266" s="393">
        <f t="shared" si="97"/>
        <v>30.670824135942276</v>
      </c>
      <c r="E266" s="385">
        <f t="shared" si="98"/>
        <v>30.900973234242262</v>
      </c>
      <c r="F266" s="385">
        <f t="shared" si="101"/>
        <v>31.002377257733325</v>
      </c>
      <c r="G266" s="110">
        <f t="shared" si="100"/>
        <v>0.67834274657018867</v>
      </c>
      <c r="I266" s="380">
        <f t="shared" si="73"/>
        <v>31.002377257733325</v>
      </c>
      <c r="J266" s="85">
        <v>2018</v>
      </c>
      <c r="K266" s="197">
        <f t="shared" si="74"/>
        <v>43352</v>
      </c>
      <c r="L266" s="436">
        <f t="shared" si="75"/>
        <v>9.0718579386550591E-4</v>
      </c>
      <c r="M266" s="854"/>
      <c r="N266" s="854"/>
      <c r="O266" s="324">
        <f t="shared" si="76"/>
        <v>7.4479563007727361E-3</v>
      </c>
      <c r="P266" s="169">
        <f>(INDEX(Models!$BJ266:$BT266,,T266)*(1-R266)+INDEX(Models!$BJ266:$BT266,,T266+1)*R266-ERP_i)*Q266*Ramure*Pc/MaxiM</f>
        <v>6.021755892660817E-3</v>
      </c>
      <c r="Q266" s="305">
        <f t="shared" si="77"/>
        <v>0.8</v>
      </c>
      <c r="R266" s="177">
        <f t="shared" si="78"/>
        <v>0.58624923148916108</v>
      </c>
      <c r="S266" s="809">
        <f t="shared" si="96"/>
        <v>0</v>
      </c>
      <c r="T266" s="176">
        <f t="shared" si="79"/>
        <v>6</v>
      </c>
      <c r="U266" s="251">
        <f t="shared" si="80"/>
        <v>0.58624923148916108</v>
      </c>
      <c r="V266" s="383">
        <f t="shared" si="81"/>
        <v>45.048653383279841</v>
      </c>
      <c r="W266" s="58"/>
      <c r="X266" s="157">
        <f t="shared" si="82"/>
        <v>43352</v>
      </c>
      <c r="Y266" s="385">
        <f t="shared" si="83"/>
        <v>30.643000000000001</v>
      </c>
      <c r="Z266" s="385">
        <f t="shared" si="84"/>
        <v>30.670824135942276</v>
      </c>
      <c r="AA266" s="386">
        <f t="shared" si="85"/>
        <v>30.900973234242262</v>
      </c>
      <c r="AB266" s="197">
        <f t="shared" si="86"/>
        <v>43352</v>
      </c>
      <c r="AC266" s="425">
        <f t="shared" si="87"/>
        <v>7.4479563007727361E-3</v>
      </c>
      <c r="AD266" s="169">
        <f>(INDEX(Models!$BJ266:$BT266,,AH266)*(1-AF266)+INDEX(Models!$BJ266:$BT266,,AH266+1)*AF266-ERP_i)*AE266*Ramure*Pc/MaxiM</f>
        <v>6.021755892660817E-3</v>
      </c>
      <c r="AE266" s="305">
        <f t="shared" si="88"/>
        <v>0.8</v>
      </c>
      <c r="AF266" s="177">
        <f t="shared" si="89"/>
        <v>0.58624923148916108</v>
      </c>
      <c r="AG266" s="809">
        <f t="shared" si="90"/>
        <v>0</v>
      </c>
      <c r="AH266" s="176">
        <f t="shared" si="91"/>
        <v>6</v>
      </c>
      <c r="AI266" s="225">
        <f t="shared" si="92"/>
        <v>0.58624923148916108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6">
        <v>36.804000000000002</v>
      </c>
      <c r="C267" s="390"/>
      <c r="D267" s="393">
        <f t="shared" si="97"/>
        <v>36.838275663131348</v>
      </c>
      <c r="E267" s="385">
        <f t="shared" si="98"/>
        <v>37.121646978396221</v>
      </c>
      <c r="F267" s="385">
        <f t="shared" si="101"/>
        <v>37.297162999432224</v>
      </c>
      <c r="G267" s="110">
        <f t="shared" si="100"/>
        <v>0.82285920094330867</v>
      </c>
      <c r="I267" s="380">
        <f t="shared" si="73"/>
        <v>37.297162999432224</v>
      </c>
      <c r="J267" s="85">
        <v>2018</v>
      </c>
      <c r="K267" s="197">
        <f t="shared" si="74"/>
        <v>43353</v>
      </c>
      <c r="L267" s="436">
        <f t="shared" si="75"/>
        <v>9.3043614323273793E-4</v>
      </c>
      <c r="M267" s="854"/>
      <c r="N267" s="854"/>
      <c r="O267" s="324">
        <f t="shared" si="76"/>
        <v>7.6335868241455794E-3</v>
      </c>
      <c r="P267" s="169">
        <f>(INDEX(Models!$BJ267:$BT267,,T267)*(1-R267)+INDEX(Models!$BJ267:$BT267,,T267+1)*R267-ERP_i)*Q267*Ramure*Pc/MaxiM</f>
        <v>6.2844871019794163E-3</v>
      </c>
      <c r="Q267" s="305">
        <f t="shared" si="77"/>
        <v>0.8</v>
      </c>
      <c r="R267" s="177">
        <f t="shared" si="78"/>
        <v>0.58679835629835886</v>
      </c>
      <c r="S267" s="809">
        <f t="shared" si="96"/>
        <v>0</v>
      </c>
      <c r="T267" s="176">
        <f t="shared" si="79"/>
        <v>6</v>
      </c>
      <c r="U267" s="251">
        <f t="shared" si="80"/>
        <v>0.58679835629835886</v>
      </c>
      <c r="V267" s="383">
        <f t="shared" si="81"/>
        <v>44.656031371275752</v>
      </c>
      <c r="W267" s="58"/>
      <c r="X267" s="157">
        <f t="shared" si="82"/>
        <v>43353</v>
      </c>
      <c r="Y267" s="385">
        <f t="shared" si="83"/>
        <v>36.804000000000002</v>
      </c>
      <c r="Z267" s="385">
        <f t="shared" si="84"/>
        <v>36.838275663131348</v>
      </c>
      <c r="AA267" s="386">
        <f t="shared" si="85"/>
        <v>37.121646978396221</v>
      </c>
      <c r="AB267" s="197">
        <f t="shared" si="86"/>
        <v>43353</v>
      </c>
      <c r="AC267" s="425">
        <f t="shared" si="87"/>
        <v>7.6335868241455794E-3</v>
      </c>
      <c r="AD267" s="169">
        <f>(INDEX(Models!$BJ267:$BT267,,AH267)*(1-AF267)+INDEX(Models!$BJ267:$BT267,,AH267+1)*AF267-ERP_i)*AE267*Ramure*Pc/MaxiM</f>
        <v>6.2844871019794163E-3</v>
      </c>
      <c r="AE267" s="305">
        <f t="shared" si="88"/>
        <v>0.8</v>
      </c>
      <c r="AF267" s="177">
        <f t="shared" si="89"/>
        <v>0.58679835629835886</v>
      </c>
      <c r="AG267" s="809">
        <f t="shared" si="90"/>
        <v>0</v>
      </c>
      <c r="AH267" s="176">
        <f t="shared" si="91"/>
        <v>6</v>
      </c>
      <c r="AI267" s="225">
        <f t="shared" si="92"/>
        <v>0.58679835629835886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6">
        <v>39.277999999999999</v>
      </c>
      <c r="C268" s="390"/>
      <c r="D268" s="393">
        <f t="shared" si="97"/>
        <v>39.315494634910777</v>
      </c>
      <c r="E268" s="385">
        <f t="shared" si="98"/>
        <v>39.625321099989527</v>
      </c>
      <c r="F268" s="385">
        <f t="shared" si="101"/>
        <v>39.844309527356664</v>
      </c>
      <c r="G268" s="110">
        <f t="shared" si="100"/>
        <v>0.88651619289857486</v>
      </c>
      <c r="I268" s="380">
        <f t="shared" si="73"/>
        <v>39.844309527356664</v>
      </c>
      <c r="J268" s="85">
        <v>2018</v>
      </c>
      <c r="K268" s="197">
        <f t="shared" si="74"/>
        <v>43354</v>
      </c>
      <c r="L268" s="436">
        <f t="shared" si="75"/>
        <v>9.5368595153033642E-4</v>
      </c>
      <c r="M268" s="854"/>
      <c r="N268" s="854"/>
      <c r="O268" s="324">
        <f t="shared" si="76"/>
        <v>7.8189010581627416E-3</v>
      </c>
      <c r="P268" s="169">
        <f>(INDEX(Models!$BJ268:$BT268,,T268)*(1-R268)+INDEX(Models!$BJ268:$BT268,,T268+1)*R268-ERP_i)*Q268*Ramure*Pc/MaxiM</f>
        <v>6.5490409916094481E-3</v>
      </c>
      <c r="Q268" s="305">
        <f t="shared" si="77"/>
        <v>0.8</v>
      </c>
      <c r="R268" s="177">
        <f t="shared" si="78"/>
        <v>0.58732633864796291</v>
      </c>
      <c r="S268" s="809">
        <f t="shared" si="96"/>
        <v>0</v>
      </c>
      <c r="T268" s="176">
        <f t="shared" si="79"/>
        <v>6</v>
      </c>
      <c r="U268" s="251">
        <f t="shared" si="80"/>
        <v>0.58732633864796291</v>
      </c>
      <c r="V268" s="383">
        <f t="shared" si="81"/>
        <v>44.259105985840158</v>
      </c>
      <c r="W268" s="58"/>
      <c r="X268" s="157">
        <f t="shared" si="82"/>
        <v>43354</v>
      </c>
      <c r="Y268" s="385">
        <f t="shared" si="83"/>
        <v>39.277999999999999</v>
      </c>
      <c r="Z268" s="385">
        <f t="shared" si="84"/>
        <v>39.315494634910777</v>
      </c>
      <c r="AA268" s="386">
        <f t="shared" si="85"/>
        <v>39.625321099989527</v>
      </c>
      <c r="AB268" s="197">
        <f t="shared" si="86"/>
        <v>43354</v>
      </c>
      <c r="AC268" s="425">
        <f t="shared" si="87"/>
        <v>7.8189010581627416E-3</v>
      </c>
      <c r="AD268" s="169">
        <f>(INDEX(Models!$BJ268:$BT268,,AH268)*(1-AF268)+INDEX(Models!$BJ268:$BT268,,AH268+1)*AF268-ERP_i)*AE268*Ramure*Pc/MaxiM</f>
        <v>6.5490409916094481E-3</v>
      </c>
      <c r="AE268" s="305">
        <f t="shared" si="88"/>
        <v>0.8</v>
      </c>
      <c r="AF268" s="177">
        <f t="shared" si="89"/>
        <v>0.58732633864796291</v>
      </c>
      <c r="AG268" s="809">
        <f t="shared" si="90"/>
        <v>0</v>
      </c>
      <c r="AH268" s="176">
        <f t="shared" si="91"/>
        <v>6</v>
      </c>
      <c r="AI268" s="225">
        <f t="shared" si="92"/>
        <v>0.58732633864796291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6">
        <v>25.838999999999999</v>
      </c>
      <c r="C269" s="390"/>
      <c r="D269" s="393">
        <f t="shared" si="97"/>
        <v>25.864267714037563</v>
      </c>
      <c r="E269" s="385">
        <f t="shared" si="98"/>
        <v>26.072952847722913</v>
      </c>
      <c r="F269" s="385">
        <f t="shared" si="101"/>
        <v>26.14658038729964</v>
      </c>
      <c r="G269" s="110">
        <f t="shared" si="100"/>
        <v>0.58678701244738463</v>
      </c>
      <c r="I269" s="380">
        <f t="shared" si="73"/>
        <v>26.14658038729964</v>
      </c>
      <c r="J269" s="85">
        <v>2018</v>
      </c>
      <c r="K269" s="197">
        <f t="shared" si="74"/>
        <v>43355</v>
      </c>
      <c r="L269" s="436">
        <f t="shared" si="75"/>
        <v>9.769352187709579E-4</v>
      </c>
      <c r="M269" s="854"/>
      <c r="N269" s="854"/>
      <c r="O269" s="324">
        <f t="shared" si="76"/>
        <v>8.0038933412781219E-3</v>
      </c>
      <c r="P269" s="169">
        <f>(INDEX(Models!$BJ269:$BT269,,T269)*(1-R269)+INDEX(Models!$BJ269:$BT269,,T269+1)*R269-ERP_i)*Q269*Ramure*Pc/MaxiM</f>
        <v>6.817086753227875E-3</v>
      </c>
      <c r="Q269" s="305">
        <f t="shared" si="77"/>
        <v>0.8</v>
      </c>
      <c r="R269" s="177">
        <f t="shared" si="78"/>
        <v>0.58783395590586729</v>
      </c>
      <c r="S269" s="809">
        <f t="shared" si="96"/>
        <v>0</v>
      </c>
      <c r="T269" s="176">
        <f t="shared" si="79"/>
        <v>6</v>
      </c>
      <c r="U269" s="251">
        <f t="shared" si="80"/>
        <v>0.58783395590586729</v>
      </c>
      <c r="V269" s="383">
        <f t="shared" si="81"/>
        <v>43.858030608896705</v>
      </c>
      <c r="W269" s="58"/>
      <c r="X269" s="157">
        <f t="shared" si="82"/>
        <v>43355</v>
      </c>
      <c r="Y269" s="385">
        <f t="shared" si="83"/>
        <v>25.838999999999999</v>
      </c>
      <c r="Z269" s="385">
        <f t="shared" si="84"/>
        <v>25.864267714037563</v>
      </c>
      <c r="AA269" s="386">
        <f t="shared" si="85"/>
        <v>26.072952847722913</v>
      </c>
      <c r="AB269" s="197">
        <f t="shared" si="86"/>
        <v>43355</v>
      </c>
      <c r="AC269" s="425">
        <f t="shared" si="87"/>
        <v>8.0038933412781219E-3</v>
      </c>
      <c r="AD269" s="169">
        <f>(INDEX(Models!$BJ269:$BT269,,AH269)*(1-AF269)+INDEX(Models!$BJ269:$BT269,,AH269+1)*AF269-ERP_i)*AE269*Ramure*Pc/MaxiM</f>
        <v>6.817086753227875E-3</v>
      </c>
      <c r="AE269" s="305">
        <f t="shared" si="88"/>
        <v>0.8</v>
      </c>
      <c r="AF269" s="177">
        <f t="shared" si="89"/>
        <v>0.58783395590586729</v>
      </c>
      <c r="AG269" s="809">
        <f t="shared" si="90"/>
        <v>0</v>
      </c>
      <c r="AH269" s="176">
        <f t="shared" si="91"/>
        <v>6</v>
      </c>
      <c r="AI269" s="225">
        <f t="shared" si="92"/>
        <v>0.58783395590586729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6">
        <v>20.512</v>
      </c>
      <c r="C270" s="390"/>
      <c r="D270" s="393">
        <f t="shared" si="97"/>
        <v>20.532536313169889</v>
      </c>
      <c r="E270" s="385">
        <f t="shared" si="98"/>
        <v>20.702056296496174</v>
      </c>
      <c r="F270" s="385">
        <f t="shared" si="101"/>
        <v>20.738188438785851</v>
      </c>
      <c r="G270" s="110">
        <f t="shared" si="100"/>
        <v>0.46952175587537742</v>
      </c>
      <c r="I270" s="380">
        <f t="shared" si="73"/>
        <v>20.738188438785851</v>
      </c>
      <c r="J270" s="85">
        <v>2018</v>
      </c>
      <c r="K270" s="197">
        <f t="shared" si="74"/>
        <v>43356</v>
      </c>
      <c r="L270" s="436">
        <f t="shared" si="75"/>
        <v>1.0001839449671479E-3</v>
      </c>
      <c r="M270" s="854"/>
      <c r="N270" s="854"/>
      <c r="O270" s="324">
        <f t="shared" si="76"/>
        <v>8.1885577402751788E-3</v>
      </c>
      <c r="P270" s="169">
        <f>(INDEX(Models!$BJ270:$BT270,,T270)*(1-R270)+INDEX(Models!$BJ270:$BT270,,T270+1)*R270-ERP_i)*Q270*Ramure*Pc/MaxiM</f>
        <v>7.0886974687868597E-3</v>
      </c>
      <c r="Q270" s="305">
        <f t="shared" si="77"/>
        <v>0.8</v>
      </c>
      <c r="R270" s="177">
        <f t="shared" si="78"/>
        <v>0.58832195969971945</v>
      </c>
      <c r="S270" s="809">
        <f t="shared" si="96"/>
        <v>0</v>
      </c>
      <c r="T270" s="176">
        <f t="shared" si="79"/>
        <v>6</v>
      </c>
      <c r="U270" s="251">
        <f t="shared" si="80"/>
        <v>0.58832195969971945</v>
      </c>
      <c r="V270" s="383">
        <f t="shared" si="81"/>
        <v>43.453030734139546</v>
      </c>
      <c r="W270" s="58"/>
      <c r="X270" s="157">
        <f t="shared" si="82"/>
        <v>43356</v>
      </c>
      <c r="Y270" s="385">
        <f t="shared" si="83"/>
        <v>20.512</v>
      </c>
      <c r="Z270" s="385">
        <f t="shared" si="84"/>
        <v>20.532536313169889</v>
      </c>
      <c r="AA270" s="386">
        <f t="shared" si="85"/>
        <v>20.702056296496174</v>
      </c>
      <c r="AB270" s="197">
        <f t="shared" si="86"/>
        <v>43356</v>
      </c>
      <c r="AC270" s="425">
        <f t="shared" si="87"/>
        <v>8.1885577402751788E-3</v>
      </c>
      <c r="AD270" s="169">
        <f>(INDEX(Models!$BJ270:$BT270,,AH270)*(1-AF270)+INDEX(Models!$BJ270:$BT270,,AH270+1)*AF270-ERP_i)*AE270*Ramure*Pc/MaxiM</f>
        <v>7.0886974687868597E-3</v>
      </c>
      <c r="AE270" s="305">
        <f t="shared" si="88"/>
        <v>0.8</v>
      </c>
      <c r="AF270" s="177">
        <f t="shared" si="89"/>
        <v>0.58832195969971945</v>
      </c>
      <c r="AG270" s="809">
        <f t="shared" si="90"/>
        <v>0</v>
      </c>
      <c r="AH270" s="176">
        <f t="shared" si="91"/>
        <v>6</v>
      </c>
      <c r="AI270" s="225">
        <f t="shared" si="92"/>
        <v>0.58832195969971945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6">
        <v>27.402999999999999</v>
      </c>
      <c r="C271" s="390"/>
      <c r="D271" s="393">
        <f t="shared" ref="D271:D334" si="102">Wh/(1-Ppv)</f>
        <v>27.431073842334253</v>
      </c>
      <c r="E271" s="385">
        <f t="shared" si="98"/>
        <v>27.662690452486011</v>
      </c>
      <c r="F271" s="385">
        <f t="shared" si="101"/>
        <v>27.760998929466702</v>
      </c>
      <c r="G271" s="110">
        <f t="shared" si="100"/>
        <v>0.63418046439107045</v>
      </c>
      <c r="I271" s="380">
        <f t="shared" ref="I271:I334" si="103">Wh_hp</f>
        <v>27.760998929466702</v>
      </c>
      <c r="J271" s="85">
        <v>2018</v>
      </c>
      <c r="K271" s="197">
        <f t="shared" ref="K271:K334" si="104">t</f>
        <v>43357</v>
      </c>
      <c r="L271" s="436">
        <f t="shared" ref="L271:L334" si="105">IF(t&lt;T0,0,IF(t&lt;Tvie,1-EXP((T0-t)*PertePVj),1-EXP((T0-t)*PertePVj)+Pspv))</f>
        <v>1.023432130131563E-3</v>
      </c>
      <c r="M271" s="854"/>
      <c r="N271" s="854"/>
      <c r="O271" s="324">
        <f t="shared" ref="O271:O334" si="106">IF(t&lt;T0,0,IF(t&lt;Tnet,Salim_i*(1-EXP((T0-t)/Tau_ij)),Resal+(Salim-Resal)*(1-EXP((Tnet-t)/(Tau_j)))))*Salcycl</f>
        <v>8.3728880439011416E-3</v>
      </c>
      <c r="P271" s="169">
        <f>(INDEX(Models!$BJ271:$BT271,,T271)*(1-R271)+INDEX(Models!$BJ271:$BT271,,T271+1)*R271-ERP_i)*Q271*Ramure*Pc/MaxiM</f>
        <v>7.3639440470297289E-3</v>
      </c>
      <c r="Q271" s="305">
        <f t="shared" ref="Q271:Q334" si="107">IF(OR(t&lt;Ttai,Notai),Dd+PousD*Croivg,Dens+PousD*(Croivg-Croi_tai))</f>
        <v>0.8</v>
      </c>
      <c r="R271" s="177">
        <f t="shared" ref="R271:R334" si="108">(Hp_vg-S271)/(INDEX(Echel_vg,T271+1)-S271)</f>
        <v>0.58879107654504215</v>
      </c>
      <c r="S271" s="809">
        <f t="shared" si="96"/>
        <v>0</v>
      </c>
      <c r="T271" s="176">
        <f t="shared" ref="T271:T334" si="109">MIN(MATCH(Hp_vg,Echel_vg),10)</f>
        <v>6</v>
      </c>
      <c r="U271" s="251">
        <f t="shared" ref="U271:U334" si="110">IF(OR(t&lt;Ttai,Notai),Hdd+PousH*Croivg,Hdtf+PousH*(Croivg-Croi_tai))</f>
        <v>0.58879107654504215</v>
      </c>
      <c r="V271" s="383">
        <f t="shared" ref="V271:V334" si="111">MaxiM*(1-Ppv)*(1-Pvg)*(1-Psa)</f>
        <v>43.044331721863905</v>
      </c>
      <c r="W271" s="58"/>
      <c r="X271" s="157">
        <f t="shared" ref="X271:X334" si="112">t</f>
        <v>43357</v>
      </c>
      <c r="Y271" s="385">
        <f t="shared" ref="Y271:Y334" si="113">Wh_pvt_s*(1-Ppv)</f>
        <v>27.402999999999999</v>
      </c>
      <c r="Z271" s="385">
        <f t="shared" ref="Z271:Z334" si="114">Wh_sa_s*(1-Psa_s)</f>
        <v>27.431073842334253</v>
      </c>
      <c r="AA271" s="386">
        <f t="shared" ref="AA271:AA334" si="115">Wh_hp*(1-Pvg_s*MEDIAN((-Sdif+Wh/Env_an)/Csdif,0,1))</f>
        <v>27.662690452486011</v>
      </c>
      <c r="AB271" s="197">
        <f t="shared" ref="AB271:AB334" si="116">t</f>
        <v>43357</v>
      </c>
      <c r="AC271" s="425">
        <f t="shared" ref="AC271:AC334" si="117">IF(t&lt;T0,0,IF(OR(t&lt;Tnet,NoTnet),Salim_i*(1-EXP((T0-t)/Tau_ij)),Resal_s+(Salim-Resal_s)*(1-EXP((Tnet_s-t)/Tau_j))))*Salcycl</f>
        <v>8.3728880439011416E-3</v>
      </c>
      <c r="AD271" s="169">
        <f>(INDEX(Models!$BJ271:$BT271,,AH271)*(1-AF271)+INDEX(Models!$BJ271:$BT271,,AH271+1)*AF271-ERP_i)*AE271*Ramure*Pc/MaxiM</f>
        <v>7.3639440470297289E-3</v>
      </c>
      <c r="AE271" s="305">
        <f t="shared" ref="AE271:AE334" si="118">Dd+PousD*Croivg</f>
        <v>0.8</v>
      </c>
      <c r="AF271" s="177">
        <f t="shared" ref="AF271:AF334" si="119">(Hp_vg_s-AG271)/(INDEX(Echel_vg,AH271+1)-AG271)</f>
        <v>0.58879107654504215</v>
      </c>
      <c r="AG271" s="809">
        <f t="shared" ref="AG271:AG334" si="120">INDEX(Echel_vg,AH271)</f>
        <v>0</v>
      </c>
      <c r="AH271" s="176">
        <f t="shared" ref="AH271:AH334" si="121">MIN(MATCH(Hp_vg_s,Echel_vg),10)</f>
        <v>6</v>
      </c>
      <c r="AI271" s="225">
        <f t="shared" ref="AI271:AI334" si="122">Hdd+PousH*Croivg</f>
        <v>0.58879107654504215</v>
      </c>
      <c r="AJ271" s="265" t="b">
        <f t="shared" ref="AJ271:AJ334" si="123">t&lt;Tnet</f>
        <v>0</v>
      </c>
      <c r="AK271" s="265" t="b">
        <f t="shared" ref="AK271:AK334" si="124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5">A271+1</f>
        <v>43358</v>
      </c>
      <c r="B272" s="616">
        <v>33.351999999999997</v>
      </c>
      <c r="C272" s="390"/>
      <c r="D272" s="393">
        <f t="shared" si="102"/>
        <v>33.386945440517465</v>
      </c>
      <c r="E272" s="385">
        <f t="shared" si="98"/>
        <v>33.675099147412887</v>
      </c>
      <c r="F272" s="385">
        <f t="shared" si="101"/>
        <v>33.853376968291961</v>
      </c>
      <c r="G272" s="110">
        <f t="shared" si="100"/>
        <v>0.78045102412399503</v>
      </c>
      <c r="I272" s="380">
        <f t="shared" si="103"/>
        <v>33.853376968291961</v>
      </c>
      <c r="J272" s="85">
        <v>2018</v>
      </c>
      <c r="K272" s="197">
        <f t="shared" si="104"/>
        <v>43358</v>
      </c>
      <c r="L272" s="436">
        <f t="shared" si="105"/>
        <v>1.0466797742767486E-3</v>
      </c>
      <c r="M272" s="854"/>
      <c r="N272" s="854"/>
      <c r="O272" s="324">
        <f t="shared" si="106"/>
        <v>8.5568777580736968E-3</v>
      </c>
      <c r="P272" s="169">
        <f>(INDEX(Models!$BJ272:$BT272,,T272)*(1-R272)+INDEX(Models!$BJ272:$BT272,,T272+1)*R272-ERP_i)*Q272*Ramure*Pc/MaxiM</f>
        <v>7.6428949042079463E-3</v>
      </c>
      <c r="Q272" s="305">
        <f t="shared" si="107"/>
        <v>0.8</v>
      </c>
      <c r="R272" s="177">
        <f t="shared" si="108"/>
        <v>0.58924200847691977</v>
      </c>
      <c r="S272" s="809">
        <f t="shared" ref="S272:S335" si="126">INDEX(Echel_vg,T272)</f>
        <v>0</v>
      </c>
      <c r="T272" s="176">
        <f t="shared" si="109"/>
        <v>6</v>
      </c>
      <c r="U272" s="251">
        <f t="shared" si="110"/>
        <v>0.58924200847691977</v>
      </c>
      <c r="V272" s="383">
        <f t="shared" si="111"/>
        <v>42.632158805019294</v>
      </c>
      <c r="W272" s="58"/>
      <c r="X272" s="157">
        <f t="shared" si="112"/>
        <v>43358</v>
      </c>
      <c r="Y272" s="385">
        <f t="shared" si="113"/>
        <v>33.351999999999997</v>
      </c>
      <c r="Z272" s="385">
        <f t="shared" si="114"/>
        <v>33.386945440517465</v>
      </c>
      <c r="AA272" s="386">
        <f t="shared" si="115"/>
        <v>33.675099147412887</v>
      </c>
      <c r="AB272" s="197">
        <f t="shared" si="116"/>
        <v>43358</v>
      </c>
      <c r="AC272" s="425">
        <f t="shared" si="117"/>
        <v>8.5568777580736968E-3</v>
      </c>
      <c r="AD272" s="169">
        <f>(INDEX(Models!$BJ272:$BT272,,AH272)*(1-AF272)+INDEX(Models!$BJ272:$BT272,,AH272+1)*AF272-ERP_i)*AE272*Ramure*Pc/MaxiM</f>
        <v>7.6428949042079463E-3</v>
      </c>
      <c r="AE272" s="305">
        <f t="shared" si="118"/>
        <v>0.8</v>
      </c>
      <c r="AF272" s="177">
        <f t="shared" si="119"/>
        <v>0.58924200847691977</v>
      </c>
      <c r="AG272" s="809">
        <f t="shared" si="120"/>
        <v>0</v>
      </c>
      <c r="AH272" s="176">
        <f t="shared" si="121"/>
        <v>6</v>
      </c>
      <c r="AI272" s="225">
        <f t="shared" si="122"/>
        <v>0.58924200847691977</v>
      </c>
      <c r="AJ272" s="265" t="b">
        <f t="shared" si="123"/>
        <v>0</v>
      </c>
      <c r="AK272" s="265" t="b">
        <f t="shared" si="124"/>
        <v>0</v>
      </c>
      <c r="AL272" s="265"/>
      <c r="AM272" s="265"/>
      <c r="AN272" s="75"/>
    </row>
    <row r="273" spans="1:40" s="6" customFormat="1" ht="11.25" x14ac:dyDescent="0.2">
      <c r="A273" s="56">
        <f t="shared" si="125"/>
        <v>43359</v>
      </c>
      <c r="B273" s="616">
        <v>38.847999999999999</v>
      </c>
      <c r="C273" s="390"/>
      <c r="D273" s="393">
        <f t="shared" si="102"/>
        <v>38.889609037961883</v>
      </c>
      <c r="E273" s="385">
        <f t="shared" si="98"/>
        <v>39.232521682415616</v>
      </c>
      <c r="F273" s="385">
        <f t="shared" si="101"/>
        <v>39.509966115704373</v>
      </c>
      <c r="G273" s="110">
        <f t="shared" si="100"/>
        <v>0.91936649226656686</v>
      </c>
      <c r="I273" s="380">
        <f t="shared" si="103"/>
        <v>39.509966115704373</v>
      </c>
      <c r="J273" s="85">
        <v>2018</v>
      </c>
      <c r="K273" s="197">
        <f t="shared" si="104"/>
        <v>43359</v>
      </c>
      <c r="L273" s="436">
        <f t="shared" si="105"/>
        <v>1.0699268774152504E-3</v>
      </c>
      <c r="M273" s="854"/>
      <c r="N273" s="854"/>
      <c r="O273" s="324">
        <f t="shared" si="106"/>
        <v>8.7405201029284608E-3</v>
      </c>
      <c r="P273" s="169">
        <f>(INDEX(Models!$BJ273:$BT273,,T273)*(1-R273)+INDEX(Models!$BJ273:$BT273,,T273+1)*R273-ERP_i)*Q273*Ramure*Pc/MaxiM</f>
        <v>7.9256156360428733E-3</v>
      </c>
      <c r="Q273" s="305">
        <f t="shared" si="107"/>
        <v>0.8</v>
      </c>
      <c r="R273" s="177">
        <f t="shared" si="108"/>
        <v>0.58967543368319453</v>
      </c>
      <c r="S273" s="809">
        <f t="shared" si="126"/>
        <v>0</v>
      </c>
      <c r="T273" s="176">
        <f t="shared" si="109"/>
        <v>6</v>
      </c>
      <c r="U273" s="251">
        <f t="shared" si="110"/>
        <v>0.58967543368319453</v>
      </c>
      <c r="V273" s="383">
        <f t="shared" si="111"/>
        <v>42.216737088076215</v>
      </c>
      <c r="W273" s="58"/>
      <c r="X273" s="157">
        <f t="shared" si="112"/>
        <v>43359</v>
      </c>
      <c r="Y273" s="385">
        <f t="shared" si="113"/>
        <v>38.847999999999999</v>
      </c>
      <c r="Z273" s="385">
        <f t="shared" si="114"/>
        <v>38.889609037961883</v>
      </c>
      <c r="AA273" s="386">
        <f t="shared" si="115"/>
        <v>39.232521682415616</v>
      </c>
      <c r="AB273" s="197">
        <f t="shared" si="116"/>
        <v>43359</v>
      </c>
      <c r="AC273" s="425">
        <f t="shared" si="117"/>
        <v>8.7405201029284608E-3</v>
      </c>
      <c r="AD273" s="169">
        <f>(INDEX(Models!$BJ273:$BT273,,AH273)*(1-AF273)+INDEX(Models!$BJ273:$BT273,,AH273+1)*AF273-ERP_i)*AE273*Ramure*Pc/MaxiM</f>
        <v>7.9256156360428733E-3</v>
      </c>
      <c r="AE273" s="305">
        <f t="shared" si="118"/>
        <v>0.8</v>
      </c>
      <c r="AF273" s="177">
        <f t="shared" si="119"/>
        <v>0.58967543368319453</v>
      </c>
      <c r="AG273" s="809">
        <f t="shared" si="120"/>
        <v>0</v>
      </c>
      <c r="AH273" s="176">
        <f t="shared" si="121"/>
        <v>6</v>
      </c>
      <c r="AI273" s="225">
        <f t="shared" si="122"/>
        <v>0.58967543368319453</v>
      </c>
      <c r="AJ273" s="265" t="b">
        <f t="shared" si="123"/>
        <v>0</v>
      </c>
      <c r="AK273" s="265" t="b">
        <f t="shared" si="124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5"/>
        <v>43360</v>
      </c>
      <c r="B274" s="616">
        <v>37.636000000000003</v>
      </c>
      <c r="C274" s="390"/>
      <c r="D274" s="393">
        <f t="shared" si="102"/>
        <v>37.677187700871904</v>
      </c>
      <c r="E274" s="385">
        <f t="shared" si="98"/>
        <v>38.016439104741522</v>
      </c>
      <c r="F274" s="385">
        <f t="shared" si="101"/>
        <v>38.286123652516494</v>
      </c>
      <c r="G274" s="110">
        <f t="shared" si="100"/>
        <v>0.89936020459121013</v>
      </c>
      <c r="I274" s="380">
        <f t="shared" si="103"/>
        <v>38.286123652516494</v>
      </c>
      <c r="J274" s="85">
        <v>2018</v>
      </c>
      <c r="K274" s="197">
        <f t="shared" si="104"/>
        <v>43360</v>
      </c>
      <c r="L274" s="436">
        <f t="shared" si="105"/>
        <v>1.0931734395597248E-3</v>
      </c>
      <c r="M274" s="854"/>
      <c r="N274" s="854"/>
      <c r="O274" s="324">
        <f t="shared" si="106"/>
        <v>8.9238080119739653E-3</v>
      </c>
      <c r="P274" s="169">
        <f>(INDEX(Models!$BJ274:$BT274,,T274)*(1-R274)+INDEX(Models!$BJ274:$BT274,,T274+1)*R274-ERP_i)*Q274*Ramure*Pc/MaxiM</f>
        <v>8.2121686806641593E-3</v>
      </c>
      <c r="Q274" s="305">
        <f t="shared" si="107"/>
        <v>0.8</v>
      </c>
      <c r="R274" s="177">
        <f t="shared" si="108"/>
        <v>0.59009200713731258</v>
      </c>
      <c r="S274" s="809">
        <f t="shared" si="126"/>
        <v>0</v>
      </c>
      <c r="T274" s="176">
        <f t="shared" si="109"/>
        <v>6</v>
      </c>
      <c r="U274" s="251">
        <f t="shared" si="110"/>
        <v>0.59009200713731258</v>
      </c>
      <c r="V274" s="383">
        <f t="shared" si="111"/>
        <v>41.798291551143073</v>
      </c>
      <c r="W274" s="58"/>
      <c r="X274" s="157">
        <f t="shared" si="112"/>
        <v>43360</v>
      </c>
      <c r="Y274" s="385">
        <f t="shared" si="113"/>
        <v>37.636000000000003</v>
      </c>
      <c r="Z274" s="385">
        <f t="shared" si="114"/>
        <v>37.677187700871904</v>
      </c>
      <c r="AA274" s="386">
        <f t="shared" si="115"/>
        <v>38.016439104741522</v>
      </c>
      <c r="AB274" s="197">
        <f t="shared" si="116"/>
        <v>43360</v>
      </c>
      <c r="AC274" s="425">
        <f t="shared" si="117"/>
        <v>8.9238080119739653E-3</v>
      </c>
      <c r="AD274" s="169">
        <f>(INDEX(Models!$BJ274:$BT274,,AH274)*(1-AF274)+INDEX(Models!$BJ274:$BT274,,AH274+1)*AF274-ERP_i)*AE274*Ramure*Pc/MaxiM</f>
        <v>8.2121686806641593E-3</v>
      </c>
      <c r="AE274" s="305">
        <f t="shared" si="118"/>
        <v>0.8</v>
      </c>
      <c r="AF274" s="177">
        <f t="shared" si="119"/>
        <v>0.59009200713731258</v>
      </c>
      <c r="AG274" s="809">
        <f t="shared" si="120"/>
        <v>0</v>
      </c>
      <c r="AH274" s="176">
        <f t="shared" si="121"/>
        <v>6</v>
      </c>
      <c r="AI274" s="225">
        <f t="shared" si="122"/>
        <v>0.59009200713731258</v>
      </c>
      <c r="AJ274" s="265" t="b">
        <f t="shared" si="123"/>
        <v>0</v>
      </c>
      <c r="AK274" s="265" t="b">
        <f t="shared" si="124"/>
        <v>0</v>
      </c>
      <c r="AL274" s="265"/>
      <c r="AM274" s="265"/>
      <c r="AN274" s="75"/>
    </row>
    <row r="275" spans="1:40" s="6" customFormat="1" ht="11.25" x14ac:dyDescent="0.2">
      <c r="A275" s="56">
        <f t="shared" si="125"/>
        <v>43361</v>
      </c>
      <c r="B275" s="616">
        <v>35.636000000000003</v>
      </c>
      <c r="C275" s="390"/>
      <c r="D275" s="393">
        <f t="shared" si="102"/>
        <v>35.675829189985123</v>
      </c>
      <c r="E275" s="385">
        <f t="shared" si="98"/>
        <v>36.00370536254681</v>
      </c>
      <c r="F275" s="385">
        <f t="shared" si="101"/>
        <v>36.250892834496568</v>
      </c>
      <c r="G275" s="110">
        <f t="shared" si="100"/>
        <v>0.85986543058473852</v>
      </c>
      <c r="I275" s="380">
        <f t="shared" si="103"/>
        <v>36.250892834496568</v>
      </c>
      <c r="J275" s="85">
        <v>2018</v>
      </c>
      <c r="K275" s="197">
        <f t="shared" si="104"/>
        <v>43361</v>
      </c>
      <c r="L275" s="436">
        <f t="shared" si="105"/>
        <v>1.1164194607228284E-3</v>
      </c>
      <c r="M275" s="854"/>
      <c r="N275" s="854"/>
      <c r="O275" s="324">
        <f t="shared" si="106"/>
        <v>9.1067341336139446E-3</v>
      </c>
      <c r="P275" s="169">
        <f>(INDEX(Models!$BJ275:$BT275,,T275)*(1-R275)+INDEX(Models!$BJ275:$BT275,,T275+1)*R275-ERP_i)*Q275*Ramure*Pc/MaxiM</f>
        <v>8.5033559875288215E-3</v>
      </c>
      <c r="Q275" s="305">
        <f t="shared" si="107"/>
        <v>0.8</v>
      </c>
      <c r="R275" s="177">
        <f t="shared" si="108"/>
        <v>0.59049236122914195</v>
      </c>
      <c r="S275" s="809">
        <f t="shared" si="126"/>
        <v>0</v>
      </c>
      <c r="T275" s="176">
        <f t="shared" si="109"/>
        <v>6</v>
      </c>
      <c r="U275" s="251">
        <f t="shared" si="110"/>
        <v>0.59049236122914195</v>
      </c>
      <c r="V275" s="383">
        <f t="shared" si="111"/>
        <v>41.373400574174568</v>
      </c>
      <c r="W275" s="58"/>
      <c r="X275" s="157">
        <f t="shared" si="112"/>
        <v>43361</v>
      </c>
      <c r="Y275" s="385">
        <f t="shared" si="113"/>
        <v>35.636000000000003</v>
      </c>
      <c r="Z275" s="385">
        <f t="shared" si="114"/>
        <v>35.675829189985123</v>
      </c>
      <c r="AA275" s="386">
        <f t="shared" si="115"/>
        <v>36.00370536254681</v>
      </c>
      <c r="AB275" s="197">
        <f t="shared" si="116"/>
        <v>43361</v>
      </c>
      <c r="AC275" s="425">
        <f t="shared" si="117"/>
        <v>9.1067341336139446E-3</v>
      </c>
      <c r="AD275" s="169">
        <f>(INDEX(Models!$BJ275:$BT275,,AH275)*(1-AF275)+INDEX(Models!$BJ275:$BT275,,AH275+1)*AF275-ERP_i)*AE275*Ramure*Pc/MaxiM</f>
        <v>8.5033559875288215E-3</v>
      </c>
      <c r="AE275" s="305">
        <f t="shared" si="118"/>
        <v>0.8</v>
      </c>
      <c r="AF275" s="177">
        <f t="shared" si="119"/>
        <v>0.59049236122914195</v>
      </c>
      <c r="AG275" s="809">
        <f t="shared" si="120"/>
        <v>0</v>
      </c>
      <c r="AH275" s="176">
        <f t="shared" si="121"/>
        <v>6</v>
      </c>
      <c r="AI275" s="225">
        <f t="shared" si="122"/>
        <v>0.59049236122914195</v>
      </c>
      <c r="AJ275" s="265" t="b">
        <f t="shared" si="123"/>
        <v>0</v>
      </c>
      <c r="AK275" s="265" t="b">
        <f t="shared" si="124"/>
        <v>0</v>
      </c>
      <c r="AL275" s="265"/>
      <c r="AM275" s="265"/>
      <c r="AN275" s="75"/>
    </row>
    <row r="276" spans="1:40" s="6" customFormat="1" ht="11.25" x14ac:dyDescent="0.2">
      <c r="A276" s="56">
        <f t="shared" si="125"/>
        <v>43362</v>
      </c>
      <c r="B276" s="616">
        <v>34.046999999999997</v>
      </c>
      <c r="C276" s="390"/>
      <c r="D276" s="393">
        <f t="shared" si="102"/>
        <v>34.085846444173896</v>
      </c>
      <c r="E276" s="385">
        <f t="shared" si="98"/>
        <v>34.405448663124183</v>
      </c>
      <c r="F276" s="385">
        <f t="shared" si="101"/>
        <v>34.636542906705053</v>
      </c>
      <c r="G276" s="110">
        <f t="shared" si="100"/>
        <v>0.82986120815502495</v>
      </c>
      <c r="I276" s="380">
        <f t="shared" si="103"/>
        <v>34.636542906705053</v>
      </c>
      <c r="J276" s="85">
        <v>2018</v>
      </c>
      <c r="K276" s="197">
        <f t="shared" si="104"/>
        <v>43362</v>
      </c>
      <c r="L276" s="436">
        <f t="shared" si="105"/>
        <v>1.1396649409168846E-3</v>
      </c>
      <c r="M276" s="854"/>
      <c r="N276" s="854"/>
      <c r="O276" s="324">
        <f t="shared" si="106"/>
        <v>9.2892908352866978E-3</v>
      </c>
      <c r="P276" s="169">
        <f>(INDEX(Models!$BJ276:$BT276,,T276)*(1-R276)+INDEX(Models!$BJ276:$BT276,,T276+1)*R276-ERP_i)*Q276*Ramure*Pc/MaxiM</f>
        <v>8.7850232850343341E-3</v>
      </c>
      <c r="Q276" s="305">
        <f t="shared" si="107"/>
        <v>0.8</v>
      </c>
      <c r="R276" s="177">
        <f t="shared" si="108"/>
        <v>0.59087710639225588</v>
      </c>
      <c r="S276" s="809">
        <f t="shared" si="126"/>
        <v>0</v>
      </c>
      <c r="T276" s="176">
        <f t="shared" si="109"/>
        <v>6</v>
      </c>
      <c r="U276" s="251">
        <f t="shared" si="110"/>
        <v>0.59087710639225588</v>
      </c>
      <c r="V276" s="383">
        <f t="shared" si="111"/>
        <v>40.94006754326395</v>
      </c>
      <c r="W276" s="58"/>
      <c r="X276" s="157">
        <f t="shared" si="112"/>
        <v>43362</v>
      </c>
      <c r="Y276" s="385">
        <f t="shared" si="113"/>
        <v>34.046999999999997</v>
      </c>
      <c r="Z276" s="385">
        <f t="shared" si="114"/>
        <v>34.085846444173896</v>
      </c>
      <c r="AA276" s="386">
        <f t="shared" si="115"/>
        <v>34.405448663124183</v>
      </c>
      <c r="AB276" s="197">
        <f t="shared" si="116"/>
        <v>43362</v>
      </c>
      <c r="AC276" s="425">
        <f t="shared" si="117"/>
        <v>9.2892908352866978E-3</v>
      </c>
      <c r="AD276" s="169">
        <f>(INDEX(Models!$BJ276:$BT276,,AH276)*(1-AF276)+INDEX(Models!$BJ276:$BT276,,AH276+1)*AF276-ERP_i)*AE276*Ramure*Pc/MaxiM</f>
        <v>8.7850232850343341E-3</v>
      </c>
      <c r="AE276" s="305">
        <f t="shared" si="118"/>
        <v>0.8</v>
      </c>
      <c r="AF276" s="177">
        <f t="shared" si="119"/>
        <v>0.59087710639225588</v>
      </c>
      <c r="AG276" s="809">
        <f t="shared" si="120"/>
        <v>0</v>
      </c>
      <c r="AH276" s="176">
        <f t="shared" si="121"/>
        <v>6</v>
      </c>
      <c r="AI276" s="225">
        <f t="shared" si="122"/>
        <v>0.59087710639225588</v>
      </c>
      <c r="AJ276" s="265" t="b">
        <f t="shared" si="123"/>
        <v>0</v>
      </c>
      <c r="AK276" s="265" t="b">
        <f t="shared" si="124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5"/>
        <v>43363</v>
      </c>
      <c r="B277" s="616">
        <v>37.518000000000001</v>
      </c>
      <c r="C277" s="390"/>
      <c r="D277" s="393">
        <f t="shared" si="102"/>
        <v>37.561680849775428</v>
      </c>
      <c r="E277" s="385">
        <f t="shared" si="98"/>
        <v>37.920847022706297</v>
      </c>
      <c r="F277" s="385">
        <f t="shared" si="101"/>
        <v>38.230545259533059</v>
      </c>
      <c r="G277" s="110">
        <f t="shared" si="100"/>
        <v>0.9254838276912547</v>
      </c>
      <c r="I277" s="380">
        <f t="shared" si="103"/>
        <v>38.230545259533059</v>
      </c>
      <c r="J277" s="85">
        <v>2018</v>
      </c>
      <c r="K277" s="197">
        <f t="shared" si="104"/>
        <v>43363</v>
      </c>
      <c r="L277" s="436">
        <f t="shared" si="105"/>
        <v>1.1629098801547721E-3</v>
      </c>
      <c r="M277" s="854"/>
      <c r="N277" s="854"/>
      <c r="O277" s="324">
        <f t="shared" si="106"/>
        <v>9.4714702104574024E-3</v>
      </c>
      <c r="P277" s="169">
        <f>(INDEX(Models!$BJ277:$BT277,,T277)*(1-R277)+INDEX(Models!$BJ277:$BT277,,T277+1)*R277-ERP_i)*Q277*Ramure*Pc/MaxiM</f>
        <v>9.0530133516355769E-3</v>
      </c>
      <c r="Q277" s="305">
        <f t="shared" si="107"/>
        <v>0.8</v>
      </c>
      <c r="R277" s="177">
        <f t="shared" si="108"/>
        <v>0.59124683172632642</v>
      </c>
      <c r="S277" s="809">
        <f t="shared" si="126"/>
        <v>0</v>
      </c>
      <c r="T277" s="176">
        <f t="shared" si="109"/>
        <v>6</v>
      </c>
      <c r="U277" s="251">
        <f t="shared" si="110"/>
        <v>0.59124683172632642</v>
      </c>
      <c r="V277" s="383">
        <f t="shared" si="111"/>
        <v>40.499879312080864</v>
      </c>
      <c r="W277" s="58"/>
      <c r="X277" s="157">
        <f t="shared" si="112"/>
        <v>43363</v>
      </c>
      <c r="Y277" s="385">
        <f t="shared" si="113"/>
        <v>37.518000000000001</v>
      </c>
      <c r="Z277" s="385">
        <f t="shared" si="114"/>
        <v>37.561680849775428</v>
      </c>
      <c r="AA277" s="386">
        <f t="shared" si="115"/>
        <v>37.920847022706297</v>
      </c>
      <c r="AB277" s="197">
        <f t="shared" si="116"/>
        <v>43363</v>
      </c>
      <c r="AC277" s="425">
        <f t="shared" si="117"/>
        <v>9.4714702104574024E-3</v>
      </c>
      <c r="AD277" s="169">
        <f>(INDEX(Models!$BJ277:$BT277,,AH277)*(1-AF277)+INDEX(Models!$BJ277:$BT277,,AH277+1)*AF277-ERP_i)*AE277*Ramure*Pc/MaxiM</f>
        <v>9.0530133516355769E-3</v>
      </c>
      <c r="AE277" s="305">
        <f t="shared" si="118"/>
        <v>0.8</v>
      </c>
      <c r="AF277" s="177">
        <f t="shared" si="119"/>
        <v>0.59124683172632642</v>
      </c>
      <c r="AG277" s="809">
        <f t="shared" si="120"/>
        <v>0</v>
      </c>
      <c r="AH277" s="176">
        <f t="shared" si="121"/>
        <v>6</v>
      </c>
      <c r="AI277" s="225">
        <f t="shared" si="122"/>
        <v>0.59124683172632642</v>
      </c>
      <c r="AJ277" s="265" t="b">
        <f t="shared" si="123"/>
        <v>0</v>
      </c>
      <c r="AK277" s="265" t="b">
        <f t="shared" si="124"/>
        <v>0</v>
      </c>
      <c r="AL277" s="265"/>
      <c r="AM277" s="265"/>
      <c r="AN277" s="75"/>
    </row>
    <row r="278" spans="1:40" s="6" customFormat="1" ht="11.25" x14ac:dyDescent="0.2">
      <c r="A278" s="56">
        <f t="shared" si="125"/>
        <v>43364</v>
      </c>
      <c r="B278" s="616">
        <v>30.52</v>
      </c>
      <c r="C278" s="390"/>
      <c r="D278" s="393">
        <f t="shared" si="102"/>
        <v>30.556244420052174</v>
      </c>
      <c r="E278" s="385">
        <f t="shared" si="98"/>
        <v>30.854087070761359</v>
      </c>
      <c r="F278" s="385">
        <f t="shared" si="101"/>
        <v>31.044763534971793</v>
      </c>
      <c r="G278" s="110">
        <f t="shared" si="100"/>
        <v>0.75953990449924214</v>
      </c>
      <c r="I278" s="380">
        <f t="shared" si="103"/>
        <v>31.044763534971793</v>
      </c>
      <c r="J278" s="85">
        <v>2018</v>
      </c>
      <c r="K278" s="197">
        <f t="shared" si="104"/>
        <v>43364</v>
      </c>
      <c r="L278" s="436">
        <f t="shared" si="105"/>
        <v>1.1861542784489254E-3</v>
      </c>
      <c r="M278" s="854"/>
      <c r="N278" s="854"/>
      <c r="O278" s="324">
        <f t="shared" si="106"/>
        <v>9.6532640886799748E-3</v>
      </c>
      <c r="P278" s="169">
        <f>(INDEX(Models!$BJ278:$BT278,,T278)*(1-R278)+INDEX(Models!$BJ278:$BT278,,T278+1)*R278-ERP_i)*Q278*Ramure*Pc/MaxiM</f>
        <v>9.306717844446517E-3</v>
      </c>
      <c r="Q278" s="305">
        <f t="shared" si="107"/>
        <v>0.8</v>
      </c>
      <c r="R278" s="177">
        <f t="shared" si="108"/>
        <v>0.59160210561343163</v>
      </c>
      <c r="S278" s="809">
        <f t="shared" si="126"/>
        <v>0</v>
      </c>
      <c r="T278" s="176">
        <f t="shared" si="109"/>
        <v>6</v>
      </c>
      <c r="U278" s="251">
        <f t="shared" si="110"/>
        <v>0.59160210561343163</v>
      </c>
      <c r="V278" s="383">
        <f t="shared" si="111"/>
        <v>40.054268721983554</v>
      </c>
      <c r="W278" s="58"/>
      <c r="X278" s="157">
        <f t="shared" si="112"/>
        <v>43364</v>
      </c>
      <c r="Y278" s="385">
        <f t="shared" si="113"/>
        <v>30.52</v>
      </c>
      <c r="Z278" s="385">
        <f t="shared" si="114"/>
        <v>30.556244420052174</v>
      </c>
      <c r="AA278" s="386">
        <f t="shared" si="115"/>
        <v>30.854087070761359</v>
      </c>
      <c r="AB278" s="197">
        <f t="shared" si="116"/>
        <v>43364</v>
      </c>
      <c r="AC278" s="425">
        <f t="shared" si="117"/>
        <v>9.6532640886799748E-3</v>
      </c>
      <c r="AD278" s="169">
        <f>(INDEX(Models!$BJ278:$BT278,,AH278)*(1-AF278)+INDEX(Models!$BJ278:$BT278,,AH278+1)*AF278-ERP_i)*AE278*Ramure*Pc/MaxiM</f>
        <v>9.306717844446517E-3</v>
      </c>
      <c r="AE278" s="305">
        <f t="shared" si="118"/>
        <v>0.8</v>
      </c>
      <c r="AF278" s="177">
        <f t="shared" si="119"/>
        <v>0.59160210561343163</v>
      </c>
      <c r="AG278" s="809">
        <f t="shared" si="120"/>
        <v>0</v>
      </c>
      <c r="AH278" s="176">
        <f t="shared" si="121"/>
        <v>6</v>
      </c>
      <c r="AI278" s="225">
        <f t="shared" si="122"/>
        <v>0.59160210561343163</v>
      </c>
      <c r="AJ278" s="265" t="b">
        <f t="shared" si="123"/>
        <v>0</v>
      </c>
      <c r="AK278" s="265" t="b">
        <f t="shared" si="124"/>
        <v>0</v>
      </c>
      <c r="AL278" s="265"/>
      <c r="AM278" s="265"/>
      <c r="AN278" s="75"/>
    </row>
    <row r="279" spans="1:40" s="6" customFormat="1" ht="11.25" x14ac:dyDescent="0.2">
      <c r="A279" s="56">
        <f t="shared" si="125"/>
        <v>43365</v>
      </c>
      <c r="B279" s="616">
        <v>36.469000000000001</v>
      </c>
      <c r="C279" s="390"/>
      <c r="D279" s="393">
        <f t="shared" si="102"/>
        <v>36.513158946362338</v>
      </c>
      <c r="E279" s="385">
        <f t="shared" si="98"/>
        <v>36.87582025005009</v>
      </c>
      <c r="F279" s="385">
        <f t="shared" si="101"/>
        <v>37.190669523303903</v>
      </c>
      <c r="G279" s="110">
        <f t="shared" si="100"/>
        <v>0.91982316474579762</v>
      </c>
      <c r="I279" s="380">
        <f t="shared" si="103"/>
        <v>37.190669523303903</v>
      </c>
      <c r="J279" s="85">
        <v>2018</v>
      </c>
      <c r="K279" s="197">
        <f t="shared" si="104"/>
        <v>43365</v>
      </c>
      <c r="L279" s="436">
        <f t="shared" si="105"/>
        <v>1.209398135812001E-3</v>
      </c>
      <c r="M279" s="854"/>
      <c r="N279" s="854"/>
      <c r="O279" s="324">
        <f t="shared" si="106"/>
        <v>9.8346640489240678E-3</v>
      </c>
      <c r="P279" s="169">
        <f>(INDEX(Models!$BJ279:$BT279,,T279)*(1-R279)+INDEX(Models!$BJ279:$BT279,,T279+1)*R279-ERP_i)*Q279*Ramure*Pc/MaxiM</f>
        <v>9.5454622954055084E-3</v>
      </c>
      <c r="Q279" s="305">
        <f t="shared" si="107"/>
        <v>0.8</v>
      </c>
      <c r="R279" s="177">
        <f t="shared" si="108"/>
        <v>0.59194347632720379</v>
      </c>
      <c r="S279" s="809">
        <f t="shared" si="126"/>
        <v>0</v>
      </c>
      <c r="T279" s="176">
        <f t="shared" si="109"/>
        <v>6</v>
      </c>
      <c r="U279" s="251">
        <f t="shared" si="110"/>
        <v>0.59194347632720379</v>
      </c>
      <c r="V279" s="383">
        <f t="shared" si="111"/>
        <v>39.604666971780517</v>
      </c>
      <c r="W279" s="58"/>
      <c r="X279" s="157">
        <f t="shared" si="112"/>
        <v>43365</v>
      </c>
      <c r="Y279" s="385">
        <f t="shared" si="113"/>
        <v>36.469000000000001</v>
      </c>
      <c r="Z279" s="385">
        <f t="shared" si="114"/>
        <v>36.513158946362338</v>
      </c>
      <c r="AA279" s="386">
        <f t="shared" si="115"/>
        <v>36.87582025005009</v>
      </c>
      <c r="AB279" s="197">
        <f t="shared" si="116"/>
        <v>43365</v>
      </c>
      <c r="AC279" s="425">
        <f t="shared" si="117"/>
        <v>9.8346640489240678E-3</v>
      </c>
      <c r="AD279" s="169">
        <f>(INDEX(Models!$BJ279:$BT279,,AH279)*(1-AF279)+INDEX(Models!$BJ279:$BT279,,AH279+1)*AF279-ERP_i)*AE279*Ramure*Pc/MaxiM</f>
        <v>9.5454622954055084E-3</v>
      </c>
      <c r="AE279" s="305">
        <f t="shared" si="118"/>
        <v>0.8</v>
      </c>
      <c r="AF279" s="177">
        <f t="shared" si="119"/>
        <v>0.59194347632720379</v>
      </c>
      <c r="AG279" s="809">
        <f t="shared" si="120"/>
        <v>0</v>
      </c>
      <c r="AH279" s="176">
        <f t="shared" si="121"/>
        <v>6</v>
      </c>
      <c r="AI279" s="225">
        <f t="shared" si="122"/>
        <v>0.59194347632720379</v>
      </c>
      <c r="AJ279" s="265" t="b">
        <f t="shared" si="123"/>
        <v>0</v>
      </c>
      <c r="AK279" s="265" t="b">
        <f t="shared" si="124"/>
        <v>0</v>
      </c>
      <c r="AL279" s="265"/>
      <c r="AM279" s="265"/>
      <c r="AN279" s="75"/>
    </row>
    <row r="280" spans="1:40" s="6" customFormat="1" ht="11.25" x14ac:dyDescent="0.2">
      <c r="A280" s="56">
        <f t="shared" si="125"/>
        <v>43366</v>
      </c>
      <c r="B280" s="616">
        <v>36.555999999999997</v>
      </c>
      <c r="C280" s="390"/>
      <c r="D280" s="393">
        <f t="shared" si="102"/>
        <v>36.60111605284559</v>
      </c>
      <c r="E280" s="385">
        <f t="shared" si="98"/>
        <v>36.971409169915717</v>
      </c>
      <c r="F280" s="385">
        <f t="shared" si="101"/>
        <v>37.30126767206167</v>
      </c>
      <c r="G280" s="110">
        <f t="shared" si="100"/>
        <v>0.93281055592455475</v>
      </c>
      <c r="I280" s="380">
        <f t="shared" si="103"/>
        <v>37.30126767206167</v>
      </c>
      <c r="J280" s="85">
        <v>2018</v>
      </c>
      <c r="K280" s="197">
        <f t="shared" si="104"/>
        <v>43366</v>
      </c>
      <c r="L280" s="436">
        <f t="shared" si="105"/>
        <v>1.2326414522565443E-3</v>
      </c>
      <c r="M280" s="854"/>
      <c r="N280" s="854"/>
      <c r="O280" s="324">
        <f t="shared" si="106"/>
        <v>1.0015661436335992E-2</v>
      </c>
      <c r="P280" s="169">
        <f>(INDEX(Models!$BJ280:$BT280,,T280)*(1-R280)+INDEX(Models!$BJ280:$BT280,,T280+1)*R280-ERP_i)*Q280*Ramure*Pc/MaxiM</f>
        <v>9.7685592335356054E-3</v>
      </c>
      <c r="Q280" s="305">
        <f t="shared" si="107"/>
        <v>0.8</v>
      </c>
      <c r="R280" s="177">
        <f t="shared" si="108"/>
        <v>0.59227147263388202</v>
      </c>
      <c r="S280" s="809">
        <f t="shared" si="126"/>
        <v>0</v>
      </c>
      <c r="T280" s="176">
        <f t="shared" si="109"/>
        <v>6</v>
      </c>
      <c r="U280" s="251">
        <f t="shared" si="110"/>
        <v>0.59227147263388202</v>
      </c>
      <c r="V280" s="383">
        <f t="shared" si="111"/>
        <v>39.152501550825583</v>
      </c>
      <c r="W280" s="58"/>
      <c r="X280" s="157">
        <f t="shared" si="112"/>
        <v>43366</v>
      </c>
      <c r="Y280" s="385">
        <f t="shared" si="113"/>
        <v>36.555999999999997</v>
      </c>
      <c r="Z280" s="385">
        <f t="shared" si="114"/>
        <v>36.60111605284559</v>
      </c>
      <c r="AA280" s="386">
        <f t="shared" si="115"/>
        <v>36.971409169915717</v>
      </c>
      <c r="AB280" s="197">
        <f t="shared" si="116"/>
        <v>43366</v>
      </c>
      <c r="AC280" s="425">
        <f t="shared" si="117"/>
        <v>1.0015661436335992E-2</v>
      </c>
      <c r="AD280" s="169">
        <f>(INDEX(Models!$BJ280:$BT280,,AH280)*(1-AF280)+INDEX(Models!$BJ280:$BT280,,AH280+1)*AF280-ERP_i)*AE280*Ramure*Pc/MaxiM</f>
        <v>9.7685592335356054E-3</v>
      </c>
      <c r="AE280" s="305">
        <f t="shared" si="118"/>
        <v>0.8</v>
      </c>
      <c r="AF280" s="177">
        <f t="shared" si="119"/>
        <v>0.59227147263388202</v>
      </c>
      <c r="AG280" s="809">
        <f t="shared" si="120"/>
        <v>0</v>
      </c>
      <c r="AH280" s="176">
        <f t="shared" si="121"/>
        <v>6</v>
      </c>
      <c r="AI280" s="225">
        <f t="shared" si="122"/>
        <v>0.59227147263388202</v>
      </c>
      <c r="AJ280" s="265" t="b">
        <f t="shared" si="123"/>
        <v>0</v>
      </c>
      <c r="AK280" s="265" t="b">
        <f t="shared" si="124"/>
        <v>0</v>
      </c>
      <c r="AL280" s="265"/>
      <c r="AM280" s="265"/>
      <c r="AN280" s="75"/>
    </row>
    <row r="281" spans="1:40" s="6" customFormat="1" ht="11.25" x14ac:dyDescent="0.2">
      <c r="A281" s="56">
        <f t="shared" si="125"/>
        <v>43367</v>
      </c>
      <c r="B281" s="616">
        <v>35.497999999999998</v>
      </c>
      <c r="C281" s="390"/>
      <c r="D281" s="393">
        <f t="shared" si="102"/>
        <v>35.542637437772335</v>
      </c>
      <c r="E281" s="385">
        <f t="shared" si="98"/>
        <v>35.908772161939929</v>
      </c>
      <c r="F281" s="385">
        <f t="shared" si="101"/>
        <v>36.227444973424483</v>
      </c>
      <c r="G281" s="110">
        <f t="shared" si="100"/>
        <v>0.9161890869859155</v>
      </c>
      <c r="I281" s="380">
        <f t="shared" si="103"/>
        <v>36.227444973424483</v>
      </c>
      <c r="J281" s="85">
        <v>2018</v>
      </c>
      <c r="K281" s="197">
        <f t="shared" si="104"/>
        <v>43367</v>
      </c>
      <c r="L281" s="436">
        <f t="shared" si="105"/>
        <v>1.255884227795101E-3</v>
      </c>
      <c r="M281" s="854"/>
      <c r="N281" s="854"/>
      <c r="O281" s="324">
        <f t="shared" si="106"/>
        <v>1.0196247382573192E-2</v>
      </c>
      <c r="P281" s="169">
        <f>(INDEX(Models!$BJ281:$BT281,,T281)*(1-R281)+INDEX(Models!$BJ281:$BT281,,T281+1)*R281-ERP_i)*Q281*Ramure*Pc/MaxiM</f>
        <v>9.9752357273303893E-3</v>
      </c>
      <c r="Q281" s="305">
        <f t="shared" si="107"/>
        <v>0.8</v>
      </c>
      <c r="R281" s="177">
        <f t="shared" si="108"/>
        <v>0.59258660438444533</v>
      </c>
      <c r="S281" s="809">
        <f t="shared" si="126"/>
        <v>0</v>
      </c>
      <c r="T281" s="176">
        <f t="shared" si="109"/>
        <v>6</v>
      </c>
      <c r="U281" s="251">
        <f t="shared" si="110"/>
        <v>0.59258660438444533</v>
      </c>
      <c r="V281" s="383">
        <f t="shared" si="111"/>
        <v>38.69919923990382</v>
      </c>
      <c r="W281" s="58"/>
      <c r="X281" s="157">
        <f t="shared" si="112"/>
        <v>43367</v>
      </c>
      <c r="Y281" s="385">
        <f t="shared" si="113"/>
        <v>35.497999999999998</v>
      </c>
      <c r="Z281" s="385">
        <f t="shared" si="114"/>
        <v>35.542637437772335</v>
      </c>
      <c r="AA281" s="386">
        <f t="shared" si="115"/>
        <v>35.908772161939929</v>
      </c>
      <c r="AB281" s="197">
        <f t="shared" si="116"/>
        <v>43367</v>
      </c>
      <c r="AC281" s="425">
        <f t="shared" si="117"/>
        <v>1.0196247382573192E-2</v>
      </c>
      <c r="AD281" s="169">
        <f>(INDEX(Models!$BJ281:$BT281,,AH281)*(1-AF281)+INDEX(Models!$BJ281:$BT281,,AH281+1)*AF281-ERP_i)*AE281*Ramure*Pc/MaxiM</f>
        <v>9.9752357273303893E-3</v>
      </c>
      <c r="AE281" s="305">
        <f t="shared" si="118"/>
        <v>0.8</v>
      </c>
      <c r="AF281" s="177">
        <f t="shared" si="119"/>
        <v>0.59258660438444533</v>
      </c>
      <c r="AG281" s="809">
        <f t="shared" si="120"/>
        <v>0</v>
      </c>
      <c r="AH281" s="176">
        <f t="shared" si="121"/>
        <v>6</v>
      </c>
      <c r="AI281" s="225">
        <f t="shared" si="122"/>
        <v>0.59258660438444533</v>
      </c>
      <c r="AJ281" s="265" t="b">
        <f t="shared" si="123"/>
        <v>0</v>
      </c>
      <c r="AK281" s="265" t="b">
        <f t="shared" si="124"/>
        <v>0</v>
      </c>
      <c r="AL281" s="265"/>
      <c r="AM281" s="265"/>
      <c r="AN281" s="75"/>
    </row>
    <row r="282" spans="1:40" s="6" customFormat="1" ht="11.25" x14ac:dyDescent="0.2">
      <c r="A282" s="56">
        <f t="shared" si="125"/>
        <v>43368</v>
      </c>
      <c r="B282" s="616">
        <v>36.938000000000002</v>
      </c>
      <c r="C282" s="390"/>
      <c r="D282" s="393">
        <f t="shared" si="102"/>
        <v>36.985308887319306</v>
      </c>
      <c r="E282" s="385">
        <f t="shared" si="98"/>
        <v>37.373107681354348</v>
      </c>
      <c r="F282" s="385">
        <f t="shared" si="101"/>
        <v>37.737616608562853</v>
      </c>
      <c r="G282" s="110">
        <f t="shared" si="100"/>
        <v>0.96530257671731134</v>
      </c>
      <c r="I282" s="380">
        <f t="shared" si="103"/>
        <v>37.737616608562853</v>
      </c>
      <c r="J282" s="85">
        <v>2018</v>
      </c>
      <c r="K282" s="197">
        <f t="shared" si="104"/>
        <v>43368</v>
      </c>
      <c r="L282" s="436">
        <f t="shared" si="105"/>
        <v>1.2791264624404386E-3</v>
      </c>
      <c r="M282" s="854"/>
      <c r="N282" s="854"/>
      <c r="O282" s="324">
        <f t="shared" si="106"/>
        <v>1.0376412829819682E-2</v>
      </c>
      <c r="P282" s="169">
        <f>(INDEX(Models!$BJ282:$BT282,,T282)*(1-R282)+INDEX(Models!$BJ282:$BT282,,T282+1)*R282-ERP_i)*Q282*Ramure*Pc/MaxiM</f>
        <v>1.0155391560561881E-2</v>
      </c>
      <c r="Q282" s="305">
        <f t="shared" si="107"/>
        <v>0.8</v>
      </c>
      <c r="R282" s="177">
        <f t="shared" si="108"/>
        <v>0.59288936309710727</v>
      </c>
      <c r="S282" s="809">
        <f t="shared" si="126"/>
        <v>0</v>
      </c>
      <c r="T282" s="176">
        <f t="shared" si="109"/>
        <v>6</v>
      </c>
      <c r="U282" s="251">
        <f t="shared" si="110"/>
        <v>0.59288936309710727</v>
      </c>
      <c r="V282" s="383">
        <f t="shared" si="111"/>
        <v>38.246543228819277</v>
      </c>
      <c r="W282" s="58"/>
      <c r="X282" s="157">
        <f t="shared" si="112"/>
        <v>43368</v>
      </c>
      <c r="Y282" s="385">
        <f t="shared" si="113"/>
        <v>36.938000000000002</v>
      </c>
      <c r="Z282" s="385">
        <f t="shared" si="114"/>
        <v>36.985308887319306</v>
      </c>
      <c r="AA282" s="386">
        <f t="shared" si="115"/>
        <v>37.373107681354348</v>
      </c>
      <c r="AB282" s="197">
        <f t="shared" si="116"/>
        <v>43368</v>
      </c>
      <c r="AC282" s="425">
        <f t="shared" si="117"/>
        <v>1.0376412829819682E-2</v>
      </c>
      <c r="AD282" s="169">
        <f>(INDEX(Models!$BJ282:$BT282,,AH282)*(1-AF282)+INDEX(Models!$BJ282:$BT282,,AH282+1)*AF282-ERP_i)*AE282*Ramure*Pc/MaxiM</f>
        <v>1.0155391560561881E-2</v>
      </c>
      <c r="AE282" s="305">
        <f t="shared" si="118"/>
        <v>0.8</v>
      </c>
      <c r="AF282" s="177">
        <f t="shared" si="119"/>
        <v>0.59288936309710727</v>
      </c>
      <c r="AG282" s="809">
        <f t="shared" si="120"/>
        <v>0</v>
      </c>
      <c r="AH282" s="176">
        <f t="shared" si="121"/>
        <v>6</v>
      </c>
      <c r="AI282" s="225">
        <f t="shared" si="122"/>
        <v>0.59288936309710727</v>
      </c>
      <c r="AJ282" s="265" t="b">
        <f t="shared" si="123"/>
        <v>0</v>
      </c>
      <c r="AK282" s="265" t="b">
        <f t="shared" si="124"/>
        <v>0</v>
      </c>
      <c r="AL282" s="265"/>
      <c r="AM282" s="265"/>
      <c r="AN282" s="75"/>
    </row>
    <row r="283" spans="1:40" s="6" customFormat="1" ht="11.25" x14ac:dyDescent="0.2">
      <c r="A283" s="56">
        <f t="shared" si="125"/>
        <v>43369</v>
      </c>
      <c r="B283" s="616">
        <v>37.506999999999998</v>
      </c>
      <c r="C283" s="390"/>
      <c r="D283" s="393">
        <f t="shared" si="102"/>
        <v>37.555911623375529</v>
      </c>
      <c r="E283" s="385">
        <f t="shared" si="98"/>
        <v>37.95658699446475</v>
      </c>
      <c r="F283" s="385">
        <f t="shared" si="101"/>
        <v>38.347746104915672</v>
      </c>
      <c r="G283" s="110">
        <f t="shared" si="100"/>
        <v>0.99224704700645616</v>
      </c>
      <c r="I283" s="380">
        <f t="shared" si="103"/>
        <v>38.347746104915672</v>
      </c>
      <c r="J283" s="85">
        <v>2018</v>
      </c>
      <c r="K283" s="197">
        <f t="shared" si="104"/>
        <v>43369</v>
      </c>
      <c r="L283" s="436">
        <f t="shared" si="105"/>
        <v>1.3023681562048806E-3</v>
      </c>
      <c r="M283" s="854"/>
      <c r="N283" s="854"/>
      <c r="O283" s="324">
        <f t="shared" si="106"/>
        <v>1.0556148558553295E-2</v>
      </c>
      <c r="P283" s="169">
        <f>(INDEX(Models!$BJ283:$BT283,,T283)*(1-R283)+INDEX(Models!$BJ283:$BT283,,T283+1)*R283-ERP_i)*Q283*Ramure*Pc/MaxiM</f>
        <v>1.031287471206589E-2</v>
      </c>
      <c r="Q283" s="305">
        <f t="shared" si="107"/>
        <v>0.8</v>
      </c>
      <c r="R283" s="177">
        <f t="shared" si="108"/>
        <v>0.59318022252956082</v>
      </c>
      <c r="S283" s="809">
        <f t="shared" si="126"/>
        <v>0</v>
      </c>
      <c r="T283" s="176">
        <f t="shared" si="109"/>
        <v>6</v>
      </c>
      <c r="U283" s="251">
        <f t="shared" si="110"/>
        <v>0.59318022252956082</v>
      </c>
      <c r="V283" s="383">
        <f t="shared" si="111"/>
        <v>37.795763513907843</v>
      </c>
      <c r="W283" s="58"/>
      <c r="X283" s="157">
        <f t="shared" si="112"/>
        <v>43369</v>
      </c>
      <c r="Y283" s="385">
        <f t="shared" si="113"/>
        <v>37.506999999999998</v>
      </c>
      <c r="Z283" s="385">
        <f t="shared" si="114"/>
        <v>37.555911623375529</v>
      </c>
      <c r="AA283" s="386">
        <f t="shared" si="115"/>
        <v>37.95658699446475</v>
      </c>
      <c r="AB283" s="197">
        <f t="shared" si="116"/>
        <v>43369</v>
      </c>
      <c r="AC283" s="425">
        <f t="shared" si="117"/>
        <v>1.0556148558553295E-2</v>
      </c>
      <c r="AD283" s="169">
        <f>(INDEX(Models!$BJ283:$BT283,,AH283)*(1-AF283)+INDEX(Models!$BJ283:$BT283,,AH283+1)*AF283-ERP_i)*AE283*Ramure*Pc/MaxiM</f>
        <v>1.031287471206589E-2</v>
      </c>
      <c r="AE283" s="305">
        <f t="shared" si="118"/>
        <v>0.8</v>
      </c>
      <c r="AF283" s="177">
        <f t="shared" si="119"/>
        <v>0.59318022252956082</v>
      </c>
      <c r="AG283" s="809">
        <f t="shared" si="120"/>
        <v>0</v>
      </c>
      <c r="AH283" s="176">
        <f t="shared" si="121"/>
        <v>6</v>
      </c>
      <c r="AI283" s="225">
        <f t="shared" si="122"/>
        <v>0.59318022252956082</v>
      </c>
      <c r="AJ283" s="265" t="b">
        <f t="shared" si="123"/>
        <v>0</v>
      </c>
      <c r="AK283" s="265" t="b">
        <f t="shared" si="124"/>
        <v>0</v>
      </c>
      <c r="AL283" s="265"/>
      <c r="AM283" s="265"/>
      <c r="AN283" s="75"/>
    </row>
    <row r="284" spans="1:40" s="6" customFormat="1" ht="11.25" x14ac:dyDescent="0.2">
      <c r="A284" s="56">
        <f t="shared" si="125"/>
        <v>43370</v>
      </c>
      <c r="B284" s="616">
        <v>36.159999999999997</v>
      </c>
      <c r="C284" s="390"/>
      <c r="D284" s="393">
        <f t="shared" si="102"/>
        <v>36.20799765876037</v>
      </c>
      <c r="E284" s="385">
        <f t="shared" si="98"/>
        <v>36.600924882808087</v>
      </c>
      <c r="F284" s="385">
        <f t="shared" si="101"/>
        <v>36.969576410748687</v>
      </c>
      <c r="G284" s="110">
        <f t="shared" si="100"/>
        <v>0.96771941014866592</v>
      </c>
      <c r="I284" s="380">
        <f t="shared" si="103"/>
        <v>36.969576410748687</v>
      </c>
      <c r="J284" s="85">
        <v>2018</v>
      </c>
      <c r="K284" s="197">
        <f t="shared" si="104"/>
        <v>43370</v>
      </c>
      <c r="L284" s="436">
        <f t="shared" si="105"/>
        <v>1.3256093091013055E-3</v>
      </c>
      <c r="M284" s="854"/>
      <c r="N284" s="854"/>
      <c r="O284" s="324">
        <f t="shared" si="106"/>
        <v>1.0735445219098333E-2</v>
      </c>
      <c r="P284" s="169">
        <f>(INDEX(Models!$BJ284:$BT284,,T284)*(1-R284)+INDEX(Models!$BJ284:$BT284,,T284+1)*R284-ERP_i)*Q284*Ramure*Pc/MaxiM</f>
        <v>1.0446569428044479E-2</v>
      </c>
      <c r="Q284" s="305">
        <f t="shared" si="107"/>
        <v>0.8</v>
      </c>
      <c r="R284" s="177">
        <f t="shared" si="108"/>
        <v>0.59345963924044387</v>
      </c>
      <c r="S284" s="809">
        <f t="shared" si="126"/>
        <v>0</v>
      </c>
      <c r="T284" s="176">
        <f t="shared" si="109"/>
        <v>6</v>
      </c>
      <c r="U284" s="251">
        <f t="shared" si="110"/>
        <v>0.59345963924044387</v>
      </c>
      <c r="V284" s="383">
        <f t="shared" si="111"/>
        <v>37.348282331383594</v>
      </c>
      <c r="W284" s="58"/>
      <c r="X284" s="157">
        <f t="shared" si="112"/>
        <v>43370</v>
      </c>
      <c r="Y284" s="385">
        <f t="shared" si="113"/>
        <v>36.159999999999997</v>
      </c>
      <c r="Z284" s="385">
        <f t="shared" si="114"/>
        <v>36.20799765876037</v>
      </c>
      <c r="AA284" s="386">
        <f t="shared" si="115"/>
        <v>36.600924882808087</v>
      </c>
      <c r="AB284" s="197">
        <f t="shared" si="116"/>
        <v>43370</v>
      </c>
      <c r="AC284" s="425">
        <f t="shared" si="117"/>
        <v>1.0735445219098333E-2</v>
      </c>
      <c r="AD284" s="169">
        <f>(INDEX(Models!$BJ284:$BT284,,AH284)*(1-AF284)+INDEX(Models!$BJ284:$BT284,,AH284+1)*AF284-ERP_i)*AE284*Ramure*Pc/MaxiM</f>
        <v>1.0446569428044479E-2</v>
      </c>
      <c r="AE284" s="305">
        <f t="shared" si="118"/>
        <v>0.8</v>
      </c>
      <c r="AF284" s="177">
        <f t="shared" si="119"/>
        <v>0.59345963924044387</v>
      </c>
      <c r="AG284" s="809">
        <f t="shared" si="120"/>
        <v>0</v>
      </c>
      <c r="AH284" s="176">
        <f t="shared" si="121"/>
        <v>6</v>
      </c>
      <c r="AI284" s="225">
        <f t="shared" si="122"/>
        <v>0.59345963924044387</v>
      </c>
      <c r="AJ284" s="265" t="b">
        <f t="shared" si="123"/>
        <v>0</v>
      </c>
      <c r="AK284" s="265" t="b">
        <f t="shared" si="124"/>
        <v>0</v>
      </c>
      <c r="AL284" s="265"/>
      <c r="AM284" s="265"/>
      <c r="AN284" s="75"/>
    </row>
    <row r="285" spans="1:40" s="6" customFormat="1" ht="11.25" x14ac:dyDescent="0.2">
      <c r="A285" s="56">
        <f t="shared" si="125"/>
        <v>43371</v>
      </c>
      <c r="B285" s="616">
        <v>34.448</v>
      </c>
      <c r="C285" s="390"/>
      <c r="D285" s="393">
        <f t="shared" si="102"/>
        <v>34.494527941293448</v>
      </c>
      <c r="E285" s="385">
        <f t="shared" si="98"/>
        <v>34.875165731306126</v>
      </c>
      <c r="F285" s="385">
        <f t="shared" si="101"/>
        <v>35.211477825551697</v>
      </c>
      <c r="G285" s="110">
        <f t="shared" si="100"/>
        <v>0.93246422149038211</v>
      </c>
      <c r="I285" s="380">
        <f t="shared" si="103"/>
        <v>35.211477825551697</v>
      </c>
      <c r="J285" s="85">
        <v>2018</v>
      </c>
      <c r="K285" s="197">
        <f t="shared" si="104"/>
        <v>43371</v>
      </c>
      <c r="L285" s="436">
        <f t="shared" si="105"/>
        <v>1.3488499211420368E-3</v>
      </c>
      <c r="M285" s="854"/>
      <c r="N285" s="854"/>
      <c r="O285" s="324">
        <f t="shared" si="106"/>
        <v>1.0914293366955678E-2</v>
      </c>
      <c r="P285" s="169">
        <f>(INDEX(Models!$BJ285:$BT285,,T285)*(1-R285)+INDEX(Models!$BJ285:$BT285,,T285+1)*R285-ERP_i)*Q285*Ramure*Pc/MaxiM</f>
        <v>1.0555310510755667E-2</v>
      </c>
      <c r="Q285" s="305">
        <f t="shared" si="107"/>
        <v>0.8</v>
      </c>
      <c r="R285" s="177">
        <f t="shared" si="108"/>
        <v>0.59372805313958787</v>
      </c>
      <c r="S285" s="809">
        <f t="shared" si="126"/>
        <v>0</v>
      </c>
      <c r="T285" s="176">
        <f t="shared" si="109"/>
        <v>6</v>
      </c>
      <c r="U285" s="251">
        <f t="shared" si="110"/>
        <v>0.59372805313958787</v>
      </c>
      <c r="V285" s="383">
        <f t="shared" si="111"/>
        <v>36.905520098447305</v>
      </c>
      <c r="W285" s="58"/>
      <c r="X285" s="157">
        <f t="shared" si="112"/>
        <v>43371</v>
      </c>
      <c r="Y285" s="385">
        <f t="shared" si="113"/>
        <v>34.448</v>
      </c>
      <c r="Z285" s="385">
        <f t="shared" si="114"/>
        <v>34.494527941293448</v>
      </c>
      <c r="AA285" s="386">
        <f t="shared" si="115"/>
        <v>34.875165731306126</v>
      </c>
      <c r="AB285" s="197">
        <f t="shared" si="116"/>
        <v>43371</v>
      </c>
      <c r="AC285" s="425">
        <f t="shared" si="117"/>
        <v>1.0914293366955678E-2</v>
      </c>
      <c r="AD285" s="169">
        <f>(INDEX(Models!$BJ285:$BT285,,AH285)*(1-AF285)+INDEX(Models!$BJ285:$BT285,,AH285+1)*AF285-ERP_i)*AE285*Ramure*Pc/MaxiM</f>
        <v>1.0555310510755667E-2</v>
      </c>
      <c r="AE285" s="305">
        <f t="shared" si="118"/>
        <v>0.8</v>
      </c>
      <c r="AF285" s="177">
        <f t="shared" si="119"/>
        <v>0.59372805313958787</v>
      </c>
      <c r="AG285" s="809">
        <f t="shared" si="120"/>
        <v>0</v>
      </c>
      <c r="AH285" s="176">
        <f t="shared" si="121"/>
        <v>6</v>
      </c>
      <c r="AI285" s="225">
        <f t="shared" si="122"/>
        <v>0.59372805313958787</v>
      </c>
      <c r="AJ285" s="265" t="b">
        <f t="shared" si="123"/>
        <v>0</v>
      </c>
      <c r="AK285" s="265" t="b">
        <f t="shared" si="124"/>
        <v>0</v>
      </c>
      <c r="AL285" s="265"/>
      <c r="AM285" s="265"/>
      <c r="AN285" s="75"/>
    </row>
    <row r="286" spans="1:40" s="6" customFormat="1" ht="11.25" x14ac:dyDescent="0.2">
      <c r="A286" s="56">
        <f t="shared" si="125"/>
        <v>43372</v>
      </c>
      <c r="B286" s="616">
        <v>35.893000000000001</v>
      </c>
      <c r="C286" s="390"/>
      <c r="D286" s="393">
        <f t="shared" si="102"/>
        <v>35.942316092211641</v>
      </c>
      <c r="E286" s="385">
        <f t="shared" si="98"/>
        <v>36.345485054644442</v>
      </c>
      <c r="F286" s="385">
        <f t="shared" si="101"/>
        <v>36.727372970666501</v>
      </c>
      <c r="G286" s="110">
        <f t="shared" si="100"/>
        <v>0.98396991346698259</v>
      </c>
      <c r="I286" s="380">
        <f t="shared" si="103"/>
        <v>36.727372970666501</v>
      </c>
      <c r="J286" s="85">
        <v>2018</v>
      </c>
      <c r="K286" s="197">
        <f t="shared" si="104"/>
        <v>43372</v>
      </c>
      <c r="L286" s="436">
        <f t="shared" si="105"/>
        <v>1.3720899923398422E-3</v>
      </c>
      <c r="M286" s="854"/>
      <c r="N286" s="854"/>
      <c r="O286" s="324">
        <f t="shared" si="106"/>
        <v>1.1092683501861263E-2</v>
      </c>
      <c r="P286" s="169">
        <f>(INDEX(Models!$BJ286:$BT286,,T286)*(1-R286)+INDEX(Models!$BJ286:$BT286,,T286+1)*R286-ERP_i)*Q286*Ramure*Pc/MaxiM</f>
        <v>1.0637891840127856E-2</v>
      </c>
      <c r="Q286" s="305">
        <f t="shared" si="107"/>
        <v>0.8</v>
      </c>
      <c r="R286" s="177">
        <f t="shared" si="108"/>
        <v>0.59398588802668018</v>
      </c>
      <c r="S286" s="809">
        <f t="shared" si="126"/>
        <v>0</v>
      </c>
      <c r="T286" s="176">
        <f t="shared" si="109"/>
        <v>6</v>
      </c>
      <c r="U286" s="251">
        <f t="shared" si="110"/>
        <v>0.59398588802668018</v>
      </c>
      <c r="V286" s="383">
        <f t="shared" si="111"/>
        <v>36.468895372556744</v>
      </c>
      <c r="W286" s="58"/>
      <c r="X286" s="157">
        <f t="shared" si="112"/>
        <v>43372</v>
      </c>
      <c r="Y286" s="385">
        <f t="shared" si="113"/>
        <v>35.893000000000001</v>
      </c>
      <c r="Z286" s="385">
        <f t="shared" si="114"/>
        <v>35.942316092211641</v>
      </c>
      <c r="AA286" s="386">
        <f t="shared" si="115"/>
        <v>36.345485054644442</v>
      </c>
      <c r="AB286" s="197">
        <f t="shared" si="116"/>
        <v>43372</v>
      </c>
      <c r="AC286" s="425">
        <f t="shared" si="117"/>
        <v>1.1092683501861263E-2</v>
      </c>
      <c r="AD286" s="169">
        <f>(INDEX(Models!$BJ286:$BT286,,AH286)*(1-AF286)+INDEX(Models!$BJ286:$BT286,,AH286+1)*AF286-ERP_i)*AE286*Ramure*Pc/MaxiM</f>
        <v>1.0637891840127856E-2</v>
      </c>
      <c r="AE286" s="305">
        <f t="shared" si="118"/>
        <v>0.8</v>
      </c>
      <c r="AF286" s="177">
        <f t="shared" si="119"/>
        <v>0.59398588802668018</v>
      </c>
      <c r="AG286" s="809">
        <f t="shared" si="120"/>
        <v>0</v>
      </c>
      <c r="AH286" s="176">
        <f t="shared" si="121"/>
        <v>6</v>
      </c>
      <c r="AI286" s="225">
        <f t="shared" si="122"/>
        <v>0.59398588802668018</v>
      </c>
      <c r="AJ286" s="265" t="b">
        <f t="shared" si="123"/>
        <v>0</v>
      </c>
      <c r="AK286" s="265" t="b">
        <f t="shared" si="124"/>
        <v>0</v>
      </c>
      <c r="AL286" s="265"/>
      <c r="AM286" s="265"/>
      <c r="AN286" s="75"/>
    </row>
    <row r="287" spans="1:40" s="6" customFormat="1" ht="11.25" x14ac:dyDescent="0.2">
      <c r="A287" s="56">
        <f t="shared" si="125"/>
        <v>43373</v>
      </c>
      <c r="B287" s="616">
        <v>34.567</v>
      </c>
      <c r="C287" s="390"/>
      <c r="D287" s="393">
        <f t="shared" si="102"/>
        <v>34.615299749678087</v>
      </c>
      <c r="E287" s="385">
        <f t="shared" si="98"/>
        <v>35.009882343546408</v>
      </c>
      <c r="F287" s="385">
        <f t="shared" si="101"/>
        <v>35.36597547612849</v>
      </c>
      <c r="G287" s="110">
        <f t="shared" si="100"/>
        <v>0.95852855872952647</v>
      </c>
      <c r="I287" s="380">
        <f t="shared" si="103"/>
        <v>35.36597547612849</v>
      </c>
      <c r="J287" s="85">
        <v>2018</v>
      </c>
      <c r="K287" s="197">
        <f t="shared" si="104"/>
        <v>43373</v>
      </c>
      <c r="L287" s="436">
        <f t="shared" si="105"/>
        <v>1.395329522707156E-3</v>
      </c>
      <c r="M287" s="854"/>
      <c r="N287" s="854"/>
      <c r="O287" s="324">
        <f t="shared" si="106"/>
        <v>1.127060611047895E-2</v>
      </c>
      <c r="P287" s="169">
        <f>(INDEX(Models!$BJ287:$BT287,,T287)*(1-R287)+INDEX(Models!$BJ287:$BT287,,T287+1)*R287-ERP_i)*Q287*Ramure*Pc/MaxiM</f>
        <v>1.0693076468179574E-2</v>
      </c>
      <c r="Q287" s="305">
        <f t="shared" si="107"/>
        <v>0.8</v>
      </c>
      <c r="R287" s="177">
        <f t="shared" si="108"/>
        <v>0.59423355211805096</v>
      </c>
      <c r="S287" s="809">
        <f t="shared" si="126"/>
        <v>0</v>
      </c>
      <c r="T287" s="176">
        <f t="shared" si="109"/>
        <v>6</v>
      </c>
      <c r="U287" s="251">
        <f t="shared" si="110"/>
        <v>0.59423355211805096</v>
      </c>
      <c r="V287" s="383">
        <f t="shared" si="111"/>
        <v>36.039824821591075</v>
      </c>
      <c r="W287" s="58"/>
      <c r="X287" s="157">
        <f t="shared" si="112"/>
        <v>43373</v>
      </c>
      <c r="Y287" s="385">
        <f t="shared" si="113"/>
        <v>34.567</v>
      </c>
      <c r="Z287" s="385">
        <f t="shared" si="114"/>
        <v>34.615299749678087</v>
      </c>
      <c r="AA287" s="386">
        <f t="shared" si="115"/>
        <v>35.009882343546408</v>
      </c>
      <c r="AB287" s="197">
        <f t="shared" si="116"/>
        <v>43373</v>
      </c>
      <c r="AC287" s="425">
        <f t="shared" si="117"/>
        <v>1.127060611047895E-2</v>
      </c>
      <c r="AD287" s="169">
        <f>(INDEX(Models!$BJ287:$BT287,,AH287)*(1-AF287)+INDEX(Models!$BJ287:$BT287,,AH287+1)*AF287-ERP_i)*AE287*Ramure*Pc/MaxiM</f>
        <v>1.0693076468179574E-2</v>
      </c>
      <c r="AE287" s="305">
        <f t="shared" si="118"/>
        <v>0.8</v>
      </c>
      <c r="AF287" s="177">
        <f t="shared" si="119"/>
        <v>0.59423355211805096</v>
      </c>
      <c r="AG287" s="809">
        <f t="shared" si="120"/>
        <v>0</v>
      </c>
      <c r="AH287" s="176">
        <f t="shared" si="121"/>
        <v>6</v>
      </c>
      <c r="AI287" s="225">
        <f t="shared" si="122"/>
        <v>0.59423355211805096</v>
      </c>
      <c r="AJ287" s="265" t="b">
        <f t="shared" si="123"/>
        <v>0</v>
      </c>
      <c r="AK287" s="265" t="b">
        <f t="shared" si="124"/>
        <v>0</v>
      </c>
      <c r="AL287" s="265"/>
      <c r="AM287" s="265"/>
      <c r="AN287" s="75"/>
    </row>
    <row r="288" spans="1:40" s="6" customFormat="1" ht="11.25" x14ac:dyDescent="0.2">
      <c r="A288" s="56">
        <f t="shared" si="125"/>
        <v>43374</v>
      </c>
      <c r="B288" s="616">
        <v>24.224</v>
      </c>
      <c r="C288" s="390"/>
      <c r="D288" s="393">
        <f t="shared" si="102"/>
        <v>24.258412219732257</v>
      </c>
      <c r="E288" s="385">
        <f t="shared" si="98"/>
        <v>24.539339851343261</v>
      </c>
      <c r="F288" s="385">
        <f t="shared" si="101"/>
        <v>24.683003043494598</v>
      </c>
      <c r="G288" s="110">
        <f t="shared" si="100"/>
        <v>0.67672129064662212</v>
      </c>
      <c r="I288" s="380">
        <f t="shared" si="103"/>
        <v>24.683003043494598</v>
      </c>
      <c r="J288" s="85">
        <v>2018</v>
      </c>
      <c r="K288" s="197">
        <f t="shared" si="104"/>
        <v>43374</v>
      </c>
      <c r="L288" s="436">
        <f t="shared" si="105"/>
        <v>1.418568512256746E-3</v>
      </c>
      <c r="M288" s="854"/>
      <c r="N288" s="854"/>
      <c r="O288" s="324">
        <f t="shared" si="106"/>
        <v>1.144805171259018E-2</v>
      </c>
      <c r="P288" s="169">
        <f>(INDEX(Models!$BJ288:$BT288,,T288)*(1-R288)+INDEX(Models!$BJ288:$BT288,,T288+1)*R288-ERP_i)*Q288*Ramure*Pc/MaxiM</f>
        <v>1.0719608432022059E-2</v>
      </c>
      <c r="Q288" s="305">
        <f t="shared" si="107"/>
        <v>0.8</v>
      </c>
      <c r="R288" s="177">
        <f t="shared" si="108"/>
        <v>0.59447143856134887</v>
      </c>
      <c r="S288" s="809">
        <f t="shared" si="126"/>
        <v>0</v>
      </c>
      <c r="T288" s="176">
        <f t="shared" si="109"/>
        <v>6</v>
      </c>
      <c r="U288" s="251">
        <f t="shared" si="110"/>
        <v>0.59447143856134887</v>
      </c>
      <c r="V288" s="383">
        <f t="shared" si="111"/>
        <v>35.619723186756723</v>
      </c>
      <c r="W288" s="58"/>
      <c r="X288" s="157">
        <f t="shared" si="112"/>
        <v>43374</v>
      </c>
      <c r="Y288" s="385">
        <f t="shared" si="113"/>
        <v>24.224</v>
      </c>
      <c r="Z288" s="385">
        <f t="shared" si="114"/>
        <v>24.258412219732257</v>
      </c>
      <c r="AA288" s="386">
        <f t="shared" si="115"/>
        <v>24.539339851343261</v>
      </c>
      <c r="AB288" s="197">
        <f t="shared" si="116"/>
        <v>43374</v>
      </c>
      <c r="AC288" s="425">
        <f t="shared" si="117"/>
        <v>1.144805171259018E-2</v>
      </c>
      <c r="AD288" s="169">
        <f>(INDEX(Models!$BJ288:$BT288,,AH288)*(1-AF288)+INDEX(Models!$BJ288:$BT288,,AH288+1)*AF288-ERP_i)*AE288*Ramure*Pc/MaxiM</f>
        <v>1.0719608432022059E-2</v>
      </c>
      <c r="AE288" s="305">
        <f t="shared" si="118"/>
        <v>0.8</v>
      </c>
      <c r="AF288" s="177">
        <f t="shared" si="119"/>
        <v>0.59447143856134887</v>
      </c>
      <c r="AG288" s="809">
        <f t="shared" si="120"/>
        <v>0</v>
      </c>
      <c r="AH288" s="176">
        <f t="shared" si="121"/>
        <v>6</v>
      </c>
      <c r="AI288" s="225">
        <f t="shared" si="122"/>
        <v>0.59447143856134887</v>
      </c>
      <c r="AJ288" s="265" t="b">
        <f t="shared" si="123"/>
        <v>0</v>
      </c>
      <c r="AK288" s="265" t="b">
        <f t="shared" si="124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5"/>
        <v>43375</v>
      </c>
      <c r="B289" s="616">
        <v>35.9</v>
      </c>
      <c r="C289" s="390"/>
      <c r="D289" s="393">
        <f t="shared" si="102"/>
        <v>35.951835606838706</v>
      </c>
      <c r="E289" s="385">
        <f t="shared" si="98"/>
        <v>36.374691795834899</v>
      </c>
      <c r="F289" s="385">
        <f t="shared" si="101"/>
        <v>36.768753531604595</v>
      </c>
      <c r="G289" s="110">
        <f t="shared" si="100"/>
        <v>1.0196997960629097</v>
      </c>
      <c r="I289" s="380">
        <f t="shared" si="103"/>
        <v>36.768753531604595</v>
      </c>
      <c r="J289" s="85">
        <v>2018</v>
      </c>
      <c r="K289" s="197">
        <f t="shared" si="104"/>
        <v>43375</v>
      </c>
      <c r="L289" s="436">
        <f t="shared" si="105"/>
        <v>1.4418069610010464E-3</v>
      </c>
      <c r="M289" s="854"/>
      <c r="N289" s="854"/>
      <c r="O289" s="324">
        <f t="shared" si="106"/>
        <v>1.1625010910597314E-2</v>
      </c>
      <c r="P289" s="169">
        <f>(INDEX(Models!$BJ289:$BT289,,T289)*(1-R289)+INDEX(Models!$BJ289:$BT289,,T289+1)*R289-ERP_i)*Q289*Ramure*Pc/MaxiM</f>
        <v>1.0717299280514991E-2</v>
      </c>
      <c r="Q289" s="305">
        <f t="shared" si="107"/>
        <v>0.8</v>
      </c>
      <c r="R289" s="177">
        <f t="shared" si="108"/>
        <v>0.59469992593793652</v>
      </c>
      <c r="S289" s="809">
        <f t="shared" si="126"/>
        <v>0</v>
      </c>
      <c r="T289" s="176">
        <f t="shared" si="109"/>
        <v>6</v>
      </c>
      <c r="U289" s="251">
        <f t="shared" si="110"/>
        <v>0.59469992593793652</v>
      </c>
      <c r="V289" s="383">
        <f t="shared" si="111"/>
        <v>35.206440305873294</v>
      </c>
      <c r="W289" s="58"/>
      <c r="X289" s="157">
        <f t="shared" si="112"/>
        <v>43375</v>
      </c>
      <c r="Y289" s="385">
        <f t="shared" si="113"/>
        <v>35.9</v>
      </c>
      <c r="Z289" s="385">
        <f t="shared" si="114"/>
        <v>35.951835606838706</v>
      </c>
      <c r="AA289" s="386">
        <f t="shared" si="115"/>
        <v>36.374691795834899</v>
      </c>
      <c r="AB289" s="197">
        <f t="shared" si="116"/>
        <v>43375</v>
      </c>
      <c r="AC289" s="425">
        <f t="shared" si="117"/>
        <v>1.1625010910597314E-2</v>
      </c>
      <c r="AD289" s="169">
        <f>(INDEX(Models!$BJ289:$BT289,,AH289)*(1-AF289)+INDEX(Models!$BJ289:$BT289,,AH289+1)*AF289-ERP_i)*AE289*Ramure*Pc/MaxiM</f>
        <v>1.0717299280514991E-2</v>
      </c>
      <c r="AE289" s="305">
        <f t="shared" si="118"/>
        <v>0.8</v>
      </c>
      <c r="AF289" s="177">
        <f t="shared" si="119"/>
        <v>0.59469992593793652</v>
      </c>
      <c r="AG289" s="809">
        <f t="shared" si="120"/>
        <v>0</v>
      </c>
      <c r="AH289" s="176">
        <f t="shared" si="121"/>
        <v>6</v>
      </c>
      <c r="AI289" s="225">
        <f t="shared" si="122"/>
        <v>0.59469992593793652</v>
      </c>
      <c r="AJ289" s="265" t="b">
        <f t="shared" si="123"/>
        <v>0</v>
      </c>
      <c r="AK289" s="265" t="b">
        <f t="shared" si="124"/>
        <v>0</v>
      </c>
      <c r="AL289" s="265"/>
      <c r="AM289" s="265"/>
      <c r="AN289" s="75"/>
    </row>
    <row r="290" spans="1:40" s="6" customFormat="1" ht="11.25" x14ac:dyDescent="0.2">
      <c r="A290" s="56">
        <f t="shared" si="125"/>
        <v>43376</v>
      </c>
      <c r="B290" s="616">
        <v>34.076000000000001</v>
      </c>
      <c r="C290" s="390"/>
      <c r="D290" s="393">
        <f t="shared" si="102"/>
        <v>34.125996115506922</v>
      </c>
      <c r="E290" s="385">
        <f t="shared" si="98"/>
        <v>34.533542838713629</v>
      </c>
      <c r="F290" s="385">
        <f t="shared" si="101"/>
        <v>34.895336094635255</v>
      </c>
      <c r="G290" s="110">
        <f t="shared" si="100"/>
        <v>0.97896827345977222</v>
      </c>
      <c r="I290" s="380">
        <f t="shared" si="103"/>
        <v>34.895336094635255</v>
      </c>
      <c r="J290" s="85">
        <v>2018</v>
      </c>
      <c r="K290" s="197">
        <f t="shared" si="104"/>
        <v>43376</v>
      </c>
      <c r="L290" s="436">
        <f t="shared" si="105"/>
        <v>1.465044868952603E-3</v>
      </c>
      <c r="M290" s="854"/>
      <c r="N290" s="854"/>
      <c r="O290" s="324">
        <f t="shared" si="106"/>
        <v>1.1801474442113295E-2</v>
      </c>
      <c r="P290" s="169">
        <f>(INDEX(Models!$BJ290:$BT290,,T290)*(1-R290)+INDEX(Models!$BJ290:$BT290,,T290+1)*R290-ERP_i)*Q290*Ramure*Pc/MaxiM</f>
        <v>1.0684188132176526E-2</v>
      </c>
      <c r="Q290" s="305">
        <f t="shared" si="107"/>
        <v>0.8</v>
      </c>
      <c r="R290" s="177">
        <f t="shared" si="108"/>
        <v>0.59491937875288214</v>
      </c>
      <c r="S290" s="809">
        <f t="shared" si="126"/>
        <v>0</v>
      </c>
      <c r="T290" s="176">
        <f t="shared" si="109"/>
        <v>6</v>
      </c>
      <c r="U290" s="251">
        <f t="shared" si="110"/>
        <v>0.59491937875288214</v>
      </c>
      <c r="V290" s="383">
        <f t="shared" si="111"/>
        <v>34.796951086135095</v>
      </c>
      <c r="W290" s="58"/>
      <c r="X290" s="157">
        <f t="shared" si="112"/>
        <v>43376</v>
      </c>
      <c r="Y290" s="385">
        <f t="shared" si="113"/>
        <v>34.076000000000001</v>
      </c>
      <c r="Z290" s="385">
        <f t="shared" si="114"/>
        <v>34.125996115506922</v>
      </c>
      <c r="AA290" s="386">
        <f t="shared" si="115"/>
        <v>34.533542838713629</v>
      </c>
      <c r="AB290" s="197">
        <f t="shared" si="116"/>
        <v>43376</v>
      </c>
      <c r="AC290" s="425">
        <f t="shared" si="117"/>
        <v>1.1801474442113295E-2</v>
      </c>
      <c r="AD290" s="169">
        <f>(INDEX(Models!$BJ290:$BT290,,AH290)*(1-AF290)+INDEX(Models!$BJ290:$BT290,,AH290+1)*AF290-ERP_i)*AE290*Ramure*Pc/MaxiM</f>
        <v>1.0684188132176526E-2</v>
      </c>
      <c r="AE290" s="305">
        <f t="shared" si="118"/>
        <v>0.8</v>
      </c>
      <c r="AF290" s="177">
        <f t="shared" si="119"/>
        <v>0.59491937875288214</v>
      </c>
      <c r="AG290" s="809">
        <f t="shared" si="120"/>
        <v>0</v>
      </c>
      <c r="AH290" s="176">
        <f t="shared" si="121"/>
        <v>6</v>
      </c>
      <c r="AI290" s="225">
        <f t="shared" si="122"/>
        <v>0.59491937875288214</v>
      </c>
      <c r="AJ290" s="265" t="b">
        <f t="shared" si="123"/>
        <v>0</v>
      </c>
      <c r="AK290" s="265" t="b">
        <f t="shared" si="124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5"/>
        <v>43377</v>
      </c>
      <c r="B291" s="616">
        <v>33.478999999999999</v>
      </c>
      <c r="C291" s="390"/>
      <c r="D291" s="393">
        <f t="shared" si="102"/>
        <v>33.528900466961751</v>
      </c>
      <c r="E291" s="385">
        <f t="shared" si="98"/>
        <v>33.935358963262381</v>
      </c>
      <c r="F291" s="385">
        <f t="shared" si="101"/>
        <v>34.286238129352988</v>
      </c>
      <c r="G291" s="110">
        <f t="shared" si="100"/>
        <v>0.97309523621234306</v>
      </c>
      <c r="I291" s="380">
        <f t="shared" si="103"/>
        <v>34.286238129352988</v>
      </c>
      <c r="J291" s="85">
        <v>2018</v>
      </c>
      <c r="K291" s="197">
        <f t="shared" si="104"/>
        <v>43377</v>
      </c>
      <c r="L291" s="436">
        <f t="shared" si="105"/>
        <v>1.4882822361241832E-3</v>
      </c>
      <c r="M291" s="854"/>
      <c r="N291" s="854"/>
      <c r="O291" s="324">
        <f t="shared" si="106"/>
        <v>1.1977433235365209E-2</v>
      </c>
      <c r="P291" s="169">
        <f>(INDEX(Models!$BJ291:$BT291,,T291)*(1-R291)+INDEX(Models!$BJ291:$BT291,,T291+1)*R291-ERP_i)*Q291*Ramure*Pc/MaxiM</f>
        <v>1.0636621874684324E-2</v>
      </c>
      <c r="Q291" s="305">
        <f t="shared" si="107"/>
        <v>0.8</v>
      </c>
      <c r="R291" s="177">
        <f t="shared" si="108"/>
        <v>0.59513014791247876</v>
      </c>
      <c r="S291" s="809">
        <f t="shared" si="126"/>
        <v>0</v>
      </c>
      <c r="T291" s="176">
        <f t="shared" si="109"/>
        <v>6</v>
      </c>
      <c r="U291" s="251">
        <f t="shared" si="110"/>
        <v>0.59513014791247876</v>
      </c>
      <c r="V291" s="383">
        <f t="shared" si="111"/>
        <v>34.390647383167263</v>
      </c>
      <c r="W291" s="58"/>
      <c r="X291" s="157">
        <f t="shared" si="112"/>
        <v>43377</v>
      </c>
      <c r="Y291" s="385">
        <f t="shared" si="113"/>
        <v>33.478999999999999</v>
      </c>
      <c r="Z291" s="385">
        <f t="shared" si="114"/>
        <v>33.528900466961751</v>
      </c>
      <c r="AA291" s="386">
        <f t="shared" si="115"/>
        <v>33.935358963262381</v>
      </c>
      <c r="AB291" s="197">
        <f t="shared" si="116"/>
        <v>43377</v>
      </c>
      <c r="AC291" s="425">
        <f t="shared" si="117"/>
        <v>1.1977433235365209E-2</v>
      </c>
      <c r="AD291" s="169">
        <f>(INDEX(Models!$BJ291:$BT291,,AH291)*(1-AF291)+INDEX(Models!$BJ291:$BT291,,AH291+1)*AF291-ERP_i)*AE291*Ramure*Pc/MaxiM</f>
        <v>1.0636621874684324E-2</v>
      </c>
      <c r="AE291" s="305">
        <f t="shared" si="118"/>
        <v>0.8</v>
      </c>
      <c r="AF291" s="177">
        <f t="shared" si="119"/>
        <v>0.59513014791247876</v>
      </c>
      <c r="AG291" s="809">
        <f t="shared" si="120"/>
        <v>0</v>
      </c>
      <c r="AH291" s="176">
        <f t="shared" si="121"/>
        <v>6</v>
      </c>
      <c r="AI291" s="225">
        <f t="shared" si="122"/>
        <v>0.59513014791247876</v>
      </c>
      <c r="AJ291" s="265" t="b">
        <f t="shared" si="123"/>
        <v>0</v>
      </c>
      <c r="AK291" s="265" t="b">
        <f t="shared" si="124"/>
        <v>0</v>
      </c>
      <c r="AL291" s="265"/>
      <c r="AM291" s="265"/>
      <c r="AN291" s="75"/>
    </row>
    <row r="292" spans="1:40" s="6" customFormat="1" ht="11.25" x14ac:dyDescent="0.2">
      <c r="A292" s="56">
        <f t="shared" si="125"/>
        <v>43378</v>
      </c>
      <c r="B292" s="616">
        <v>32.825000000000003</v>
      </c>
      <c r="C292" s="390"/>
      <c r="D292" s="393">
        <f t="shared" si="102"/>
        <v>32.874690721700574</v>
      </c>
      <c r="E292" s="385">
        <f t="shared" si="98"/>
        <v>33.27912791878861</v>
      </c>
      <c r="F292" s="385">
        <f t="shared" si="101"/>
        <v>33.617234790020177</v>
      </c>
      <c r="G292" s="110">
        <f t="shared" si="100"/>
        <v>0.96529152558179188</v>
      </c>
      <c r="I292" s="380">
        <f t="shared" si="103"/>
        <v>33.617234790020177</v>
      </c>
      <c r="J292" s="85">
        <v>2018</v>
      </c>
      <c r="K292" s="197">
        <f t="shared" si="104"/>
        <v>43378</v>
      </c>
      <c r="L292" s="436">
        <f t="shared" si="105"/>
        <v>1.5115190625283326E-3</v>
      </c>
      <c r="M292" s="854"/>
      <c r="N292" s="854"/>
      <c r="O292" s="324">
        <f t="shared" si="106"/>
        <v>1.2152878467097786E-2</v>
      </c>
      <c r="P292" s="169">
        <f>(INDEX(Models!$BJ292:$BT292,,T292)*(1-R292)+INDEX(Models!$BJ292:$BT292,,T292+1)*R292-ERP_i)*Q292*Ramure*Pc/MaxiM</f>
        <v>1.0574238913208595E-2</v>
      </c>
      <c r="Q292" s="305">
        <f t="shared" si="107"/>
        <v>0.8</v>
      </c>
      <c r="R292" s="177">
        <f t="shared" si="108"/>
        <v>0.59533257118925675</v>
      </c>
      <c r="S292" s="809">
        <f t="shared" si="126"/>
        <v>0</v>
      </c>
      <c r="T292" s="176">
        <f t="shared" si="109"/>
        <v>6</v>
      </c>
      <c r="U292" s="251">
        <f t="shared" si="110"/>
        <v>0.59533257118925675</v>
      </c>
      <c r="V292" s="383">
        <f t="shared" si="111"/>
        <v>33.987522275182094</v>
      </c>
      <c r="W292" s="58"/>
      <c r="X292" s="157">
        <f t="shared" si="112"/>
        <v>43378</v>
      </c>
      <c r="Y292" s="385">
        <f t="shared" si="113"/>
        <v>32.825000000000003</v>
      </c>
      <c r="Z292" s="385">
        <f t="shared" si="114"/>
        <v>32.874690721700574</v>
      </c>
      <c r="AA292" s="386">
        <f t="shared" si="115"/>
        <v>33.27912791878861</v>
      </c>
      <c r="AB292" s="197">
        <f t="shared" si="116"/>
        <v>43378</v>
      </c>
      <c r="AC292" s="425">
        <f t="shared" si="117"/>
        <v>1.2152878467097786E-2</v>
      </c>
      <c r="AD292" s="169">
        <f>(INDEX(Models!$BJ292:$BT292,,AH292)*(1-AF292)+INDEX(Models!$BJ292:$BT292,,AH292+1)*AF292-ERP_i)*AE292*Ramure*Pc/MaxiM</f>
        <v>1.0574238913208595E-2</v>
      </c>
      <c r="AE292" s="305">
        <f t="shared" si="118"/>
        <v>0.8</v>
      </c>
      <c r="AF292" s="177">
        <f t="shared" si="119"/>
        <v>0.59533257118925675</v>
      </c>
      <c r="AG292" s="809">
        <f t="shared" si="120"/>
        <v>0</v>
      </c>
      <c r="AH292" s="176">
        <f t="shared" si="121"/>
        <v>6</v>
      </c>
      <c r="AI292" s="225">
        <f t="shared" si="122"/>
        <v>0.59533257118925675</v>
      </c>
      <c r="AJ292" s="265" t="b">
        <f t="shared" si="123"/>
        <v>0</v>
      </c>
      <c r="AK292" s="265" t="b">
        <f t="shared" si="124"/>
        <v>0</v>
      </c>
      <c r="AL292" s="265"/>
      <c r="AM292" s="265"/>
      <c r="AN292" s="75"/>
    </row>
    <row r="293" spans="1:40" s="6" customFormat="1" ht="11.25" x14ac:dyDescent="0.2">
      <c r="A293" s="56">
        <f t="shared" si="125"/>
        <v>43379</v>
      </c>
      <c r="B293" s="616">
        <v>30.5</v>
      </c>
      <c r="C293" s="390"/>
      <c r="D293" s="393">
        <f t="shared" si="102"/>
        <v>30.546881990505074</v>
      </c>
      <c r="E293" s="385">
        <f t="shared" si="98"/>
        <v>30.92815818921472</v>
      </c>
      <c r="F293" s="385">
        <f t="shared" ref="F293:F324" si="127">Wh_sa/(1-Pvg*MEDIAN((-Sdif+Wh/Env_an)/Csdif,0,1))</f>
        <v>31.212763298231373</v>
      </c>
      <c r="G293" s="110">
        <f t="shared" si="100"/>
        <v>0.90681081735511226</v>
      </c>
      <c r="I293" s="380">
        <f t="shared" si="103"/>
        <v>31.212763298231373</v>
      </c>
      <c r="J293" s="85">
        <v>2018</v>
      </c>
      <c r="K293" s="197">
        <f t="shared" si="104"/>
        <v>43379</v>
      </c>
      <c r="L293" s="436">
        <f t="shared" si="105"/>
        <v>1.5347553481774856E-3</v>
      </c>
      <c r="M293" s="854"/>
      <c r="N293" s="854"/>
      <c r="O293" s="324">
        <f t="shared" si="106"/>
        <v>1.2327801622619941E-2</v>
      </c>
      <c r="P293" s="169">
        <f>(INDEX(Models!$BJ293:$BT293,,T293)*(1-R293)+INDEX(Models!$BJ293:$BT293,,T293+1)*R293-ERP_i)*Q293*Ramure*Pc/MaxiM</f>
        <v>1.0496681659835879E-2</v>
      </c>
      <c r="Q293" s="305">
        <f t="shared" si="107"/>
        <v>0.8</v>
      </c>
      <c r="R293" s="177">
        <f t="shared" si="108"/>
        <v>0.59552697367450369</v>
      </c>
      <c r="S293" s="809">
        <f t="shared" si="126"/>
        <v>0</v>
      </c>
      <c r="T293" s="176">
        <f t="shared" si="109"/>
        <v>6</v>
      </c>
      <c r="U293" s="251">
        <f t="shared" si="110"/>
        <v>0.59552697367450369</v>
      </c>
      <c r="V293" s="383">
        <f t="shared" si="111"/>
        <v>33.587568336296854</v>
      </c>
      <c r="W293" s="58"/>
      <c r="X293" s="157">
        <f t="shared" si="112"/>
        <v>43379</v>
      </c>
      <c r="Y293" s="385">
        <f t="shared" si="113"/>
        <v>30.5</v>
      </c>
      <c r="Z293" s="385">
        <f t="shared" si="114"/>
        <v>30.546881990505074</v>
      </c>
      <c r="AA293" s="386">
        <f t="shared" si="115"/>
        <v>30.92815818921472</v>
      </c>
      <c r="AB293" s="197">
        <f t="shared" si="116"/>
        <v>43379</v>
      </c>
      <c r="AC293" s="425">
        <f t="shared" si="117"/>
        <v>1.2327801622619941E-2</v>
      </c>
      <c r="AD293" s="169">
        <f>(INDEX(Models!$BJ293:$BT293,,AH293)*(1-AF293)+INDEX(Models!$BJ293:$BT293,,AH293+1)*AF293-ERP_i)*AE293*Ramure*Pc/MaxiM</f>
        <v>1.0496681659835879E-2</v>
      </c>
      <c r="AE293" s="305">
        <f t="shared" si="118"/>
        <v>0.8</v>
      </c>
      <c r="AF293" s="177">
        <f t="shared" si="119"/>
        <v>0.59552697367450369</v>
      </c>
      <c r="AG293" s="809">
        <f t="shared" si="120"/>
        <v>0</v>
      </c>
      <c r="AH293" s="176">
        <f t="shared" si="121"/>
        <v>6</v>
      </c>
      <c r="AI293" s="225">
        <f t="shared" si="122"/>
        <v>0.59552697367450369</v>
      </c>
      <c r="AJ293" s="265" t="b">
        <f t="shared" si="123"/>
        <v>0</v>
      </c>
      <c r="AK293" s="265" t="b">
        <f t="shared" si="124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5"/>
        <v>43380</v>
      </c>
      <c r="B294" s="616">
        <v>13.026</v>
      </c>
      <c r="C294" s="390"/>
      <c r="D294" s="393">
        <f t="shared" si="102"/>
        <v>13.046326059798641</v>
      </c>
      <c r="E294" s="385">
        <f t="shared" si="98"/>
        <v>13.211498788044272</v>
      </c>
      <c r="F294" s="385">
        <f t="shared" si="127"/>
        <v>13.229678258318812</v>
      </c>
      <c r="G294" s="110">
        <f t="shared" si="100"/>
        <v>0.38890985405005096</v>
      </c>
      <c r="I294" s="380">
        <f t="shared" si="103"/>
        <v>13.229678258318812</v>
      </c>
      <c r="J294" s="85">
        <v>2018</v>
      </c>
      <c r="K294" s="197">
        <f t="shared" si="104"/>
        <v>43380</v>
      </c>
      <c r="L294" s="436">
        <f t="shared" si="105"/>
        <v>1.5579910930844099E-3</v>
      </c>
      <c r="M294" s="854"/>
      <c r="N294" s="854"/>
      <c r="O294" s="324">
        <f t="shared" si="106"/>
        <v>1.2502194557600332E-2</v>
      </c>
      <c r="P294" s="169">
        <f>(INDEX(Models!$BJ294:$BT294,,T294)*(1-R294)+INDEX(Models!$BJ294:$BT294,,T294+1)*R294-ERP_i)*Q294*Ramure*Pc/MaxiM</f>
        <v>1.0403597339404264E-2</v>
      </c>
      <c r="Q294" s="305">
        <f t="shared" si="107"/>
        <v>0.8</v>
      </c>
      <c r="R294" s="177">
        <f t="shared" si="108"/>
        <v>0.59571366821833116</v>
      </c>
      <c r="S294" s="809">
        <f t="shared" si="126"/>
        <v>0</v>
      </c>
      <c r="T294" s="176">
        <f t="shared" si="109"/>
        <v>6</v>
      </c>
      <c r="U294" s="251">
        <f t="shared" si="110"/>
        <v>0.59571366821833116</v>
      </c>
      <c r="V294" s="383">
        <f t="shared" si="111"/>
        <v>33.190777626080347</v>
      </c>
      <c r="W294" s="58"/>
      <c r="X294" s="157">
        <f t="shared" si="112"/>
        <v>43380</v>
      </c>
      <c r="Y294" s="385">
        <f t="shared" si="113"/>
        <v>13.026</v>
      </c>
      <c r="Z294" s="385">
        <f t="shared" si="114"/>
        <v>13.046326059798641</v>
      </c>
      <c r="AA294" s="386">
        <f t="shared" si="115"/>
        <v>13.211498788044272</v>
      </c>
      <c r="AB294" s="197">
        <f t="shared" si="116"/>
        <v>43380</v>
      </c>
      <c r="AC294" s="425">
        <f t="shared" si="117"/>
        <v>1.2502194557600332E-2</v>
      </c>
      <c r="AD294" s="169">
        <f>(INDEX(Models!$BJ294:$BT294,,AH294)*(1-AF294)+INDEX(Models!$BJ294:$BT294,,AH294+1)*AF294-ERP_i)*AE294*Ramure*Pc/MaxiM</f>
        <v>1.0403597339404264E-2</v>
      </c>
      <c r="AE294" s="305">
        <f t="shared" si="118"/>
        <v>0.8</v>
      </c>
      <c r="AF294" s="177">
        <f t="shared" si="119"/>
        <v>0.59571366821833116</v>
      </c>
      <c r="AG294" s="809">
        <f t="shared" si="120"/>
        <v>0</v>
      </c>
      <c r="AH294" s="176">
        <f t="shared" si="121"/>
        <v>6</v>
      </c>
      <c r="AI294" s="225">
        <f t="shared" si="122"/>
        <v>0.59571366821833116</v>
      </c>
      <c r="AJ294" s="265" t="b">
        <f t="shared" si="123"/>
        <v>0</v>
      </c>
      <c r="AK294" s="265" t="b">
        <f t="shared" si="124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5"/>
        <v>43381</v>
      </c>
      <c r="B295" s="616">
        <v>12.933999999999999</v>
      </c>
      <c r="C295" s="390"/>
      <c r="D295" s="393">
        <f t="shared" si="102"/>
        <v>12.954483970721958</v>
      </c>
      <c r="E295" s="385">
        <f t="shared" si="98"/>
        <v>13.120803931641978</v>
      </c>
      <c r="F295" s="385">
        <f t="shared" si="127"/>
        <v>13.139037904225322</v>
      </c>
      <c r="G295" s="110">
        <f t="shared" si="100"/>
        <v>0.39084620842757778</v>
      </c>
      <c r="I295" s="380">
        <f t="shared" si="103"/>
        <v>13.139037904225322</v>
      </c>
      <c r="J295" s="85">
        <v>2018</v>
      </c>
      <c r="K295" s="197">
        <f t="shared" si="104"/>
        <v>43381</v>
      </c>
      <c r="L295" s="436">
        <f t="shared" si="105"/>
        <v>1.5812262972615398E-3</v>
      </c>
      <c r="M295" s="854"/>
      <c r="N295" s="854"/>
      <c r="O295" s="324">
        <f t="shared" si="106"/>
        <v>1.2676049561180052E-2</v>
      </c>
      <c r="P295" s="169">
        <f>(INDEX(Models!$BJ295:$BT295,,T295)*(1-R295)+INDEX(Models!$BJ295:$BT295,,T295+1)*R295-ERP_i)*Q295*Ramure*Pc/MaxiM</f>
        <v>1.0294638753646751E-2</v>
      </c>
      <c r="Q295" s="305">
        <f t="shared" si="107"/>
        <v>0.8</v>
      </c>
      <c r="R295" s="177">
        <f t="shared" si="108"/>
        <v>0.59589295585736457</v>
      </c>
      <c r="S295" s="809">
        <f t="shared" si="126"/>
        <v>0</v>
      </c>
      <c r="T295" s="176">
        <f t="shared" si="109"/>
        <v>6</v>
      </c>
      <c r="U295" s="251">
        <f t="shared" si="110"/>
        <v>0.59589295585736457</v>
      </c>
      <c r="V295" s="383">
        <f t="shared" si="111"/>
        <v>32.797141682798113</v>
      </c>
      <c r="W295" s="58"/>
      <c r="X295" s="157">
        <f t="shared" si="112"/>
        <v>43381</v>
      </c>
      <c r="Y295" s="385">
        <f t="shared" si="113"/>
        <v>12.933999999999999</v>
      </c>
      <c r="Z295" s="385">
        <f t="shared" si="114"/>
        <v>12.954483970721958</v>
      </c>
      <c r="AA295" s="386">
        <f t="shared" si="115"/>
        <v>13.120803931641978</v>
      </c>
      <c r="AB295" s="197">
        <f t="shared" si="116"/>
        <v>43381</v>
      </c>
      <c r="AC295" s="425">
        <f t="shared" si="117"/>
        <v>1.2676049561180052E-2</v>
      </c>
      <c r="AD295" s="169">
        <f>(INDEX(Models!$BJ295:$BT295,,AH295)*(1-AF295)+INDEX(Models!$BJ295:$BT295,,AH295+1)*AF295-ERP_i)*AE295*Ramure*Pc/MaxiM</f>
        <v>1.0294638753646751E-2</v>
      </c>
      <c r="AE295" s="305">
        <f t="shared" si="118"/>
        <v>0.8</v>
      </c>
      <c r="AF295" s="177">
        <f t="shared" si="119"/>
        <v>0.59589295585736457</v>
      </c>
      <c r="AG295" s="809">
        <f t="shared" si="120"/>
        <v>0</v>
      </c>
      <c r="AH295" s="176">
        <f t="shared" si="121"/>
        <v>6</v>
      </c>
      <c r="AI295" s="225">
        <f t="shared" si="122"/>
        <v>0.59589295585736457</v>
      </c>
      <c r="AJ295" s="265" t="b">
        <f t="shared" si="123"/>
        <v>0</v>
      </c>
      <c r="AK295" s="265" t="b">
        <f t="shared" si="124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5"/>
        <v>43382</v>
      </c>
      <c r="B296" s="616">
        <v>30.283000000000001</v>
      </c>
      <c r="C296" s="390"/>
      <c r="D296" s="393">
        <f t="shared" si="102"/>
        <v>30.331665973928818</v>
      </c>
      <c r="E296" s="385">
        <f t="shared" si="98"/>
        <v>30.726481579453342</v>
      </c>
      <c r="F296" s="385">
        <f t="shared" si="127"/>
        <v>31.01236389198138</v>
      </c>
      <c r="G296" s="110">
        <f t="shared" si="100"/>
        <v>0.93357158118408834</v>
      </c>
      <c r="I296" s="380">
        <f t="shared" si="103"/>
        <v>31.01236389198138</v>
      </c>
      <c r="J296" s="85">
        <v>2018</v>
      </c>
      <c r="K296" s="197">
        <f t="shared" si="104"/>
        <v>43382</v>
      </c>
      <c r="L296" s="436">
        <f t="shared" si="105"/>
        <v>1.6044609607216431E-3</v>
      </c>
      <c r="M296" s="854"/>
      <c r="N296" s="854"/>
      <c r="O296" s="324">
        <f t="shared" si="106"/>
        <v>1.2849359419938826E-2</v>
      </c>
      <c r="P296" s="169">
        <f>(INDEX(Models!$BJ296:$BT296,,T296)*(1-R296)+INDEX(Models!$BJ296:$BT296,,T296+1)*R296-ERP_i)*Q296*Ramure*Pc/MaxiM</f>
        <v>1.0170437994287875E-2</v>
      </c>
      <c r="Q296" s="305">
        <f t="shared" si="107"/>
        <v>0.8</v>
      </c>
      <c r="R296" s="177">
        <f t="shared" si="108"/>
        <v>0.59606512623015961</v>
      </c>
      <c r="S296" s="809">
        <f t="shared" si="126"/>
        <v>0</v>
      </c>
      <c r="T296" s="176">
        <f t="shared" si="109"/>
        <v>6</v>
      </c>
      <c r="U296" s="251">
        <f t="shared" si="110"/>
        <v>0.59606512623015961</v>
      </c>
      <c r="V296" s="383">
        <f t="shared" si="111"/>
        <v>32.40661966115006</v>
      </c>
      <c r="W296" s="58"/>
      <c r="X296" s="157">
        <f t="shared" si="112"/>
        <v>43382</v>
      </c>
      <c r="Y296" s="385">
        <f t="shared" si="113"/>
        <v>30.283000000000001</v>
      </c>
      <c r="Z296" s="385">
        <f t="shared" si="114"/>
        <v>30.331665973928818</v>
      </c>
      <c r="AA296" s="386">
        <f t="shared" si="115"/>
        <v>30.726481579453342</v>
      </c>
      <c r="AB296" s="197">
        <f t="shared" si="116"/>
        <v>43382</v>
      </c>
      <c r="AC296" s="425">
        <f t="shared" si="117"/>
        <v>1.2849359419938826E-2</v>
      </c>
      <c r="AD296" s="169">
        <f>(INDEX(Models!$BJ296:$BT296,,AH296)*(1-AF296)+INDEX(Models!$BJ296:$BT296,,AH296+1)*AF296-ERP_i)*AE296*Ramure*Pc/MaxiM</f>
        <v>1.0170437994287875E-2</v>
      </c>
      <c r="AE296" s="305">
        <f t="shared" si="118"/>
        <v>0.8</v>
      </c>
      <c r="AF296" s="177">
        <f t="shared" si="119"/>
        <v>0.59606512623015961</v>
      </c>
      <c r="AG296" s="809">
        <f t="shared" si="120"/>
        <v>0</v>
      </c>
      <c r="AH296" s="176">
        <f t="shared" si="121"/>
        <v>6</v>
      </c>
      <c r="AI296" s="225">
        <f t="shared" si="122"/>
        <v>0.59606512623015961</v>
      </c>
      <c r="AJ296" s="265" t="b">
        <f t="shared" si="123"/>
        <v>0</v>
      </c>
      <c r="AK296" s="265" t="b">
        <f t="shared" si="124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5"/>
        <v>43383</v>
      </c>
      <c r="B297" s="616">
        <v>17.809999999999999</v>
      </c>
      <c r="C297" s="390"/>
      <c r="D297" s="393">
        <f t="shared" si="102"/>
        <v>17.839036512024588</v>
      </c>
      <c r="E297" s="385">
        <f t="shared" ref="E297:E360" si="128">Wh_pvt/(1-Psa)</f>
        <v>18.074403518057807</v>
      </c>
      <c r="F297" s="385">
        <f t="shared" si="127"/>
        <v>18.14108268720527</v>
      </c>
      <c r="G297" s="110">
        <f t="shared" ref="G297:G360" si="129">+Wh_hp/MaxiM</f>
        <v>0.55268079304815065</v>
      </c>
      <c r="I297" s="380">
        <f t="shared" si="103"/>
        <v>18.14108268720527</v>
      </c>
      <c r="J297" s="85">
        <v>2018</v>
      </c>
      <c r="K297" s="197">
        <f t="shared" si="104"/>
        <v>43383</v>
      </c>
      <c r="L297" s="436">
        <f t="shared" si="105"/>
        <v>1.6276950834770432E-3</v>
      </c>
      <c r="M297" s="854"/>
      <c r="N297" s="854"/>
      <c r="O297" s="324">
        <f t="shared" si="106"/>
        <v>1.3022117482221131E-2</v>
      </c>
      <c r="P297" s="169">
        <f>(INDEX(Models!$BJ297:$BT297,,T297)*(1-R297)+INDEX(Models!$BJ297:$BT297,,T297+1)*R297-ERP_i)*Q297*Ramure*Pc/MaxiM</f>
        <v>1.00412356922399E-2</v>
      </c>
      <c r="Q297" s="305">
        <f t="shared" si="107"/>
        <v>0.8</v>
      </c>
      <c r="R297" s="177">
        <f t="shared" si="108"/>
        <v>0.59623045798046892</v>
      </c>
      <c r="S297" s="809">
        <f t="shared" si="126"/>
        <v>0</v>
      </c>
      <c r="T297" s="176">
        <f t="shared" si="109"/>
        <v>6</v>
      </c>
      <c r="U297" s="251">
        <f t="shared" si="110"/>
        <v>0.59623045798046892</v>
      </c>
      <c r="V297" s="383">
        <f t="shared" si="111"/>
        <v>32.018861182208795</v>
      </c>
      <c r="W297" s="58"/>
      <c r="X297" s="157">
        <f t="shared" si="112"/>
        <v>43383</v>
      </c>
      <c r="Y297" s="385">
        <f t="shared" si="113"/>
        <v>17.809999999999999</v>
      </c>
      <c r="Z297" s="385">
        <f t="shared" si="114"/>
        <v>17.839036512024588</v>
      </c>
      <c r="AA297" s="386">
        <f t="shared" si="115"/>
        <v>18.074403518057807</v>
      </c>
      <c r="AB297" s="197">
        <f t="shared" si="116"/>
        <v>43383</v>
      </c>
      <c r="AC297" s="425">
        <f t="shared" si="117"/>
        <v>1.3022117482221131E-2</v>
      </c>
      <c r="AD297" s="169">
        <f>(INDEX(Models!$BJ297:$BT297,,AH297)*(1-AF297)+INDEX(Models!$BJ297:$BT297,,AH297+1)*AF297-ERP_i)*AE297*Ramure*Pc/MaxiM</f>
        <v>1.00412356922399E-2</v>
      </c>
      <c r="AE297" s="305">
        <f t="shared" si="118"/>
        <v>0.8</v>
      </c>
      <c r="AF297" s="177">
        <f t="shared" si="119"/>
        <v>0.59623045798046892</v>
      </c>
      <c r="AG297" s="809">
        <f t="shared" si="120"/>
        <v>0</v>
      </c>
      <c r="AH297" s="176">
        <f t="shared" si="121"/>
        <v>6</v>
      </c>
      <c r="AI297" s="225">
        <f t="shared" si="122"/>
        <v>0.59623045798046892</v>
      </c>
      <c r="AJ297" s="265" t="b">
        <f t="shared" si="123"/>
        <v>0</v>
      </c>
      <c r="AK297" s="265" t="b">
        <f t="shared" si="124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5"/>
        <v>43384</v>
      </c>
      <c r="B298" s="616">
        <v>23.963999999999999</v>
      </c>
      <c r="C298" s="390"/>
      <c r="D298" s="393">
        <f t="shared" si="102"/>
        <v>24.003628278001131</v>
      </c>
      <c r="E298" s="385">
        <f t="shared" si="128"/>
        <v>24.32457444164401</v>
      </c>
      <c r="F298" s="385">
        <f t="shared" si="127"/>
        <v>24.483115550946348</v>
      </c>
      <c r="G298" s="110">
        <f t="shared" si="129"/>
        <v>0.7549262701345697</v>
      </c>
      <c r="I298" s="380">
        <f t="shared" si="103"/>
        <v>24.483115550946348</v>
      </c>
      <c r="J298" s="85">
        <v>2018</v>
      </c>
      <c r="K298" s="197">
        <f t="shared" si="104"/>
        <v>43384</v>
      </c>
      <c r="L298" s="436">
        <f t="shared" si="105"/>
        <v>1.6509286655405075E-3</v>
      </c>
      <c r="M298" s="854"/>
      <c r="N298" s="854"/>
      <c r="O298" s="324">
        <f t="shared" si="106"/>
        <v>1.3194317722303783E-2</v>
      </c>
      <c r="P298" s="169">
        <f>(INDEX(Models!$BJ298:$BT298,,T298)*(1-R298)+INDEX(Models!$BJ298:$BT298,,T298+1)*R298-ERP_i)*Q298*Ramure*Pc/MaxiM</f>
        <v>9.9069878253399551E-3</v>
      </c>
      <c r="Q298" s="305">
        <f t="shared" si="107"/>
        <v>0.8</v>
      </c>
      <c r="R298" s="177">
        <f t="shared" si="108"/>
        <v>0.59638921914850851</v>
      </c>
      <c r="S298" s="809">
        <f t="shared" si="126"/>
        <v>0</v>
      </c>
      <c r="T298" s="176">
        <f t="shared" si="109"/>
        <v>6</v>
      </c>
      <c r="U298" s="251">
        <f t="shared" si="110"/>
        <v>0.59638921914850851</v>
      </c>
      <c r="V298" s="383">
        <f t="shared" si="111"/>
        <v>31.63386079849035</v>
      </c>
      <c r="W298" s="58"/>
      <c r="X298" s="157">
        <f t="shared" si="112"/>
        <v>43384</v>
      </c>
      <c r="Y298" s="385">
        <f t="shared" si="113"/>
        <v>23.963999999999999</v>
      </c>
      <c r="Z298" s="385">
        <f t="shared" si="114"/>
        <v>24.003628278001131</v>
      </c>
      <c r="AA298" s="386">
        <f t="shared" si="115"/>
        <v>24.32457444164401</v>
      </c>
      <c r="AB298" s="197">
        <f t="shared" si="116"/>
        <v>43384</v>
      </c>
      <c r="AC298" s="425">
        <f t="shared" si="117"/>
        <v>1.3194317722303783E-2</v>
      </c>
      <c r="AD298" s="169">
        <f>(INDEX(Models!$BJ298:$BT298,,AH298)*(1-AF298)+INDEX(Models!$BJ298:$BT298,,AH298+1)*AF298-ERP_i)*AE298*Ramure*Pc/MaxiM</f>
        <v>9.9069878253399551E-3</v>
      </c>
      <c r="AE298" s="305">
        <f t="shared" si="118"/>
        <v>0.8</v>
      </c>
      <c r="AF298" s="177">
        <f t="shared" si="119"/>
        <v>0.59638921914850851</v>
      </c>
      <c r="AG298" s="809">
        <f t="shared" si="120"/>
        <v>0</v>
      </c>
      <c r="AH298" s="176">
        <f t="shared" si="121"/>
        <v>6</v>
      </c>
      <c r="AI298" s="225">
        <f t="shared" si="122"/>
        <v>0.59638921914850851</v>
      </c>
      <c r="AJ298" s="265" t="b">
        <f t="shared" si="123"/>
        <v>0</v>
      </c>
      <c r="AK298" s="265" t="b">
        <f t="shared" si="124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5"/>
        <v>43385</v>
      </c>
      <c r="B299" s="616">
        <v>27.478000000000002</v>
      </c>
      <c r="C299" s="390"/>
      <c r="D299" s="393">
        <f t="shared" si="102"/>
        <v>27.524079760353121</v>
      </c>
      <c r="E299" s="385">
        <f t="shared" si="128"/>
        <v>27.896949121476524</v>
      </c>
      <c r="F299" s="385">
        <f t="shared" si="127"/>
        <v>28.124270401966623</v>
      </c>
      <c r="G299" s="110">
        <f t="shared" si="129"/>
        <v>0.87775708842129174</v>
      </c>
      <c r="I299" s="380">
        <f t="shared" si="103"/>
        <v>28.124270401966623</v>
      </c>
      <c r="J299" s="85">
        <v>2018</v>
      </c>
      <c r="K299" s="197">
        <f t="shared" si="104"/>
        <v>43385</v>
      </c>
      <c r="L299" s="436">
        <f t="shared" si="105"/>
        <v>1.6741617069245818E-3</v>
      </c>
      <c r="M299" s="854"/>
      <c r="N299" s="854"/>
      <c r="O299" s="324">
        <f t="shared" si="106"/>
        <v>1.3365954803865985E-2</v>
      </c>
      <c r="P299" s="169">
        <f>(INDEX(Models!$BJ299:$BT299,,T299)*(1-R299)+INDEX(Models!$BJ299:$BT299,,T299+1)*R299-ERP_i)*Q299*Ramure*Pc/MaxiM</f>
        <v>9.7676561206810411E-3</v>
      </c>
      <c r="Q299" s="305">
        <f t="shared" si="107"/>
        <v>0.8</v>
      </c>
      <c r="R299" s="177">
        <f t="shared" si="108"/>
        <v>0.59654166755039029</v>
      </c>
      <c r="S299" s="809">
        <f t="shared" si="126"/>
        <v>0</v>
      </c>
      <c r="T299" s="176">
        <f t="shared" si="109"/>
        <v>6</v>
      </c>
      <c r="U299" s="251">
        <f t="shared" si="110"/>
        <v>0.59654166755039029</v>
      </c>
      <c r="V299" s="383">
        <f t="shared" si="111"/>
        <v>31.251612872018107</v>
      </c>
      <c r="W299" s="58"/>
      <c r="X299" s="157">
        <f t="shared" si="112"/>
        <v>43385</v>
      </c>
      <c r="Y299" s="385">
        <f t="shared" si="113"/>
        <v>27.478000000000002</v>
      </c>
      <c r="Z299" s="385">
        <f t="shared" si="114"/>
        <v>27.524079760353121</v>
      </c>
      <c r="AA299" s="386">
        <f t="shared" si="115"/>
        <v>27.896949121476524</v>
      </c>
      <c r="AB299" s="197">
        <f t="shared" si="116"/>
        <v>43385</v>
      </c>
      <c r="AC299" s="425">
        <f t="shared" si="117"/>
        <v>1.3365954803865985E-2</v>
      </c>
      <c r="AD299" s="169">
        <f>(INDEX(Models!$BJ299:$BT299,,AH299)*(1-AF299)+INDEX(Models!$BJ299:$BT299,,AH299+1)*AF299-ERP_i)*AE299*Ramure*Pc/MaxiM</f>
        <v>9.7676561206810411E-3</v>
      </c>
      <c r="AE299" s="305">
        <f t="shared" si="118"/>
        <v>0.8</v>
      </c>
      <c r="AF299" s="177">
        <f t="shared" si="119"/>
        <v>0.59654166755039029</v>
      </c>
      <c r="AG299" s="809">
        <f t="shared" si="120"/>
        <v>0</v>
      </c>
      <c r="AH299" s="176">
        <f t="shared" si="121"/>
        <v>6</v>
      </c>
      <c r="AI299" s="225">
        <f t="shared" si="122"/>
        <v>0.59654166755039029</v>
      </c>
      <c r="AJ299" s="265" t="b">
        <f t="shared" si="123"/>
        <v>0</v>
      </c>
      <c r="AK299" s="265" t="b">
        <f t="shared" si="124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5"/>
        <v>43386</v>
      </c>
      <c r="B300" s="616">
        <v>23.065000000000001</v>
      </c>
      <c r="C300" s="390"/>
      <c r="D300" s="393">
        <f t="shared" si="102"/>
        <v>23.104216964046874</v>
      </c>
      <c r="E300" s="385">
        <f t="shared" si="128"/>
        <v>23.421271278789021</v>
      </c>
      <c r="F300" s="385">
        <f t="shared" si="127"/>
        <v>23.566124679297285</v>
      </c>
      <c r="G300" s="110">
        <f t="shared" si="129"/>
        <v>0.74450099938207914</v>
      </c>
      <c r="I300" s="380">
        <f t="shared" si="103"/>
        <v>23.566124679297285</v>
      </c>
      <c r="J300" s="85">
        <v>2018</v>
      </c>
      <c r="K300" s="197">
        <f t="shared" si="104"/>
        <v>43386</v>
      </c>
      <c r="L300" s="436">
        <f t="shared" si="105"/>
        <v>1.6973942076418114E-3</v>
      </c>
      <c r="M300" s="854"/>
      <c r="N300" s="854"/>
      <c r="O300" s="324">
        <f t="shared" si="106"/>
        <v>1.3537024142207081E-2</v>
      </c>
      <c r="P300" s="169">
        <f>(INDEX(Models!$BJ300:$BT300,,T300)*(1-R300)+INDEX(Models!$BJ300:$BT300,,T300+1)*R300-ERP_i)*Q300*Ramure*Pc/MaxiM</f>
        <v>9.6232081361743889E-3</v>
      </c>
      <c r="Q300" s="305">
        <f t="shared" si="107"/>
        <v>0.8</v>
      </c>
      <c r="R300" s="177">
        <f t="shared" si="108"/>
        <v>0.59668805114590329</v>
      </c>
      <c r="S300" s="809">
        <f t="shared" si="126"/>
        <v>0</v>
      </c>
      <c r="T300" s="176">
        <f t="shared" si="109"/>
        <v>6</v>
      </c>
      <c r="U300" s="251">
        <f t="shared" si="110"/>
        <v>0.59668805114590329</v>
      </c>
      <c r="V300" s="383">
        <f t="shared" si="111"/>
        <v>30.872111581645939</v>
      </c>
      <c r="W300" s="58"/>
      <c r="X300" s="157">
        <f t="shared" si="112"/>
        <v>43386</v>
      </c>
      <c r="Y300" s="385">
        <f t="shared" si="113"/>
        <v>23.065000000000001</v>
      </c>
      <c r="Z300" s="385">
        <f t="shared" si="114"/>
        <v>23.104216964046874</v>
      </c>
      <c r="AA300" s="386">
        <f t="shared" si="115"/>
        <v>23.421271278789021</v>
      </c>
      <c r="AB300" s="197">
        <f t="shared" si="116"/>
        <v>43386</v>
      </c>
      <c r="AC300" s="425">
        <f t="shared" si="117"/>
        <v>1.3537024142207081E-2</v>
      </c>
      <c r="AD300" s="169">
        <f>(INDEX(Models!$BJ300:$BT300,,AH300)*(1-AF300)+INDEX(Models!$BJ300:$BT300,,AH300+1)*AF300-ERP_i)*AE300*Ramure*Pc/MaxiM</f>
        <v>9.6232081361743889E-3</v>
      </c>
      <c r="AE300" s="305">
        <f t="shared" si="118"/>
        <v>0.8</v>
      </c>
      <c r="AF300" s="177">
        <f t="shared" si="119"/>
        <v>0.59668805114590329</v>
      </c>
      <c r="AG300" s="809">
        <f t="shared" si="120"/>
        <v>0</v>
      </c>
      <c r="AH300" s="176">
        <f t="shared" si="121"/>
        <v>6</v>
      </c>
      <c r="AI300" s="225">
        <f t="shared" si="122"/>
        <v>0.59668805114590329</v>
      </c>
      <c r="AJ300" s="265" t="b">
        <f t="shared" si="123"/>
        <v>0</v>
      </c>
      <c r="AK300" s="265" t="b">
        <f t="shared" si="124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5"/>
        <v>43387</v>
      </c>
      <c r="B301" s="616">
        <v>26.611999999999998</v>
      </c>
      <c r="C301" s="390"/>
      <c r="D301" s="393">
        <f t="shared" si="102"/>
        <v>26.657868225644268</v>
      </c>
      <c r="E301" s="385">
        <f t="shared" si="128"/>
        <v>27.028360064902284</v>
      </c>
      <c r="F301" s="385">
        <f t="shared" si="127"/>
        <v>27.239471377563756</v>
      </c>
      <c r="G301" s="110">
        <f t="shared" si="129"/>
        <v>0.87114190652555223</v>
      </c>
      <c r="I301" s="380">
        <f t="shared" si="103"/>
        <v>27.239471377563756</v>
      </c>
      <c r="J301" s="85">
        <v>2018</v>
      </c>
      <c r="K301" s="197">
        <f t="shared" si="104"/>
        <v>43387</v>
      </c>
      <c r="L301" s="436">
        <f t="shared" si="105"/>
        <v>1.7206261677048529E-3</v>
      </c>
      <c r="M301" s="854"/>
      <c r="N301" s="854"/>
      <c r="O301" s="324">
        <f t="shared" si="106"/>
        <v>1.3707521964646271E-2</v>
      </c>
      <c r="P301" s="169">
        <f>(INDEX(Models!$BJ301:$BT301,,T301)*(1-R301)+INDEX(Models!$BJ301:$BT301,,T301+1)*R301-ERP_i)*Q301*Ramure*Pc/MaxiM</f>
        <v>9.4736172848620473E-3</v>
      </c>
      <c r="Q301" s="305">
        <f t="shared" si="107"/>
        <v>0.8</v>
      </c>
      <c r="R301" s="177">
        <f t="shared" si="108"/>
        <v>0.5968286083948402</v>
      </c>
      <c r="S301" s="809">
        <f t="shared" si="126"/>
        <v>0</v>
      </c>
      <c r="T301" s="176">
        <f t="shared" si="109"/>
        <v>6</v>
      </c>
      <c r="U301" s="251">
        <f t="shared" si="110"/>
        <v>0.5968286083948402</v>
      </c>
      <c r="V301" s="383">
        <f t="shared" si="111"/>
        <v>30.495350934446133</v>
      </c>
      <c r="W301" s="58"/>
      <c r="X301" s="157">
        <f t="shared" si="112"/>
        <v>43387</v>
      </c>
      <c r="Y301" s="385">
        <f t="shared" si="113"/>
        <v>26.611999999999998</v>
      </c>
      <c r="Z301" s="385">
        <f t="shared" si="114"/>
        <v>26.657868225644268</v>
      </c>
      <c r="AA301" s="386">
        <f t="shared" si="115"/>
        <v>27.028360064902284</v>
      </c>
      <c r="AB301" s="197">
        <f t="shared" si="116"/>
        <v>43387</v>
      </c>
      <c r="AC301" s="425">
        <f t="shared" si="117"/>
        <v>1.3707521964646271E-2</v>
      </c>
      <c r="AD301" s="169">
        <f>(INDEX(Models!$BJ301:$BT301,,AH301)*(1-AF301)+INDEX(Models!$BJ301:$BT301,,AH301+1)*AF301-ERP_i)*AE301*Ramure*Pc/MaxiM</f>
        <v>9.4736172848620473E-3</v>
      </c>
      <c r="AE301" s="305">
        <f t="shared" si="118"/>
        <v>0.8</v>
      </c>
      <c r="AF301" s="177">
        <f t="shared" si="119"/>
        <v>0.5968286083948402</v>
      </c>
      <c r="AG301" s="809">
        <f t="shared" si="120"/>
        <v>0</v>
      </c>
      <c r="AH301" s="176">
        <f t="shared" si="121"/>
        <v>6</v>
      </c>
      <c r="AI301" s="225">
        <f t="shared" si="122"/>
        <v>0.5968286083948402</v>
      </c>
      <c r="AJ301" s="265" t="b">
        <f t="shared" si="123"/>
        <v>0</v>
      </c>
      <c r="AK301" s="265" t="b">
        <f t="shared" si="124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5"/>
        <v>43388</v>
      </c>
      <c r="B302" s="616">
        <v>10.492000000000001</v>
      </c>
      <c r="C302" s="390"/>
      <c r="D302" s="393">
        <f t="shared" si="102"/>
        <v>10.510328516126037</v>
      </c>
      <c r="E302" s="385">
        <f t="shared" si="128"/>
        <v>10.658237626512827</v>
      </c>
      <c r="F302" s="385">
        <f t="shared" si="127"/>
        <v>10.665098801640427</v>
      </c>
      <c r="G302" s="110">
        <f t="shared" si="129"/>
        <v>0.34530080557724763</v>
      </c>
      <c r="I302" s="380">
        <f t="shared" si="103"/>
        <v>10.665098801640427</v>
      </c>
      <c r="J302" s="85">
        <v>2018</v>
      </c>
      <c r="K302" s="197">
        <f t="shared" si="104"/>
        <v>43388</v>
      </c>
      <c r="L302" s="436">
        <f t="shared" si="105"/>
        <v>1.7438575871262518E-3</v>
      </c>
      <c r="M302" s="854"/>
      <c r="N302" s="854"/>
      <c r="O302" s="324">
        <f t="shared" si="106"/>
        <v>1.3877445368534467E-2</v>
      </c>
      <c r="P302" s="169">
        <f>(INDEX(Models!$BJ302:$BT302,,T302)*(1-R302)+INDEX(Models!$BJ302:$BT302,,T302+1)*R302-ERP_i)*Q302*Ramure*Pc/MaxiM</f>
        <v>9.3188627988846414E-3</v>
      </c>
      <c r="Q302" s="305">
        <f t="shared" si="107"/>
        <v>0.8</v>
      </c>
      <c r="R302" s="177">
        <f t="shared" si="108"/>
        <v>0.59696356860207944</v>
      </c>
      <c r="S302" s="809">
        <f t="shared" si="126"/>
        <v>0</v>
      </c>
      <c r="T302" s="176">
        <f t="shared" si="109"/>
        <v>6</v>
      </c>
      <c r="U302" s="251">
        <f t="shared" si="110"/>
        <v>0.59696356860207944</v>
      </c>
      <c r="V302" s="383">
        <f t="shared" si="111"/>
        <v>30.121324778564329</v>
      </c>
      <c r="W302" s="58"/>
      <c r="X302" s="157">
        <f t="shared" si="112"/>
        <v>43388</v>
      </c>
      <c r="Y302" s="385">
        <f t="shared" si="113"/>
        <v>10.492000000000001</v>
      </c>
      <c r="Z302" s="385">
        <f t="shared" si="114"/>
        <v>10.510328516126037</v>
      </c>
      <c r="AA302" s="386">
        <f t="shared" si="115"/>
        <v>10.658237626512827</v>
      </c>
      <c r="AB302" s="197">
        <f t="shared" si="116"/>
        <v>43388</v>
      </c>
      <c r="AC302" s="425">
        <f t="shared" si="117"/>
        <v>1.3877445368534467E-2</v>
      </c>
      <c r="AD302" s="169">
        <f>(INDEX(Models!$BJ302:$BT302,,AH302)*(1-AF302)+INDEX(Models!$BJ302:$BT302,,AH302+1)*AF302-ERP_i)*AE302*Ramure*Pc/MaxiM</f>
        <v>9.3188627988846414E-3</v>
      </c>
      <c r="AE302" s="305">
        <f t="shared" si="118"/>
        <v>0.8</v>
      </c>
      <c r="AF302" s="177">
        <f t="shared" si="119"/>
        <v>0.59696356860207944</v>
      </c>
      <c r="AG302" s="809">
        <f t="shared" si="120"/>
        <v>0</v>
      </c>
      <c r="AH302" s="176">
        <f t="shared" si="121"/>
        <v>6</v>
      </c>
      <c r="AI302" s="225">
        <f t="shared" si="122"/>
        <v>0.59696356860207944</v>
      </c>
      <c r="AJ302" s="265" t="b">
        <f t="shared" si="123"/>
        <v>0</v>
      </c>
      <c r="AK302" s="265" t="b">
        <f t="shared" si="124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5"/>
        <v>43389</v>
      </c>
      <c r="B303" s="616">
        <v>16.488</v>
      </c>
      <c r="C303" s="390"/>
      <c r="D303" s="393">
        <f t="shared" si="102"/>
        <v>16.51718733122242</v>
      </c>
      <c r="E303" s="385">
        <f t="shared" si="128"/>
        <v>16.752506309129544</v>
      </c>
      <c r="F303" s="385">
        <f t="shared" si="127"/>
        <v>16.808417883984234</v>
      </c>
      <c r="G303" s="110">
        <f t="shared" si="129"/>
        <v>0.55098340179208338</v>
      </c>
      <c r="I303" s="380">
        <f t="shared" si="103"/>
        <v>16.808417883984234</v>
      </c>
      <c r="J303" s="85">
        <v>2018</v>
      </c>
      <c r="K303" s="197">
        <f t="shared" si="104"/>
        <v>43389</v>
      </c>
      <c r="L303" s="436">
        <f t="shared" si="105"/>
        <v>1.7670884659185537E-3</v>
      </c>
      <c r="M303" s="854"/>
      <c r="N303" s="854"/>
      <c r="O303" s="324">
        <f t="shared" si="106"/>
        <v>1.4046792376307548E-2</v>
      </c>
      <c r="P303" s="169">
        <f>(INDEX(Models!$BJ303:$BT303,,T303)*(1-R303)+INDEX(Models!$BJ303:$BT303,,T303+1)*R303-ERP_i)*Q303*Ramure*Pc/MaxiM</f>
        <v>9.1590741433133869E-3</v>
      </c>
      <c r="Q303" s="305">
        <f t="shared" si="107"/>
        <v>0.8</v>
      </c>
      <c r="R303" s="177">
        <f t="shared" si="108"/>
        <v>0.59709315225163906</v>
      </c>
      <c r="S303" s="809">
        <f t="shared" si="126"/>
        <v>0</v>
      </c>
      <c r="T303" s="176">
        <f t="shared" si="109"/>
        <v>6</v>
      </c>
      <c r="U303" s="251">
        <f t="shared" si="110"/>
        <v>0.59709315225163906</v>
      </c>
      <c r="V303" s="383">
        <f t="shared" si="111"/>
        <v>29.749553077654497</v>
      </c>
      <c r="W303" s="58"/>
      <c r="X303" s="157">
        <f t="shared" si="112"/>
        <v>43389</v>
      </c>
      <c r="Y303" s="385">
        <f t="shared" si="113"/>
        <v>16.488</v>
      </c>
      <c r="Z303" s="385">
        <f t="shared" si="114"/>
        <v>16.51718733122242</v>
      </c>
      <c r="AA303" s="386">
        <f t="shared" si="115"/>
        <v>16.752506309129544</v>
      </c>
      <c r="AB303" s="197">
        <f t="shared" si="116"/>
        <v>43389</v>
      </c>
      <c r="AC303" s="425">
        <f t="shared" si="117"/>
        <v>1.4046792376307548E-2</v>
      </c>
      <c r="AD303" s="169">
        <f>(INDEX(Models!$BJ303:$BT303,,AH303)*(1-AF303)+INDEX(Models!$BJ303:$BT303,,AH303+1)*AF303-ERP_i)*AE303*Ramure*Pc/MaxiM</f>
        <v>9.1590741433133869E-3</v>
      </c>
      <c r="AE303" s="305">
        <f t="shared" si="118"/>
        <v>0.8</v>
      </c>
      <c r="AF303" s="177">
        <f t="shared" si="119"/>
        <v>0.59709315225163906</v>
      </c>
      <c r="AG303" s="809">
        <f t="shared" si="120"/>
        <v>0</v>
      </c>
      <c r="AH303" s="176">
        <f t="shared" si="121"/>
        <v>6</v>
      </c>
      <c r="AI303" s="225">
        <f t="shared" si="122"/>
        <v>0.59709315225163906</v>
      </c>
      <c r="AJ303" s="265" t="b">
        <f t="shared" si="123"/>
        <v>0</v>
      </c>
      <c r="AK303" s="265" t="b">
        <f t="shared" si="124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5"/>
        <v>43390</v>
      </c>
      <c r="B304" s="616">
        <v>17.689</v>
      </c>
      <c r="C304" s="390"/>
      <c r="D304" s="393">
        <f t="shared" si="102"/>
        <v>17.720725748529794</v>
      </c>
      <c r="E304" s="385">
        <f t="shared" si="128"/>
        <v>17.976268507797666</v>
      </c>
      <c r="F304" s="385">
        <f t="shared" si="127"/>
        <v>18.04633925295094</v>
      </c>
      <c r="G304" s="110">
        <f t="shared" si="129"/>
        <v>0.59899280433639279</v>
      </c>
      <c r="I304" s="380">
        <f t="shared" si="103"/>
        <v>18.04633925295094</v>
      </c>
      <c r="J304" s="85">
        <v>2018</v>
      </c>
      <c r="K304" s="197">
        <f t="shared" si="104"/>
        <v>43390</v>
      </c>
      <c r="L304" s="436">
        <f t="shared" si="105"/>
        <v>1.7903188040944151E-3</v>
      </c>
      <c r="M304" s="854"/>
      <c r="N304" s="854"/>
      <c r="O304" s="324">
        <f t="shared" si="106"/>
        <v>1.4215561987017752E-2</v>
      </c>
      <c r="P304" s="169">
        <f>(INDEX(Models!$BJ304:$BT304,,T304)*(1-R304)+INDEX(Models!$BJ304:$BT304,,T304+1)*R304-ERP_i)*Q304*Ramure*Pc/MaxiM</f>
        <v>8.9974122012172492E-3</v>
      </c>
      <c r="Q304" s="305">
        <f t="shared" si="107"/>
        <v>0.8</v>
      </c>
      <c r="R304" s="177">
        <f t="shared" si="108"/>
        <v>0.59721757132993281</v>
      </c>
      <c r="S304" s="809">
        <f t="shared" si="126"/>
        <v>0</v>
      </c>
      <c r="T304" s="176">
        <f t="shared" si="109"/>
        <v>6</v>
      </c>
      <c r="U304" s="251">
        <f t="shared" si="110"/>
        <v>0.59721757132993281</v>
      </c>
      <c r="V304" s="383">
        <f t="shared" si="111"/>
        <v>29.379610660143292</v>
      </c>
      <c r="W304" s="58"/>
      <c r="X304" s="157">
        <f t="shared" si="112"/>
        <v>43390</v>
      </c>
      <c r="Y304" s="385">
        <f t="shared" si="113"/>
        <v>17.689</v>
      </c>
      <c r="Z304" s="385">
        <f t="shared" si="114"/>
        <v>17.720725748529794</v>
      </c>
      <c r="AA304" s="386">
        <f t="shared" si="115"/>
        <v>17.976268507797666</v>
      </c>
      <c r="AB304" s="197">
        <f t="shared" si="116"/>
        <v>43390</v>
      </c>
      <c r="AC304" s="425">
        <f t="shared" si="117"/>
        <v>1.4215561987017752E-2</v>
      </c>
      <c r="AD304" s="169">
        <f>(INDEX(Models!$BJ304:$BT304,,AH304)*(1-AF304)+INDEX(Models!$BJ304:$BT304,,AH304+1)*AF304-ERP_i)*AE304*Ramure*Pc/MaxiM</f>
        <v>8.9974122012172492E-3</v>
      </c>
      <c r="AE304" s="305">
        <f t="shared" si="118"/>
        <v>0.8</v>
      </c>
      <c r="AF304" s="177">
        <f t="shared" si="119"/>
        <v>0.59721757132993281</v>
      </c>
      <c r="AG304" s="809">
        <f t="shared" si="120"/>
        <v>0</v>
      </c>
      <c r="AH304" s="176">
        <f t="shared" si="121"/>
        <v>6</v>
      </c>
      <c r="AI304" s="225">
        <f t="shared" si="122"/>
        <v>0.59721757132993281</v>
      </c>
      <c r="AJ304" s="265" t="b">
        <f t="shared" si="123"/>
        <v>0</v>
      </c>
      <c r="AK304" s="265" t="b">
        <f t="shared" si="124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5"/>
        <v>43391</v>
      </c>
      <c r="B305" s="616">
        <v>10.672000000000001</v>
      </c>
      <c r="C305" s="390"/>
      <c r="D305" s="393">
        <f t="shared" si="102"/>
        <v>10.691389354213204</v>
      </c>
      <c r="E305" s="385">
        <f t="shared" si="128"/>
        <v>10.847415918751771</v>
      </c>
      <c r="F305" s="385">
        <f t="shared" si="127"/>
        <v>10.856714854238311</v>
      </c>
      <c r="G305" s="110">
        <f t="shared" si="129"/>
        <v>0.36491444789123467</v>
      </c>
      <c r="I305" s="380">
        <f t="shared" si="103"/>
        <v>10.856714854238311</v>
      </c>
      <c r="J305" s="85">
        <v>2018</v>
      </c>
      <c r="K305" s="197">
        <f t="shared" si="104"/>
        <v>43391</v>
      </c>
      <c r="L305" s="436">
        <f t="shared" si="105"/>
        <v>1.8135486016662705E-3</v>
      </c>
      <c r="M305" s="854"/>
      <c r="N305" s="854"/>
      <c r="O305" s="324">
        <f t="shared" si="106"/>
        <v>1.438375422379134E-2</v>
      </c>
      <c r="P305" s="169">
        <f>(INDEX(Models!$BJ305:$BT305,,T305)*(1-R305)+INDEX(Models!$BJ305:$BT305,,T305+1)*R305-ERP_i)*Q305*Ramure*Pc/MaxiM</f>
        <v>8.8362518026073016E-3</v>
      </c>
      <c r="Q305" s="305">
        <f t="shared" si="107"/>
        <v>0.8</v>
      </c>
      <c r="R305" s="177">
        <f t="shared" si="108"/>
        <v>0.59733702963846136</v>
      </c>
      <c r="S305" s="809">
        <f t="shared" si="126"/>
        <v>0</v>
      </c>
      <c r="T305" s="176">
        <f t="shared" si="109"/>
        <v>6</v>
      </c>
      <c r="U305" s="251">
        <f t="shared" si="110"/>
        <v>0.59733702963846136</v>
      </c>
      <c r="V305" s="383">
        <f t="shared" si="111"/>
        <v>29.011641778886336</v>
      </c>
      <c r="W305" s="58"/>
      <c r="X305" s="157">
        <f t="shared" si="112"/>
        <v>43391</v>
      </c>
      <c r="Y305" s="385">
        <f t="shared" si="113"/>
        <v>10.672000000000001</v>
      </c>
      <c r="Z305" s="385">
        <f t="shared" si="114"/>
        <v>10.691389354213204</v>
      </c>
      <c r="AA305" s="386">
        <f t="shared" si="115"/>
        <v>10.847415918751771</v>
      </c>
      <c r="AB305" s="197">
        <f t="shared" si="116"/>
        <v>43391</v>
      </c>
      <c r="AC305" s="425">
        <f t="shared" si="117"/>
        <v>1.438375422379134E-2</v>
      </c>
      <c r="AD305" s="169">
        <f>(INDEX(Models!$BJ305:$BT305,,AH305)*(1-AF305)+INDEX(Models!$BJ305:$BT305,,AH305+1)*AF305-ERP_i)*AE305*Ramure*Pc/MaxiM</f>
        <v>8.8362518026073016E-3</v>
      </c>
      <c r="AE305" s="305">
        <f t="shared" si="118"/>
        <v>0.8</v>
      </c>
      <c r="AF305" s="177">
        <f t="shared" si="119"/>
        <v>0.59733702963846136</v>
      </c>
      <c r="AG305" s="809">
        <f t="shared" si="120"/>
        <v>0</v>
      </c>
      <c r="AH305" s="176">
        <f t="shared" si="121"/>
        <v>6</v>
      </c>
      <c r="AI305" s="225">
        <f t="shared" si="122"/>
        <v>0.59733702963846136</v>
      </c>
      <c r="AJ305" s="265" t="b">
        <f t="shared" si="123"/>
        <v>0</v>
      </c>
      <c r="AK305" s="265" t="b">
        <f t="shared" si="124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5"/>
        <v>43392</v>
      </c>
      <c r="B306" s="616">
        <v>21.984999999999999</v>
      </c>
      <c r="C306" s="390"/>
      <c r="D306" s="393">
        <f t="shared" si="102"/>
        <v>22.025455869668011</v>
      </c>
      <c r="E306" s="385">
        <f t="shared" si="128"/>
        <v>22.350689019291547</v>
      </c>
      <c r="F306" s="385">
        <f t="shared" si="127"/>
        <v>22.480938858368411</v>
      </c>
      <c r="G306" s="110">
        <f t="shared" si="129"/>
        <v>0.76525097101869799</v>
      </c>
      <c r="I306" s="380">
        <f t="shared" si="103"/>
        <v>22.480938858368411</v>
      </c>
      <c r="J306" s="85">
        <v>2018</v>
      </c>
      <c r="K306" s="197">
        <f t="shared" si="104"/>
        <v>43392</v>
      </c>
      <c r="L306" s="436">
        <f t="shared" si="105"/>
        <v>1.8367778586468875E-3</v>
      </c>
      <c r="M306" s="854"/>
      <c r="N306" s="854"/>
      <c r="O306" s="324">
        <f t="shared" si="106"/>
        <v>1.4551370176678475E-2</v>
      </c>
      <c r="P306" s="169">
        <f>(INDEX(Models!$BJ306:$BT306,,T306)*(1-R306)+INDEX(Models!$BJ306:$BT306,,T306+1)*R306-ERP_i)*Q306*Ramure*Pc/MaxiM</f>
        <v>8.6756461406464567E-3</v>
      </c>
      <c r="Q306" s="305">
        <f t="shared" si="107"/>
        <v>0.8</v>
      </c>
      <c r="R306" s="177">
        <f t="shared" si="108"/>
        <v>0.59745172309617756</v>
      </c>
      <c r="S306" s="809">
        <f t="shared" si="126"/>
        <v>0</v>
      </c>
      <c r="T306" s="176">
        <f t="shared" si="109"/>
        <v>6</v>
      </c>
      <c r="U306" s="251">
        <f t="shared" si="110"/>
        <v>0.59745172309617756</v>
      </c>
      <c r="V306" s="383">
        <f t="shared" si="111"/>
        <v>28.64586129702667</v>
      </c>
      <c r="W306" s="58"/>
      <c r="X306" s="157">
        <f t="shared" si="112"/>
        <v>43392</v>
      </c>
      <c r="Y306" s="385">
        <f t="shared" si="113"/>
        <v>21.984999999999999</v>
      </c>
      <c r="Z306" s="385">
        <f t="shared" si="114"/>
        <v>22.025455869668011</v>
      </c>
      <c r="AA306" s="386">
        <f t="shared" si="115"/>
        <v>22.350689019291547</v>
      </c>
      <c r="AB306" s="197">
        <f t="shared" si="116"/>
        <v>43392</v>
      </c>
      <c r="AC306" s="425">
        <f t="shared" si="117"/>
        <v>1.4551370176678475E-2</v>
      </c>
      <c r="AD306" s="169">
        <f>(INDEX(Models!$BJ306:$BT306,,AH306)*(1-AF306)+INDEX(Models!$BJ306:$BT306,,AH306+1)*AF306-ERP_i)*AE306*Ramure*Pc/MaxiM</f>
        <v>8.6756461406464567E-3</v>
      </c>
      <c r="AE306" s="305">
        <f t="shared" si="118"/>
        <v>0.8</v>
      </c>
      <c r="AF306" s="177">
        <f t="shared" si="119"/>
        <v>0.59745172309617756</v>
      </c>
      <c r="AG306" s="809">
        <f t="shared" si="120"/>
        <v>0</v>
      </c>
      <c r="AH306" s="176">
        <f t="shared" si="121"/>
        <v>6</v>
      </c>
      <c r="AI306" s="225">
        <f t="shared" si="122"/>
        <v>0.59745172309617756</v>
      </c>
      <c r="AJ306" s="265" t="b">
        <f t="shared" si="123"/>
        <v>0</v>
      </c>
      <c r="AK306" s="265" t="b">
        <f t="shared" si="124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5"/>
        <v>43393</v>
      </c>
      <c r="B307" s="616">
        <v>10.749000000000001</v>
      </c>
      <c r="C307" s="390"/>
      <c r="D307" s="393">
        <f t="shared" si="102"/>
        <v>10.769030467476407</v>
      </c>
      <c r="E307" s="385">
        <f t="shared" si="128"/>
        <v>10.929901257748682</v>
      </c>
      <c r="F307" s="385">
        <f t="shared" si="127"/>
        <v>10.940556592484805</v>
      </c>
      <c r="G307" s="110">
        <f t="shared" si="129"/>
        <v>0.37718946470229098</v>
      </c>
      <c r="I307" s="380">
        <f t="shared" si="103"/>
        <v>10.940556592484805</v>
      </c>
      <c r="J307" s="85">
        <v>2018</v>
      </c>
      <c r="K307" s="197">
        <f t="shared" si="104"/>
        <v>43393</v>
      </c>
      <c r="L307" s="436">
        <f t="shared" si="105"/>
        <v>1.8600065750488115E-3</v>
      </c>
      <c r="M307" s="854"/>
      <c r="N307" s="854"/>
      <c r="O307" s="324">
        <f t="shared" si="106"/>
        <v>1.4718412040385733E-2</v>
      </c>
      <c r="P307" s="169">
        <f>(INDEX(Models!$BJ307:$BT307,,T307)*(1-R307)+INDEX(Models!$BJ307:$BT307,,T307+1)*R307-ERP_i)*Q307*Ramure*Pc/MaxiM</f>
        <v>8.5156532836673706E-3</v>
      </c>
      <c r="Q307" s="305">
        <f t="shared" si="107"/>
        <v>0.8</v>
      </c>
      <c r="R307" s="177">
        <f t="shared" si="108"/>
        <v>0.5975618400317696</v>
      </c>
      <c r="S307" s="809">
        <f t="shared" si="126"/>
        <v>0</v>
      </c>
      <c r="T307" s="176">
        <f t="shared" si="109"/>
        <v>6</v>
      </c>
      <c r="U307" s="251">
        <f t="shared" si="110"/>
        <v>0.5975618400317696</v>
      </c>
      <c r="V307" s="383">
        <f t="shared" si="111"/>
        <v>28.282483960076231</v>
      </c>
      <c r="W307" s="58"/>
      <c r="X307" s="157">
        <f t="shared" si="112"/>
        <v>43393</v>
      </c>
      <c r="Y307" s="385">
        <f t="shared" si="113"/>
        <v>10.749000000000001</v>
      </c>
      <c r="Z307" s="385">
        <f t="shared" si="114"/>
        <v>10.769030467476407</v>
      </c>
      <c r="AA307" s="386">
        <f t="shared" si="115"/>
        <v>10.929901257748682</v>
      </c>
      <c r="AB307" s="197">
        <f t="shared" si="116"/>
        <v>43393</v>
      </c>
      <c r="AC307" s="425">
        <f t="shared" si="117"/>
        <v>1.4718412040385733E-2</v>
      </c>
      <c r="AD307" s="169">
        <f>(INDEX(Models!$BJ307:$BT307,,AH307)*(1-AF307)+INDEX(Models!$BJ307:$BT307,,AH307+1)*AF307-ERP_i)*AE307*Ramure*Pc/MaxiM</f>
        <v>8.5156532836673706E-3</v>
      </c>
      <c r="AE307" s="305">
        <f t="shared" si="118"/>
        <v>0.8</v>
      </c>
      <c r="AF307" s="177">
        <f t="shared" si="119"/>
        <v>0.5975618400317696</v>
      </c>
      <c r="AG307" s="809">
        <f t="shared" si="120"/>
        <v>0</v>
      </c>
      <c r="AH307" s="176">
        <f t="shared" si="121"/>
        <v>6</v>
      </c>
      <c r="AI307" s="225">
        <f t="shared" si="122"/>
        <v>0.5975618400317696</v>
      </c>
      <c r="AJ307" s="265" t="b">
        <f t="shared" si="123"/>
        <v>0</v>
      </c>
      <c r="AK307" s="265" t="b">
        <f t="shared" si="124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5"/>
        <v>43394</v>
      </c>
      <c r="B308" s="616">
        <v>16.620999999999999</v>
      </c>
      <c r="C308" s="390"/>
      <c r="D308" s="393">
        <f t="shared" si="102"/>
        <v>16.652360303608003</v>
      </c>
      <c r="E308" s="385">
        <f t="shared" si="128"/>
        <v>16.903973981025519</v>
      </c>
      <c r="F308" s="385">
        <f t="shared" si="127"/>
        <v>16.963768497957453</v>
      </c>
      <c r="G308" s="110">
        <f t="shared" si="129"/>
        <v>0.59238503146454957</v>
      </c>
      <c r="I308" s="380">
        <f t="shared" si="103"/>
        <v>16.963768497957453</v>
      </c>
      <c r="J308" s="85">
        <v>2018</v>
      </c>
      <c r="K308" s="197">
        <f t="shared" si="104"/>
        <v>43394</v>
      </c>
      <c r="L308" s="436">
        <f t="shared" si="105"/>
        <v>1.8832347508844771E-3</v>
      </c>
      <c r="M308" s="854"/>
      <c r="N308" s="854"/>
      <c r="O308" s="324">
        <f t="shared" si="106"/>
        <v>1.4884883146409813E-2</v>
      </c>
      <c r="P308" s="169">
        <f>(INDEX(Models!$BJ308:$BT308,,T308)*(1-R308)+INDEX(Models!$BJ308:$BT308,,T308+1)*R308-ERP_i)*Q308*Ramure*Pc/MaxiM</f>
        <v>8.3563359388533487E-3</v>
      </c>
      <c r="Q308" s="305">
        <f t="shared" si="107"/>
        <v>0.8</v>
      </c>
      <c r="R308" s="177">
        <f t="shared" si="108"/>
        <v>0.597667561466112</v>
      </c>
      <c r="S308" s="809">
        <f t="shared" si="126"/>
        <v>0</v>
      </c>
      <c r="T308" s="176">
        <f t="shared" si="109"/>
        <v>6</v>
      </c>
      <c r="U308" s="251">
        <f t="shared" si="110"/>
        <v>0.597667561466112</v>
      </c>
      <c r="V308" s="383">
        <f t="shared" si="111"/>
        <v>27.921724410162348</v>
      </c>
      <c r="W308" s="58"/>
      <c r="X308" s="157">
        <f t="shared" si="112"/>
        <v>43394</v>
      </c>
      <c r="Y308" s="385">
        <f t="shared" si="113"/>
        <v>16.620999999999999</v>
      </c>
      <c r="Z308" s="385">
        <f t="shared" si="114"/>
        <v>16.652360303608003</v>
      </c>
      <c r="AA308" s="386">
        <f t="shared" si="115"/>
        <v>16.903973981025519</v>
      </c>
      <c r="AB308" s="197">
        <f t="shared" si="116"/>
        <v>43394</v>
      </c>
      <c r="AC308" s="425">
        <f t="shared" si="117"/>
        <v>1.4884883146409813E-2</v>
      </c>
      <c r="AD308" s="169">
        <f>(INDEX(Models!$BJ308:$BT308,,AH308)*(1-AF308)+INDEX(Models!$BJ308:$BT308,,AH308+1)*AF308-ERP_i)*AE308*Ramure*Pc/MaxiM</f>
        <v>8.3563359388533487E-3</v>
      </c>
      <c r="AE308" s="305">
        <f t="shared" si="118"/>
        <v>0.8</v>
      </c>
      <c r="AF308" s="177">
        <f t="shared" si="119"/>
        <v>0.597667561466112</v>
      </c>
      <c r="AG308" s="809">
        <f t="shared" si="120"/>
        <v>0</v>
      </c>
      <c r="AH308" s="176">
        <f t="shared" si="121"/>
        <v>6</v>
      </c>
      <c r="AI308" s="225">
        <f t="shared" si="122"/>
        <v>0.597667561466112</v>
      </c>
      <c r="AJ308" s="265" t="b">
        <f t="shared" si="123"/>
        <v>0</v>
      </c>
      <c r="AK308" s="265" t="b">
        <f t="shared" si="124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5"/>
        <v>43395</v>
      </c>
      <c r="B309" s="616">
        <v>20.102</v>
      </c>
      <c r="C309" s="390"/>
      <c r="D309" s="393">
        <f t="shared" si="102"/>
        <v>20.140396909149761</v>
      </c>
      <c r="E309" s="385">
        <f t="shared" si="128"/>
        <v>20.448157796919414</v>
      </c>
      <c r="F309" s="385">
        <f t="shared" si="127"/>
        <v>20.551479373219394</v>
      </c>
      <c r="G309" s="110">
        <f t="shared" si="129"/>
        <v>0.72696618249737455</v>
      </c>
      <c r="I309" s="380">
        <f t="shared" si="103"/>
        <v>20.551479373219394</v>
      </c>
      <c r="J309" s="85">
        <v>2018</v>
      </c>
      <c r="K309" s="197">
        <f t="shared" si="104"/>
        <v>43395</v>
      </c>
      <c r="L309" s="436">
        <f t="shared" si="105"/>
        <v>1.9064623861665408E-3</v>
      </c>
      <c r="M309" s="854"/>
      <c r="N309" s="854"/>
      <c r="O309" s="324">
        <f t="shared" si="106"/>
        <v>1.5050787989127158E-2</v>
      </c>
      <c r="P309" s="169">
        <f>(INDEX(Models!$BJ309:$BT309,,T309)*(1-R309)+INDEX(Models!$BJ309:$BT309,,T309+1)*R309-ERP_i)*Q309*Ramure*Pc/MaxiM</f>
        <v>8.1977611921188621E-3</v>
      </c>
      <c r="Q309" s="305">
        <f t="shared" si="107"/>
        <v>0.8</v>
      </c>
      <c r="R309" s="177">
        <f t="shared" si="108"/>
        <v>0.59776906138512709</v>
      </c>
      <c r="S309" s="809">
        <f t="shared" si="126"/>
        <v>0</v>
      </c>
      <c r="T309" s="176">
        <f t="shared" si="109"/>
        <v>6</v>
      </c>
      <c r="U309" s="251">
        <f t="shared" si="110"/>
        <v>0.59776906138512709</v>
      </c>
      <c r="V309" s="383">
        <f t="shared" si="111"/>
        <v>27.563797204154568</v>
      </c>
      <c r="W309" s="58"/>
      <c r="X309" s="157">
        <f t="shared" si="112"/>
        <v>43395</v>
      </c>
      <c r="Y309" s="385">
        <f t="shared" si="113"/>
        <v>20.102</v>
      </c>
      <c r="Z309" s="385">
        <f t="shared" si="114"/>
        <v>20.140396909149761</v>
      </c>
      <c r="AA309" s="386">
        <f t="shared" si="115"/>
        <v>20.448157796919414</v>
      </c>
      <c r="AB309" s="197">
        <f t="shared" si="116"/>
        <v>43395</v>
      </c>
      <c r="AC309" s="425">
        <f t="shared" si="117"/>
        <v>1.5050787989127158E-2</v>
      </c>
      <c r="AD309" s="169">
        <f>(INDEX(Models!$BJ309:$BT309,,AH309)*(1-AF309)+INDEX(Models!$BJ309:$BT309,,AH309+1)*AF309-ERP_i)*AE309*Ramure*Pc/MaxiM</f>
        <v>8.1977611921188621E-3</v>
      </c>
      <c r="AE309" s="305">
        <f t="shared" si="118"/>
        <v>0.8</v>
      </c>
      <c r="AF309" s="177">
        <f t="shared" si="119"/>
        <v>0.59776906138512709</v>
      </c>
      <c r="AG309" s="809">
        <f t="shared" si="120"/>
        <v>0</v>
      </c>
      <c r="AH309" s="176">
        <f t="shared" si="121"/>
        <v>6</v>
      </c>
      <c r="AI309" s="225">
        <f t="shared" si="122"/>
        <v>0.59776906138512709</v>
      </c>
      <c r="AJ309" s="265" t="b">
        <f t="shared" si="123"/>
        <v>0</v>
      </c>
      <c r="AK309" s="265" t="b">
        <f t="shared" si="124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5"/>
        <v>43396</v>
      </c>
      <c r="B310" s="616">
        <v>27.687000000000001</v>
      </c>
      <c r="C310" s="390"/>
      <c r="D310" s="393">
        <f t="shared" si="102"/>
        <v>27.740530610113133</v>
      </c>
      <c r="E310" s="385">
        <f t="shared" si="128"/>
        <v>28.169156216343289</v>
      </c>
      <c r="F310" s="385">
        <f t="shared" si="127"/>
        <v>28.397562274413175</v>
      </c>
      <c r="G310" s="110">
        <f t="shared" si="129"/>
        <v>1.017574065751655</v>
      </c>
      <c r="I310" s="380">
        <f t="shared" si="103"/>
        <v>28.397562274413175</v>
      </c>
      <c r="J310" s="85">
        <v>2018</v>
      </c>
      <c r="K310" s="197">
        <f t="shared" si="104"/>
        <v>43396</v>
      </c>
      <c r="L310" s="436">
        <f t="shared" si="105"/>
        <v>1.9296894809076592E-3</v>
      </c>
      <c r="M310" s="854"/>
      <c r="N310" s="854"/>
      <c r="O310" s="324">
        <f t="shared" si="106"/>
        <v>1.5216132245433446E-2</v>
      </c>
      <c r="P310" s="169">
        <f>(INDEX(Models!$BJ310:$BT310,,T310)*(1-R310)+INDEX(Models!$BJ310:$BT310,,T310+1)*R310-ERP_i)*Q310*Ramure*Pc/MaxiM</f>
        <v>8.0431572211282082E-3</v>
      </c>
      <c r="Q310" s="305">
        <f t="shared" si="107"/>
        <v>0.8</v>
      </c>
      <c r="R310" s="177">
        <f t="shared" si="108"/>
        <v>0.59786650700331323</v>
      </c>
      <c r="S310" s="809">
        <f t="shared" si="126"/>
        <v>0</v>
      </c>
      <c r="T310" s="176">
        <f t="shared" si="109"/>
        <v>6</v>
      </c>
      <c r="U310" s="251">
        <f t="shared" si="110"/>
        <v>0.59786650700331323</v>
      </c>
      <c r="V310" s="383">
        <f t="shared" si="111"/>
        <v>27.208830228538059</v>
      </c>
      <c r="W310" s="58"/>
      <c r="X310" s="157">
        <f t="shared" si="112"/>
        <v>43396</v>
      </c>
      <c r="Y310" s="385">
        <f t="shared" si="113"/>
        <v>27.687000000000001</v>
      </c>
      <c r="Z310" s="385">
        <f t="shared" si="114"/>
        <v>27.740530610113133</v>
      </c>
      <c r="AA310" s="386">
        <f t="shared" si="115"/>
        <v>28.169156216343289</v>
      </c>
      <c r="AB310" s="197">
        <f t="shared" si="116"/>
        <v>43396</v>
      </c>
      <c r="AC310" s="425">
        <f t="shared" si="117"/>
        <v>1.5216132245433446E-2</v>
      </c>
      <c r="AD310" s="169">
        <f>(INDEX(Models!$BJ310:$BT310,,AH310)*(1-AF310)+INDEX(Models!$BJ310:$BT310,,AH310+1)*AF310-ERP_i)*AE310*Ramure*Pc/MaxiM</f>
        <v>8.0431572211282082E-3</v>
      </c>
      <c r="AE310" s="305">
        <f t="shared" si="118"/>
        <v>0.8</v>
      </c>
      <c r="AF310" s="177">
        <f t="shared" si="119"/>
        <v>0.59786650700331323</v>
      </c>
      <c r="AG310" s="809">
        <f t="shared" si="120"/>
        <v>0</v>
      </c>
      <c r="AH310" s="176">
        <f t="shared" si="121"/>
        <v>6</v>
      </c>
      <c r="AI310" s="225">
        <f t="shared" si="122"/>
        <v>0.59786650700331323</v>
      </c>
      <c r="AJ310" s="265" t="b">
        <f t="shared" si="123"/>
        <v>0</v>
      </c>
      <c r="AK310" s="265" t="b">
        <f t="shared" si="124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5"/>
        <v>43397</v>
      </c>
      <c r="B311" s="616">
        <v>27.699000000000002</v>
      </c>
      <c r="C311" s="390"/>
      <c r="D311" s="393">
        <f t="shared" si="102"/>
        <v>27.753199668658819</v>
      </c>
      <c r="E311" s="385">
        <f t="shared" si="128"/>
        <v>28.186737704931925</v>
      </c>
      <c r="F311" s="385">
        <f t="shared" si="127"/>
        <v>28.410947539123171</v>
      </c>
      <c r="G311" s="110">
        <f t="shared" si="129"/>
        <v>1.0313486789971422</v>
      </c>
      <c r="I311" s="380">
        <f t="shared" si="103"/>
        <v>28.410947539123171</v>
      </c>
      <c r="J311" s="85">
        <v>2018</v>
      </c>
      <c r="K311" s="197">
        <f t="shared" si="104"/>
        <v>43397</v>
      </c>
      <c r="L311" s="436">
        <f t="shared" si="105"/>
        <v>1.9529160351202668E-3</v>
      </c>
      <c r="M311" s="854"/>
      <c r="N311" s="854"/>
      <c r="O311" s="324">
        <f t="shared" si="106"/>
        <v>1.5380922787572074E-2</v>
      </c>
      <c r="P311" s="169">
        <f>(INDEX(Models!$BJ311:$BT311,,T311)*(1-R311)+INDEX(Models!$BJ311:$BT311,,T311+1)*R311-ERP_i)*Q311*Ramure*Pc/MaxiM</f>
        <v>7.8916704162189689E-3</v>
      </c>
      <c r="Q311" s="305">
        <f t="shared" si="107"/>
        <v>0.8</v>
      </c>
      <c r="R311" s="177">
        <f t="shared" si="108"/>
        <v>0.59796005901818439</v>
      </c>
      <c r="S311" s="809">
        <f t="shared" si="126"/>
        <v>0</v>
      </c>
      <c r="T311" s="176">
        <f t="shared" si="109"/>
        <v>6</v>
      </c>
      <c r="U311" s="251">
        <f t="shared" si="110"/>
        <v>0.59796005901818439</v>
      </c>
      <c r="V311" s="383">
        <f t="shared" si="111"/>
        <v>26.857066445204371</v>
      </c>
      <c r="W311" s="58"/>
      <c r="X311" s="157">
        <f t="shared" si="112"/>
        <v>43397</v>
      </c>
      <c r="Y311" s="385">
        <f t="shared" si="113"/>
        <v>27.699000000000002</v>
      </c>
      <c r="Z311" s="385">
        <f t="shared" si="114"/>
        <v>27.753199668658819</v>
      </c>
      <c r="AA311" s="386">
        <f t="shared" si="115"/>
        <v>28.186737704931925</v>
      </c>
      <c r="AB311" s="197">
        <f t="shared" si="116"/>
        <v>43397</v>
      </c>
      <c r="AC311" s="425">
        <f t="shared" si="117"/>
        <v>1.5380922787572074E-2</v>
      </c>
      <c r="AD311" s="169">
        <f>(INDEX(Models!$BJ311:$BT311,,AH311)*(1-AF311)+INDEX(Models!$BJ311:$BT311,,AH311+1)*AF311-ERP_i)*AE311*Ramure*Pc/MaxiM</f>
        <v>7.8916704162189689E-3</v>
      </c>
      <c r="AE311" s="305">
        <f t="shared" si="118"/>
        <v>0.8</v>
      </c>
      <c r="AF311" s="177">
        <f t="shared" si="119"/>
        <v>0.59796005901818439</v>
      </c>
      <c r="AG311" s="809">
        <f t="shared" si="120"/>
        <v>0</v>
      </c>
      <c r="AH311" s="176">
        <f t="shared" si="121"/>
        <v>6</v>
      </c>
      <c r="AI311" s="225">
        <f t="shared" si="122"/>
        <v>0.59796005901818439</v>
      </c>
      <c r="AJ311" s="265" t="b">
        <f t="shared" si="123"/>
        <v>0</v>
      </c>
      <c r="AK311" s="265" t="b">
        <f t="shared" si="124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5"/>
        <v>43398</v>
      </c>
      <c r="B312" s="616">
        <v>26.853000000000002</v>
      </c>
      <c r="C312" s="390"/>
      <c r="D312" s="393">
        <f t="shared" si="102"/>
        <v>26.906170414729186</v>
      </c>
      <c r="E312" s="385">
        <f t="shared" si="128"/>
        <v>27.331035951708238</v>
      </c>
      <c r="F312" s="385">
        <f t="shared" si="127"/>
        <v>27.544324929727701</v>
      </c>
      <c r="G312" s="110">
        <f t="shared" si="129"/>
        <v>1.0129874308464382</v>
      </c>
      <c r="I312" s="380">
        <f t="shared" si="103"/>
        <v>27.544324929727701</v>
      </c>
      <c r="J312" s="85">
        <v>2018</v>
      </c>
      <c r="K312" s="197">
        <f t="shared" si="104"/>
        <v>43398</v>
      </c>
      <c r="L312" s="436">
        <f t="shared" si="105"/>
        <v>1.9761420488171311E-3</v>
      </c>
      <c r="M312" s="854"/>
      <c r="N312" s="854"/>
      <c r="O312" s="324">
        <f t="shared" si="106"/>
        <v>1.5545167688841189E-2</v>
      </c>
      <c r="P312" s="169">
        <f>(INDEX(Models!$BJ312:$BT312,,T312)*(1-R312)+INDEX(Models!$BJ312:$BT312,,T312+1)*R312-ERP_i)*Q312*Ramure*Pc/MaxiM</f>
        <v>7.7434817721478413E-3</v>
      </c>
      <c r="Q312" s="305">
        <f t="shared" si="107"/>
        <v>0.8</v>
      </c>
      <c r="R312" s="177">
        <f t="shared" si="108"/>
        <v>0.59804987185587433</v>
      </c>
      <c r="S312" s="809">
        <f t="shared" si="126"/>
        <v>0</v>
      </c>
      <c r="T312" s="176">
        <f t="shared" si="109"/>
        <v>6</v>
      </c>
      <c r="U312" s="251">
        <f t="shared" si="110"/>
        <v>0.59804987185587433</v>
      </c>
      <c r="V312" s="383">
        <f t="shared" si="111"/>
        <v>26.508719834324111</v>
      </c>
      <c r="W312" s="58"/>
      <c r="X312" s="157">
        <f t="shared" si="112"/>
        <v>43398</v>
      </c>
      <c r="Y312" s="385">
        <f t="shared" si="113"/>
        <v>26.853000000000002</v>
      </c>
      <c r="Z312" s="385">
        <f t="shared" si="114"/>
        <v>26.906170414729186</v>
      </c>
      <c r="AA312" s="386">
        <f t="shared" si="115"/>
        <v>27.331035951708238</v>
      </c>
      <c r="AB312" s="197">
        <f t="shared" si="116"/>
        <v>43398</v>
      </c>
      <c r="AC312" s="425">
        <f t="shared" si="117"/>
        <v>1.5545167688841189E-2</v>
      </c>
      <c r="AD312" s="169">
        <f>(INDEX(Models!$BJ312:$BT312,,AH312)*(1-AF312)+INDEX(Models!$BJ312:$BT312,,AH312+1)*AF312-ERP_i)*AE312*Ramure*Pc/MaxiM</f>
        <v>7.7434817721478413E-3</v>
      </c>
      <c r="AE312" s="305">
        <f t="shared" si="118"/>
        <v>0.8</v>
      </c>
      <c r="AF312" s="177">
        <f t="shared" si="119"/>
        <v>0.59804987185587433</v>
      </c>
      <c r="AG312" s="809">
        <f t="shared" si="120"/>
        <v>0</v>
      </c>
      <c r="AH312" s="176">
        <f t="shared" si="121"/>
        <v>6</v>
      </c>
      <c r="AI312" s="225">
        <f t="shared" si="122"/>
        <v>0.59804987185587433</v>
      </c>
      <c r="AJ312" s="265" t="b">
        <f t="shared" si="123"/>
        <v>0</v>
      </c>
      <c r="AK312" s="265" t="b">
        <f t="shared" si="124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5"/>
        <v>43399</v>
      </c>
      <c r="B313" s="616">
        <v>3.7519999999999998</v>
      </c>
      <c r="C313" s="390"/>
      <c r="D313" s="393">
        <f t="shared" si="102"/>
        <v>3.7595166554994637</v>
      </c>
      <c r="E313" s="385">
        <f t="shared" si="128"/>
        <v>3.8195169748854676</v>
      </c>
      <c r="F313" s="385">
        <f t="shared" si="127"/>
        <v>3.8195169748854676</v>
      </c>
      <c r="G313" s="110">
        <f t="shared" si="129"/>
        <v>0.14231343691687343</v>
      </c>
      <c r="I313" s="380">
        <f t="shared" si="103"/>
        <v>3.8195169748854676</v>
      </c>
      <c r="J313" s="85">
        <v>2018</v>
      </c>
      <c r="K313" s="197">
        <f t="shared" si="104"/>
        <v>43399</v>
      </c>
      <c r="L313" s="436">
        <f t="shared" si="105"/>
        <v>1.9993675220106866E-3</v>
      </c>
      <c r="M313" s="854"/>
      <c r="N313" s="854"/>
      <c r="O313" s="324">
        <f t="shared" si="106"/>
        <v>1.5708876221921523E-2</v>
      </c>
      <c r="P313" s="169">
        <f>(INDEX(Models!$BJ313:$BT313,,T313)*(1-R313)+INDEX(Models!$BJ313:$BT313,,T313+1)*R313-ERP_i)*Q313*Ramure*Pc/MaxiM</f>
        <v>7.5987071183339127E-3</v>
      </c>
      <c r="Q313" s="305">
        <f t="shared" si="107"/>
        <v>0.8</v>
      </c>
      <c r="R313" s="177">
        <f t="shared" si="108"/>
        <v>0.5981360939081497</v>
      </c>
      <c r="S313" s="809">
        <f t="shared" si="126"/>
        <v>0</v>
      </c>
      <c r="T313" s="176">
        <f t="shared" si="109"/>
        <v>6</v>
      </c>
      <c r="U313" s="251">
        <f t="shared" si="110"/>
        <v>0.5981360939081497</v>
      </c>
      <c r="V313" s="383">
        <f t="shared" si="111"/>
        <v>26.164006235524585</v>
      </c>
      <c r="W313" s="58"/>
      <c r="X313" s="157">
        <f t="shared" si="112"/>
        <v>43399</v>
      </c>
      <c r="Y313" s="385">
        <f t="shared" si="113"/>
        <v>3.7519999999999998</v>
      </c>
      <c r="Z313" s="385">
        <f t="shared" si="114"/>
        <v>3.7595166554994637</v>
      </c>
      <c r="AA313" s="386">
        <f t="shared" si="115"/>
        <v>3.8195169748854676</v>
      </c>
      <c r="AB313" s="197">
        <f t="shared" si="116"/>
        <v>43399</v>
      </c>
      <c r="AC313" s="425">
        <f t="shared" si="117"/>
        <v>1.5708876221921523E-2</v>
      </c>
      <c r="AD313" s="169">
        <f>(INDEX(Models!$BJ313:$BT313,,AH313)*(1-AF313)+INDEX(Models!$BJ313:$BT313,,AH313+1)*AF313-ERP_i)*AE313*Ramure*Pc/MaxiM</f>
        <v>7.5987071183339127E-3</v>
      </c>
      <c r="AE313" s="305">
        <f t="shared" si="118"/>
        <v>0.8</v>
      </c>
      <c r="AF313" s="177">
        <f t="shared" si="119"/>
        <v>0.5981360939081497</v>
      </c>
      <c r="AG313" s="809">
        <f t="shared" si="120"/>
        <v>0</v>
      </c>
      <c r="AH313" s="176">
        <f t="shared" si="121"/>
        <v>6</v>
      </c>
      <c r="AI313" s="225">
        <f t="shared" si="122"/>
        <v>0.5981360939081497</v>
      </c>
      <c r="AJ313" s="265" t="b">
        <f t="shared" si="123"/>
        <v>0</v>
      </c>
      <c r="AK313" s="265" t="b">
        <f t="shared" si="124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5"/>
        <v>43400</v>
      </c>
      <c r="B314" s="616">
        <v>9.048</v>
      </c>
      <c r="C314" s="390"/>
      <c r="D314" s="393">
        <f t="shared" si="102"/>
        <v>9.0663375058311804</v>
      </c>
      <c r="E314" s="385">
        <f t="shared" si="128"/>
        <v>9.2125597970862305</v>
      </c>
      <c r="F314" s="385">
        <f t="shared" si="127"/>
        <v>9.2175073914513739</v>
      </c>
      <c r="G314" s="110">
        <f>+Wh_hp/MaxiM</f>
        <v>0.34795719376063899</v>
      </c>
      <c r="I314" s="380">
        <f t="shared" si="103"/>
        <v>9.2175073914513739</v>
      </c>
      <c r="J314" s="85">
        <v>2018</v>
      </c>
      <c r="K314" s="197">
        <f t="shared" si="104"/>
        <v>43400</v>
      </c>
      <c r="L314" s="436">
        <f t="shared" si="105"/>
        <v>2.0225924547134788E-3</v>
      </c>
      <c r="M314" s="854"/>
      <c r="N314" s="854"/>
      <c r="O314" s="324">
        <f t="shared" si="106"/>
        <v>1.5872058849625819E-2</v>
      </c>
      <c r="P314" s="169">
        <f>(INDEX(Models!$BJ314:$BT314,,T314)*(1-R314)+INDEX(Models!$BJ314:$BT314,,T314+1)*R314-ERP_i)*Q314*Ramure*Pc/MaxiM</f>
        <v>7.457464529443637E-3</v>
      </c>
      <c r="Q314" s="305">
        <f t="shared" si="107"/>
        <v>0.8</v>
      </c>
      <c r="R314" s="177">
        <f t="shared" si="108"/>
        <v>0.59821886776108246</v>
      </c>
      <c r="S314" s="809">
        <f t="shared" si="126"/>
        <v>0</v>
      </c>
      <c r="T314" s="176">
        <f t="shared" si="109"/>
        <v>6</v>
      </c>
      <c r="U314" s="251">
        <f t="shared" si="110"/>
        <v>0.59821886776108246</v>
      </c>
      <c r="V314" s="383">
        <f t="shared" si="111"/>
        <v>25.823141473531976</v>
      </c>
      <c r="W314" s="58"/>
      <c r="X314" s="157">
        <f t="shared" si="112"/>
        <v>43400</v>
      </c>
      <c r="Y314" s="385">
        <f t="shared" si="113"/>
        <v>9.048</v>
      </c>
      <c r="Z314" s="385">
        <f t="shared" si="114"/>
        <v>9.0663375058311804</v>
      </c>
      <c r="AA314" s="386">
        <f t="shared" si="115"/>
        <v>9.2125597970862305</v>
      </c>
      <c r="AB314" s="197">
        <f t="shared" si="116"/>
        <v>43400</v>
      </c>
      <c r="AC314" s="425">
        <f t="shared" si="117"/>
        <v>1.5872058849625819E-2</v>
      </c>
      <c r="AD314" s="169">
        <f>(INDEX(Models!$BJ314:$BT314,,AH314)*(1-AF314)+INDEX(Models!$BJ314:$BT314,,AH314+1)*AF314-ERP_i)*AE314*Ramure*Pc/MaxiM</f>
        <v>7.457464529443637E-3</v>
      </c>
      <c r="AE314" s="305">
        <f t="shared" si="118"/>
        <v>0.8</v>
      </c>
      <c r="AF314" s="177">
        <f t="shared" si="119"/>
        <v>0.59821886776108246</v>
      </c>
      <c r="AG314" s="809">
        <f t="shared" si="120"/>
        <v>0</v>
      </c>
      <c r="AH314" s="176">
        <f t="shared" si="121"/>
        <v>6</v>
      </c>
      <c r="AI314" s="225">
        <f t="shared" si="122"/>
        <v>0.59821886776108246</v>
      </c>
      <c r="AJ314" s="265" t="b">
        <f t="shared" si="123"/>
        <v>0</v>
      </c>
      <c r="AK314" s="265" t="b">
        <f t="shared" si="124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5"/>
        <v>43401</v>
      </c>
      <c r="B315" s="616">
        <v>3.851</v>
      </c>
      <c r="C315" s="390"/>
      <c r="D315" s="393">
        <f t="shared" si="102"/>
        <v>3.8588945915659845</v>
      </c>
      <c r="E315" s="385">
        <f t="shared" si="128"/>
        <v>3.9217792520422052</v>
      </c>
      <c r="F315" s="385">
        <f t="shared" si="127"/>
        <v>3.9217792520422052</v>
      </c>
      <c r="G315" s="110">
        <f t="shared" si="129"/>
        <v>0.14999450536601172</v>
      </c>
      <c r="I315" s="380">
        <f t="shared" si="103"/>
        <v>3.9217792520422052</v>
      </c>
      <c r="J315" s="85">
        <v>2018</v>
      </c>
      <c r="K315" s="197">
        <f t="shared" si="104"/>
        <v>43401</v>
      </c>
      <c r="L315" s="436">
        <f t="shared" si="105"/>
        <v>2.0458168469382754E-3</v>
      </c>
      <c r="M315" s="854"/>
      <c r="N315" s="854"/>
      <c r="O315" s="324">
        <f t="shared" si="106"/>
        <v>1.6034727207931077E-2</v>
      </c>
      <c r="P315" s="169">
        <f>(INDEX(Models!$BJ315:$BT315,,T315)*(1-R315)+INDEX(Models!$BJ315:$BT315,,T315+1)*R315-ERP_i)*Q315*Ramure*Pc/MaxiM</f>
        <v>7.3198738895971774E-3</v>
      </c>
      <c r="Q315" s="305">
        <f t="shared" si="107"/>
        <v>0.8</v>
      </c>
      <c r="R315" s="177">
        <f t="shared" si="108"/>
        <v>0.59829833041562097</v>
      </c>
      <c r="S315" s="809">
        <f t="shared" si="126"/>
        <v>0</v>
      </c>
      <c r="T315" s="176">
        <f t="shared" si="109"/>
        <v>6</v>
      </c>
      <c r="U315" s="251">
        <f t="shared" si="110"/>
        <v>0.59829833041562097</v>
      </c>
      <c r="V315" s="383">
        <f t="shared" si="111"/>
        <v>25.486341358457505</v>
      </c>
      <c r="W315" s="58"/>
      <c r="X315" s="157">
        <f t="shared" si="112"/>
        <v>43401</v>
      </c>
      <c r="Y315" s="385">
        <f t="shared" si="113"/>
        <v>3.851</v>
      </c>
      <c r="Z315" s="385">
        <f t="shared" si="114"/>
        <v>3.8588945915659845</v>
      </c>
      <c r="AA315" s="386">
        <f t="shared" si="115"/>
        <v>3.9217792520422052</v>
      </c>
      <c r="AB315" s="197">
        <f t="shared" si="116"/>
        <v>43401</v>
      </c>
      <c r="AC315" s="425">
        <f t="shared" si="117"/>
        <v>1.6034727207931077E-2</v>
      </c>
      <c r="AD315" s="169">
        <f>(INDEX(Models!$BJ315:$BT315,,AH315)*(1-AF315)+INDEX(Models!$BJ315:$BT315,,AH315+1)*AF315-ERP_i)*AE315*Ramure*Pc/MaxiM</f>
        <v>7.3198738895971774E-3</v>
      </c>
      <c r="AE315" s="305">
        <f t="shared" si="118"/>
        <v>0.8</v>
      </c>
      <c r="AF315" s="177">
        <f t="shared" si="119"/>
        <v>0.59829833041562097</v>
      </c>
      <c r="AG315" s="809">
        <f t="shared" si="120"/>
        <v>0</v>
      </c>
      <c r="AH315" s="176">
        <f t="shared" si="121"/>
        <v>6</v>
      </c>
      <c r="AI315" s="225">
        <f t="shared" si="122"/>
        <v>0.59829833041562097</v>
      </c>
      <c r="AJ315" s="265" t="b">
        <f t="shared" si="123"/>
        <v>0</v>
      </c>
      <c r="AK315" s="265" t="b">
        <f t="shared" si="124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5"/>
        <v>43402</v>
      </c>
      <c r="B316" s="616">
        <v>4.3760000000000003</v>
      </c>
      <c r="C316" s="390"/>
      <c r="D316" s="393">
        <f t="shared" si="102"/>
        <v>4.385072894285031</v>
      </c>
      <c r="E316" s="385">
        <f t="shared" si="128"/>
        <v>4.4572667720842114</v>
      </c>
      <c r="F316" s="385">
        <f t="shared" si="127"/>
        <v>4.4572667720842114</v>
      </c>
      <c r="G316" s="110">
        <f t="shared" si="129"/>
        <v>0.1727194328501078</v>
      </c>
      <c r="I316" s="380">
        <f t="shared" si="103"/>
        <v>4.4572667720842114</v>
      </c>
      <c r="J316" s="85">
        <v>2018</v>
      </c>
      <c r="K316" s="197">
        <f t="shared" si="104"/>
        <v>43402</v>
      </c>
      <c r="L316" s="436">
        <f t="shared" si="105"/>
        <v>2.0690406986973997E-3</v>
      </c>
      <c r="M316" s="854"/>
      <c r="N316" s="854"/>
      <c r="O316" s="324">
        <f t="shared" si="106"/>
        <v>1.6196894081218077E-2</v>
      </c>
      <c r="P316" s="169">
        <f>(INDEX(Models!$BJ316:$BT316,,T316)*(1-R316)+INDEX(Models!$BJ316:$BT316,,T316+1)*R316-ERP_i)*Q316*Ramure*Pc/MaxiM</f>
        <v>7.1860564452254552E-3</v>
      </c>
      <c r="Q316" s="305">
        <f t="shared" si="107"/>
        <v>0.8</v>
      </c>
      <c r="R316" s="177">
        <f t="shared" si="108"/>
        <v>0.5983746135003043</v>
      </c>
      <c r="S316" s="809">
        <f t="shared" si="126"/>
        <v>0</v>
      </c>
      <c r="T316" s="176">
        <f t="shared" si="109"/>
        <v>6</v>
      </c>
      <c r="U316" s="251">
        <f t="shared" si="110"/>
        <v>0.5983746135003043</v>
      </c>
      <c r="V316" s="383">
        <f t="shared" si="111"/>
        <v>25.153821693972656</v>
      </c>
      <c r="W316" s="58"/>
      <c r="X316" s="157">
        <f t="shared" si="112"/>
        <v>43402</v>
      </c>
      <c r="Y316" s="385">
        <f t="shared" si="113"/>
        <v>4.3760000000000003</v>
      </c>
      <c r="Z316" s="385">
        <f t="shared" si="114"/>
        <v>4.385072894285031</v>
      </c>
      <c r="AA316" s="386">
        <f t="shared" si="115"/>
        <v>4.4572667720842114</v>
      </c>
      <c r="AB316" s="197">
        <f t="shared" si="116"/>
        <v>43402</v>
      </c>
      <c r="AC316" s="425">
        <f t="shared" si="117"/>
        <v>1.6196894081218077E-2</v>
      </c>
      <c r="AD316" s="169">
        <f>(INDEX(Models!$BJ316:$BT316,,AH316)*(1-AF316)+INDEX(Models!$BJ316:$BT316,,AH316+1)*AF316-ERP_i)*AE316*Ramure*Pc/MaxiM</f>
        <v>7.1860564452254552E-3</v>
      </c>
      <c r="AE316" s="305">
        <f t="shared" si="118"/>
        <v>0.8</v>
      </c>
      <c r="AF316" s="177">
        <f t="shared" si="119"/>
        <v>0.5983746135003043</v>
      </c>
      <c r="AG316" s="809">
        <f t="shared" si="120"/>
        <v>0</v>
      </c>
      <c r="AH316" s="176">
        <f t="shared" si="121"/>
        <v>6</v>
      </c>
      <c r="AI316" s="225">
        <f t="shared" si="122"/>
        <v>0.5983746135003043</v>
      </c>
      <c r="AJ316" s="265" t="b">
        <f t="shared" si="123"/>
        <v>0</v>
      </c>
      <c r="AK316" s="265" t="b">
        <f t="shared" si="124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5"/>
        <v>43403</v>
      </c>
      <c r="B317" s="616">
        <v>22.524000000000001</v>
      </c>
      <c r="C317" s="390"/>
      <c r="D317" s="393">
        <f t="shared" si="102"/>
        <v>22.571224961648955</v>
      </c>
      <c r="E317" s="385">
        <f t="shared" si="128"/>
        <v>22.946598578073626</v>
      </c>
      <c r="F317" s="385">
        <f t="shared" si="127"/>
        <v>23.087963122403949</v>
      </c>
      <c r="G317" s="110">
        <f t="shared" si="129"/>
        <v>0.90650977446551539</v>
      </c>
      <c r="I317" s="380">
        <f t="shared" si="103"/>
        <v>23.087963122403949</v>
      </c>
      <c r="J317" s="85">
        <v>2018</v>
      </c>
      <c r="K317" s="197">
        <f t="shared" si="104"/>
        <v>43403</v>
      </c>
      <c r="L317" s="436">
        <f t="shared" si="105"/>
        <v>2.0922640100036194E-3</v>
      </c>
      <c r="M317" s="854"/>
      <c r="N317" s="854"/>
      <c r="O317" s="324">
        <f t="shared" si="106"/>
        <v>1.6358573369708643E-2</v>
      </c>
      <c r="P317" s="169">
        <f>(INDEX(Models!$BJ317:$BT317,,T317)*(1-R317)+INDEX(Models!$BJ317:$BT317,,T317+1)*R317-ERP_i)*Q317*Ramure*Pc/MaxiM</f>
        <v>7.0567549614810945E-3</v>
      </c>
      <c r="Q317" s="305">
        <f t="shared" si="107"/>
        <v>0.8</v>
      </c>
      <c r="R317" s="177">
        <f t="shared" si="108"/>
        <v>0.5984478434763556</v>
      </c>
      <c r="S317" s="809">
        <f t="shared" si="126"/>
        <v>0</v>
      </c>
      <c r="T317" s="176">
        <f t="shared" si="109"/>
        <v>6</v>
      </c>
      <c r="U317" s="251">
        <f t="shared" si="110"/>
        <v>0.5984478434763556</v>
      </c>
      <c r="V317" s="383">
        <f t="shared" si="111"/>
        <v>24.823599447710659</v>
      </c>
      <c r="W317" s="58"/>
      <c r="X317" s="157">
        <f t="shared" si="112"/>
        <v>43403</v>
      </c>
      <c r="Y317" s="385">
        <f t="shared" si="113"/>
        <v>22.524000000000001</v>
      </c>
      <c r="Z317" s="385">
        <f t="shared" si="114"/>
        <v>22.571224961648955</v>
      </c>
      <c r="AA317" s="386">
        <f t="shared" si="115"/>
        <v>22.946598578073626</v>
      </c>
      <c r="AB317" s="197">
        <f t="shared" si="116"/>
        <v>43403</v>
      </c>
      <c r="AC317" s="425">
        <f t="shared" si="117"/>
        <v>1.6358573369708643E-2</v>
      </c>
      <c r="AD317" s="169">
        <f>(INDEX(Models!$BJ317:$BT317,,AH317)*(1-AF317)+INDEX(Models!$BJ317:$BT317,,AH317+1)*AF317-ERP_i)*AE317*Ramure*Pc/MaxiM</f>
        <v>7.0567549614810945E-3</v>
      </c>
      <c r="AE317" s="305">
        <f t="shared" si="118"/>
        <v>0.8</v>
      </c>
      <c r="AF317" s="177">
        <f t="shared" si="119"/>
        <v>0.5984478434763556</v>
      </c>
      <c r="AG317" s="809">
        <f t="shared" si="120"/>
        <v>0</v>
      </c>
      <c r="AH317" s="176">
        <f t="shared" si="121"/>
        <v>6</v>
      </c>
      <c r="AI317" s="225">
        <f t="shared" si="122"/>
        <v>0.5984478434763556</v>
      </c>
      <c r="AJ317" s="265" t="b">
        <f t="shared" si="123"/>
        <v>0</v>
      </c>
      <c r="AK317" s="265" t="b">
        <f t="shared" si="124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5"/>
        <v>43404</v>
      </c>
      <c r="B318" s="616">
        <v>8.8580000000000005</v>
      </c>
      <c r="C318" s="390"/>
      <c r="D318" s="393">
        <f t="shared" si="102"/>
        <v>8.8767787080135072</v>
      </c>
      <c r="E318" s="385">
        <f t="shared" si="128"/>
        <v>9.0258843319260613</v>
      </c>
      <c r="F318" s="385">
        <f t="shared" si="127"/>
        <v>9.031405158474783</v>
      </c>
      <c r="G318" s="110">
        <f t="shared" si="129"/>
        <v>0.35935132164955141</v>
      </c>
      <c r="I318" s="380">
        <f t="shared" si="103"/>
        <v>9.031405158474783</v>
      </c>
      <c r="J318" s="85">
        <v>2018</v>
      </c>
      <c r="K318" s="197">
        <f t="shared" si="104"/>
        <v>43404</v>
      </c>
      <c r="L318" s="436">
        <f t="shared" si="105"/>
        <v>2.1154867808694799E-3</v>
      </c>
      <c r="M318" s="854"/>
      <c r="N318" s="854"/>
      <c r="O318" s="324">
        <f t="shared" si="106"/>
        <v>1.6519780049157339E-2</v>
      </c>
      <c r="P318" s="169">
        <f>(INDEX(Models!$BJ318:$BT318,,T318)*(1-R318)+INDEX(Models!$BJ318:$BT318,,T318+1)*R318-ERP_i)*Q318*Ramure*Pc/MaxiM</f>
        <v>6.9417584413774295E-3</v>
      </c>
      <c r="Q318" s="305">
        <f t="shared" si="107"/>
        <v>0.8</v>
      </c>
      <c r="R318" s="177">
        <f t="shared" si="108"/>
        <v>0.59851814183538865</v>
      </c>
      <c r="S318" s="809">
        <f t="shared" si="126"/>
        <v>0</v>
      </c>
      <c r="T318" s="176">
        <f t="shared" si="109"/>
        <v>6</v>
      </c>
      <c r="U318" s="251">
        <f t="shared" si="110"/>
        <v>0.59851814183538865</v>
      </c>
      <c r="V318" s="383">
        <f t="shared" si="111"/>
        <v>24.493830687285644</v>
      </c>
      <c r="W318" s="58"/>
      <c r="X318" s="157">
        <f t="shared" si="112"/>
        <v>43404</v>
      </c>
      <c r="Y318" s="385">
        <f t="shared" si="113"/>
        <v>8.8580000000000005</v>
      </c>
      <c r="Z318" s="385">
        <f t="shared" si="114"/>
        <v>8.8767787080135072</v>
      </c>
      <c r="AA318" s="386">
        <f t="shared" si="115"/>
        <v>9.0258843319260613</v>
      </c>
      <c r="AB318" s="197">
        <f t="shared" si="116"/>
        <v>43404</v>
      </c>
      <c r="AC318" s="425">
        <f t="shared" si="117"/>
        <v>1.6519780049157339E-2</v>
      </c>
      <c r="AD318" s="169">
        <f>(INDEX(Models!$BJ318:$BT318,,AH318)*(1-AF318)+INDEX(Models!$BJ318:$BT318,,AH318+1)*AF318-ERP_i)*AE318*Ramure*Pc/MaxiM</f>
        <v>6.9417584413774295E-3</v>
      </c>
      <c r="AE318" s="305">
        <f t="shared" si="118"/>
        <v>0.8</v>
      </c>
      <c r="AF318" s="177">
        <f t="shared" si="119"/>
        <v>0.59851814183538865</v>
      </c>
      <c r="AG318" s="809">
        <f t="shared" si="120"/>
        <v>0</v>
      </c>
      <c r="AH318" s="176">
        <f t="shared" si="121"/>
        <v>6</v>
      </c>
      <c r="AI318" s="225">
        <f t="shared" si="122"/>
        <v>0.59851814183538865</v>
      </c>
      <c r="AJ318" s="265" t="b">
        <f t="shared" si="123"/>
        <v>0</v>
      </c>
      <c r="AK318" s="265" t="b">
        <f t="shared" si="124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5"/>
        <v>43405</v>
      </c>
      <c r="B319" s="616">
        <v>18.364000000000001</v>
      </c>
      <c r="C319" s="390"/>
      <c r="D319" s="393">
        <f t="shared" si="102"/>
        <v>18.403359430652671</v>
      </c>
      <c r="E319" s="385">
        <f t="shared" si="128"/>
        <v>18.715544636732599</v>
      </c>
      <c r="F319" s="385">
        <f t="shared" si="127"/>
        <v>18.800007990330968</v>
      </c>
      <c r="G319" s="110">
        <f t="shared" si="129"/>
        <v>0.75814042151801975</v>
      </c>
      <c r="I319" s="380">
        <f t="shared" si="103"/>
        <v>18.800007990330968</v>
      </c>
      <c r="J319" s="85">
        <v>2018</v>
      </c>
      <c r="K319" s="197">
        <f t="shared" si="104"/>
        <v>43405</v>
      </c>
      <c r="L319" s="436">
        <f t="shared" si="105"/>
        <v>2.1387090113076379E-3</v>
      </c>
      <c r="M319" s="854"/>
      <c r="N319" s="854"/>
      <c r="O319" s="324">
        <f t="shared" si="106"/>
        <v>1.6680530122922983E-2</v>
      </c>
      <c r="P319" s="169">
        <f>(INDEX(Models!$BJ319:$BT319,,T319)*(1-R319)+INDEX(Models!$BJ319:$BT319,,T319+1)*R319-ERP_i)*Q319*Ramure*Pc/MaxiM</f>
        <v>6.8377948802329728E-3</v>
      </c>
      <c r="Q319" s="305">
        <f t="shared" si="107"/>
        <v>0.8</v>
      </c>
      <c r="R319" s="177">
        <f t="shared" si="108"/>
        <v>0.59858562528995862</v>
      </c>
      <c r="S319" s="809">
        <f t="shared" si="126"/>
        <v>0</v>
      </c>
      <c r="T319" s="176">
        <f t="shared" si="109"/>
        <v>6</v>
      </c>
      <c r="U319" s="251">
        <f t="shared" si="110"/>
        <v>0.59858562528995862</v>
      </c>
      <c r="V319" s="383">
        <f t="shared" si="111"/>
        <v>24.165366139070915</v>
      </c>
      <c r="W319" s="58"/>
      <c r="X319" s="157">
        <f t="shared" si="112"/>
        <v>43405</v>
      </c>
      <c r="Y319" s="385">
        <f t="shared" si="113"/>
        <v>18.364000000000001</v>
      </c>
      <c r="Z319" s="385">
        <f t="shared" si="114"/>
        <v>18.403359430652671</v>
      </c>
      <c r="AA319" s="386">
        <f t="shared" si="115"/>
        <v>18.715544636732599</v>
      </c>
      <c r="AB319" s="197">
        <f t="shared" si="116"/>
        <v>43405</v>
      </c>
      <c r="AC319" s="425">
        <f t="shared" si="117"/>
        <v>1.6680530122922983E-2</v>
      </c>
      <c r="AD319" s="169">
        <f>(INDEX(Models!$BJ319:$BT319,,AH319)*(1-AF319)+INDEX(Models!$BJ319:$BT319,,AH319+1)*AF319-ERP_i)*AE319*Ramure*Pc/MaxiM</f>
        <v>6.8377948802329728E-3</v>
      </c>
      <c r="AE319" s="305">
        <f t="shared" si="118"/>
        <v>0.8</v>
      </c>
      <c r="AF319" s="177">
        <f t="shared" si="119"/>
        <v>0.59858562528995862</v>
      </c>
      <c r="AG319" s="809">
        <f t="shared" si="120"/>
        <v>0</v>
      </c>
      <c r="AH319" s="176">
        <f t="shared" si="121"/>
        <v>6</v>
      </c>
      <c r="AI319" s="225">
        <f t="shared" si="122"/>
        <v>0.59858562528995862</v>
      </c>
      <c r="AJ319" s="265" t="b">
        <f t="shared" si="123"/>
        <v>0</v>
      </c>
      <c r="AK319" s="265" t="b">
        <f t="shared" si="124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5"/>
        <v>43406</v>
      </c>
      <c r="B320" s="616">
        <v>8.0470000000000006</v>
      </c>
      <c r="C320" s="390"/>
      <c r="D320" s="393">
        <f t="shared" si="102"/>
        <v>8.0644347490728965</v>
      </c>
      <c r="E320" s="385">
        <f t="shared" si="128"/>
        <v>8.2025729727428622</v>
      </c>
      <c r="F320" s="385">
        <f t="shared" si="127"/>
        <v>8.2055424010503764</v>
      </c>
      <c r="G320" s="110">
        <f t="shared" si="129"/>
        <v>0.33540108633706817</v>
      </c>
      <c r="I320" s="380">
        <f t="shared" si="103"/>
        <v>8.2055424010503764</v>
      </c>
      <c r="J320" s="85">
        <v>2018</v>
      </c>
      <c r="K320" s="197">
        <f t="shared" si="104"/>
        <v>43406</v>
      </c>
      <c r="L320" s="436">
        <f t="shared" si="105"/>
        <v>2.1619307013304168E-3</v>
      </c>
      <c r="M320" s="854"/>
      <c r="N320" s="854"/>
      <c r="O320" s="324">
        <f t="shared" si="106"/>
        <v>1.6840840566612274E-2</v>
      </c>
      <c r="P320" s="169">
        <f>(INDEX(Models!$BJ320:$BT320,,T320)*(1-R320)+INDEX(Models!$BJ320:$BT320,,T320+1)*R320-ERP_i)*Q320*Ramure*Pc/MaxiM</f>
        <v>6.7449440573309465E-3</v>
      </c>
      <c r="Q320" s="305">
        <f t="shared" si="107"/>
        <v>0.8</v>
      </c>
      <c r="R320" s="177">
        <f t="shared" si="108"/>
        <v>0.59865040595718355</v>
      </c>
      <c r="S320" s="809">
        <f t="shared" si="126"/>
        <v>0</v>
      </c>
      <c r="T320" s="176">
        <f t="shared" si="109"/>
        <v>6</v>
      </c>
      <c r="U320" s="251">
        <f t="shared" si="110"/>
        <v>0.59865040595718355</v>
      </c>
      <c r="V320" s="383">
        <f t="shared" si="111"/>
        <v>23.838971372416495</v>
      </c>
      <c r="W320" s="58"/>
      <c r="X320" s="157">
        <f t="shared" si="112"/>
        <v>43406</v>
      </c>
      <c r="Y320" s="385">
        <f t="shared" si="113"/>
        <v>8.0470000000000006</v>
      </c>
      <c r="Z320" s="385">
        <f t="shared" si="114"/>
        <v>8.0644347490728965</v>
      </c>
      <c r="AA320" s="386">
        <f t="shared" si="115"/>
        <v>8.2025729727428622</v>
      </c>
      <c r="AB320" s="197">
        <f t="shared" si="116"/>
        <v>43406</v>
      </c>
      <c r="AC320" s="425">
        <f t="shared" si="117"/>
        <v>1.6840840566612274E-2</v>
      </c>
      <c r="AD320" s="169">
        <f>(INDEX(Models!$BJ320:$BT320,,AH320)*(1-AF320)+INDEX(Models!$BJ320:$BT320,,AH320+1)*AF320-ERP_i)*AE320*Ramure*Pc/MaxiM</f>
        <v>6.7449440573309465E-3</v>
      </c>
      <c r="AE320" s="305">
        <f t="shared" si="118"/>
        <v>0.8</v>
      </c>
      <c r="AF320" s="177">
        <f t="shared" si="119"/>
        <v>0.59865040595718355</v>
      </c>
      <c r="AG320" s="809">
        <f t="shared" si="120"/>
        <v>0</v>
      </c>
      <c r="AH320" s="176">
        <f t="shared" si="121"/>
        <v>6</v>
      </c>
      <c r="AI320" s="225">
        <f t="shared" si="122"/>
        <v>0.59865040595718355</v>
      </c>
      <c r="AJ320" s="265" t="b">
        <f t="shared" si="123"/>
        <v>0</v>
      </c>
      <c r="AK320" s="265" t="b">
        <f t="shared" si="124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5"/>
        <v>43407</v>
      </c>
      <c r="B321" s="616">
        <v>23.931000000000001</v>
      </c>
      <c r="C321" s="390"/>
      <c r="D321" s="393">
        <f t="shared" si="102"/>
        <v>23.983407387043901</v>
      </c>
      <c r="E321" s="385">
        <f t="shared" si="128"/>
        <v>24.398194486069944</v>
      </c>
      <c r="F321" s="385">
        <f t="shared" si="127"/>
        <v>24.561857270116509</v>
      </c>
      <c r="G321" s="110">
        <f t="shared" si="129"/>
        <v>1.0176730254186592</v>
      </c>
      <c r="I321" s="380">
        <f t="shared" si="103"/>
        <v>24.561857270116509</v>
      </c>
      <c r="J321" s="85">
        <v>2018</v>
      </c>
      <c r="K321" s="197">
        <f t="shared" si="104"/>
        <v>43407</v>
      </c>
      <c r="L321" s="436">
        <f t="shared" si="105"/>
        <v>2.1851518509505841E-3</v>
      </c>
      <c r="M321" s="854"/>
      <c r="N321" s="854"/>
      <c r="O321" s="324">
        <f t="shared" si="106"/>
        <v>1.7000729265555528E-2</v>
      </c>
      <c r="P321" s="169">
        <f>(INDEX(Models!$BJ321:$BT321,,T321)*(1-R321)+INDEX(Models!$BJ321:$BT321,,T321+1)*R321-ERP_i)*Q321*Ramure*Pc/MaxiM</f>
        <v>6.6632902490516158E-3</v>
      </c>
      <c r="Q321" s="305">
        <f t="shared" si="107"/>
        <v>0.8</v>
      </c>
      <c r="R321" s="177">
        <f t="shared" si="108"/>
        <v>0.59871259153565548</v>
      </c>
      <c r="S321" s="809">
        <f t="shared" si="126"/>
        <v>0</v>
      </c>
      <c r="T321" s="176">
        <f t="shared" si="109"/>
        <v>6</v>
      </c>
      <c r="U321" s="251">
        <f t="shared" si="110"/>
        <v>0.59871259153565548</v>
      </c>
      <c r="V321" s="383">
        <f t="shared" si="111"/>
        <v>23.5154115342254</v>
      </c>
      <c r="W321" s="58"/>
      <c r="X321" s="157">
        <f t="shared" si="112"/>
        <v>43407</v>
      </c>
      <c r="Y321" s="385">
        <f t="shared" si="113"/>
        <v>23.931000000000001</v>
      </c>
      <c r="Z321" s="385">
        <f t="shared" si="114"/>
        <v>23.983407387043901</v>
      </c>
      <c r="AA321" s="386">
        <f t="shared" si="115"/>
        <v>24.398194486069944</v>
      </c>
      <c r="AB321" s="197">
        <f t="shared" si="116"/>
        <v>43407</v>
      </c>
      <c r="AC321" s="425">
        <f t="shared" si="117"/>
        <v>1.7000729265555528E-2</v>
      </c>
      <c r="AD321" s="169">
        <f>(INDEX(Models!$BJ321:$BT321,,AH321)*(1-AF321)+INDEX(Models!$BJ321:$BT321,,AH321+1)*AF321-ERP_i)*AE321*Ramure*Pc/MaxiM</f>
        <v>6.6632902490516158E-3</v>
      </c>
      <c r="AE321" s="305">
        <f t="shared" si="118"/>
        <v>0.8</v>
      </c>
      <c r="AF321" s="177">
        <f t="shared" si="119"/>
        <v>0.59871259153565548</v>
      </c>
      <c r="AG321" s="809">
        <f t="shared" si="120"/>
        <v>0</v>
      </c>
      <c r="AH321" s="176">
        <f t="shared" si="121"/>
        <v>6</v>
      </c>
      <c r="AI321" s="225">
        <f t="shared" si="122"/>
        <v>0.59871259153565548</v>
      </c>
      <c r="AJ321" s="265" t="b">
        <f t="shared" si="123"/>
        <v>0</v>
      </c>
      <c r="AK321" s="265" t="b">
        <f t="shared" si="124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5"/>
        <v>43408</v>
      </c>
      <c r="B322" s="616">
        <v>20.213999999999999</v>
      </c>
      <c r="C322" s="390"/>
      <c r="D322" s="393">
        <f t="shared" si="102"/>
        <v>20.25873884093431</v>
      </c>
      <c r="E322" s="385">
        <f t="shared" si="128"/>
        <v>20.612452964355445</v>
      </c>
      <c r="F322" s="385">
        <f t="shared" si="127"/>
        <v>20.723995905929119</v>
      </c>
      <c r="G322" s="110">
        <f t="shared" si="129"/>
        <v>0.87040325217697578</v>
      </c>
      <c r="I322" s="380">
        <f t="shared" si="103"/>
        <v>20.723995905929119</v>
      </c>
      <c r="J322" s="85">
        <v>2018</v>
      </c>
      <c r="K322" s="197">
        <f t="shared" si="104"/>
        <v>43408</v>
      </c>
      <c r="L322" s="436">
        <f t="shared" si="105"/>
        <v>2.2083724601806853E-3</v>
      </c>
      <c r="M322" s="854"/>
      <c r="N322" s="854"/>
      <c r="O322" s="324">
        <f t="shared" si="106"/>
        <v>1.7160214945441014E-2</v>
      </c>
      <c r="P322" s="169">
        <f>(INDEX(Models!$BJ322:$BT322,,T322)*(1-R322)+INDEX(Models!$BJ322:$BT322,,T322+1)*R322-ERP_i)*Q322*Ramure*Pc/MaxiM</f>
        <v>6.5929196863906917E-3</v>
      </c>
      <c r="Q322" s="305">
        <f t="shared" si="107"/>
        <v>0.8</v>
      </c>
      <c r="R322" s="177">
        <f t="shared" si="108"/>
        <v>0.59877228547586225</v>
      </c>
      <c r="S322" s="809">
        <f t="shared" si="126"/>
        <v>0</v>
      </c>
      <c r="T322" s="176">
        <f t="shared" si="109"/>
        <v>6</v>
      </c>
      <c r="U322" s="251">
        <f t="shared" si="110"/>
        <v>0.59877228547586225</v>
      </c>
      <c r="V322" s="383">
        <f t="shared" si="111"/>
        <v>23.195451340954467</v>
      </c>
      <c r="W322" s="58"/>
      <c r="X322" s="157">
        <f t="shared" si="112"/>
        <v>43408</v>
      </c>
      <c r="Y322" s="385">
        <f t="shared" si="113"/>
        <v>20.213999999999999</v>
      </c>
      <c r="Z322" s="385">
        <f t="shared" si="114"/>
        <v>20.25873884093431</v>
      </c>
      <c r="AA322" s="386">
        <f t="shared" si="115"/>
        <v>20.612452964355445</v>
      </c>
      <c r="AB322" s="197">
        <f t="shared" si="116"/>
        <v>43408</v>
      </c>
      <c r="AC322" s="425">
        <f t="shared" si="117"/>
        <v>1.7160214945441014E-2</v>
      </c>
      <c r="AD322" s="169">
        <f>(INDEX(Models!$BJ322:$BT322,,AH322)*(1-AF322)+INDEX(Models!$BJ322:$BT322,,AH322+1)*AF322-ERP_i)*AE322*Ramure*Pc/MaxiM</f>
        <v>6.5929196863906917E-3</v>
      </c>
      <c r="AE322" s="305">
        <f t="shared" si="118"/>
        <v>0.8</v>
      </c>
      <c r="AF322" s="177">
        <f t="shared" si="119"/>
        <v>0.59877228547586225</v>
      </c>
      <c r="AG322" s="809">
        <f t="shared" si="120"/>
        <v>0</v>
      </c>
      <c r="AH322" s="176">
        <f t="shared" si="121"/>
        <v>6</v>
      </c>
      <c r="AI322" s="225">
        <f t="shared" si="122"/>
        <v>0.59877228547586225</v>
      </c>
      <c r="AJ322" s="265" t="b">
        <f t="shared" si="123"/>
        <v>0</v>
      </c>
      <c r="AK322" s="265" t="b">
        <f t="shared" si="124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5"/>
        <v>43409</v>
      </c>
      <c r="B323" s="616">
        <v>10.233000000000001</v>
      </c>
      <c r="C323" s="390"/>
      <c r="D323" s="393">
        <f t="shared" si="102"/>
        <v>10.255886960720153</v>
      </c>
      <c r="E323" s="385">
        <f t="shared" si="128"/>
        <v>10.436642481276154</v>
      </c>
      <c r="F323" s="385">
        <f t="shared" si="127"/>
        <v>10.451006868607369</v>
      </c>
      <c r="G323" s="110">
        <f t="shared" si="129"/>
        <v>0.4449385923939192</v>
      </c>
      <c r="I323" s="380">
        <f t="shared" si="103"/>
        <v>10.451006868607369</v>
      </c>
      <c r="J323" s="85">
        <v>2018</v>
      </c>
      <c r="K323" s="197">
        <f t="shared" si="104"/>
        <v>43409</v>
      </c>
      <c r="L323" s="436">
        <f t="shared" si="105"/>
        <v>2.2315925290332661E-3</v>
      </c>
      <c r="M323" s="854"/>
      <c r="N323" s="854"/>
      <c r="O323" s="324">
        <f t="shared" si="106"/>
        <v>1.7319317096497845E-2</v>
      </c>
      <c r="P323" s="169">
        <f>(INDEX(Models!$BJ323:$BT323,,T323)*(1-R323)+INDEX(Models!$BJ323:$BT323,,T323+1)*R323-ERP_i)*Q323*Ramure*Pc/MaxiM</f>
        <v>6.5339177969131607E-3</v>
      </c>
      <c r="Q323" s="305">
        <f t="shared" si="107"/>
        <v>0.8</v>
      </c>
      <c r="R323" s="177">
        <f t="shared" si="108"/>
        <v>0.59882958714432954</v>
      </c>
      <c r="S323" s="809">
        <f t="shared" si="126"/>
        <v>0</v>
      </c>
      <c r="T323" s="176">
        <f t="shared" si="109"/>
        <v>6</v>
      </c>
      <c r="U323" s="251">
        <f t="shared" si="110"/>
        <v>0.59882958714432954</v>
      </c>
      <c r="V323" s="383">
        <f t="shared" si="111"/>
        <v>22.879855050770725</v>
      </c>
      <c r="W323" s="58"/>
      <c r="X323" s="157">
        <f t="shared" si="112"/>
        <v>43409</v>
      </c>
      <c r="Y323" s="385">
        <f t="shared" si="113"/>
        <v>10.233000000000001</v>
      </c>
      <c r="Z323" s="385">
        <f t="shared" si="114"/>
        <v>10.255886960720153</v>
      </c>
      <c r="AA323" s="386">
        <f t="shared" si="115"/>
        <v>10.436642481276154</v>
      </c>
      <c r="AB323" s="197">
        <f t="shared" si="116"/>
        <v>43409</v>
      </c>
      <c r="AC323" s="425">
        <f t="shared" si="117"/>
        <v>1.7319317096497845E-2</v>
      </c>
      <c r="AD323" s="169">
        <f>(INDEX(Models!$BJ323:$BT323,,AH323)*(1-AF323)+INDEX(Models!$BJ323:$BT323,,AH323+1)*AF323-ERP_i)*AE323*Ramure*Pc/MaxiM</f>
        <v>6.5339177969131607E-3</v>
      </c>
      <c r="AE323" s="305">
        <f t="shared" si="118"/>
        <v>0.8</v>
      </c>
      <c r="AF323" s="177">
        <f t="shared" si="119"/>
        <v>0.59882958714432954</v>
      </c>
      <c r="AG323" s="809">
        <f t="shared" si="120"/>
        <v>0</v>
      </c>
      <c r="AH323" s="176">
        <f t="shared" si="121"/>
        <v>6</v>
      </c>
      <c r="AI323" s="225">
        <f t="shared" si="122"/>
        <v>0.59882958714432954</v>
      </c>
      <c r="AJ323" s="265" t="b">
        <f t="shared" si="123"/>
        <v>0</v>
      </c>
      <c r="AK323" s="265" t="b">
        <f t="shared" si="124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5"/>
        <v>43410</v>
      </c>
      <c r="B324" s="616">
        <v>17.100000000000001</v>
      </c>
      <c r="C324" s="390"/>
      <c r="D324" s="393">
        <f t="shared" si="102"/>
        <v>17.138644422092501</v>
      </c>
      <c r="E324" s="385">
        <f t="shared" si="128"/>
        <v>17.443523297229287</v>
      </c>
      <c r="F324" s="385">
        <f t="shared" si="127"/>
        <v>17.517952679499345</v>
      </c>
      <c r="G324" s="110">
        <f t="shared" si="129"/>
        <v>0.75596089036072445</v>
      </c>
      <c r="I324" s="380">
        <f t="shared" si="103"/>
        <v>17.517952679499345</v>
      </c>
      <c r="J324" s="85">
        <v>2018</v>
      </c>
      <c r="K324" s="197">
        <f t="shared" si="104"/>
        <v>43410</v>
      </c>
      <c r="L324" s="436">
        <f t="shared" si="105"/>
        <v>2.2548120575209829E-3</v>
      </c>
      <c r="M324" s="854"/>
      <c r="N324" s="854"/>
      <c r="O324" s="324">
        <f t="shared" si="106"/>
        <v>1.7478055891679476E-2</v>
      </c>
      <c r="P324" s="169">
        <f>(INDEX(Models!$BJ324:$BT324,,T324)*(1-R324)+INDEX(Models!$BJ324:$BT324,,T324+1)*R324-ERP_i)*Q324*Ramure*Pc/MaxiM</f>
        <v>6.4983658569833565E-3</v>
      </c>
      <c r="Q324" s="305">
        <f t="shared" si="107"/>
        <v>0.8</v>
      </c>
      <c r="R324" s="177">
        <f t="shared" si="108"/>
        <v>0.59888459198169264</v>
      </c>
      <c r="S324" s="809">
        <f t="shared" si="126"/>
        <v>0</v>
      </c>
      <c r="T324" s="176">
        <f t="shared" si="109"/>
        <v>6</v>
      </c>
      <c r="U324" s="251">
        <f t="shared" si="110"/>
        <v>0.59888459198169264</v>
      </c>
      <c r="V324" s="383">
        <f t="shared" si="111"/>
        <v>22.569113862239945</v>
      </c>
      <c r="W324" s="58"/>
      <c r="X324" s="157">
        <f t="shared" si="112"/>
        <v>43410</v>
      </c>
      <c r="Y324" s="385">
        <f t="shared" si="113"/>
        <v>17.100000000000001</v>
      </c>
      <c r="Z324" s="385">
        <f t="shared" si="114"/>
        <v>17.138644422092501</v>
      </c>
      <c r="AA324" s="386">
        <f t="shared" si="115"/>
        <v>17.443523297229287</v>
      </c>
      <c r="AB324" s="197">
        <f t="shared" si="116"/>
        <v>43410</v>
      </c>
      <c r="AC324" s="425">
        <f t="shared" si="117"/>
        <v>1.7478055891679476E-2</v>
      </c>
      <c r="AD324" s="169">
        <f>(INDEX(Models!$BJ324:$BT324,,AH324)*(1-AF324)+INDEX(Models!$BJ324:$BT324,,AH324+1)*AF324-ERP_i)*AE324*Ramure*Pc/MaxiM</f>
        <v>6.4983658569833565E-3</v>
      </c>
      <c r="AE324" s="305">
        <f t="shared" si="118"/>
        <v>0.8</v>
      </c>
      <c r="AF324" s="177">
        <f t="shared" si="119"/>
        <v>0.59888459198169264</v>
      </c>
      <c r="AG324" s="809">
        <f t="shared" si="120"/>
        <v>0</v>
      </c>
      <c r="AH324" s="176">
        <f t="shared" si="121"/>
        <v>6</v>
      </c>
      <c r="AI324" s="225">
        <f t="shared" si="122"/>
        <v>0.59888459198169264</v>
      </c>
      <c r="AJ324" s="265" t="b">
        <f t="shared" si="123"/>
        <v>0</v>
      </c>
      <c r="AK324" s="265" t="b">
        <f t="shared" si="124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5"/>
        <v>43411</v>
      </c>
      <c r="B325" s="616">
        <v>8.7439999999999998</v>
      </c>
      <c r="C325" s="390"/>
      <c r="D325" s="393">
        <f t="shared" si="102"/>
        <v>8.763964583404027</v>
      </c>
      <c r="E325" s="385">
        <f t="shared" si="128"/>
        <v>8.921304747242548</v>
      </c>
      <c r="F325" s="385">
        <f t="shared" ref="F325:F356" si="130">Wh_sa/(1-Pvg*MEDIAN((-Sdif+Wh/Env_an)/Csdif,0,1))</f>
        <v>8.9289740103048292</v>
      </c>
      <c r="G325" s="110">
        <f t="shared" si="129"/>
        <v>0.39052958601124388</v>
      </c>
      <c r="I325" s="380">
        <f t="shared" si="103"/>
        <v>8.9289740103048292</v>
      </c>
      <c r="J325" s="85">
        <v>2018</v>
      </c>
      <c r="K325" s="197">
        <f t="shared" si="104"/>
        <v>43411</v>
      </c>
      <c r="L325" s="436">
        <f t="shared" si="105"/>
        <v>2.2780310456562702E-3</v>
      </c>
      <c r="M325" s="854"/>
      <c r="N325" s="854"/>
      <c r="O325" s="324">
        <f t="shared" si="106"/>
        <v>1.7636452099358369E-2</v>
      </c>
      <c r="P325" s="169">
        <f>(INDEX(Models!$BJ325:$BT325,,T325)*(1-R325)+INDEX(Models!$BJ325:$BT325,,T325+1)*R325-ERP_i)*Q325*Ramure*Pc/MaxiM</f>
        <v>6.4830821237980979E-3</v>
      </c>
      <c r="Q325" s="305">
        <f t="shared" si="107"/>
        <v>0.8</v>
      </c>
      <c r="R325" s="177">
        <f t="shared" si="108"/>
        <v>0.5989373916548979</v>
      </c>
      <c r="S325" s="809">
        <f t="shared" si="126"/>
        <v>0</v>
      </c>
      <c r="T325" s="176">
        <f t="shared" si="109"/>
        <v>6</v>
      </c>
      <c r="U325" s="251">
        <f t="shared" si="110"/>
        <v>0.5989373916548979</v>
      </c>
      <c r="V325" s="383">
        <f t="shared" si="111"/>
        <v>22.264075119604879</v>
      </c>
      <c r="W325" s="58"/>
      <c r="X325" s="157">
        <f t="shared" si="112"/>
        <v>43411</v>
      </c>
      <c r="Y325" s="385">
        <f t="shared" si="113"/>
        <v>8.7439999999999998</v>
      </c>
      <c r="Z325" s="385">
        <f t="shared" si="114"/>
        <v>8.763964583404027</v>
      </c>
      <c r="AA325" s="386">
        <f t="shared" si="115"/>
        <v>8.921304747242548</v>
      </c>
      <c r="AB325" s="197">
        <f t="shared" si="116"/>
        <v>43411</v>
      </c>
      <c r="AC325" s="425">
        <f t="shared" si="117"/>
        <v>1.7636452099358369E-2</v>
      </c>
      <c r="AD325" s="169">
        <f>(INDEX(Models!$BJ325:$BT325,,AH325)*(1-AF325)+INDEX(Models!$BJ325:$BT325,,AH325+1)*AF325-ERP_i)*AE325*Ramure*Pc/MaxiM</f>
        <v>6.4830821237980979E-3</v>
      </c>
      <c r="AE325" s="305">
        <f t="shared" si="118"/>
        <v>0.8</v>
      </c>
      <c r="AF325" s="177">
        <f t="shared" si="119"/>
        <v>0.5989373916548979</v>
      </c>
      <c r="AG325" s="809">
        <f t="shared" si="120"/>
        <v>0</v>
      </c>
      <c r="AH325" s="176">
        <f t="shared" si="121"/>
        <v>6</v>
      </c>
      <c r="AI325" s="225">
        <f t="shared" si="122"/>
        <v>0.5989373916548979</v>
      </c>
      <c r="AJ325" s="265" t="b">
        <f t="shared" si="123"/>
        <v>0</v>
      </c>
      <c r="AK325" s="265" t="b">
        <f t="shared" si="124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5"/>
        <v>43412</v>
      </c>
      <c r="B326" s="616">
        <v>12.86</v>
      </c>
      <c r="C326" s="390"/>
      <c r="D326" s="393">
        <f t="shared" si="102"/>
        <v>12.889662328905159</v>
      </c>
      <c r="E326" s="385">
        <f t="shared" si="128"/>
        <v>13.123183165960953</v>
      </c>
      <c r="F326" s="385">
        <f t="shared" si="130"/>
        <v>13.1579986577722</v>
      </c>
      <c r="G326" s="110">
        <f t="shared" si="129"/>
        <v>0.58320790180258097</v>
      </c>
      <c r="I326" s="380">
        <f t="shared" si="103"/>
        <v>13.1579986577722</v>
      </c>
      <c r="J326" s="85">
        <v>2018</v>
      </c>
      <c r="K326" s="197">
        <f t="shared" si="104"/>
        <v>43412</v>
      </c>
      <c r="L326" s="436">
        <f t="shared" si="105"/>
        <v>2.3012494934518957E-3</v>
      </c>
      <c r="M326" s="854"/>
      <c r="N326" s="854"/>
      <c r="O326" s="324">
        <f t="shared" si="106"/>
        <v>1.7794526991096436E-2</v>
      </c>
      <c r="P326" s="169">
        <f>(INDEX(Models!$BJ326:$BT326,,T326)*(1-R326)+INDEX(Models!$BJ326:$BT326,,T326+1)*R326-ERP_i)*Q326*Ramure*Pc/MaxiM</f>
        <v>6.4882903864234651E-3</v>
      </c>
      <c r="Q326" s="305">
        <f t="shared" si="107"/>
        <v>0.8</v>
      </c>
      <c r="R326" s="177">
        <f t="shared" si="108"/>
        <v>0.59898807420373712</v>
      </c>
      <c r="S326" s="809">
        <f t="shared" si="126"/>
        <v>0</v>
      </c>
      <c r="T326" s="176">
        <f t="shared" si="109"/>
        <v>6</v>
      </c>
      <c r="U326" s="251">
        <f t="shared" si="110"/>
        <v>0.59898807420373712</v>
      </c>
      <c r="V326" s="383">
        <f t="shared" si="111"/>
        <v>21.965505708019851</v>
      </c>
      <c r="W326" s="58"/>
      <c r="X326" s="157">
        <f t="shared" si="112"/>
        <v>43412</v>
      </c>
      <c r="Y326" s="385">
        <f t="shared" si="113"/>
        <v>12.86</v>
      </c>
      <c r="Z326" s="385">
        <f t="shared" si="114"/>
        <v>12.889662328905159</v>
      </c>
      <c r="AA326" s="386">
        <f t="shared" si="115"/>
        <v>13.123183165960953</v>
      </c>
      <c r="AB326" s="197">
        <f t="shared" si="116"/>
        <v>43412</v>
      </c>
      <c r="AC326" s="425">
        <f t="shared" si="117"/>
        <v>1.7794526991096436E-2</v>
      </c>
      <c r="AD326" s="169">
        <f>(INDEX(Models!$BJ326:$BT326,,AH326)*(1-AF326)+INDEX(Models!$BJ326:$BT326,,AH326+1)*AF326-ERP_i)*AE326*Ramure*Pc/MaxiM</f>
        <v>6.4882903864234651E-3</v>
      </c>
      <c r="AE326" s="305">
        <f t="shared" si="118"/>
        <v>0.8</v>
      </c>
      <c r="AF326" s="177">
        <f t="shared" si="119"/>
        <v>0.59898807420373712</v>
      </c>
      <c r="AG326" s="809">
        <f t="shared" si="120"/>
        <v>0</v>
      </c>
      <c r="AH326" s="176">
        <f t="shared" si="121"/>
        <v>6</v>
      </c>
      <c r="AI326" s="225">
        <f t="shared" si="122"/>
        <v>0.59898807420373712</v>
      </c>
      <c r="AJ326" s="265" t="b">
        <f t="shared" si="123"/>
        <v>0</v>
      </c>
      <c r="AK326" s="265" t="b">
        <f t="shared" si="124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5"/>
        <v>43413</v>
      </c>
      <c r="B327" s="616">
        <v>5.2830000000000004</v>
      </c>
      <c r="C327" s="390"/>
      <c r="D327" s="393">
        <f t="shared" si="102"/>
        <v>5.2953087726197614</v>
      </c>
      <c r="E327" s="385">
        <f t="shared" si="128"/>
        <v>5.3921095530549321</v>
      </c>
      <c r="F327" s="385">
        <f t="shared" si="130"/>
        <v>5.3921095530549321</v>
      </c>
      <c r="G327" s="110">
        <f t="shared" si="129"/>
        <v>0.24215852606379587</v>
      </c>
      <c r="I327" s="380">
        <f t="shared" si="103"/>
        <v>5.3921095530549321</v>
      </c>
      <c r="J327" s="85">
        <v>2018</v>
      </c>
      <c r="K327" s="197">
        <f t="shared" si="104"/>
        <v>43413</v>
      </c>
      <c r="L327" s="436">
        <f t="shared" si="105"/>
        <v>2.3244674009201827E-3</v>
      </c>
      <c r="M327" s="854"/>
      <c r="N327" s="854"/>
      <c r="O327" s="324">
        <f t="shared" si="106"/>
        <v>1.7952302245106942E-2</v>
      </c>
      <c r="P327" s="169">
        <f>(INDEX(Models!$BJ327:$BT327,,T327)*(1-R327)+INDEX(Models!$BJ327:$BT327,,T327+1)*R327-ERP_i)*Q327*Ramure*Pc/MaxiM</f>
        <v>6.5141918853316161E-3</v>
      </c>
      <c r="Q327" s="305">
        <f t="shared" si="107"/>
        <v>0.8</v>
      </c>
      <c r="R327" s="177">
        <f t="shared" si="108"/>
        <v>0.59903672418190057</v>
      </c>
      <c r="S327" s="809">
        <f t="shared" si="126"/>
        <v>0</v>
      </c>
      <c r="T327" s="176">
        <f t="shared" si="109"/>
        <v>6</v>
      </c>
      <c r="U327" s="251">
        <f t="shared" si="110"/>
        <v>0.59903672418190057</v>
      </c>
      <c r="V327" s="383">
        <f t="shared" si="111"/>
        <v>21.674171913678855</v>
      </c>
      <c r="W327" s="58"/>
      <c r="X327" s="157">
        <f t="shared" si="112"/>
        <v>43413</v>
      </c>
      <c r="Y327" s="385">
        <f t="shared" si="113"/>
        <v>5.2830000000000004</v>
      </c>
      <c r="Z327" s="385">
        <f t="shared" si="114"/>
        <v>5.2953087726197614</v>
      </c>
      <c r="AA327" s="386">
        <f t="shared" si="115"/>
        <v>5.3921095530549321</v>
      </c>
      <c r="AB327" s="197">
        <f t="shared" si="116"/>
        <v>43413</v>
      </c>
      <c r="AC327" s="425">
        <f t="shared" si="117"/>
        <v>1.7952302245106942E-2</v>
      </c>
      <c r="AD327" s="169">
        <f>(INDEX(Models!$BJ327:$BT327,,AH327)*(1-AF327)+INDEX(Models!$BJ327:$BT327,,AH327+1)*AF327-ERP_i)*AE327*Ramure*Pc/MaxiM</f>
        <v>6.5141918853316161E-3</v>
      </c>
      <c r="AE327" s="305">
        <f t="shared" si="118"/>
        <v>0.8</v>
      </c>
      <c r="AF327" s="177">
        <f t="shared" si="119"/>
        <v>0.59903672418190057</v>
      </c>
      <c r="AG327" s="809">
        <f t="shared" si="120"/>
        <v>0</v>
      </c>
      <c r="AH327" s="176">
        <f t="shared" si="121"/>
        <v>6</v>
      </c>
      <c r="AI327" s="225">
        <f t="shared" si="122"/>
        <v>0.59903672418190057</v>
      </c>
      <c r="AJ327" s="265" t="b">
        <f t="shared" si="123"/>
        <v>0</v>
      </c>
      <c r="AK327" s="265" t="b">
        <f t="shared" si="124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5"/>
        <v>43414</v>
      </c>
      <c r="B328" s="616">
        <v>15.362</v>
      </c>
      <c r="C328" s="390"/>
      <c r="D328" s="393">
        <f t="shared" si="102"/>
        <v>15.398150002216722</v>
      </c>
      <c r="E328" s="385">
        <f t="shared" si="128"/>
        <v>15.682150610936676</v>
      </c>
      <c r="F328" s="385">
        <f t="shared" si="130"/>
        <v>15.743855645417897</v>
      </c>
      <c r="G328" s="110">
        <f t="shared" si="129"/>
        <v>0.71625330124367337</v>
      </c>
      <c r="I328" s="380">
        <f t="shared" si="103"/>
        <v>15.743855645417897</v>
      </c>
      <c r="J328" s="85">
        <v>2018</v>
      </c>
      <c r="K328" s="197">
        <f t="shared" si="104"/>
        <v>43414</v>
      </c>
      <c r="L328" s="436">
        <f t="shared" si="105"/>
        <v>2.3476847680738988E-3</v>
      </c>
      <c r="M328" s="854"/>
      <c r="N328" s="854"/>
      <c r="O328" s="324">
        <f t="shared" si="106"/>
        <v>1.810979984606783E-2</v>
      </c>
      <c r="P328" s="169">
        <f>(INDEX(Models!$BJ328:$BT328,,T328)*(1-R328)+INDEX(Models!$BJ328:$BT328,,T328+1)*R328-ERP_i)*Q328*Ramure*Pc/MaxiM</f>
        <v>6.5609578519384747E-3</v>
      </c>
      <c r="Q328" s="305">
        <f t="shared" si="107"/>
        <v>0.8</v>
      </c>
      <c r="R328" s="177">
        <f t="shared" si="108"/>
        <v>0.59908342279274274</v>
      </c>
      <c r="S328" s="809">
        <f t="shared" si="126"/>
        <v>0</v>
      </c>
      <c r="T328" s="176">
        <f t="shared" si="109"/>
        <v>6</v>
      </c>
      <c r="U328" s="251">
        <f t="shared" si="110"/>
        <v>0.59908342279274274</v>
      </c>
      <c r="V328" s="383">
        <f t="shared" si="111"/>
        <v>21.390839368935818</v>
      </c>
      <c r="W328" s="58"/>
      <c r="X328" s="157">
        <f t="shared" si="112"/>
        <v>43414</v>
      </c>
      <c r="Y328" s="385">
        <f t="shared" si="113"/>
        <v>15.362</v>
      </c>
      <c r="Z328" s="385">
        <f t="shared" si="114"/>
        <v>15.398150002216722</v>
      </c>
      <c r="AA328" s="386">
        <f t="shared" si="115"/>
        <v>15.682150610936676</v>
      </c>
      <c r="AB328" s="197">
        <f t="shared" si="116"/>
        <v>43414</v>
      </c>
      <c r="AC328" s="425">
        <f t="shared" si="117"/>
        <v>1.810979984606783E-2</v>
      </c>
      <c r="AD328" s="169">
        <f>(INDEX(Models!$BJ328:$BT328,,AH328)*(1-AF328)+INDEX(Models!$BJ328:$BT328,,AH328+1)*AF328-ERP_i)*AE328*Ramure*Pc/MaxiM</f>
        <v>6.5609578519384747E-3</v>
      </c>
      <c r="AE328" s="305">
        <f t="shared" si="118"/>
        <v>0.8</v>
      </c>
      <c r="AF328" s="177">
        <f t="shared" si="119"/>
        <v>0.59908342279274274</v>
      </c>
      <c r="AG328" s="809">
        <f t="shared" si="120"/>
        <v>0</v>
      </c>
      <c r="AH328" s="176">
        <f t="shared" si="121"/>
        <v>6</v>
      </c>
      <c r="AI328" s="225">
        <f t="shared" si="122"/>
        <v>0.59908342279274274</v>
      </c>
      <c r="AJ328" s="265" t="b">
        <f t="shared" si="123"/>
        <v>0</v>
      </c>
      <c r="AK328" s="265" t="b">
        <f t="shared" si="124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5"/>
        <v>43415</v>
      </c>
      <c r="B329" s="616">
        <v>18.263999999999999</v>
      </c>
      <c r="C329" s="390"/>
      <c r="D329" s="393">
        <f t="shared" si="102"/>
        <v>18.307405055845852</v>
      </c>
      <c r="E329" s="385">
        <f t="shared" si="128"/>
        <v>18.648049763762689</v>
      </c>
      <c r="F329" s="385">
        <f t="shared" si="130"/>
        <v>18.748346260015087</v>
      </c>
      <c r="G329" s="110">
        <f t="shared" si="129"/>
        <v>0.86381307874624524</v>
      </c>
      <c r="I329" s="380">
        <f t="shared" si="103"/>
        <v>18.748346260015087</v>
      </c>
      <c r="J329" s="85">
        <v>2018</v>
      </c>
      <c r="K329" s="197">
        <f t="shared" si="104"/>
        <v>43415</v>
      </c>
      <c r="L329" s="436">
        <f t="shared" si="105"/>
        <v>2.3709015949255896E-3</v>
      </c>
      <c r="M329" s="854"/>
      <c r="N329" s="854"/>
      <c r="O329" s="324">
        <f t="shared" si="106"/>
        <v>1.8267041981987007E-2</v>
      </c>
      <c r="P329" s="169">
        <f>(INDEX(Models!$BJ329:$BT329,,T329)*(1-R329)+INDEX(Models!$BJ329:$BT329,,T329+1)*R329-ERP_i)*Q329*Ramure*Pc/MaxiM</f>
        <v>6.6287214036214433E-3</v>
      </c>
      <c r="Q329" s="305">
        <f t="shared" si="107"/>
        <v>0.8</v>
      </c>
      <c r="R329" s="177">
        <f t="shared" si="108"/>
        <v>0.59912824801993936</v>
      </c>
      <c r="S329" s="809">
        <f t="shared" si="126"/>
        <v>0</v>
      </c>
      <c r="T329" s="176">
        <f t="shared" si="109"/>
        <v>6</v>
      </c>
      <c r="U329" s="251">
        <f t="shared" si="110"/>
        <v>0.59912824801993936</v>
      </c>
      <c r="V329" s="383">
        <f t="shared" si="111"/>
        <v>21.11627302507619</v>
      </c>
      <c r="W329" s="58"/>
      <c r="X329" s="157">
        <f t="shared" si="112"/>
        <v>43415</v>
      </c>
      <c r="Y329" s="385">
        <f t="shared" si="113"/>
        <v>18.263999999999999</v>
      </c>
      <c r="Z329" s="385">
        <f t="shared" si="114"/>
        <v>18.307405055845852</v>
      </c>
      <c r="AA329" s="386">
        <f t="shared" si="115"/>
        <v>18.648049763762689</v>
      </c>
      <c r="AB329" s="197">
        <f t="shared" si="116"/>
        <v>43415</v>
      </c>
      <c r="AC329" s="425">
        <f t="shared" si="117"/>
        <v>1.8267041981987007E-2</v>
      </c>
      <c r="AD329" s="169">
        <f>(INDEX(Models!$BJ329:$BT329,,AH329)*(1-AF329)+INDEX(Models!$BJ329:$BT329,,AH329+1)*AF329-ERP_i)*AE329*Ramure*Pc/MaxiM</f>
        <v>6.6287214036214433E-3</v>
      </c>
      <c r="AE329" s="305">
        <f t="shared" si="118"/>
        <v>0.8</v>
      </c>
      <c r="AF329" s="177">
        <f t="shared" si="119"/>
        <v>0.59912824801993936</v>
      </c>
      <c r="AG329" s="809">
        <f t="shared" si="120"/>
        <v>0</v>
      </c>
      <c r="AH329" s="176">
        <f t="shared" si="121"/>
        <v>6</v>
      </c>
      <c r="AI329" s="225">
        <f t="shared" si="122"/>
        <v>0.59912824801993936</v>
      </c>
      <c r="AJ329" s="265" t="b">
        <f t="shared" si="123"/>
        <v>0</v>
      </c>
      <c r="AK329" s="265" t="b">
        <f t="shared" si="124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5"/>
        <v>43416</v>
      </c>
      <c r="B330" s="616">
        <v>19.905999999999999</v>
      </c>
      <c r="C330" s="390"/>
      <c r="D330" s="393">
        <f t="shared" si="102"/>
        <v>19.953771681586009</v>
      </c>
      <c r="E330" s="385">
        <f t="shared" si="128"/>
        <v>20.328301340992819</v>
      </c>
      <c r="F330" s="385">
        <f t="shared" si="130"/>
        <v>20.456822041646511</v>
      </c>
      <c r="G330" s="110">
        <f t="shared" si="129"/>
        <v>0.95424963808696517</v>
      </c>
      <c r="I330" s="380">
        <f t="shared" si="103"/>
        <v>20.456822041646511</v>
      </c>
      <c r="J330" s="85">
        <v>2018</v>
      </c>
      <c r="K330" s="197">
        <f t="shared" si="104"/>
        <v>43416</v>
      </c>
      <c r="L330" s="436">
        <f t="shared" si="105"/>
        <v>2.3941178814878006E-3</v>
      </c>
      <c r="M330" s="854"/>
      <c r="N330" s="854"/>
      <c r="O330" s="324">
        <f t="shared" si="106"/>
        <v>1.8424050938853281E-2</v>
      </c>
      <c r="P330" s="169">
        <f>(INDEX(Models!$BJ330:$BT330,,T330)*(1-R330)+INDEX(Models!$BJ330:$BT330,,T330+1)*R330-ERP_i)*Q330*Ramure*Pc/MaxiM</f>
        <v>6.7175688309815719E-3</v>
      </c>
      <c r="Q330" s="305">
        <f t="shared" si="107"/>
        <v>0.8</v>
      </c>
      <c r="R330" s="177">
        <f t="shared" si="108"/>
        <v>0.59917127475321519</v>
      </c>
      <c r="S330" s="809">
        <f t="shared" si="126"/>
        <v>0</v>
      </c>
      <c r="T330" s="176">
        <f t="shared" si="109"/>
        <v>6</v>
      </c>
      <c r="U330" s="251">
        <f t="shared" si="110"/>
        <v>0.59917127475321519</v>
      </c>
      <c r="V330" s="383">
        <f t="shared" si="111"/>
        <v>20.851237111576587</v>
      </c>
      <c r="W330" s="58"/>
      <c r="X330" s="157">
        <f t="shared" si="112"/>
        <v>43416</v>
      </c>
      <c r="Y330" s="385">
        <f t="shared" si="113"/>
        <v>19.905999999999999</v>
      </c>
      <c r="Z330" s="385">
        <f t="shared" si="114"/>
        <v>19.953771681586009</v>
      </c>
      <c r="AA330" s="386">
        <f t="shared" si="115"/>
        <v>20.328301340992819</v>
      </c>
      <c r="AB330" s="197">
        <f t="shared" si="116"/>
        <v>43416</v>
      </c>
      <c r="AC330" s="425">
        <f t="shared" si="117"/>
        <v>1.8424050938853281E-2</v>
      </c>
      <c r="AD330" s="169">
        <f>(INDEX(Models!$BJ330:$BT330,,AH330)*(1-AF330)+INDEX(Models!$BJ330:$BT330,,AH330+1)*AF330-ERP_i)*AE330*Ramure*Pc/MaxiM</f>
        <v>6.7175688309815719E-3</v>
      </c>
      <c r="AE330" s="305">
        <f t="shared" si="118"/>
        <v>0.8</v>
      </c>
      <c r="AF330" s="177">
        <f t="shared" si="119"/>
        <v>0.59917127475321519</v>
      </c>
      <c r="AG330" s="809">
        <f t="shared" si="120"/>
        <v>0</v>
      </c>
      <c r="AH330" s="176">
        <f t="shared" si="121"/>
        <v>6</v>
      </c>
      <c r="AI330" s="225">
        <f t="shared" si="122"/>
        <v>0.59917127475321519</v>
      </c>
      <c r="AJ330" s="265" t="b">
        <f t="shared" si="123"/>
        <v>0</v>
      </c>
      <c r="AK330" s="265" t="b">
        <f t="shared" si="124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5"/>
        <v>43417</v>
      </c>
      <c r="B331" s="616">
        <v>8.1440000000000001</v>
      </c>
      <c r="C331" s="390"/>
      <c r="D331" s="393">
        <f t="shared" si="102"/>
        <v>8.1637344698622076</v>
      </c>
      <c r="E331" s="385">
        <f t="shared" si="128"/>
        <v>8.3182954617225757</v>
      </c>
      <c r="F331" s="385">
        <f t="shared" si="130"/>
        <v>8.3260475153363558</v>
      </c>
      <c r="G331" s="110">
        <f t="shared" si="129"/>
        <v>0.39311394514922826</v>
      </c>
      <c r="I331" s="380">
        <f t="shared" si="103"/>
        <v>8.3260475153363558</v>
      </c>
      <c r="J331" s="85">
        <v>2018</v>
      </c>
      <c r="K331" s="197">
        <f t="shared" si="104"/>
        <v>43417</v>
      </c>
      <c r="L331" s="436">
        <f t="shared" si="105"/>
        <v>2.4173336277730773E-3</v>
      </c>
      <c r="M331" s="854"/>
      <c r="N331" s="854"/>
      <c r="O331" s="324">
        <f t="shared" si="106"/>
        <v>1.8580848993834786E-2</v>
      </c>
      <c r="P331" s="169">
        <f>(INDEX(Models!$BJ331:$BT331,,T331)*(1-R331)+INDEX(Models!$BJ331:$BT331,,T331+1)*R331-ERP_i)*Q331*Ramure*Pc/MaxiM</f>
        <v>6.8282345433207771E-3</v>
      </c>
      <c r="Q331" s="305">
        <f t="shared" si="107"/>
        <v>0.8</v>
      </c>
      <c r="R331" s="177">
        <f t="shared" si="108"/>
        <v>0.59921257490931601</v>
      </c>
      <c r="S331" s="809">
        <f t="shared" si="126"/>
        <v>0</v>
      </c>
      <c r="T331" s="176">
        <f t="shared" si="109"/>
        <v>6</v>
      </c>
      <c r="U331" s="251">
        <f t="shared" si="110"/>
        <v>0.59921257490931601</v>
      </c>
      <c r="V331" s="383">
        <f t="shared" si="111"/>
        <v>20.594356310229553</v>
      </c>
      <c r="W331" s="58"/>
      <c r="X331" s="157">
        <f t="shared" si="112"/>
        <v>43417</v>
      </c>
      <c r="Y331" s="385">
        <f t="shared" si="113"/>
        <v>8.1440000000000001</v>
      </c>
      <c r="Z331" s="385">
        <f t="shared" si="114"/>
        <v>8.1637344698622076</v>
      </c>
      <c r="AA331" s="386">
        <f t="shared" si="115"/>
        <v>8.3182954617225757</v>
      </c>
      <c r="AB331" s="197">
        <f t="shared" si="116"/>
        <v>43417</v>
      </c>
      <c r="AC331" s="425">
        <f t="shared" si="117"/>
        <v>1.8580848993834786E-2</v>
      </c>
      <c r="AD331" s="169">
        <f>(INDEX(Models!$BJ331:$BT331,,AH331)*(1-AF331)+INDEX(Models!$BJ331:$BT331,,AH331+1)*AF331-ERP_i)*AE331*Ramure*Pc/MaxiM</f>
        <v>6.8282345433207771E-3</v>
      </c>
      <c r="AE331" s="305">
        <f t="shared" si="118"/>
        <v>0.8</v>
      </c>
      <c r="AF331" s="177">
        <f t="shared" si="119"/>
        <v>0.59921257490931601</v>
      </c>
      <c r="AG331" s="809">
        <f t="shared" si="120"/>
        <v>0</v>
      </c>
      <c r="AH331" s="176">
        <f t="shared" si="121"/>
        <v>6</v>
      </c>
      <c r="AI331" s="225">
        <f t="shared" si="122"/>
        <v>0.59921257490931601</v>
      </c>
      <c r="AJ331" s="265" t="b">
        <f t="shared" si="123"/>
        <v>0</v>
      </c>
      <c r="AK331" s="265" t="b">
        <f t="shared" si="124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5"/>
        <v>43418</v>
      </c>
      <c r="B332" s="616">
        <v>14.548999999999999</v>
      </c>
      <c r="C332" s="390"/>
      <c r="D332" s="393">
        <f t="shared" si="102"/>
        <v>14.584594414890621</v>
      </c>
      <c r="E332" s="385">
        <f t="shared" si="128"/>
        <v>14.863090962118461</v>
      </c>
      <c r="F332" s="385">
        <f t="shared" si="130"/>
        <v>14.924693250001198</v>
      </c>
      <c r="G332" s="110">
        <f t="shared" si="129"/>
        <v>0.71312050635363167</v>
      </c>
      <c r="I332" s="380">
        <f t="shared" si="103"/>
        <v>14.924693250001198</v>
      </c>
      <c r="J332" s="85">
        <v>2018</v>
      </c>
      <c r="K332" s="197">
        <f t="shared" si="104"/>
        <v>43418</v>
      </c>
      <c r="L332" s="436">
        <f t="shared" si="105"/>
        <v>2.4405488337940762E-3</v>
      </c>
      <c r="M332" s="854"/>
      <c r="N332" s="854"/>
      <c r="O332" s="324">
        <f t="shared" si="106"/>
        <v>1.8737458307807122E-2</v>
      </c>
      <c r="P332" s="169">
        <f>(INDEX(Models!$BJ332:$BT332,,T332)*(1-R332)+INDEX(Models!$BJ332:$BT332,,T332+1)*R332-ERP_i)*Q332*Ramure*Pc/MaxiM</f>
        <v>6.9595317646333962E-3</v>
      </c>
      <c r="Q332" s="305">
        <f t="shared" si="107"/>
        <v>0.8</v>
      </c>
      <c r="R332" s="177">
        <f t="shared" si="108"/>
        <v>0.59925221754839009</v>
      </c>
      <c r="S332" s="809">
        <f t="shared" si="126"/>
        <v>0</v>
      </c>
      <c r="T332" s="176">
        <f t="shared" si="109"/>
        <v>6</v>
      </c>
      <c r="U332" s="251">
        <f t="shared" si="110"/>
        <v>0.59925221754839009</v>
      </c>
      <c r="V332" s="383">
        <f t="shared" si="111"/>
        <v>20.343864004972168</v>
      </c>
      <c r="W332" s="58"/>
      <c r="X332" s="157">
        <f t="shared" si="112"/>
        <v>43418</v>
      </c>
      <c r="Y332" s="385">
        <f t="shared" si="113"/>
        <v>14.548999999999999</v>
      </c>
      <c r="Z332" s="385">
        <f t="shared" si="114"/>
        <v>14.584594414890621</v>
      </c>
      <c r="AA332" s="386">
        <f t="shared" si="115"/>
        <v>14.863090962118461</v>
      </c>
      <c r="AB332" s="197">
        <f t="shared" si="116"/>
        <v>43418</v>
      </c>
      <c r="AC332" s="425">
        <f t="shared" si="117"/>
        <v>1.8737458307807122E-2</v>
      </c>
      <c r="AD332" s="169">
        <f>(INDEX(Models!$BJ332:$BT332,,AH332)*(1-AF332)+INDEX(Models!$BJ332:$BT332,,AH332+1)*AF332-ERP_i)*AE332*Ramure*Pc/MaxiM</f>
        <v>6.9595317646333962E-3</v>
      </c>
      <c r="AE332" s="305">
        <f t="shared" si="118"/>
        <v>0.8</v>
      </c>
      <c r="AF332" s="177">
        <f t="shared" si="119"/>
        <v>0.59925221754839009</v>
      </c>
      <c r="AG332" s="809">
        <f t="shared" si="120"/>
        <v>0</v>
      </c>
      <c r="AH332" s="176">
        <f t="shared" si="121"/>
        <v>6</v>
      </c>
      <c r="AI332" s="225">
        <f t="shared" si="122"/>
        <v>0.59925221754839009</v>
      </c>
      <c r="AJ332" s="265" t="b">
        <f t="shared" si="123"/>
        <v>0</v>
      </c>
      <c r="AK332" s="265" t="b">
        <f t="shared" si="124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5"/>
        <v>43419</v>
      </c>
      <c r="B333" s="616">
        <v>13.788</v>
      </c>
      <c r="C333" s="390"/>
      <c r="D333" s="393">
        <f t="shared" si="102"/>
        <v>13.822054272806323</v>
      </c>
      <c r="E333" s="385">
        <f t="shared" si="128"/>
        <v>14.088236006616008</v>
      </c>
      <c r="F333" s="385">
        <f t="shared" si="130"/>
        <v>14.143618761063923</v>
      </c>
      <c r="G333" s="110">
        <f t="shared" si="129"/>
        <v>0.68377356000186029</v>
      </c>
      <c r="I333" s="380">
        <f t="shared" si="103"/>
        <v>14.143618761063923</v>
      </c>
      <c r="J333" s="85">
        <v>2018</v>
      </c>
      <c r="K333" s="197">
        <f t="shared" si="104"/>
        <v>43419</v>
      </c>
      <c r="L333" s="436">
        <f t="shared" si="105"/>
        <v>2.4637634995632318E-3</v>
      </c>
      <c r="M333" s="854"/>
      <c r="N333" s="854"/>
      <c r="O333" s="324">
        <f t="shared" si="106"/>
        <v>1.8893900818007445E-2</v>
      </c>
      <c r="P333" s="169">
        <f>(INDEX(Models!$BJ333:$BT333,,T333)*(1-R333)+INDEX(Models!$BJ333:$BT333,,T333+1)*R333-ERP_i)*Q333*Ramure*Pc/MaxiM</f>
        <v>7.101681602316081E-3</v>
      </c>
      <c r="Q333" s="305">
        <f t="shared" si="107"/>
        <v>0.8</v>
      </c>
      <c r="R333" s="177">
        <f t="shared" si="108"/>
        <v>0.59929026898594417</v>
      </c>
      <c r="S333" s="809">
        <f t="shared" si="126"/>
        <v>0</v>
      </c>
      <c r="T333" s="176">
        <f t="shared" si="109"/>
        <v>6</v>
      </c>
      <c r="U333" s="251">
        <f t="shared" si="110"/>
        <v>0.59929026898594417</v>
      </c>
      <c r="V333" s="383">
        <f t="shared" si="111"/>
        <v>20.100074608724118</v>
      </c>
      <c r="W333" s="58"/>
      <c r="X333" s="157">
        <f t="shared" si="112"/>
        <v>43419</v>
      </c>
      <c r="Y333" s="385">
        <f t="shared" si="113"/>
        <v>13.788</v>
      </c>
      <c r="Z333" s="385">
        <f t="shared" si="114"/>
        <v>13.822054272806323</v>
      </c>
      <c r="AA333" s="386">
        <f t="shared" si="115"/>
        <v>14.088236006616008</v>
      </c>
      <c r="AB333" s="197">
        <f t="shared" si="116"/>
        <v>43419</v>
      </c>
      <c r="AC333" s="425">
        <f t="shared" si="117"/>
        <v>1.8893900818007445E-2</v>
      </c>
      <c r="AD333" s="169">
        <f>(INDEX(Models!$BJ333:$BT333,,AH333)*(1-AF333)+INDEX(Models!$BJ333:$BT333,,AH333+1)*AF333-ERP_i)*AE333*Ramure*Pc/MaxiM</f>
        <v>7.101681602316081E-3</v>
      </c>
      <c r="AE333" s="305">
        <f t="shared" si="118"/>
        <v>0.8</v>
      </c>
      <c r="AF333" s="177">
        <f t="shared" si="119"/>
        <v>0.59929026898594417</v>
      </c>
      <c r="AG333" s="809">
        <f t="shared" si="120"/>
        <v>0</v>
      </c>
      <c r="AH333" s="176">
        <f t="shared" si="121"/>
        <v>6</v>
      </c>
      <c r="AI333" s="225">
        <f t="shared" si="122"/>
        <v>0.59929026898594417</v>
      </c>
      <c r="AJ333" s="265" t="b">
        <f t="shared" si="123"/>
        <v>0</v>
      </c>
      <c r="AK333" s="265" t="b">
        <f t="shared" si="124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5"/>
        <v>43420</v>
      </c>
      <c r="B334" s="616">
        <v>17.449000000000002</v>
      </c>
      <c r="C334" s="390"/>
      <c r="D334" s="393">
        <f t="shared" si="102"/>
        <v>17.492503464723637</v>
      </c>
      <c r="E334" s="385">
        <f t="shared" si="128"/>
        <v>17.832210609968268</v>
      </c>
      <c r="F334" s="385">
        <f t="shared" si="130"/>
        <v>17.939762584806399</v>
      </c>
      <c r="G334" s="110">
        <f t="shared" si="129"/>
        <v>0.87735011765637239</v>
      </c>
      <c r="I334" s="380">
        <f t="shared" si="103"/>
        <v>17.939762584806399</v>
      </c>
      <c r="J334" s="85">
        <v>2018</v>
      </c>
      <c r="K334" s="197">
        <f t="shared" si="104"/>
        <v>43420</v>
      </c>
      <c r="L334" s="436">
        <f t="shared" si="105"/>
        <v>2.4869776250933118E-3</v>
      </c>
      <c r="M334" s="854"/>
      <c r="N334" s="854"/>
      <c r="O334" s="324">
        <f t="shared" si="106"/>
        <v>1.9050198131617711E-2</v>
      </c>
      <c r="P334" s="169">
        <f>(INDEX(Models!$BJ334:$BT334,,T334)*(1-R334)+INDEX(Models!$BJ334:$BT334,,T334+1)*R334-ERP_i)*Q334*Ramure*Pc/MaxiM</f>
        <v>7.254774586960124E-3</v>
      </c>
      <c r="Q334" s="305">
        <f t="shared" si="107"/>
        <v>0.8</v>
      </c>
      <c r="R334" s="177">
        <f t="shared" si="108"/>
        <v>0.5993267929005317</v>
      </c>
      <c r="S334" s="809">
        <f t="shared" si="126"/>
        <v>0</v>
      </c>
      <c r="T334" s="176">
        <f t="shared" si="109"/>
        <v>6</v>
      </c>
      <c r="U334" s="251">
        <f t="shared" si="110"/>
        <v>0.5993267929005317</v>
      </c>
      <c r="V334" s="383">
        <f t="shared" si="111"/>
        <v>19.863094897373976</v>
      </c>
      <c r="W334" s="58"/>
      <c r="X334" s="157">
        <f t="shared" si="112"/>
        <v>43420</v>
      </c>
      <c r="Y334" s="385">
        <f t="shared" si="113"/>
        <v>17.449000000000002</v>
      </c>
      <c r="Z334" s="385">
        <f t="shared" si="114"/>
        <v>17.492503464723637</v>
      </c>
      <c r="AA334" s="386">
        <f t="shared" si="115"/>
        <v>17.832210609968268</v>
      </c>
      <c r="AB334" s="197">
        <f t="shared" si="116"/>
        <v>43420</v>
      </c>
      <c r="AC334" s="425">
        <f t="shared" si="117"/>
        <v>1.9050198131617711E-2</v>
      </c>
      <c r="AD334" s="169">
        <f>(INDEX(Models!$BJ334:$BT334,,AH334)*(1-AF334)+INDEX(Models!$BJ334:$BT334,,AH334+1)*AF334-ERP_i)*AE334*Ramure*Pc/MaxiM</f>
        <v>7.254774586960124E-3</v>
      </c>
      <c r="AE334" s="305">
        <f t="shared" si="118"/>
        <v>0.8</v>
      </c>
      <c r="AF334" s="177">
        <f t="shared" si="119"/>
        <v>0.5993267929005317</v>
      </c>
      <c r="AG334" s="809">
        <f t="shared" si="120"/>
        <v>0</v>
      </c>
      <c r="AH334" s="176">
        <f t="shared" si="121"/>
        <v>6</v>
      </c>
      <c r="AI334" s="225">
        <f t="shared" si="122"/>
        <v>0.5993267929005317</v>
      </c>
      <c r="AJ334" s="265" t="b">
        <f t="shared" si="123"/>
        <v>0</v>
      </c>
      <c r="AK334" s="265" t="b">
        <f t="shared" si="124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5"/>
        <v>43421</v>
      </c>
      <c r="B335" s="616">
        <v>19.071000000000002</v>
      </c>
      <c r="C335" s="390"/>
      <c r="D335" s="393">
        <f t="shared" ref="D335:D379" si="131">Wh/(1-Ppv)</f>
        <v>19.118992326489597</v>
      </c>
      <c r="E335" s="385">
        <f t="shared" si="128"/>
        <v>19.493389607547975</v>
      </c>
      <c r="F335" s="385">
        <f t="shared" si="130"/>
        <v>19.633088626435899</v>
      </c>
      <c r="G335" s="110">
        <f t="shared" si="129"/>
        <v>0.97107634523468733</v>
      </c>
      <c r="I335" s="380">
        <f t="shared" ref="I335:I380" si="132">Wh_hp</f>
        <v>19.633088626435899</v>
      </c>
      <c r="J335" s="85">
        <v>2018</v>
      </c>
      <c r="K335" s="197">
        <f t="shared" ref="K335:K379" si="133">t</f>
        <v>43421</v>
      </c>
      <c r="L335" s="436">
        <f t="shared" ref="L335:L378" si="134">IF(t&lt;T0,0,IF(t&lt;Tvie,1-EXP((T0-t)*PertePVj),1-EXP((T0-t)*PertePVj)+Pspv))</f>
        <v>2.5101912103966395E-3</v>
      </c>
      <c r="M335" s="854"/>
      <c r="N335" s="854"/>
      <c r="O335" s="324">
        <f t="shared" ref="O335:O379" si="135">IF(t&lt;T0,0,IF(t&lt;Tnet,Salim_i*(1-EXP((T0-t)/Tau_ij)),Resal+(Salim-Resal)*(1-EXP((Tnet-t)/(Tau_j)))))*Salcycl</f>
        <v>1.9206371421079591E-2</v>
      </c>
      <c r="P335" s="169">
        <f>(INDEX(Models!$BJ335:$BT335,,T335)*(1-R335)+INDEX(Models!$BJ335:$BT335,,T335+1)*R335-ERP_i)*Q335*Ramure*Pc/MaxiM</f>
        <v>7.4188875235877728E-3</v>
      </c>
      <c r="Q335" s="305">
        <f t="shared" ref="Q335:Q379" si="136">IF(OR(t&lt;Ttai,Notai),Dd+PousD*Croivg,Dens+PousD*(Croivg-Croi_tai))</f>
        <v>0.8</v>
      </c>
      <c r="R335" s="177">
        <f t="shared" ref="R335:R379" si="137">(Hp_vg-S335)/(INDEX(Echel_vg,T335+1)-S335)</f>
        <v>0.59936185043732471</v>
      </c>
      <c r="S335" s="809">
        <f t="shared" si="126"/>
        <v>0</v>
      </c>
      <c r="T335" s="176">
        <f t="shared" ref="T335:T379" si="138">MIN(MATCH(Hp_vg,Echel_vg),10)</f>
        <v>6</v>
      </c>
      <c r="U335" s="251">
        <f t="shared" ref="U335:U379" si="139">IF(OR(t&lt;Ttai,Notai),Hdd+PousH*Croivg,Hdtf+PousH*(Croivg-Croi_tai))</f>
        <v>0.59936185043732471</v>
      </c>
      <c r="V335" s="383">
        <f t="shared" ref="V335:V379" si="140">MaxiM*(1-Ppv)*(1-Pvg)*(1-Psa)</f>
        <v>19.633031436846167</v>
      </c>
      <c r="W335" s="58"/>
      <c r="X335" s="157">
        <f t="shared" ref="X335:X379" si="141">t</f>
        <v>43421</v>
      </c>
      <c r="Y335" s="385">
        <f t="shared" ref="Y335:Y379" si="142">Wh_pvt_s*(1-Ppv)</f>
        <v>19.071000000000002</v>
      </c>
      <c r="Z335" s="385">
        <f t="shared" ref="Z335:Z379" si="143">Wh_sa_s*(1-Psa_s)</f>
        <v>19.118992326489597</v>
      </c>
      <c r="AA335" s="386">
        <f t="shared" ref="AA335:AA379" si="144">Wh_hp*(1-Pvg_s*MEDIAN((-Sdif+Wh/Env_an)/Csdif,0,1))</f>
        <v>19.493389607547975</v>
      </c>
      <c r="AB335" s="197">
        <f t="shared" ref="AB335:AB379" si="145">t</f>
        <v>43421</v>
      </c>
      <c r="AC335" s="425">
        <f t="shared" ref="AC335:AC379" si="146">IF(t&lt;T0,0,IF(OR(t&lt;Tnet,NoTnet),Salim_i*(1-EXP((T0-t)/Tau_ij)),Resal_s+(Salim-Resal_s)*(1-EXP((Tnet_s-t)/Tau_j))))*Salcycl</f>
        <v>1.9206371421079591E-2</v>
      </c>
      <c r="AD335" s="169">
        <f>(INDEX(Models!$BJ335:$BT335,,AH335)*(1-AF335)+INDEX(Models!$BJ335:$BT335,,AH335+1)*AF335-ERP_i)*AE335*Ramure*Pc/MaxiM</f>
        <v>7.4188875235877728E-3</v>
      </c>
      <c r="AE335" s="305">
        <f t="shared" ref="AE335:AE379" si="147">Dd+PousD*Croivg</f>
        <v>0.8</v>
      </c>
      <c r="AF335" s="177">
        <f t="shared" ref="AF335:AF379" si="148">(Hp_vg_s-AG335)/(INDEX(Echel_vg,AH335+1)-AG335)</f>
        <v>0.59936185043732471</v>
      </c>
      <c r="AG335" s="809">
        <f t="shared" ref="AG335:AG379" si="149">INDEX(Echel_vg,AH335)</f>
        <v>0</v>
      </c>
      <c r="AH335" s="176">
        <f t="shared" ref="AH335:AH379" si="150">MIN(MATCH(Hp_vg_s,Echel_vg),10)</f>
        <v>6</v>
      </c>
      <c r="AI335" s="225">
        <f t="shared" ref="AI335:AI379" si="151">Hdd+PousH*Croivg</f>
        <v>0.59936185043732471</v>
      </c>
      <c r="AJ335" s="265" t="b">
        <f t="shared" ref="AJ335:AJ380" si="152">t&lt;Tnet</f>
        <v>0</v>
      </c>
      <c r="AK335" s="265" t="b">
        <f t="shared" ref="AK335:AK380" si="15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4">A335+1</f>
        <v>43422</v>
      </c>
      <c r="B336" s="616">
        <v>16.712</v>
      </c>
      <c r="C336" s="390"/>
      <c r="D336" s="393">
        <f t="shared" si="131"/>
        <v>16.754445784248123</v>
      </c>
      <c r="E336" s="385">
        <f t="shared" si="128"/>
        <v>17.085258091515215</v>
      </c>
      <c r="F336" s="385">
        <f t="shared" si="130"/>
        <v>17.189877633840634</v>
      </c>
      <c r="G336" s="110">
        <f t="shared" si="129"/>
        <v>0.85969359123320377</v>
      </c>
      <c r="I336" s="380">
        <f t="shared" si="132"/>
        <v>17.189877633840634</v>
      </c>
      <c r="J336" s="85">
        <v>2018</v>
      </c>
      <c r="K336" s="197">
        <f t="shared" si="133"/>
        <v>43422</v>
      </c>
      <c r="L336" s="436">
        <f t="shared" si="134"/>
        <v>2.5334042554859826E-3</v>
      </c>
      <c r="M336" s="854"/>
      <c r="N336" s="854"/>
      <c r="O336" s="324">
        <f t="shared" si="135"/>
        <v>1.9362441321935757E-2</v>
      </c>
      <c r="P336" s="169">
        <f>(INDEX(Models!$BJ336:$BT336,,T336)*(1-R336)+INDEX(Models!$BJ336:$BT336,,T336+1)*R336-ERP_i)*Q336*Ramure*Pc/MaxiM</f>
        <v>7.594082044296205E-3</v>
      </c>
      <c r="Q336" s="305">
        <f t="shared" si="136"/>
        <v>0.8</v>
      </c>
      <c r="R336" s="177">
        <f t="shared" si="137"/>
        <v>0.59939550030772082</v>
      </c>
      <c r="S336" s="809">
        <f t="shared" ref="S336:S379" si="155">INDEX(Echel_vg,T336)</f>
        <v>0</v>
      </c>
      <c r="T336" s="176">
        <f t="shared" si="138"/>
        <v>6</v>
      </c>
      <c r="U336" s="251">
        <f t="shared" si="139"/>
        <v>0.59939550030772082</v>
      </c>
      <c r="V336" s="383">
        <f t="shared" si="140"/>
        <v>19.40999058219063</v>
      </c>
      <c r="W336" s="58"/>
      <c r="X336" s="157">
        <f t="shared" si="141"/>
        <v>43422</v>
      </c>
      <c r="Y336" s="385">
        <f t="shared" si="142"/>
        <v>16.712</v>
      </c>
      <c r="Z336" s="385">
        <f t="shared" si="143"/>
        <v>16.754445784248123</v>
      </c>
      <c r="AA336" s="386">
        <f t="shared" si="144"/>
        <v>17.085258091515215</v>
      </c>
      <c r="AB336" s="197">
        <f t="shared" si="145"/>
        <v>43422</v>
      </c>
      <c r="AC336" s="425">
        <f t="shared" si="146"/>
        <v>1.9362441321935757E-2</v>
      </c>
      <c r="AD336" s="169">
        <f>(INDEX(Models!$BJ336:$BT336,,AH336)*(1-AF336)+INDEX(Models!$BJ336:$BT336,,AH336+1)*AF336-ERP_i)*AE336*Ramure*Pc/MaxiM</f>
        <v>7.594082044296205E-3</v>
      </c>
      <c r="AE336" s="305">
        <f t="shared" si="147"/>
        <v>0.8</v>
      </c>
      <c r="AF336" s="177">
        <f t="shared" si="148"/>
        <v>0.59939550030772082</v>
      </c>
      <c r="AG336" s="809">
        <f t="shared" si="149"/>
        <v>0</v>
      </c>
      <c r="AH336" s="176">
        <f t="shared" si="150"/>
        <v>6</v>
      </c>
      <c r="AI336" s="225">
        <f t="shared" si="151"/>
        <v>0.59939550030772082</v>
      </c>
      <c r="AJ336" s="265" t="b">
        <f t="shared" si="152"/>
        <v>0</v>
      </c>
      <c r="AK336" s="265" t="b">
        <f t="shared" si="15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4"/>
        <v>43423</v>
      </c>
      <c r="B337" s="616">
        <v>14.814</v>
      </c>
      <c r="C337" s="390"/>
      <c r="D337" s="393">
        <f t="shared" si="131"/>
        <v>14.851970797465384</v>
      </c>
      <c r="E337" s="385">
        <f t="shared" si="128"/>
        <v>15.147628695004714</v>
      </c>
      <c r="F337" s="385">
        <f t="shared" si="130"/>
        <v>15.227481571432936</v>
      </c>
      <c r="G337" s="110">
        <f t="shared" si="129"/>
        <v>0.76983261438549899</v>
      </c>
      <c r="I337" s="380">
        <f t="shared" si="132"/>
        <v>15.227481571432936</v>
      </c>
      <c r="J337" s="85">
        <v>2018</v>
      </c>
      <c r="K337" s="197">
        <f t="shared" si="133"/>
        <v>43423</v>
      </c>
      <c r="L337" s="436">
        <f t="shared" si="134"/>
        <v>2.5566167603738865E-3</v>
      </c>
      <c r="M337" s="854"/>
      <c r="N337" s="854"/>
      <c r="O337" s="324">
        <f t="shared" si="135"/>
        <v>1.9518427833977101E-2</v>
      </c>
      <c r="P337" s="169">
        <f>(INDEX(Models!$BJ337:$BT337,,T337)*(1-R337)+INDEX(Models!$BJ337:$BT337,,T337+1)*R337-ERP_i)*Q337*Ramure*Pc/MaxiM</f>
        <v>7.7804030382401107E-3</v>
      </c>
      <c r="Q337" s="305">
        <f t="shared" si="136"/>
        <v>0.8</v>
      </c>
      <c r="R337" s="177">
        <f t="shared" si="137"/>
        <v>0.59942779888512543</v>
      </c>
      <c r="S337" s="809">
        <f t="shared" si="155"/>
        <v>0</v>
      </c>
      <c r="T337" s="176">
        <f t="shared" si="138"/>
        <v>6</v>
      </c>
      <c r="U337" s="251">
        <f t="shared" si="139"/>
        <v>0.59942779888512543</v>
      </c>
      <c r="V337" s="383">
        <f t="shared" si="140"/>
        <v>19.194078472423818</v>
      </c>
      <c r="W337" s="58"/>
      <c r="X337" s="157">
        <f t="shared" si="141"/>
        <v>43423</v>
      </c>
      <c r="Y337" s="385">
        <f t="shared" si="142"/>
        <v>14.814</v>
      </c>
      <c r="Z337" s="385">
        <f t="shared" si="143"/>
        <v>14.851970797465384</v>
      </c>
      <c r="AA337" s="386">
        <f t="shared" si="144"/>
        <v>15.147628695004714</v>
      </c>
      <c r="AB337" s="197">
        <f t="shared" si="145"/>
        <v>43423</v>
      </c>
      <c r="AC337" s="425">
        <f t="shared" si="146"/>
        <v>1.9518427833977101E-2</v>
      </c>
      <c r="AD337" s="169">
        <f>(INDEX(Models!$BJ337:$BT337,,AH337)*(1-AF337)+INDEX(Models!$BJ337:$BT337,,AH337+1)*AF337-ERP_i)*AE337*Ramure*Pc/MaxiM</f>
        <v>7.7804030382401107E-3</v>
      </c>
      <c r="AE337" s="305">
        <f t="shared" si="147"/>
        <v>0.8</v>
      </c>
      <c r="AF337" s="177">
        <f t="shared" si="148"/>
        <v>0.59942779888512543</v>
      </c>
      <c r="AG337" s="809">
        <f t="shared" si="149"/>
        <v>0</v>
      </c>
      <c r="AH337" s="176">
        <f t="shared" si="150"/>
        <v>6</v>
      </c>
      <c r="AI337" s="225">
        <f t="shared" si="151"/>
        <v>0.59942779888512543</v>
      </c>
      <c r="AJ337" s="265" t="b">
        <f t="shared" si="152"/>
        <v>0</v>
      </c>
      <c r="AK337" s="265" t="b">
        <f t="shared" si="15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4"/>
        <v>43424</v>
      </c>
      <c r="B338" s="616">
        <v>8.0090000000000003</v>
      </c>
      <c r="C338" s="390"/>
      <c r="D338" s="393">
        <f t="shared" si="131"/>
        <v>8.0297152901597109</v>
      </c>
      <c r="E338" s="385">
        <f t="shared" si="128"/>
        <v>8.1908652415802408</v>
      </c>
      <c r="F338" s="385">
        <f t="shared" si="130"/>
        <v>8.202239863981287</v>
      </c>
      <c r="G338" s="110">
        <f t="shared" si="129"/>
        <v>0.4190661290938274</v>
      </c>
      <c r="I338" s="380">
        <f t="shared" si="132"/>
        <v>8.202239863981287</v>
      </c>
      <c r="J338" s="85">
        <v>2018</v>
      </c>
      <c r="K338" s="197">
        <f t="shared" si="133"/>
        <v>43424</v>
      </c>
      <c r="L338" s="436">
        <f t="shared" si="134"/>
        <v>2.5798287250728968E-3</v>
      </c>
      <c r="M338" s="854"/>
      <c r="N338" s="854"/>
      <c r="O338" s="324">
        <f t="shared" si="135"/>
        <v>1.9674350226453044E-2</v>
      </c>
      <c r="P338" s="169">
        <f>(INDEX(Models!$BJ338:$BT338,,T338)*(1-R338)+INDEX(Models!$BJ338:$BT338,,T338+1)*R338-ERP_i)*Q338*Ramure*Pc/MaxiM</f>
        <v>7.9669480283678217E-3</v>
      </c>
      <c r="Q338" s="305">
        <f t="shared" si="136"/>
        <v>0.8</v>
      </c>
      <c r="R338" s="177">
        <f t="shared" si="137"/>
        <v>0.59945880029705223</v>
      </c>
      <c r="S338" s="809">
        <f t="shared" si="155"/>
        <v>0</v>
      </c>
      <c r="T338" s="176">
        <f t="shared" si="138"/>
        <v>6</v>
      </c>
      <c r="U338" s="251">
        <f t="shared" si="139"/>
        <v>0.59945880029705223</v>
      </c>
      <c r="V338" s="383">
        <f t="shared" si="140"/>
        <v>18.985610190855965</v>
      </c>
      <c r="W338" s="58"/>
      <c r="X338" s="157">
        <f t="shared" si="141"/>
        <v>43424</v>
      </c>
      <c r="Y338" s="385">
        <f t="shared" si="142"/>
        <v>8.0090000000000003</v>
      </c>
      <c r="Z338" s="385">
        <f t="shared" si="143"/>
        <v>8.0297152901597109</v>
      </c>
      <c r="AA338" s="386">
        <f t="shared" si="144"/>
        <v>8.1908652415802408</v>
      </c>
      <c r="AB338" s="197">
        <f t="shared" si="145"/>
        <v>43424</v>
      </c>
      <c r="AC338" s="425">
        <f t="shared" si="146"/>
        <v>1.9674350226453044E-2</v>
      </c>
      <c r="AD338" s="169">
        <f>(INDEX(Models!$BJ338:$BT338,,AH338)*(1-AF338)+INDEX(Models!$BJ338:$BT338,,AH338+1)*AF338-ERP_i)*AE338*Ramure*Pc/MaxiM</f>
        <v>7.9669480283678217E-3</v>
      </c>
      <c r="AE338" s="305">
        <f t="shared" si="147"/>
        <v>0.8</v>
      </c>
      <c r="AF338" s="177">
        <f t="shared" si="148"/>
        <v>0.59945880029705223</v>
      </c>
      <c r="AG338" s="809">
        <f t="shared" si="149"/>
        <v>0</v>
      </c>
      <c r="AH338" s="176">
        <f t="shared" si="150"/>
        <v>6</v>
      </c>
      <c r="AI338" s="225">
        <f t="shared" si="151"/>
        <v>0.59945880029705223</v>
      </c>
      <c r="AJ338" s="265" t="b">
        <f t="shared" si="152"/>
        <v>0</v>
      </c>
      <c r="AK338" s="265" t="b">
        <f t="shared" si="15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4"/>
        <v>43425</v>
      </c>
      <c r="B339" s="616">
        <v>18.012</v>
      </c>
      <c r="C339" s="390"/>
      <c r="D339" s="393">
        <f t="shared" si="131"/>
        <v>18.059008323728545</v>
      </c>
      <c r="E339" s="385">
        <f t="shared" si="128"/>
        <v>18.424367716930004</v>
      </c>
      <c r="F339" s="385">
        <f t="shared" si="130"/>
        <v>18.566626931250891</v>
      </c>
      <c r="G339" s="110">
        <f t="shared" si="129"/>
        <v>0.95839118120789657</v>
      </c>
      <c r="I339" s="380">
        <f t="shared" si="132"/>
        <v>18.566626931250891</v>
      </c>
      <c r="J339" s="85">
        <v>2018</v>
      </c>
      <c r="K339" s="197">
        <f t="shared" si="133"/>
        <v>43425</v>
      </c>
      <c r="L339" s="436">
        <f t="shared" si="134"/>
        <v>2.6030401495955591E-3</v>
      </c>
      <c r="M339" s="854"/>
      <c r="N339" s="854"/>
      <c r="O339" s="324">
        <f t="shared" si="135"/>
        <v>1.9830226948072398E-2</v>
      </c>
      <c r="P339" s="169">
        <f>(INDEX(Models!$BJ339:$BT339,,T339)*(1-R339)+INDEX(Models!$BJ339:$BT339,,T339+1)*R339-ERP_i)*Q339*Ramure*Pc/MaxiM</f>
        <v>8.1406024808053801E-3</v>
      </c>
      <c r="Q339" s="305">
        <f t="shared" si="136"/>
        <v>0.8</v>
      </c>
      <c r="R339" s="177">
        <f t="shared" si="137"/>
        <v>0.59948855651367439</v>
      </c>
      <c r="S339" s="809">
        <f t="shared" si="155"/>
        <v>0</v>
      </c>
      <c r="T339" s="176">
        <f t="shared" si="138"/>
        <v>6</v>
      </c>
      <c r="U339" s="251">
        <f t="shared" si="139"/>
        <v>0.59948855651367439</v>
      </c>
      <c r="V339" s="383">
        <f t="shared" si="140"/>
        <v>18.784933421429731</v>
      </c>
      <c r="W339" s="58"/>
      <c r="X339" s="157">
        <f t="shared" si="141"/>
        <v>43425</v>
      </c>
      <c r="Y339" s="385">
        <f t="shared" si="142"/>
        <v>18.012</v>
      </c>
      <c r="Z339" s="385">
        <f t="shared" si="143"/>
        <v>18.059008323728545</v>
      </c>
      <c r="AA339" s="386">
        <f t="shared" si="144"/>
        <v>18.424367716930004</v>
      </c>
      <c r="AB339" s="197">
        <f t="shared" si="145"/>
        <v>43425</v>
      </c>
      <c r="AC339" s="425">
        <f t="shared" si="146"/>
        <v>1.9830226948072398E-2</v>
      </c>
      <c r="AD339" s="169">
        <f>(INDEX(Models!$BJ339:$BT339,,AH339)*(1-AF339)+INDEX(Models!$BJ339:$BT339,,AH339+1)*AF339-ERP_i)*AE339*Ramure*Pc/MaxiM</f>
        <v>8.1406024808053801E-3</v>
      </c>
      <c r="AE339" s="305">
        <f t="shared" si="147"/>
        <v>0.8</v>
      </c>
      <c r="AF339" s="177">
        <f t="shared" si="148"/>
        <v>0.59948855651367439</v>
      </c>
      <c r="AG339" s="809">
        <f t="shared" si="149"/>
        <v>0</v>
      </c>
      <c r="AH339" s="176">
        <f t="shared" si="150"/>
        <v>6</v>
      </c>
      <c r="AI339" s="225">
        <f t="shared" si="151"/>
        <v>0.59948855651367439</v>
      </c>
      <c r="AJ339" s="265" t="b">
        <f t="shared" si="152"/>
        <v>0</v>
      </c>
      <c r="AK339" s="265" t="b">
        <f t="shared" si="15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4"/>
        <v>43426</v>
      </c>
      <c r="B340" s="616">
        <v>14.913</v>
      </c>
      <c r="C340" s="390"/>
      <c r="D340" s="393">
        <f t="shared" si="131"/>
        <v>14.952268410372705</v>
      </c>
      <c r="E340" s="385">
        <f t="shared" si="128"/>
        <v>15.257199961367414</v>
      </c>
      <c r="F340" s="385">
        <f t="shared" si="130"/>
        <v>15.34859142478483</v>
      </c>
      <c r="G340" s="110">
        <f t="shared" si="129"/>
        <v>0.80021934028436159</v>
      </c>
      <c r="I340" s="380">
        <f t="shared" si="132"/>
        <v>15.34859142478483</v>
      </c>
      <c r="J340" s="85">
        <v>2018</v>
      </c>
      <c r="K340" s="197">
        <f t="shared" si="133"/>
        <v>43426</v>
      </c>
      <c r="L340" s="436">
        <f t="shared" si="134"/>
        <v>2.6262510339544187E-3</v>
      </c>
      <c r="M340" s="854"/>
      <c r="N340" s="854"/>
      <c r="O340" s="324">
        <f t="shared" si="135"/>
        <v>1.9986075542486357E-2</v>
      </c>
      <c r="P340" s="169">
        <f>(INDEX(Models!$BJ340:$BT340,,T340)*(1-R340)+INDEX(Models!$BJ340:$BT340,,T340+1)*R340-ERP_i)*Q340*Ramure*Pc/MaxiM</f>
        <v>8.3010638489871089E-3</v>
      </c>
      <c r="Q340" s="305">
        <f t="shared" si="136"/>
        <v>0.8</v>
      </c>
      <c r="R340" s="177">
        <f t="shared" si="137"/>
        <v>0.59951711743295666</v>
      </c>
      <c r="S340" s="809">
        <f t="shared" si="155"/>
        <v>0</v>
      </c>
      <c r="T340" s="176">
        <f t="shared" si="138"/>
        <v>6</v>
      </c>
      <c r="U340" s="251">
        <f t="shared" si="139"/>
        <v>0.59951711743295666</v>
      </c>
      <c r="V340" s="383">
        <f t="shared" si="140"/>
        <v>18.592145479633341</v>
      </c>
      <c r="W340" s="58"/>
      <c r="X340" s="157">
        <f t="shared" si="141"/>
        <v>43426</v>
      </c>
      <c r="Y340" s="385">
        <f t="shared" si="142"/>
        <v>14.913</v>
      </c>
      <c r="Z340" s="385">
        <f t="shared" si="143"/>
        <v>14.952268410372705</v>
      </c>
      <c r="AA340" s="386">
        <f t="shared" si="144"/>
        <v>15.257199961367414</v>
      </c>
      <c r="AB340" s="197">
        <f t="shared" si="145"/>
        <v>43426</v>
      </c>
      <c r="AC340" s="425">
        <f t="shared" si="146"/>
        <v>1.9986075542486357E-2</v>
      </c>
      <c r="AD340" s="169">
        <f>(INDEX(Models!$BJ340:$BT340,,AH340)*(1-AF340)+INDEX(Models!$BJ340:$BT340,,AH340+1)*AF340-ERP_i)*AE340*Ramure*Pc/MaxiM</f>
        <v>8.3010638489871089E-3</v>
      </c>
      <c r="AE340" s="305">
        <f t="shared" si="147"/>
        <v>0.8</v>
      </c>
      <c r="AF340" s="177">
        <f t="shared" si="148"/>
        <v>0.59951711743295666</v>
      </c>
      <c r="AG340" s="809">
        <f t="shared" si="149"/>
        <v>0</v>
      </c>
      <c r="AH340" s="176">
        <f t="shared" si="150"/>
        <v>6</v>
      </c>
      <c r="AI340" s="225">
        <f t="shared" si="151"/>
        <v>0.59951711743295666</v>
      </c>
      <c r="AJ340" s="265" t="b">
        <f t="shared" si="152"/>
        <v>0</v>
      </c>
      <c r="AK340" s="265" t="b">
        <f t="shared" si="15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4"/>
        <v>43427</v>
      </c>
      <c r="B341" s="616">
        <v>10.456</v>
      </c>
      <c r="C341" s="390"/>
      <c r="D341" s="393">
        <f t="shared" si="131"/>
        <v>10.483776360564605</v>
      </c>
      <c r="E341" s="385">
        <f t="shared" si="128"/>
        <v>10.699280329522718</v>
      </c>
      <c r="F341" s="385">
        <f t="shared" si="130"/>
        <v>10.734002460359944</v>
      </c>
      <c r="G341" s="110">
        <f t="shared" si="129"/>
        <v>0.56506323747446185</v>
      </c>
      <c r="I341" s="380">
        <f t="shared" si="132"/>
        <v>10.734002460359944</v>
      </c>
      <c r="J341" s="85">
        <v>2018</v>
      </c>
      <c r="K341" s="197">
        <f t="shared" si="133"/>
        <v>43427</v>
      </c>
      <c r="L341" s="436">
        <f t="shared" si="134"/>
        <v>2.6494613781621323E-3</v>
      </c>
      <c r="M341" s="854"/>
      <c r="N341" s="854"/>
      <c r="O341" s="324">
        <f t="shared" si="135"/>
        <v>2.0141912569901534E-2</v>
      </c>
      <c r="P341" s="169">
        <f>(INDEX(Models!$BJ341:$BT341,,T341)*(1-R341)+INDEX(Models!$BJ341:$BT341,,T341+1)*R341-ERP_i)*Q341*Ramure*Pc/MaxiM</f>
        <v>8.4479753021407551E-3</v>
      </c>
      <c r="Q341" s="305">
        <f t="shared" si="136"/>
        <v>0.8</v>
      </c>
      <c r="R341" s="177">
        <f t="shared" si="137"/>
        <v>0.59954453096249638</v>
      </c>
      <c r="S341" s="809">
        <f t="shared" si="155"/>
        <v>0</v>
      </c>
      <c r="T341" s="176">
        <f t="shared" si="138"/>
        <v>6</v>
      </c>
      <c r="U341" s="251">
        <f t="shared" si="139"/>
        <v>0.59954453096249638</v>
      </c>
      <c r="V341" s="383">
        <f t="shared" si="140"/>
        <v>18.407344943421784</v>
      </c>
      <c r="W341" s="58"/>
      <c r="X341" s="157">
        <f t="shared" si="141"/>
        <v>43427</v>
      </c>
      <c r="Y341" s="385">
        <f t="shared" si="142"/>
        <v>10.456</v>
      </c>
      <c r="Z341" s="385">
        <f t="shared" si="143"/>
        <v>10.483776360564605</v>
      </c>
      <c r="AA341" s="386">
        <f t="shared" si="144"/>
        <v>10.699280329522718</v>
      </c>
      <c r="AB341" s="197">
        <f t="shared" si="145"/>
        <v>43427</v>
      </c>
      <c r="AC341" s="425">
        <f t="shared" si="146"/>
        <v>2.0141912569901534E-2</v>
      </c>
      <c r="AD341" s="169">
        <f>(INDEX(Models!$BJ341:$BT341,,AH341)*(1-AF341)+INDEX(Models!$BJ341:$BT341,,AH341+1)*AF341-ERP_i)*AE341*Ramure*Pc/MaxiM</f>
        <v>8.4479753021407551E-3</v>
      </c>
      <c r="AE341" s="305">
        <f t="shared" si="147"/>
        <v>0.8</v>
      </c>
      <c r="AF341" s="177">
        <f t="shared" si="148"/>
        <v>0.59954453096249638</v>
      </c>
      <c r="AG341" s="809">
        <f t="shared" si="149"/>
        <v>0</v>
      </c>
      <c r="AH341" s="176">
        <f t="shared" si="150"/>
        <v>6</v>
      </c>
      <c r="AI341" s="225">
        <f t="shared" si="151"/>
        <v>0.59954453096249638</v>
      </c>
      <c r="AJ341" s="265" t="b">
        <f t="shared" si="152"/>
        <v>0</v>
      </c>
      <c r="AK341" s="265" t="b">
        <f t="shared" si="153"/>
        <v>0</v>
      </c>
      <c r="AL341" s="265"/>
      <c r="AM341" s="265"/>
      <c r="AN341" s="75"/>
    </row>
    <row r="342" spans="1:40" s="6" customFormat="1" ht="11.25" x14ac:dyDescent="0.2">
      <c r="A342" s="56">
        <f t="shared" si="154"/>
        <v>43428</v>
      </c>
      <c r="B342" s="616">
        <v>14.074999999999999</v>
      </c>
      <c r="C342" s="390"/>
      <c r="D342" s="393">
        <f t="shared" si="131"/>
        <v>14.112718656456046</v>
      </c>
      <c r="E342" s="385">
        <f t="shared" si="128"/>
        <v>14.405110029485183</v>
      </c>
      <c r="F342" s="385">
        <f t="shared" si="130"/>
        <v>14.488953175986383</v>
      </c>
      <c r="G342" s="110">
        <f t="shared" si="129"/>
        <v>0.76988239157383509</v>
      </c>
      <c r="I342" s="380">
        <f t="shared" si="132"/>
        <v>14.488953175986383</v>
      </c>
      <c r="J342" s="85">
        <v>2018</v>
      </c>
      <c r="K342" s="197">
        <f t="shared" si="133"/>
        <v>43428</v>
      </c>
      <c r="L342" s="436">
        <f t="shared" si="134"/>
        <v>2.6726711822312454E-3</v>
      </c>
      <c r="M342" s="854"/>
      <c r="N342" s="854"/>
      <c r="O342" s="324">
        <f t="shared" si="135"/>
        <v>2.0297753535422743E-2</v>
      </c>
      <c r="P342" s="169">
        <f>(INDEX(Models!$BJ342:$BT342,,T342)*(1-R342)+INDEX(Models!$BJ342:$BT342,,T342+1)*R342-ERP_i)*Q342*Ramure*Pc/MaxiM</f>
        <v>8.5810113234788456E-3</v>
      </c>
      <c r="Q342" s="305">
        <f t="shared" si="136"/>
        <v>0.8</v>
      </c>
      <c r="R342" s="177">
        <f t="shared" si="137"/>
        <v>0.59957084309819397</v>
      </c>
      <c r="S342" s="809">
        <f t="shared" si="155"/>
        <v>0</v>
      </c>
      <c r="T342" s="176">
        <f t="shared" si="138"/>
        <v>6</v>
      </c>
      <c r="U342" s="251">
        <f t="shared" si="139"/>
        <v>0.59957084309819397</v>
      </c>
      <c r="V342" s="383">
        <f t="shared" si="140"/>
        <v>18.230630067315548</v>
      </c>
      <c r="W342" s="58"/>
      <c r="X342" s="157">
        <f t="shared" si="141"/>
        <v>43428</v>
      </c>
      <c r="Y342" s="385">
        <f t="shared" si="142"/>
        <v>14.074999999999999</v>
      </c>
      <c r="Z342" s="385">
        <f t="shared" si="143"/>
        <v>14.112718656456046</v>
      </c>
      <c r="AA342" s="386">
        <f t="shared" si="144"/>
        <v>14.405110029485183</v>
      </c>
      <c r="AB342" s="197">
        <f t="shared" si="145"/>
        <v>43428</v>
      </c>
      <c r="AC342" s="425">
        <f t="shared" si="146"/>
        <v>2.0297753535422743E-2</v>
      </c>
      <c r="AD342" s="169">
        <f>(INDEX(Models!$BJ342:$BT342,,AH342)*(1-AF342)+INDEX(Models!$BJ342:$BT342,,AH342+1)*AF342-ERP_i)*AE342*Ramure*Pc/MaxiM</f>
        <v>8.5810113234788456E-3</v>
      </c>
      <c r="AE342" s="305">
        <f t="shared" si="147"/>
        <v>0.8</v>
      </c>
      <c r="AF342" s="177">
        <f t="shared" si="148"/>
        <v>0.59957084309819397</v>
      </c>
      <c r="AG342" s="809">
        <f t="shared" si="149"/>
        <v>0</v>
      </c>
      <c r="AH342" s="176">
        <f t="shared" si="150"/>
        <v>6</v>
      </c>
      <c r="AI342" s="225">
        <f t="shared" si="151"/>
        <v>0.59957084309819397</v>
      </c>
      <c r="AJ342" s="265" t="b">
        <f t="shared" si="152"/>
        <v>0</v>
      </c>
      <c r="AK342" s="265" t="b">
        <f t="shared" si="15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4"/>
        <v>43429</v>
      </c>
      <c r="B343" s="616">
        <v>10.738</v>
      </c>
      <c r="C343" s="390"/>
      <c r="D343" s="393">
        <f t="shared" si="131"/>
        <v>10.767026616518912</v>
      </c>
      <c r="E343" s="385">
        <f t="shared" si="128"/>
        <v>10.991849653559804</v>
      </c>
      <c r="F343" s="385">
        <f t="shared" si="130"/>
        <v>11.032230097361724</v>
      </c>
      <c r="G343" s="110">
        <f t="shared" si="129"/>
        <v>0.59149744966910189</v>
      </c>
      <c r="I343" s="380">
        <f t="shared" si="132"/>
        <v>11.032230097361724</v>
      </c>
      <c r="J343" s="85">
        <v>2018</v>
      </c>
      <c r="K343" s="197">
        <f t="shared" si="133"/>
        <v>43429</v>
      </c>
      <c r="L343" s="436">
        <f t="shared" si="134"/>
        <v>2.6958804461743036E-3</v>
      </c>
      <c r="M343" s="854"/>
      <c r="N343" s="854"/>
      <c r="O343" s="324">
        <f t="shared" si="135"/>
        <v>2.0453612824669575E-2</v>
      </c>
      <c r="P343" s="169">
        <f>(INDEX(Models!$BJ343:$BT343,,T343)*(1-R343)+INDEX(Models!$BJ343:$BT343,,T343+1)*R343-ERP_i)*Q343*Ramure*Pc/MaxiM</f>
        <v>8.6998906107662623E-3</v>
      </c>
      <c r="Q343" s="305">
        <f t="shared" si="136"/>
        <v>0.8</v>
      </c>
      <c r="R343" s="177">
        <f t="shared" si="137"/>
        <v>0.59959609799987079</v>
      </c>
      <c r="S343" s="809">
        <f t="shared" si="155"/>
        <v>0</v>
      </c>
      <c r="T343" s="176">
        <f t="shared" si="138"/>
        <v>6</v>
      </c>
      <c r="U343" s="251">
        <f t="shared" si="139"/>
        <v>0.59959609799987079</v>
      </c>
      <c r="V343" s="383">
        <f t="shared" si="140"/>
        <v>18.062098614142428</v>
      </c>
      <c r="W343" s="58"/>
      <c r="X343" s="157">
        <f t="shared" si="141"/>
        <v>43429</v>
      </c>
      <c r="Y343" s="385">
        <f t="shared" si="142"/>
        <v>10.738</v>
      </c>
      <c r="Z343" s="385">
        <f t="shared" si="143"/>
        <v>10.767026616518912</v>
      </c>
      <c r="AA343" s="386">
        <f t="shared" si="144"/>
        <v>10.991849653559804</v>
      </c>
      <c r="AB343" s="197">
        <f t="shared" si="145"/>
        <v>43429</v>
      </c>
      <c r="AC343" s="425">
        <f t="shared" si="146"/>
        <v>2.0453612824669575E-2</v>
      </c>
      <c r="AD343" s="169">
        <f>(INDEX(Models!$BJ343:$BT343,,AH343)*(1-AF343)+INDEX(Models!$BJ343:$BT343,,AH343+1)*AF343-ERP_i)*AE343*Ramure*Pc/MaxiM</f>
        <v>8.6998906107662623E-3</v>
      </c>
      <c r="AE343" s="305">
        <f t="shared" si="147"/>
        <v>0.8</v>
      </c>
      <c r="AF343" s="177">
        <f t="shared" si="148"/>
        <v>0.59959609799987079</v>
      </c>
      <c r="AG343" s="809">
        <f t="shared" si="149"/>
        <v>0</v>
      </c>
      <c r="AH343" s="176">
        <f t="shared" si="150"/>
        <v>6</v>
      </c>
      <c r="AI343" s="225">
        <f t="shared" si="151"/>
        <v>0.59959609799987079</v>
      </c>
      <c r="AJ343" s="265" t="b">
        <f t="shared" si="152"/>
        <v>0</v>
      </c>
      <c r="AK343" s="265" t="b">
        <f t="shared" si="153"/>
        <v>0</v>
      </c>
      <c r="AL343" s="265"/>
      <c r="AM343" s="265"/>
      <c r="AN343" s="75"/>
    </row>
    <row r="344" spans="1:40" s="6" customFormat="1" ht="11.25" x14ac:dyDescent="0.2">
      <c r="A344" s="56">
        <f t="shared" si="154"/>
        <v>43430</v>
      </c>
      <c r="B344" s="616">
        <v>3.649</v>
      </c>
      <c r="C344" s="390"/>
      <c r="D344" s="393">
        <f t="shared" si="131"/>
        <v>3.658949008622943</v>
      </c>
      <c r="E344" s="385">
        <f t="shared" si="128"/>
        <v>3.7359449803204141</v>
      </c>
      <c r="F344" s="385">
        <f t="shared" si="130"/>
        <v>3.7359449803204141</v>
      </c>
      <c r="G344" s="110">
        <f t="shared" si="129"/>
        <v>0.20203907698314766</v>
      </c>
      <c r="I344" s="380">
        <f t="shared" si="132"/>
        <v>3.7359449803204141</v>
      </c>
      <c r="J344" s="85">
        <v>2018</v>
      </c>
      <c r="K344" s="197">
        <f t="shared" si="133"/>
        <v>43430</v>
      </c>
      <c r="L344" s="436">
        <f t="shared" si="134"/>
        <v>2.7190891700038522E-3</v>
      </c>
      <c r="M344" s="854"/>
      <c r="N344" s="854"/>
      <c r="O344" s="324">
        <f t="shared" si="135"/>
        <v>2.0609503647151476E-2</v>
      </c>
      <c r="P344" s="169">
        <f>(INDEX(Models!$BJ344:$BT344,,T344)*(1-R344)+INDEX(Models!$BJ344:$BT344,,T344+1)*R344-ERP_i)*Q344*Ramure*Pc/MaxiM</f>
        <v>8.8043352421600454E-3</v>
      </c>
      <c r="Q344" s="305">
        <f t="shared" si="136"/>
        <v>0.8</v>
      </c>
      <c r="R344" s="177">
        <f t="shared" si="137"/>
        <v>0.59962033806394877</v>
      </c>
      <c r="S344" s="809">
        <f t="shared" si="155"/>
        <v>0</v>
      </c>
      <c r="T344" s="176">
        <f t="shared" si="138"/>
        <v>6</v>
      </c>
      <c r="U344" s="251">
        <f t="shared" si="139"/>
        <v>0.59962033806394877</v>
      </c>
      <c r="V344" s="383">
        <f t="shared" si="140"/>
        <v>17.901848665657116</v>
      </c>
      <c r="W344" s="58"/>
      <c r="X344" s="157">
        <f t="shared" si="141"/>
        <v>43430</v>
      </c>
      <c r="Y344" s="385">
        <f t="shared" si="142"/>
        <v>3.649</v>
      </c>
      <c r="Z344" s="385">
        <f t="shared" si="143"/>
        <v>3.658949008622943</v>
      </c>
      <c r="AA344" s="386">
        <f t="shared" si="144"/>
        <v>3.7359449803204141</v>
      </c>
      <c r="AB344" s="197">
        <f t="shared" si="145"/>
        <v>43430</v>
      </c>
      <c r="AC344" s="425">
        <f t="shared" si="146"/>
        <v>2.0609503647151476E-2</v>
      </c>
      <c r="AD344" s="169">
        <f>(INDEX(Models!$BJ344:$BT344,,AH344)*(1-AF344)+INDEX(Models!$BJ344:$BT344,,AH344+1)*AF344-ERP_i)*AE344*Ramure*Pc/MaxiM</f>
        <v>8.8043352421600454E-3</v>
      </c>
      <c r="AE344" s="305">
        <f t="shared" si="147"/>
        <v>0.8</v>
      </c>
      <c r="AF344" s="177">
        <f t="shared" si="148"/>
        <v>0.59962033806394877</v>
      </c>
      <c r="AG344" s="809">
        <f t="shared" si="149"/>
        <v>0</v>
      </c>
      <c r="AH344" s="176">
        <f t="shared" si="150"/>
        <v>6</v>
      </c>
      <c r="AI344" s="225">
        <f t="shared" si="151"/>
        <v>0.59962033806394877</v>
      </c>
      <c r="AJ344" s="265" t="b">
        <f t="shared" si="152"/>
        <v>0</v>
      </c>
      <c r="AK344" s="265" t="b">
        <f t="shared" si="15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4"/>
        <v>43431</v>
      </c>
      <c r="B345" s="616">
        <v>15.763</v>
      </c>
      <c r="C345" s="390"/>
      <c r="D345" s="393">
        <f t="shared" si="131"/>
        <v>15.806345699985251</v>
      </c>
      <c r="E345" s="385">
        <f t="shared" si="128"/>
        <v>16.141531675011134</v>
      </c>
      <c r="F345" s="385">
        <f t="shared" si="130"/>
        <v>16.263070033899286</v>
      </c>
      <c r="G345" s="110">
        <f t="shared" si="129"/>
        <v>0.88685777569692814</v>
      </c>
      <c r="I345" s="380">
        <f t="shared" si="132"/>
        <v>16.263070033899286</v>
      </c>
      <c r="J345" s="85">
        <v>2018</v>
      </c>
      <c r="K345" s="197">
        <f t="shared" si="133"/>
        <v>43431</v>
      </c>
      <c r="L345" s="436">
        <f t="shared" si="134"/>
        <v>2.7422973537325479E-3</v>
      </c>
      <c r="M345" s="854"/>
      <c r="N345" s="854"/>
      <c r="O345" s="324">
        <f t="shared" si="135"/>
        <v>2.0765437987820441E-2</v>
      </c>
      <c r="P345" s="169">
        <f>(INDEX(Models!$BJ345:$BT345,,T345)*(1-R345)+INDEX(Models!$BJ345:$BT345,,T345+1)*R345-ERP_i)*Q345*Ramure*Pc/MaxiM</f>
        <v>8.8947902194360332E-3</v>
      </c>
      <c r="Q345" s="305">
        <f t="shared" si="136"/>
        <v>0.8</v>
      </c>
      <c r="R345" s="177">
        <f t="shared" si="137"/>
        <v>0.59964360399330152</v>
      </c>
      <c r="S345" s="809">
        <f t="shared" si="155"/>
        <v>0</v>
      </c>
      <c r="T345" s="176">
        <f t="shared" si="138"/>
        <v>6</v>
      </c>
      <c r="U345" s="251">
        <f t="shared" si="139"/>
        <v>0.59964360399330152</v>
      </c>
      <c r="V345" s="383">
        <f t="shared" si="140"/>
        <v>17.748532329415589</v>
      </c>
      <c r="W345" s="58"/>
      <c r="X345" s="157">
        <f t="shared" si="141"/>
        <v>43431</v>
      </c>
      <c r="Y345" s="385">
        <f t="shared" si="142"/>
        <v>15.763</v>
      </c>
      <c r="Z345" s="385">
        <f t="shared" si="143"/>
        <v>15.806345699985251</v>
      </c>
      <c r="AA345" s="386">
        <f t="shared" si="144"/>
        <v>16.141531675011134</v>
      </c>
      <c r="AB345" s="197">
        <f t="shared" si="145"/>
        <v>43431</v>
      </c>
      <c r="AC345" s="425">
        <f t="shared" si="146"/>
        <v>2.0765437987820441E-2</v>
      </c>
      <c r="AD345" s="169">
        <f>(INDEX(Models!$BJ345:$BT345,,AH345)*(1-AF345)+INDEX(Models!$BJ345:$BT345,,AH345+1)*AF345-ERP_i)*AE345*Ramure*Pc/MaxiM</f>
        <v>8.8947902194360332E-3</v>
      </c>
      <c r="AE345" s="305">
        <f t="shared" si="147"/>
        <v>0.8</v>
      </c>
      <c r="AF345" s="177">
        <f t="shared" si="148"/>
        <v>0.59964360399330152</v>
      </c>
      <c r="AG345" s="809">
        <f t="shared" si="149"/>
        <v>0</v>
      </c>
      <c r="AH345" s="176">
        <f t="shared" si="150"/>
        <v>6</v>
      </c>
      <c r="AI345" s="225">
        <f t="shared" si="151"/>
        <v>0.59964360399330152</v>
      </c>
      <c r="AJ345" s="265" t="b">
        <f t="shared" si="152"/>
        <v>0</v>
      </c>
      <c r="AK345" s="265" t="b">
        <f t="shared" si="15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4"/>
        <v>43432</v>
      </c>
      <c r="B346" s="616">
        <v>12.340999999999999</v>
      </c>
      <c r="C346" s="390"/>
      <c r="D346" s="393">
        <f t="shared" si="131"/>
        <v>12.375223743105163</v>
      </c>
      <c r="E346" s="385">
        <f t="shared" si="128"/>
        <v>12.639663535598707</v>
      </c>
      <c r="F346" s="385">
        <f t="shared" si="130"/>
        <v>12.704962668086491</v>
      </c>
      <c r="G346" s="110">
        <f t="shared" si="129"/>
        <v>0.69844901297702811</v>
      </c>
      <c r="I346" s="380">
        <f t="shared" si="132"/>
        <v>12.704962668086491</v>
      </c>
      <c r="J346" s="85">
        <v>2018</v>
      </c>
      <c r="K346" s="197">
        <f t="shared" si="133"/>
        <v>43432</v>
      </c>
      <c r="L346" s="436">
        <f t="shared" si="134"/>
        <v>2.7655049973728252E-3</v>
      </c>
      <c r="M346" s="854"/>
      <c r="N346" s="854"/>
      <c r="O346" s="324">
        <f t="shared" si="135"/>
        <v>2.0921426567152616E-2</v>
      </c>
      <c r="P346" s="169">
        <f>(INDEX(Models!$BJ346:$BT346,,T346)*(1-R346)+INDEX(Models!$BJ346:$BT346,,T346+1)*R346-ERP_i)*Q346*Ramure*Pc/MaxiM</f>
        <v>8.9686665386336639E-3</v>
      </c>
      <c r="Q346" s="305">
        <f t="shared" si="136"/>
        <v>0.8</v>
      </c>
      <c r="R346" s="177">
        <f t="shared" si="137"/>
        <v>0.59966593486438313</v>
      </c>
      <c r="S346" s="809">
        <f t="shared" si="155"/>
        <v>0</v>
      </c>
      <c r="T346" s="176">
        <f t="shared" si="138"/>
        <v>6</v>
      </c>
      <c r="U346" s="251">
        <f t="shared" si="139"/>
        <v>0.59966593486438313</v>
      </c>
      <c r="V346" s="383">
        <f t="shared" si="140"/>
        <v>17.601144570999509</v>
      </c>
      <c r="W346" s="58"/>
      <c r="X346" s="157">
        <f t="shared" si="141"/>
        <v>43432</v>
      </c>
      <c r="Y346" s="385">
        <f t="shared" si="142"/>
        <v>12.340999999999999</v>
      </c>
      <c r="Z346" s="385">
        <f t="shared" si="143"/>
        <v>12.375223743105163</v>
      </c>
      <c r="AA346" s="386">
        <f t="shared" si="144"/>
        <v>12.639663535598707</v>
      </c>
      <c r="AB346" s="197">
        <f t="shared" si="145"/>
        <v>43432</v>
      </c>
      <c r="AC346" s="425">
        <f t="shared" si="146"/>
        <v>2.0921426567152616E-2</v>
      </c>
      <c r="AD346" s="169">
        <f>(INDEX(Models!$BJ346:$BT346,,AH346)*(1-AF346)+INDEX(Models!$BJ346:$BT346,,AH346+1)*AF346-ERP_i)*AE346*Ramure*Pc/MaxiM</f>
        <v>8.9686665386336639E-3</v>
      </c>
      <c r="AE346" s="305">
        <f t="shared" si="147"/>
        <v>0.8</v>
      </c>
      <c r="AF346" s="177">
        <f t="shared" si="148"/>
        <v>0.59966593486438313</v>
      </c>
      <c r="AG346" s="809">
        <f t="shared" si="149"/>
        <v>0</v>
      </c>
      <c r="AH346" s="176">
        <f t="shared" si="150"/>
        <v>6</v>
      </c>
      <c r="AI346" s="225">
        <f t="shared" si="151"/>
        <v>0.59966593486438313</v>
      </c>
      <c r="AJ346" s="265" t="b">
        <f t="shared" si="152"/>
        <v>0</v>
      </c>
      <c r="AK346" s="265" t="b">
        <f t="shared" si="15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4"/>
        <v>43433</v>
      </c>
      <c r="B347" s="616">
        <v>17.472999999999999</v>
      </c>
      <c r="C347" s="390"/>
      <c r="D347" s="393">
        <f t="shared" si="131"/>
        <v>17.52186343258542</v>
      </c>
      <c r="E347" s="385">
        <f t="shared" si="128"/>
        <v>17.89913200820644</v>
      </c>
      <c r="F347" s="385">
        <f t="shared" si="130"/>
        <v>18.062192612165116</v>
      </c>
      <c r="G347" s="110">
        <f t="shared" si="129"/>
        <v>1.000734254871225</v>
      </c>
      <c r="I347" s="380">
        <f t="shared" si="132"/>
        <v>18.062192612165116</v>
      </c>
      <c r="J347" s="85">
        <v>2018</v>
      </c>
      <c r="K347" s="197">
        <f t="shared" si="133"/>
        <v>43433</v>
      </c>
      <c r="L347" s="436">
        <f t="shared" si="134"/>
        <v>2.7887121009373406E-3</v>
      </c>
      <c r="M347" s="854"/>
      <c r="N347" s="854"/>
      <c r="O347" s="324">
        <f t="shared" si="135"/>
        <v>2.1077478810036656E-2</v>
      </c>
      <c r="P347" s="169">
        <f>(INDEX(Models!$BJ347:$BT347,,T347)*(1-R347)+INDEX(Models!$BJ347:$BT347,,T347+1)*R347-ERP_i)*Q347*Ramure*Pc/MaxiM</f>
        <v>9.0277303237733721E-3</v>
      </c>
      <c r="Q347" s="305">
        <f t="shared" si="136"/>
        <v>0.8</v>
      </c>
      <c r="R347" s="177">
        <f t="shared" si="137"/>
        <v>0.59968736819173818</v>
      </c>
      <c r="S347" s="809">
        <f t="shared" si="155"/>
        <v>0</v>
      </c>
      <c r="T347" s="176">
        <f t="shared" si="138"/>
        <v>6</v>
      </c>
      <c r="U347" s="251">
        <f t="shared" si="139"/>
        <v>0.59968736819173818</v>
      </c>
      <c r="V347" s="383">
        <f t="shared" si="140"/>
        <v>17.460179777945577</v>
      </c>
      <c r="W347" s="58"/>
      <c r="X347" s="157">
        <f t="shared" si="141"/>
        <v>43433</v>
      </c>
      <c r="Y347" s="385">
        <f t="shared" si="142"/>
        <v>17.472999999999999</v>
      </c>
      <c r="Z347" s="385">
        <f t="shared" si="143"/>
        <v>17.52186343258542</v>
      </c>
      <c r="AA347" s="386">
        <f t="shared" si="144"/>
        <v>17.89913200820644</v>
      </c>
      <c r="AB347" s="197">
        <f t="shared" si="145"/>
        <v>43433</v>
      </c>
      <c r="AC347" s="425">
        <f t="shared" si="146"/>
        <v>2.1077478810036656E-2</v>
      </c>
      <c r="AD347" s="169">
        <f>(INDEX(Models!$BJ347:$BT347,,AH347)*(1-AF347)+INDEX(Models!$BJ347:$BT347,,AH347+1)*AF347-ERP_i)*AE347*Ramure*Pc/MaxiM</f>
        <v>9.0277303237733721E-3</v>
      </c>
      <c r="AE347" s="305">
        <f t="shared" si="147"/>
        <v>0.8</v>
      </c>
      <c r="AF347" s="177">
        <f t="shared" si="148"/>
        <v>0.59968736819173818</v>
      </c>
      <c r="AG347" s="809">
        <f t="shared" si="149"/>
        <v>0</v>
      </c>
      <c r="AH347" s="176">
        <f t="shared" si="150"/>
        <v>6</v>
      </c>
      <c r="AI347" s="225">
        <f t="shared" si="151"/>
        <v>0.59968736819173818</v>
      </c>
      <c r="AJ347" s="265" t="b">
        <f t="shared" si="152"/>
        <v>0</v>
      </c>
      <c r="AK347" s="265" t="b">
        <f t="shared" si="15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4"/>
        <v>43434</v>
      </c>
      <c r="B348" s="616">
        <v>8.8260000000000005</v>
      </c>
      <c r="C348" s="390"/>
      <c r="D348" s="393">
        <f t="shared" si="131"/>
        <v>8.8508879770996636</v>
      </c>
      <c r="E348" s="385">
        <f t="shared" si="128"/>
        <v>9.0429013527986424</v>
      </c>
      <c r="F348" s="385">
        <f t="shared" si="130"/>
        <v>9.0675080287442711</v>
      </c>
      <c r="G348" s="110">
        <f t="shared" si="129"/>
        <v>0.50615526563896829</v>
      </c>
      <c r="I348" s="380">
        <f t="shared" si="132"/>
        <v>9.0675080287442711</v>
      </c>
      <c r="J348" s="85">
        <v>2018</v>
      </c>
      <c r="K348" s="197">
        <f t="shared" si="133"/>
        <v>43434</v>
      </c>
      <c r="L348" s="436">
        <f t="shared" si="134"/>
        <v>2.8119186644387506E-3</v>
      </c>
      <c r="M348" s="854"/>
      <c r="N348" s="854"/>
      <c r="O348" s="324">
        <f t="shared" si="135"/>
        <v>2.1233602823672634E-2</v>
      </c>
      <c r="P348" s="169">
        <f>(INDEX(Models!$BJ348:$BT348,,T348)*(1-R348)+INDEX(Models!$BJ348:$BT348,,T348+1)*R348-ERP_i)*Q348*Ramure*Pc/MaxiM</f>
        <v>9.0715318193321619E-3</v>
      </c>
      <c r="Q348" s="305">
        <f t="shared" si="136"/>
        <v>0.8</v>
      </c>
      <c r="R348" s="177">
        <f t="shared" si="137"/>
        <v>0.59970793998998906</v>
      </c>
      <c r="S348" s="809">
        <f t="shared" si="155"/>
        <v>0</v>
      </c>
      <c r="T348" s="176">
        <f t="shared" si="138"/>
        <v>6</v>
      </c>
      <c r="U348" s="251">
        <f t="shared" si="139"/>
        <v>0.59970793998998906</v>
      </c>
      <c r="V348" s="383">
        <f t="shared" si="140"/>
        <v>17.326172133668269</v>
      </c>
      <c r="W348" s="58"/>
      <c r="X348" s="157">
        <f t="shared" si="141"/>
        <v>43434</v>
      </c>
      <c r="Y348" s="385">
        <f t="shared" si="142"/>
        <v>8.8260000000000005</v>
      </c>
      <c r="Z348" s="385">
        <f t="shared" si="143"/>
        <v>8.8508879770996636</v>
      </c>
      <c r="AA348" s="386">
        <f t="shared" si="144"/>
        <v>9.0429013527986424</v>
      </c>
      <c r="AB348" s="197">
        <f t="shared" si="145"/>
        <v>43434</v>
      </c>
      <c r="AC348" s="425">
        <f t="shared" si="146"/>
        <v>2.1233602823672634E-2</v>
      </c>
      <c r="AD348" s="169">
        <f>(INDEX(Models!$BJ348:$BT348,,AH348)*(1-AF348)+INDEX(Models!$BJ348:$BT348,,AH348+1)*AF348-ERP_i)*AE348*Ramure*Pc/MaxiM</f>
        <v>9.0715318193321619E-3</v>
      </c>
      <c r="AE348" s="305">
        <f t="shared" si="147"/>
        <v>0.8</v>
      </c>
      <c r="AF348" s="177">
        <f t="shared" si="148"/>
        <v>0.59970793998998906</v>
      </c>
      <c r="AG348" s="809">
        <f t="shared" si="149"/>
        <v>0</v>
      </c>
      <c r="AH348" s="176">
        <f t="shared" si="150"/>
        <v>6</v>
      </c>
      <c r="AI348" s="225">
        <f t="shared" si="151"/>
        <v>0.59970793998998906</v>
      </c>
      <c r="AJ348" s="265" t="b">
        <f t="shared" si="152"/>
        <v>0</v>
      </c>
      <c r="AK348" s="265" t="b">
        <f t="shared" si="15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4"/>
        <v>43435</v>
      </c>
      <c r="B349" s="616">
        <v>14.016999999999999</v>
      </c>
      <c r="C349" s="390"/>
      <c r="D349" s="393">
        <f t="shared" si="131"/>
        <v>14.056852930778078</v>
      </c>
      <c r="E349" s="385">
        <f t="shared" si="128"/>
        <v>14.364098195709698</v>
      </c>
      <c r="F349" s="385">
        <f t="shared" si="130"/>
        <v>14.460901933731215</v>
      </c>
      <c r="G349" s="110">
        <f t="shared" si="129"/>
        <v>0.81298461927295484</v>
      </c>
      <c r="I349" s="380">
        <f t="shared" si="132"/>
        <v>14.460901933731215</v>
      </c>
      <c r="J349" s="85">
        <v>2018</v>
      </c>
      <c r="K349" s="197">
        <f t="shared" si="133"/>
        <v>43435</v>
      </c>
      <c r="L349" s="436">
        <f t="shared" si="134"/>
        <v>2.8351246878893788E-3</v>
      </c>
      <c r="M349" s="854"/>
      <c r="N349" s="854"/>
      <c r="O349" s="324">
        <f t="shared" si="135"/>
        <v>2.1389805384607375E-2</v>
      </c>
      <c r="P349" s="169">
        <f>(INDEX(Models!$BJ349:$BT349,,T349)*(1-R349)+INDEX(Models!$BJ349:$BT349,,T349+1)*R349-ERP_i)*Q349*Ramure*Pc/MaxiM</f>
        <v>9.0996112440313495E-3</v>
      </c>
      <c r="Q349" s="305">
        <f t="shared" si="136"/>
        <v>0.8</v>
      </c>
      <c r="R349" s="177">
        <f t="shared" si="137"/>
        <v>0.59972768483339967</v>
      </c>
      <c r="S349" s="809">
        <f t="shared" si="155"/>
        <v>0</v>
      </c>
      <c r="T349" s="176">
        <f t="shared" si="138"/>
        <v>6</v>
      </c>
      <c r="U349" s="251">
        <f t="shared" si="139"/>
        <v>0.59972768483339967</v>
      </c>
      <c r="V349" s="383">
        <f t="shared" si="140"/>
        <v>17.199655899699469</v>
      </c>
      <c r="W349" s="58"/>
      <c r="X349" s="157">
        <f t="shared" si="141"/>
        <v>43435</v>
      </c>
      <c r="Y349" s="385">
        <f t="shared" si="142"/>
        <v>14.016999999999999</v>
      </c>
      <c r="Z349" s="385">
        <f t="shared" si="143"/>
        <v>14.056852930778078</v>
      </c>
      <c r="AA349" s="386">
        <f t="shared" si="144"/>
        <v>14.364098195709698</v>
      </c>
      <c r="AB349" s="197">
        <f t="shared" si="145"/>
        <v>43435</v>
      </c>
      <c r="AC349" s="425">
        <f t="shared" si="146"/>
        <v>2.1389805384607375E-2</v>
      </c>
      <c r="AD349" s="169">
        <f>(INDEX(Models!$BJ349:$BT349,,AH349)*(1-AF349)+INDEX(Models!$BJ349:$BT349,,AH349+1)*AF349-ERP_i)*AE349*Ramure*Pc/MaxiM</f>
        <v>9.0996112440313495E-3</v>
      </c>
      <c r="AE349" s="305">
        <f t="shared" si="147"/>
        <v>0.8</v>
      </c>
      <c r="AF349" s="177">
        <f t="shared" si="148"/>
        <v>0.59972768483339967</v>
      </c>
      <c r="AG349" s="809">
        <f t="shared" si="149"/>
        <v>0</v>
      </c>
      <c r="AH349" s="176">
        <f t="shared" si="150"/>
        <v>6</v>
      </c>
      <c r="AI349" s="225">
        <f t="shared" si="151"/>
        <v>0.59972768483339967</v>
      </c>
      <c r="AJ349" s="265" t="b">
        <f t="shared" si="152"/>
        <v>0</v>
      </c>
      <c r="AK349" s="265" t="b">
        <f t="shared" si="15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4"/>
        <v>43436</v>
      </c>
      <c r="B350" s="616">
        <v>6.3239999999999998</v>
      </c>
      <c r="C350" s="390"/>
      <c r="D350" s="393">
        <f t="shared" si="131"/>
        <v>6.3421278955140039</v>
      </c>
      <c r="E350" s="385">
        <f t="shared" si="128"/>
        <v>6.4817850317098342</v>
      </c>
      <c r="F350" s="385">
        <f t="shared" si="130"/>
        <v>6.48771593869815</v>
      </c>
      <c r="G350" s="110">
        <f t="shared" si="129"/>
        <v>0.36719465596043416</v>
      </c>
      <c r="I350" s="380">
        <f t="shared" si="132"/>
        <v>6.48771593869815</v>
      </c>
      <c r="J350" s="85">
        <v>2018</v>
      </c>
      <c r="K350" s="197">
        <f t="shared" si="133"/>
        <v>43436</v>
      </c>
      <c r="L350" s="436">
        <f t="shared" si="134"/>
        <v>2.8583301713021037E-3</v>
      </c>
      <c r="M350" s="854"/>
      <c r="N350" s="854"/>
      <c r="O350" s="324">
        <f t="shared" si="135"/>
        <v>2.1546091934954277E-2</v>
      </c>
      <c r="P350" s="169">
        <f>(INDEX(Models!$BJ350:$BT350,,T350)*(1-R350)+INDEX(Models!$BJ350:$BT350,,T350+1)*R350-ERP_i)*Q350*Ramure*Pc/MaxiM</f>
        <v>9.1115052103418713E-3</v>
      </c>
      <c r="Q350" s="305">
        <f t="shared" si="136"/>
        <v>0.8</v>
      </c>
      <c r="R350" s="177">
        <f t="shared" si="137"/>
        <v>0.59974663591310595</v>
      </c>
      <c r="S350" s="809">
        <f t="shared" si="155"/>
        <v>0</v>
      </c>
      <c r="T350" s="176">
        <f t="shared" si="138"/>
        <v>6</v>
      </c>
      <c r="U350" s="251">
        <f t="shared" si="139"/>
        <v>0.59974663591310595</v>
      </c>
      <c r="V350" s="383">
        <f t="shared" si="140"/>
        <v>17.081165390382953</v>
      </c>
      <c r="W350" s="58"/>
      <c r="X350" s="157">
        <f t="shared" si="141"/>
        <v>43436</v>
      </c>
      <c r="Y350" s="385">
        <f t="shared" si="142"/>
        <v>6.3239999999999998</v>
      </c>
      <c r="Z350" s="385">
        <f t="shared" si="143"/>
        <v>6.3421278955140039</v>
      </c>
      <c r="AA350" s="386">
        <f t="shared" si="144"/>
        <v>6.4817850317098342</v>
      </c>
      <c r="AB350" s="197">
        <f t="shared" si="145"/>
        <v>43436</v>
      </c>
      <c r="AC350" s="425">
        <f t="shared" si="146"/>
        <v>2.1546091934954277E-2</v>
      </c>
      <c r="AD350" s="169">
        <f>(INDEX(Models!$BJ350:$BT350,,AH350)*(1-AF350)+INDEX(Models!$BJ350:$BT350,,AH350+1)*AF350-ERP_i)*AE350*Ramure*Pc/MaxiM</f>
        <v>9.1115052103418713E-3</v>
      </c>
      <c r="AE350" s="305">
        <f t="shared" si="147"/>
        <v>0.8</v>
      </c>
      <c r="AF350" s="177">
        <f t="shared" si="148"/>
        <v>0.59974663591310595</v>
      </c>
      <c r="AG350" s="809">
        <f t="shared" si="149"/>
        <v>0</v>
      </c>
      <c r="AH350" s="176">
        <f t="shared" si="150"/>
        <v>6</v>
      </c>
      <c r="AI350" s="225">
        <f t="shared" si="151"/>
        <v>0.59974663591310595</v>
      </c>
      <c r="AJ350" s="265" t="b">
        <f t="shared" si="152"/>
        <v>0</v>
      </c>
      <c r="AK350" s="265" t="b">
        <f t="shared" si="15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4"/>
        <v>43437</v>
      </c>
      <c r="B351" s="616">
        <v>6.8479999999999999</v>
      </c>
      <c r="C351" s="390"/>
      <c r="D351" s="393">
        <f t="shared" si="131"/>
        <v>6.8677897774038934</v>
      </c>
      <c r="E351" s="385">
        <f t="shared" si="128"/>
        <v>7.0201442228414104</v>
      </c>
      <c r="F351" s="385">
        <f t="shared" si="130"/>
        <v>7.0296101581186381</v>
      </c>
      <c r="G351" s="110">
        <f t="shared" si="129"/>
        <v>0.40037078544202837</v>
      </c>
      <c r="I351" s="380">
        <f t="shared" si="132"/>
        <v>7.0296101581186381</v>
      </c>
      <c r="J351" s="85">
        <v>2018</v>
      </c>
      <c r="K351" s="197">
        <f t="shared" si="133"/>
        <v>43437</v>
      </c>
      <c r="L351" s="436">
        <f t="shared" si="134"/>
        <v>2.8815351146892487E-3</v>
      </c>
      <c r="M351" s="854"/>
      <c r="N351" s="854"/>
      <c r="O351" s="324">
        <f t="shared" si="135"/>
        <v>2.1702466587766398E-2</v>
      </c>
      <c r="P351" s="169">
        <f>(INDEX(Models!$BJ351:$BT351,,T351)*(1-R351)+INDEX(Models!$BJ351:$BT351,,T351+1)*R351-ERP_i)*Q351*Ramure*Pc/MaxiM</f>
        <v>9.1067539389952656E-3</v>
      </c>
      <c r="Q351" s="305">
        <f t="shared" si="136"/>
        <v>0.8</v>
      </c>
      <c r="R351" s="177">
        <f t="shared" si="137"/>
        <v>0.59976482509210105</v>
      </c>
      <c r="S351" s="809">
        <f t="shared" si="155"/>
        <v>0</v>
      </c>
      <c r="T351" s="176">
        <f t="shared" si="138"/>
        <v>6</v>
      </c>
      <c r="U351" s="251">
        <f t="shared" si="139"/>
        <v>0.59976482509210105</v>
      </c>
      <c r="V351" s="383">
        <f t="shared" si="140"/>
        <v>16.971234971856358</v>
      </c>
      <c r="W351" s="58"/>
      <c r="X351" s="157">
        <f t="shared" si="141"/>
        <v>43437</v>
      </c>
      <c r="Y351" s="385">
        <f t="shared" si="142"/>
        <v>6.8479999999999999</v>
      </c>
      <c r="Z351" s="385">
        <f t="shared" si="143"/>
        <v>6.8677897774038934</v>
      </c>
      <c r="AA351" s="386">
        <f t="shared" si="144"/>
        <v>7.0201442228414104</v>
      </c>
      <c r="AB351" s="197">
        <f t="shared" si="145"/>
        <v>43437</v>
      </c>
      <c r="AC351" s="425">
        <f t="shared" si="146"/>
        <v>2.1702466587766398E-2</v>
      </c>
      <c r="AD351" s="169">
        <f>(INDEX(Models!$BJ351:$BT351,,AH351)*(1-AF351)+INDEX(Models!$BJ351:$BT351,,AH351+1)*AF351-ERP_i)*AE351*Ramure*Pc/MaxiM</f>
        <v>9.1067539389952656E-3</v>
      </c>
      <c r="AE351" s="305">
        <f t="shared" si="147"/>
        <v>0.8</v>
      </c>
      <c r="AF351" s="177">
        <f t="shared" si="148"/>
        <v>0.59976482509210105</v>
      </c>
      <c r="AG351" s="809">
        <f t="shared" si="149"/>
        <v>0</v>
      </c>
      <c r="AH351" s="176">
        <f t="shared" si="150"/>
        <v>6</v>
      </c>
      <c r="AI351" s="225">
        <f t="shared" si="151"/>
        <v>0.59976482509210105</v>
      </c>
      <c r="AJ351" s="265" t="b">
        <f t="shared" si="152"/>
        <v>0</v>
      </c>
      <c r="AK351" s="265" t="b">
        <f t="shared" si="15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4"/>
        <v>43438</v>
      </c>
      <c r="B352" s="616">
        <v>5.8739999999999997</v>
      </c>
      <c r="C352" s="390"/>
      <c r="D352" s="393">
        <f t="shared" si="131"/>
        <v>5.8911121462565745</v>
      </c>
      <c r="E352" s="385">
        <f t="shared" si="128"/>
        <v>6.0227633209942191</v>
      </c>
      <c r="F352" s="385">
        <f t="shared" si="130"/>
        <v>6.0265329240157079</v>
      </c>
      <c r="G352" s="110">
        <f t="shared" si="129"/>
        <v>0.34523654797811998</v>
      </c>
      <c r="I352" s="380">
        <f t="shared" si="132"/>
        <v>6.0265329240157079</v>
      </c>
      <c r="J352" s="85">
        <v>2018</v>
      </c>
      <c r="K352" s="197">
        <f t="shared" si="133"/>
        <v>43438</v>
      </c>
      <c r="L352" s="436">
        <f t="shared" si="134"/>
        <v>2.9047395180633595E-3</v>
      </c>
      <c r="M352" s="854"/>
      <c r="N352" s="854"/>
      <c r="O352" s="324">
        <f t="shared" si="135"/>
        <v>2.1858932141452972E-2</v>
      </c>
      <c r="P352" s="169">
        <f>(INDEX(Models!$BJ352:$BT352,,T352)*(1-R352)+INDEX(Models!$BJ352:$BT352,,T352+1)*R352-ERP_i)*Q352*Ramure*Pc/MaxiM</f>
        <v>9.0869556736388139E-3</v>
      </c>
      <c r="Q352" s="305">
        <f t="shared" si="136"/>
        <v>0.8</v>
      </c>
      <c r="R352" s="177">
        <f t="shared" si="137"/>
        <v>0.59978228295806302</v>
      </c>
      <c r="S352" s="809">
        <f t="shared" si="155"/>
        <v>0</v>
      </c>
      <c r="T352" s="176">
        <f t="shared" si="138"/>
        <v>6</v>
      </c>
      <c r="U352" s="251">
        <f t="shared" si="139"/>
        <v>0.59978228295806302</v>
      </c>
      <c r="V352" s="383">
        <f t="shared" si="140"/>
        <v>16.870364222767201</v>
      </c>
      <c r="W352" s="58"/>
      <c r="X352" s="157">
        <f t="shared" si="141"/>
        <v>43438</v>
      </c>
      <c r="Y352" s="385">
        <f t="shared" si="142"/>
        <v>5.8739999999999997</v>
      </c>
      <c r="Z352" s="385">
        <f t="shared" si="143"/>
        <v>5.8911121462565745</v>
      </c>
      <c r="AA352" s="386">
        <f t="shared" si="144"/>
        <v>6.0227633209942191</v>
      </c>
      <c r="AB352" s="197">
        <f t="shared" si="145"/>
        <v>43438</v>
      </c>
      <c r="AC352" s="425">
        <f t="shared" si="146"/>
        <v>2.1858932141452972E-2</v>
      </c>
      <c r="AD352" s="169">
        <f>(INDEX(Models!$BJ352:$BT352,,AH352)*(1-AF352)+INDEX(Models!$BJ352:$BT352,,AH352+1)*AF352-ERP_i)*AE352*Ramure*Pc/MaxiM</f>
        <v>9.0869556736388139E-3</v>
      </c>
      <c r="AE352" s="305">
        <f t="shared" si="147"/>
        <v>0.8</v>
      </c>
      <c r="AF352" s="177">
        <f t="shared" si="148"/>
        <v>0.59978228295806302</v>
      </c>
      <c r="AG352" s="809">
        <f t="shared" si="149"/>
        <v>0</v>
      </c>
      <c r="AH352" s="176">
        <f t="shared" si="150"/>
        <v>6</v>
      </c>
      <c r="AI352" s="225">
        <f t="shared" si="151"/>
        <v>0.59978228295806302</v>
      </c>
      <c r="AJ352" s="265" t="b">
        <f t="shared" si="152"/>
        <v>0</v>
      </c>
      <c r="AK352" s="265" t="b">
        <f t="shared" si="15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4"/>
        <v>43439</v>
      </c>
      <c r="B353" s="616">
        <v>12.96</v>
      </c>
      <c r="C353" s="390"/>
      <c r="D353" s="393">
        <f t="shared" si="131"/>
        <v>12.998057576653101</v>
      </c>
      <c r="E353" s="385">
        <f t="shared" si="128"/>
        <v>13.29065792465642</v>
      </c>
      <c r="F353" s="385">
        <f t="shared" si="130"/>
        <v>13.372447869111131</v>
      </c>
      <c r="G353" s="110">
        <f t="shared" si="129"/>
        <v>0.77010879554997291</v>
      </c>
      <c r="I353" s="380">
        <f t="shared" si="132"/>
        <v>13.372447869111131</v>
      </c>
      <c r="J353" s="85">
        <v>2018</v>
      </c>
      <c r="K353" s="197">
        <f t="shared" si="133"/>
        <v>43439</v>
      </c>
      <c r="L353" s="436">
        <f t="shared" si="134"/>
        <v>2.9279433814372036E-3</v>
      </c>
      <c r="M353" s="854"/>
      <c r="N353" s="854"/>
      <c r="O353" s="324">
        <f t="shared" si="135"/>
        <v>2.201549010305167E-2</v>
      </c>
      <c r="P353" s="169">
        <f>(INDEX(Models!$BJ353:$BT353,,T353)*(1-R353)+INDEX(Models!$BJ353:$BT353,,T353+1)*R353-ERP_i)*Q353*Ramure*Pc/MaxiM</f>
        <v>9.0631284838976443E-3</v>
      </c>
      <c r="Q353" s="305">
        <f t="shared" si="136"/>
        <v>0.8</v>
      </c>
      <c r="R353" s="177">
        <f t="shared" si="137"/>
        <v>0.59979903887410579</v>
      </c>
      <c r="S353" s="809">
        <f t="shared" si="155"/>
        <v>0</v>
      </c>
      <c r="T353" s="176">
        <f t="shared" si="138"/>
        <v>6</v>
      </c>
      <c r="U353" s="251">
        <f t="shared" si="139"/>
        <v>0.59979903887410579</v>
      </c>
      <c r="V353" s="383">
        <f t="shared" si="140"/>
        <v>16.778894350317486</v>
      </c>
      <c r="W353" s="58"/>
      <c r="X353" s="157">
        <f t="shared" si="141"/>
        <v>43439</v>
      </c>
      <c r="Y353" s="385">
        <f t="shared" si="142"/>
        <v>12.96</v>
      </c>
      <c r="Z353" s="385">
        <f t="shared" si="143"/>
        <v>12.998057576653101</v>
      </c>
      <c r="AA353" s="386">
        <f t="shared" si="144"/>
        <v>13.29065792465642</v>
      </c>
      <c r="AB353" s="197">
        <f t="shared" si="145"/>
        <v>43439</v>
      </c>
      <c r="AC353" s="425">
        <f t="shared" si="146"/>
        <v>2.201549010305167E-2</v>
      </c>
      <c r="AD353" s="169">
        <f>(INDEX(Models!$BJ353:$BT353,,AH353)*(1-AF353)+INDEX(Models!$BJ353:$BT353,,AH353+1)*AF353-ERP_i)*AE353*Ramure*Pc/MaxiM</f>
        <v>9.0631284838976443E-3</v>
      </c>
      <c r="AE353" s="305">
        <f t="shared" si="147"/>
        <v>0.8</v>
      </c>
      <c r="AF353" s="177">
        <f t="shared" si="148"/>
        <v>0.59979903887410579</v>
      </c>
      <c r="AG353" s="809">
        <f t="shared" si="149"/>
        <v>0</v>
      </c>
      <c r="AH353" s="176">
        <f t="shared" si="150"/>
        <v>6</v>
      </c>
      <c r="AI353" s="225">
        <f t="shared" si="151"/>
        <v>0.59979903887410579</v>
      </c>
      <c r="AJ353" s="265" t="b">
        <f t="shared" si="152"/>
        <v>0</v>
      </c>
      <c r="AK353" s="265" t="b">
        <f t="shared" si="153"/>
        <v>0</v>
      </c>
      <c r="AL353" s="265"/>
      <c r="AM353" s="265"/>
      <c r="AN353" s="75"/>
    </row>
    <row r="354" spans="1:40" s="6" customFormat="1" ht="11.25" x14ac:dyDescent="0.2">
      <c r="A354" s="56">
        <f t="shared" si="154"/>
        <v>43440</v>
      </c>
      <c r="B354" s="616">
        <v>10.173</v>
      </c>
      <c r="C354" s="390"/>
      <c r="D354" s="393">
        <f t="shared" si="131"/>
        <v>10.203110877043734</v>
      </c>
      <c r="E354" s="385">
        <f t="shared" si="128"/>
        <v>10.434465310241334</v>
      </c>
      <c r="F354" s="385">
        <f t="shared" si="130"/>
        <v>10.476282449963701</v>
      </c>
      <c r="G354" s="110">
        <f t="shared" si="129"/>
        <v>0.60617290934728318</v>
      </c>
      <c r="I354" s="380">
        <f t="shared" si="132"/>
        <v>10.476282449963701</v>
      </c>
      <c r="J354" s="85">
        <v>2018</v>
      </c>
      <c r="K354" s="197">
        <f t="shared" si="133"/>
        <v>43440</v>
      </c>
      <c r="L354" s="436">
        <f t="shared" si="134"/>
        <v>2.9511467048233264E-3</v>
      </c>
      <c r="M354" s="854"/>
      <c r="N354" s="854"/>
      <c r="O354" s="324">
        <f t="shared" si="135"/>
        <v>2.2172140720092996E-2</v>
      </c>
      <c r="P354" s="169">
        <f>(INDEX(Models!$BJ354:$BT354,,T354)*(1-R354)+INDEX(Models!$BJ354:$BT354,,T354+1)*R354-ERP_i)*Q354*Ramure*Pc/MaxiM</f>
        <v>9.0349208899352176E-3</v>
      </c>
      <c r="Q354" s="305">
        <f t="shared" si="136"/>
        <v>0.8</v>
      </c>
      <c r="R354" s="177">
        <f t="shared" si="137"/>
        <v>0.59981512102753332</v>
      </c>
      <c r="S354" s="809">
        <f t="shared" si="155"/>
        <v>0</v>
      </c>
      <c r="T354" s="176">
        <f t="shared" si="138"/>
        <v>6</v>
      </c>
      <c r="U354" s="251">
        <f t="shared" si="139"/>
        <v>0.59981512102753332</v>
      </c>
      <c r="V354" s="383">
        <f t="shared" si="140"/>
        <v>16.697362317446292</v>
      </c>
      <c r="W354" s="58"/>
      <c r="X354" s="157">
        <f t="shared" si="141"/>
        <v>43440</v>
      </c>
      <c r="Y354" s="385">
        <f t="shared" si="142"/>
        <v>10.173</v>
      </c>
      <c r="Z354" s="385">
        <f t="shared" si="143"/>
        <v>10.203110877043734</v>
      </c>
      <c r="AA354" s="386">
        <f t="shared" si="144"/>
        <v>10.434465310241334</v>
      </c>
      <c r="AB354" s="197">
        <f t="shared" si="145"/>
        <v>43440</v>
      </c>
      <c r="AC354" s="425">
        <f t="shared" si="146"/>
        <v>2.2172140720092996E-2</v>
      </c>
      <c r="AD354" s="169">
        <f>(INDEX(Models!$BJ354:$BT354,,AH354)*(1-AF354)+INDEX(Models!$BJ354:$BT354,,AH354+1)*AF354-ERP_i)*AE354*Ramure*Pc/MaxiM</f>
        <v>9.0349208899352176E-3</v>
      </c>
      <c r="AE354" s="305">
        <f t="shared" si="147"/>
        <v>0.8</v>
      </c>
      <c r="AF354" s="177">
        <f t="shared" si="148"/>
        <v>0.59981512102753332</v>
      </c>
      <c r="AG354" s="809">
        <f t="shared" si="149"/>
        <v>0</v>
      </c>
      <c r="AH354" s="176">
        <f t="shared" si="150"/>
        <v>6</v>
      </c>
      <c r="AI354" s="225">
        <f t="shared" si="151"/>
        <v>0.59981512102753332</v>
      </c>
      <c r="AJ354" s="265" t="b">
        <f t="shared" si="152"/>
        <v>0</v>
      </c>
      <c r="AK354" s="265" t="b">
        <f t="shared" si="153"/>
        <v>0</v>
      </c>
      <c r="AL354" s="265"/>
      <c r="AM354" s="265"/>
      <c r="AN354" s="75"/>
    </row>
    <row r="355" spans="1:40" s="6" customFormat="1" ht="11.25" x14ac:dyDescent="0.2">
      <c r="A355" s="56">
        <f t="shared" si="154"/>
        <v>43441</v>
      </c>
      <c r="B355" s="616">
        <v>13.981999999999999</v>
      </c>
      <c r="C355" s="390"/>
      <c r="D355" s="393">
        <f t="shared" si="131"/>
        <v>14.023711418881893</v>
      </c>
      <c r="E355" s="385">
        <f t="shared" si="128"/>
        <v>14.343996846517349</v>
      </c>
      <c r="F355" s="385">
        <f t="shared" si="130"/>
        <v>14.444482654849191</v>
      </c>
      <c r="G355" s="110">
        <f t="shared" si="129"/>
        <v>0.83922450019597683</v>
      </c>
      <c r="I355" s="380">
        <f t="shared" si="132"/>
        <v>14.444482654849191</v>
      </c>
      <c r="J355" s="85">
        <v>2018</v>
      </c>
      <c r="K355" s="197">
        <f t="shared" si="133"/>
        <v>43441</v>
      </c>
      <c r="L355" s="436">
        <f t="shared" si="134"/>
        <v>2.9743494882340515E-3</v>
      </c>
      <c r="M355" s="854"/>
      <c r="N355" s="854"/>
      <c r="O355" s="324">
        <f t="shared" si="135"/>
        <v>2.2328883020719583E-2</v>
      </c>
      <c r="P355" s="169">
        <f>(INDEX(Models!$BJ355:$BT355,,T355)*(1-R355)+INDEX(Models!$BJ355:$BT355,,T355+1)*R355-ERP_i)*Q355*Ramure*Pc/MaxiM</f>
        <v>9.0019872078159462E-3</v>
      </c>
      <c r="Q355" s="305">
        <f t="shared" si="136"/>
        <v>0.8</v>
      </c>
      <c r="R355" s="177">
        <f t="shared" si="137"/>
        <v>0.59983055647667538</v>
      </c>
      <c r="S355" s="809">
        <f t="shared" si="155"/>
        <v>0</v>
      </c>
      <c r="T355" s="176">
        <f t="shared" si="138"/>
        <v>6</v>
      </c>
      <c r="U355" s="251">
        <f t="shared" si="139"/>
        <v>0.59983055647667538</v>
      </c>
      <c r="V355" s="383">
        <f t="shared" si="140"/>
        <v>16.626304802080558</v>
      </c>
      <c r="W355" s="58"/>
      <c r="X355" s="157">
        <f t="shared" si="141"/>
        <v>43441</v>
      </c>
      <c r="Y355" s="385">
        <f t="shared" si="142"/>
        <v>13.981999999999999</v>
      </c>
      <c r="Z355" s="385">
        <f t="shared" si="143"/>
        <v>14.023711418881893</v>
      </c>
      <c r="AA355" s="386">
        <f t="shared" si="144"/>
        <v>14.343996846517349</v>
      </c>
      <c r="AB355" s="197">
        <f t="shared" si="145"/>
        <v>43441</v>
      </c>
      <c r="AC355" s="425">
        <f t="shared" si="146"/>
        <v>2.2328883020719583E-2</v>
      </c>
      <c r="AD355" s="169">
        <f>(INDEX(Models!$BJ355:$BT355,,AH355)*(1-AF355)+INDEX(Models!$BJ355:$BT355,,AH355+1)*AF355-ERP_i)*AE355*Ramure*Pc/MaxiM</f>
        <v>9.0019872078159462E-3</v>
      </c>
      <c r="AE355" s="305">
        <f t="shared" si="147"/>
        <v>0.8</v>
      </c>
      <c r="AF355" s="177">
        <f t="shared" si="148"/>
        <v>0.59983055647667538</v>
      </c>
      <c r="AG355" s="809">
        <f t="shared" si="149"/>
        <v>0</v>
      </c>
      <c r="AH355" s="176">
        <f t="shared" si="150"/>
        <v>6</v>
      </c>
      <c r="AI355" s="225">
        <f t="shared" si="151"/>
        <v>0.59983055647667538</v>
      </c>
      <c r="AJ355" s="265" t="b">
        <f t="shared" si="152"/>
        <v>0</v>
      </c>
      <c r="AK355" s="265" t="b">
        <f t="shared" si="15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4"/>
        <v>43442</v>
      </c>
      <c r="B356" s="616">
        <v>10.555</v>
      </c>
      <c r="C356" s="390"/>
      <c r="D356" s="393">
        <f t="shared" si="131"/>
        <v>10.586734283684919</v>
      </c>
      <c r="E356" s="385">
        <f t="shared" si="128"/>
        <v>10.830260431627948</v>
      </c>
      <c r="F356" s="385">
        <f t="shared" si="130"/>
        <v>10.87722059844298</v>
      </c>
      <c r="G356" s="110">
        <f t="shared" si="129"/>
        <v>0.63416501934488534</v>
      </c>
      <c r="I356" s="380">
        <f t="shared" si="132"/>
        <v>10.87722059844298</v>
      </c>
      <c r="J356" s="85">
        <v>2018</v>
      </c>
      <c r="K356" s="197">
        <f t="shared" si="133"/>
        <v>43442</v>
      </c>
      <c r="L356" s="436">
        <f t="shared" si="134"/>
        <v>2.9975517316822575E-3</v>
      </c>
      <c r="M356" s="854"/>
      <c r="N356" s="854"/>
      <c r="O356" s="324">
        <f t="shared" si="135"/>
        <v>2.2485714861653069E-2</v>
      </c>
      <c r="P356" s="169">
        <f>(INDEX(Models!$BJ356:$BT356,,T356)*(1-R356)+INDEX(Models!$BJ356:$BT356,,T356+1)*R356-ERP_i)*Q356*Ramure*Pc/MaxiM</f>
        <v>8.9639918702582103E-3</v>
      </c>
      <c r="Q356" s="305">
        <f t="shared" si="136"/>
        <v>0.8</v>
      </c>
      <c r="R356" s="177">
        <f t="shared" si="137"/>
        <v>0.59984537119587622</v>
      </c>
      <c r="S356" s="809">
        <f t="shared" si="155"/>
        <v>0</v>
      </c>
      <c r="T356" s="176">
        <f t="shared" si="138"/>
        <v>6</v>
      </c>
      <c r="U356" s="251">
        <f t="shared" si="139"/>
        <v>0.59984537119587622</v>
      </c>
      <c r="V356" s="383">
        <f t="shared" si="140"/>
        <v>16.566258193347323</v>
      </c>
      <c r="W356" s="58"/>
      <c r="X356" s="157">
        <f t="shared" si="141"/>
        <v>43442</v>
      </c>
      <c r="Y356" s="385">
        <f t="shared" si="142"/>
        <v>10.555</v>
      </c>
      <c r="Z356" s="385">
        <f t="shared" si="143"/>
        <v>10.586734283684919</v>
      </c>
      <c r="AA356" s="386">
        <f t="shared" si="144"/>
        <v>10.830260431627948</v>
      </c>
      <c r="AB356" s="197">
        <f t="shared" si="145"/>
        <v>43442</v>
      </c>
      <c r="AC356" s="425">
        <f t="shared" si="146"/>
        <v>2.2485714861653069E-2</v>
      </c>
      <c r="AD356" s="169">
        <f>(INDEX(Models!$BJ356:$BT356,,AH356)*(1-AF356)+INDEX(Models!$BJ356:$BT356,,AH356+1)*AF356-ERP_i)*AE356*Ramure*Pc/MaxiM</f>
        <v>8.9639918702582103E-3</v>
      </c>
      <c r="AE356" s="305">
        <f t="shared" si="147"/>
        <v>0.8</v>
      </c>
      <c r="AF356" s="177">
        <f t="shared" si="148"/>
        <v>0.59984537119587622</v>
      </c>
      <c r="AG356" s="809">
        <f t="shared" si="149"/>
        <v>0</v>
      </c>
      <c r="AH356" s="176">
        <f t="shared" si="150"/>
        <v>6</v>
      </c>
      <c r="AI356" s="225">
        <f t="shared" si="151"/>
        <v>0.59984537119587622</v>
      </c>
      <c r="AJ356" s="265" t="b">
        <f t="shared" si="152"/>
        <v>0</v>
      </c>
      <c r="AK356" s="265" t="b">
        <f t="shared" si="153"/>
        <v>0</v>
      </c>
      <c r="AL356" s="265"/>
      <c r="AM356" s="265"/>
      <c r="AN356" s="75"/>
    </row>
    <row r="357" spans="1:40" s="6" customFormat="1" ht="11.25" x14ac:dyDescent="0.2">
      <c r="A357" s="56">
        <f t="shared" si="154"/>
        <v>43443</v>
      </c>
      <c r="B357" s="616">
        <v>4.7699999999999996</v>
      </c>
      <c r="C357" s="390"/>
      <c r="D357" s="393">
        <f t="shared" si="131"/>
        <v>4.7844526517833312</v>
      </c>
      <c r="E357" s="385">
        <f t="shared" si="128"/>
        <v>4.8952950202735073</v>
      </c>
      <c r="F357" s="385">
        <f t="shared" ref="F357:F379" si="156">Wh_sa/(1-Pvg*MEDIAN((-Sdif+Wh/Env_an)/Csdif,0,1))</f>
        <v>4.8952950202735073</v>
      </c>
      <c r="G357" s="110">
        <f t="shared" si="129"/>
        <v>0.28620400579276811</v>
      </c>
      <c r="I357" s="380">
        <f t="shared" si="132"/>
        <v>4.8952950202735073</v>
      </c>
      <c r="J357" s="85">
        <v>2018</v>
      </c>
      <c r="K357" s="197">
        <f t="shared" si="133"/>
        <v>43443</v>
      </c>
      <c r="L357" s="436">
        <f t="shared" si="134"/>
        <v>3.0207534351802678E-3</v>
      </c>
      <c r="M357" s="854"/>
      <c r="N357" s="854"/>
      <c r="O357" s="324">
        <f t="shared" si="135"/>
        <v>2.2642632983534208E-2</v>
      </c>
      <c r="P357" s="169">
        <f>(INDEX(Models!$BJ357:$BT357,,T357)*(1-R357)+INDEX(Models!$BJ357:$BT357,,T357+1)*R357-ERP_i)*Q357*Ramure*Pc/MaxiM</f>
        <v>8.9206140065060495E-3</v>
      </c>
      <c r="Q357" s="305">
        <f t="shared" si="136"/>
        <v>0.8</v>
      </c>
      <c r="R357" s="177">
        <f t="shared" si="137"/>
        <v>0.59985959011870837</v>
      </c>
      <c r="S357" s="809">
        <f t="shared" si="155"/>
        <v>0</v>
      </c>
      <c r="T357" s="176">
        <f t="shared" si="138"/>
        <v>6</v>
      </c>
      <c r="U357" s="251">
        <f t="shared" si="139"/>
        <v>0.59985959011870837</v>
      </c>
      <c r="V357" s="383">
        <f t="shared" si="140"/>
        <v>16.517758576069593</v>
      </c>
      <c r="W357" s="58"/>
      <c r="X357" s="157">
        <f t="shared" si="141"/>
        <v>43443</v>
      </c>
      <c r="Y357" s="385">
        <f t="shared" si="142"/>
        <v>4.7699999999999996</v>
      </c>
      <c r="Z357" s="385">
        <f t="shared" si="143"/>
        <v>4.7844526517833312</v>
      </c>
      <c r="AA357" s="386">
        <f t="shared" si="144"/>
        <v>4.8952950202735073</v>
      </c>
      <c r="AB357" s="197">
        <f t="shared" si="145"/>
        <v>43443</v>
      </c>
      <c r="AC357" s="425">
        <f t="shared" si="146"/>
        <v>2.2642632983534208E-2</v>
      </c>
      <c r="AD357" s="169">
        <f>(INDEX(Models!$BJ357:$BT357,,AH357)*(1-AF357)+INDEX(Models!$BJ357:$BT357,,AH357+1)*AF357-ERP_i)*AE357*Ramure*Pc/MaxiM</f>
        <v>8.9206140065060495E-3</v>
      </c>
      <c r="AE357" s="305">
        <f t="shared" si="147"/>
        <v>0.8</v>
      </c>
      <c r="AF357" s="177">
        <f t="shared" si="148"/>
        <v>0.59985959011870837</v>
      </c>
      <c r="AG357" s="809">
        <f t="shared" si="149"/>
        <v>0</v>
      </c>
      <c r="AH357" s="176">
        <f t="shared" si="150"/>
        <v>6</v>
      </c>
      <c r="AI357" s="225">
        <f t="shared" si="151"/>
        <v>0.59985959011870837</v>
      </c>
      <c r="AJ357" s="265" t="b">
        <f t="shared" si="152"/>
        <v>0</v>
      </c>
      <c r="AK357" s="265" t="b">
        <f t="shared" si="15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4"/>
        <v>43444</v>
      </c>
      <c r="B358" s="616">
        <v>9.4190000000000005</v>
      </c>
      <c r="C358" s="390"/>
      <c r="D358" s="393">
        <f t="shared" si="131"/>
        <v>9.4477585480802215</v>
      </c>
      <c r="E358" s="385">
        <f t="shared" si="128"/>
        <v>9.668189726321474</v>
      </c>
      <c r="F358" s="385">
        <f t="shared" si="156"/>
        <v>9.7015711654885113</v>
      </c>
      <c r="G358" s="110">
        <f t="shared" si="129"/>
        <v>0.56838038790116707</v>
      </c>
      <c r="I358" s="380">
        <f t="shared" si="132"/>
        <v>9.7015711654885113</v>
      </c>
      <c r="J358" s="85">
        <v>2018</v>
      </c>
      <c r="K358" s="197">
        <f t="shared" si="133"/>
        <v>43444</v>
      </c>
      <c r="L358" s="436">
        <f t="shared" si="134"/>
        <v>3.043954598740739E-3</v>
      </c>
      <c r="M358" s="854"/>
      <c r="N358" s="854"/>
      <c r="O358" s="324">
        <f t="shared" si="135"/>
        <v>2.2799633073100716E-2</v>
      </c>
      <c r="P358" s="169">
        <f>(INDEX(Models!$BJ358:$BT358,,T358)*(1-R358)+INDEX(Models!$BJ358:$BT358,,T358+1)*R358-ERP_i)*Q358*Ramure*Pc/MaxiM</f>
        <v>8.871552200599115E-3</v>
      </c>
      <c r="Q358" s="305">
        <f t="shared" si="136"/>
        <v>0.8</v>
      </c>
      <c r="R358" s="177">
        <f t="shared" si="137"/>
        <v>0.59987323717948182</v>
      </c>
      <c r="S358" s="809">
        <f t="shared" si="155"/>
        <v>0</v>
      </c>
      <c r="T358" s="176">
        <f t="shared" si="138"/>
        <v>6</v>
      </c>
      <c r="U358" s="251">
        <f t="shared" si="139"/>
        <v>0.59987323717948182</v>
      </c>
      <c r="V358" s="383">
        <f t="shared" si="140"/>
        <v>16.481341715289211</v>
      </c>
      <c r="W358" s="58"/>
      <c r="X358" s="157">
        <f t="shared" si="141"/>
        <v>43444</v>
      </c>
      <c r="Y358" s="385">
        <f t="shared" si="142"/>
        <v>9.4190000000000005</v>
      </c>
      <c r="Z358" s="385">
        <f t="shared" si="143"/>
        <v>9.4477585480802215</v>
      </c>
      <c r="AA358" s="386">
        <f t="shared" si="144"/>
        <v>9.668189726321474</v>
      </c>
      <c r="AB358" s="197">
        <f t="shared" si="145"/>
        <v>43444</v>
      </c>
      <c r="AC358" s="425">
        <f t="shared" si="146"/>
        <v>2.2799633073100716E-2</v>
      </c>
      <c r="AD358" s="169">
        <f>(INDEX(Models!$BJ358:$BT358,,AH358)*(1-AF358)+INDEX(Models!$BJ358:$BT358,,AH358+1)*AF358-ERP_i)*AE358*Ramure*Pc/MaxiM</f>
        <v>8.871552200599115E-3</v>
      </c>
      <c r="AE358" s="305">
        <f t="shared" si="147"/>
        <v>0.8</v>
      </c>
      <c r="AF358" s="177">
        <f t="shared" si="148"/>
        <v>0.59987323717948182</v>
      </c>
      <c r="AG358" s="809">
        <f t="shared" si="149"/>
        <v>0</v>
      </c>
      <c r="AH358" s="176">
        <f t="shared" si="150"/>
        <v>6</v>
      </c>
      <c r="AI358" s="225">
        <f t="shared" si="151"/>
        <v>0.59987323717948182</v>
      </c>
      <c r="AJ358" s="265" t="b">
        <f t="shared" si="152"/>
        <v>0</v>
      </c>
      <c r="AK358" s="265" t="b">
        <f t="shared" si="15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4"/>
        <v>43445</v>
      </c>
      <c r="B359" s="616">
        <v>14.352</v>
      </c>
      <c r="C359" s="390"/>
      <c r="D359" s="393">
        <f t="shared" si="131"/>
        <v>14.396155242734896</v>
      </c>
      <c r="E359" s="385">
        <f t="shared" si="128"/>
        <v>14.734408789864128</v>
      </c>
      <c r="F359" s="385">
        <f t="shared" si="156"/>
        <v>14.841331638958879</v>
      </c>
      <c r="G359" s="110">
        <f t="shared" si="129"/>
        <v>0.87061037455257462</v>
      </c>
      <c r="I359" s="380">
        <f t="shared" si="132"/>
        <v>14.841331638958879</v>
      </c>
      <c r="J359" s="85">
        <v>2018</v>
      </c>
      <c r="K359" s="197">
        <f t="shared" si="133"/>
        <v>43445</v>
      </c>
      <c r="L359" s="436">
        <f t="shared" si="134"/>
        <v>3.0671552223763277E-3</v>
      </c>
      <c r="M359" s="854"/>
      <c r="N359" s="854"/>
      <c r="O359" s="324">
        <f t="shared" si="135"/>
        <v>2.2956709831609912E-2</v>
      </c>
      <c r="P359" s="169">
        <f>(INDEX(Models!$BJ359:$BT359,,T359)*(1-R359)+INDEX(Models!$BJ359:$BT359,,T359+1)*R359-ERP_i)*Q359*Ramure*Pc/MaxiM</f>
        <v>8.8161681126680044E-3</v>
      </c>
      <c r="Q359" s="305">
        <f t="shared" si="136"/>
        <v>0.8</v>
      </c>
      <c r="R359" s="177">
        <f t="shared" si="137"/>
        <v>0.59988633535311142</v>
      </c>
      <c r="S359" s="809">
        <f t="shared" si="155"/>
        <v>0</v>
      </c>
      <c r="T359" s="176">
        <f t="shared" si="138"/>
        <v>6</v>
      </c>
      <c r="U359" s="251">
        <f t="shared" si="139"/>
        <v>0.59988633535311142</v>
      </c>
      <c r="V359" s="383">
        <f t="shared" si="140"/>
        <v>16.458223358232026</v>
      </c>
      <c r="W359" s="58"/>
      <c r="X359" s="157">
        <f t="shared" si="141"/>
        <v>43445</v>
      </c>
      <c r="Y359" s="385">
        <f t="shared" si="142"/>
        <v>14.352</v>
      </c>
      <c r="Z359" s="385">
        <f t="shared" si="143"/>
        <v>14.396155242734896</v>
      </c>
      <c r="AA359" s="386">
        <f t="shared" si="144"/>
        <v>14.734408789864128</v>
      </c>
      <c r="AB359" s="197">
        <f t="shared" si="145"/>
        <v>43445</v>
      </c>
      <c r="AC359" s="425">
        <f t="shared" si="146"/>
        <v>2.2956709831609912E-2</v>
      </c>
      <c r="AD359" s="169">
        <f>(INDEX(Models!$BJ359:$BT359,,AH359)*(1-AF359)+INDEX(Models!$BJ359:$BT359,,AH359+1)*AF359-ERP_i)*AE359*Ramure*Pc/MaxiM</f>
        <v>8.8161681126680044E-3</v>
      </c>
      <c r="AE359" s="305">
        <f t="shared" si="147"/>
        <v>0.8</v>
      </c>
      <c r="AF359" s="177">
        <f t="shared" si="148"/>
        <v>0.59988633535311142</v>
      </c>
      <c r="AG359" s="809">
        <f t="shared" si="149"/>
        <v>0</v>
      </c>
      <c r="AH359" s="176">
        <f t="shared" si="150"/>
        <v>6</v>
      </c>
      <c r="AI359" s="225">
        <f t="shared" si="151"/>
        <v>0.59988633535311142</v>
      </c>
      <c r="AJ359" s="265" t="b">
        <f t="shared" si="152"/>
        <v>0</v>
      </c>
      <c r="AK359" s="265" t="b">
        <f t="shared" si="15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4"/>
        <v>43446</v>
      </c>
      <c r="B360" s="616">
        <v>2.8820000000000001</v>
      </c>
      <c r="C360" s="390"/>
      <c r="D360" s="393">
        <f t="shared" si="131"/>
        <v>2.8909340132674846</v>
      </c>
      <c r="E360" s="385">
        <f t="shared" si="128"/>
        <v>2.9593356750194841</v>
      </c>
      <c r="F360" s="385">
        <f t="shared" si="156"/>
        <v>2.9593356750194841</v>
      </c>
      <c r="G360" s="110">
        <f t="shared" si="129"/>
        <v>0.17367826020759808</v>
      </c>
      <c r="I360" s="380">
        <f t="shared" si="132"/>
        <v>2.9593356750194841</v>
      </c>
      <c r="J360" s="85">
        <v>2018</v>
      </c>
      <c r="K360" s="197">
        <f t="shared" si="133"/>
        <v>43446</v>
      </c>
      <c r="L360" s="436">
        <f t="shared" si="134"/>
        <v>3.0903553060994682E-3</v>
      </c>
      <c r="M360" s="854"/>
      <c r="N360" s="854"/>
      <c r="O360" s="324">
        <f t="shared" si="135"/>
        <v>2.3113857048862624E-2</v>
      </c>
      <c r="P360" s="169">
        <f>(INDEX(Models!$BJ360:$BT360,,T360)*(1-R360)+INDEX(Models!$BJ360:$BT360,,T360+1)*R360-ERP_i)*Q360*Ramure*Pc/MaxiM</f>
        <v>8.7543821133633706E-3</v>
      </c>
      <c r="Q360" s="305">
        <f t="shared" si="136"/>
        <v>0.8</v>
      </c>
      <c r="R360" s="177">
        <f t="shared" si="137"/>
        <v>0.59989890669340906</v>
      </c>
      <c r="S360" s="809">
        <f t="shared" si="155"/>
        <v>0</v>
      </c>
      <c r="T360" s="176">
        <f t="shared" si="138"/>
        <v>6</v>
      </c>
      <c r="U360" s="251">
        <f t="shared" si="139"/>
        <v>0.59989890669340906</v>
      </c>
      <c r="V360" s="383">
        <f t="shared" si="140"/>
        <v>16.448632473255905</v>
      </c>
      <c r="W360" s="58"/>
      <c r="X360" s="157">
        <f t="shared" si="141"/>
        <v>43446</v>
      </c>
      <c r="Y360" s="385">
        <f t="shared" si="142"/>
        <v>2.8820000000000001</v>
      </c>
      <c r="Z360" s="385">
        <f t="shared" si="143"/>
        <v>2.8909340132674846</v>
      </c>
      <c r="AA360" s="386">
        <f t="shared" si="144"/>
        <v>2.9593356750194841</v>
      </c>
      <c r="AB360" s="197">
        <f t="shared" si="145"/>
        <v>43446</v>
      </c>
      <c r="AC360" s="425">
        <f t="shared" si="146"/>
        <v>2.3113857048862624E-2</v>
      </c>
      <c r="AD360" s="169">
        <f>(INDEX(Models!$BJ360:$BT360,,AH360)*(1-AF360)+INDEX(Models!$BJ360:$BT360,,AH360+1)*AF360-ERP_i)*AE360*Ramure*Pc/MaxiM</f>
        <v>8.7543821133633706E-3</v>
      </c>
      <c r="AE360" s="305">
        <f t="shared" si="147"/>
        <v>0.8</v>
      </c>
      <c r="AF360" s="177">
        <f t="shared" si="148"/>
        <v>0.59989890669340906</v>
      </c>
      <c r="AG360" s="809">
        <f t="shared" si="149"/>
        <v>0</v>
      </c>
      <c r="AH360" s="176">
        <f t="shared" si="150"/>
        <v>6</v>
      </c>
      <c r="AI360" s="225">
        <f t="shared" si="151"/>
        <v>0.59989890669340906</v>
      </c>
      <c r="AJ360" s="265" t="b">
        <f t="shared" si="152"/>
        <v>0</v>
      </c>
      <c r="AK360" s="265" t="b">
        <f t="shared" si="15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4"/>
        <v>43447</v>
      </c>
      <c r="B361" s="616">
        <v>1.9490000000000001</v>
      </c>
      <c r="C361" s="390"/>
      <c r="D361" s="393">
        <f t="shared" si="131"/>
        <v>1.9550872714560643</v>
      </c>
      <c r="E361" s="385">
        <f t="shared" ref="E361:E379" si="157">Wh_pvt/(1-Psa)</f>
        <v>2.0016682282734028</v>
      </c>
      <c r="F361" s="385">
        <f t="shared" si="156"/>
        <v>2.0016682282734028</v>
      </c>
      <c r="G361" s="110">
        <f t="shared" ref="G361:G379" si="158">+Wh_hp/MaxiM</f>
        <v>0.11743943266733528</v>
      </c>
      <c r="I361" s="380">
        <f t="shared" si="132"/>
        <v>2.0016682282734028</v>
      </c>
      <c r="J361" s="85">
        <v>2018</v>
      </c>
      <c r="K361" s="197">
        <f t="shared" si="133"/>
        <v>43447</v>
      </c>
      <c r="L361" s="436">
        <f t="shared" si="134"/>
        <v>3.1135548499227061E-3</v>
      </c>
      <c r="M361" s="854"/>
      <c r="N361" s="854"/>
      <c r="O361" s="324">
        <f t="shared" si="135"/>
        <v>2.3271067682139497E-2</v>
      </c>
      <c r="P361" s="169">
        <f>(INDEX(Models!$BJ361:$BT361,,T361)*(1-R361)+INDEX(Models!$BJ361:$BT361,,T361+1)*R361-ERP_i)*Q361*Ramure*Pc/MaxiM</f>
        <v>8.6918970647161756E-3</v>
      </c>
      <c r="Q361" s="305">
        <f t="shared" si="136"/>
        <v>0.8</v>
      </c>
      <c r="R361" s="177">
        <f t="shared" si="137"/>
        <v>0.59991097236986013</v>
      </c>
      <c r="S361" s="809">
        <f t="shared" si="155"/>
        <v>0</v>
      </c>
      <c r="T361" s="176">
        <f t="shared" si="138"/>
        <v>6</v>
      </c>
      <c r="U361" s="251">
        <f t="shared" si="139"/>
        <v>0.59991097236986013</v>
      </c>
      <c r="V361" s="383">
        <f t="shared" si="140"/>
        <v>16.451539731920498</v>
      </c>
      <c r="W361" s="58"/>
      <c r="X361" s="157">
        <f t="shared" si="141"/>
        <v>43447</v>
      </c>
      <c r="Y361" s="385">
        <f t="shared" si="142"/>
        <v>1.9490000000000001</v>
      </c>
      <c r="Z361" s="385">
        <f t="shared" si="143"/>
        <v>1.9550872714560643</v>
      </c>
      <c r="AA361" s="386">
        <f t="shared" si="144"/>
        <v>2.0016682282734028</v>
      </c>
      <c r="AB361" s="197">
        <f t="shared" si="145"/>
        <v>43447</v>
      </c>
      <c r="AC361" s="425">
        <f t="shared" si="146"/>
        <v>2.3271067682139497E-2</v>
      </c>
      <c r="AD361" s="169">
        <f>(INDEX(Models!$BJ361:$BT361,,AH361)*(1-AF361)+INDEX(Models!$BJ361:$BT361,,AH361+1)*AF361-ERP_i)*AE361*Ramure*Pc/MaxiM</f>
        <v>8.6918970647161756E-3</v>
      </c>
      <c r="AE361" s="305">
        <f t="shared" si="147"/>
        <v>0.8</v>
      </c>
      <c r="AF361" s="177">
        <f t="shared" si="148"/>
        <v>0.59991097236986013</v>
      </c>
      <c r="AG361" s="809">
        <f t="shared" si="149"/>
        <v>0</v>
      </c>
      <c r="AH361" s="176">
        <f t="shared" si="150"/>
        <v>6</v>
      </c>
      <c r="AI361" s="225">
        <f t="shared" si="151"/>
        <v>0.59991097236986013</v>
      </c>
      <c r="AJ361" s="265" t="b">
        <f t="shared" si="152"/>
        <v>0</v>
      </c>
      <c r="AK361" s="265" t="b">
        <f t="shared" si="15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4"/>
        <v>43448</v>
      </c>
      <c r="B362" s="616">
        <v>2.7759999999999998</v>
      </c>
      <c r="C362" s="390"/>
      <c r="D362" s="393">
        <f t="shared" si="131"/>
        <v>2.7847350283320957</v>
      </c>
      <c r="E362" s="385">
        <f t="shared" si="157"/>
        <v>2.8515419043082018</v>
      </c>
      <c r="F362" s="385">
        <f t="shared" si="156"/>
        <v>2.8515419043082018</v>
      </c>
      <c r="G362" s="110">
        <f t="shared" si="158"/>
        <v>0.16713499522090508</v>
      </c>
      <c r="I362" s="380">
        <f t="shared" si="132"/>
        <v>2.8515419043082018</v>
      </c>
      <c r="J362" s="85">
        <v>2018</v>
      </c>
      <c r="K362" s="197">
        <f t="shared" si="133"/>
        <v>43448</v>
      </c>
      <c r="L362" s="436">
        <f t="shared" si="134"/>
        <v>3.1367538538586981E-3</v>
      </c>
      <c r="M362" s="854"/>
      <c r="N362" s="854"/>
      <c r="O362" s="324">
        <f t="shared" si="135"/>
        <v>2.3428333939323174E-2</v>
      </c>
      <c r="P362" s="169">
        <f>(INDEX(Models!$BJ362:$BT362,,T362)*(1-R362)+INDEX(Models!$BJ362:$BT362,,T362+1)*R362-ERP_i)*Q362*Ramure*Pc/MaxiM</f>
        <v>8.6292425965128032E-3</v>
      </c>
      <c r="Q362" s="305">
        <f t="shared" si="136"/>
        <v>0.8</v>
      </c>
      <c r="R362" s="177">
        <f t="shared" si="137"/>
        <v>0.59992255270294337</v>
      </c>
      <c r="S362" s="809">
        <f t="shared" si="155"/>
        <v>0</v>
      </c>
      <c r="T362" s="176">
        <f t="shared" si="138"/>
        <v>6</v>
      </c>
      <c r="U362" s="251">
        <f t="shared" si="139"/>
        <v>0.59992255270294337</v>
      </c>
      <c r="V362" s="383">
        <f t="shared" si="140"/>
        <v>16.46600234089011</v>
      </c>
      <c r="W362" s="58"/>
      <c r="X362" s="157">
        <f t="shared" si="141"/>
        <v>43448</v>
      </c>
      <c r="Y362" s="385">
        <f t="shared" si="142"/>
        <v>2.7759999999999998</v>
      </c>
      <c r="Z362" s="385">
        <f t="shared" si="143"/>
        <v>2.7847350283320957</v>
      </c>
      <c r="AA362" s="386">
        <f t="shared" si="144"/>
        <v>2.8515419043082018</v>
      </c>
      <c r="AB362" s="197">
        <f t="shared" si="145"/>
        <v>43448</v>
      </c>
      <c r="AC362" s="425">
        <f t="shared" si="146"/>
        <v>2.3428333939323174E-2</v>
      </c>
      <c r="AD362" s="169">
        <f>(INDEX(Models!$BJ362:$BT362,,AH362)*(1-AF362)+INDEX(Models!$BJ362:$BT362,,AH362+1)*AF362-ERP_i)*AE362*Ramure*Pc/MaxiM</f>
        <v>8.6292425965128032E-3</v>
      </c>
      <c r="AE362" s="305">
        <f t="shared" si="147"/>
        <v>0.8</v>
      </c>
      <c r="AF362" s="177">
        <f t="shared" si="148"/>
        <v>0.59992255270294337</v>
      </c>
      <c r="AG362" s="809">
        <f t="shared" si="149"/>
        <v>0</v>
      </c>
      <c r="AH362" s="176">
        <f t="shared" si="150"/>
        <v>6</v>
      </c>
      <c r="AI362" s="225">
        <f t="shared" si="151"/>
        <v>0.59992255270294337</v>
      </c>
      <c r="AJ362" s="265" t="b">
        <f t="shared" si="152"/>
        <v>0</v>
      </c>
      <c r="AK362" s="265" t="b">
        <f t="shared" si="153"/>
        <v>0</v>
      </c>
      <c r="AL362" s="265"/>
      <c r="AM362" s="265"/>
      <c r="AN362" s="75"/>
    </row>
    <row r="363" spans="1:40" s="6" customFormat="1" ht="11.25" x14ac:dyDescent="0.2">
      <c r="A363" s="56">
        <f t="shared" si="154"/>
        <v>43449</v>
      </c>
      <c r="B363" s="616">
        <v>5.5910000000000002</v>
      </c>
      <c r="C363" s="390"/>
      <c r="D363" s="393">
        <f t="shared" si="131"/>
        <v>5.6087232981866766</v>
      </c>
      <c r="E363" s="385">
        <f t="shared" si="157"/>
        <v>5.7442040697714774</v>
      </c>
      <c r="F363" s="385">
        <f t="shared" si="156"/>
        <v>5.746949330327336</v>
      </c>
      <c r="G363" s="110">
        <f t="shared" si="158"/>
        <v>0.33628798269257859</v>
      </c>
      <c r="I363" s="380">
        <f t="shared" si="132"/>
        <v>5.746949330327336</v>
      </c>
      <c r="J363" s="85">
        <v>2018</v>
      </c>
      <c r="K363" s="197">
        <f t="shared" si="133"/>
        <v>43449</v>
      </c>
      <c r="L363" s="436">
        <f t="shared" si="134"/>
        <v>3.1599523179199895E-3</v>
      </c>
      <c r="M363" s="854"/>
      <c r="N363" s="854"/>
      <c r="O363" s="324">
        <f t="shared" si="135"/>
        <v>2.3585647365447857E-2</v>
      </c>
      <c r="P363" s="169">
        <f>(INDEX(Models!$BJ363:$BT363,,T363)*(1-R363)+INDEX(Models!$BJ363:$BT363,,T363+1)*R363-ERP_i)*Q363*Ramure*Pc/MaxiM</f>
        <v>8.5669375362237721E-3</v>
      </c>
      <c r="Q363" s="305">
        <f t="shared" si="136"/>
        <v>0.8</v>
      </c>
      <c r="R363" s="177">
        <f t="shared" si="137"/>
        <v>0.59993366719805119</v>
      </c>
      <c r="S363" s="809">
        <f t="shared" si="155"/>
        <v>0</v>
      </c>
      <c r="T363" s="176">
        <f t="shared" si="138"/>
        <v>6</v>
      </c>
      <c r="U363" s="251">
        <f t="shared" si="139"/>
        <v>0.59993366719805119</v>
      </c>
      <c r="V363" s="383">
        <f t="shared" si="140"/>
        <v>16.491078147180946</v>
      </c>
      <c r="W363" s="58"/>
      <c r="X363" s="157">
        <f t="shared" si="141"/>
        <v>43449</v>
      </c>
      <c r="Y363" s="385">
        <f t="shared" si="142"/>
        <v>5.5910000000000002</v>
      </c>
      <c r="Z363" s="385">
        <f t="shared" si="143"/>
        <v>5.6087232981866766</v>
      </c>
      <c r="AA363" s="386">
        <f t="shared" si="144"/>
        <v>5.7442040697714774</v>
      </c>
      <c r="AB363" s="197">
        <f t="shared" si="145"/>
        <v>43449</v>
      </c>
      <c r="AC363" s="425">
        <f t="shared" si="146"/>
        <v>2.3585647365447857E-2</v>
      </c>
      <c r="AD363" s="169">
        <f>(INDEX(Models!$BJ363:$BT363,,AH363)*(1-AF363)+INDEX(Models!$BJ363:$BT363,,AH363+1)*AF363-ERP_i)*AE363*Ramure*Pc/MaxiM</f>
        <v>8.5669375362237721E-3</v>
      </c>
      <c r="AE363" s="305">
        <f t="shared" si="147"/>
        <v>0.8</v>
      </c>
      <c r="AF363" s="177">
        <f t="shared" si="148"/>
        <v>0.59993366719805119</v>
      </c>
      <c r="AG363" s="809">
        <f t="shared" si="149"/>
        <v>0</v>
      </c>
      <c r="AH363" s="176">
        <f t="shared" si="150"/>
        <v>6</v>
      </c>
      <c r="AI363" s="225">
        <f t="shared" si="151"/>
        <v>0.59993366719805119</v>
      </c>
      <c r="AJ363" s="265" t="b">
        <f t="shared" si="152"/>
        <v>0</v>
      </c>
      <c r="AK363" s="265" t="b">
        <f t="shared" si="15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4"/>
        <v>43450</v>
      </c>
      <c r="B364" s="616">
        <v>3.081</v>
      </c>
      <c r="C364" s="390"/>
      <c r="D364" s="393">
        <f t="shared" si="131"/>
        <v>3.0908386036495581</v>
      </c>
      <c r="E364" s="385">
        <f t="shared" si="157"/>
        <v>3.1660091556505363</v>
      </c>
      <c r="F364" s="385">
        <f t="shared" si="156"/>
        <v>3.1660091556505363</v>
      </c>
      <c r="G364" s="110">
        <f t="shared" si="158"/>
        <v>0.18484974150574346</v>
      </c>
      <c r="I364" s="380">
        <f t="shared" si="132"/>
        <v>3.1660091556505363</v>
      </c>
      <c r="J364" s="85">
        <v>2018</v>
      </c>
      <c r="K364" s="197">
        <f t="shared" si="133"/>
        <v>43450</v>
      </c>
      <c r="L364" s="436">
        <f t="shared" si="134"/>
        <v>3.183150242119126E-3</v>
      </c>
      <c r="M364" s="854"/>
      <c r="N364" s="854"/>
      <c r="O364" s="324">
        <f t="shared" si="135"/>
        <v>2.3742998931894313E-2</v>
      </c>
      <c r="P364" s="169">
        <f>(INDEX(Models!$BJ364:$BT364,,T364)*(1-R364)+INDEX(Models!$BJ364:$BT364,,T364+1)*R364-ERP_i)*Q364*Ramure*Pc/MaxiM</f>
        <v>8.5054867804862239E-3</v>
      </c>
      <c r="Q364" s="305">
        <f t="shared" si="136"/>
        <v>0.8</v>
      </c>
      <c r="R364" s="177">
        <f t="shared" si="137"/>
        <v>0.5999443345780654</v>
      </c>
      <c r="S364" s="809">
        <f t="shared" si="155"/>
        <v>0</v>
      </c>
      <c r="T364" s="176">
        <f t="shared" si="138"/>
        <v>6</v>
      </c>
      <c r="U364" s="251">
        <f t="shared" si="139"/>
        <v>0.5999443345780654</v>
      </c>
      <c r="V364" s="383">
        <f t="shared" si="140"/>
        <v>16.525825626509768</v>
      </c>
      <c r="W364" s="58"/>
      <c r="X364" s="157">
        <f t="shared" si="141"/>
        <v>43450</v>
      </c>
      <c r="Y364" s="385">
        <f t="shared" si="142"/>
        <v>3.081</v>
      </c>
      <c r="Z364" s="385">
        <f t="shared" si="143"/>
        <v>3.0908386036495581</v>
      </c>
      <c r="AA364" s="386">
        <f t="shared" si="144"/>
        <v>3.1660091556505363</v>
      </c>
      <c r="AB364" s="197">
        <f t="shared" si="145"/>
        <v>43450</v>
      </c>
      <c r="AC364" s="425">
        <f t="shared" si="146"/>
        <v>2.3742998931894313E-2</v>
      </c>
      <c r="AD364" s="169">
        <f>(INDEX(Models!$BJ364:$BT364,,AH364)*(1-AF364)+INDEX(Models!$BJ364:$BT364,,AH364+1)*AF364-ERP_i)*AE364*Ramure*Pc/MaxiM</f>
        <v>8.5054867804862239E-3</v>
      </c>
      <c r="AE364" s="305">
        <f t="shared" si="147"/>
        <v>0.8</v>
      </c>
      <c r="AF364" s="177">
        <f t="shared" si="148"/>
        <v>0.5999443345780654</v>
      </c>
      <c r="AG364" s="809">
        <f t="shared" si="149"/>
        <v>0</v>
      </c>
      <c r="AH364" s="176">
        <f t="shared" si="150"/>
        <v>6</v>
      </c>
      <c r="AI364" s="225">
        <f t="shared" si="151"/>
        <v>0.5999443345780654</v>
      </c>
      <c r="AJ364" s="265" t="b">
        <f t="shared" si="152"/>
        <v>0</v>
      </c>
      <c r="AK364" s="265" t="b">
        <f t="shared" si="15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4"/>
        <v>43451</v>
      </c>
      <c r="B365" s="616">
        <v>13.416</v>
      </c>
      <c r="C365" s="390"/>
      <c r="D365" s="393">
        <f t="shared" si="131"/>
        <v>13.459154728819025</v>
      </c>
      <c r="E365" s="385">
        <f t="shared" si="157"/>
        <v>13.788710128570111</v>
      </c>
      <c r="F365" s="385">
        <f t="shared" si="156"/>
        <v>13.874025980325728</v>
      </c>
      <c r="G365" s="110">
        <f t="shared" si="158"/>
        <v>0.80781942331338075</v>
      </c>
      <c r="I365" s="380">
        <f t="shared" si="132"/>
        <v>13.874025980325728</v>
      </c>
      <c r="J365" s="85">
        <v>2018</v>
      </c>
      <c r="K365" s="197">
        <f t="shared" si="133"/>
        <v>43451</v>
      </c>
      <c r="L365" s="436">
        <f t="shared" si="134"/>
        <v>3.206347626468764E-3</v>
      </c>
      <c r="M365" s="854"/>
      <c r="N365" s="854"/>
      <c r="O365" s="324">
        <f t="shared" si="135"/>
        <v>2.3900379127431971E-2</v>
      </c>
      <c r="P365" s="169">
        <f>(INDEX(Models!$BJ365:$BT365,,T365)*(1-R365)+INDEX(Models!$BJ365:$BT365,,T365+1)*R365-ERP_i)*Q365*Ramure*Pc/MaxiM</f>
        <v>8.4453788644373601E-3</v>
      </c>
      <c r="Q365" s="305">
        <f t="shared" si="136"/>
        <v>0.8</v>
      </c>
      <c r="R365" s="177">
        <f t="shared" si="137"/>
        <v>0.59995457281464037</v>
      </c>
      <c r="S365" s="809">
        <f t="shared" si="155"/>
        <v>0</v>
      </c>
      <c r="T365" s="176">
        <f t="shared" si="138"/>
        <v>6</v>
      </c>
      <c r="U365" s="251">
        <f t="shared" si="139"/>
        <v>0.59995457281464037</v>
      </c>
      <c r="V365" s="383">
        <f t="shared" si="140"/>
        <v>16.569303879437019</v>
      </c>
      <c r="W365" s="58"/>
      <c r="X365" s="157">
        <f t="shared" si="141"/>
        <v>43451</v>
      </c>
      <c r="Y365" s="385">
        <f t="shared" si="142"/>
        <v>13.416</v>
      </c>
      <c r="Z365" s="385">
        <f t="shared" si="143"/>
        <v>13.459154728819025</v>
      </c>
      <c r="AA365" s="386">
        <f t="shared" si="144"/>
        <v>13.788710128570111</v>
      </c>
      <c r="AB365" s="197">
        <f t="shared" si="145"/>
        <v>43451</v>
      </c>
      <c r="AC365" s="425">
        <f t="shared" si="146"/>
        <v>2.3900379127431971E-2</v>
      </c>
      <c r="AD365" s="169">
        <f>(INDEX(Models!$BJ365:$BT365,,AH365)*(1-AF365)+INDEX(Models!$BJ365:$BT365,,AH365+1)*AF365-ERP_i)*AE365*Ramure*Pc/MaxiM</f>
        <v>8.4453788644373601E-3</v>
      </c>
      <c r="AE365" s="305">
        <f t="shared" si="147"/>
        <v>0.8</v>
      </c>
      <c r="AF365" s="177">
        <f t="shared" si="148"/>
        <v>0.59995457281464037</v>
      </c>
      <c r="AG365" s="809">
        <f t="shared" si="149"/>
        <v>0</v>
      </c>
      <c r="AH365" s="176">
        <f t="shared" si="150"/>
        <v>6</v>
      </c>
      <c r="AI365" s="225">
        <f t="shared" si="151"/>
        <v>0.59995457281464037</v>
      </c>
      <c r="AJ365" s="265" t="b">
        <f t="shared" si="152"/>
        <v>0</v>
      </c>
      <c r="AK365" s="265" t="b">
        <f t="shared" si="15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4"/>
        <v>43452</v>
      </c>
      <c r="B366" s="616">
        <v>10.462</v>
      </c>
      <c r="C366" s="390"/>
      <c r="D366" s="393">
        <f t="shared" si="131"/>
        <v>10.49589696601458</v>
      </c>
      <c r="E366" s="385">
        <f t="shared" si="157"/>
        <v>10.754629454442789</v>
      </c>
      <c r="F366" s="385">
        <f t="shared" si="156"/>
        <v>10.797262051071741</v>
      </c>
      <c r="G366" s="110">
        <f t="shared" si="158"/>
        <v>0.62665585032597471</v>
      </c>
      <c r="I366" s="380">
        <f t="shared" si="132"/>
        <v>10.797262051071741</v>
      </c>
      <c r="J366" s="85">
        <v>2018</v>
      </c>
      <c r="K366" s="197">
        <f t="shared" si="133"/>
        <v>43452</v>
      </c>
      <c r="L366" s="436">
        <f t="shared" si="134"/>
        <v>3.2295444709812271E-3</v>
      </c>
      <c r="M366" s="854"/>
      <c r="N366" s="854"/>
      <c r="O366" s="324">
        <f t="shared" si="135"/>
        <v>2.4057778050300408E-2</v>
      </c>
      <c r="P366" s="169">
        <f>(INDEX(Models!$BJ366:$BT366,,T366)*(1-R366)+INDEX(Models!$BJ366:$BT366,,T366+1)*R366-ERP_i)*Q366*Ramure*Pc/MaxiM</f>
        <v>8.3892006064099304E-3</v>
      </c>
      <c r="Q366" s="305">
        <f t="shared" si="136"/>
        <v>0.8</v>
      </c>
      <c r="R366" s="177">
        <f t="shared" si="137"/>
        <v>0.59996439915824351</v>
      </c>
      <c r="S366" s="809">
        <f t="shared" si="155"/>
        <v>0</v>
      </c>
      <c r="T366" s="176">
        <f t="shared" si="138"/>
        <v>6</v>
      </c>
      <c r="U366" s="251">
        <f t="shared" si="139"/>
        <v>0.59996439915824351</v>
      </c>
      <c r="V366" s="383">
        <f t="shared" si="140"/>
        <v>16.620537150703697</v>
      </c>
      <c r="W366" s="58"/>
      <c r="X366" s="157">
        <f t="shared" si="141"/>
        <v>43452</v>
      </c>
      <c r="Y366" s="385">
        <f t="shared" si="142"/>
        <v>10.462</v>
      </c>
      <c r="Z366" s="385">
        <f t="shared" si="143"/>
        <v>10.49589696601458</v>
      </c>
      <c r="AA366" s="386">
        <f t="shared" si="144"/>
        <v>10.754629454442789</v>
      </c>
      <c r="AB366" s="197">
        <f t="shared" si="145"/>
        <v>43452</v>
      </c>
      <c r="AC366" s="425">
        <f t="shared" si="146"/>
        <v>2.4057778050300408E-2</v>
      </c>
      <c r="AD366" s="169">
        <f>(INDEX(Models!$BJ366:$BT366,,AH366)*(1-AF366)+INDEX(Models!$BJ366:$BT366,,AH366+1)*AF366-ERP_i)*AE366*Ramure*Pc/MaxiM</f>
        <v>8.3892006064099304E-3</v>
      </c>
      <c r="AE366" s="305">
        <f t="shared" si="147"/>
        <v>0.8</v>
      </c>
      <c r="AF366" s="177">
        <f t="shared" si="148"/>
        <v>0.59996439915824351</v>
      </c>
      <c r="AG366" s="809">
        <f t="shared" si="149"/>
        <v>0</v>
      </c>
      <c r="AH366" s="176">
        <f t="shared" si="150"/>
        <v>6</v>
      </c>
      <c r="AI366" s="225">
        <f t="shared" si="151"/>
        <v>0.59996439915824351</v>
      </c>
      <c r="AJ366" s="265" t="b">
        <f t="shared" si="152"/>
        <v>0</v>
      </c>
      <c r="AK366" s="265" t="b">
        <f t="shared" si="15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4"/>
        <v>43453</v>
      </c>
      <c r="B367" s="616">
        <v>15.488</v>
      </c>
      <c r="C367" s="390"/>
      <c r="D367" s="393">
        <f t="shared" si="131"/>
        <v>15.538542851928954</v>
      </c>
      <c r="E367" s="385">
        <f t="shared" si="157"/>
        <v>15.924149075735865</v>
      </c>
      <c r="F367" s="385">
        <f t="shared" si="156"/>
        <v>16.044245688855455</v>
      </c>
      <c r="G367" s="110">
        <f t="shared" si="158"/>
        <v>0.9278187152511661</v>
      </c>
      <c r="I367" s="380">
        <f t="shared" si="132"/>
        <v>16.044245688855455</v>
      </c>
      <c r="J367" s="85">
        <v>2018</v>
      </c>
      <c r="K367" s="197">
        <f t="shared" si="133"/>
        <v>43453</v>
      </c>
      <c r="L367" s="436">
        <f t="shared" si="134"/>
        <v>3.2527407756692828E-3</v>
      </c>
      <c r="M367" s="854"/>
      <c r="N367" s="854"/>
      <c r="O367" s="324">
        <f t="shared" si="135"/>
        <v>2.4215185500522162E-2</v>
      </c>
      <c r="P367" s="169">
        <f>(INDEX(Models!$BJ367:$BT367,,T367)*(1-R367)+INDEX(Models!$BJ367:$BT367,,T367+1)*R367-ERP_i)*Q367*Ramure*Pc/MaxiM</f>
        <v>8.3353804481456888E-3</v>
      </c>
      <c r="Q367" s="305">
        <f t="shared" si="136"/>
        <v>0.8</v>
      </c>
      <c r="R367" s="177">
        <f t="shared" si="137"/>
        <v>0.5999738301670029</v>
      </c>
      <c r="S367" s="809">
        <f t="shared" si="155"/>
        <v>0</v>
      </c>
      <c r="T367" s="176">
        <f t="shared" si="138"/>
        <v>6</v>
      </c>
      <c r="U367" s="251">
        <f t="shared" si="139"/>
        <v>0.5999738301670029</v>
      </c>
      <c r="V367" s="383">
        <f t="shared" si="140"/>
        <v>16.67861944142329</v>
      </c>
      <c r="W367" s="58"/>
      <c r="X367" s="157">
        <f t="shared" si="141"/>
        <v>43453</v>
      </c>
      <c r="Y367" s="385">
        <f t="shared" si="142"/>
        <v>15.488</v>
      </c>
      <c r="Z367" s="385">
        <f t="shared" si="143"/>
        <v>15.538542851928954</v>
      </c>
      <c r="AA367" s="386">
        <f t="shared" si="144"/>
        <v>15.924149075735865</v>
      </c>
      <c r="AB367" s="197">
        <f t="shared" si="145"/>
        <v>43453</v>
      </c>
      <c r="AC367" s="425">
        <f t="shared" si="146"/>
        <v>2.4215185500522162E-2</v>
      </c>
      <c r="AD367" s="169">
        <f>(INDEX(Models!$BJ367:$BT367,,AH367)*(1-AF367)+INDEX(Models!$BJ367:$BT367,,AH367+1)*AF367-ERP_i)*AE367*Ramure*Pc/MaxiM</f>
        <v>8.3353804481456888E-3</v>
      </c>
      <c r="AE367" s="305">
        <f t="shared" si="147"/>
        <v>0.8</v>
      </c>
      <c r="AF367" s="177">
        <f t="shared" si="148"/>
        <v>0.5999738301670029</v>
      </c>
      <c r="AG367" s="809">
        <f t="shared" si="149"/>
        <v>0</v>
      </c>
      <c r="AH367" s="176">
        <f t="shared" si="150"/>
        <v>6</v>
      </c>
      <c r="AI367" s="225">
        <f t="shared" si="151"/>
        <v>0.5999738301670029</v>
      </c>
      <c r="AJ367" s="265" t="b">
        <f t="shared" si="152"/>
        <v>0</v>
      </c>
      <c r="AK367" s="265" t="b">
        <f t="shared" si="15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4"/>
        <v>43454</v>
      </c>
      <c r="B368" s="616">
        <v>8.5489999999999995</v>
      </c>
      <c r="C368" s="390"/>
      <c r="D368" s="393">
        <f t="shared" si="131"/>
        <v>8.5770980288445315</v>
      </c>
      <c r="E368" s="385">
        <f t="shared" si="157"/>
        <v>8.7913664072494182</v>
      </c>
      <c r="F368" s="385">
        <f t="shared" si="156"/>
        <v>8.813334191633313</v>
      </c>
      <c r="G368" s="110">
        <f t="shared" si="158"/>
        <v>0.50764853530505971</v>
      </c>
      <c r="I368" s="380">
        <f t="shared" si="132"/>
        <v>8.813334191633313</v>
      </c>
      <c r="J368" s="85">
        <v>2018</v>
      </c>
      <c r="K368" s="197">
        <f t="shared" si="133"/>
        <v>43454</v>
      </c>
      <c r="L368" s="436">
        <f t="shared" si="134"/>
        <v>3.2759365405454766E-3</v>
      </c>
      <c r="M368" s="854"/>
      <c r="N368" s="854"/>
      <c r="O368" s="324">
        <f t="shared" si="135"/>
        <v>2.4372591071644932E-2</v>
      </c>
      <c r="P368" s="169">
        <f>(INDEX(Models!$BJ368:$BT368,,T368)*(1-R368)+INDEX(Models!$BJ368:$BT368,,T368+1)*R368-ERP_i)*Q368*Ramure*Pc/MaxiM</f>
        <v>8.2843471952708456E-3</v>
      </c>
      <c r="Q368" s="305">
        <f t="shared" si="136"/>
        <v>0.8</v>
      </c>
      <c r="R368" s="177">
        <f t="shared" si="137"/>
        <v>0.59998288173440895</v>
      </c>
      <c r="S368" s="809">
        <f t="shared" si="155"/>
        <v>0</v>
      </c>
      <c r="T368" s="176">
        <f t="shared" si="138"/>
        <v>6</v>
      </c>
      <c r="U368" s="251">
        <f t="shared" si="139"/>
        <v>0.59998288173440895</v>
      </c>
      <c r="V368" s="383">
        <f t="shared" si="140"/>
        <v>16.742611698118363</v>
      </c>
      <c r="W368" s="58"/>
      <c r="X368" s="157">
        <f t="shared" si="141"/>
        <v>43454</v>
      </c>
      <c r="Y368" s="385">
        <f t="shared" si="142"/>
        <v>8.5489999999999995</v>
      </c>
      <c r="Z368" s="385">
        <f t="shared" si="143"/>
        <v>8.5770980288445315</v>
      </c>
      <c r="AA368" s="386">
        <f t="shared" si="144"/>
        <v>8.7913664072494182</v>
      </c>
      <c r="AB368" s="197">
        <f t="shared" si="145"/>
        <v>43454</v>
      </c>
      <c r="AC368" s="425">
        <f t="shared" si="146"/>
        <v>2.4372591071644932E-2</v>
      </c>
      <c r="AD368" s="169">
        <f>(INDEX(Models!$BJ368:$BT368,,AH368)*(1-AF368)+INDEX(Models!$BJ368:$BT368,,AH368+1)*AF368-ERP_i)*AE368*Ramure*Pc/MaxiM</f>
        <v>8.2843471952708456E-3</v>
      </c>
      <c r="AE368" s="305">
        <f t="shared" si="147"/>
        <v>0.8</v>
      </c>
      <c r="AF368" s="177">
        <f t="shared" si="148"/>
        <v>0.59998288173440895</v>
      </c>
      <c r="AG368" s="809">
        <f t="shared" si="149"/>
        <v>0</v>
      </c>
      <c r="AH368" s="176">
        <f t="shared" si="150"/>
        <v>6</v>
      </c>
      <c r="AI368" s="225">
        <f t="shared" si="151"/>
        <v>0.59998288173440895</v>
      </c>
      <c r="AJ368" s="265" t="b">
        <f t="shared" si="152"/>
        <v>0</v>
      </c>
      <c r="AK368" s="265" t="b">
        <f t="shared" si="15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4"/>
        <v>43455</v>
      </c>
      <c r="B369" s="616">
        <v>7.4820000000000002</v>
      </c>
      <c r="C369" s="390"/>
      <c r="D369" s="393">
        <f t="shared" si="131"/>
        <v>7.5067658095393393</v>
      </c>
      <c r="E369" s="385">
        <f t="shared" si="157"/>
        <v>7.6955372161792139</v>
      </c>
      <c r="F369" s="385">
        <f t="shared" si="156"/>
        <v>7.7086938637140916</v>
      </c>
      <c r="G369" s="110">
        <f t="shared" si="158"/>
        <v>0.44213944444196129</v>
      </c>
      <c r="I369" s="380">
        <f t="shared" si="132"/>
        <v>7.7086938637140916</v>
      </c>
      <c r="J369" s="85">
        <v>2018</v>
      </c>
      <c r="K369" s="197">
        <f t="shared" si="133"/>
        <v>43455</v>
      </c>
      <c r="L369" s="436">
        <f t="shared" si="134"/>
        <v>3.299131765622354E-3</v>
      </c>
      <c r="M369" s="854"/>
      <c r="N369" s="854"/>
      <c r="O369" s="324">
        <f t="shared" si="135"/>
        <v>2.4529984241125981E-2</v>
      </c>
      <c r="P369" s="169">
        <f>(INDEX(Models!$BJ369:$BT369,,T369)*(1-R369)+INDEX(Models!$BJ369:$BT369,,T369+1)*R369-ERP_i)*Q369*Ramure*Pc/MaxiM</f>
        <v>8.2365106502453166E-3</v>
      </c>
      <c r="Q369" s="305">
        <f t="shared" si="136"/>
        <v>0.8</v>
      </c>
      <c r="R369" s="177">
        <f t="shared" si="137"/>
        <v>0.59999156911591323</v>
      </c>
      <c r="S369" s="809">
        <f t="shared" si="155"/>
        <v>0</v>
      </c>
      <c r="T369" s="176">
        <f t="shared" si="138"/>
        <v>6</v>
      </c>
      <c r="U369" s="251">
        <f t="shared" si="139"/>
        <v>0.59999156911591323</v>
      </c>
      <c r="V369" s="383">
        <f t="shared" si="140"/>
        <v>16.811575481935407</v>
      </c>
      <c r="W369" s="58"/>
      <c r="X369" s="157">
        <f t="shared" si="141"/>
        <v>43455</v>
      </c>
      <c r="Y369" s="385">
        <f t="shared" si="142"/>
        <v>7.4820000000000002</v>
      </c>
      <c r="Z369" s="385">
        <f t="shared" si="143"/>
        <v>7.5067658095393393</v>
      </c>
      <c r="AA369" s="386">
        <f t="shared" si="144"/>
        <v>7.6955372161792139</v>
      </c>
      <c r="AB369" s="197">
        <f t="shared" si="145"/>
        <v>43455</v>
      </c>
      <c r="AC369" s="425">
        <f t="shared" si="146"/>
        <v>2.4529984241125981E-2</v>
      </c>
      <c r="AD369" s="169">
        <f>(INDEX(Models!$BJ369:$BT369,,AH369)*(1-AF369)+INDEX(Models!$BJ369:$BT369,,AH369+1)*AF369-ERP_i)*AE369*Ramure*Pc/MaxiM</f>
        <v>8.2365106502453166E-3</v>
      </c>
      <c r="AE369" s="305">
        <f t="shared" si="147"/>
        <v>0.8</v>
      </c>
      <c r="AF369" s="177">
        <f t="shared" si="148"/>
        <v>0.59999156911591323</v>
      </c>
      <c r="AG369" s="809">
        <f t="shared" si="149"/>
        <v>0</v>
      </c>
      <c r="AH369" s="176">
        <f t="shared" si="150"/>
        <v>6</v>
      </c>
      <c r="AI369" s="225">
        <f t="shared" si="151"/>
        <v>0.59999156911591323</v>
      </c>
      <c r="AJ369" s="265" t="b">
        <f t="shared" si="152"/>
        <v>0</v>
      </c>
      <c r="AK369" s="265" t="b">
        <f t="shared" si="15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4"/>
        <v>43456</v>
      </c>
      <c r="B370" s="616">
        <v>5.7670000000000003</v>
      </c>
      <c r="C370" s="390"/>
      <c r="D370" s="393">
        <f t="shared" si="131"/>
        <v>5.7862237241295729</v>
      </c>
      <c r="E370" s="385">
        <f t="shared" si="157"/>
        <v>5.9326860474751406</v>
      </c>
      <c r="F370" s="385">
        <f>Wh_sa/(1-Pvg*MEDIAN((-Sdif+Wh/Env_an)/Csdif,0,1))</f>
        <v>5.935572639030255</v>
      </c>
      <c r="G370" s="110">
        <f t="shared" si="158"/>
        <v>0.338921109993151</v>
      </c>
      <c r="I370" s="380">
        <f t="shared" si="132"/>
        <v>5.935572639030255</v>
      </c>
      <c r="J370" s="85">
        <v>2018</v>
      </c>
      <c r="K370" s="197">
        <f t="shared" si="133"/>
        <v>43456</v>
      </c>
      <c r="L370" s="436">
        <f t="shared" si="134"/>
        <v>3.3223264509124606E-3</v>
      </c>
      <c r="M370" s="854"/>
      <c r="N370" s="854"/>
      <c r="O370" s="324">
        <f t="shared" si="135"/>
        <v>2.4687354458593058E-2</v>
      </c>
      <c r="P370" s="169">
        <f>(INDEX(Models!$BJ370:$BT370,,T370)*(1-R370)+INDEX(Models!$BJ370:$BT370,,T370+1)*R370-ERP_i)*Q370*Ramure*Pc/MaxiM</f>
        <v>8.1922623799147165E-3</v>
      </c>
      <c r="Q370" s="305">
        <f t="shared" si="136"/>
        <v>0.8</v>
      </c>
      <c r="R370" s="177">
        <f t="shared" si="137"/>
        <v>0.59999990695446992</v>
      </c>
      <c r="S370" s="809">
        <f t="shared" si="155"/>
        <v>0</v>
      </c>
      <c r="T370" s="176">
        <f t="shared" si="138"/>
        <v>6</v>
      </c>
      <c r="U370" s="251">
        <f t="shared" si="139"/>
        <v>0.59999990695446992</v>
      </c>
      <c r="V370" s="383">
        <f t="shared" si="140"/>
        <v>16.884572965915442</v>
      </c>
      <c r="W370" s="58"/>
      <c r="X370" s="157">
        <f t="shared" si="141"/>
        <v>43456</v>
      </c>
      <c r="Y370" s="385">
        <f t="shared" si="142"/>
        <v>5.7670000000000003</v>
      </c>
      <c r="Z370" s="385">
        <f t="shared" si="143"/>
        <v>5.7862237241295729</v>
      </c>
      <c r="AA370" s="386">
        <f t="shared" si="144"/>
        <v>5.9326860474751406</v>
      </c>
      <c r="AB370" s="197">
        <f t="shared" si="145"/>
        <v>43456</v>
      </c>
      <c r="AC370" s="425">
        <f t="shared" si="146"/>
        <v>2.4687354458593058E-2</v>
      </c>
      <c r="AD370" s="169">
        <f>(INDEX(Models!$BJ370:$BT370,,AH370)*(1-AF370)+INDEX(Models!$BJ370:$BT370,,AH370+1)*AF370-ERP_i)*AE370*Ramure*Pc/MaxiM</f>
        <v>8.1922623799147165E-3</v>
      </c>
      <c r="AE370" s="305">
        <f t="shared" si="147"/>
        <v>0.8</v>
      </c>
      <c r="AF370" s="177">
        <f t="shared" si="148"/>
        <v>0.59999990695446992</v>
      </c>
      <c r="AG370" s="809">
        <f t="shared" si="149"/>
        <v>0</v>
      </c>
      <c r="AH370" s="176">
        <f t="shared" si="150"/>
        <v>6</v>
      </c>
      <c r="AI370" s="225">
        <f t="shared" si="151"/>
        <v>0.59999990695446992</v>
      </c>
      <c r="AJ370" s="265" t="b">
        <f t="shared" si="152"/>
        <v>0</v>
      </c>
      <c r="AK370" s="265" t="b">
        <f t="shared" si="15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4"/>
        <v>43457</v>
      </c>
      <c r="B371" s="616">
        <v>4.9530000000000003</v>
      </c>
      <c r="C371" s="390"/>
      <c r="D371" s="393">
        <f t="shared" si="131"/>
        <v>4.9696259860930194</v>
      </c>
      <c r="E371" s="385">
        <f t="shared" si="157"/>
        <v>5.0962405079532829</v>
      </c>
      <c r="F371" s="385">
        <f t="shared" si="156"/>
        <v>5.0962405079532829</v>
      </c>
      <c r="G371" s="110">
        <f t="shared" si="158"/>
        <v>0.28964800019623649</v>
      </c>
      <c r="I371" s="380">
        <f t="shared" si="132"/>
        <v>5.0962405079532829</v>
      </c>
      <c r="J371" s="85">
        <v>2018</v>
      </c>
      <c r="K371" s="197">
        <f t="shared" si="133"/>
        <v>43457</v>
      </c>
      <c r="L371" s="436">
        <f t="shared" si="134"/>
        <v>3.3455205964282309E-3</v>
      </c>
      <c r="M371" s="854"/>
      <c r="N371" s="854"/>
      <c r="O371" s="324">
        <f t="shared" si="135"/>
        <v>2.4844691231245143E-2</v>
      </c>
      <c r="P371" s="169">
        <f>(INDEX(Models!$BJ371:$BT371,,T371)*(1-R371)+INDEX(Models!$BJ371:$BT371,,T371+1)*R371-ERP_i)*Q371*Ramure*Pc/MaxiM</f>
        <v>8.1518738801084119E-3</v>
      </c>
      <c r="Q371" s="305">
        <f t="shared" si="136"/>
        <v>0.8</v>
      </c>
      <c r="R371" s="177">
        <f t="shared" si="137"/>
        <v>0.59999990695446992</v>
      </c>
      <c r="S371" s="809">
        <f t="shared" si="155"/>
        <v>0</v>
      </c>
      <c r="T371" s="176">
        <f t="shared" si="138"/>
        <v>6</v>
      </c>
      <c r="U371" s="251">
        <f t="shared" si="139"/>
        <v>0.59999990695446992</v>
      </c>
      <c r="V371" s="383">
        <f t="shared" si="140"/>
        <v>16.960668692148822</v>
      </c>
      <c r="W371" s="58"/>
      <c r="X371" s="157">
        <f t="shared" si="141"/>
        <v>43457</v>
      </c>
      <c r="Y371" s="385">
        <f t="shared" si="142"/>
        <v>4.9530000000000003</v>
      </c>
      <c r="Z371" s="385">
        <f t="shared" si="143"/>
        <v>4.9696259860930194</v>
      </c>
      <c r="AA371" s="386">
        <f t="shared" si="144"/>
        <v>5.0962405079532829</v>
      </c>
      <c r="AB371" s="197">
        <f t="shared" si="145"/>
        <v>43457</v>
      </c>
      <c r="AC371" s="425">
        <f t="shared" si="146"/>
        <v>2.4844691231245143E-2</v>
      </c>
      <c r="AD371" s="169">
        <f>(INDEX(Models!$BJ371:$BT371,,AH371)*(1-AF371)+INDEX(Models!$BJ371:$BT371,,AH371+1)*AF371-ERP_i)*AE371*Ramure*Pc/MaxiM</f>
        <v>8.1518738801084119E-3</v>
      </c>
      <c r="AE371" s="305">
        <f t="shared" si="147"/>
        <v>0.8</v>
      </c>
      <c r="AF371" s="177">
        <f t="shared" si="148"/>
        <v>0.59999990695446992</v>
      </c>
      <c r="AG371" s="809">
        <f t="shared" si="149"/>
        <v>0</v>
      </c>
      <c r="AH371" s="176">
        <f t="shared" si="150"/>
        <v>6</v>
      </c>
      <c r="AI371" s="225">
        <f t="shared" si="151"/>
        <v>0.59999990695446992</v>
      </c>
      <c r="AJ371" s="265" t="b">
        <f t="shared" si="152"/>
        <v>0</v>
      </c>
      <c r="AK371" s="265" t="b">
        <f t="shared" si="15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4"/>
        <v>43458</v>
      </c>
      <c r="B372" s="616">
        <v>5.0049999999999999</v>
      </c>
      <c r="C372" s="390"/>
      <c r="D372" s="393">
        <f t="shared" si="131"/>
        <v>5.021917404482668</v>
      </c>
      <c r="E372" s="385">
        <f t="shared" si="157"/>
        <v>5.1506949995087243</v>
      </c>
      <c r="F372" s="385">
        <f t="shared" si="156"/>
        <v>5.1506949995087243</v>
      </c>
      <c r="G372" s="110">
        <f t="shared" si="158"/>
        <v>0.29135526970138942</v>
      </c>
      <c r="I372" s="380">
        <f t="shared" si="132"/>
        <v>5.1506949995087243</v>
      </c>
      <c r="J372" s="85">
        <v>2018</v>
      </c>
      <c r="K372" s="197">
        <f t="shared" si="133"/>
        <v>43458</v>
      </c>
      <c r="L372" s="436">
        <f t="shared" si="134"/>
        <v>3.3687142021824323E-3</v>
      </c>
      <c r="M372" s="854"/>
      <c r="N372" s="854"/>
      <c r="O372" s="324">
        <f t="shared" si="135"/>
        <v>2.5001984205692444E-2</v>
      </c>
      <c r="P372" s="169">
        <f>(INDEX(Models!$BJ372:$BT372,,T372)*(1-R372)+INDEX(Models!$BJ372:$BT372,,T372+1)*R372-ERP_i)*Q372*Ramure*Pc/MaxiM</f>
        <v>8.1158003240580905E-3</v>
      </c>
      <c r="Q372" s="305">
        <f t="shared" si="136"/>
        <v>0.8</v>
      </c>
      <c r="R372" s="177">
        <f t="shared" si="137"/>
        <v>0.59999990695446992</v>
      </c>
      <c r="S372" s="809">
        <f t="shared" si="155"/>
        <v>0</v>
      </c>
      <c r="T372" s="176">
        <f t="shared" si="138"/>
        <v>6</v>
      </c>
      <c r="U372" s="251">
        <f t="shared" si="139"/>
        <v>0.59999990695446992</v>
      </c>
      <c r="V372" s="383">
        <f t="shared" si="140"/>
        <v>17.038924418515215</v>
      </c>
      <c r="W372" s="58"/>
      <c r="X372" s="157">
        <f t="shared" si="141"/>
        <v>43458</v>
      </c>
      <c r="Y372" s="385">
        <f t="shared" si="142"/>
        <v>5.0049999999999999</v>
      </c>
      <c r="Z372" s="385">
        <f t="shared" si="143"/>
        <v>5.021917404482668</v>
      </c>
      <c r="AA372" s="386">
        <f t="shared" si="144"/>
        <v>5.1506949995087243</v>
      </c>
      <c r="AB372" s="197">
        <f t="shared" si="145"/>
        <v>43458</v>
      </c>
      <c r="AC372" s="425">
        <f t="shared" si="146"/>
        <v>2.5001984205692444E-2</v>
      </c>
      <c r="AD372" s="169">
        <f>(INDEX(Models!$BJ372:$BT372,,AH372)*(1-AF372)+INDEX(Models!$BJ372:$BT372,,AH372+1)*AF372-ERP_i)*AE372*Ramure*Pc/MaxiM</f>
        <v>8.1158003240580905E-3</v>
      </c>
      <c r="AE372" s="305">
        <f t="shared" si="147"/>
        <v>0.8</v>
      </c>
      <c r="AF372" s="177">
        <f t="shared" si="148"/>
        <v>0.59999990695446992</v>
      </c>
      <c r="AG372" s="809">
        <f t="shared" si="149"/>
        <v>0</v>
      </c>
      <c r="AH372" s="176">
        <f t="shared" si="150"/>
        <v>6</v>
      </c>
      <c r="AI372" s="225">
        <f t="shared" si="151"/>
        <v>0.59999990695446992</v>
      </c>
      <c r="AJ372" s="265" t="b">
        <f t="shared" si="152"/>
        <v>0</v>
      </c>
      <c r="AK372" s="265" t="b">
        <f t="shared" si="15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4"/>
        <v>43459</v>
      </c>
      <c r="B373" s="616">
        <v>13.118</v>
      </c>
      <c r="C373" s="390"/>
      <c r="D373" s="393">
        <f t="shared" si="131"/>
        <v>13.162646476251382</v>
      </c>
      <c r="E373" s="385">
        <f t="shared" si="157"/>
        <v>13.502355246232435</v>
      </c>
      <c r="F373" s="385">
        <f t="shared" si="156"/>
        <v>13.575447760552157</v>
      </c>
      <c r="G373" s="110">
        <f t="shared" si="158"/>
        <v>0.76416125916589361</v>
      </c>
      <c r="I373" s="380">
        <f t="shared" si="132"/>
        <v>13.575447760552157</v>
      </c>
      <c r="J373" s="85">
        <v>2018</v>
      </c>
      <c r="K373" s="197">
        <f t="shared" si="133"/>
        <v>43459</v>
      </c>
      <c r="L373" s="436">
        <f t="shared" si="134"/>
        <v>3.3919072681876106E-3</v>
      </c>
      <c r="M373" s="854"/>
      <c r="N373" s="854"/>
      <c r="O373" s="324">
        <f t="shared" si="135"/>
        <v>2.5159223245577338E-2</v>
      </c>
      <c r="P373" s="169">
        <f>(INDEX(Models!$BJ373:$BT373,,T373)*(1-R373)+INDEX(Models!$BJ373:$BT373,,T373+1)*R373-ERP_i)*Q373*Ramure*Pc/MaxiM</f>
        <v>8.0836298091067574E-3</v>
      </c>
      <c r="Q373" s="305">
        <f t="shared" si="136"/>
        <v>0.8</v>
      </c>
      <c r="R373" s="177">
        <f t="shared" si="137"/>
        <v>0.59999990695446992</v>
      </c>
      <c r="S373" s="809">
        <f t="shared" si="155"/>
        <v>0</v>
      </c>
      <c r="T373" s="176">
        <f t="shared" si="138"/>
        <v>6</v>
      </c>
      <c r="U373" s="251">
        <f t="shared" si="139"/>
        <v>0.59999990695446992</v>
      </c>
      <c r="V373" s="383">
        <f t="shared" si="140"/>
        <v>17.119942461706618</v>
      </c>
      <c r="W373" s="58"/>
      <c r="X373" s="157">
        <f t="shared" si="141"/>
        <v>43459</v>
      </c>
      <c r="Y373" s="385">
        <f t="shared" si="142"/>
        <v>13.118</v>
      </c>
      <c r="Z373" s="385">
        <f t="shared" si="143"/>
        <v>13.162646476251382</v>
      </c>
      <c r="AA373" s="386">
        <f t="shared" si="144"/>
        <v>13.502355246232435</v>
      </c>
      <c r="AB373" s="197">
        <f t="shared" si="145"/>
        <v>43459</v>
      </c>
      <c r="AC373" s="425">
        <f t="shared" si="146"/>
        <v>2.5159223245577338E-2</v>
      </c>
      <c r="AD373" s="169">
        <f>(INDEX(Models!$BJ373:$BT373,,AH373)*(1-AF373)+INDEX(Models!$BJ373:$BT373,,AH373+1)*AF373-ERP_i)*AE373*Ramure*Pc/MaxiM</f>
        <v>8.0836298091067574E-3</v>
      </c>
      <c r="AE373" s="305">
        <f t="shared" si="147"/>
        <v>0.8</v>
      </c>
      <c r="AF373" s="177">
        <f t="shared" si="148"/>
        <v>0.59999990695446992</v>
      </c>
      <c r="AG373" s="809">
        <f t="shared" si="149"/>
        <v>0</v>
      </c>
      <c r="AH373" s="176">
        <f t="shared" si="150"/>
        <v>6</v>
      </c>
      <c r="AI373" s="225">
        <f t="shared" si="151"/>
        <v>0.59999990695446992</v>
      </c>
      <c r="AJ373" s="265" t="b">
        <f t="shared" si="152"/>
        <v>0</v>
      </c>
      <c r="AK373" s="265" t="b">
        <f t="shared" si="15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4"/>
        <v>43460</v>
      </c>
      <c r="B374" s="616">
        <v>15.553000000000001</v>
      </c>
      <c r="C374" s="390"/>
      <c r="D374" s="393">
        <f t="shared" si="131"/>
        <v>15.606297061888277</v>
      </c>
      <c r="E374" s="385">
        <f t="shared" si="157"/>
        <v>16.011654487610866</v>
      </c>
      <c r="F374" s="385">
        <f t="shared" si="156"/>
        <v>16.123708137993617</v>
      </c>
      <c r="G374" s="110">
        <f t="shared" si="158"/>
        <v>0.90296624960640848</v>
      </c>
      <c r="I374" s="380">
        <f t="shared" si="132"/>
        <v>16.123708137993617</v>
      </c>
      <c r="J374" s="85">
        <v>2018</v>
      </c>
      <c r="K374" s="197">
        <f t="shared" si="133"/>
        <v>43460</v>
      </c>
      <c r="L374" s="436">
        <f t="shared" si="134"/>
        <v>3.4150997944562E-3</v>
      </c>
      <c r="M374" s="854"/>
      <c r="N374" s="854"/>
      <c r="O374" s="324">
        <f t="shared" si="135"/>
        <v>2.5316398504366698E-2</v>
      </c>
      <c r="P374" s="169">
        <f>(INDEX(Models!$BJ374:$BT374,,T374)*(1-R374)+INDEX(Models!$BJ374:$BT374,,T374+1)*R374-ERP_i)*Q374*Ramure*Pc/MaxiM</f>
        <v>8.0545680852149894E-3</v>
      </c>
      <c r="Q374" s="305">
        <f t="shared" si="136"/>
        <v>0.8</v>
      </c>
      <c r="R374" s="177">
        <f t="shared" si="137"/>
        <v>0.59999990695446992</v>
      </c>
      <c r="S374" s="809">
        <f t="shared" si="155"/>
        <v>0</v>
      </c>
      <c r="T374" s="176">
        <f t="shared" si="138"/>
        <v>6</v>
      </c>
      <c r="U374" s="251">
        <f t="shared" si="139"/>
        <v>0.59999990695446992</v>
      </c>
      <c r="V374" s="383">
        <f t="shared" si="140"/>
        <v>17.205177367419296</v>
      </c>
      <c r="W374" s="58"/>
      <c r="X374" s="157">
        <f t="shared" si="141"/>
        <v>43460</v>
      </c>
      <c r="Y374" s="385">
        <f t="shared" si="142"/>
        <v>15.553000000000001</v>
      </c>
      <c r="Z374" s="385">
        <f t="shared" si="143"/>
        <v>15.606297061888277</v>
      </c>
      <c r="AA374" s="386">
        <f t="shared" si="144"/>
        <v>16.011654487610866</v>
      </c>
      <c r="AB374" s="197">
        <f t="shared" si="145"/>
        <v>43460</v>
      </c>
      <c r="AC374" s="425">
        <f t="shared" si="146"/>
        <v>2.5316398504366698E-2</v>
      </c>
      <c r="AD374" s="169">
        <f>(INDEX(Models!$BJ374:$BT374,,AH374)*(1-AF374)+INDEX(Models!$BJ374:$BT374,,AH374+1)*AF374-ERP_i)*AE374*Ramure*Pc/MaxiM</f>
        <v>8.0545680852149894E-3</v>
      </c>
      <c r="AE374" s="305">
        <f t="shared" si="147"/>
        <v>0.8</v>
      </c>
      <c r="AF374" s="177">
        <f t="shared" si="148"/>
        <v>0.59999990695446992</v>
      </c>
      <c r="AG374" s="809">
        <f t="shared" si="149"/>
        <v>0</v>
      </c>
      <c r="AH374" s="176">
        <f t="shared" si="150"/>
        <v>6</v>
      </c>
      <c r="AI374" s="225">
        <f t="shared" si="151"/>
        <v>0.59999990695446992</v>
      </c>
      <c r="AJ374" s="265" t="b">
        <f t="shared" si="152"/>
        <v>0</v>
      </c>
      <c r="AK374" s="265" t="b">
        <f t="shared" si="15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4"/>
        <v>43461</v>
      </c>
      <c r="B375" s="616">
        <v>16.099</v>
      </c>
      <c r="C375" s="390"/>
      <c r="D375" s="393">
        <f t="shared" si="131"/>
        <v>16.154544035984742</v>
      </c>
      <c r="E375" s="385">
        <f t="shared" si="157"/>
        <v>16.576813502919755</v>
      </c>
      <c r="F375" s="385">
        <f t="shared" si="156"/>
        <v>16.697654329104385</v>
      </c>
      <c r="G375" s="110">
        <f t="shared" si="158"/>
        <v>0.93010657692779042</v>
      </c>
      <c r="I375" s="380">
        <f t="shared" si="132"/>
        <v>16.697654329104385</v>
      </c>
      <c r="J375" s="85">
        <v>2018</v>
      </c>
      <c r="K375" s="197">
        <f t="shared" si="133"/>
        <v>43461</v>
      </c>
      <c r="L375" s="436">
        <f t="shared" si="134"/>
        <v>3.4382917810007463E-3</v>
      </c>
      <c r="M375" s="854"/>
      <c r="N375" s="854"/>
      <c r="O375" s="324">
        <f t="shared" si="135"/>
        <v>2.547350049275977E-2</v>
      </c>
      <c r="P375" s="169">
        <f>(INDEX(Models!$BJ375:$BT375,,T375)*(1-R375)+INDEX(Models!$BJ375:$BT375,,T375+1)*R375-ERP_i)*Q375*Ramure*Pc/MaxiM</f>
        <v>8.0302652920526442E-3</v>
      </c>
      <c r="Q375" s="305">
        <f t="shared" si="136"/>
        <v>0.8</v>
      </c>
      <c r="R375" s="177">
        <f t="shared" si="137"/>
        <v>0.59999990695446992</v>
      </c>
      <c r="S375" s="809">
        <f t="shared" si="155"/>
        <v>0</v>
      </c>
      <c r="T375" s="176">
        <f t="shared" si="138"/>
        <v>6</v>
      </c>
      <c r="U375" s="251">
        <f t="shared" si="139"/>
        <v>0.59999990695446992</v>
      </c>
      <c r="V375" s="383">
        <f t="shared" si="140"/>
        <v>17.294938483344342</v>
      </c>
      <c r="W375" s="58"/>
      <c r="X375" s="157">
        <f t="shared" si="141"/>
        <v>43461</v>
      </c>
      <c r="Y375" s="385">
        <f t="shared" si="142"/>
        <v>16.099</v>
      </c>
      <c r="Z375" s="385">
        <f t="shared" si="143"/>
        <v>16.154544035984742</v>
      </c>
      <c r="AA375" s="386">
        <f t="shared" si="144"/>
        <v>16.576813502919755</v>
      </c>
      <c r="AB375" s="197">
        <f t="shared" si="145"/>
        <v>43461</v>
      </c>
      <c r="AC375" s="425">
        <f t="shared" si="146"/>
        <v>2.547350049275977E-2</v>
      </c>
      <c r="AD375" s="169">
        <f>(INDEX(Models!$BJ375:$BT375,,AH375)*(1-AF375)+INDEX(Models!$BJ375:$BT375,,AH375+1)*AF375-ERP_i)*AE375*Ramure*Pc/MaxiM</f>
        <v>8.0302652920526442E-3</v>
      </c>
      <c r="AE375" s="305">
        <f t="shared" si="147"/>
        <v>0.8</v>
      </c>
      <c r="AF375" s="177">
        <f t="shared" si="148"/>
        <v>0.59999990695446992</v>
      </c>
      <c r="AG375" s="809">
        <f t="shared" si="149"/>
        <v>0</v>
      </c>
      <c r="AH375" s="176">
        <f t="shared" si="150"/>
        <v>6</v>
      </c>
      <c r="AI375" s="225">
        <f t="shared" si="151"/>
        <v>0.59999990695446992</v>
      </c>
      <c r="AJ375" s="265" t="b">
        <f t="shared" si="152"/>
        <v>0</v>
      </c>
      <c r="AK375" s="265" t="b">
        <f t="shared" si="15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4"/>
        <v>43462</v>
      </c>
      <c r="B376" s="616">
        <v>3.327</v>
      </c>
      <c r="C376" s="390"/>
      <c r="D376" s="393">
        <f t="shared" si="131"/>
        <v>3.3385563568343608</v>
      </c>
      <c r="E376" s="385">
        <f t="shared" si="157"/>
        <v>3.4263761600114888</v>
      </c>
      <c r="F376" s="385">
        <f t="shared" si="156"/>
        <v>3.4263761600114888</v>
      </c>
      <c r="G376" s="110">
        <f t="shared" si="158"/>
        <v>0.18978903040464615</v>
      </c>
      <c r="I376" s="380">
        <f t="shared" si="132"/>
        <v>3.4263761600114888</v>
      </c>
      <c r="J376" s="85">
        <v>2018</v>
      </c>
      <c r="K376" s="197">
        <f t="shared" si="133"/>
        <v>43462</v>
      </c>
      <c r="L376" s="436">
        <f t="shared" si="134"/>
        <v>3.4614832278340169E-3</v>
      </c>
      <c r="M376" s="854"/>
      <c r="N376" s="854"/>
      <c r="O376" s="324">
        <f t="shared" si="135"/>
        <v>2.5630520140215253E-2</v>
      </c>
      <c r="P376" s="169">
        <f>(INDEX(Models!$BJ376:$BT376,,T376)*(1-R376)+INDEX(Models!$BJ376:$BT376,,T376+1)*R376-ERP_i)*Q376*Ramure*Pc/MaxiM</f>
        <v>8.0084340803659605E-3</v>
      </c>
      <c r="Q376" s="305">
        <f t="shared" si="136"/>
        <v>0.8</v>
      </c>
      <c r="R376" s="177">
        <f t="shared" si="137"/>
        <v>0.59999990695446992</v>
      </c>
      <c r="S376" s="809">
        <f t="shared" si="155"/>
        <v>0</v>
      </c>
      <c r="T376" s="176">
        <f t="shared" si="138"/>
        <v>6</v>
      </c>
      <c r="U376" s="251">
        <f t="shared" si="139"/>
        <v>0.59999990695446992</v>
      </c>
      <c r="V376" s="383">
        <f t="shared" si="140"/>
        <v>17.389603249344738</v>
      </c>
      <c r="W376" s="58"/>
      <c r="X376" s="157">
        <f t="shared" si="141"/>
        <v>43462</v>
      </c>
      <c r="Y376" s="385">
        <f t="shared" si="142"/>
        <v>3.327</v>
      </c>
      <c r="Z376" s="385">
        <f t="shared" si="143"/>
        <v>3.3385563568343608</v>
      </c>
      <c r="AA376" s="386">
        <f t="shared" si="144"/>
        <v>3.4263761600114888</v>
      </c>
      <c r="AB376" s="197">
        <f t="shared" si="145"/>
        <v>43462</v>
      </c>
      <c r="AC376" s="425">
        <f t="shared" si="146"/>
        <v>2.5630520140215253E-2</v>
      </c>
      <c r="AD376" s="169">
        <f>(INDEX(Models!$BJ376:$BT376,,AH376)*(1-AF376)+INDEX(Models!$BJ376:$BT376,,AH376+1)*AF376-ERP_i)*AE376*Ramure*Pc/MaxiM</f>
        <v>8.0084340803659605E-3</v>
      </c>
      <c r="AE376" s="305">
        <f t="shared" si="147"/>
        <v>0.8</v>
      </c>
      <c r="AF376" s="177">
        <f t="shared" si="148"/>
        <v>0.59999990695446992</v>
      </c>
      <c r="AG376" s="809">
        <f t="shared" si="149"/>
        <v>0</v>
      </c>
      <c r="AH376" s="176">
        <f t="shared" si="150"/>
        <v>6</v>
      </c>
      <c r="AI376" s="225">
        <f t="shared" si="151"/>
        <v>0.59999990695446992</v>
      </c>
      <c r="AJ376" s="265" t="b">
        <f t="shared" si="152"/>
        <v>0</v>
      </c>
      <c r="AK376" s="265" t="b">
        <f t="shared" si="153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4"/>
        <v>43463</v>
      </c>
      <c r="B377" s="616">
        <v>4.5010000000000003</v>
      </c>
      <c r="C377" s="390"/>
      <c r="D377" s="393">
        <f t="shared" si="131"/>
        <v>4.5167393648390481</v>
      </c>
      <c r="E377" s="385">
        <f t="shared" si="157"/>
        <v>4.6362976534310389</v>
      </c>
      <c r="F377" s="385">
        <f t="shared" si="156"/>
        <v>4.6362976534310389</v>
      </c>
      <c r="G377" s="110">
        <f t="shared" si="158"/>
        <v>0.2552982528147828</v>
      </c>
      <c r="I377" s="380">
        <f t="shared" si="132"/>
        <v>4.6362976534310389</v>
      </c>
      <c r="J377" s="85">
        <v>2018</v>
      </c>
      <c r="K377" s="197">
        <f t="shared" si="133"/>
        <v>43463</v>
      </c>
      <c r="L377" s="436">
        <f t="shared" si="134"/>
        <v>3.4846741349683352E-3</v>
      </c>
      <c r="M377" s="854"/>
      <c r="N377" s="854"/>
      <c r="O377" s="324">
        <f t="shared" si="135"/>
        <v>2.5787448850164572E-2</v>
      </c>
      <c r="P377" s="169">
        <f>(INDEX(Models!$BJ377:$BT377,,T377)*(1-R377)+INDEX(Models!$BJ377:$BT377,,T377+1)*R377-ERP_i)*Q377*Ramure*Pc/MaxiM</f>
        <v>7.9888335414415885E-3</v>
      </c>
      <c r="Q377" s="305">
        <f t="shared" si="136"/>
        <v>0.8</v>
      </c>
      <c r="R377" s="177">
        <f t="shared" si="137"/>
        <v>0.59999990695446992</v>
      </c>
      <c r="S377" s="809">
        <f t="shared" si="155"/>
        <v>0</v>
      </c>
      <c r="T377" s="176">
        <f t="shared" si="138"/>
        <v>6</v>
      </c>
      <c r="U377" s="251">
        <f t="shared" si="139"/>
        <v>0.59999990695446992</v>
      </c>
      <c r="V377" s="383">
        <f t="shared" si="140"/>
        <v>17.489513582646136</v>
      </c>
      <c r="W377" s="58"/>
      <c r="X377" s="157">
        <f t="shared" si="141"/>
        <v>43463</v>
      </c>
      <c r="Y377" s="385">
        <f t="shared" si="142"/>
        <v>4.5010000000000003</v>
      </c>
      <c r="Z377" s="385">
        <f t="shared" si="143"/>
        <v>4.5167393648390481</v>
      </c>
      <c r="AA377" s="386">
        <f t="shared" si="144"/>
        <v>4.6362976534310389</v>
      </c>
      <c r="AB377" s="197">
        <f t="shared" si="145"/>
        <v>43463</v>
      </c>
      <c r="AC377" s="425">
        <f t="shared" si="146"/>
        <v>2.5787448850164572E-2</v>
      </c>
      <c r="AD377" s="169">
        <f>(INDEX(Models!$BJ377:$BT377,,AH377)*(1-AF377)+INDEX(Models!$BJ377:$BT377,,AH377+1)*AF377-ERP_i)*AE377*Ramure*Pc/MaxiM</f>
        <v>7.9888335414415885E-3</v>
      </c>
      <c r="AE377" s="305">
        <f t="shared" si="147"/>
        <v>0.8</v>
      </c>
      <c r="AF377" s="177">
        <f t="shared" si="148"/>
        <v>0.59999990695446992</v>
      </c>
      <c r="AG377" s="809">
        <f t="shared" si="149"/>
        <v>0</v>
      </c>
      <c r="AH377" s="176">
        <f t="shared" si="150"/>
        <v>6</v>
      </c>
      <c r="AI377" s="225">
        <f t="shared" si="151"/>
        <v>0.59999990695446992</v>
      </c>
      <c r="AJ377" s="265" t="b">
        <f t="shared" si="152"/>
        <v>0</v>
      </c>
      <c r="AK377" s="265" t="b">
        <f t="shared" si="153"/>
        <v>0</v>
      </c>
      <c r="AL377" s="265"/>
      <c r="AM377" s="265"/>
      <c r="AN377" s="75"/>
    </row>
    <row r="378" spans="1:40" s="6" customFormat="1" ht="11.25" x14ac:dyDescent="0.2">
      <c r="A378" s="56">
        <f t="shared" si="154"/>
        <v>43464</v>
      </c>
      <c r="B378" s="616">
        <v>3.3090000000000002</v>
      </c>
      <c r="C378" s="390"/>
      <c r="D378" s="393">
        <f t="shared" si="131"/>
        <v>3.3206483845933215</v>
      </c>
      <c r="E378" s="385">
        <f t="shared" si="157"/>
        <v>3.4090948920716513</v>
      </c>
      <c r="F378" s="385">
        <f t="shared" si="156"/>
        <v>3.4090948920716513</v>
      </c>
      <c r="G378" s="110">
        <f t="shared" si="158"/>
        <v>0.18656556608874236</v>
      </c>
      <c r="I378" s="380">
        <f t="shared" si="132"/>
        <v>3.4090948920716513</v>
      </c>
      <c r="J378" s="85">
        <v>2018</v>
      </c>
      <c r="K378" s="197">
        <f t="shared" si="133"/>
        <v>43464</v>
      </c>
      <c r="L378" s="436">
        <f t="shared" si="134"/>
        <v>3.507864502416469E-3</v>
      </c>
      <c r="M378" s="854"/>
      <c r="N378" s="854"/>
      <c r="O378" s="324">
        <f t="shared" si="135"/>
        <v>2.5944278548545301E-2</v>
      </c>
      <c r="P378" s="169">
        <f>(INDEX(Models!$BJ378:$BT378,,T378)*(1-R378)+INDEX(Models!$BJ378:$BT378,,T378+1)*R378-ERP_i)*Q378*Ramure*Pc/MaxiM</f>
        <v>7.9712297961162474E-3</v>
      </c>
      <c r="Q378" s="305">
        <f t="shared" si="136"/>
        <v>0.8</v>
      </c>
      <c r="R378" s="177">
        <f t="shared" si="137"/>
        <v>0.59999990695446992</v>
      </c>
      <c r="S378" s="809">
        <f t="shared" si="155"/>
        <v>0</v>
      </c>
      <c r="T378" s="176">
        <f t="shared" si="138"/>
        <v>6</v>
      </c>
      <c r="U378" s="251">
        <f t="shared" si="139"/>
        <v>0.59999990695446992</v>
      </c>
      <c r="V378" s="383">
        <f t="shared" si="140"/>
        <v>17.59501106995933</v>
      </c>
      <c r="W378" s="58"/>
      <c r="X378" s="157">
        <f t="shared" si="141"/>
        <v>43464</v>
      </c>
      <c r="Y378" s="385">
        <f t="shared" si="142"/>
        <v>3.3090000000000002</v>
      </c>
      <c r="Z378" s="385">
        <f t="shared" si="143"/>
        <v>3.3206483845933215</v>
      </c>
      <c r="AA378" s="386">
        <f t="shared" si="144"/>
        <v>3.4090948920716513</v>
      </c>
      <c r="AB378" s="197">
        <f t="shared" si="145"/>
        <v>43464</v>
      </c>
      <c r="AC378" s="425">
        <f t="shared" si="146"/>
        <v>2.5944278548545301E-2</v>
      </c>
      <c r="AD378" s="169">
        <f>(INDEX(Models!$BJ378:$BT378,,AH378)*(1-AF378)+INDEX(Models!$BJ378:$BT378,,AH378+1)*AF378-ERP_i)*AE378*Ramure*Pc/MaxiM</f>
        <v>7.9712297961162474E-3</v>
      </c>
      <c r="AE378" s="305">
        <f t="shared" si="147"/>
        <v>0.8</v>
      </c>
      <c r="AF378" s="177">
        <f t="shared" si="148"/>
        <v>0.59999990695446992</v>
      </c>
      <c r="AG378" s="809">
        <f t="shared" si="149"/>
        <v>0</v>
      </c>
      <c r="AH378" s="176">
        <f t="shared" si="150"/>
        <v>6</v>
      </c>
      <c r="AI378" s="225">
        <f t="shared" si="151"/>
        <v>0.59999990695446992</v>
      </c>
      <c r="AJ378" s="265" t="b">
        <f t="shared" si="152"/>
        <v>0</v>
      </c>
      <c r="AK378" s="265" t="b">
        <f t="shared" si="153"/>
        <v>0</v>
      </c>
      <c r="AL378" s="265"/>
      <c r="AM378" s="265"/>
      <c r="AN378" s="75"/>
    </row>
    <row r="379" spans="1:40" s="18" customFormat="1" ht="12.75" x14ac:dyDescent="0.2">
      <c r="A379" s="56">
        <f t="shared" si="154"/>
        <v>43465</v>
      </c>
      <c r="B379" s="616">
        <v>6.1479999999999997</v>
      </c>
      <c r="C379" s="390"/>
      <c r="D379" s="393">
        <f t="shared" si="131"/>
        <v>6.1697858490385968</v>
      </c>
      <c r="E379" s="385">
        <f t="shared" si="157"/>
        <v>6.3351393316647711</v>
      </c>
      <c r="F379" s="385">
        <f t="shared" si="156"/>
        <v>6.3385407805006295</v>
      </c>
      <c r="G379" s="110">
        <f t="shared" si="158"/>
        <v>0.34464104466406709</v>
      </c>
      <c r="I379" s="380">
        <f t="shared" si="132"/>
        <v>6.3385407805006295</v>
      </c>
      <c r="J379" s="85">
        <v>2018</v>
      </c>
      <c r="K379" s="197">
        <f t="shared" si="133"/>
        <v>43465</v>
      </c>
      <c r="L379" s="436">
        <f>IF(t&lt;T0,0,IF(t&lt;Tvie,1-EXP((T0-t)*PertePVj),1-EXP((T0-t)*PertePVj)+Pspv))</f>
        <v>3.5310543301907416E-3</v>
      </c>
      <c r="M379" s="854"/>
      <c r="N379" s="854"/>
      <c r="O379" s="324">
        <f t="shared" si="135"/>
        <v>2.6101001725359299E-2</v>
      </c>
      <c r="P379" s="169">
        <f>(INDEX(Models!$BJ379:$BT379,,T379)*(1-R379)+INDEX(Models!$BJ379:$BT379,,T379+1)*R379-ERP_i)*Q379*Ramure*Pc/MaxiM</f>
        <v>7.9553959288349452E-3</v>
      </c>
      <c r="Q379" s="306">
        <f t="shared" si="136"/>
        <v>0.8</v>
      </c>
      <c r="R379" s="177">
        <f t="shared" si="137"/>
        <v>0.59999990695446992</v>
      </c>
      <c r="S379" s="809">
        <f t="shared" si="155"/>
        <v>0</v>
      </c>
      <c r="T379" s="176">
        <f t="shared" si="138"/>
        <v>6</v>
      </c>
      <c r="U379" s="307">
        <f t="shared" si="139"/>
        <v>0.59999990695446992</v>
      </c>
      <c r="V379" s="383">
        <f t="shared" si="140"/>
        <v>17.706436973157917</v>
      </c>
      <c r="W379" s="392"/>
      <c r="X379" s="157">
        <f t="shared" si="141"/>
        <v>43465</v>
      </c>
      <c r="Y379" s="385">
        <f t="shared" si="142"/>
        <v>6.1479999999999997</v>
      </c>
      <c r="Z379" s="385">
        <f t="shared" si="143"/>
        <v>6.1697858490385968</v>
      </c>
      <c r="AA379" s="386">
        <f t="shared" si="144"/>
        <v>6.3351393316647711</v>
      </c>
      <c r="AB379" s="197">
        <f t="shared" si="145"/>
        <v>43465</v>
      </c>
      <c r="AC379" s="425">
        <f t="shared" si="146"/>
        <v>2.6101001725359299E-2</v>
      </c>
      <c r="AD379" s="169">
        <f>(INDEX(Models!$BJ379:$BT379,,AH379)*(1-AF379)+INDEX(Models!$BJ379:$BT379,,AH379+1)*AF379-ERP_i)*AE379*Ramure*Pc/MaxiM</f>
        <v>7.9553959288349452E-3</v>
      </c>
      <c r="AE379" s="306">
        <f t="shared" si="147"/>
        <v>0.8</v>
      </c>
      <c r="AF379" s="177">
        <f t="shared" si="148"/>
        <v>0.59999990695446992</v>
      </c>
      <c r="AG379" s="809">
        <f t="shared" si="149"/>
        <v>0</v>
      </c>
      <c r="AH379" s="176">
        <f t="shared" si="150"/>
        <v>6</v>
      </c>
      <c r="AI379" s="222">
        <f t="shared" si="151"/>
        <v>0.59999990695446992</v>
      </c>
      <c r="AJ379" s="265" t="b">
        <f t="shared" si="152"/>
        <v>0</v>
      </c>
      <c r="AK379" s="265" t="b">
        <f t="shared" si="15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0"/>
      <c r="C380" s="853"/>
      <c r="D380" s="394"/>
      <c r="E380" s="395"/>
      <c r="F380" s="395"/>
      <c r="G380" s="97"/>
      <c r="I380" s="381">
        <f t="shared" si="132"/>
        <v>0</v>
      </c>
      <c r="J380" s="151">
        <v>2018</v>
      </c>
      <c r="K380" s="199"/>
      <c r="L380" s="469"/>
      <c r="M380" s="855"/>
      <c r="N380" s="855"/>
      <c r="O380" s="470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2"/>
        <v>1</v>
      </c>
      <c r="AK380" s="265" t="b">
        <f t="shared" si="15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1.9490000000000001</v>
      </c>
      <c r="C381" s="375"/>
      <c r="D381" s="373">
        <f>MIN(D15:D380)</f>
        <v>1.9550872714560643</v>
      </c>
      <c r="E381" s="373">
        <f>MIN(E15:E380)</f>
        <v>2.0016682282734028</v>
      </c>
      <c r="F381" s="374">
        <f>MIN(F15:F380)</f>
        <v>2.0016682282734028</v>
      </c>
      <c r="G381" s="125">
        <f>+MIN(G15:G380)</f>
        <v>0.11743943266733528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59">MIN(L15:L380)</f>
        <v>0</v>
      </c>
      <c r="M381" s="845"/>
      <c r="N381" s="845"/>
      <c r="O381" s="47">
        <f t="shared" si="159"/>
        <v>0</v>
      </c>
      <c r="P381" s="168">
        <f t="shared" si="159"/>
        <v>1.8987173556927652E-8</v>
      </c>
      <c r="Q381" s="310">
        <f t="shared" si="159"/>
        <v>0.8</v>
      </c>
      <c r="R381" s="311">
        <f t="shared" si="159"/>
        <v>1.4345978752575573E-6</v>
      </c>
      <c r="S381" s="809">
        <f t="shared" si="159"/>
        <v>0</v>
      </c>
      <c r="T381" s="176">
        <f t="shared" si="159"/>
        <v>6</v>
      </c>
      <c r="U381" s="252">
        <f>+MIN(U15:U380)</f>
        <v>1.4345978752575573E-6</v>
      </c>
      <c r="V381" s="373">
        <f>MIN(V15:V380)</f>
        <v>16.448632473255905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0">MIN(AC15:AC380)</f>
        <v>0</v>
      </c>
      <c r="AD381" s="168">
        <f t="shared" si="160"/>
        <v>1.8987173556927652E-8</v>
      </c>
      <c r="AE381" s="310">
        <f t="shared" si="160"/>
        <v>0.8</v>
      </c>
      <c r="AF381" s="311">
        <f t="shared" si="160"/>
        <v>1.4345978752575573E-6</v>
      </c>
      <c r="AG381" s="809">
        <f t="shared" si="160"/>
        <v>0</v>
      </c>
      <c r="AH381" s="176">
        <f t="shared" si="160"/>
        <v>6</v>
      </c>
      <c r="AI381" s="226">
        <f>MIN(AI15:AI380)</f>
        <v>1.4345978752575573E-6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20.000111111111107</v>
      </c>
      <c r="C382" s="375"/>
      <c r="D382" s="375">
        <f>AVERAGE(D15:D380)</f>
        <v>20.033027742069624</v>
      </c>
      <c r="E382" s="375">
        <f>AVERAGE(E15:E380)</f>
        <v>20.29546269974081</v>
      </c>
      <c r="F382" s="376">
        <f>AVERAGE(F15:F380)</f>
        <v>20.412322298181902</v>
      </c>
      <c r="G382" s="126">
        <f>AVERAGE(G15:G380)</f>
        <v>0.67328997173188854</v>
      </c>
      <c r="H382" s="94"/>
      <c r="I382" s="376">
        <f>AVERAGE(I15:I380)</f>
        <v>7.0271929223249172</v>
      </c>
      <c r="J382" s="166">
        <f>AVERAGE(J15:J380)</f>
        <v>2018</v>
      </c>
      <c r="K382" s="200" t="s">
        <v>8</v>
      </c>
      <c r="L382" s="147">
        <f t="shared" ref="L382:V382" si="161">AVERAGE(L15:L380)</f>
        <v>7.4050372941583664E-4</v>
      </c>
      <c r="M382" s="843"/>
      <c r="N382" s="843"/>
      <c r="O382" s="48">
        <f t="shared" si="161"/>
        <v>5.7226265158182472E-3</v>
      </c>
      <c r="P382" s="169">
        <f t="shared" si="161"/>
        <v>3.2918933151507472E-3</v>
      </c>
      <c r="Q382" s="312">
        <f t="shared" si="161"/>
        <v>0.80000000000000548</v>
      </c>
      <c r="R382" s="177">
        <f t="shared" si="161"/>
        <v>0.33586175099684756</v>
      </c>
      <c r="S382" s="809">
        <f t="shared" si="161"/>
        <v>0</v>
      </c>
      <c r="T382" s="176">
        <f t="shared" si="161"/>
        <v>6</v>
      </c>
      <c r="U382" s="251">
        <f t="shared" si="161"/>
        <v>0.33586175099684756</v>
      </c>
      <c r="V382" s="375">
        <f t="shared" si="161"/>
        <v>41.169798750920336</v>
      </c>
      <c r="X382" s="112" t="s">
        <v>8</v>
      </c>
      <c r="Y382" s="375">
        <f>AVERAGE(Y15:Y380)</f>
        <v>6.9041479452054775</v>
      </c>
      <c r="Z382" s="375">
        <f>AVERAGE(Z15:Z380)</f>
        <v>6.9155109465774594</v>
      </c>
      <c r="AA382" s="375">
        <f>AVERAGE(AA15:AA380)</f>
        <v>7.0061049319653215</v>
      </c>
      <c r="AB382" s="200" t="s">
        <v>8</v>
      </c>
      <c r="AC382" s="48">
        <f t="shared" ref="AC382:AH382" si="162">AVERAGE(AC15:AC380)</f>
        <v>5.7226265158182472E-3</v>
      </c>
      <c r="AD382" s="169">
        <f t="shared" si="162"/>
        <v>3.2918933151507472E-3</v>
      </c>
      <c r="AE382" s="312">
        <f t="shared" si="162"/>
        <v>0.80000000000000548</v>
      </c>
      <c r="AF382" s="177">
        <f t="shared" si="162"/>
        <v>0.33586175099684756</v>
      </c>
      <c r="AG382" s="809">
        <f t="shared" si="162"/>
        <v>0</v>
      </c>
      <c r="AH382" s="176">
        <f t="shared" si="162"/>
        <v>6</v>
      </c>
      <c r="AI382" s="225">
        <f>AVERAGE(AI15:AI380)</f>
        <v>0.33586175099684756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47.155000000000001</v>
      </c>
      <c r="C383" s="377"/>
      <c r="D383" s="377">
        <f>MAX(D15:D380)</f>
        <v>47.189031007655487</v>
      </c>
      <c r="E383" s="377">
        <f>MAX(E15:E380)</f>
        <v>47.471587702381036</v>
      </c>
      <c r="F383" s="378">
        <f>MAX(F15:F380)</f>
        <v>47.663426724874789</v>
      </c>
      <c r="G383" s="127">
        <f>+MAX(G15:G380)</f>
        <v>1.0313486789971422</v>
      </c>
      <c r="H383" s="94"/>
      <c r="I383" s="378">
        <f>MAX(I15:I380)</f>
        <v>47.663426724874789</v>
      </c>
      <c r="J383" s="167">
        <f>MAX(J15:J380)</f>
        <v>2018</v>
      </c>
      <c r="K383" s="200" t="s">
        <v>9</v>
      </c>
      <c r="L383" s="148">
        <f t="shared" ref="L383:T383" si="163">MAX(L15:L380)</f>
        <v>3.5310543301907416E-3</v>
      </c>
      <c r="M383" s="846"/>
      <c r="N383" s="846"/>
      <c r="O383" s="49">
        <f t="shared" si="163"/>
        <v>2.6101001725359299E-2</v>
      </c>
      <c r="P383" s="170">
        <f t="shared" si="163"/>
        <v>1.0719608432022059E-2</v>
      </c>
      <c r="Q383" s="313">
        <f t="shared" si="163"/>
        <v>0.8</v>
      </c>
      <c r="R383" s="314">
        <f t="shared" si="163"/>
        <v>0.59999990695446992</v>
      </c>
      <c r="S383" s="810">
        <f t="shared" si="163"/>
        <v>0</v>
      </c>
      <c r="T383" s="233">
        <f t="shared" si="163"/>
        <v>6</v>
      </c>
      <c r="U383" s="253">
        <f>+MAX(U15:U380)</f>
        <v>0.59999990695446992</v>
      </c>
      <c r="V383" s="377">
        <f>MAX(V15:V380)</f>
        <v>62.328664234723689</v>
      </c>
      <c r="X383" s="112" t="s">
        <v>9</v>
      </c>
      <c r="Y383" s="377">
        <f>MAX(Y15:Y380)</f>
        <v>47.155000000000001</v>
      </c>
      <c r="Z383" s="377">
        <f>MAX(Z15:Z380)</f>
        <v>47.189031007655487</v>
      </c>
      <c r="AA383" s="377">
        <f>MAX(AA15:AA380)</f>
        <v>47.471587702381036</v>
      </c>
      <c r="AB383" s="200" t="s">
        <v>9</v>
      </c>
      <c r="AC383" s="49">
        <f t="shared" ref="AC383:AH383" si="164">MAX(AC15:AC380)</f>
        <v>2.6101001725359299E-2</v>
      </c>
      <c r="AD383" s="170">
        <f t="shared" si="164"/>
        <v>1.0719608432022059E-2</v>
      </c>
      <c r="AE383" s="313">
        <f t="shared" si="164"/>
        <v>0.8</v>
      </c>
      <c r="AF383" s="314">
        <f t="shared" si="164"/>
        <v>0.59999990695446992</v>
      </c>
      <c r="AG383" s="810">
        <f t="shared" si="164"/>
        <v>0</v>
      </c>
      <c r="AH383" s="233">
        <f t="shared" si="164"/>
        <v>6</v>
      </c>
      <c r="AI383" s="227">
        <f>MAX(AI15:AI380)</f>
        <v>0.59999990695446992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2" priority="4" stopIfTrue="1" operator="lessThan">
      <formula>0.01</formula>
    </cfRule>
    <cfRule type="cellIs" dxfId="2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B367" activePane="bottomRight" state="frozen"/>
      <selection pane="topRight"/>
      <selection pane="bottomLeft"/>
      <selection pane="bottomRight" activeCell="G377" sqref="G377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'2018'!An+1</f>
        <v>2019</v>
      </c>
      <c r="K1" s="1275"/>
      <c r="L1" s="113" t="str">
        <f>"Calcul pertes et enveloppes en "&amp;TEXT(An,0)</f>
        <v>Calcul pertes et enveloppes en 2019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471"/>
      <c r="H3" s="75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-0.14308307026988132</v>
      </c>
      <c r="AK4" s="832">
        <f>AM12-AK12</f>
        <v>1.8200854248330554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334"/>
      <c r="I5" s="158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6">
        <f>Wh_Psa_s-Wh_Psa</f>
        <v>-0.14308307026988132</v>
      </c>
      <c r="AA5" s="237">
        <f>Wh_Pvg_s-Wh_Pvg</f>
        <v>1.8686414751187357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10258.036999999998</v>
      </c>
      <c r="AL5" s="515">
        <f>SUMIF(AJ15:AJ380,"VRAI",Wh_s)</f>
        <v>0</v>
      </c>
      <c r="AM5" s="515">
        <f>SUMIF(AK15:AK380,"VRAI",Wh_s)</f>
        <v>10258.036999999998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530"/>
      <c r="AD6" s="461"/>
      <c r="AE6" s="461"/>
      <c r="AF6" s="461"/>
      <c r="AG6" s="461"/>
      <c r="AH6" s="461"/>
      <c r="AI6" s="461"/>
      <c r="AJ6" s="515">
        <f>SUMIF(AJ15:AJ380,"FAUX",Wh)</f>
        <v>10435.095000000001</v>
      </c>
      <c r="AK6" s="515">
        <f>SUMIF(AK15:AK380,"FAUX",Wh)</f>
        <v>177.05799999999999</v>
      </c>
      <c r="AL6" s="515">
        <f>SUMIF(AJ15:AJ380,"FAUX",Wh_s)</f>
        <v>10433.274955877185</v>
      </c>
      <c r="AM6" s="515">
        <f>SUMIF(AK15:AK380,"FAUX",Wh_s)</f>
        <v>175.23795587718885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30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10900.692770582569</v>
      </c>
      <c r="AL7" s="515">
        <f>SUMIF(AJ15:AJ380,"VRAI",Wh_pvt_s)</f>
        <v>0</v>
      </c>
      <c r="AM7" s="515">
        <f>SUMIF(AK15:AK380,"VRAI",Wh_sa_s)</f>
        <v>10900.692770582569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1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10514.478841491751</v>
      </c>
      <c r="AK8" s="515">
        <f>SUMIF(AK15:AK380,"FAUX",Wh_sa)</f>
        <v>193.23223909236285</v>
      </c>
      <c r="AL8" s="515">
        <f>SUMIF(AJ15:AJ380,"FAUX",Wh_pvt_s)</f>
        <v>10512.637096250517</v>
      </c>
      <c r="AM8" s="515">
        <f>SUMIF(AK15:AK380,"FAUX",Wh_sa_s)</f>
        <v>191.24588942199222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10514.478841491751</v>
      </c>
      <c r="E9" s="184">
        <f>SUM(E$15:E$380)</f>
        <v>11093.925009674937</v>
      </c>
      <c r="F9" s="184">
        <f>SUM(F$15:F$380)</f>
        <v>11150.279508002366</v>
      </c>
      <c r="H9" s="1276">
        <f>+SUM(Wh)</f>
        <v>10435.095000000001</v>
      </c>
      <c r="I9" s="1277"/>
      <c r="J9" s="1278"/>
      <c r="K9" s="191"/>
      <c r="L9" s="114"/>
      <c r="M9" s="114"/>
      <c r="N9" s="114"/>
      <c r="O9" s="223">
        <f>Tnet_2019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10433.274955877185</v>
      </c>
      <c r="Y9" s="1271"/>
      <c r="Z9" s="515">
        <f>SUM(Z$15:Z$380)</f>
        <v>10512.637096250517</v>
      </c>
      <c r="AA9" s="515">
        <f>SUM(AA$15:AA$380)</f>
        <v>11091.93866000456</v>
      </c>
      <c r="AB9" s="515">
        <f>F9</f>
        <v>11150.279508002366</v>
      </c>
      <c r="AC9" s="325">
        <f>IF(An_Tnet,Tnet,'2018'!Tnet_s)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10957.047192453305</v>
      </c>
      <c r="AL9" s="515">
        <f>SUMIF(AJ15:AJ380,"VRAI",Wh_sa_s)</f>
        <v>0</v>
      </c>
      <c r="AM9" s="515">
        <f>SUMIF(AK15:AK380,"VRAI",Wh_hp)</f>
        <v>10957.047192453305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20" t="b">
        <f>NOT(Acti_tai)</f>
        <v>0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11093.925009674937</v>
      </c>
      <c r="AK10" s="515">
        <f>SUMIF(AK15:AK380,"FAUX",Wh_hp)</f>
        <v>193.23231554906405</v>
      </c>
      <c r="AL10" s="515">
        <f>SUMIF(AJ15:AJ380,"FAUX",Wh_sa_s)</f>
        <v>11091.93866000456</v>
      </c>
      <c r="AM10" s="515">
        <f>SUMIF(AK15:AK380,"FAUX",Wh_hp)</f>
        <v>193.23231554906405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79.38384149174999</v>
      </c>
      <c r="E11" s="51">
        <f>(E$9-D$9)*Prod_an/D$9</f>
        <v>575.07137572209467</v>
      </c>
      <c r="F11" s="186">
        <f>(F$9-E$9)*Prod_an/E$9</f>
        <v>53.007798701651765</v>
      </c>
      <c r="G11" s="185" t="s">
        <v>6</v>
      </c>
      <c r="H11" s="335"/>
      <c r="K11" s="194"/>
      <c r="L11" s="182">
        <f>Tvie_2019</f>
        <v>43313</v>
      </c>
      <c r="M11" s="842"/>
      <c r="N11" s="842"/>
      <c r="O11" s="202">
        <f>IF(An_Tnet,Salim_2019,'2018'!Salim)</f>
        <v>0.17</v>
      </c>
      <c r="P11" s="256">
        <f>Ttai_2019</f>
        <v>43814</v>
      </c>
      <c r="Q11" s="272">
        <f>Dens_2019</f>
        <v>0.8</v>
      </c>
      <c r="R11" s="277"/>
      <c r="S11" s="230"/>
      <c r="T11" s="230"/>
      <c r="U11" s="266">
        <f>Htf_2019</f>
        <v>0</v>
      </c>
      <c r="V11" s="427"/>
      <c r="W11" s="518"/>
      <c r="X11" s="525" t="s">
        <v>43</v>
      </c>
      <c r="Y11" s="50">
        <f>Z$9-Prod_an_s</f>
        <v>79.362140373332295</v>
      </c>
      <c r="Z11" s="51">
        <f>(AA$9-Z$9)*Prod_an_s/Z$9</f>
        <v>574.92829265182479</v>
      </c>
      <c r="AA11" s="186">
        <f>(AB$9-AA$9)*Prod_an_s/AA$9</f>
        <v>54.876440176770501</v>
      </c>
      <c r="AB11" s="526" t="s">
        <v>6</v>
      </c>
      <c r="AC11" s="325"/>
      <c r="AD11" s="427"/>
      <c r="AE11" s="272">
        <f>IF(Acti_tai,IF(GainD,Dd_s,Dd)+PousD*Croi_tai,"NA")</f>
        <v>0.8</v>
      </c>
      <c r="AF11" s="247"/>
      <c r="AG11" s="247"/>
      <c r="AH11" s="247"/>
      <c r="AI11" s="266">
        <f>IF(Acti_tai,IF(GainD,Hdd_s,Hdd)+PousH*Croi_tai,"NA")</f>
        <v>1.1999335741525212</v>
      </c>
      <c r="AJ11" s="831">
        <f>IF($AJ7=0,0,($AJ9-$AJ7)*$AJ5/$AJ7)</f>
        <v>0</v>
      </c>
      <c r="AK11" s="832">
        <f>IF($AK7=0,0,($AK9-$AK7)*$AK5/$AK7)</f>
        <v>53.032018866147794</v>
      </c>
      <c r="AL11" s="831">
        <f>IF($AL7=0,0,($AL9-$AL7)*$AL5/$AL7)</f>
        <v>0</v>
      </c>
      <c r="AM11" s="832">
        <f>IF($AM7=0,0,($AM9-$AM7)*$AM5/$AM7)</f>
        <v>53.032018866147794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4.5467663037300099E-2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912.5</v>
      </c>
      <c r="P12" s="281">
        <f>INDEX(Croivg,MIN(MAX(Ttai-$A$15,0)+1,366))</f>
        <v>0.99988944533008528</v>
      </c>
      <c r="Q12" s="280">
        <f>'2018'!Df</f>
        <v>0.8</v>
      </c>
      <c r="R12" s="278"/>
      <c r="S12" s="279"/>
      <c r="T12" s="279"/>
      <c r="U12" s="267">
        <f>'2018'!Hdf</f>
        <v>0.59999990695446992</v>
      </c>
      <c r="V12" s="517"/>
      <c r="W12" s="504"/>
      <c r="X12" s="505"/>
      <c r="Y12" s="504"/>
      <c r="Z12" s="427"/>
      <c r="AA12" s="427"/>
      <c r="AB12" s="531"/>
      <c r="AC12" s="318" t="b">
        <f>NOT(An_Tnet)</f>
        <v>1</v>
      </c>
      <c r="AD12" s="427"/>
      <c r="AE12" s="296">
        <f>'2018'!Df_s</f>
        <v>0.8</v>
      </c>
      <c r="AF12" s="203"/>
      <c r="AG12" s="203"/>
      <c r="AH12" s="203"/>
      <c r="AI12" s="297">
        <f>'2018'!Hdf_s</f>
        <v>0.59999990695446992</v>
      </c>
      <c r="AJ12" s="831">
        <f>IF($AJ8=0,0,($AJ10-$AJ8)*$AJ6/$AJ8)</f>
        <v>575.07137572209467</v>
      </c>
      <c r="AK12" s="832">
        <f>IF($AK8=0,0,($AK10-$AK8)*$AK6/$AK8)</f>
        <v>7.0056998077226682E-5</v>
      </c>
      <c r="AL12" s="831">
        <f>IF($AL8=0,0,($AL10-$AL8)*$AL6/$AL8)</f>
        <v>574.92829265182479</v>
      </c>
      <c r="AM12" s="832">
        <f>IF($AM8=0,0,($AM10-$AM8)*$AM6/$AM8)</f>
        <v>1.8201554818311325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0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575.07137572209467</v>
      </c>
      <c r="AK13" s="73">
        <f>+AK11+AK12</f>
        <v>53.032088923145871</v>
      </c>
      <c r="AL13" s="73">
        <f>+AL11+AL12</f>
        <v>574.92829265182479</v>
      </c>
      <c r="AM13" s="73">
        <f>+AM11+AM12</f>
        <v>54.852174347978924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5">
        <v>1.6779999999999999</v>
      </c>
      <c r="C15" s="390"/>
      <c r="D15" s="393">
        <f t="shared" ref="D15:D78" si="0">Wh/(1-Ppv)</f>
        <v>1.683985293984462</v>
      </c>
      <c r="E15" s="385">
        <f t="shared" ref="E15:E79" si="1">Wh_pvt/(1-Psa)</f>
        <v>1.7293950780195564</v>
      </c>
      <c r="F15" s="385">
        <f t="shared" ref="F15:F78" si="2">Wh_sa/(1-Pvg*MEDIAN((-Sdif+Wh/Env_an)/Csdif,0,1))</f>
        <v>1.7293950780195564</v>
      </c>
      <c r="G15" s="110">
        <f>+Wh_hp/MaxiM</f>
        <v>9.3394438062031626E-2</v>
      </c>
      <c r="H15" s="414" t="b">
        <f>Wh_hp&gt;='2018'!Maxi_hp</f>
        <v>1</v>
      </c>
      <c r="I15" s="396">
        <f>IF(H15,Wh_hp,'2018'!Maxi_hp)</f>
        <v>1.7293950780195564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3.5542436183039205E-3</v>
      </c>
      <c r="M15" s="845"/>
      <c r="N15" s="845"/>
      <c r="O15" s="421">
        <f>IF(t&lt;Tnet,'2018'!Resal+('2018'!Salim-'2018'!Resal)*(1-EXP(('2018'!Tnet-t)/('2018'!Tau_j))),Resal+(Salim-Resal)*(1-EXP((Tnet-t)/(Tau_j))))*Salcycl</f>
        <v>2.6257611469032348E-2</v>
      </c>
      <c r="P15" s="302">
        <f>(INDEX(Models!$BJ15:$BT15,,T15)*(1-R15)+INDEX(Models!$BJ15:$BT15,,T15+1)*R15-ERP_i)*Q15*Ramure*Pc/MaxiM</f>
        <v>7.94113096282964E-3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0.60000134155234519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0">
        <f>IF(OR(t&lt;Ttai,Notai),Hdd+PousH*Croivg,Hdtf+PousH*(Croivg-Croi_tai))</f>
        <v>0.60000134155234519</v>
      </c>
      <c r="V15" s="382">
        <f t="shared" ref="V15:V78" si="8">MaxiM*(1-Ppv)*(1-Pvg)*(1-Psa)</f>
        <v>17.824131894649998</v>
      </c>
      <c r="W15" s="422"/>
      <c r="X15" s="423">
        <f t="shared" ref="X15:X78" si="9">t</f>
        <v>43466</v>
      </c>
      <c r="Y15" s="385">
        <f t="shared" ref="Y15:Y78" si="10">Wh_pvt_s*(1-Ppv)</f>
        <v>1.6779999999999999</v>
      </c>
      <c r="Z15" s="385">
        <f t="shared" ref="Z15:Z78" si="11">Wh_sa_s*(1-Psa_s)</f>
        <v>1.683985293984462</v>
      </c>
      <c r="AA15" s="386">
        <f t="shared" ref="AA15:AA78" si="12">Wh_hp*(1-Pvg_s*MEDIAN((-Sdif+Wh/Env_an)/Csdif,0,1))</f>
        <v>1.7293950780195564</v>
      </c>
      <c r="AB15" s="424">
        <f t="shared" ref="AB15:AB78" si="13">t</f>
        <v>43466</v>
      </c>
      <c r="AC15" s="425">
        <f>IF(OR(t&lt;Tnet,NoTnet),'2018'!Resal_s+('2018'!Salim-'2018'!Resal_s)*(1-EXP(('2018'!Tnet_s-t)/'2018'!Tau_j)),Resal_s+(Salim-Resal_s)*(1-EXP((Tnet_s-t)/Tau_j)))*Salcycl</f>
        <v>2.6257611469032348E-2</v>
      </c>
      <c r="AD15" s="231">
        <f>(INDEX(Models!$BJ15:$BT15,,AH15)*(1-AF15)+INDEX(Models!$BJ15:$BT15,,AH15+1)*AF15-ERP_i)*AE15*Ramure*Pc/MaxiM</f>
        <v>7.94113096282964E-3</v>
      </c>
      <c r="AE15" s="303">
        <f t="shared" ref="AE15:AE78" si="14">IF(OR(t&lt;Ttai,Notai),Dd_s+PousD*Croivg,Dens_s+PousD*(Croivg-Croi_tai))</f>
        <v>0.8</v>
      </c>
      <c r="AF15" s="304">
        <f t="shared" ref="AF15:AF78" si="15">(Hp_vg_s-AG15)/(INDEX(Echel_vg,AH15+1)-AG15)</f>
        <v>0.60000134155234519</v>
      </c>
      <c r="AG15" s="249">
        <f t="shared" ref="AG15:AG78" si="16">INDEX(Echel_vg,AH15)</f>
        <v>0</v>
      </c>
      <c r="AH15" s="249">
        <f t="shared" ref="AH15:AH78" si="17">MIN(MATCH(Hp_vg_s,Echel_vg),10)</f>
        <v>6</v>
      </c>
      <c r="AI15" s="224">
        <f>IF(OR(t&lt;Ttai,Notai),Hdd_s+PousH*Croivg,Hdtai_s+PousH*(Croivg-Croi_tai))</f>
        <v>0.60000134155234519</v>
      </c>
      <c r="AJ15" s="265" t="b">
        <f t="shared" ref="AJ15:AJ78" si="18">t&lt;Tnet</f>
        <v>0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6">
        <v>7.0960000000000001</v>
      </c>
      <c r="C16" s="390"/>
      <c r="D16" s="393">
        <f t="shared" si="0"/>
        <v>7.1214766008912136</v>
      </c>
      <c r="E16" s="385">
        <f t="shared" si="1"/>
        <v>7.3146874988793078</v>
      </c>
      <c r="F16" s="385">
        <f t="shared" si="2"/>
        <v>7.3225915156713803</v>
      </c>
      <c r="G16" s="110">
        <f>+Wh_hp/MaxiM</f>
        <v>0.39264413230476047</v>
      </c>
      <c r="H16" s="414" t="b">
        <f>Wh_hp&gt;='2018'!Maxi_hp</f>
        <v>1</v>
      </c>
      <c r="I16" s="390">
        <f>IF(H16,Wh_hp,'2018'!Maxi_hp)</f>
        <v>7.3225915156713803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3.5774323667685515E-3</v>
      </c>
      <c r="M16" s="843"/>
      <c r="N16" s="843"/>
      <c r="O16" s="48">
        <f>IF(t&lt;Tnet,'2018'!Resal+('2018'!Salim-'2018'!Resal)*(1-EXP(('2018'!Tnet-t)/('2018'!Tau_j))),Resal+(Salim-Resal)*(1-EXP((Tnet-t)/(Tau_j))))*Salcycl</f>
        <v>2.641410149342624E-2</v>
      </c>
      <c r="P16" s="169">
        <f>(INDEX(Models!$BJ16:$BT16,,T16)*(1-R16)+INDEX(Models!$BJ16:$BT16,,T16+1)*R16-ERP_i)*Q16*Ramure*Pc/MaxiM</f>
        <v>7.9240326782294285E-3</v>
      </c>
      <c r="Q16" s="305">
        <f t="shared" si="4"/>
        <v>0.8</v>
      </c>
      <c r="R16" s="177">
        <f t="shared" si="5"/>
        <v>0.60003639908913831</v>
      </c>
      <c r="S16" s="809">
        <f t="shared" si="6"/>
        <v>0</v>
      </c>
      <c r="T16" s="176">
        <f t="shared" si="7"/>
        <v>6</v>
      </c>
      <c r="U16" s="251">
        <f t="shared" ref="U16:U78" si="21">IF(OR(t&lt;Ttai,Notai),Hdd+PousH*Croivg,Hdtf+PousH*(Croivg-Croi_tai))</f>
        <v>0.60003639908913831</v>
      </c>
      <c r="V16" s="383">
        <f t="shared" si="8"/>
        <v>17.948512240983046</v>
      </c>
      <c r="W16" s="58"/>
      <c r="X16" s="157">
        <f t="shared" si="9"/>
        <v>43467</v>
      </c>
      <c r="Y16" s="385">
        <f t="shared" si="10"/>
        <v>7.0960000000000001</v>
      </c>
      <c r="Z16" s="385">
        <f t="shared" si="11"/>
        <v>7.1214766008912136</v>
      </c>
      <c r="AA16" s="386">
        <f t="shared" si="12"/>
        <v>7.3146874988793078</v>
      </c>
      <c r="AB16" s="197">
        <f t="shared" si="13"/>
        <v>43467</v>
      </c>
      <c r="AC16" s="425">
        <f>IF(OR(t&lt;Tnet,NoTnet),'2018'!Resal_s+('2018'!Salim-'2018'!Resal_s)*(1-EXP(('2018'!Tnet_s-t)/'2018'!Tau_j)),Resal_s+(Salim-Resal_s)*(1-EXP((Tnet_s-t)/Tau_j)))*Salcycl</f>
        <v>2.641410149342624E-2</v>
      </c>
      <c r="AD16" s="231">
        <f>(INDEX(Models!$BJ16:$BT16,,AH16)*(1-AF16)+INDEX(Models!$BJ16:$BT16,,AH16+1)*AF16-ERP_i)*AE16*Ramure*Pc/MaxiM</f>
        <v>7.9240326782294285E-3</v>
      </c>
      <c r="AE16" s="305">
        <f t="shared" si="14"/>
        <v>0.8</v>
      </c>
      <c r="AF16" s="177">
        <f t="shared" si="15"/>
        <v>0.60003639908913831</v>
      </c>
      <c r="AG16" s="176">
        <f t="shared" si="16"/>
        <v>0</v>
      </c>
      <c r="AH16" s="176">
        <f t="shared" si="17"/>
        <v>6</v>
      </c>
      <c r="AI16" s="225">
        <f t="shared" ref="AI16:AI78" si="22">IF(OR(t&lt;Ttai,Notai),Hdd_s+PousH*Croivg,Hdtai_s+PousH*(Croivg-Croi_tai))</f>
        <v>0.60003639908913831</v>
      </c>
      <c r="AJ16" s="265" t="b">
        <f t="shared" si="18"/>
        <v>0</v>
      </c>
      <c r="AK16" s="265" t="b">
        <f t="shared" si="19"/>
        <v>1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6">
        <v>17.811</v>
      </c>
      <c r="C17" s="390"/>
      <c r="D17" s="393">
        <f t="shared" si="0"/>
        <v>17.875362397645215</v>
      </c>
      <c r="E17" s="385">
        <f>Wh_pvt/(1-Psa)</f>
        <v>18.363283397703167</v>
      </c>
      <c r="F17" s="385">
        <f t="shared" si="2"/>
        <v>18.506442360556616</v>
      </c>
      <c r="G17" s="110">
        <f t="shared" ref="G17:G79" si="23">+Wh_hp/MaxiM</f>
        <v>0.98495898556658645</v>
      </c>
      <c r="H17" s="414" t="b">
        <f>Wh_hp&gt;='2018'!Maxi_hp</f>
        <v>1</v>
      </c>
      <c r="I17" s="390">
        <f>IF(H17,Wh_hp,'2018'!Maxi_hp)</f>
        <v>18.506442360556616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3.6006205755970688E-3</v>
      </c>
      <c r="M17" s="843"/>
      <c r="N17" s="843"/>
      <c r="O17" s="48">
        <f>IF(t&lt;Tnet,'2018'!Resal+('2018'!Salim-'2018'!Resal)*(1-EXP(('2018'!Tnet-t)/('2018'!Tau_j))),Resal+(Salim-Resal)*(1-EXP((Tnet-t)/(Tau_j))))*Salcycl</f>
        <v>2.6570466157429154E-2</v>
      </c>
      <c r="P17" s="169">
        <f>(INDEX(Models!$BJ17:$BT17,,T17)*(1-R17)+INDEX(Models!$BJ17:$BT17,,T17+1)*R17-ERP_i)*Q17*Ramure*Pc/MaxiM</f>
        <v>7.9035712530320015E-3</v>
      </c>
      <c r="Q17" s="305">
        <f t="shared" si="4"/>
        <v>0.8</v>
      </c>
      <c r="R17" s="177">
        <f t="shared" si="5"/>
        <v>0.60007292300372572</v>
      </c>
      <c r="S17" s="809">
        <f t="shared" si="6"/>
        <v>0</v>
      </c>
      <c r="T17" s="176">
        <f t="shared" si="7"/>
        <v>6</v>
      </c>
      <c r="U17" s="251">
        <f t="shared" si="21"/>
        <v>0.60007292300372572</v>
      </c>
      <c r="V17" s="383">
        <f t="shared" si="8"/>
        <v>18.079925878191506</v>
      </c>
      <c r="W17" s="58"/>
      <c r="X17" s="157">
        <f t="shared" si="9"/>
        <v>43468</v>
      </c>
      <c r="Y17" s="385">
        <f t="shared" si="10"/>
        <v>17.811</v>
      </c>
      <c r="Z17" s="385">
        <f t="shared" si="11"/>
        <v>17.875362397645215</v>
      </c>
      <c r="AA17" s="386">
        <f t="shared" si="12"/>
        <v>18.363283397703167</v>
      </c>
      <c r="AB17" s="197">
        <f t="shared" si="13"/>
        <v>43468</v>
      </c>
      <c r="AC17" s="425">
        <f>IF(OR(t&lt;Tnet,NoTnet),'2018'!Resal_s+('2018'!Salim-'2018'!Resal_s)*(1-EXP(('2018'!Tnet_s-t)/'2018'!Tau_j)),Resal_s+(Salim-Resal_s)*(1-EXP((Tnet_s-t)/Tau_j)))*Salcycl</f>
        <v>2.6570466157429154E-2</v>
      </c>
      <c r="AD17" s="231">
        <f>(INDEX(Models!$BJ17:$BT17,,AH17)*(1-AF17)+INDEX(Models!$BJ17:$BT17,,AH17+1)*AF17-ERP_i)*AE17*Ramure*Pc/MaxiM</f>
        <v>7.9035712530320015E-3</v>
      </c>
      <c r="AE17" s="305">
        <f t="shared" si="14"/>
        <v>0.8</v>
      </c>
      <c r="AF17" s="177">
        <f t="shared" si="15"/>
        <v>0.60007292300372572</v>
      </c>
      <c r="AG17" s="176">
        <f t="shared" si="16"/>
        <v>0</v>
      </c>
      <c r="AH17" s="176">
        <f t="shared" si="17"/>
        <v>6</v>
      </c>
      <c r="AI17" s="225">
        <f t="shared" si="22"/>
        <v>0.60007292300372572</v>
      </c>
      <c r="AJ17" s="265" t="b">
        <f t="shared" si="18"/>
        <v>0</v>
      </c>
      <c r="AK17" s="265" t="b">
        <f t="shared" si="19"/>
        <v>1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6">
        <v>18.001999999999999</v>
      </c>
      <c r="C18" s="390"/>
      <c r="D18" s="393">
        <f t="shared" si="0"/>
        <v>18.067473057829702</v>
      </c>
      <c r="E18" s="385">
        <f>Wh_pvt/(1-Psa)</f>
        <v>18.563617297101306</v>
      </c>
      <c r="F18" s="385">
        <f t="shared" si="2"/>
        <v>18.708529066845525</v>
      </c>
      <c r="G18" s="110">
        <f>+Wh_hp/MaxiM</f>
        <v>0.98797159733788376</v>
      </c>
      <c r="H18" s="414" t="b">
        <f>Wh_hp&gt;='2018'!Maxi_hp</f>
        <v>1</v>
      </c>
      <c r="I18" s="390">
        <f>IF(H18,Wh_hp,'2018'!Maxi_hp)</f>
        <v>18.708529066845525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3.6238082448020181E-3</v>
      </c>
      <c r="M18" s="843"/>
      <c r="N18" s="843"/>
      <c r="O18" s="48">
        <f>IF(t&lt;Tnet,'2018'!Resal+('2018'!Salim-'2018'!Resal)*(1-EXP(('2018'!Tnet-t)/('2018'!Tau_j))),Resal+(Salim-Resal)*(1-EXP((Tnet-t)/(Tau_j))))*Salcycl</f>
        <v>2.6726700477124971E-2</v>
      </c>
      <c r="P18" s="169">
        <f>(INDEX(Models!$BJ18:$BT18,,T18)*(1-R18)+INDEX(Models!$BJ18:$BT18,,T18+1)*R18-ERP_i)*Q18*Ramure*Pc/MaxiM</f>
        <v>7.8796582875820653E-3</v>
      </c>
      <c r="Q18" s="305">
        <f>IF(OR(t&lt;Ttai,Notai),Dd+PousD*Croivg,Dens+PousD*(Croivg-Croi_tai))</f>
        <v>0.8</v>
      </c>
      <c r="R18" s="177">
        <f t="shared" si="5"/>
        <v>0.60011097444127992</v>
      </c>
      <c r="S18" s="809">
        <f t="shared" si="6"/>
        <v>0</v>
      </c>
      <c r="T18" s="176">
        <f t="shared" si="7"/>
        <v>6</v>
      </c>
      <c r="U18" s="251">
        <f t="shared" si="21"/>
        <v>0.60011097444127992</v>
      </c>
      <c r="V18" s="383">
        <f t="shared" si="8"/>
        <v>18.218712753429593</v>
      </c>
      <c r="W18" s="58"/>
      <c r="X18" s="157">
        <f t="shared" si="9"/>
        <v>43469</v>
      </c>
      <c r="Y18" s="385">
        <f t="shared" si="10"/>
        <v>18.001999999999999</v>
      </c>
      <c r="Z18" s="385">
        <f>Wh_sa_s*(1-Psa_s)</f>
        <v>18.067473057829702</v>
      </c>
      <c r="AA18" s="386">
        <f t="shared" si="12"/>
        <v>18.563617297101306</v>
      </c>
      <c r="AB18" s="197">
        <f>t</f>
        <v>43469</v>
      </c>
      <c r="AC18" s="425">
        <f>IF(OR(t&lt;Tnet,NoTnet),'2018'!Resal_s+('2018'!Salim-'2018'!Resal_s)*(1-EXP(('2018'!Tnet_s-t)/'2018'!Tau_j)),Resal_s+(Salim-Resal_s)*(1-EXP((Tnet_s-t)/Tau_j)))*Salcycl</f>
        <v>2.6726700477124971E-2</v>
      </c>
      <c r="AD18" s="231">
        <f>(INDEX(Models!$BJ18:$BT18,,AH18)*(1-AF18)+INDEX(Models!$BJ18:$BT18,,AH18+1)*AF18-ERP_i)*AE18*Ramure*Pc/MaxiM</f>
        <v>7.8796582875820653E-3</v>
      </c>
      <c r="AE18" s="305">
        <f t="shared" si="14"/>
        <v>0.8</v>
      </c>
      <c r="AF18" s="177">
        <f t="shared" si="15"/>
        <v>0.60011097444127992</v>
      </c>
      <c r="AG18" s="176">
        <f t="shared" si="16"/>
        <v>0</v>
      </c>
      <c r="AH18" s="176">
        <f t="shared" si="17"/>
        <v>6</v>
      </c>
      <c r="AI18" s="225">
        <f t="shared" si="22"/>
        <v>0.60011097444127992</v>
      </c>
      <c r="AJ18" s="265" t="b">
        <f t="shared" si="18"/>
        <v>0</v>
      </c>
      <c r="AK18" s="265" t="b">
        <f t="shared" si="19"/>
        <v>1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6">
        <v>17.757999999999999</v>
      </c>
      <c r="C19" s="390"/>
      <c r="D19" s="393">
        <f t="shared" si="0"/>
        <v>17.823000400016721</v>
      </c>
      <c r="E19" s="385">
        <f>Wh_pvt/(1-Psa)</f>
        <v>18.3153687987521</v>
      </c>
      <c r="F19" s="385">
        <f t="shared" si="2"/>
        <v>18.453425057954192</v>
      </c>
      <c r="G19" s="110">
        <f>+Wh_hp/MaxiM</f>
        <v>0.96657548445024466</v>
      </c>
      <c r="H19" s="414" t="b">
        <f>Wh_hp&gt;='2018'!Maxi_hp</f>
        <v>1</v>
      </c>
      <c r="I19" s="390">
        <f>IF(H19,Wh_hp,'2018'!Maxi_hp)</f>
        <v>18.453425057954192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3.6469953743961669E-3</v>
      </c>
      <c r="M19" s="843"/>
      <c r="N19" s="843"/>
      <c r="O19" s="48">
        <f>IF(t&lt;Tnet,'2018'!Resal+('2018'!Salim-'2018'!Resal)*(1-EXP(('2018'!Tnet-t)/('2018'!Tau_j))),Resal+(Salim-Resal)*(1-EXP((Tnet-t)/(Tau_j))))*Salcycl</f>
        <v>2.6882800130616349E-2</v>
      </c>
      <c r="P19" s="169">
        <f>(INDEX(Models!$BJ19:$BT19,,T19)*(1-R19)+INDEX(Models!$BJ19:$BT19,,T19+1)*R19-ERP_i)*Q19*Ramure*Pc/MaxiM</f>
        <v>7.8522201663686619E-3</v>
      </c>
      <c r="Q19" s="305">
        <f t="shared" si="4"/>
        <v>0.8</v>
      </c>
      <c r="R19" s="177">
        <f t="shared" si="5"/>
        <v>0.60015061708035389</v>
      </c>
      <c r="S19" s="809">
        <f t="shared" si="6"/>
        <v>0</v>
      </c>
      <c r="T19" s="176">
        <f t="shared" si="7"/>
        <v>6</v>
      </c>
      <c r="U19" s="251">
        <f t="shared" si="21"/>
        <v>0.60015061708035389</v>
      </c>
      <c r="V19" s="383">
        <f t="shared" si="8"/>
        <v>18.365212511883481</v>
      </c>
      <c r="W19" s="58"/>
      <c r="X19" s="157">
        <f t="shared" si="9"/>
        <v>43470</v>
      </c>
      <c r="Y19" s="385">
        <f t="shared" si="10"/>
        <v>17.757999999999999</v>
      </c>
      <c r="Z19" s="385">
        <f t="shared" si="11"/>
        <v>17.823000400016721</v>
      </c>
      <c r="AA19" s="386">
        <f t="shared" si="12"/>
        <v>18.3153687987521</v>
      </c>
      <c r="AB19" s="197">
        <f t="shared" si="13"/>
        <v>43470</v>
      </c>
      <c r="AC19" s="425">
        <f>IF(OR(t&lt;Tnet,NoTnet),'2018'!Resal_s+('2018'!Salim-'2018'!Resal_s)*(1-EXP(('2018'!Tnet_s-t)/'2018'!Tau_j)),Resal_s+(Salim-Resal_s)*(1-EXP((Tnet_s-t)/Tau_j)))*Salcycl</f>
        <v>2.6882800130616349E-2</v>
      </c>
      <c r="AD19" s="231">
        <f>(INDEX(Models!$BJ19:$BT19,,AH19)*(1-AF19)+INDEX(Models!$BJ19:$BT19,,AH19+1)*AF19-ERP_i)*AE19*Ramure*Pc/MaxiM</f>
        <v>7.8522201663686619E-3</v>
      </c>
      <c r="AE19" s="305">
        <f t="shared" si="14"/>
        <v>0.8</v>
      </c>
      <c r="AF19" s="177">
        <f t="shared" si="15"/>
        <v>0.60015061708035389</v>
      </c>
      <c r="AG19" s="176">
        <f t="shared" si="16"/>
        <v>0</v>
      </c>
      <c r="AH19" s="176">
        <f t="shared" si="17"/>
        <v>6</v>
      </c>
      <c r="AI19" s="225">
        <f t="shared" si="22"/>
        <v>0.60015061708035389</v>
      </c>
      <c r="AJ19" s="265" t="b">
        <f t="shared" si="18"/>
        <v>0</v>
      </c>
      <c r="AK19" s="265" t="b">
        <f t="shared" si="19"/>
        <v>1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6">
        <v>4.431</v>
      </c>
      <c r="C20" s="390"/>
      <c r="D20" s="393">
        <f t="shared" si="0"/>
        <v>4.4473224827660829</v>
      </c>
      <c r="E20" s="385">
        <f t="shared" si="1"/>
        <v>4.5709143453851562</v>
      </c>
      <c r="F20" s="385">
        <f t="shared" si="2"/>
        <v>4.5709143453851562</v>
      </c>
      <c r="G20" s="110">
        <f t="shared" si="23"/>
        <v>0.23738661837528943</v>
      </c>
      <c r="H20" s="414" t="b">
        <f>Wh_hp&gt;='2018'!Maxi_hp</f>
        <v>1</v>
      </c>
      <c r="I20" s="390">
        <f>IF(H20,Wh_hp,'2018'!Maxi_hp)</f>
        <v>4.5709143453851562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3.6701819643918387E-3</v>
      </c>
      <c r="M20" s="843"/>
      <c r="N20" s="843"/>
      <c r="O20" s="48">
        <f>IF(t&lt;Tnet,'2018'!Resal+('2018'!Salim-'2018'!Resal)*(1-EXP(('2018'!Tnet-t)/('2018'!Tau_j))),Resal+(Salim-Resal)*(1-EXP((Tnet-t)/(Tau_j))))*Salcycl</f>
        <v>2.7038761455649079E-2</v>
      </c>
      <c r="P20" s="169">
        <f>(INDEX(Models!$BJ20:$BT20,,T20)*(1-R20)+INDEX(Models!$BJ20:$BT20,,T20+1)*R20-ERP_i)*Q20*Ramure*Pc/MaxiM</f>
        <v>7.821198443160449E-3</v>
      </c>
      <c r="Q20" s="305">
        <f t="shared" si="4"/>
        <v>0.8</v>
      </c>
      <c r="R20" s="177">
        <f t="shared" si="5"/>
        <v>0.60019191723645471</v>
      </c>
      <c r="S20" s="809">
        <f t="shared" si="6"/>
        <v>0</v>
      </c>
      <c r="T20" s="176">
        <f t="shared" si="7"/>
        <v>6</v>
      </c>
      <c r="U20" s="251">
        <f t="shared" si="21"/>
        <v>0.60019191723645471</v>
      </c>
      <c r="V20" s="383">
        <f t="shared" si="8"/>
        <v>18.519764508158101</v>
      </c>
      <c r="W20" s="58"/>
      <c r="X20" s="157">
        <f t="shared" si="9"/>
        <v>43471</v>
      </c>
      <c r="Y20" s="385">
        <f t="shared" si="10"/>
        <v>4.431</v>
      </c>
      <c r="Z20" s="385">
        <f t="shared" si="11"/>
        <v>4.4473224827660829</v>
      </c>
      <c r="AA20" s="386">
        <f t="shared" si="12"/>
        <v>4.5709143453851562</v>
      </c>
      <c r="AB20" s="197">
        <f t="shared" si="13"/>
        <v>43471</v>
      </c>
      <c r="AC20" s="425">
        <f>IF(OR(t&lt;Tnet,NoTnet),'2018'!Resal_s+('2018'!Salim-'2018'!Resal_s)*(1-EXP(('2018'!Tnet_s-t)/'2018'!Tau_j)),Resal_s+(Salim-Resal_s)*(1-EXP((Tnet_s-t)/Tau_j)))*Salcycl</f>
        <v>2.7038761455649079E-2</v>
      </c>
      <c r="AD20" s="231">
        <f>(INDEX(Models!$BJ20:$BT20,,AH20)*(1-AF20)+INDEX(Models!$BJ20:$BT20,,AH20+1)*AF20-ERP_i)*AE20*Ramure*Pc/MaxiM</f>
        <v>7.821198443160449E-3</v>
      </c>
      <c r="AE20" s="305">
        <f>IF(OR(t&lt;Ttai,Notai),Dd_s+PousD*Croivg,Dens_s+PousD*(Croivg-Croi_tai))</f>
        <v>0.8</v>
      </c>
      <c r="AF20" s="177">
        <f t="shared" si="15"/>
        <v>0.60019191723645471</v>
      </c>
      <c r="AG20" s="176">
        <f t="shared" si="16"/>
        <v>0</v>
      </c>
      <c r="AH20" s="176">
        <f t="shared" si="17"/>
        <v>6</v>
      </c>
      <c r="AI20" s="225">
        <f>IF(OR(t&lt;Ttai,Notai),Hdd_s+PousH*Croivg,Hdtai_s+PousH*(Croivg-Croi_tai))</f>
        <v>0.60019191723645471</v>
      </c>
      <c r="AJ20" s="265" t="b">
        <f t="shared" si="18"/>
        <v>0</v>
      </c>
      <c r="AK20" s="265" t="b">
        <f t="shared" si="19"/>
        <v>1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6">
        <v>2.7309999999999999</v>
      </c>
      <c r="C21" s="390"/>
      <c r="D21" s="393">
        <f t="shared" si="0"/>
        <v>2.741123979630975</v>
      </c>
      <c r="E21" s="385">
        <f t="shared" si="1"/>
        <v>2.8177515537374962</v>
      </c>
      <c r="F21" s="385">
        <f t="shared" si="2"/>
        <v>2.8177515537374962</v>
      </c>
      <c r="G21" s="110">
        <f t="shared" si="23"/>
        <v>0.14503973201588002</v>
      </c>
      <c r="H21" s="414" t="b">
        <f>Wh_hp&gt;='2018'!Maxi_hp</f>
        <v>1</v>
      </c>
      <c r="I21" s="390">
        <f>IF(H21,Wh_hp,'2018'!Maxi_hp)</f>
        <v>2.8177515537374962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3.6933680148016901E-3</v>
      </c>
      <c r="M21" s="843"/>
      <c r="N21" s="843"/>
      <c r="O21" s="48">
        <f>IF(t&lt;Tnet,'2018'!Resal+('2018'!Salim-'2018'!Resal)*(1-EXP(('2018'!Tnet-t)/('2018'!Tau_j))),Resal+(Salim-Resal)*(1-EXP((Tnet-t)/(Tau_j))))*Salcycl</f>
        <v>2.7194581440255713E-2</v>
      </c>
      <c r="P21" s="169">
        <f>(INDEX(Models!$BJ21:$BT21,,T21)*(1-R21)+INDEX(Models!$BJ21:$BT21,,T21+1)*R21-ERP_i)*Q21*Ramure*Pc/MaxiM</f>
        <v>7.786550119832693E-3</v>
      </c>
      <c r="Q21" s="305">
        <f t="shared" si="4"/>
        <v>0.8</v>
      </c>
      <c r="R21" s="177">
        <f t="shared" si="5"/>
        <v>0.60023494396973054</v>
      </c>
      <c r="S21" s="809">
        <f t="shared" si="6"/>
        <v>0</v>
      </c>
      <c r="T21" s="176">
        <f t="shared" si="7"/>
        <v>6</v>
      </c>
      <c r="U21" s="251">
        <f t="shared" si="21"/>
        <v>0.60023494396973054</v>
      </c>
      <c r="V21" s="383">
        <f t="shared" si="8"/>
        <v>18.682707792965687</v>
      </c>
      <c r="W21" s="58"/>
      <c r="X21" s="157">
        <f t="shared" si="9"/>
        <v>43472</v>
      </c>
      <c r="Y21" s="385">
        <f t="shared" si="10"/>
        <v>2.7309999999999999</v>
      </c>
      <c r="Z21" s="385">
        <f t="shared" si="11"/>
        <v>2.741123979630975</v>
      </c>
      <c r="AA21" s="386">
        <f t="shared" si="12"/>
        <v>2.8177515537374962</v>
      </c>
      <c r="AB21" s="197">
        <f t="shared" si="13"/>
        <v>43472</v>
      </c>
      <c r="AC21" s="425">
        <f>IF(OR(t&lt;Tnet,NoTnet),'2018'!Resal_s+('2018'!Salim-'2018'!Resal_s)*(1-EXP(('2018'!Tnet_s-t)/'2018'!Tau_j)),Resal_s+(Salim-Resal_s)*(1-EXP((Tnet_s-t)/Tau_j)))*Salcycl</f>
        <v>2.7194581440255713E-2</v>
      </c>
      <c r="AD21" s="231">
        <f>(INDEX(Models!$BJ21:$BT21,,AH21)*(1-AF21)+INDEX(Models!$BJ21:$BT21,,AH21+1)*AF21-ERP_i)*AE21*Ramure*Pc/MaxiM</f>
        <v>7.786550119832693E-3</v>
      </c>
      <c r="AE21" s="305">
        <f t="shared" si="14"/>
        <v>0.8</v>
      </c>
      <c r="AF21" s="177">
        <f t="shared" si="15"/>
        <v>0.60023494396973054</v>
      </c>
      <c r="AG21" s="176">
        <f t="shared" si="16"/>
        <v>0</v>
      </c>
      <c r="AH21" s="176">
        <f t="shared" si="17"/>
        <v>6</v>
      </c>
      <c r="AI21" s="225">
        <f t="shared" si="22"/>
        <v>0.60023494396973054</v>
      </c>
      <c r="AJ21" s="265" t="b">
        <f t="shared" si="18"/>
        <v>0</v>
      </c>
      <c r="AK21" s="265" t="b">
        <f t="shared" si="19"/>
        <v>1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6">
        <v>4.3159999999999998</v>
      </c>
      <c r="C22" s="390"/>
      <c r="D22" s="393">
        <f t="shared" si="0"/>
        <v>4.3321004833247194</v>
      </c>
      <c r="E22" s="385">
        <f t="shared" si="1"/>
        <v>4.4539162403010248</v>
      </c>
      <c r="F22" s="385">
        <f t="shared" si="2"/>
        <v>4.4539162403010248</v>
      </c>
      <c r="G22" s="110">
        <f t="shared" si="23"/>
        <v>0.22713864389008279</v>
      </c>
      <c r="H22" s="414" t="b">
        <f>Wh_hp&gt;='2018'!Maxi_hp</f>
        <v>1</v>
      </c>
      <c r="I22" s="390">
        <f>IF(H22,Wh_hp,'2018'!Maxi_hp)</f>
        <v>4.4539162403010248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3.7165535256382665E-3</v>
      </c>
      <c r="M22" s="843"/>
      <c r="N22" s="843"/>
      <c r="O22" s="48">
        <f>IF(t&lt;Tnet,'2018'!Resal+('2018'!Salim-'2018'!Resal)*(1-EXP(('2018'!Tnet-t)/('2018'!Tau_j))),Resal+(Salim-Resal)*(1-EXP((Tnet-t)/(Tau_j))))*Salcycl</f>
        <v>2.735025770670365E-2</v>
      </c>
      <c r="P22" s="169">
        <f>(INDEX(Models!$BJ22:$BT22,,T22)*(1-R22)+INDEX(Models!$BJ22:$BT22,,T22+1)*R22-ERP_i)*Q22*Ramure*Pc/MaxiM</f>
        <v>7.7482477886178748E-3</v>
      </c>
      <c r="Q22" s="305">
        <f t="shared" si="4"/>
        <v>0.8</v>
      </c>
      <c r="R22" s="177">
        <f t="shared" si="5"/>
        <v>0.60027976919692716</v>
      </c>
      <c r="S22" s="809">
        <f t="shared" si="6"/>
        <v>0</v>
      </c>
      <c r="T22" s="176">
        <f t="shared" si="7"/>
        <v>6</v>
      </c>
      <c r="U22" s="251">
        <f t="shared" si="21"/>
        <v>0.60027976919692716</v>
      </c>
      <c r="V22" s="383">
        <f t="shared" si="8"/>
        <v>18.854381135676526</v>
      </c>
      <c r="W22" s="58"/>
      <c r="X22" s="157">
        <f t="shared" si="9"/>
        <v>43473</v>
      </c>
      <c r="Y22" s="385">
        <f t="shared" si="10"/>
        <v>4.3159999999999998</v>
      </c>
      <c r="Z22" s="385">
        <f t="shared" si="11"/>
        <v>4.3321004833247194</v>
      </c>
      <c r="AA22" s="386">
        <f t="shared" si="12"/>
        <v>4.4539162403010248</v>
      </c>
      <c r="AB22" s="197">
        <f t="shared" si="13"/>
        <v>43473</v>
      </c>
      <c r="AC22" s="425">
        <f>IF(OR(t&lt;Tnet,NoTnet),'2018'!Resal_s+('2018'!Salim-'2018'!Resal_s)*(1-EXP(('2018'!Tnet_s-t)/'2018'!Tau_j)),Resal_s+(Salim-Resal_s)*(1-EXP((Tnet_s-t)/Tau_j)))*Salcycl</f>
        <v>2.735025770670365E-2</v>
      </c>
      <c r="AD22" s="231">
        <f>(INDEX(Models!$BJ22:$BT22,,AH22)*(1-AF22)+INDEX(Models!$BJ22:$BT22,,AH22+1)*AF22-ERP_i)*AE22*Ramure*Pc/MaxiM</f>
        <v>7.7482477886178748E-3</v>
      </c>
      <c r="AE22" s="305">
        <f t="shared" si="14"/>
        <v>0.8</v>
      </c>
      <c r="AF22" s="177">
        <f t="shared" si="15"/>
        <v>0.60027976919692716</v>
      </c>
      <c r="AG22" s="176">
        <f t="shared" si="16"/>
        <v>0</v>
      </c>
      <c r="AH22" s="176">
        <f t="shared" si="17"/>
        <v>6</v>
      </c>
      <c r="AI22" s="225">
        <f t="shared" si="22"/>
        <v>0.60027976919692716</v>
      </c>
      <c r="AJ22" s="265" t="b">
        <f t="shared" si="18"/>
        <v>0</v>
      </c>
      <c r="AK22" s="265" t="b">
        <f t="shared" si="19"/>
        <v>1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6">
        <v>9.3550000000000004</v>
      </c>
      <c r="C23" s="390"/>
      <c r="D23" s="393">
        <f t="shared" si="0"/>
        <v>9.3901165804664828</v>
      </c>
      <c r="E23" s="385">
        <f t="shared" si="1"/>
        <v>9.6557043418054462</v>
      </c>
      <c r="F23" s="385">
        <f t="shared" si="2"/>
        <v>9.6760968845413391</v>
      </c>
      <c r="G23" s="110">
        <f t="shared" si="23"/>
        <v>0.48868578064926632</v>
      </c>
      <c r="H23" s="414" t="b">
        <f>Wh_hp&gt;='2018'!Maxi_hp</f>
        <v>1</v>
      </c>
      <c r="I23" s="390">
        <f>IF(H23,Wh_hp,'2018'!Maxi_hp)</f>
        <v>9.6760968845413391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3.7397384969142244E-3</v>
      </c>
      <c r="M23" s="843"/>
      <c r="N23" s="843"/>
      <c r="O23" s="48">
        <f>IF(t&lt;Tnet,'2018'!Resal+('2018'!Salim-'2018'!Resal)*(1-EXP(('2018'!Tnet-t)/('2018'!Tau_j))),Resal+(Salim-Resal)*(1-EXP((Tnet-t)/(Tau_j))))*Salcycl</f>
        <v>2.7505788489097644E-2</v>
      </c>
      <c r="P23" s="169">
        <f>(INDEX(Models!$BJ23:$BT23,,T23)*(1-R23)+INDEX(Models!$BJ23:$BT23,,T23+1)*R23-ERP_i)*Q23*Ramure*Pc/MaxiM</f>
        <v>7.7060153923154085E-3</v>
      </c>
      <c r="Q23" s="305">
        <f t="shared" si="4"/>
        <v>0.8</v>
      </c>
      <c r="R23" s="177">
        <f t="shared" si="5"/>
        <v>0.60032646780776933</v>
      </c>
      <c r="S23" s="809">
        <f t="shared" si="6"/>
        <v>0</v>
      </c>
      <c r="T23" s="176">
        <f t="shared" si="7"/>
        <v>6</v>
      </c>
      <c r="U23" s="251">
        <f t="shared" si="21"/>
        <v>0.60032646780776933</v>
      </c>
      <c r="V23" s="383">
        <f t="shared" si="8"/>
        <v>19.035780879439876</v>
      </c>
      <c r="W23" s="58"/>
      <c r="X23" s="157">
        <f t="shared" si="9"/>
        <v>43474</v>
      </c>
      <c r="Y23" s="385">
        <f t="shared" si="10"/>
        <v>9.3550000000000004</v>
      </c>
      <c r="Z23" s="385">
        <f t="shared" si="11"/>
        <v>9.3901165804664828</v>
      </c>
      <c r="AA23" s="386">
        <f t="shared" si="12"/>
        <v>9.6557043418054462</v>
      </c>
      <c r="AB23" s="197">
        <f t="shared" si="13"/>
        <v>43474</v>
      </c>
      <c r="AC23" s="425">
        <f>IF(OR(t&lt;Tnet,NoTnet),'2018'!Resal_s+('2018'!Salim-'2018'!Resal_s)*(1-EXP(('2018'!Tnet_s-t)/'2018'!Tau_j)),Resal_s+(Salim-Resal_s)*(1-EXP((Tnet_s-t)/Tau_j)))*Salcycl</f>
        <v>2.7505788489097644E-2</v>
      </c>
      <c r="AD23" s="231">
        <f>(INDEX(Models!$BJ23:$BT23,,AH23)*(1-AF23)+INDEX(Models!$BJ23:$BT23,,AH23+1)*AF23-ERP_i)*AE23*Ramure*Pc/MaxiM</f>
        <v>7.7060153923154085E-3</v>
      </c>
      <c r="AE23" s="305">
        <f t="shared" si="14"/>
        <v>0.8</v>
      </c>
      <c r="AF23" s="177">
        <f t="shared" si="15"/>
        <v>0.60032646780776933</v>
      </c>
      <c r="AG23" s="176">
        <f t="shared" si="16"/>
        <v>0</v>
      </c>
      <c r="AH23" s="176">
        <f t="shared" si="17"/>
        <v>6</v>
      </c>
      <c r="AI23" s="225">
        <f t="shared" si="22"/>
        <v>0.60032646780776933</v>
      </c>
      <c r="AJ23" s="265" t="b">
        <f t="shared" si="18"/>
        <v>0</v>
      </c>
      <c r="AK23" s="265" t="b">
        <f t="shared" si="19"/>
        <v>1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6">
        <v>8.6820000000000004</v>
      </c>
      <c r="C24" s="390"/>
      <c r="D24" s="393">
        <f t="shared" si="0"/>
        <v>8.7147930947546222</v>
      </c>
      <c r="E24" s="385">
        <f t="shared" si="1"/>
        <v>8.9627122246088753</v>
      </c>
      <c r="F24" s="385">
        <f t="shared" si="2"/>
        <v>8.9775811655834818</v>
      </c>
      <c r="G24" s="110">
        <f t="shared" si="23"/>
        <v>0.44883258725419423</v>
      </c>
      <c r="H24" s="414" t="b">
        <f>Wh_hp&gt;='2018'!Maxi_hp</f>
        <v>1</v>
      </c>
      <c r="I24" s="390">
        <f>IF(H24,Wh_hp,'2018'!Maxi_hp)</f>
        <v>8.9775811655834818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3.7629229286418875E-3</v>
      </c>
      <c r="M24" s="843"/>
      <c r="N24" s="843"/>
      <c r="O24" s="48">
        <f>IF(t&lt;Tnet,'2018'!Resal+('2018'!Salim-'2018'!Resal)*(1-EXP(('2018'!Tnet-t)/('2018'!Tau_j))),Resal+(Salim-Resal)*(1-EXP((Tnet-t)/(Tau_j))))*Salcycl</f>
        <v>2.7661172605044942E-2</v>
      </c>
      <c r="P24" s="169">
        <f>(INDEX(Models!$BJ24:$BT24,,T24)*(1-R24)+INDEX(Models!$BJ24:$BT24,,T24+1)*R24-ERP_i)*Q24*Ramure*Pc/MaxiM</f>
        <v>7.6503429574733229E-3</v>
      </c>
      <c r="Q24" s="305">
        <f t="shared" si="4"/>
        <v>0.8</v>
      </c>
      <c r="R24" s="177">
        <f t="shared" si="5"/>
        <v>0.60037511778593278</v>
      </c>
      <c r="S24" s="809">
        <f t="shared" si="6"/>
        <v>0</v>
      </c>
      <c r="T24" s="176">
        <f t="shared" si="7"/>
        <v>6</v>
      </c>
      <c r="U24" s="251">
        <f t="shared" si="21"/>
        <v>0.60037511778593278</v>
      </c>
      <c r="V24" s="383">
        <f t="shared" si="8"/>
        <v>19.227375692757803</v>
      </c>
      <c r="W24" s="58"/>
      <c r="X24" s="157">
        <f t="shared" si="9"/>
        <v>43475</v>
      </c>
      <c r="Y24" s="385">
        <f t="shared" si="10"/>
        <v>8.6820000000000004</v>
      </c>
      <c r="Z24" s="385">
        <f t="shared" si="11"/>
        <v>8.7147930947546222</v>
      </c>
      <c r="AA24" s="386">
        <f t="shared" si="12"/>
        <v>8.9627122246088753</v>
      </c>
      <c r="AB24" s="197">
        <f t="shared" si="13"/>
        <v>43475</v>
      </c>
      <c r="AC24" s="425">
        <f>IF(OR(t&lt;Tnet,NoTnet),'2018'!Resal_s+('2018'!Salim-'2018'!Resal_s)*(1-EXP(('2018'!Tnet_s-t)/'2018'!Tau_j)),Resal_s+(Salim-Resal_s)*(1-EXP((Tnet_s-t)/Tau_j)))*Salcycl</f>
        <v>2.7661172605044942E-2</v>
      </c>
      <c r="AD24" s="231">
        <f>(INDEX(Models!$BJ24:$BT24,,AH24)*(1-AF24)+INDEX(Models!$BJ24:$BT24,,AH24+1)*AF24-ERP_i)*AE24*Ramure*Pc/MaxiM</f>
        <v>7.6503429574733229E-3</v>
      </c>
      <c r="AE24" s="305">
        <f t="shared" si="14"/>
        <v>0.8</v>
      </c>
      <c r="AF24" s="177">
        <f t="shared" si="15"/>
        <v>0.60037511778593278</v>
      </c>
      <c r="AG24" s="176">
        <f t="shared" si="16"/>
        <v>0</v>
      </c>
      <c r="AH24" s="176">
        <f t="shared" si="17"/>
        <v>6</v>
      </c>
      <c r="AI24" s="225">
        <f t="shared" si="22"/>
        <v>0.60037511778593278</v>
      </c>
      <c r="AJ24" s="265" t="b">
        <f t="shared" si="18"/>
        <v>0</v>
      </c>
      <c r="AK24" s="265" t="b">
        <f t="shared" si="19"/>
        <v>1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6">
        <v>16.463999999999999</v>
      </c>
      <c r="C25" s="390"/>
      <c r="D25" s="393">
        <f t="shared" si="0"/>
        <v>16.526571364568394</v>
      </c>
      <c r="E25" s="385">
        <f t="shared" si="1"/>
        <v>16.999434597265871</v>
      </c>
      <c r="F25" s="385">
        <f t="shared" si="2"/>
        <v>17.10080738942716</v>
      </c>
      <c r="G25" s="110">
        <f t="shared" si="23"/>
        <v>0.84600769169771872</v>
      </c>
      <c r="H25" s="414" t="b">
        <f>Wh_hp&gt;='2018'!Maxi_hp</f>
        <v>1</v>
      </c>
      <c r="I25" s="390">
        <f>IF(H25,Wh_hp,'2018'!Maxi_hp)</f>
        <v>17.10080738942716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3.7861068208341342E-3</v>
      </c>
      <c r="M25" s="843"/>
      <c r="N25" s="843"/>
      <c r="O25" s="48">
        <f>IF(t&lt;Tnet,'2018'!Resal+('2018'!Salim-'2018'!Resal)*(1-EXP(('2018'!Tnet-t)/('2018'!Tau_j))),Resal+(Salim-Resal)*(1-EXP((Tnet-t)/(Tau_j))))*Salcycl</f>
        <v>2.7816409421848001E-2</v>
      </c>
      <c r="P25" s="169">
        <f>(INDEX(Models!$BJ25:$BT25,,T25)*(1-R25)+INDEX(Models!$BJ25:$BT25,,T25+1)*R25-ERP_i)*Q25*Ramure*Pc/MaxiM</f>
        <v>7.5802782786194099E-3</v>
      </c>
      <c r="Q25" s="305">
        <f t="shared" si="4"/>
        <v>0.8</v>
      </c>
      <c r="R25" s="177">
        <f t="shared" si="5"/>
        <v>0.600425800334772</v>
      </c>
      <c r="S25" s="809">
        <f t="shared" si="6"/>
        <v>0</v>
      </c>
      <c r="T25" s="176">
        <f t="shared" si="7"/>
        <v>6</v>
      </c>
      <c r="U25" s="251">
        <f t="shared" si="21"/>
        <v>0.600425800334772</v>
      </c>
      <c r="V25" s="383">
        <f t="shared" si="8"/>
        <v>19.42846863247561</v>
      </c>
      <c r="W25" s="58"/>
      <c r="X25" s="157">
        <f t="shared" si="9"/>
        <v>43476</v>
      </c>
      <c r="Y25" s="385">
        <f t="shared" si="10"/>
        <v>16.463999999999999</v>
      </c>
      <c r="Z25" s="385">
        <f t="shared" si="11"/>
        <v>16.526571364568394</v>
      </c>
      <c r="AA25" s="386">
        <f t="shared" si="12"/>
        <v>16.999434597265871</v>
      </c>
      <c r="AB25" s="197">
        <f t="shared" si="13"/>
        <v>43476</v>
      </c>
      <c r="AC25" s="425">
        <f>IF(OR(t&lt;Tnet,NoTnet),'2018'!Resal_s+('2018'!Salim-'2018'!Resal_s)*(1-EXP(('2018'!Tnet_s-t)/'2018'!Tau_j)),Resal_s+(Salim-Resal_s)*(1-EXP((Tnet_s-t)/Tau_j)))*Salcycl</f>
        <v>2.7816409421848001E-2</v>
      </c>
      <c r="AD25" s="231">
        <f>(INDEX(Models!$BJ25:$BT25,,AH25)*(1-AF25)+INDEX(Models!$BJ25:$BT25,,AH25+1)*AF25-ERP_i)*AE25*Ramure*Pc/MaxiM</f>
        <v>7.5802782786194099E-3</v>
      </c>
      <c r="AE25" s="305">
        <f t="shared" si="14"/>
        <v>0.8</v>
      </c>
      <c r="AF25" s="177">
        <f t="shared" si="15"/>
        <v>0.600425800334772</v>
      </c>
      <c r="AG25" s="176">
        <f t="shared" si="16"/>
        <v>0</v>
      </c>
      <c r="AH25" s="176">
        <f t="shared" si="17"/>
        <v>6</v>
      </c>
      <c r="AI25" s="225">
        <f t="shared" si="22"/>
        <v>0.600425800334772</v>
      </c>
      <c r="AJ25" s="265" t="b">
        <f t="shared" si="18"/>
        <v>0</v>
      </c>
      <c r="AK25" s="265" t="b">
        <f t="shared" si="19"/>
        <v>1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6">
        <v>8.7850000000000001</v>
      </c>
      <c r="C26" s="390"/>
      <c r="D26" s="393">
        <f t="shared" si="0"/>
        <v>8.8185925780517014</v>
      </c>
      <c r="E26" s="385">
        <f t="shared" si="1"/>
        <v>9.0723600875136796</v>
      </c>
      <c r="F26" s="385">
        <f t="shared" si="2"/>
        <v>9.0866982122969748</v>
      </c>
      <c r="G26" s="110">
        <f t="shared" si="23"/>
        <v>0.44468761274190416</v>
      </c>
      <c r="H26" s="414" t="b">
        <f>Wh_hp&gt;='2018'!Maxi_hp</f>
        <v>1</v>
      </c>
      <c r="I26" s="390">
        <f>IF(H26,Wh_hp,'2018'!Maxi_hp)</f>
        <v>9.0866982122969748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3.809290173503177E-3</v>
      </c>
      <c r="M26" s="843"/>
      <c r="N26" s="843"/>
      <c r="O26" s="48">
        <f>IF(t&lt;Tnet,'2018'!Resal+('2018'!Salim-'2018'!Resal)*(1-EXP(('2018'!Tnet-t)/('2018'!Tau_j))),Resal+(Salim-Resal)*(1-EXP((Tnet-t)/(Tau_j))))*Salcycl</f>
        <v>2.7971498817737504E-2</v>
      </c>
      <c r="P26" s="169">
        <f>(INDEX(Models!$BJ26:$BT26,,T26)*(1-R26)+INDEX(Models!$BJ26:$BT26,,T26+1)*R26-ERP_i)*Q26*Ramure*Pc/MaxiM</f>
        <v>7.4966151196282959E-3</v>
      </c>
      <c r="Q26" s="305">
        <f t="shared" si="4"/>
        <v>0.8</v>
      </c>
      <c r="R26" s="177">
        <f t="shared" si="5"/>
        <v>0.60047860000797737</v>
      </c>
      <c r="S26" s="809">
        <f t="shared" si="6"/>
        <v>0</v>
      </c>
      <c r="T26" s="176">
        <f t="shared" si="7"/>
        <v>6</v>
      </c>
      <c r="U26" s="251">
        <f t="shared" si="21"/>
        <v>0.60047860000797737</v>
      </c>
      <c r="V26" s="383">
        <f t="shared" si="8"/>
        <v>19.638330096763124</v>
      </c>
      <c r="W26" s="58"/>
      <c r="X26" s="157">
        <f t="shared" si="9"/>
        <v>43477</v>
      </c>
      <c r="Y26" s="385">
        <f t="shared" si="10"/>
        <v>8.7850000000000001</v>
      </c>
      <c r="Z26" s="385">
        <f t="shared" si="11"/>
        <v>8.8185925780517014</v>
      </c>
      <c r="AA26" s="386">
        <f t="shared" si="12"/>
        <v>9.0723600875136796</v>
      </c>
      <c r="AB26" s="197">
        <f t="shared" si="13"/>
        <v>43477</v>
      </c>
      <c r="AC26" s="425">
        <f>IF(OR(t&lt;Tnet,NoTnet),'2018'!Resal_s+('2018'!Salim-'2018'!Resal_s)*(1-EXP(('2018'!Tnet_s-t)/'2018'!Tau_j)),Resal_s+(Salim-Resal_s)*(1-EXP((Tnet_s-t)/Tau_j)))*Salcycl</f>
        <v>2.7971498817737504E-2</v>
      </c>
      <c r="AD26" s="231">
        <f>(INDEX(Models!$BJ26:$BT26,,AH26)*(1-AF26)+INDEX(Models!$BJ26:$BT26,,AH26+1)*AF26-ERP_i)*AE26*Ramure*Pc/MaxiM</f>
        <v>7.4966151196282959E-3</v>
      </c>
      <c r="AE26" s="305">
        <f t="shared" si="14"/>
        <v>0.8</v>
      </c>
      <c r="AF26" s="177">
        <f t="shared" si="15"/>
        <v>0.60047860000797737</v>
      </c>
      <c r="AG26" s="176">
        <f t="shared" si="16"/>
        <v>0</v>
      </c>
      <c r="AH26" s="176">
        <f t="shared" si="17"/>
        <v>6</v>
      </c>
      <c r="AI26" s="225">
        <f t="shared" si="22"/>
        <v>0.60047860000797737</v>
      </c>
      <c r="AJ26" s="265" t="b">
        <f t="shared" si="18"/>
        <v>0</v>
      </c>
      <c r="AK26" s="265" t="b">
        <f t="shared" si="19"/>
        <v>1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6">
        <v>3.9609999999999999</v>
      </c>
      <c r="C27" s="390"/>
      <c r="D27" s="393">
        <f t="shared" si="0"/>
        <v>3.9762388278964287</v>
      </c>
      <c r="E27" s="385">
        <f t="shared" si="1"/>
        <v>4.0913128993397256</v>
      </c>
      <c r="F27" s="385">
        <f t="shared" si="2"/>
        <v>4.0913128993397256</v>
      </c>
      <c r="G27" s="110">
        <f t="shared" si="23"/>
        <v>0.19800777148449789</v>
      </c>
      <c r="H27" s="414" t="b">
        <f>Wh_hp&gt;='2018'!Maxi_hp</f>
        <v>1</v>
      </c>
      <c r="I27" s="390">
        <f>IF(H27,Wh_hp,'2018'!Maxi_hp)</f>
        <v>4.0913128993397256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3.8324729866617835E-3</v>
      </c>
      <c r="M27" s="843"/>
      <c r="N27" s="843"/>
      <c r="O27" s="48">
        <f>IF(t&lt;Tnet,'2018'!Resal+('2018'!Salim-'2018'!Resal)*(1-EXP(('2018'!Tnet-t)/('2018'!Tau_j))),Resal+(Salim-Resal)*(1-EXP((Tnet-t)/(Tau_j))))*Salcycl</f>
        <v>2.8126441138703523E-2</v>
      </c>
      <c r="P27" s="169">
        <f>(INDEX(Models!$BJ27:$BT27,,T27)*(1-R27)+INDEX(Models!$BJ27:$BT27,,T27+1)*R27-ERP_i)*Q27*Ramure*Pc/MaxiM</f>
        <v>7.4001397161743265E-3</v>
      </c>
      <c r="Q27" s="305">
        <f t="shared" si="4"/>
        <v>0.8</v>
      </c>
      <c r="R27" s="177">
        <f t="shared" si="5"/>
        <v>0.60053360484534024</v>
      </c>
      <c r="S27" s="809">
        <f t="shared" si="6"/>
        <v>0</v>
      </c>
      <c r="T27" s="176">
        <f t="shared" si="7"/>
        <v>6</v>
      </c>
      <c r="U27" s="251">
        <f t="shared" si="21"/>
        <v>0.60053360484534024</v>
      </c>
      <c r="V27" s="383">
        <f t="shared" si="8"/>
        <v>19.856230980772622</v>
      </c>
      <c r="W27" s="58"/>
      <c r="X27" s="157">
        <f t="shared" si="9"/>
        <v>43478</v>
      </c>
      <c r="Y27" s="385">
        <f t="shared" si="10"/>
        <v>3.9609999999999994</v>
      </c>
      <c r="Z27" s="385">
        <f t="shared" si="11"/>
        <v>3.9762388278964282</v>
      </c>
      <c r="AA27" s="386">
        <f t="shared" si="12"/>
        <v>4.0913128993397256</v>
      </c>
      <c r="AB27" s="197">
        <f t="shared" si="13"/>
        <v>43478</v>
      </c>
      <c r="AC27" s="425">
        <f>IF(OR(t&lt;Tnet,NoTnet),'2018'!Resal_s+('2018'!Salim-'2018'!Resal_s)*(1-EXP(('2018'!Tnet_s-t)/'2018'!Tau_j)),Resal_s+(Salim-Resal_s)*(1-EXP((Tnet_s-t)/Tau_j)))*Salcycl</f>
        <v>2.8126441138703523E-2</v>
      </c>
      <c r="AD27" s="231">
        <f>(INDEX(Models!$BJ27:$BT27,,AH27)*(1-AF27)+INDEX(Models!$BJ27:$BT27,,AH27+1)*AF27-ERP_i)*AE27*Ramure*Pc/MaxiM</f>
        <v>7.4001397161743265E-3</v>
      </c>
      <c r="AE27" s="305">
        <f t="shared" si="14"/>
        <v>0.8</v>
      </c>
      <c r="AF27" s="177">
        <f t="shared" si="15"/>
        <v>0.60053360484534024</v>
      </c>
      <c r="AG27" s="176">
        <f t="shared" si="16"/>
        <v>0</v>
      </c>
      <c r="AH27" s="300">
        <f t="shared" si="17"/>
        <v>6</v>
      </c>
      <c r="AI27" s="225">
        <f t="shared" si="22"/>
        <v>0.60053360484534024</v>
      </c>
      <c r="AJ27" s="265" t="b">
        <f t="shared" si="18"/>
        <v>0</v>
      </c>
      <c r="AK27" s="265" t="b">
        <f t="shared" si="19"/>
        <v>1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6">
        <v>5.516</v>
      </c>
      <c r="C28" s="390"/>
      <c r="D28" s="393">
        <f t="shared" si="0"/>
        <v>5.5373501130917901</v>
      </c>
      <c r="E28" s="385">
        <f t="shared" si="1"/>
        <v>5.6985110556676828</v>
      </c>
      <c r="F28" s="385">
        <f t="shared" si="2"/>
        <v>5.6985110556676828</v>
      </c>
      <c r="G28" s="110">
        <f t="shared" si="23"/>
        <v>0.27267858665898276</v>
      </c>
      <c r="H28" s="414" t="b">
        <f>Wh_hp&gt;='2018'!Maxi_hp</f>
        <v>1</v>
      </c>
      <c r="I28" s="390">
        <f>IF(H28,Wh_hp,'2018'!Maxi_hp)</f>
        <v>5.6985110556676828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3.8556552603224992E-3</v>
      </c>
      <c r="M28" s="843"/>
      <c r="N28" s="843"/>
      <c r="O28" s="48">
        <f>IF(t&lt;Tnet,'2018'!Resal+('2018'!Salim-'2018'!Resal)*(1-EXP(('2018'!Tnet-t)/('2018'!Tau_j))),Resal+(Salim-Resal)*(1-EXP((Tnet-t)/(Tau_j))))*Salcycl</f>
        <v>2.8281237151519343E-2</v>
      </c>
      <c r="P28" s="169">
        <f>(INDEX(Models!$BJ28:$BT28,,T28)*(1-R28)+INDEX(Models!$BJ28:$BT28,,T28+1)*R28-ERP_i)*Q28*Ramure*Pc/MaxiM</f>
        <v>7.2916233219989558E-3</v>
      </c>
      <c r="Q28" s="305">
        <f t="shared" si="4"/>
        <v>0.8</v>
      </c>
      <c r="R28" s="177">
        <f t="shared" si="5"/>
        <v>0.60059090651380764</v>
      </c>
      <c r="S28" s="809">
        <f t="shared" si="6"/>
        <v>0</v>
      </c>
      <c r="T28" s="176">
        <f t="shared" si="7"/>
        <v>6</v>
      </c>
      <c r="U28" s="251">
        <f t="shared" si="21"/>
        <v>0.60059090651380764</v>
      </c>
      <c r="V28" s="383">
        <f t="shared" si="8"/>
        <v>20.081442671565451</v>
      </c>
      <c r="W28" s="58"/>
      <c r="X28" s="157">
        <f t="shared" si="9"/>
        <v>43479</v>
      </c>
      <c r="Y28" s="385">
        <f t="shared" si="10"/>
        <v>5.516</v>
      </c>
      <c r="Z28" s="385">
        <f t="shared" si="11"/>
        <v>5.5373501130917901</v>
      </c>
      <c r="AA28" s="386">
        <f t="shared" si="12"/>
        <v>5.6985110556676828</v>
      </c>
      <c r="AB28" s="197">
        <f t="shared" si="13"/>
        <v>43479</v>
      </c>
      <c r="AC28" s="425">
        <f>IF(OR(t&lt;Tnet,NoTnet),'2018'!Resal_s+('2018'!Salim-'2018'!Resal_s)*(1-EXP(('2018'!Tnet_s-t)/'2018'!Tau_j)),Resal_s+(Salim-Resal_s)*(1-EXP((Tnet_s-t)/Tau_j)))*Salcycl</f>
        <v>2.8281237151519343E-2</v>
      </c>
      <c r="AD28" s="231">
        <f>(INDEX(Models!$BJ28:$BT28,,AH28)*(1-AF28)+INDEX(Models!$BJ28:$BT28,,AH28+1)*AF28-ERP_i)*AE28*Ramure*Pc/MaxiM</f>
        <v>7.2916233219989558E-3</v>
      </c>
      <c r="AE28" s="305">
        <f t="shared" si="14"/>
        <v>0.8</v>
      </c>
      <c r="AF28" s="177">
        <f t="shared" si="15"/>
        <v>0.60059090651380764</v>
      </c>
      <c r="AG28" s="176">
        <f t="shared" si="16"/>
        <v>0</v>
      </c>
      <c r="AH28" s="176">
        <f t="shared" si="17"/>
        <v>6</v>
      </c>
      <c r="AI28" s="225">
        <f t="shared" si="22"/>
        <v>0.60059090651380764</v>
      </c>
      <c r="AJ28" s="265" t="b">
        <f t="shared" si="18"/>
        <v>0</v>
      </c>
      <c r="AK28" s="265" t="b">
        <f t="shared" si="19"/>
        <v>1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6">
        <v>19.789000000000001</v>
      </c>
      <c r="C29" s="390"/>
      <c r="D29" s="393">
        <f t="shared" si="0"/>
        <v>19.866057197592834</v>
      </c>
      <c r="E29" s="385">
        <f t="shared" si="1"/>
        <v>20.447500017849197</v>
      </c>
      <c r="F29" s="385">
        <f t="shared" si="2"/>
        <v>20.589721557964918</v>
      </c>
      <c r="G29" s="110">
        <f t="shared" si="23"/>
        <v>0.97393296401745044</v>
      </c>
      <c r="H29" s="414" t="b">
        <f>Wh_hp&gt;='2018'!Maxi_hp</f>
        <v>1</v>
      </c>
      <c r="I29" s="390">
        <f>IF(H29,Wh_hp,'2018'!Maxi_hp)</f>
        <v>20.589721557964918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3.8788369944978696E-3</v>
      </c>
      <c r="M29" s="843"/>
      <c r="N29" s="843"/>
      <c r="O29" s="48">
        <f>IF(t&lt;Tnet,'2018'!Resal+('2018'!Salim-'2018'!Resal)*(1-EXP(('2018'!Tnet-t)/('2018'!Tau_j))),Resal+(Salim-Resal)*(1-EXP((Tnet-t)/(Tau_j))))*Salcycl</f>
        <v>2.8435887993583913E-2</v>
      </c>
      <c r="P29" s="169">
        <f>(INDEX(Models!$BJ29:$BT29,,T29)*(1-R29)+INDEX(Models!$BJ29:$BT29,,T29+1)*R29-ERP_i)*Q29*Ramure*Pc/MaxiM</f>
        <v>7.1718158224196183E-3</v>
      </c>
      <c r="Q29" s="305">
        <f t="shared" si="4"/>
        <v>0.8</v>
      </c>
      <c r="R29" s="177">
        <f t="shared" si="5"/>
        <v>0.60065060045401442</v>
      </c>
      <c r="S29" s="809">
        <f t="shared" si="6"/>
        <v>0</v>
      </c>
      <c r="T29" s="176">
        <f t="shared" si="7"/>
        <v>6</v>
      </c>
      <c r="U29" s="251">
        <f t="shared" si="21"/>
        <v>0.60065060045401442</v>
      </c>
      <c r="V29" s="383">
        <f t="shared" si="8"/>
        <v>20.313237056289285</v>
      </c>
      <c r="W29" s="58"/>
      <c r="X29" s="157">
        <f t="shared" si="9"/>
        <v>43480</v>
      </c>
      <c r="Y29" s="385">
        <f t="shared" si="10"/>
        <v>19.789000000000001</v>
      </c>
      <c r="Z29" s="385">
        <f t="shared" si="11"/>
        <v>19.866057197592834</v>
      </c>
      <c r="AA29" s="386">
        <f t="shared" si="12"/>
        <v>20.447500017849197</v>
      </c>
      <c r="AB29" s="197">
        <f t="shared" si="13"/>
        <v>43480</v>
      </c>
      <c r="AC29" s="425">
        <f>IF(OR(t&lt;Tnet,NoTnet),'2018'!Resal_s+('2018'!Salim-'2018'!Resal_s)*(1-EXP(('2018'!Tnet_s-t)/'2018'!Tau_j)),Resal_s+(Salim-Resal_s)*(1-EXP((Tnet_s-t)/Tau_j)))*Salcycl</f>
        <v>2.8435887993583913E-2</v>
      </c>
      <c r="AD29" s="231">
        <f>(INDEX(Models!$BJ29:$BT29,,AH29)*(1-AF29)+INDEX(Models!$BJ29:$BT29,,AH29+1)*AF29-ERP_i)*AE29*Ramure*Pc/MaxiM</f>
        <v>7.1718158224196183E-3</v>
      </c>
      <c r="AE29" s="305">
        <f t="shared" si="14"/>
        <v>0.8</v>
      </c>
      <c r="AF29" s="177">
        <f t="shared" si="15"/>
        <v>0.60065060045401442</v>
      </c>
      <c r="AG29" s="176">
        <f t="shared" si="16"/>
        <v>0</v>
      </c>
      <c r="AH29" s="176">
        <f t="shared" si="17"/>
        <v>6</v>
      </c>
      <c r="AI29" s="225">
        <f t="shared" si="22"/>
        <v>0.60065060045401442</v>
      </c>
      <c r="AJ29" s="265" t="b">
        <f t="shared" si="18"/>
        <v>0</v>
      </c>
      <c r="AK29" s="265" t="b">
        <f t="shared" si="19"/>
        <v>1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6">
        <v>19.286000000000001</v>
      </c>
      <c r="C30" s="390"/>
      <c r="D30" s="393">
        <f t="shared" si="0"/>
        <v>19.361549116824946</v>
      </c>
      <c r="E30" s="385">
        <f t="shared" si="1"/>
        <v>19.931395592100777</v>
      </c>
      <c r="F30" s="385">
        <f t="shared" si="2"/>
        <v>20.060195797271877</v>
      </c>
      <c r="G30" s="110">
        <f t="shared" si="23"/>
        <v>0.93786468775650567</v>
      </c>
      <c r="H30" s="414" t="b">
        <f>Wh_hp&gt;='2018'!Maxi_hp</f>
        <v>1</v>
      </c>
      <c r="I30" s="390">
        <f>IF(H30,Wh_hp,'2018'!Maxi_hp)</f>
        <v>20.060195797271877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3.9020181892003292E-3</v>
      </c>
      <c r="M30" s="843"/>
      <c r="N30" s="843"/>
      <c r="O30" s="48">
        <f>IF(t&lt;Tnet,'2018'!Resal+('2018'!Salim-'2018'!Resal)*(1-EXP(('2018'!Tnet-t)/('2018'!Tau_j))),Resal+(Salim-Resal)*(1-EXP((Tnet-t)/(Tau_j))))*Salcycl</f>
        <v>2.8590395120233005E-2</v>
      </c>
      <c r="P30" s="169">
        <f>(INDEX(Models!$BJ30:$BT30,,T30)*(1-R30)+INDEX(Models!$BJ30:$BT30,,T30+1)*R30-ERP_i)*Q30*Ramure*Pc/MaxiM</f>
        <v>7.0396811078075362E-3</v>
      </c>
      <c r="Q30" s="305">
        <f t="shared" si="4"/>
        <v>0.8</v>
      </c>
      <c r="R30" s="177">
        <f t="shared" si="5"/>
        <v>0.60071278603248635</v>
      </c>
      <c r="S30" s="809">
        <f t="shared" si="6"/>
        <v>0</v>
      </c>
      <c r="T30" s="176">
        <f t="shared" si="7"/>
        <v>6</v>
      </c>
      <c r="U30" s="251">
        <f t="shared" si="21"/>
        <v>0.60071278603248635</v>
      </c>
      <c r="V30" s="383">
        <f t="shared" si="8"/>
        <v>20.550922914756615</v>
      </c>
      <c r="W30" s="58"/>
      <c r="X30" s="157">
        <f t="shared" si="9"/>
        <v>43481</v>
      </c>
      <c r="Y30" s="385">
        <f t="shared" si="10"/>
        <v>19.286000000000001</v>
      </c>
      <c r="Z30" s="385">
        <f t="shared" si="11"/>
        <v>19.361549116824946</v>
      </c>
      <c r="AA30" s="386">
        <f t="shared" si="12"/>
        <v>19.931395592100777</v>
      </c>
      <c r="AB30" s="197">
        <f t="shared" si="13"/>
        <v>43481</v>
      </c>
      <c r="AC30" s="425">
        <f>IF(OR(t&lt;Tnet,NoTnet),'2018'!Resal_s+('2018'!Salim-'2018'!Resal_s)*(1-EXP(('2018'!Tnet_s-t)/'2018'!Tau_j)),Resal_s+(Salim-Resal_s)*(1-EXP((Tnet_s-t)/Tau_j)))*Salcycl</f>
        <v>2.8590395120233005E-2</v>
      </c>
      <c r="AD30" s="231">
        <f>(INDEX(Models!$BJ30:$BT30,,AH30)*(1-AF30)+INDEX(Models!$BJ30:$BT30,,AH30+1)*AF30-ERP_i)*AE30*Ramure*Pc/MaxiM</f>
        <v>7.0396811078075362E-3</v>
      </c>
      <c r="AE30" s="305">
        <f t="shared" si="14"/>
        <v>0.8</v>
      </c>
      <c r="AF30" s="177">
        <f t="shared" si="15"/>
        <v>0.60071278603248635</v>
      </c>
      <c r="AG30" s="176">
        <f t="shared" si="16"/>
        <v>0</v>
      </c>
      <c r="AH30" s="176">
        <f t="shared" si="17"/>
        <v>6</v>
      </c>
      <c r="AI30" s="225">
        <f t="shared" si="22"/>
        <v>0.60071278603248635</v>
      </c>
      <c r="AJ30" s="265" t="b">
        <f t="shared" si="18"/>
        <v>0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6">
        <v>9.3979999999999997</v>
      </c>
      <c r="C31" s="390"/>
      <c r="D31" s="393">
        <f t="shared" si="0"/>
        <v>9.435034386069475</v>
      </c>
      <c r="E31" s="385">
        <f t="shared" si="1"/>
        <v>9.7142687111781747</v>
      </c>
      <c r="F31" s="385">
        <f t="shared" si="2"/>
        <v>9.7288381419914938</v>
      </c>
      <c r="G31" s="110">
        <f t="shared" si="23"/>
        <v>0.44951868499659547</v>
      </c>
      <c r="H31" s="414" t="b">
        <f>Wh_hp&gt;='2018'!Maxi_hp</f>
        <v>1</v>
      </c>
      <c r="I31" s="390">
        <f>IF(H31,Wh_hp,'2018'!Maxi_hp)</f>
        <v>9.7288381419914938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3.9251988444425345E-3</v>
      </c>
      <c r="M31" s="843"/>
      <c r="N31" s="843"/>
      <c r="O31" s="48">
        <f>IF(t&lt;Tnet,'2018'!Resal+('2018'!Salim-'2018'!Resal)*(1-EXP(('2018'!Tnet-t)/('2018'!Tau_j))),Resal+(Salim-Resal)*(1-EXP((Tnet-t)/(Tau_j))))*Salcycl</f>
        <v>2.8744760250186012E-2</v>
      </c>
      <c r="P31" s="169">
        <f>(INDEX(Models!$BJ31:$BT31,,T31)*(1-R31)+INDEX(Models!$BJ31:$BT31,,T31+1)*R31-ERP_i)*Q31*Ramure*Pc/MaxiM</f>
        <v>6.8982827767620509E-3</v>
      </c>
      <c r="Q31" s="305">
        <f t="shared" si="4"/>
        <v>0.8</v>
      </c>
      <c r="R31" s="177">
        <f t="shared" si="5"/>
        <v>0.60077756669971127</v>
      </c>
      <c r="S31" s="809">
        <f t="shared" si="6"/>
        <v>0</v>
      </c>
      <c r="T31" s="176">
        <f t="shared" si="7"/>
        <v>6</v>
      </c>
      <c r="U31" s="251">
        <f t="shared" si="21"/>
        <v>0.60077756669971127</v>
      </c>
      <c r="V31" s="383">
        <f t="shared" si="8"/>
        <v>20.793724733738621</v>
      </c>
      <c r="W31" s="58"/>
      <c r="X31" s="157">
        <f t="shared" si="9"/>
        <v>43482</v>
      </c>
      <c r="Y31" s="385">
        <f t="shared" si="10"/>
        <v>9.3979999999999997</v>
      </c>
      <c r="Z31" s="385">
        <f t="shared" si="11"/>
        <v>9.435034386069475</v>
      </c>
      <c r="AA31" s="386">
        <f t="shared" si="12"/>
        <v>9.7142687111781747</v>
      </c>
      <c r="AB31" s="197">
        <f t="shared" si="13"/>
        <v>43482</v>
      </c>
      <c r="AC31" s="425">
        <f>IF(OR(t&lt;Tnet,NoTnet),'2018'!Resal_s+('2018'!Salim-'2018'!Resal_s)*(1-EXP(('2018'!Tnet_s-t)/'2018'!Tau_j)),Resal_s+(Salim-Resal_s)*(1-EXP((Tnet_s-t)/Tau_j)))*Salcycl</f>
        <v>2.8744760250186012E-2</v>
      </c>
      <c r="AD31" s="231">
        <f>(INDEX(Models!$BJ31:$BT31,,AH31)*(1-AF31)+INDEX(Models!$BJ31:$BT31,,AH31+1)*AF31-ERP_i)*AE31*Ramure*Pc/MaxiM</f>
        <v>6.8982827767620509E-3</v>
      </c>
      <c r="AE31" s="305">
        <f t="shared" si="14"/>
        <v>0.8</v>
      </c>
      <c r="AF31" s="177">
        <f t="shared" si="15"/>
        <v>0.60077756669971127</v>
      </c>
      <c r="AG31" s="176">
        <f t="shared" si="16"/>
        <v>0</v>
      </c>
      <c r="AH31" s="176">
        <f t="shared" si="17"/>
        <v>6</v>
      </c>
      <c r="AI31" s="225">
        <f t="shared" si="22"/>
        <v>0.60077756669971127</v>
      </c>
      <c r="AJ31" s="265" t="b">
        <f t="shared" si="18"/>
        <v>0</v>
      </c>
      <c r="AK31" s="265" t="b">
        <f t="shared" si="19"/>
        <v>1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6">
        <v>12.198</v>
      </c>
      <c r="C32" s="390"/>
      <c r="D32" s="393">
        <f t="shared" si="0"/>
        <v>12.246353243486212</v>
      </c>
      <c r="E32" s="385">
        <f t="shared" si="1"/>
        <v>12.610792346245368</v>
      </c>
      <c r="F32" s="385">
        <f t="shared" si="2"/>
        <v>12.644891538444831</v>
      </c>
      <c r="G32" s="110">
        <f t="shared" si="23"/>
        <v>0.57737245194600617</v>
      </c>
      <c r="H32" s="414" t="b">
        <f>Wh_hp&gt;='2018'!Maxi_hp</f>
        <v>1</v>
      </c>
      <c r="I32" s="390">
        <f>IF(H32,Wh_hp,'2018'!Maxi_hp)</f>
        <v>12.644891538444831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3.9483789602370312E-3</v>
      </c>
      <c r="M32" s="843"/>
      <c r="N32" s="843"/>
      <c r="O32" s="48">
        <f>IF(t&lt;Tnet,'2018'!Resal+('2018'!Salim-'2018'!Resal)*(1-EXP(('2018'!Tnet-t)/('2018'!Tau_j))),Resal+(Salim-Resal)*(1-EXP((Tnet-t)/(Tau_j))))*Salcycl</f>
        <v>2.8898985309805836E-2</v>
      </c>
      <c r="P32" s="169">
        <f>(INDEX(Models!$BJ32:$BT32,,T32)*(1-R32)+INDEX(Models!$BJ32:$BT32,,T32+1)*R32-ERP_i)*Q32*Ramure*Pc/MaxiM</f>
        <v>6.7482579936683088E-3</v>
      </c>
      <c r="Q32" s="305">
        <f t="shared" si="4"/>
        <v>0.8</v>
      </c>
      <c r="R32" s="177">
        <f t="shared" si="5"/>
        <v>0.60084505015428136</v>
      </c>
      <c r="S32" s="809">
        <f t="shared" si="6"/>
        <v>0</v>
      </c>
      <c r="T32" s="176">
        <f t="shared" si="7"/>
        <v>6</v>
      </c>
      <c r="U32" s="251">
        <f t="shared" si="21"/>
        <v>0.60084505015428136</v>
      </c>
      <c r="V32" s="383">
        <f t="shared" si="8"/>
        <v>21.040915867439789</v>
      </c>
      <c r="W32" s="58"/>
      <c r="X32" s="157">
        <f t="shared" si="9"/>
        <v>43483</v>
      </c>
      <c r="Y32" s="385">
        <f t="shared" si="10"/>
        <v>12.198</v>
      </c>
      <c r="Z32" s="385">
        <f t="shared" si="11"/>
        <v>12.246353243486212</v>
      </c>
      <c r="AA32" s="386">
        <f t="shared" si="12"/>
        <v>12.610792346245368</v>
      </c>
      <c r="AB32" s="197">
        <f t="shared" si="13"/>
        <v>43483</v>
      </c>
      <c r="AC32" s="425">
        <f>IF(OR(t&lt;Tnet,NoTnet),'2018'!Resal_s+('2018'!Salim-'2018'!Resal_s)*(1-EXP(('2018'!Tnet_s-t)/'2018'!Tau_j)),Resal_s+(Salim-Resal_s)*(1-EXP((Tnet_s-t)/Tau_j)))*Salcycl</f>
        <v>2.8898985309805836E-2</v>
      </c>
      <c r="AD32" s="231">
        <f>(INDEX(Models!$BJ32:$BT32,,AH32)*(1-AF32)+INDEX(Models!$BJ32:$BT32,,AH32+1)*AF32-ERP_i)*AE32*Ramure*Pc/MaxiM</f>
        <v>6.7482579936683088E-3</v>
      </c>
      <c r="AE32" s="305">
        <f t="shared" si="14"/>
        <v>0.8</v>
      </c>
      <c r="AF32" s="177">
        <f t="shared" si="15"/>
        <v>0.60084505015428136</v>
      </c>
      <c r="AG32" s="176">
        <f t="shared" si="16"/>
        <v>0</v>
      </c>
      <c r="AH32" s="176">
        <f t="shared" si="17"/>
        <v>6</v>
      </c>
      <c r="AI32" s="225">
        <f t="shared" si="22"/>
        <v>0.60084505015428136</v>
      </c>
      <c r="AJ32" s="265" t="b">
        <f t="shared" si="18"/>
        <v>0</v>
      </c>
      <c r="AK32" s="265" t="b">
        <f t="shared" si="19"/>
        <v>1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6">
        <v>13.635999999999999</v>
      </c>
      <c r="C33" s="390"/>
      <c r="D33" s="393">
        <f t="shared" si="0"/>
        <v>13.690372114239489</v>
      </c>
      <c r="E33" s="385">
        <f t="shared" si="1"/>
        <v>14.100021046210168</v>
      </c>
      <c r="F33" s="385">
        <f t="shared" si="2"/>
        <v>14.145357698118447</v>
      </c>
      <c r="G33" s="110">
        <f t="shared" si="23"/>
        <v>0.63826030181478177</v>
      </c>
      <c r="H33" s="414" t="b">
        <f>Wh_hp&gt;='2018'!Maxi_hp</f>
        <v>1</v>
      </c>
      <c r="I33" s="390">
        <f>IF(H33,Wh_hp,'2018'!Maxi_hp)</f>
        <v>14.145357698118447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3.9715585365964756E-3</v>
      </c>
      <c r="M33" s="843"/>
      <c r="N33" s="843"/>
      <c r="O33" s="48">
        <f>IF(t&lt;Tnet,'2018'!Resal+('2018'!Salim-'2018'!Resal)*(1-EXP(('2018'!Tnet-t)/('2018'!Tau_j))),Resal+(Salim-Resal)*(1-EXP((Tnet-t)/(Tau_j))))*Salcycl</f>
        <v>2.9053072376851952E-2</v>
      </c>
      <c r="P33" s="169">
        <f>(INDEX(Models!$BJ33:$BT33,,T33)*(1-R33)+INDEX(Models!$BJ33:$BT33,,T33+1)*R33-ERP_i)*Q33*Ramure*Pc/MaxiM</f>
        <v>6.59020671220525E-3</v>
      </c>
      <c r="Q33" s="305">
        <f t="shared" si="4"/>
        <v>0.8</v>
      </c>
      <c r="R33" s="177">
        <f t="shared" si="5"/>
        <v>0.60091534851331441</v>
      </c>
      <c r="S33" s="809">
        <f t="shared" si="6"/>
        <v>0</v>
      </c>
      <c r="T33" s="176">
        <f t="shared" si="7"/>
        <v>6</v>
      </c>
      <c r="U33" s="251">
        <f t="shared" si="21"/>
        <v>0.60091534851331441</v>
      </c>
      <c r="V33" s="383">
        <f t="shared" si="8"/>
        <v>21.291770166820875</v>
      </c>
      <c r="W33" s="58"/>
      <c r="X33" s="157">
        <f t="shared" si="9"/>
        <v>43484</v>
      </c>
      <c r="Y33" s="385">
        <f t="shared" si="10"/>
        <v>13.635999999999999</v>
      </c>
      <c r="Z33" s="385">
        <f t="shared" si="11"/>
        <v>13.690372114239489</v>
      </c>
      <c r="AA33" s="386">
        <f t="shared" si="12"/>
        <v>14.100021046210168</v>
      </c>
      <c r="AB33" s="197">
        <f t="shared" si="13"/>
        <v>43484</v>
      </c>
      <c r="AC33" s="425">
        <f>IF(OR(t&lt;Tnet,NoTnet),'2018'!Resal_s+('2018'!Salim-'2018'!Resal_s)*(1-EXP(('2018'!Tnet_s-t)/'2018'!Tau_j)),Resal_s+(Salim-Resal_s)*(1-EXP((Tnet_s-t)/Tau_j)))*Salcycl</f>
        <v>2.9053072376851952E-2</v>
      </c>
      <c r="AD33" s="231">
        <f>(INDEX(Models!$BJ33:$BT33,,AH33)*(1-AF33)+INDEX(Models!$BJ33:$BT33,,AH33+1)*AF33-ERP_i)*AE33*Ramure*Pc/MaxiM</f>
        <v>6.59020671220525E-3</v>
      </c>
      <c r="AE33" s="305">
        <f t="shared" si="14"/>
        <v>0.8</v>
      </c>
      <c r="AF33" s="177">
        <f t="shared" si="15"/>
        <v>0.60091534851331441</v>
      </c>
      <c r="AG33" s="176">
        <f t="shared" si="16"/>
        <v>0</v>
      </c>
      <c r="AH33" s="176">
        <f t="shared" si="17"/>
        <v>6</v>
      </c>
      <c r="AI33" s="225">
        <f t="shared" si="22"/>
        <v>0.60091534851331441</v>
      </c>
      <c r="AJ33" s="265" t="b">
        <f t="shared" si="18"/>
        <v>0</v>
      </c>
      <c r="AK33" s="265" t="b">
        <f t="shared" si="19"/>
        <v>1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6">
        <v>6.6029999999999998</v>
      </c>
      <c r="C34" s="390"/>
      <c r="D34" s="393">
        <f t="shared" si="0"/>
        <v>6.6294830450130142</v>
      </c>
      <c r="E34" s="385">
        <f t="shared" si="1"/>
        <v>6.8289359382922461</v>
      </c>
      <c r="F34" s="385">
        <f t="shared" si="2"/>
        <v>6.8293412856196145</v>
      </c>
      <c r="G34" s="110">
        <f t="shared" si="23"/>
        <v>0.30451594620437777</v>
      </c>
      <c r="H34" s="414" t="b">
        <f>Wh_hp&gt;='2018'!Maxi_hp</f>
        <v>1</v>
      </c>
      <c r="I34" s="390">
        <f>IF(H34,Wh_hp,'2018'!Maxi_hp)</f>
        <v>6.8293412856196145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3.9947375735331914E-3</v>
      </c>
      <c r="M34" s="843"/>
      <c r="N34" s="843"/>
      <c r="O34" s="48">
        <f>IF(t&lt;Tnet,'2018'!Resal+('2018'!Salim-'2018'!Resal)*(1-EXP(('2018'!Tnet-t)/('2018'!Tau_j))),Resal+(Salim-Resal)*(1-EXP((Tnet-t)/(Tau_j))))*Salcycl</f>
        <v>2.9207023624402261E-2</v>
      </c>
      <c r="P34" s="169">
        <f>(INDEX(Models!$BJ34:$BT34,,T34)*(1-R34)+INDEX(Models!$BJ34:$BT34,,T34+1)*R34-ERP_i)*Q34*Ramure*Pc/MaxiM</f>
        <v>6.4247257690711055E-3</v>
      </c>
      <c r="Q34" s="305">
        <f t="shared" si="4"/>
        <v>0.8</v>
      </c>
      <c r="R34" s="177">
        <f t="shared" si="5"/>
        <v>0.6009885784893656</v>
      </c>
      <c r="S34" s="809">
        <f t="shared" si="6"/>
        <v>0</v>
      </c>
      <c r="T34" s="176">
        <f t="shared" si="7"/>
        <v>6</v>
      </c>
      <c r="U34" s="251">
        <f t="shared" si="21"/>
        <v>0.6009885784893656</v>
      </c>
      <c r="V34" s="383">
        <f t="shared" si="8"/>
        <v>21.545561195785503</v>
      </c>
      <c r="W34" s="58"/>
      <c r="X34" s="157">
        <f t="shared" si="9"/>
        <v>43485</v>
      </c>
      <c r="Y34" s="385">
        <f t="shared" si="10"/>
        <v>6.6029999999999998</v>
      </c>
      <c r="Z34" s="385">
        <f t="shared" si="11"/>
        <v>6.6294830450130142</v>
      </c>
      <c r="AA34" s="386">
        <f t="shared" si="12"/>
        <v>6.8289359382922461</v>
      </c>
      <c r="AB34" s="197">
        <f t="shared" si="13"/>
        <v>43485</v>
      </c>
      <c r="AC34" s="425">
        <f>IF(OR(t&lt;Tnet,NoTnet),'2018'!Resal_s+('2018'!Salim-'2018'!Resal_s)*(1-EXP(('2018'!Tnet_s-t)/'2018'!Tau_j)),Resal_s+(Salim-Resal_s)*(1-EXP((Tnet_s-t)/Tau_j)))*Salcycl</f>
        <v>2.9207023624402261E-2</v>
      </c>
      <c r="AD34" s="231">
        <f>(INDEX(Models!$BJ34:$BT34,,AH34)*(1-AF34)+INDEX(Models!$BJ34:$BT34,,AH34+1)*AF34-ERP_i)*AE34*Ramure*Pc/MaxiM</f>
        <v>6.4247257690711055E-3</v>
      </c>
      <c r="AE34" s="305">
        <f t="shared" si="14"/>
        <v>0.8</v>
      </c>
      <c r="AF34" s="177">
        <f t="shared" si="15"/>
        <v>0.6009885784893656</v>
      </c>
      <c r="AG34" s="176">
        <f t="shared" si="16"/>
        <v>0</v>
      </c>
      <c r="AH34" s="176">
        <f t="shared" si="17"/>
        <v>6</v>
      </c>
      <c r="AI34" s="225">
        <f t="shared" si="22"/>
        <v>0.6009885784893656</v>
      </c>
      <c r="AJ34" s="265" t="b">
        <f t="shared" si="18"/>
        <v>0</v>
      </c>
      <c r="AK34" s="265" t="b">
        <f t="shared" si="19"/>
        <v>1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6">
        <v>6.08</v>
      </c>
      <c r="C35" s="390"/>
      <c r="D35" s="393">
        <f t="shared" si="0"/>
        <v>6.1045274790643598</v>
      </c>
      <c r="E35" s="385">
        <f t="shared" si="1"/>
        <v>6.2891831883477716</v>
      </c>
      <c r="F35" s="385">
        <f t="shared" si="2"/>
        <v>6.2891831883477716</v>
      </c>
      <c r="G35" s="110">
        <f t="shared" si="23"/>
        <v>0.27713543226735171</v>
      </c>
      <c r="H35" s="414" t="b">
        <f>Wh_hp&gt;='2018'!Maxi_hp</f>
        <v>1</v>
      </c>
      <c r="I35" s="390">
        <f>IF(H35,Wh_hp,'2018'!Maxi_hp)</f>
        <v>6.2891831883477716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4.017916071059946E-3</v>
      </c>
      <c r="M35" s="843"/>
      <c r="N35" s="843"/>
      <c r="O35" s="48">
        <f>IF(t&lt;Tnet,'2018'!Resal+('2018'!Salim-'2018'!Resal)*(1-EXP(('2018'!Tnet-t)/('2018'!Tau_j))),Resal+(Salim-Resal)*(1-EXP((Tnet-t)/(Tau_j))))*Salcycl</f>
        <v>2.9360841265608485E-2</v>
      </c>
      <c r="P35" s="169">
        <f>(INDEX(Models!$BJ35:$BT35,,T35)*(1-R35)+INDEX(Models!$BJ35:$BT35,,T35+1)*R35-ERP_i)*Q35*Ramure*Pc/MaxiM</f>
        <v>6.2523838196230979E-3</v>
      </c>
      <c r="Q35" s="305">
        <f t="shared" si="4"/>
        <v>0.8</v>
      </c>
      <c r="R35" s="177">
        <f t="shared" si="5"/>
        <v>0.60106486157404904</v>
      </c>
      <c r="S35" s="809">
        <f t="shared" si="6"/>
        <v>0</v>
      </c>
      <c r="T35" s="176">
        <f t="shared" si="7"/>
        <v>6</v>
      </c>
      <c r="U35" s="251">
        <f t="shared" si="21"/>
        <v>0.60106486157404904</v>
      </c>
      <c r="V35" s="383">
        <f t="shared" si="8"/>
        <v>21.801562712298754</v>
      </c>
      <c r="W35" s="58"/>
      <c r="X35" s="157">
        <f t="shared" si="9"/>
        <v>43486</v>
      </c>
      <c r="Y35" s="385">
        <f t="shared" si="10"/>
        <v>6.08</v>
      </c>
      <c r="Z35" s="385">
        <f t="shared" si="11"/>
        <v>6.1045274790643598</v>
      </c>
      <c r="AA35" s="386">
        <f t="shared" si="12"/>
        <v>6.2891831883477716</v>
      </c>
      <c r="AB35" s="197">
        <f t="shared" si="13"/>
        <v>43486</v>
      </c>
      <c r="AC35" s="425">
        <f>IF(OR(t&lt;Tnet,NoTnet),'2018'!Resal_s+('2018'!Salim-'2018'!Resal_s)*(1-EXP(('2018'!Tnet_s-t)/'2018'!Tau_j)),Resal_s+(Salim-Resal_s)*(1-EXP((Tnet_s-t)/Tau_j)))*Salcycl</f>
        <v>2.9360841265608485E-2</v>
      </c>
      <c r="AD35" s="231">
        <f>(INDEX(Models!$BJ35:$BT35,,AH35)*(1-AF35)+INDEX(Models!$BJ35:$BT35,,AH35+1)*AF35-ERP_i)*AE35*Ramure*Pc/MaxiM</f>
        <v>6.2523838196230979E-3</v>
      </c>
      <c r="AE35" s="305">
        <f t="shared" si="14"/>
        <v>0.8</v>
      </c>
      <c r="AF35" s="177">
        <f t="shared" si="15"/>
        <v>0.60106486157404904</v>
      </c>
      <c r="AG35" s="176">
        <f t="shared" si="16"/>
        <v>0</v>
      </c>
      <c r="AH35" s="176">
        <f t="shared" si="17"/>
        <v>6</v>
      </c>
      <c r="AI35" s="225">
        <f t="shared" si="22"/>
        <v>0.60106486157404904</v>
      </c>
      <c r="AJ35" s="265" t="b">
        <f t="shared" si="18"/>
        <v>0</v>
      </c>
      <c r="AK35" s="265" t="b">
        <f t="shared" si="19"/>
        <v>1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6">
        <v>9.0640000000000001</v>
      </c>
      <c r="C36" s="390"/>
      <c r="D36" s="393">
        <f t="shared" si="0"/>
        <v>9.1007770959835597</v>
      </c>
      <c r="E36" s="385">
        <f t="shared" si="1"/>
        <v>9.3775510853748703</v>
      </c>
      <c r="F36" s="385">
        <f t="shared" si="2"/>
        <v>9.3865830332541673</v>
      </c>
      <c r="G36" s="110">
        <f t="shared" si="23"/>
        <v>0.40879481540444124</v>
      </c>
      <c r="H36" s="414" t="b">
        <f>Wh_hp&gt;='2018'!Maxi_hp</f>
        <v>1</v>
      </c>
      <c r="I36" s="390">
        <f>IF(H36,Wh_hp,'2018'!Maxi_hp)</f>
        <v>9.3865830332541673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4.0410940291890629E-3</v>
      </c>
      <c r="M36" s="843"/>
      <c r="N36" s="843"/>
      <c r="O36" s="48">
        <f>IF(t&lt;Tnet,'2018'!Resal+('2018'!Salim-'2018'!Resal)*(1-EXP(('2018'!Tnet-t)/('2018'!Tau_j))),Resal+(Salim-Resal)*(1-EXP((Tnet-t)/(Tau_j))))*Salcycl</f>
        <v>2.9514527499931636E-2</v>
      </c>
      <c r="P36" s="169">
        <f>(INDEX(Models!$BJ36:$BT36,,T36)*(1-R36)+INDEX(Models!$BJ36:$BT36,,T36+1)*R36-ERP_i)*Q36*Ramure*Pc/MaxiM</f>
        <v>6.0736765887860113E-3</v>
      </c>
      <c r="Q36" s="305">
        <f t="shared" si="4"/>
        <v>0.8</v>
      </c>
      <c r="R36" s="177">
        <f t="shared" si="5"/>
        <v>0.60114432422858755</v>
      </c>
      <c r="S36" s="809">
        <f t="shared" si="6"/>
        <v>0</v>
      </c>
      <c r="T36" s="176">
        <f t="shared" si="7"/>
        <v>6</v>
      </c>
      <c r="U36" s="251">
        <f t="shared" si="21"/>
        <v>0.60114432422858755</v>
      </c>
      <c r="V36" s="383">
        <f t="shared" si="8"/>
        <v>22.059049638565945</v>
      </c>
      <c r="W36" s="58"/>
      <c r="X36" s="157">
        <f t="shared" si="9"/>
        <v>43487</v>
      </c>
      <c r="Y36" s="385">
        <f t="shared" si="10"/>
        <v>9.0640000000000001</v>
      </c>
      <c r="Z36" s="385">
        <f t="shared" si="11"/>
        <v>9.1007770959835597</v>
      </c>
      <c r="AA36" s="386">
        <f t="shared" si="12"/>
        <v>9.3775510853748703</v>
      </c>
      <c r="AB36" s="197">
        <f t="shared" si="13"/>
        <v>43487</v>
      </c>
      <c r="AC36" s="425">
        <f>IF(OR(t&lt;Tnet,NoTnet),'2018'!Resal_s+('2018'!Salim-'2018'!Resal_s)*(1-EXP(('2018'!Tnet_s-t)/'2018'!Tau_j)),Resal_s+(Salim-Resal_s)*(1-EXP((Tnet_s-t)/Tau_j)))*Salcycl</f>
        <v>2.9514527499931636E-2</v>
      </c>
      <c r="AD36" s="231">
        <f>(INDEX(Models!$BJ36:$BT36,,AH36)*(1-AF36)+INDEX(Models!$BJ36:$BT36,,AH36+1)*AF36-ERP_i)*AE36*Ramure*Pc/MaxiM</f>
        <v>6.0736765887860113E-3</v>
      </c>
      <c r="AE36" s="305">
        <f t="shared" si="14"/>
        <v>0.8</v>
      </c>
      <c r="AF36" s="177">
        <f t="shared" si="15"/>
        <v>0.60114432422858755</v>
      </c>
      <c r="AG36" s="176">
        <f t="shared" si="16"/>
        <v>0</v>
      </c>
      <c r="AH36" s="176">
        <f t="shared" si="17"/>
        <v>6</v>
      </c>
      <c r="AI36" s="225">
        <f t="shared" si="22"/>
        <v>0.60114432422858755</v>
      </c>
      <c r="AJ36" s="265" t="b">
        <f t="shared" si="18"/>
        <v>0</v>
      </c>
      <c r="AK36" s="265" t="b">
        <f t="shared" si="19"/>
        <v>1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6">
        <v>9.4410000000000007</v>
      </c>
      <c r="C37" s="390"/>
      <c r="D37" s="393">
        <f t="shared" si="0"/>
        <v>9.4795273724397102</v>
      </c>
      <c r="E37" s="385">
        <f t="shared" si="1"/>
        <v>9.7693657403597811</v>
      </c>
      <c r="F37" s="385">
        <f t="shared" si="2"/>
        <v>9.779483780562126</v>
      </c>
      <c r="G37" s="110">
        <f t="shared" si="23"/>
        <v>0.42093673096871459</v>
      </c>
      <c r="H37" s="414" t="b">
        <f>Wh_hp&gt;='2018'!Maxi_hp</f>
        <v>1</v>
      </c>
      <c r="I37" s="390">
        <f>IF(H37,Wh_hp,'2018'!Maxi_hp)</f>
        <v>9.779483780562126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4.0642714479333097E-3</v>
      </c>
      <c r="M37" s="843"/>
      <c r="N37" s="843"/>
      <c r="O37" s="48">
        <f>IF(t&lt;Tnet,'2018'!Resal+('2018'!Salim-'2018'!Resal)*(1-EXP(('2018'!Tnet-t)/('2018'!Tau_j))),Resal+(Salim-Resal)*(1-EXP((Tnet-t)/(Tau_j))))*Salcycl</f>
        <v>2.9668084461478811E-2</v>
      </c>
      <c r="P37" s="169">
        <f>(INDEX(Models!$BJ37:$BT37,,T37)*(1-R37)+INDEX(Models!$BJ37:$BT37,,T37+1)*R37-ERP_i)*Q37*Ramure*Pc/MaxiM</f>
        <v>5.8884592136878178E-3</v>
      </c>
      <c r="Q37" s="305">
        <f t="shared" si="4"/>
        <v>0.8</v>
      </c>
      <c r="R37" s="177">
        <f t="shared" si="5"/>
        <v>0.60122709808152031</v>
      </c>
      <c r="S37" s="809">
        <f t="shared" si="6"/>
        <v>0</v>
      </c>
      <c r="T37" s="176">
        <f t="shared" si="7"/>
        <v>6</v>
      </c>
      <c r="U37" s="251">
        <f t="shared" si="21"/>
        <v>0.60122709808152031</v>
      </c>
      <c r="V37" s="383">
        <f t="shared" si="8"/>
        <v>22.319571430004455</v>
      </c>
      <c r="W37" s="58"/>
      <c r="X37" s="157">
        <f t="shared" si="9"/>
        <v>43488</v>
      </c>
      <c r="Y37" s="385">
        <f t="shared" si="10"/>
        <v>9.4410000000000007</v>
      </c>
      <c r="Z37" s="385">
        <f t="shared" si="11"/>
        <v>9.4795273724397102</v>
      </c>
      <c r="AA37" s="386">
        <f t="shared" si="12"/>
        <v>9.7693657403597811</v>
      </c>
      <c r="AB37" s="197">
        <f t="shared" si="13"/>
        <v>43488</v>
      </c>
      <c r="AC37" s="425">
        <f>IF(OR(t&lt;Tnet,NoTnet),'2018'!Resal_s+('2018'!Salim-'2018'!Resal_s)*(1-EXP(('2018'!Tnet_s-t)/'2018'!Tau_j)),Resal_s+(Salim-Resal_s)*(1-EXP((Tnet_s-t)/Tau_j)))*Salcycl</f>
        <v>2.9668084461478811E-2</v>
      </c>
      <c r="AD37" s="231">
        <f>(INDEX(Models!$BJ37:$BT37,,AH37)*(1-AF37)+INDEX(Models!$BJ37:$BT37,,AH37+1)*AF37-ERP_i)*AE37*Ramure*Pc/MaxiM</f>
        <v>5.8884592136878178E-3</v>
      </c>
      <c r="AE37" s="305">
        <f t="shared" si="14"/>
        <v>0.8</v>
      </c>
      <c r="AF37" s="177">
        <f t="shared" si="15"/>
        <v>0.60122709808152031</v>
      </c>
      <c r="AG37" s="176">
        <f t="shared" si="16"/>
        <v>0</v>
      </c>
      <c r="AH37" s="176">
        <f t="shared" si="17"/>
        <v>6</v>
      </c>
      <c r="AI37" s="225">
        <f t="shared" si="22"/>
        <v>0.60122709808152031</v>
      </c>
      <c r="AJ37" s="265" t="b">
        <f t="shared" si="18"/>
        <v>0</v>
      </c>
      <c r="AK37" s="265" t="b">
        <f t="shared" si="19"/>
        <v>1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6">
        <v>10.105</v>
      </c>
      <c r="C38" s="390"/>
      <c r="D38" s="393">
        <f t="shared" si="0"/>
        <v>10.146473184847453</v>
      </c>
      <c r="E38" s="385">
        <f t="shared" si="1"/>
        <v>10.458357233274821</v>
      </c>
      <c r="F38" s="385">
        <f t="shared" si="2"/>
        <v>10.470940828151191</v>
      </c>
      <c r="G38" s="110">
        <f t="shared" si="23"/>
        <v>0.4454070602886287</v>
      </c>
      <c r="H38" s="414" t="b">
        <f>Wh_hp&gt;='2018'!Maxi_hp</f>
        <v>1</v>
      </c>
      <c r="I38" s="390">
        <f>IF(H38,Wh_hp,'2018'!Maxi_hp)</f>
        <v>10.470940828151191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4.087448327305232E-3</v>
      </c>
      <c r="M38" s="843"/>
      <c r="N38" s="843"/>
      <c r="O38" s="48">
        <f>IF(t&lt;Tnet,'2018'!Resal+('2018'!Salim-'2018'!Resal)*(1-EXP(('2018'!Tnet-t)/('2018'!Tau_j))),Resal+(Salim-Resal)*(1-EXP((Tnet-t)/(Tau_j))))*Salcycl</f>
        <v>2.98215141700327E-2</v>
      </c>
      <c r="P38" s="169">
        <f>(INDEX(Models!$BJ38:$BT38,,T38)*(1-R38)+INDEX(Models!$BJ38:$BT38,,T38+1)*R38-ERP_i)*Q38*Ramure*Pc/MaxiM</f>
        <v>5.7061907499486239E-3</v>
      </c>
      <c r="Q38" s="305">
        <f t="shared" si="4"/>
        <v>0.8</v>
      </c>
      <c r="R38" s="177">
        <f t="shared" si="5"/>
        <v>0.60131332013379568</v>
      </c>
      <c r="S38" s="809">
        <f t="shared" si="6"/>
        <v>0</v>
      </c>
      <c r="T38" s="176">
        <f t="shared" si="7"/>
        <v>6</v>
      </c>
      <c r="U38" s="251">
        <f t="shared" si="21"/>
        <v>0.60131332013379568</v>
      </c>
      <c r="V38" s="383">
        <f t="shared" si="8"/>
        <v>22.584796904012844</v>
      </c>
      <c r="W38" s="58"/>
      <c r="X38" s="157">
        <f t="shared" si="9"/>
        <v>43489</v>
      </c>
      <c r="Y38" s="385">
        <f t="shared" si="10"/>
        <v>10.105</v>
      </c>
      <c r="Z38" s="385">
        <f t="shared" si="11"/>
        <v>10.146473184847453</v>
      </c>
      <c r="AA38" s="386">
        <f t="shared" si="12"/>
        <v>10.458357233274821</v>
      </c>
      <c r="AB38" s="197">
        <f t="shared" si="13"/>
        <v>43489</v>
      </c>
      <c r="AC38" s="425">
        <f>IF(OR(t&lt;Tnet,NoTnet),'2018'!Resal_s+('2018'!Salim-'2018'!Resal_s)*(1-EXP(('2018'!Tnet_s-t)/'2018'!Tau_j)),Resal_s+(Salim-Resal_s)*(1-EXP((Tnet_s-t)/Tau_j)))*Salcycl</f>
        <v>2.98215141700327E-2</v>
      </c>
      <c r="AD38" s="231">
        <f>(INDEX(Models!$BJ38:$BT38,,AH38)*(1-AF38)+INDEX(Models!$BJ38:$BT38,,AH38+1)*AF38-ERP_i)*AE38*Ramure*Pc/MaxiM</f>
        <v>5.7061907499486239E-3</v>
      </c>
      <c r="AE38" s="305">
        <f t="shared" si="14"/>
        <v>0.8</v>
      </c>
      <c r="AF38" s="177">
        <f t="shared" si="15"/>
        <v>0.60131332013379568</v>
      </c>
      <c r="AG38" s="176">
        <f t="shared" si="16"/>
        <v>0</v>
      </c>
      <c r="AH38" s="176">
        <f t="shared" si="17"/>
        <v>6</v>
      </c>
      <c r="AI38" s="225">
        <f t="shared" si="22"/>
        <v>0.60131332013379568</v>
      </c>
      <c r="AJ38" s="265" t="b">
        <f t="shared" si="18"/>
        <v>0</v>
      </c>
      <c r="AK38" s="265" t="b">
        <f t="shared" si="19"/>
        <v>1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6">
        <v>5.3250000000000002</v>
      </c>
      <c r="C39" s="390"/>
      <c r="D39" s="393">
        <f t="shared" si="0"/>
        <v>5.3469794255221892</v>
      </c>
      <c r="E39" s="385">
        <f t="shared" si="1"/>
        <v>5.5122068245414004</v>
      </c>
      <c r="F39" s="385">
        <f t="shared" si="2"/>
        <v>5.5122068245414004</v>
      </c>
      <c r="G39" s="110">
        <f t="shared" si="23"/>
        <v>0.23170784801505101</v>
      </c>
      <c r="H39" s="414" t="b">
        <f>Wh_hp&gt;='2018'!Maxi_hp</f>
        <v>1</v>
      </c>
      <c r="I39" s="390">
        <f>IF(H39,Wh_hp,'2018'!Maxi_hp)</f>
        <v>5.5122068245414004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4.1106246673172642E-3</v>
      </c>
      <c r="M39" s="843"/>
      <c r="N39" s="843"/>
      <c r="O39" s="48">
        <f>IF(t&lt;Tnet,'2018'!Resal+('2018'!Salim-'2018'!Resal)*(1-EXP(('2018'!Tnet-t)/('2018'!Tau_j))),Resal+(Salim-Resal)*(1-EXP((Tnet-t)/(Tau_j))))*Salcycl</f>
        <v>2.9974818485327348E-2</v>
      </c>
      <c r="P39" s="169">
        <f>(INDEX(Models!$BJ39:$BT39,,T39)*(1-R39)+INDEX(Models!$BJ39:$BT39,,T39+1)*R39-ERP_i)*Q39*Ramure*Pc/MaxiM</f>
        <v>5.5349883219989781E-3</v>
      </c>
      <c r="Q39" s="305">
        <f t="shared" si="4"/>
        <v>0.8</v>
      </c>
      <c r="R39" s="177">
        <f t="shared" si="5"/>
        <v>0.60140313297148551</v>
      </c>
      <c r="S39" s="809">
        <f t="shared" si="6"/>
        <v>0</v>
      </c>
      <c r="T39" s="176">
        <f t="shared" si="7"/>
        <v>6</v>
      </c>
      <c r="U39" s="251">
        <f t="shared" si="21"/>
        <v>0.60140313297148551</v>
      </c>
      <c r="V39" s="383">
        <f t="shared" si="8"/>
        <v>22.854323807113232</v>
      </c>
      <c r="W39" s="58"/>
      <c r="X39" s="157">
        <f t="shared" si="9"/>
        <v>43490</v>
      </c>
      <c r="Y39" s="385">
        <f t="shared" si="10"/>
        <v>5.3250000000000002</v>
      </c>
      <c r="Z39" s="385">
        <f t="shared" si="11"/>
        <v>5.3469794255221892</v>
      </c>
      <c r="AA39" s="386">
        <f t="shared" si="12"/>
        <v>5.5122068245414004</v>
      </c>
      <c r="AB39" s="197">
        <f t="shared" si="13"/>
        <v>43490</v>
      </c>
      <c r="AC39" s="425">
        <f>IF(OR(t&lt;Tnet,NoTnet),'2018'!Resal_s+('2018'!Salim-'2018'!Resal_s)*(1-EXP(('2018'!Tnet_s-t)/'2018'!Tau_j)),Resal_s+(Salim-Resal_s)*(1-EXP((Tnet_s-t)/Tau_j)))*Salcycl</f>
        <v>2.9974818485327348E-2</v>
      </c>
      <c r="AD39" s="231">
        <f>(INDEX(Models!$BJ39:$BT39,,AH39)*(1-AF39)+INDEX(Models!$BJ39:$BT39,,AH39+1)*AF39-ERP_i)*AE39*Ramure*Pc/MaxiM</f>
        <v>5.5349883219989781E-3</v>
      </c>
      <c r="AE39" s="305">
        <f t="shared" si="14"/>
        <v>0.8</v>
      </c>
      <c r="AF39" s="177">
        <f t="shared" si="15"/>
        <v>0.60140313297148551</v>
      </c>
      <c r="AG39" s="176">
        <f t="shared" si="16"/>
        <v>0</v>
      </c>
      <c r="AH39" s="176">
        <f t="shared" si="17"/>
        <v>6</v>
      </c>
      <c r="AI39" s="225">
        <f t="shared" si="22"/>
        <v>0.60140313297148551</v>
      </c>
      <c r="AJ39" s="265" t="b">
        <f t="shared" si="18"/>
        <v>0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6">
        <v>11.507999999999999</v>
      </c>
      <c r="C40" s="390"/>
      <c r="D40" s="393">
        <f t="shared" si="0"/>
        <v>11.555769244310019</v>
      </c>
      <c r="E40" s="385">
        <f t="shared" si="1"/>
        <v>11.914736411784974</v>
      </c>
      <c r="F40" s="385">
        <f t="shared" si="2"/>
        <v>11.93283885569476</v>
      </c>
      <c r="G40" s="110">
        <f t="shared" si="23"/>
        <v>0.49565771025986233</v>
      </c>
      <c r="H40" s="414" t="b">
        <f>Wh_hp&gt;='2018'!Maxi_hp</f>
        <v>1</v>
      </c>
      <c r="I40" s="390">
        <f>IF(H40,Wh_hp,'2018'!Maxi_hp)</f>
        <v>11.93283885569476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4.1338004679819518E-3</v>
      </c>
      <c r="M40" s="843"/>
      <c r="N40" s="843"/>
      <c r="O40" s="48">
        <f>IF(t&lt;Tnet,'2018'!Resal+('2018'!Salim-'2018'!Resal)*(1-EXP(('2018'!Tnet-t)/('2018'!Tau_j))),Resal+(Salim-Resal)*(1-EXP((Tnet-t)/(Tau_j))))*Salcycl</f>
        <v>3.0127999065081949E-2</v>
      </c>
      <c r="P40" s="169">
        <f>(INDEX(Models!$BJ40:$BT40,,T40)*(1-R40)+INDEX(Models!$BJ40:$BT40,,T40+1)*R40-ERP_i)*Q40*Ramure*Pc/MaxiM</f>
        <v>5.3746265526016298E-3</v>
      </c>
      <c r="Q40" s="305">
        <f t="shared" si="4"/>
        <v>0.8</v>
      </c>
      <c r="R40" s="177">
        <f t="shared" si="5"/>
        <v>0.60149668498635667</v>
      </c>
      <c r="S40" s="809">
        <f t="shared" si="6"/>
        <v>0</v>
      </c>
      <c r="T40" s="176">
        <f t="shared" si="7"/>
        <v>6</v>
      </c>
      <c r="U40" s="251">
        <f t="shared" si="21"/>
        <v>0.60149668498635667</v>
      </c>
      <c r="V40" s="383">
        <f t="shared" si="8"/>
        <v>23.127934992141029</v>
      </c>
      <c r="W40" s="58"/>
      <c r="X40" s="157">
        <f t="shared" si="9"/>
        <v>43491</v>
      </c>
      <c r="Y40" s="385">
        <f t="shared" si="10"/>
        <v>11.507999999999999</v>
      </c>
      <c r="Z40" s="385">
        <f t="shared" si="11"/>
        <v>11.555769244310019</v>
      </c>
      <c r="AA40" s="386">
        <f t="shared" si="12"/>
        <v>11.914736411784974</v>
      </c>
      <c r="AB40" s="197">
        <f t="shared" si="13"/>
        <v>43491</v>
      </c>
      <c r="AC40" s="425">
        <f>IF(OR(t&lt;Tnet,NoTnet),'2018'!Resal_s+('2018'!Salim-'2018'!Resal_s)*(1-EXP(('2018'!Tnet_s-t)/'2018'!Tau_j)),Resal_s+(Salim-Resal_s)*(1-EXP((Tnet_s-t)/Tau_j)))*Salcycl</f>
        <v>3.0127999065081949E-2</v>
      </c>
      <c r="AD40" s="231">
        <f>(INDEX(Models!$BJ40:$BT40,,AH40)*(1-AF40)+INDEX(Models!$BJ40:$BT40,,AH40+1)*AF40-ERP_i)*AE40*Ramure*Pc/MaxiM</f>
        <v>5.3746265526016298E-3</v>
      </c>
      <c r="AE40" s="305">
        <f t="shared" si="14"/>
        <v>0.8</v>
      </c>
      <c r="AF40" s="177">
        <f t="shared" si="15"/>
        <v>0.60149668498635667</v>
      </c>
      <c r="AG40" s="176">
        <f t="shared" si="16"/>
        <v>0</v>
      </c>
      <c r="AH40" s="176">
        <f t="shared" si="17"/>
        <v>6</v>
      </c>
      <c r="AI40" s="225">
        <f t="shared" si="22"/>
        <v>0.60149668498635667</v>
      </c>
      <c r="AJ40" s="265" t="b">
        <f t="shared" si="18"/>
        <v>0</v>
      </c>
      <c r="AK40" s="265" t="b">
        <f t="shared" si="19"/>
        <v>1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6">
        <v>12.471</v>
      </c>
      <c r="C41" s="390"/>
      <c r="D41" s="393">
        <f t="shared" si="0"/>
        <v>12.523058048363813</v>
      </c>
      <c r="E41" s="385">
        <f t="shared" si="1"/>
        <v>12.914110983382173</v>
      </c>
      <c r="F41" s="385">
        <f t="shared" si="2"/>
        <v>12.936592620258565</v>
      </c>
      <c r="G41" s="110">
        <f t="shared" si="23"/>
        <v>0.53096423361751666</v>
      </c>
      <c r="H41" s="414" t="b">
        <f>Wh_hp&gt;='2018'!Maxi_hp</f>
        <v>1</v>
      </c>
      <c r="I41" s="390">
        <f>IF(H41,Wh_hp,'2018'!Maxi_hp)</f>
        <v>12.936592620258565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4.1569757293119514E-3</v>
      </c>
      <c r="M41" s="843"/>
      <c r="N41" s="843"/>
      <c r="O41" s="48">
        <f>IF(t&lt;Tnet,'2018'!Resal+('2018'!Salim-'2018'!Resal)*(1-EXP(('2018'!Tnet-t)/('2018'!Tau_j))),Resal+(Salim-Resal)*(1-EXP((Tnet-t)/(Tau_j))))*Salcycl</f>
        <v>3.0281057327257398E-2</v>
      </c>
      <c r="P41" s="169">
        <f>(INDEX(Models!$BJ41:$BT41,,T41)*(1-R41)+INDEX(Models!$BJ41:$BT41,,T41+1)*R41-ERP_i)*Q41*Ramure*Pc/MaxiM</f>
        <v>5.2248714978026089E-3</v>
      </c>
      <c r="Q41" s="305">
        <f t="shared" si="4"/>
        <v>0.8</v>
      </c>
      <c r="R41" s="177">
        <f t="shared" si="5"/>
        <v>0.60159413060454281</v>
      </c>
      <c r="S41" s="809">
        <f t="shared" si="6"/>
        <v>0</v>
      </c>
      <c r="T41" s="176">
        <f t="shared" si="7"/>
        <v>6</v>
      </c>
      <c r="U41" s="251">
        <f t="shared" si="21"/>
        <v>0.60159413060454281</v>
      </c>
      <c r="V41" s="383">
        <f t="shared" si="8"/>
        <v>23.405413492932677</v>
      </c>
      <c r="W41" s="58"/>
      <c r="X41" s="157">
        <f t="shared" si="9"/>
        <v>43492</v>
      </c>
      <c r="Y41" s="385">
        <f t="shared" si="10"/>
        <v>12.471</v>
      </c>
      <c r="Z41" s="385">
        <f t="shared" si="11"/>
        <v>12.523058048363813</v>
      </c>
      <c r="AA41" s="386">
        <f t="shared" si="12"/>
        <v>12.914110983382173</v>
      </c>
      <c r="AB41" s="197">
        <f t="shared" si="13"/>
        <v>43492</v>
      </c>
      <c r="AC41" s="425">
        <f>IF(OR(t&lt;Tnet,NoTnet),'2018'!Resal_s+('2018'!Salim-'2018'!Resal_s)*(1-EXP(('2018'!Tnet_s-t)/'2018'!Tau_j)),Resal_s+(Salim-Resal_s)*(1-EXP((Tnet_s-t)/Tau_j)))*Salcycl</f>
        <v>3.0281057327257398E-2</v>
      </c>
      <c r="AD41" s="231">
        <f>(INDEX(Models!$BJ41:$BT41,,AH41)*(1-AF41)+INDEX(Models!$BJ41:$BT41,,AH41+1)*AF41-ERP_i)*AE41*Ramure*Pc/MaxiM</f>
        <v>5.2248714978026089E-3</v>
      </c>
      <c r="AE41" s="305">
        <f t="shared" si="14"/>
        <v>0.8</v>
      </c>
      <c r="AF41" s="177">
        <f t="shared" si="15"/>
        <v>0.60159413060454281</v>
      </c>
      <c r="AG41" s="176">
        <f t="shared" si="16"/>
        <v>0</v>
      </c>
      <c r="AH41" s="176">
        <f t="shared" si="17"/>
        <v>6</v>
      </c>
      <c r="AI41" s="225">
        <f t="shared" si="22"/>
        <v>0.60159413060454281</v>
      </c>
      <c r="AJ41" s="265" t="b">
        <f t="shared" si="18"/>
        <v>0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6">
        <v>12.295999999999999</v>
      </c>
      <c r="C42" s="390"/>
      <c r="D42" s="393">
        <f t="shared" si="0"/>
        <v>12.347614887946573</v>
      </c>
      <c r="E42" s="385">
        <f t="shared" si="1"/>
        <v>12.735197827528303</v>
      </c>
      <c r="F42" s="385">
        <f t="shared" si="2"/>
        <v>12.75550271178798</v>
      </c>
      <c r="G42" s="110">
        <f t="shared" si="23"/>
        <v>0.51729685004442094</v>
      </c>
      <c r="H42" s="414" t="b">
        <f>Wh_hp&gt;='2018'!Maxi_hp</f>
        <v>1</v>
      </c>
      <c r="I42" s="390">
        <f>IF(H42,Wh_hp,'2018'!Maxi_hp)</f>
        <v>12.75550271178798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4.1801504513198084E-3</v>
      </c>
      <c r="M42" s="843"/>
      <c r="N42" s="843"/>
      <c r="O42" s="48">
        <f>IF(t&lt;Tnet,'2018'!Resal+('2018'!Salim-'2018'!Resal)*(1-EXP(('2018'!Tnet-t)/('2018'!Tau_j))),Resal+(Salim-Resal)*(1-EXP((Tnet-t)/(Tau_j))))*Salcycl</f>
        <v>3.0433994416948402E-2</v>
      </c>
      <c r="P42" s="169">
        <f>(INDEX(Models!$BJ42:$BT42,,T42)*(1-R42)+INDEX(Models!$BJ42:$BT42,,T42+1)*R42-ERP_i)*Q42*Ramure*Pc/MaxiM</f>
        <v>5.0854826503158703E-3</v>
      </c>
      <c r="Q42" s="305">
        <f t="shared" si="4"/>
        <v>0.8</v>
      </c>
      <c r="R42" s="177">
        <f t="shared" si="5"/>
        <v>0.6016956305235579</v>
      </c>
      <c r="S42" s="809">
        <f t="shared" si="6"/>
        <v>0</v>
      </c>
      <c r="T42" s="176">
        <f t="shared" si="7"/>
        <v>6</v>
      </c>
      <c r="U42" s="251">
        <f t="shared" si="21"/>
        <v>0.6016956305235579</v>
      </c>
      <c r="V42" s="383">
        <f t="shared" si="8"/>
        <v>23.686542526757105</v>
      </c>
      <c r="W42" s="58"/>
      <c r="X42" s="157">
        <f t="shared" si="9"/>
        <v>43493</v>
      </c>
      <c r="Y42" s="385">
        <f t="shared" si="10"/>
        <v>12.295999999999999</v>
      </c>
      <c r="Z42" s="385">
        <f t="shared" si="11"/>
        <v>12.347614887946573</v>
      </c>
      <c r="AA42" s="386">
        <f t="shared" si="12"/>
        <v>12.735197827528303</v>
      </c>
      <c r="AB42" s="197">
        <f t="shared" si="13"/>
        <v>43493</v>
      </c>
      <c r="AC42" s="425">
        <f>IF(OR(t&lt;Tnet,NoTnet),'2018'!Resal_s+('2018'!Salim-'2018'!Resal_s)*(1-EXP(('2018'!Tnet_s-t)/'2018'!Tau_j)),Resal_s+(Salim-Resal_s)*(1-EXP((Tnet_s-t)/Tau_j)))*Salcycl</f>
        <v>3.0433994416948402E-2</v>
      </c>
      <c r="AD42" s="231">
        <f>(INDEX(Models!$BJ42:$BT42,,AH42)*(1-AF42)+INDEX(Models!$BJ42:$BT42,,AH42+1)*AF42-ERP_i)*AE42*Ramure*Pc/MaxiM</f>
        <v>5.0854826503158703E-3</v>
      </c>
      <c r="AE42" s="305">
        <f t="shared" si="14"/>
        <v>0.8</v>
      </c>
      <c r="AF42" s="177">
        <f t="shared" si="15"/>
        <v>0.6016956305235579</v>
      </c>
      <c r="AG42" s="176">
        <f t="shared" si="16"/>
        <v>0</v>
      </c>
      <c r="AH42" s="176">
        <f t="shared" si="17"/>
        <v>6</v>
      </c>
      <c r="AI42" s="225">
        <f t="shared" si="22"/>
        <v>0.6016956305235579</v>
      </c>
      <c r="AJ42" s="265" t="b">
        <f t="shared" si="18"/>
        <v>0</v>
      </c>
      <c r="AK42" s="265" t="b">
        <f t="shared" si="19"/>
        <v>1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6">
        <v>5.5359999999999996</v>
      </c>
      <c r="C43" s="390"/>
      <c r="D43" s="393">
        <f t="shared" si="0"/>
        <v>5.5593678277399059</v>
      </c>
      <c r="E43" s="385">
        <f t="shared" si="1"/>
        <v>5.7347763490787811</v>
      </c>
      <c r="F43" s="385">
        <f t="shared" si="2"/>
        <v>5.7347763490787811</v>
      </c>
      <c r="G43" s="110">
        <f t="shared" si="23"/>
        <v>0.22980009813982624</v>
      </c>
      <c r="H43" s="414" t="b">
        <f>Wh_hp&gt;='2018'!Maxi_hp</f>
        <v>1</v>
      </c>
      <c r="I43" s="390">
        <f>IF(H43,Wh_hp,'2018'!Maxi_hp)</f>
        <v>5.7347763490787811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4.2033246340179575E-3</v>
      </c>
      <c r="M43" s="843"/>
      <c r="N43" s="843"/>
      <c r="O43" s="48">
        <f>IF(t&lt;Tnet,'2018'!Resal+('2018'!Salim-'2018'!Resal)*(1-EXP(('2018'!Tnet-t)/('2018'!Tau_j))),Resal+(Salim-Resal)*(1-EXP((Tnet-t)/(Tau_j))))*Salcycl</f>
        <v>3.0586811178269051E-2</v>
      </c>
      <c r="P43" s="169">
        <f>(INDEX(Models!$BJ43:$BT43,,T43)*(1-R43)+INDEX(Models!$BJ43:$BT43,,T43+1)*R43-ERP_i)*Q43*Ramure*Pc/MaxiM</f>
        <v>4.9562147857362361E-3</v>
      </c>
      <c r="Q43" s="305">
        <f t="shared" si="4"/>
        <v>0.8</v>
      </c>
      <c r="R43" s="177">
        <f t="shared" si="5"/>
        <v>0.6018013519579003</v>
      </c>
      <c r="S43" s="809">
        <f t="shared" si="6"/>
        <v>0</v>
      </c>
      <c r="T43" s="176">
        <f t="shared" si="7"/>
        <v>6</v>
      </c>
      <c r="U43" s="251">
        <f t="shared" si="21"/>
        <v>0.6018013519579003</v>
      </c>
      <c r="V43" s="383">
        <f t="shared" si="8"/>
        <v>23.971105493585881</v>
      </c>
      <c r="W43" s="58"/>
      <c r="X43" s="157">
        <f t="shared" si="9"/>
        <v>43494</v>
      </c>
      <c r="Y43" s="385">
        <f t="shared" si="10"/>
        <v>5.5359999999999996</v>
      </c>
      <c r="Z43" s="385">
        <f t="shared" si="11"/>
        <v>5.5593678277399059</v>
      </c>
      <c r="AA43" s="386">
        <f t="shared" si="12"/>
        <v>5.7347763490787811</v>
      </c>
      <c r="AB43" s="197">
        <f t="shared" si="13"/>
        <v>43494</v>
      </c>
      <c r="AC43" s="425">
        <f>IF(OR(t&lt;Tnet,NoTnet),'2018'!Resal_s+('2018'!Salim-'2018'!Resal_s)*(1-EXP(('2018'!Tnet_s-t)/'2018'!Tau_j)),Resal_s+(Salim-Resal_s)*(1-EXP((Tnet_s-t)/Tau_j)))*Salcycl</f>
        <v>3.0586811178269051E-2</v>
      </c>
      <c r="AD43" s="231">
        <f>(INDEX(Models!$BJ43:$BT43,,AH43)*(1-AF43)+INDEX(Models!$BJ43:$BT43,,AH43+1)*AF43-ERP_i)*AE43*Ramure*Pc/MaxiM</f>
        <v>4.9562147857362361E-3</v>
      </c>
      <c r="AE43" s="305">
        <f t="shared" si="14"/>
        <v>0.8</v>
      </c>
      <c r="AF43" s="177">
        <f t="shared" si="15"/>
        <v>0.6018013519579003</v>
      </c>
      <c r="AG43" s="176">
        <f t="shared" si="16"/>
        <v>0</v>
      </c>
      <c r="AH43" s="176">
        <f t="shared" si="17"/>
        <v>6</v>
      </c>
      <c r="AI43" s="225">
        <f t="shared" si="22"/>
        <v>0.6018013519579003</v>
      </c>
      <c r="AJ43" s="265" t="b">
        <f t="shared" si="18"/>
        <v>0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6">
        <v>7.117</v>
      </c>
      <c r="C44" s="390"/>
      <c r="D44" s="393">
        <f t="shared" si="0"/>
        <v>7.1472076608670108</v>
      </c>
      <c r="E44" s="385">
        <f t="shared" si="1"/>
        <v>7.3738770132775668</v>
      </c>
      <c r="F44" s="385">
        <f t="shared" si="2"/>
        <v>7.3738770132775668</v>
      </c>
      <c r="G44" s="110">
        <f t="shared" si="23"/>
        <v>0.29195802164114304</v>
      </c>
      <c r="H44" s="414" t="b">
        <f>Wh_hp&gt;='2018'!Maxi_hp</f>
        <v>1</v>
      </c>
      <c r="I44" s="390">
        <f>IF(H44,Wh_hp,'2018'!Maxi_hp)</f>
        <v>7.3738770132775668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4.2264982774190551E-3</v>
      </c>
      <c r="M44" s="843"/>
      <c r="N44" s="843"/>
      <c r="O44" s="48">
        <f>IF(t&lt;Tnet,'2018'!Resal+('2018'!Salim-'2018'!Resal)*(1-EXP(('2018'!Tnet-t)/('2018'!Tau_j))),Resal+(Salim-Resal)*(1-EXP((Tnet-t)/(Tau_j))))*Salcycl</f>
        <v>3.0739508131531201E-2</v>
      </c>
      <c r="P44" s="169">
        <f>(INDEX(Models!$BJ44:$BT44,,T44)*(1-R44)+INDEX(Models!$BJ44:$BT44,,T44+1)*R44-ERP_i)*Q44*Ramure*Pc/MaxiM</f>
        <v>4.8439453036215694E-3</v>
      </c>
      <c r="Q44" s="305">
        <f t="shared" si="4"/>
        <v>0.8</v>
      </c>
      <c r="R44" s="177">
        <f t="shared" si="5"/>
        <v>0.60191146889349245</v>
      </c>
      <c r="S44" s="809">
        <f t="shared" si="6"/>
        <v>0</v>
      </c>
      <c r="T44" s="176">
        <f t="shared" si="7"/>
        <v>6</v>
      </c>
      <c r="U44" s="251">
        <f t="shared" si="21"/>
        <v>0.60191146889349245</v>
      </c>
      <c r="V44" s="383">
        <f t="shared" si="8"/>
        <v>24.258712267818879</v>
      </c>
      <c r="W44" s="58"/>
      <c r="X44" s="157">
        <f t="shared" si="9"/>
        <v>43495</v>
      </c>
      <c r="Y44" s="385">
        <f t="shared" si="10"/>
        <v>7.117</v>
      </c>
      <c r="Z44" s="385">
        <f t="shared" si="11"/>
        <v>7.1472076608670108</v>
      </c>
      <c r="AA44" s="386">
        <f t="shared" si="12"/>
        <v>7.3738770132775668</v>
      </c>
      <c r="AB44" s="197">
        <f t="shared" si="13"/>
        <v>43495</v>
      </c>
      <c r="AC44" s="425">
        <f>IF(OR(t&lt;Tnet,NoTnet),'2018'!Resal_s+('2018'!Salim-'2018'!Resal_s)*(1-EXP(('2018'!Tnet_s-t)/'2018'!Tau_j)),Resal_s+(Salim-Resal_s)*(1-EXP((Tnet_s-t)/Tau_j)))*Salcycl</f>
        <v>3.0739508131531201E-2</v>
      </c>
      <c r="AD44" s="231">
        <f>(INDEX(Models!$BJ44:$BT44,,AH44)*(1-AF44)+INDEX(Models!$BJ44:$BT44,,AH44+1)*AF44-ERP_i)*AE44*Ramure*Pc/MaxiM</f>
        <v>4.8439453036215694E-3</v>
      </c>
      <c r="AE44" s="305">
        <f t="shared" si="14"/>
        <v>0.8</v>
      </c>
      <c r="AF44" s="177">
        <f t="shared" si="15"/>
        <v>0.60191146889349245</v>
      </c>
      <c r="AG44" s="176">
        <f t="shared" si="16"/>
        <v>0</v>
      </c>
      <c r="AH44" s="176">
        <f t="shared" si="17"/>
        <v>6</v>
      </c>
      <c r="AI44" s="225">
        <f t="shared" si="22"/>
        <v>0.60191146889349245</v>
      </c>
      <c r="AJ44" s="265" t="b">
        <f t="shared" si="18"/>
        <v>0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6">
        <v>7.3739999999999997</v>
      </c>
      <c r="C45" s="390"/>
      <c r="D45" s="393">
        <f t="shared" si="0"/>
        <v>7.4054708173994985</v>
      </c>
      <c r="E45" s="385">
        <f t="shared" si="1"/>
        <v>7.6415337304140047</v>
      </c>
      <c r="F45" s="385">
        <f t="shared" si="2"/>
        <v>7.64155330287885</v>
      </c>
      <c r="G45" s="110">
        <f t="shared" si="23"/>
        <v>0.29895156375402487</v>
      </c>
      <c r="H45" s="414" t="b">
        <f>Wh_hp&gt;='2018'!Maxi_hp</f>
        <v>1</v>
      </c>
      <c r="I45" s="390">
        <f>IF(H45,Wh_hp,'2018'!Maxi_hp)</f>
        <v>7.64155330287885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4.2496713815355358E-3</v>
      </c>
      <c r="M45" s="843"/>
      <c r="N45" s="843"/>
      <c r="O45" s="48">
        <f>IF(t&lt;Tnet,'2018'!Resal+('2018'!Salim-'2018'!Resal)*(1-EXP(('2018'!Tnet-t)/('2018'!Tau_j))),Resal+(Salim-Resal)*(1-EXP((Tnet-t)/(Tau_j))))*Salcycl</f>
        <v>3.0892085455954177E-2</v>
      </c>
      <c r="P45" s="169">
        <f>(INDEX(Models!$BJ45:$BT45,,T45)*(1-R45)+INDEX(Models!$BJ45:$BT45,,T45+1)*R45-ERP_i)*Q45*Ramure*Pc/MaxiM</f>
        <v>4.7496488435166094E-3</v>
      </c>
      <c r="Q45" s="305">
        <f t="shared" si="4"/>
        <v>0.8</v>
      </c>
      <c r="R45" s="177">
        <f t="shared" si="5"/>
        <v>0.60202616235120854</v>
      </c>
      <c r="S45" s="809">
        <f t="shared" si="6"/>
        <v>0</v>
      </c>
      <c r="T45" s="176">
        <f t="shared" si="7"/>
        <v>6</v>
      </c>
      <c r="U45" s="251">
        <f t="shared" si="21"/>
        <v>0.60202616235120854</v>
      </c>
      <c r="V45" s="383">
        <f t="shared" si="8"/>
        <v>24.549110212991696</v>
      </c>
      <c r="W45" s="58"/>
      <c r="X45" s="157">
        <f t="shared" si="9"/>
        <v>43496</v>
      </c>
      <c r="Y45" s="385">
        <f t="shared" si="10"/>
        <v>7.3739999999999997</v>
      </c>
      <c r="Z45" s="385">
        <f t="shared" si="11"/>
        <v>7.4054708173994985</v>
      </c>
      <c r="AA45" s="386">
        <f t="shared" si="12"/>
        <v>7.6415337304140047</v>
      </c>
      <c r="AB45" s="197">
        <f t="shared" si="13"/>
        <v>43496</v>
      </c>
      <c r="AC45" s="425">
        <f>IF(OR(t&lt;Tnet,NoTnet),'2018'!Resal_s+('2018'!Salim-'2018'!Resal_s)*(1-EXP(('2018'!Tnet_s-t)/'2018'!Tau_j)),Resal_s+(Salim-Resal_s)*(1-EXP((Tnet_s-t)/Tau_j)))*Salcycl</f>
        <v>3.0892085455954177E-2</v>
      </c>
      <c r="AD45" s="231">
        <f>(INDEX(Models!$BJ45:$BT45,,AH45)*(1-AF45)+INDEX(Models!$BJ45:$BT45,,AH45+1)*AF45-ERP_i)*AE45*Ramure*Pc/MaxiM</f>
        <v>4.7496488435166094E-3</v>
      </c>
      <c r="AE45" s="305">
        <f t="shared" si="14"/>
        <v>0.8</v>
      </c>
      <c r="AF45" s="177">
        <f t="shared" si="15"/>
        <v>0.60202616235120854</v>
      </c>
      <c r="AG45" s="176">
        <f t="shared" si="16"/>
        <v>0</v>
      </c>
      <c r="AH45" s="176">
        <f t="shared" si="17"/>
        <v>6</v>
      </c>
      <c r="AI45" s="225">
        <f t="shared" si="22"/>
        <v>0.60202616235120854</v>
      </c>
      <c r="AJ45" s="265" t="b">
        <f t="shared" si="18"/>
        <v>0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6">
        <v>19.093</v>
      </c>
      <c r="C46" s="390"/>
      <c r="D46" s="393">
        <f t="shared" si="0"/>
        <v>19.174931489939041</v>
      </c>
      <c r="E46" s="385">
        <f t="shared" si="1"/>
        <v>19.789280664018474</v>
      </c>
      <c r="F46" s="385">
        <f t="shared" si="2"/>
        <v>19.85137426834298</v>
      </c>
      <c r="G46" s="110">
        <f t="shared" si="23"/>
        <v>0.76738377143377201</v>
      </c>
      <c r="H46" s="414" t="b">
        <f>Wh_hp&gt;='2018'!Maxi_hp</f>
        <v>1</v>
      </c>
      <c r="I46" s="390">
        <f>IF(H46,Wh_hp,'2018'!Maxi_hp)</f>
        <v>19.85137426834298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4.2728439463801671E-3</v>
      </c>
      <c r="M46" s="843"/>
      <c r="N46" s="843"/>
      <c r="O46" s="48">
        <f>IF(t&lt;Tnet,'2018'!Resal+('2018'!Salim-'2018'!Resal)*(1-EXP(('2018'!Tnet-t)/('2018'!Tau_j))),Resal+(Salim-Resal)*(1-EXP((Tnet-t)/(Tau_j))))*Salcycl</f>
        <v>3.104454297808127E-2</v>
      </c>
      <c r="P46" s="169">
        <f>(INDEX(Models!$BJ46:$BT46,,T46)*(1-R46)+INDEX(Models!$BJ46:$BT46,,T46+1)*R46-ERP_i)*Q46*Ramure*Pc/MaxiM</f>
        <v>4.6727804079448425E-3</v>
      </c>
      <c r="Q46" s="305">
        <f t="shared" si="4"/>
        <v>0.8</v>
      </c>
      <c r="R46" s="177">
        <f t="shared" si="5"/>
        <v>0.60214562065973709</v>
      </c>
      <c r="S46" s="809">
        <f t="shared" si="6"/>
        <v>0</v>
      </c>
      <c r="T46" s="176">
        <f t="shared" si="7"/>
        <v>6</v>
      </c>
      <c r="U46" s="251">
        <f t="shared" si="21"/>
        <v>0.60214562065973709</v>
      </c>
      <c r="V46" s="383">
        <f t="shared" si="8"/>
        <v>24.842083230685553</v>
      </c>
      <c r="W46" s="58"/>
      <c r="X46" s="157">
        <f t="shared" si="9"/>
        <v>43497</v>
      </c>
      <c r="Y46" s="385">
        <f t="shared" si="10"/>
        <v>19.093</v>
      </c>
      <c r="Z46" s="385">
        <f t="shared" si="11"/>
        <v>19.174931489939041</v>
      </c>
      <c r="AA46" s="386">
        <f t="shared" si="12"/>
        <v>19.789280664018474</v>
      </c>
      <c r="AB46" s="197">
        <f t="shared" si="13"/>
        <v>43497</v>
      </c>
      <c r="AC46" s="425">
        <f>IF(OR(t&lt;Tnet,NoTnet),'2018'!Resal_s+('2018'!Salim-'2018'!Resal_s)*(1-EXP(('2018'!Tnet_s-t)/'2018'!Tau_j)),Resal_s+(Salim-Resal_s)*(1-EXP((Tnet_s-t)/Tau_j)))*Salcycl</f>
        <v>3.104454297808127E-2</v>
      </c>
      <c r="AD46" s="231">
        <f>(INDEX(Models!$BJ46:$BT46,,AH46)*(1-AF46)+INDEX(Models!$BJ46:$BT46,,AH46+1)*AF46-ERP_i)*AE46*Ramure*Pc/MaxiM</f>
        <v>4.6727804079448425E-3</v>
      </c>
      <c r="AE46" s="305">
        <f t="shared" si="14"/>
        <v>0.8</v>
      </c>
      <c r="AF46" s="177">
        <f t="shared" si="15"/>
        <v>0.60214562065973709</v>
      </c>
      <c r="AG46" s="176">
        <f t="shared" si="16"/>
        <v>0</v>
      </c>
      <c r="AH46" s="176">
        <f t="shared" si="17"/>
        <v>6</v>
      </c>
      <c r="AI46" s="225">
        <f t="shared" si="22"/>
        <v>0.60214562065973709</v>
      </c>
      <c r="AJ46" s="265" t="b">
        <f t="shared" si="18"/>
        <v>0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6">
        <v>3.2919999999999998</v>
      </c>
      <c r="C47" s="390"/>
      <c r="D47" s="393">
        <f t="shared" si="0"/>
        <v>3.3062035030556944</v>
      </c>
      <c r="E47" s="385">
        <f t="shared" si="1"/>
        <v>3.4126681008441118</v>
      </c>
      <c r="F47" s="385">
        <f t="shared" si="2"/>
        <v>3.4126681008441118</v>
      </c>
      <c r="G47" s="110">
        <f t="shared" si="23"/>
        <v>0.13035606866011248</v>
      </c>
      <c r="H47" s="414" t="b">
        <f>Wh_hp&gt;='2018'!Maxi_hp</f>
        <v>1</v>
      </c>
      <c r="I47" s="390">
        <f>IF(H47,Wh_hp,'2018'!Maxi_hp)</f>
        <v>3.4126681008441118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4.2960159719652724E-3</v>
      </c>
      <c r="M47" s="843"/>
      <c r="N47" s="843"/>
      <c r="O47" s="48">
        <f>IF(t&lt;Tnet,'2018'!Resal+('2018'!Salim-'2018'!Resal)*(1-EXP(('2018'!Tnet-t)/('2018'!Tau_j))),Resal+(Salim-Resal)*(1-EXP((Tnet-t)/(Tau_j))))*Salcycl</f>
        <v>3.1196880166015503E-2</v>
      </c>
      <c r="P47" s="169">
        <f>(INDEX(Models!$BJ47:$BT47,,T47)*(1-R47)+INDEX(Models!$BJ47:$BT47,,T47+1)*R47-ERP_i)*Q47*Ramure*Pc/MaxiM</f>
        <v>4.6128055982737224E-3</v>
      </c>
      <c r="Q47" s="305">
        <f t="shared" si="4"/>
        <v>0.8</v>
      </c>
      <c r="R47" s="177">
        <f t="shared" si="5"/>
        <v>0.60227003973803095</v>
      </c>
      <c r="S47" s="809">
        <f t="shared" si="6"/>
        <v>0</v>
      </c>
      <c r="T47" s="176">
        <f t="shared" si="7"/>
        <v>6</v>
      </c>
      <c r="U47" s="251">
        <f t="shared" si="21"/>
        <v>0.60227003973803095</v>
      </c>
      <c r="V47" s="383">
        <f t="shared" si="8"/>
        <v>25.137415370467913</v>
      </c>
      <c r="W47" s="58"/>
      <c r="X47" s="157">
        <f t="shared" si="9"/>
        <v>43498</v>
      </c>
      <c r="Y47" s="385">
        <f t="shared" si="10"/>
        <v>3.2919999999999998</v>
      </c>
      <c r="Z47" s="385">
        <f t="shared" si="11"/>
        <v>3.3062035030556944</v>
      </c>
      <c r="AA47" s="386">
        <f t="shared" si="12"/>
        <v>3.4126681008441118</v>
      </c>
      <c r="AB47" s="197">
        <f t="shared" si="13"/>
        <v>43498</v>
      </c>
      <c r="AC47" s="425">
        <f>IF(OR(t&lt;Tnet,NoTnet),'2018'!Resal_s+('2018'!Salim-'2018'!Resal_s)*(1-EXP(('2018'!Tnet_s-t)/'2018'!Tau_j)),Resal_s+(Salim-Resal_s)*(1-EXP((Tnet_s-t)/Tau_j)))*Salcycl</f>
        <v>3.1196880166015503E-2</v>
      </c>
      <c r="AD47" s="231">
        <f>(INDEX(Models!$BJ47:$BT47,,AH47)*(1-AF47)+INDEX(Models!$BJ47:$BT47,,AH47+1)*AF47-ERP_i)*AE47*Ramure*Pc/MaxiM</f>
        <v>4.6128055982737224E-3</v>
      </c>
      <c r="AE47" s="305">
        <f t="shared" si="14"/>
        <v>0.8</v>
      </c>
      <c r="AF47" s="177">
        <f t="shared" si="15"/>
        <v>0.60227003973803095</v>
      </c>
      <c r="AG47" s="176">
        <f t="shared" si="16"/>
        <v>0</v>
      </c>
      <c r="AH47" s="176">
        <f t="shared" si="17"/>
        <v>6</v>
      </c>
      <c r="AI47" s="225">
        <f t="shared" si="22"/>
        <v>0.60227003973803095</v>
      </c>
      <c r="AJ47" s="265" t="b">
        <f t="shared" si="18"/>
        <v>0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6">
        <v>12.214</v>
      </c>
      <c r="C48" s="390"/>
      <c r="D48" s="393">
        <f t="shared" si="0"/>
        <v>12.266983400856196</v>
      </c>
      <c r="E48" s="385">
        <f t="shared" si="1"/>
        <v>12.66398797734097</v>
      </c>
      <c r="F48" s="385">
        <f t="shared" si="2"/>
        <v>12.678901987922902</v>
      </c>
      <c r="G48" s="110">
        <f t="shared" si="23"/>
        <v>0.4785752844737578</v>
      </c>
      <c r="H48" s="414" t="b">
        <f>Wh_hp&gt;='2018'!Maxi_hp</f>
        <v>1</v>
      </c>
      <c r="I48" s="390">
        <f>IF(H48,Wh_hp,'2018'!Maxi_hp)</f>
        <v>12.678901987922902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4.3191874583035084E-3</v>
      </c>
      <c r="M48" s="843"/>
      <c r="N48" s="843"/>
      <c r="O48" s="48">
        <f>IF(t&lt;Tnet,'2018'!Resal+('2018'!Salim-'2018'!Resal)*(1-EXP(('2018'!Tnet-t)/('2018'!Tau_j))),Resal+(Salim-Resal)*(1-EXP((Tnet-t)/(Tau_j))))*Salcycl</f>
        <v>3.134909612952208E-2</v>
      </c>
      <c r="P48" s="169">
        <f>(INDEX(Models!$BJ48:$BT48,,T48)*(1-R48)+INDEX(Models!$BJ48:$BT48,,T48+1)*R48-ERP_i)*Q48*Ramure*Pc/MaxiM</f>
        <v>4.5692022415311584E-3</v>
      </c>
      <c r="Q48" s="305">
        <f t="shared" si="4"/>
        <v>0.8</v>
      </c>
      <c r="R48" s="177">
        <f t="shared" si="5"/>
        <v>0.60239962338759057</v>
      </c>
      <c r="S48" s="809">
        <f t="shared" si="6"/>
        <v>0</v>
      </c>
      <c r="T48" s="176">
        <f t="shared" si="7"/>
        <v>6</v>
      </c>
      <c r="U48" s="251">
        <f t="shared" si="21"/>
        <v>0.60239962338759057</v>
      </c>
      <c r="V48" s="383">
        <f t="shared" si="8"/>
        <v>25.434890826609021</v>
      </c>
      <c r="W48" s="58"/>
      <c r="X48" s="157">
        <f t="shared" si="9"/>
        <v>43499</v>
      </c>
      <c r="Y48" s="385">
        <f t="shared" si="10"/>
        <v>12.214</v>
      </c>
      <c r="Z48" s="385">
        <f t="shared" si="11"/>
        <v>12.266983400856196</v>
      </c>
      <c r="AA48" s="386">
        <f t="shared" si="12"/>
        <v>12.66398797734097</v>
      </c>
      <c r="AB48" s="197">
        <f t="shared" si="13"/>
        <v>43499</v>
      </c>
      <c r="AC48" s="425">
        <f>IF(OR(t&lt;Tnet,NoTnet),'2018'!Resal_s+('2018'!Salim-'2018'!Resal_s)*(1-EXP(('2018'!Tnet_s-t)/'2018'!Tau_j)),Resal_s+(Salim-Resal_s)*(1-EXP((Tnet_s-t)/Tau_j)))*Salcycl</f>
        <v>3.134909612952208E-2</v>
      </c>
      <c r="AD48" s="231">
        <f>(INDEX(Models!$BJ48:$BT48,,AH48)*(1-AF48)+INDEX(Models!$BJ48:$BT48,,AH48+1)*AF48-ERP_i)*AE48*Ramure*Pc/MaxiM</f>
        <v>4.5692022415311584E-3</v>
      </c>
      <c r="AE48" s="305">
        <f t="shared" si="14"/>
        <v>0.8</v>
      </c>
      <c r="AF48" s="177">
        <f t="shared" si="15"/>
        <v>0.60239962338759057</v>
      </c>
      <c r="AG48" s="176">
        <f t="shared" si="16"/>
        <v>0</v>
      </c>
      <c r="AH48" s="176">
        <f t="shared" si="17"/>
        <v>6</v>
      </c>
      <c r="AI48" s="225">
        <f t="shared" si="22"/>
        <v>0.60239962338759057</v>
      </c>
      <c r="AJ48" s="265" t="b">
        <f t="shared" si="18"/>
        <v>0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6">
        <v>19.131</v>
      </c>
      <c r="C49" s="390"/>
      <c r="D49" s="393">
        <f t="shared" si="0"/>
        <v>19.214435967528757</v>
      </c>
      <c r="E49" s="385">
        <f t="shared" si="1"/>
        <v>19.839400690754029</v>
      </c>
      <c r="F49" s="385">
        <f t="shared" si="2"/>
        <v>19.89663781404116</v>
      </c>
      <c r="G49" s="110">
        <f t="shared" si="23"/>
        <v>0.74216374688304354</v>
      </c>
      <c r="H49" s="414" t="b">
        <f>Wh_hp&gt;='2018'!Maxi_hp</f>
        <v>1</v>
      </c>
      <c r="I49" s="390">
        <f>IF(H49,Wh_hp,'2018'!Maxi_hp)</f>
        <v>19.89663781404116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4.3423584054073094E-3</v>
      </c>
      <c r="M49" s="843"/>
      <c r="N49" s="843"/>
      <c r="O49" s="48">
        <f>IF(t&lt;Tnet,'2018'!Resal+('2018'!Salim-'2018'!Resal)*(1-EXP(('2018'!Tnet-t)/('2018'!Tau_j))),Resal+(Salim-Resal)*(1-EXP((Tnet-t)/(Tau_j))))*Salcycl</f>
        <v>3.1501189625981606E-2</v>
      </c>
      <c r="P49" s="169">
        <f>(INDEX(Models!$BJ49:$BT49,,T49)*(1-R49)+INDEX(Models!$BJ49:$BT49,,T49+1)*R49-ERP_i)*Q49*Ramure*Pc/MaxiM</f>
        <v>4.5414617792534258E-3</v>
      </c>
      <c r="Q49" s="305">
        <f t="shared" si="4"/>
        <v>0.8</v>
      </c>
      <c r="R49" s="177">
        <f t="shared" si="5"/>
        <v>0.6025345835948297</v>
      </c>
      <c r="S49" s="809">
        <f t="shared" si="6"/>
        <v>0</v>
      </c>
      <c r="T49" s="176">
        <f t="shared" si="7"/>
        <v>6</v>
      </c>
      <c r="U49" s="251">
        <f t="shared" si="21"/>
        <v>0.6025345835948297</v>
      </c>
      <c r="V49" s="383">
        <f t="shared" si="8"/>
        <v>25.734293931053081</v>
      </c>
      <c r="W49" s="58"/>
      <c r="X49" s="157">
        <f t="shared" si="9"/>
        <v>43500</v>
      </c>
      <c r="Y49" s="385">
        <f t="shared" si="10"/>
        <v>19.131</v>
      </c>
      <c r="Z49" s="385">
        <f t="shared" si="11"/>
        <v>19.214435967528757</v>
      </c>
      <c r="AA49" s="386">
        <f t="shared" si="12"/>
        <v>19.839400690754029</v>
      </c>
      <c r="AB49" s="197">
        <f t="shared" si="13"/>
        <v>43500</v>
      </c>
      <c r="AC49" s="425">
        <f>IF(OR(t&lt;Tnet,NoTnet),'2018'!Resal_s+('2018'!Salim-'2018'!Resal_s)*(1-EXP(('2018'!Tnet_s-t)/'2018'!Tau_j)),Resal_s+(Salim-Resal_s)*(1-EXP((Tnet_s-t)/Tau_j)))*Salcycl</f>
        <v>3.1501189625981606E-2</v>
      </c>
      <c r="AD49" s="231">
        <f>(INDEX(Models!$BJ49:$BT49,,AH49)*(1-AF49)+INDEX(Models!$BJ49:$BT49,,AH49+1)*AF49-ERP_i)*AE49*Ramure*Pc/MaxiM</f>
        <v>4.5414617792534258E-3</v>
      </c>
      <c r="AE49" s="305">
        <f t="shared" si="14"/>
        <v>0.8</v>
      </c>
      <c r="AF49" s="177">
        <f t="shared" si="15"/>
        <v>0.6025345835948297</v>
      </c>
      <c r="AG49" s="176">
        <f t="shared" si="16"/>
        <v>0</v>
      </c>
      <c r="AH49" s="176">
        <f t="shared" si="17"/>
        <v>6</v>
      </c>
      <c r="AI49" s="225">
        <f t="shared" si="22"/>
        <v>0.6025345835948297</v>
      </c>
      <c r="AJ49" s="265" t="b">
        <f t="shared" si="18"/>
        <v>0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6">
        <v>3.8460000000000001</v>
      </c>
      <c r="C50" s="390"/>
      <c r="D50" s="393">
        <f t="shared" si="0"/>
        <v>3.8628634416563532</v>
      </c>
      <c r="E50" s="385">
        <f t="shared" si="1"/>
        <v>3.9891320737463221</v>
      </c>
      <c r="F50" s="385">
        <f t="shared" si="2"/>
        <v>3.9891320737463221</v>
      </c>
      <c r="G50" s="110">
        <f t="shared" si="23"/>
        <v>0.14705285004325155</v>
      </c>
      <c r="H50" s="414" t="b">
        <f>Wh_hp&gt;='2018'!Maxi_hp</f>
        <v>1</v>
      </c>
      <c r="I50" s="390">
        <f>IF(H50,Wh_hp,'2018'!Maxi_hp)</f>
        <v>3.9891320737463221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4.3655288132894432E-3</v>
      </c>
      <c r="M50" s="843"/>
      <c r="N50" s="843"/>
      <c r="O50" s="48">
        <f>IF(t&lt;Tnet,'2018'!Resal+('2018'!Salim-'2018'!Resal)*(1-EXP(('2018'!Tnet-t)/('2018'!Tau_j))),Resal+(Salim-Resal)*(1-EXP((Tnet-t)/(Tau_j))))*Salcycl</f>
        <v>3.1653159072115182E-2</v>
      </c>
      <c r="P50" s="169">
        <f>(INDEX(Models!$BJ50:$BT50,,T50)*(1-R50)+INDEX(Models!$BJ50:$BT50,,T50+1)*R50-ERP_i)*Q50*Ramure*Pc/MaxiM</f>
        <v>4.5290904374559503E-3</v>
      </c>
      <c r="Q50" s="305">
        <f t="shared" si="4"/>
        <v>0.8</v>
      </c>
      <c r="R50" s="177">
        <f t="shared" si="5"/>
        <v>0.60267514084376672</v>
      </c>
      <c r="S50" s="809">
        <f t="shared" si="6"/>
        <v>0</v>
      </c>
      <c r="T50" s="176">
        <f t="shared" si="7"/>
        <v>6</v>
      </c>
      <c r="U50" s="251">
        <f t="shared" si="21"/>
        <v>0.60267514084376672</v>
      </c>
      <c r="V50" s="383">
        <f t="shared" si="8"/>
        <v>26.035409154269857</v>
      </c>
      <c r="W50" s="58"/>
      <c r="X50" s="157">
        <f t="shared" si="9"/>
        <v>43501</v>
      </c>
      <c r="Y50" s="385">
        <f t="shared" si="10"/>
        <v>3.8460000000000001</v>
      </c>
      <c r="Z50" s="385">
        <f t="shared" si="11"/>
        <v>3.8628634416563532</v>
      </c>
      <c r="AA50" s="386">
        <f t="shared" si="12"/>
        <v>3.9891320737463221</v>
      </c>
      <c r="AB50" s="197">
        <f t="shared" si="13"/>
        <v>43501</v>
      </c>
      <c r="AC50" s="425">
        <f>IF(OR(t&lt;Tnet,NoTnet),'2018'!Resal_s+('2018'!Salim-'2018'!Resal_s)*(1-EXP(('2018'!Tnet_s-t)/'2018'!Tau_j)),Resal_s+(Salim-Resal_s)*(1-EXP((Tnet_s-t)/Tau_j)))*Salcycl</f>
        <v>3.1653159072115182E-2</v>
      </c>
      <c r="AD50" s="231">
        <f>(INDEX(Models!$BJ50:$BT50,,AH50)*(1-AF50)+INDEX(Models!$BJ50:$BT50,,AH50+1)*AF50-ERP_i)*AE50*Ramure*Pc/MaxiM</f>
        <v>4.5290904374559503E-3</v>
      </c>
      <c r="AE50" s="305">
        <f t="shared" si="14"/>
        <v>0.8</v>
      </c>
      <c r="AF50" s="177">
        <f t="shared" si="15"/>
        <v>0.60267514084376672</v>
      </c>
      <c r="AG50" s="176">
        <f t="shared" si="16"/>
        <v>0</v>
      </c>
      <c r="AH50" s="176">
        <f t="shared" si="17"/>
        <v>6</v>
      </c>
      <c r="AI50" s="225">
        <f t="shared" si="22"/>
        <v>0.60267514084376672</v>
      </c>
      <c r="AJ50" s="265" t="b">
        <f t="shared" si="18"/>
        <v>0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6">
        <v>10.35</v>
      </c>
      <c r="C51" s="390"/>
      <c r="D51" s="393">
        <f t="shared" si="0"/>
        <v>10.395623258090961</v>
      </c>
      <c r="E51" s="385">
        <f t="shared" si="1"/>
        <v>10.737117301362202</v>
      </c>
      <c r="F51" s="385">
        <f t="shared" si="2"/>
        <v>10.743583828018446</v>
      </c>
      <c r="G51" s="110">
        <f t="shared" si="23"/>
        <v>0.39142864649718923</v>
      </c>
      <c r="H51" s="414" t="b">
        <f>Wh_hp&gt;='2018'!Maxi_hp</f>
        <v>1</v>
      </c>
      <c r="I51" s="390">
        <f>IF(H51,Wh_hp,'2018'!Maxi_hp)</f>
        <v>10.743583828018446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4.3886986819623441E-3</v>
      </c>
      <c r="M51" s="843"/>
      <c r="N51" s="843"/>
      <c r="O51" s="48">
        <f>IF(t&lt;Tnet,'2018'!Resal+('2018'!Salim-'2018'!Resal)*(1-EXP(('2018'!Tnet-t)/('2018'!Tau_j))),Resal+(Salim-Resal)*(1-EXP((Tnet-t)/(Tau_j))))*Salcycl</f>
        <v>3.180500256134091E-2</v>
      </c>
      <c r="P51" s="169">
        <f>(INDEX(Models!$BJ51:$BT51,,T51)*(1-R51)+INDEX(Models!$BJ51:$BT51,,T51+1)*R51-ERP_i)*Q51*Ramure*Pc/MaxiM</f>
        <v>4.5316774469940299E-3</v>
      </c>
      <c r="Q51" s="305">
        <f t="shared" si="4"/>
        <v>0.8</v>
      </c>
      <c r="R51" s="177">
        <f t="shared" si="5"/>
        <v>0.60282152443927972</v>
      </c>
      <c r="S51" s="809">
        <f t="shared" si="6"/>
        <v>0</v>
      </c>
      <c r="T51" s="176">
        <f t="shared" si="7"/>
        <v>6</v>
      </c>
      <c r="U51" s="251">
        <f t="shared" si="21"/>
        <v>0.60282152443927972</v>
      </c>
      <c r="V51" s="383">
        <f t="shared" si="8"/>
        <v>26.337628491784383</v>
      </c>
      <c r="W51" s="58"/>
      <c r="X51" s="157">
        <f t="shared" si="9"/>
        <v>43502</v>
      </c>
      <c r="Y51" s="385">
        <f t="shared" si="10"/>
        <v>10.35</v>
      </c>
      <c r="Z51" s="385">
        <f t="shared" si="11"/>
        <v>10.395623258090961</v>
      </c>
      <c r="AA51" s="386">
        <f t="shared" si="12"/>
        <v>10.737117301362202</v>
      </c>
      <c r="AB51" s="197">
        <f t="shared" si="13"/>
        <v>43502</v>
      </c>
      <c r="AC51" s="425">
        <f>IF(OR(t&lt;Tnet,NoTnet),'2018'!Resal_s+('2018'!Salim-'2018'!Resal_s)*(1-EXP(('2018'!Tnet_s-t)/'2018'!Tau_j)),Resal_s+(Salim-Resal_s)*(1-EXP((Tnet_s-t)/Tau_j)))*Salcycl</f>
        <v>3.180500256134091E-2</v>
      </c>
      <c r="AD51" s="231">
        <f>(INDEX(Models!$BJ51:$BT51,,AH51)*(1-AF51)+INDEX(Models!$BJ51:$BT51,,AH51+1)*AF51-ERP_i)*AE51*Ramure*Pc/MaxiM</f>
        <v>4.5316774469940299E-3</v>
      </c>
      <c r="AE51" s="305">
        <f t="shared" si="14"/>
        <v>0.8</v>
      </c>
      <c r="AF51" s="177">
        <f t="shared" si="15"/>
        <v>0.60282152443927972</v>
      </c>
      <c r="AG51" s="176">
        <f t="shared" si="16"/>
        <v>0</v>
      </c>
      <c r="AH51" s="176">
        <f t="shared" si="17"/>
        <v>6</v>
      </c>
      <c r="AI51" s="225">
        <f t="shared" si="22"/>
        <v>0.60282152443927972</v>
      </c>
      <c r="AJ51" s="265" t="b">
        <f t="shared" si="18"/>
        <v>0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6">
        <v>7.0659999999999998</v>
      </c>
      <c r="C52" s="390"/>
      <c r="D52" s="393">
        <f t="shared" si="0"/>
        <v>7.0973124055693164</v>
      </c>
      <c r="E52" s="385">
        <f t="shared" si="1"/>
        <v>7.3316064856877334</v>
      </c>
      <c r="F52" s="385">
        <f t="shared" si="2"/>
        <v>7.3316064856877334</v>
      </c>
      <c r="G52" s="110">
        <f t="shared" si="23"/>
        <v>0.26402607083978824</v>
      </c>
      <c r="H52" s="414" t="b">
        <f>Wh_hp&gt;='2018'!Maxi_hp</f>
        <v>1</v>
      </c>
      <c r="I52" s="390">
        <f>IF(H52,Wh_hp,'2018'!Maxi_hp)</f>
        <v>7.3316064856877334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4.4118680114384468E-3</v>
      </c>
      <c r="M52" s="843"/>
      <c r="N52" s="843"/>
      <c r="O52" s="48">
        <f>IF(t&lt;Tnet,'2018'!Resal+('2018'!Salim-'2018'!Resal)*(1-EXP(('2018'!Tnet-t)/('2018'!Tau_j))),Resal+(Salim-Resal)*(1-EXP((Tnet-t)/(Tau_j))))*Salcycl</f>
        <v>3.1956717886562881E-2</v>
      </c>
      <c r="P52" s="169">
        <f>(INDEX(Models!$BJ52:$BT52,,T52)*(1-R52)+INDEX(Models!$BJ52:$BT52,,T52+1)*R52-ERP_i)*Q52*Ramure*Pc/MaxiM</f>
        <v>4.5511153987533165E-3</v>
      </c>
      <c r="Q52" s="305">
        <f t="shared" si="4"/>
        <v>0.8</v>
      </c>
      <c r="R52" s="177">
        <f t="shared" si="5"/>
        <v>0.60297397284116139</v>
      </c>
      <c r="S52" s="809">
        <f t="shared" si="6"/>
        <v>0</v>
      </c>
      <c r="T52" s="176">
        <f t="shared" si="7"/>
        <v>6</v>
      </c>
      <c r="U52" s="251">
        <f t="shared" si="21"/>
        <v>0.60297397284116139</v>
      </c>
      <c r="V52" s="383">
        <f t="shared" si="8"/>
        <v>26.640709367146414</v>
      </c>
      <c r="W52" s="58"/>
      <c r="X52" s="157">
        <f t="shared" si="9"/>
        <v>43503</v>
      </c>
      <c r="Y52" s="385">
        <f t="shared" si="10"/>
        <v>7.0659999999999998</v>
      </c>
      <c r="Z52" s="385">
        <f t="shared" si="11"/>
        <v>7.0973124055693164</v>
      </c>
      <c r="AA52" s="386">
        <f t="shared" si="12"/>
        <v>7.3316064856877334</v>
      </c>
      <c r="AB52" s="197">
        <f t="shared" si="13"/>
        <v>43503</v>
      </c>
      <c r="AC52" s="425">
        <f>IF(OR(t&lt;Tnet,NoTnet),'2018'!Resal_s+('2018'!Salim-'2018'!Resal_s)*(1-EXP(('2018'!Tnet_s-t)/'2018'!Tau_j)),Resal_s+(Salim-Resal_s)*(1-EXP((Tnet_s-t)/Tau_j)))*Salcycl</f>
        <v>3.1956717886562881E-2</v>
      </c>
      <c r="AD52" s="231">
        <f>(INDEX(Models!$BJ52:$BT52,,AH52)*(1-AF52)+INDEX(Models!$BJ52:$BT52,,AH52+1)*AF52-ERP_i)*AE52*Ramure*Pc/MaxiM</f>
        <v>4.5511153987533165E-3</v>
      </c>
      <c r="AE52" s="305">
        <f t="shared" si="14"/>
        <v>0.8</v>
      </c>
      <c r="AF52" s="177">
        <f t="shared" si="15"/>
        <v>0.60297397284116139</v>
      </c>
      <c r="AG52" s="176">
        <f t="shared" si="16"/>
        <v>0</v>
      </c>
      <c r="AH52" s="176">
        <f t="shared" si="17"/>
        <v>6</v>
      </c>
      <c r="AI52" s="225">
        <f t="shared" si="22"/>
        <v>0.60297397284116139</v>
      </c>
      <c r="AJ52" s="265" t="b">
        <f t="shared" si="18"/>
        <v>0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6">
        <v>22.379000000000001</v>
      </c>
      <c r="C53" s="390"/>
      <c r="D53" s="393">
        <f t="shared" si="0"/>
        <v>22.478693834410446</v>
      </c>
      <c r="E53" s="385">
        <f t="shared" si="1"/>
        <v>23.22438956140844</v>
      </c>
      <c r="F53" s="385">
        <f t="shared" si="2"/>
        <v>23.3052638935118</v>
      </c>
      <c r="G53" s="110">
        <f t="shared" si="23"/>
        <v>0.82961069083199979</v>
      </c>
      <c r="H53" s="414" t="b">
        <f>Wh_hp&gt;='2018'!Maxi_hp</f>
        <v>1</v>
      </c>
      <c r="I53" s="390">
        <f>IF(H53,Wh_hp,'2018'!Maxi_hp)</f>
        <v>23.3052638935118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4.4350368017305186E-3</v>
      </c>
      <c r="M53" s="843"/>
      <c r="N53" s="843"/>
      <c r="O53" s="48">
        <f>IF(t&lt;Tnet,'2018'!Resal+('2018'!Salim-'2018'!Resal)*(1-EXP(('2018'!Tnet-t)/('2018'!Tau_j))),Resal+(Salim-Resal)*(1-EXP((Tnet-t)/(Tau_j))))*Salcycl</f>
        <v>3.2108302568137306E-2</v>
      </c>
      <c r="P53" s="169">
        <f>(INDEX(Models!$BJ53:$BT53,,T53)*(1-R53)+INDEX(Models!$BJ53:$BT53,,T53+1)*R53-ERP_i)*Q53*Ramure*Pc/MaxiM</f>
        <v>4.5786882532948825E-3</v>
      </c>
      <c r="Q53" s="305">
        <f t="shared" si="4"/>
        <v>0.8</v>
      </c>
      <c r="R53" s="177">
        <f t="shared" si="5"/>
        <v>0.60313273400920098</v>
      </c>
      <c r="S53" s="809">
        <f t="shared" si="6"/>
        <v>0</v>
      </c>
      <c r="T53" s="176">
        <f t="shared" si="7"/>
        <v>6</v>
      </c>
      <c r="U53" s="251">
        <f t="shared" si="21"/>
        <v>0.60313273400920098</v>
      </c>
      <c r="V53" s="383">
        <f t="shared" si="8"/>
        <v>26.945297829490983</v>
      </c>
      <c r="W53" s="58"/>
      <c r="X53" s="157">
        <f t="shared" si="9"/>
        <v>43504</v>
      </c>
      <c r="Y53" s="385">
        <f t="shared" si="10"/>
        <v>22.379000000000001</v>
      </c>
      <c r="Z53" s="385">
        <f t="shared" si="11"/>
        <v>22.478693834410446</v>
      </c>
      <c r="AA53" s="386">
        <f t="shared" si="12"/>
        <v>23.22438956140844</v>
      </c>
      <c r="AB53" s="197">
        <f t="shared" si="13"/>
        <v>43504</v>
      </c>
      <c r="AC53" s="425">
        <f>IF(OR(t&lt;Tnet,NoTnet),'2018'!Resal_s+('2018'!Salim-'2018'!Resal_s)*(1-EXP(('2018'!Tnet_s-t)/'2018'!Tau_j)),Resal_s+(Salim-Resal_s)*(1-EXP((Tnet_s-t)/Tau_j)))*Salcycl</f>
        <v>3.2108302568137306E-2</v>
      </c>
      <c r="AD53" s="231">
        <f>(INDEX(Models!$BJ53:$BT53,,AH53)*(1-AF53)+INDEX(Models!$BJ53:$BT53,,AH53+1)*AF53-ERP_i)*AE53*Ramure*Pc/MaxiM</f>
        <v>4.5786882532948825E-3</v>
      </c>
      <c r="AE53" s="305">
        <f t="shared" si="14"/>
        <v>0.8</v>
      </c>
      <c r="AF53" s="177">
        <f t="shared" si="15"/>
        <v>0.60313273400920098</v>
      </c>
      <c r="AG53" s="176">
        <f t="shared" si="16"/>
        <v>0</v>
      </c>
      <c r="AH53" s="176">
        <f t="shared" si="17"/>
        <v>6</v>
      </c>
      <c r="AI53" s="225">
        <f t="shared" si="22"/>
        <v>0.60313273400920098</v>
      </c>
      <c r="AJ53" s="265" t="b">
        <f t="shared" si="18"/>
        <v>0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6">
        <v>24.041</v>
      </c>
      <c r="C54" s="390"/>
      <c r="D54" s="393">
        <f t="shared" si="0"/>
        <v>24.148659676589752</v>
      </c>
      <c r="E54" s="385">
        <f t="shared" si="1"/>
        <v>24.953658560318569</v>
      </c>
      <c r="F54" s="385">
        <f t="shared" si="2"/>
        <v>25.049785639672507</v>
      </c>
      <c r="G54" s="110">
        <f t="shared" si="23"/>
        <v>0.881491831435533</v>
      </c>
      <c r="H54" s="414" t="b">
        <f>Wh_hp&gt;='2018'!Maxi_hp</f>
        <v>1</v>
      </c>
      <c r="I54" s="390">
        <f>IF(H54,Wh_hp,'2018'!Maxi_hp)</f>
        <v>25.049785639672507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4.4582050528509942E-3</v>
      </c>
      <c r="M54" s="843"/>
      <c r="N54" s="843"/>
      <c r="O54" s="48">
        <f>IF(t&lt;Tnet,'2018'!Resal+('2018'!Salim-'2018'!Resal)*(1-EXP(('2018'!Tnet-t)/('2018'!Tau_j))),Resal+(Salim-Resal)*(1-EXP((Tnet-t)/(Tau_j))))*Salcycl</f>
        <v>3.2259753886707848E-2</v>
      </c>
      <c r="P54" s="169">
        <f>(INDEX(Models!$BJ54:$BT54,,T54)*(1-R54)+INDEX(Models!$BJ54:$BT54,,T54+1)*R54-ERP_i)*Q54*Ramure*Pc/MaxiM</f>
        <v>4.6140553732395449E-3</v>
      </c>
      <c r="Q54" s="305">
        <f t="shared" si="4"/>
        <v>0.8</v>
      </c>
      <c r="R54" s="177">
        <f t="shared" si="5"/>
        <v>0.60329806575951028</v>
      </c>
      <c r="S54" s="809">
        <f t="shared" si="6"/>
        <v>0</v>
      </c>
      <c r="T54" s="176">
        <f t="shared" si="7"/>
        <v>6</v>
      </c>
      <c r="U54" s="251">
        <f t="shared" si="21"/>
        <v>0.60329806575951028</v>
      </c>
      <c r="V54" s="383">
        <f t="shared" si="8"/>
        <v>27.251820877539107</v>
      </c>
      <c r="W54" s="58"/>
      <c r="X54" s="157">
        <f t="shared" si="9"/>
        <v>43505</v>
      </c>
      <c r="Y54" s="385">
        <f t="shared" si="10"/>
        <v>24.041</v>
      </c>
      <c r="Z54" s="385">
        <f t="shared" si="11"/>
        <v>24.148659676589752</v>
      </c>
      <c r="AA54" s="386">
        <f t="shared" si="12"/>
        <v>24.953658560318569</v>
      </c>
      <c r="AB54" s="197">
        <f t="shared" si="13"/>
        <v>43505</v>
      </c>
      <c r="AC54" s="425">
        <f>IF(OR(t&lt;Tnet,NoTnet),'2018'!Resal_s+('2018'!Salim-'2018'!Resal_s)*(1-EXP(('2018'!Tnet_s-t)/'2018'!Tau_j)),Resal_s+(Salim-Resal_s)*(1-EXP((Tnet_s-t)/Tau_j)))*Salcycl</f>
        <v>3.2259753886707848E-2</v>
      </c>
      <c r="AD54" s="231">
        <f>(INDEX(Models!$BJ54:$BT54,,AH54)*(1-AF54)+INDEX(Models!$BJ54:$BT54,,AH54+1)*AF54-ERP_i)*AE54*Ramure*Pc/MaxiM</f>
        <v>4.6140553732395449E-3</v>
      </c>
      <c r="AE54" s="305">
        <f t="shared" si="14"/>
        <v>0.8</v>
      </c>
      <c r="AF54" s="177">
        <f t="shared" si="15"/>
        <v>0.60329806575951028</v>
      </c>
      <c r="AG54" s="176">
        <f t="shared" si="16"/>
        <v>0</v>
      </c>
      <c r="AH54" s="176">
        <f t="shared" si="17"/>
        <v>6</v>
      </c>
      <c r="AI54" s="225">
        <f t="shared" si="22"/>
        <v>0.60329806575951028</v>
      </c>
      <c r="AJ54" s="265" t="b">
        <f t="shared" si="18"/>
        <v>0</v>
      </c>
      <c r="AK54" s="265" t="b">
        <f t="shared" si="19"/>
        <v>1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6">
        <v>8.0660000000000007</v>
      </c>
      <c r="C55" s="390"/>
      <c r="D55" s="393">
        <f t="shared" si="0"/>
        <v>8.1023094689863964</v>
      </c>
      <c r="E55" s="385">
        <f t="shared" si="1"/>
        <v>8.3737103730066771</v>
      </c>
      <c r="F55" s="385">
        <f t="shared" si="2"/>
        <v>8.3737103730066771</v>
      </c>
      <c r="G55" s="110">
        <f t="shared" si="23"/>
        <v>0.29130014992497283</v>
      </c>
      <c r="H55" s="414" t="b">
        <f>Wh_hp&gt;='2018'!Maxi_hp</f>
        <v>1</v>
      </c>
      <c r="I55" s="390">
        <f>IF(H55,Wh_hp,'2018'!Maxi_hp)</f>
        <v>8.3737103730066771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4.4813727648123081E-3</v>
      </c>
      <c r="M55" s="843"/>
      <c r="N55" s="843"/>
      <c r="O55" s="48">
        <f>IF(t&lt;Tnet,'2018'!Resal+('2018'!Salim-'2018'!Resal)*(1-EXP(('2018'!Tnet-t)/('2018'!Tau_j))),Resal+(Salim-Resal)*(1-EXP((Tnet-t)/(Tau_j))))*Salcycl</f>
        <v>3.2411068920554363E-2</v>
      </c>
      <c r="P55" s="169">
        <f>(INDEX(Models!$BJ55:$BT55,,T55)*(1-R55)+INDEX(Models!$BJ55:$BT55,,T55+1)*R55-ERP_i)*Q55*Ramure*Pc/MaxiM</f>
        <v>4.6568866872435171E-3</v>
      </c>
      <c r="Q55" s="305">
        <f t="shared" si="4"/>
        <v>0.8</v>
      </c>
      <c r="R55" s="177">
        <f t="shared" si="5"/>
        <v>0.60347023613230533</v>
      </c>
      <c r="S55" s="809">
        <f t="shared" si="6"/>
        <v>0</v>
      </c>
      <c r="T55" s="176">
        <f t="shared" si="7"/>
        <v>6</v>
      </c>
      <c r="U55" s="251">
        <f t="shared" si="21"/>
        <v>0.60347023613230533</v>
      </c>
      <c r="V55" s="383">
        <f t="shared" si="8"/>
        <v>27.560705183462815</v>
      </c>
      <c r="W55" s="58"/>
      <c r="X55" s="157">
        <f t="shared" si="9"/>
        <v>43506</v>
      </c>
      <c r="Y55" s="385">
        <f t="shared" si="10"/>
        <v>8.0660000000000007</v>
      </c>
      <c r="Z55" s="385">
        <f t="shared" si="11"/>
        <v>8.1023094689863964</v>
      </c>
      <c r="AA55" s="386">
        <f t="shared" si="12"/>
        <v>8.3737103730066771</v>
      </c>
      <c r="AB55" s="197">
        <f t="shared" si="13"/>
        <v>43506</v>
      </c>
      <c r="AC55" s="425">
        <f>IF(OR(t&lt;Tnet,NoTnet),'2018'!Resal_s+('2018'!Salim-'2018'!Resal_s)*(1-EXP(('2018'!Tnet_s-t)/'2018'!Tau_j)),Resal_s+(Salim-Resal_s)*(1-EXP((Tnet_s-t)/Tau_j)))*Salcycl</f>
        <v>3.2411068920554363E-2</v>
      </c>
      <c r="AD55" s="231">
        <f>(INDEX(Models!$BJ55:$BT55,,AH55)*(1-AF55)+INDEX(Models!$BJ55:$BT55,,AH55+1)*AF55-ERP_i)*AE55*Ramure*Pc/MaxiM</f>
        <v>4.6568866872435171E-3</v>
      </c>
      <c r="AE55" s="305">
        <f t="shared" si="14"/>
        <v>0.8</v>
      </c>
      <c r="AF55" s="177">
        <f t="shared" si="15"/>
        <v>0.60347023613230533</v>
      </c>
      <c r="AG55" s="176">
        <f t="shared" si="16"/>
        <v>0</v>
      </c>
      <c r="AH55" s="176">
        <f t="shared" si="17"/>
        <v>6</v>
      </c>
      <c r="AI55" s="225">
        <f t="shared" si="22"/>
        <v>0.60347023613230533</v>
      </c>
      <c r="AJ55" s="265" t="b">
        <f t="shared" si="18"/>
        <v>0</v>
      </c>
      <c r="AK55" s="265" t="b">
        <f t="shared" si="19"/>
        <v>1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6">
        <v>18.318999999999999</v>
      </c>
      <c r="C56" s="390"/>
      <c r="D56" s="393">
        <f t="shared" si="0"/>
        <v>18.401892057701822</v>
      </c>
      <c r="E56" s="385">
        <f t="shared" si="1"/>
        <v>19.021267213048827</v>
      </c>
      <c r="F56" s="385">
        <f t="shared" si="2"/>
        <v>19.067069199690724</v>
      </c>
      <c r="G56" s="110">
        <f t="shared" si="23"/>
        <v>0.65572729201131508</v>
      </c>
      <c r="H56" s="414" t="b">
        <f>Wh_hp&gt;='2018'!Maxi_hp</f>
        <v>1</v>
      </c>
      <c r="I56" s="390">
        <f>IF(H56,Wh_hp,'2018'!Maxi_hp)</f>
        <v>19.067069199690724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4.5045399376272277E-3</v>
      </c>
      <c r="M56" s="843"/>
      <c r="N56" s="843"/>
      <c r="O56" s="48">
        <f>IF(t&lt;Tnet,'2018'!Resal+('2018'!Salim-'2018'!Resal)*(1-EXP(('2018'!Tnet-t)/('2018'!Tau_j))),Resal+(Salim-Resal)*(1-EXP((Tnet-t)/(Tau_j))))*Salcycl</f>
        <v>3.256224458705393E-2</v>
      </c>
      <c r="P56" s="169">
        <f>(INDEX(Models!$BJ56:$BT56,,T56)*(1-R56)+INDEX(Models!$BJ56:$BT56,,T56+1)*R56-ERP_i)*Q56*Ramure*Pc/MaxiM</f>
        <v>4.7068613202571616E-3</v>
      </c>
      <c r="Q56" s="305">
        <f t="shared" si="4"/>
        <v>0.8</v>
      </c>
      <c r="R56" s="177">
        <f t="shared" si="5"/>
        <v>0.60364952377133874</v>
      </c>
      <c r="S56" s="809">
        <f t="shared" si="6"/>
        <v>0</v>
      </c>
      <c r="T56" s="176">
        <f t="shared" si="7"/>
        <v>6</v>
      </c>
      <c r="U56" s="251">
        <f t="shared" si="21"/>
        <v>0.60364952377133874</v>
      </c>
      <c r="V56" s="383">
        <f t="shared" si="8"/>
        <v>27.872377096882929</v>
      </c>
      <c r="W56" s="58"/>
      <c r="X56" s="157">
        <f t="shared" si="9"/>
        <v>43507</v>
      </c>
      <c r="Y56" s="385">
        <f t="shared" si="10"/>
        <v>18.318999999999999</v>
      </c>
      <c r="Z56" s="385">
        <f t="shared" si="11"/>
        <v>18.401892057701822</v>
      </c>
      <c r="AA56" s="386">
        <f t="shared" si="12"/>
        <v>19.021267213048827</v>
      </c>
      <c r="AB56" s="197">
        <f t="shared" si="13"/>
        <v>43507</v>
      </c>
      <c r="AC56" s="425">
        <f>IF(OR(t&lt;Tnet,NoTnet),'2018'!Resal_s+('2018'!Salim-'2018'!Resal_s)*(1-EXP(('2018'!Tnet_s-t)/'2018'!Tau_j)),Resal_s+(Salim-Resal_s)*(1-EXP((Tnet_s-t)/Tau_j)))*Salcycl</f>
        <v>3.256224458705393E-2</v>
      </c>
      <c r="AD56" s="231">
        <f>(INDEX(Models!$BJ56:$BT56,,AH56)*(1-AF56)+INDEX(Models!$BJ56:$BT56,,AH56+1)*AF56-ERP_i)*AE56*Ramure*Pc/MaxiM</f>
        <v>4.7068613202571616E-3</v>
      </c>
      <c r="AE56" s="305">
        <f t="shared" si="14"/>
        <v>0.8</v>
      </c>
      <c r="AF56" s="177">
        <f t="shared" si="15"/>
        <v>0.60364952377133874</v>
      </c>
      <c r="AG56" s="176">
        <f t="shared" si="16"/>
        <v>0</v>
      </c>
      <c r="AH56" s="176">
        <f t="shared" si="17"/>
        <v>6</v>
      </c>
      <c r="AI56" s="225">
        <f t="shared" si="22"/>
        <v>0.60364952377133874</v>
      </c>
      <c r="AJ56" s="265" t="b">
        <f t="shared" si="18"/>
        <v>0</v>
      </c>
      <c r="AK56" s="265" t="b">
        <f t="shared" si="19"/>
        <v>1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6">
        <v>28.699000000000002</v>
      </c>
      <c r="C57" s="390"/>
      <c r="D57" s="393">
        <f t="shared" si="0"/>
        <v>28.829531659944465</v>
      </c>
      <c r="E57" s="385">
        <f t="shared" si="1"/>
        <v>29.804535713082959</v>
      </c>
      <c r="F57" s="385">
        <f t="shared" si="2"/>
        <v>29.947194156112754</v>
      </c>
      <c r="G57" s="110">
        <f t="shared" si="23"/>
        <v>1.0181549153375453</v>
      </c>
      <c r="H57" s="414" t="b">
        <f>Wh_hp&gt;='2018'!Maxi_hp</f>
        <v>1</v>
      </c>
      <c r="I57" s="390">
        <f>IF(H57,Wh_hp,'2018'!Maxi_hp)</f>
        <v>29.947194156112754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4.5277065713080766E-3</v>
      </c>
      <c r="M57" s="843"/>
      <c r="N57" s="843"/>
      <c r="O57" s="48">
        <f>IF(t&lt;Tnet,'2018'!Resal+('2018'!Salim-'2018'!Resal)*(1-EXP(('2018'!Tnet-t)/('2018'!Tau_j))),Resal+(Salim-Resal)*(1-EXP((Tnet-t)/(Tau_j))))*Salcycl</f>
        <v>3.2713277687815366E-2</v>
      </c>
      <c r="P57" s="169">
        <f>(INDEX(Models!$BJ57:$BT57,,T57)*(1-R57)+INDEX(Models!$BJ57:$BT57,,T57+1)*R57-ERP_i)*Q57*Ramure*Pc/MaxiM</f>
        <v>4.7636664151614449E-3</v>
      </c>
      <c r="Q57" s="305">
        <f t="shared" si="4"/>
        <v>0.8</v>
      </c>
      <c r="R57" s="177">
        <f t="shared" si="5"/>
        <v>0.60383621831516621</v>
      </c>
      <c r="S57" s="809">
        <f t="shared" si="6"/>
        <v>0</v>
      </c>
      <c r="T57" s="176">
        <f t="shared" si="7"/>
        <v>6</v>
      </c>
      <c r="U57" s="251">
        <f t="shared" si="21"/>
        <v>0.60383621831516621</v>
      </c>
      <c r="V57" s="383">
        <f t="shared" si="8"/>
        <v>28.187262633295372</v>
      </c>
      <c r="W57" s="58"/>
      <c r="X57" s="157">
        <f t="shared" si="9"/>
        <v>43508</v>
      </c>
      <c r="Y57" s="385">
        <f t="shared" si="10"/>
        <v>28.699000000000002</v>
      </c>
      <c r="Z57" s="385">
        <f t="shared" si="11"/>
        <v>28.829531659944465</v>
      </c>
      <c r="AA57" s="386">
        <f t="shared" si="12"/>
        <v>29.804535713082959</v>
      </c>
      <c r="AB57" s="197">
        <f t="shared" si="13"/>
        <v>43508</v>
      </c>
      <c r="AC57" s="425">
        <f>IF(OR(t&lt;Tnet,NoTnet),'2018'!Resal_s+('2018'!Salim-'2018'!Resal_s)*(1-EXP(('2018'!Tnet_s-t)/'2018'!Tau_j)),Resal_s+(Salim-Resal_s)*(1-EXP((Tnet_s-t)/Tau_j)))*Salcycl</f>
        <v>3.2713277687815366E-2</v>
      </c>
      <c r="AD57" s="231">
        <f>(INDEX(Models!$BJ57:$BT57,,AH57)*(1-AF57)+INDEX(Models!$BJ57:$BT57,,AH57+1)*AF57-ERP_i)*AE57*Ramure*Pc/MaxiM</f>
        <v>4.7636664151614449E-3</v>
      </c>
      <c r="AE57" s="305">
        <f t="shared" si="14"/>
        <v>0.8</v>
      </c>
      <c r="AF57" s="177">
        <f t="shared" si="15"/>
        <v>0.60383621831516621</v>
      </c>
      <c r="AG57" s="176">
        <f t="shared" si="16"/>
        <v>0</v>
      </c>
      <c r="AH57" s="176">
        <f t="shared" si="17"/>
        <v>6</v>
      </c>
      <c r="AI57" s="225">
        <f t="shared" si="22"/>
        <v>0.60383621831516621</v>
      </c>
      <c r="AJ57" s="265" t="b">
        <f t="shared" si="18"/>
        <v>0</v>
      </c>
      <c r="AK57" s="265" t="b">
        <f t="shared" si="19"/>
        <v>1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6">
        <v>29.503</v>
      </c>
      <c r="C58" s="390"/>
      <c r="D58" s="393">
        <f t="shared" si="0"/>
        <v>29.63787820981938</v>
      </c>
      <c r="E58" s="385">
        <f t="shared" si="1"/>
        <v>30.645000563444182</v>
      </c>
      <c r="F58" s="385">
        <f t="shared" si="2"/>
        <v>30.793710907907265</v>
      </c>
      <c r="G58" s="110">
        <f t="shared" si="23"/>
        <v>1.0349851469192644</v>
      </c>
      <c r="H58" s="414" t="b">
        <f>Wh_hp&gt;='2018'!Maxi_hp</f>
        <v>1</v>
      </c>
      <c r="I58" s="390">
        <f>IF(H58,Wh_hp,'2018'!Maxi_hp)</f>
        <v>30.793710907907265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4.5508726658676224E-3</v>
      </c>
      <c r="M58" s="843"/>
      <c r="N58" s="843"/>
      <c r="O58" s="48">
        <f>IF(t&lt;Tnet,'2018'!Resal+('2018'!Salim-'2018'!Resal)*(1-EXP(('2018'!Tnet-t)/('2018'!Tau_j))),Resal+(Salim-Resal)*(1-EXP((Tnet-t)/(Tau_j))))*Salcycl</f>
        <v>3.2864164957013518E-2</v>
      </c>
      <c r="P58" s="169">
        <f>(INDEX(Models!$BJ58:$BT58,,T58)*(1-R58)+INDEX(Models!$BJ58:$BT58,,T58+1)*R58-ERP_i)*Q58*Ramure*Pc/MaxiM</f>
        <v>4.8292440267371783E-3</v>
      </c>
      <c r="Q58" s="305">
        <f t="shared" si="4"/>
        <v>0.8</v>
      </c>
      <c r="R58" s="177">
        <f t="shared" si="5"/>
        <v>0.60403062080041314</v>
      </c>
      <c r="S58" s="809">
        <f t="shared" si="6"/>
        <v>0</v>
      </c>
      <c r="T58" s="176">
        <f t="shared" si="7"/>
        <v>6</v>
      </c>
      <c r="U58" s="251">
        <f t="shared" si="21"/>
        <v>0.60403062080041314</v>
      </c>
      <c r="V58" s="383">
        <f t="shared" si="8"/>
        <v>28.505723089668095</v>
      </c>
      <c r="W58" s="58"/>
      <c r="X58" s="157">
        <f t="shared" si="9"/>
        <v>43509</v>
      </c>
      <c r="Y58" s="385">
        <f t="shared" si="10"/>
        <v>29.503</v>
      </c>
      <c r="Z58" s="385">
        <f t="shared" si="11"/>
        <v>29.63787820981938</v>
      </c>
      <c r="AA58" s="386">
        <f t="shared" si="12"/>
        <v>30.645000563444182</v>
      </c>
      <c r="AB58" s="197">
        <f t="shared" si="13"/>
        <v>43509</v>
      </c>
      <c r="AC58" s="425">
        <f>IF(OR(t&lt;Tnet,NoTnet),'2018'!Resal_s+('2018'!Salim-'2018'!Resal_s)*(1-EXP(('2018'!Tnet_s-t)/'2018'!Tau_j)),Resal_s+(Salim-Resal_s)*(1-EXP((Tnet_s-t)/Tau_j)))*Salcycl</f>
        <v>3.2864164957013518E-2</v>
      </c>
      <c r="AD58" s="231">
        <f>(INDEX(Models!$BJ58:$BT58,,AH58)*(1-AF58)+INDEX(Models!$BJ58:$BT58,,AH58+1)*AF58-ERP_i)*AE58*Ramure*Pc/MaxiM</f>
        <v>4.8292440267371783E-3</v>
      </c>
      <c r="AE58" s="305">
        <f t="shared" si="14"/>
        <v>0.8</v>
      </c>
      <c r="AF58" s="177">
        <f t="shared" si="15"/>
        <v>0.60403062080041314</v>
      </c>
      <c r="AG58" s="176">
        <f t="shared" si="16"/>
        <v>0</v>
      </c>
      <c r="AH58" s="176">
        <f t="shared" si="17"/>
        <v>6</v>
      </c>
      <c r="AI58" s="225">
        <f t="shared" si="22"/>
        <v>0.60403062080041314</v>
      </c>
      <c r="AJ58" s="265" t="b">
        <f t="shared" si="18"/>
        <v>0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6">
        <v>29.6</v>
      </c>
      <c r="C59" s="390"/>
      <c r="D59" s="393">
        <f t="shared" si="0"/>
        <v>29.73601366304441</v>
      </c>
      <c r="E59" s="385">
        <f t="shared" si="1"/>
        <v>30.751263653137272</v>
      </c>
      <c r="F59" s="385">
        <f t="shared" si="2"/>
        <v>30.902600245057862</v>
      </c>
      <c r="G59" s="110">
        <f t="shared" si="23"/>
        <v>1.0267667756080083</v>
      </c>
      <c r="H59" s="414" t="b">
        <f>Wh_hp&gt;='2018'!Maxi_hp</f>
        <v>1</v>
      </c>
      <c r="I59" s="390">
        <f>IF(H59,Wh_hp,'2018'!Maxi_hp)</f>
        <v>30.902600245057862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4.5740382213182995E-3</v>
      </c>
      <c r="M59" s="843"/>
      <c r="N59" s="843"/>
      <c r="O59" s="48">
        <f>IF(t&lt;Tnet,'2018'!Resal+('2018'!Salim-'2018'!Resal)*(1-EXP(('2018'!Tnet-t)/('2018'!Tau_j))),Resal+(Salim-Resal)*(1-EXP((Tnet-t)/(Tau_j))))*Salcycl</f>
        <v>3.3014903112421702E-2</v>
      </c>
      <c r="P59" s="169">
        <f>(INDEX(Models!$BJ59:$BT59,,T59)*(1-R59)+INDEX(Models!$BJ59:$BT59,,T59+1)*R59-ERP_i)*Q59*Ramure*Pc/MaxiM</f>
        <v>4.8972122319963203E-3</v>
      </c>
      <c r="Q59" s="305">
        <f t="shared" si="4"/>
        <v>0.8</v>
      </c>
      <c r="R59" s="177">
        <f t="shared" si="5"/>
        <v>0.60423304407719125</v>
      </c>
      <c r="S59" s="809">
        <f t="shared" si="6"/>
        <v>0</v>
      </c>
      <c r="T59" s="176">
        <f t="shared" si="7"/>
        <v>6</v>
      </c>
      <c r="U59" s="251">
        <f t="shared" si="21"/>
        <v>0.60423304407719125</v>
      </c>
      <c r="V59" s="383">
        <f t="shared" si="8"/>
        <v>28.828357815212829</v>
      </c>
      <c r="W59" s="58"/>
      <c r="X59" s="157">
        <f t="shared" si="9"/>
        <v>43510</v>
      </c>
      <c r="Y59" s="385">
        <f t="shared" si="10"/>
        <v>29.6</v>
      </c>
      <c r="Z59" s="385">
        <f t="shared" si="11"/>
        <v>29.73601366304441</v>
      </c>
      <c r="AA59" s="386">
        <f t="shared" si="12"/>
        <v>30.751263653137272</v>
      </c>
      <c r="AB59" s="197">
        <f t="shared" si="13"/>
        <v>43510</v>
      </c>
      <c r="AC59" s="425">
        <f>IF(OR(t&lt;Tnet,NoTnet),'2018'!Resal_s+('2018'!Salim-'2018'!Resal_s)*(1-EXP(('2018'!Tnet_s-t)/'2018'!Tau_j)),Resal_s+(Salim-Resal_s)*(1-EXP((Tnet_s-t)/Tau_j)))*Salcycl</f>
        <v>3.3014903112421702E-2</v>
      </c>
      <c r="AD59" s="231">
        <f>(INDEX(Models!$BJ59:$BT59,,AH59)*(1-AF59)+INDEX(Models!$BJ59:$BT59,,AH59+1)*AF59-ERP_i)*AE59*Ramure*Pc/MaxiM</f>
        <v>4.8972122319963203E-3</v>
      </c>
      <c r="AE59" s="305">
        <f t="shared" si="14"/>
        <v>0.8</v>
      </c>
      <c r="AF59" s="177">
        <f t="shared" si="15"/>
        <v>0.60423304407719125</v>
      </c>
      <c r="AG59" s="176">
        <f t="shared" si="16"/>
        <v>0</v>
      </c>
      <c r="AH59" s="176">
        <f t="shared" si="17"/>
        <v>6</v>
      </c>
      <c r="AI59" s="225">
        <f t="shared" si="22"/>
        <v>0.60423304407719125</v>
      </c>
      <c r="AJ59" s="265" t="b">
        <f t="shared" si="18"/>
        <v>0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6">
        <v>29.870999999999999</v>
      </c>
      <c r="C60" s="390"/>
      <c r="D60" s="393">
        <f t="shared" si="0"/>
        <v>30.008957275546322</v>
      </c>
      <c r="E60" s="385">
        <f t="shared" si="1"/>
        <v>31.038359648200434</v>
      </c>
      <c r="F60" s="385">
        <f t="shared" si="2"/>
        <v>31.193309368180032</v>
      </c>
      <c r="G60" s="110">
        <f t="shared" si="23"/>
        <v>1.0245375945191337</v>
      </c>
      <c r="H60" s="414" t="b">
        <f>Wh_hp&gt;='2018'!Maxi_hp</f>
        <v>1</v>
      </c>
      <c r="I60" s="390">
        <f>IF(H60,Wh_hp,'2018'!Maxi_hp)</f>
        <v>31.193309368180032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4.5972032376726535E-3</v>
      </c>
      <c r="M60" s="843"/>
      <c r="N60" s="843"/>
      <c r="O60" s="48">
        <f>IF(t&lt;Tnet,'2018'!Resal+('2018'!Salim-'2018'!Resal)*(1-EXP(('2018'!Tnet-t)/('2018'!Tau_j))),Resal+(Salim-Resal)*(1-EXP((Tnet-t)/(Tau_j))))*Salcycl</f>
        <v>3.3165488908618673E-2</v>
      </c>
      <c r="P60" s="169">
        <f>(INDEX(Models!$BJ60:$BT60,,T60)*(1-R60)+INDEX(Models!$BJ60:$BT60,,T60+1)*R60-ERP_i)*Q60*Ramure*Pc/MaxiM</f>
        <v>4.9674024051343879E-3</v>
      </c>
      <c r="Q60" s="305">
        <f t="shared" si="4"/>
        <v>0.8</v>
      </c>
      <c r="R60" s="177">
        <f t="shared" si="5"/>
        <v>0.60444381323678775</v>
      </c>
      <c r="S60" s="809">
        <f t="shared" si="6"/>
        <v>0</v>
      </c>
      <c r="T60" s="176">
        <f t="shared" si="7"/>
        <v>6</v>
      </c>
      <c r="U60" s="251">
        <f t="shared" si="21"/>
        <v>0.60444381323678775</v>
      </c>
      <c r="V60" s="383">
        <f t="shared" si="8"/>
        <v>29.155591907801043</v>
      </c>
      <c r="W60" s="58"/>
      <c r="X60" s="157">
        <f t="shared" si="9"/>
        <v>43511</v>
      </c>
      <c r="Y60" s="385">
        <f t="shared" si="10"/>
        <v>29.870999999999999</v>
      </c>
      <c r="Z60" s="385">
        <f t="shared" si="11"/>
        <v>30.008957275546322</v>
      </c>
      <c r="AA60" s="386">
        <f t="shared" si="12"/>
        <v>31.038359648200434</v>
      </c>
      <c r="AB60" s="197">
        <f t="shared" si="13"/>
        <v>43511</v>
      </c>
      <c r="AC60" s="425">
        <f>IF(OR(t&lt;Tnet,NoTnet),'2018'!Resal_s+('2018'!Salim-'2018'!Resal_s)*(1-EXP(('2018'!Tnet_s-t)/'2018'!Tau_j)),Resal_s+(Salim-Resal_s)*(1-EXP((Tnet_s-t)/Tau_j)))*Salcycl</f>
        <v>3.3165488908618673E-2</v>
      </c>
      <c r="AD60" s="231">
        <f>(INDEX(Models!$BJ60:$BT60,,AH60)*(1-AF60)+INDEX(Models!$BJ60:$BT60,,AH60+1)*AF60-ERP_i)*AE60*Ramure*Pc/MaxiM</f>
        <v>4.9674024051343879E-3</v>
      </c>
      <c r="AE60" s="305">
        <f t="shared" si="14"/>
        <v>0.8</v>
      </c>
      <c r="AF60" s="177">
        <f t="shared" si="15"/>
        <v>0.60444381323678775</v>
      </c>
      <c r="AG60" s="176">
        <f t="shared" si="16"/>
        <v>0</v>
      </c>
      <c r="AH60" s="176">
        <f t="shared" si="17"/>
        <v>6</v>
      </c>
      <c r="AI60" s="225">
        <f t="shared" si="22"/>
        <v>0.60444381323678775</v>
      </c>
      <c r="AJ60" s="265" t="b">
        <f t="shared" si="18"/>
        <v>0</v>
      </c>
      <c r="AK60" s="265" t="b">
        <f t="shared" si="19"/>
        <v>1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6">
        <v>30.472000000000001</v>
      </c>
      <c r="C61" s="390"/>
      <c r="D61" s="393">
        <f t="shared" si="0"/>
        <v>30.613445374652219</v>
      </c>
      <c r="E61" s="385">
        <f t="shared" si="1"/>
        <v>31.6685109255742</v>
      </c>
      <c r="F61" s="385">
        <f t="shared" si="2"/>
        <v>31.828917483030121</v>
      </c>
      <c r="G61" s="110">
        <f t="shared" si="23"/>
        <v>1.0333747582479818</v>
      </c>
      <c r="H61" s="414" t="b">
        <f>Wh_hp&gt;='2018'!Maxi_hp</f>
        <v>1</v>
      </c>
      <c r="I61" s="390">
        <f>IF(H61,Wh_hp,'2018'!Maxi_hp)</f>
        <v>31.828917483030121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4.6203677149431188E-3</v>
      </c>
      <c r="M61" s="843"/>
      <c r="N61" s="843"/>
      <c r="O61" s="48">
        <f>IF(t&lt;Tnet,'2018'!Resal+('2018'!Salim-'2018'!Resal)*(1-EXP(('2018'!Tnet-t)/('2018'!Tau_j))),Resal+(Salim-Resal)*(1-EXP((Tnet-t)/(Tau_j))))*Salcycl</f>
        <v>3.3315919191828802E-2</v>
      </c>
      <c r="P61" s="169">
        <f>(INDEX(Models!$BJ61:$BT61,,T61)*(1-R61)+INDEX(Models!$BJ61:$BT61,,T61+1)*R61-ERP_i)*Q61*Ramure*Pc/MaxiM</f>
        <v>5.0396485378882781E-3</v>
      </c>
      <c r="Q61" s="305">
        <f t="shared" si="4"/>
        <v>0.8</v>
      </c>
      <c r="R61" s="177">
        <f t="shared" si="5"/>
        <v>0.60466326605173348</v>
      </c>
      <c r="S61" s="809">
        <f t="shared" si="6"/>
        <v>0</v>
      </c>
      <c r="T61" s="176">
        <f t="shared" si="7"/>
        <v>6</v>
      </c>
      <c r="U61" s="251">
        <f t="shared" si="21"/>
        <v>0.60466326605173348</v>
      </c>
      <c r="V61" s="383">
        <f t="shared" si="8"/>
        <v>29.487850130637273</v>
      </c>
      <c r="W61" s="58"/>
      <c r="X61" s="157">
        <f t="shared" si="9"/>
        <v>43512</v>
      </c>
      <c r="Y61" s="385">
        <f t="shared" si="10"/>
        <v>30.472000000000001</v>
      </c>
      <c r="Z61" s="385">
        <f t="shared" si="11"/>
        <v>30.613445374652219</v>
      </c>
      <c r="AA61" s="386">
        <f t="shared" si="12"/>
        <v>31.6685109255742</v>
      </c>
      <c r="AB61" s="197">
        <f t="shared" si="13"/>
        <v>43512</v>
      </c>
      <c r="AC61" s="425">
        <f>IF(OR(t&lt;Tnet,NoTnet),'2018'!Resal_s+('2018'!Salim-'2018'!Resal_s)*(1-EXP(('2018'!Tnet_s-t)/'2018'!Tau_j)),Resal_s+(Salim-Resal_s)*(1-EXP((Tnet_s-t)/Tau_j)))*Salcycl</f>
        <v>3.3315919191828802E-2</v>
      </c>
      <c r="AD61" s="231">
        <f>(INDEX(Models!$BJ61:$BT61,,AH61)*(1-AF61)+INDEX(Models!$BJ61:$BT61,,AH61+1)*AF61-ERP_i)*AE61*Ramure*Pc/MaxiM</f>
        <v>5.0396485378882781E-3</v>
      </c>
      <c r="AE61" s="305">
        <f t="shared" si="14"/>
        <v>0.8</v>
      </c>
      <c r="AF61" s="177">
        <f t="shared" si="15"/>
        <v>0.60466326605173348</v>
      </c>
      <c r="AG61" s="176">
        <f t="shared" si="16"/>
        <v>0</v>
      </c>
      <c r="AH61" s="176">
        <f t="shared" si="17"/>
        <v>6</v>
      </c>
      <c r="AI61" s="225">
        <f t="shared" si="22"/>
        <v>0.60466326605173348</v>
      </c>
      <c r="AJ61" s="265" t="b">
        <f t="shared" si="18"/>
        <v>0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6">
        <v>30.763000000000002</v>
      </c>
      <c r="C62" s="390"/>
      <c r="D62" s="393">
        <f t="shared" si="0"/>
        <v>30.906515382466822</v>
      </c>
      <c r="E62" s="385">
        <f t="shared" si="1"/>
        <v>31.976652128735736</v>
      </c>
      <c r="F62" s="385">
        <f t="shared" si="2"/>
        <v>32.141014438582829</v>
      </c>
      <c r="G62" s="110">
        <f t="shared" si="23"/>
        <v>1.0314308664982712</v>
      </c>
      <c r="H62" s="414" t="b">
        <f>Wh_hp&gt;='2018'!Maxi_hp</f>
        <v>1</v>
      </c>
      <c r="I62" s="390">
        <f>IF(H62,Wh_hp,'2018'!Maxi_hp)</f>
        <v>32.141014438582829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4.6435316531424631E-3</v>
      </c>
      <c r="M62" s="843"/>
      <c r="N62" s="843"/>
      <c r="O62" s="48">
        <f>IF(t&lt;Tnet,'2018'!Resal+('2018'!Salim-'2018'!Resal)*(1-EXP(('2018'!Tnet-t)/('2018'!Tau_j))),Resal+(Salim-Resal)*(1-EXP((Tnet-t)/(Tau_j))))*Salcycl</f>
        <v>3.3466190955845555E-2</v>
      </c>
      <c r="P62" s="169">
        <f>(INDEX(Models!$BJ62:$BT62,,T62)*(1-R62)+INDEX(Models!$BJ62:$BT62,,T62+1)*R62-ERP_i)*Q62*Ramure*Pc/MaxiM</f>
        <v>5.1137872502800075E-3</v>
      </c>
      <c r="Q62" s="305">
        <f t="shared" si="4"/>
        <v>0.8</v>
      </c>
      <c r="R62" s="177">
        <f t="shared" si="5"/>
        <v>0.60489175342832102</v>
      </c>
      <c r="S62" s="809">
        <f t="shared" si="6"/>
        <v>0</v>
      </c>
      <c r="T62" s="176">
        <f t="shared" si="7"/>
        <v>6</v>
      </c>
      <c r="U62" s="251">
        <f t="shared" si="21"/>
        <v>0.60489175342832102</v>
      </c>
      <c r="V62" s="383">
        <f t="shared" si="8"/>
        <v>29.825556902752982</v>
      </c>
      <c r="W62" s="58"/>
      <c r="X62" s="157">
        <f t="shared" si="9"/>
        <v>43513</v>
      </c>
      <c r="Y62" s="385">
        <f t="shared" si="10"/>
        <v>30.763000000000005</v>
      </c>
      <c r="Z62" s="385">
        <f t="shared" si="11"/>
        <v>30.906515382466825</v>
      </c>
      <c r="AA62" s="386">
        <f t="shared" si="12"/>
        <v>31.97665212873574</v>
      </c>
      <c r="AB62" s="197">
        <f t="shared" si="13"/>
        <v>43513</v>
      </c>
      <c r="AC62" s="425">
        <f>IF(OR(t&lt;Tnet,NoTnet),'2018'!Resal_s+('2018'!Salim-'2018'!Resal_s)*(1-EXP(('2018'!Tnet_s-t)/'2018'!Tau_j)),Resal_s+(Salim-Resal_s)*(1-EXP((Tnet_s-t)/Tau_j)))*Salcycl</f>
        <v>3.3466190955845555E-2</v>
      </c>
      <c r="AD62" s="231">
        <f>(INDEX(Models!$BJ62:$BT62,,AH62)*(1-AF62)+INDEX(Models!$BJ62:$BT62,,AH62+1)*AF62-ERP_i)*AE62*Ramure*Pc/MaxiM</f>
        <v>5.1137872502800075E-3</v>
      </c>
      <c r="AE62" s="305">
        <f t="shared" si="14"/>
        <v>0.8</v>
      </c>
      <c r="AF62" s="177">
        <f t="shared" si="15"/>
        <v>0.60489175342832102</v>
      </c>
      <c r="AG62" s="176">
        <f t="shared" si="16"/>
        <v>0</v>
      </c>
      <c r="AH62" s="176">
        <f t="shared" si="17"/>
        <v>6</v>
      </c>
      <c r="AI62" s="225">
        <f t="shared" si="22"/>
        <v>0.60489175342832102</v>
      </c>
      <c r="AJ62" s="265" t="b">
        <f t="shared" si="18"/>
        <v>0</v>
      </c>
      <c r="AK62" s="265" t="b">
        <f t="shared" si="19"/>
        <v>1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6">
        <v>30.483000000000001</v>
      </c>
      <c r="C63" s="390"/>
      <c r="D63" s="393">
        <f t="shared" si="0"/>
        <v>30.625921837912596</v>
      </c>
      <c r="E63" s="385">
        <f t="shared" si="1"/>
        <v>31.69126495224647</v>
      </c>
      <c r="F63" s="385">
        <f t="shared" si="2"/>
        <v>31.856589753625187</v>
      </c>
      <c r="G63" s="110">
        <f t="shared" si="23"/>
        <v>1.0104034698014213</v>
      </c>
      <c r="H63" s="414" t="b">
        <f>Wh_hp&gt;='2018'!Maxi_hp</f>
        <v>1</v>
      </c>
      <c r="I63" s="390">
        <f>IF(H63,Wh_hp,'2018'!Maxi_hp)</f>
        <v>31.856589753625187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4.6666950522831208E-3</v>
      </c>
      <c r="M63" s="843"/>
      <c r="N63" s="843"/>
      <c r="O63" s="48">
        <f>IF(t&lt;Tnet,'2018'!Resal+('2018'!Salim-'2018'!Resal)*(1-EXP(('2018'!Tnet-t)/('2018'!Tau_j))),Resal+(Salim-Resal)*(1-EXP((Tnet-t)/(Tau_j))))*Salcycl</f>
        <v>3.3616301398482262E-2</v>
      </c>
      <c r="P63" s="169">
        <f>(INDEX(Models!$BJ63:$BT63,,T63)*(1-R63)+INDEX(Models!$BJ63:$BT63,,T63+1)*R63-ERP_i)*Q63*Ramure*Pc/MaxiM</f>
        <v>5.1896578590903035E-3</v>
      </c>
      <c r="Q63" s="305">
        <f t="shared" si="4"/>
        <v>0.8</v>
      </c>
      <c r="R63" s="177">
        <f t="shared" si="5"/>
        <v>0.60512963987161894</v>
      </c>
      <c r="S63" s="809">
        <f t="shared" si="6"/>
        <v>0</v>
      </c>
      <c r="T63" s="176">
        <f t="shared" si="7"/>
        <v>6</v>
      </c>
      <c r="U63" s="251">
        <f t="shared" si="21"/>
        <v>0.60512963987161894</v>
      </c>
      <c r="V63" s="383">
        <f t="shared" si="8"/>
        <v>30.169136301551838</v>
      </c>
      <c r="W63" s="58"/>
      <c r="X63" s="157">
        <f t="shared" si="9"/>
        <v>43514</v>
      </c>
      <c r="Y63" s="385">
        <f t="shared" si="10"/>
        <v>30.483000000000001</v>
      </c>
      <c r="Z63" s="385">
        <f t="shared" si="11"/>
        <v>30.625921837912596</v>
      </c>
      <c r="AA63" s="386">
        <f t="shared" si="12"/>
        <v>31.69126495224647</v>
      </c>
      <c r="AB63" s="197">
        <f t="shared" si="13"/>
        <v>43514</v>
      </c>
      <c r="AC63" s="425">
        <f>IF(OR(t&lt;Tnet,NoTnet),'2018'!Resal_s+('2018'!Salim-'2018'!Resal_s)*(1-EXP(('2018'!Tnet_s-t)/'2018'!Tau_j)),Resal_s+(Salim-Resal_s)*(1-EXP((Tnet_s-t)/Tau_j)))*Salcycl</f>
        <v>3.3616301398482262E-2</v>
      </c>
      <c r="AD63" s="231">
        <f>(INDEX(Models!$BJ63:$BT63,,AH63)*(1-AF63)+INDEX(Models!$BJ63:$BT63,,AH63+1)*AF63-ERP_i)*AE63*Ramure*Pc/MaxiM</f>
        <v>5.1896578590903035E-3</v>
      </c>
      <c r="AE63" s="305">
        <f t="shared" si="14"/>
        <v>0.8</v>
      </c>
      <c r="AF63" s="177">
        <f t="shared" si="15"/>
        <v>0.60512963987161894</v>
      </c>
      <c r="AG63" s="176">
        <f t="shared" si="16"/>
        <v>0</v>
      </c>
      <c r="AH63" s="176">
        <f t="shared" si="17"/>
        <v>6</v>
      </c>
      <c r="AI63" s="225">
        <f t="shared" si="22"/>
        <v>0.60512963987161894</v>
      </c>
      <c r="AJ63" s="265" t="b">
        <f t="shared" si="18"/>
        <v>0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6">
        <v>27.613</v>
      </c>
      <c r="C64" s="390"/>
      <c r="D64" s="393">
        <f t="shared" si="0"/>
        <v>27.743111249808887</v>
      </c>
      <c r="E64" s="385">
        <f t="shared" si="1"/>
        <v>28.712629000748393</v>
      </c>
      <c r="F64" s="385">
        <f t="shared" si="2"/>
        <v>28.843886803091166</v>
      </c>
      <c r="G64" s="110">
        <f t="shared" si="23"/>
        <v>0.90412905620691508</v>
      </c>
      <c r="H64" s="414" t="b">
        <f>Wh_hp&gt;='2018'!Maxi_hp</f>
        <v>1</v>
      </c>
      <c r="I64" s="390">
        <f>IF(H64,Wh_hp,'2018'!Maxi_hp)</f>
        <v>28.843886803091166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4.6898579123776374E-3</v>
      </c>
      <c r="M64" s="843"/>
      <c r="N64" s="843"/>
      <c r="O64" s="48">
        <f>IF(t&lt;Tnet,'2018'!Resal+('2018'!Salim-'2018'!Resal)*(1-EXP(('2018'!Tnet-t)/('2018'!Tau_j))),Resal+(Salim-Resal)*(1-EXP((Tnet-t)/(Tau_j))))*Salcycl</f>
        <v>3.3766247977997224E-2</v>
      </c>
      <c r="P64" s="169">
        <f>(INDEX(Models!$BJ64:$BT64,,T64)*(1-R64)+INDEX(Models!$BJ64:$BT64,,T64+1)*R64-ERP_i)*Q64*Ramure*Pc/MaxiM</f>
        <v>5.267102505015153E-3</v>
      </c>
      <c r="Q64" s="305">
        <f t="shared" si="4"/>
        <v>0.8</v>
      </c>
      <c r="R64" s="177">
        <f t="shared" si="5"/>
        <v>0.60537730396298972</v>
      </c>
      <c r="S64" s="809">
        <f t="shared" si="6"/>
        <v>0</v>
      </c>
      <c r="T64" s="176">
        <f t="shared" si="7"/>
        <v>6</v>
      </c>
      <c r="U64" s="251">
        <f t="shared" si="21"/>
        <v>0.60537730396298972</v>
      </c>
      <c r="V64" s="383">
        <f t="shared" si="8"/>
        <v>30.519012039400412</v>
      </c>
      <c r="W64" s="58"/>
      <c r="X64" s="157">
        <f t="shared" si="9"/>
        <v>43515</v>
      </c>
      <c r="Y64" s="385">
        <f t="shared" si="10"/>
        <v>27.613</v>
      </c>
      <c r="Z64" s="385">
        <f t="shared" si="11"/>
        <v>27.743111249808887</v>
      </c>
      <c r="AA64" s="386">
        <f t="shared" si="12"/>
        <v>28.712629000748393</v>
      </c>
      <c r="AB64" s="197">
        <f t="shared" si="13"/>
        <v>43515</v>
      </c>
      <c r="AC64" s="425">
        <f>IF(OR(t&lt;Tnet,NoTnet),'2018'!Resal_s+('2018'!Salim-'2018'!Resal_s)*(1-EXP(('2018'!Tnet_s-t)/'2018'!Tau_j)),Resal_s+(Salim-Resal_s)*(1-EXP((Tnet_s-t)/Tau_j)))*Salcycl</f>
        <v>3.3766247977997224E-2</v>
      </c>
      <c r="AD64" s="231">
        <f>(INDEX(Models!$BJ64:$BT64,,AH64)*(1-AF64)+INDEX(Models!$BJ64:$BT64,,AH64+1)*AF64-ERP_i)*AE64*Ramure*Pc/MaxiM</f>
        <v>5.267102505015153E-3</v>
      </c>
      <c r="AE64" s="305">
        <f t="shared" si="14"/>
        <v>0.8</v>
      </c>
      <c r="AF64" s="177">
        <f t="shared" si="15"/>
        <v>0.60537730396298972</v>
      </c>
      <c r="AG64" s="176">
        <f t="shared" si="16"/>
        <v>0</v>
      </c>
      <c r="AH64" s="176">
        <f t="shared" si="17"/>
        <v>6</v>
      </c>
      <c r="AI64" s="225">
        <f t="shared" si="22"/>
        <v>0.60537730396298972</v>
      </c>
      <c r="AJ64" s="265" t="b">
        <f t="shared" si="18"/>
        <v>0</v>
      </c>
      <c r="AK64" s="265" t="b">
        <f t="shared" si="19"/>
        <v>1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6">
        <v>30.899000000000001</v>
      </c>
      <c r="C65" s="390"/>
      <c r="D65" s="393">
        <f t="shared" si="0"/>
        <v>31.045317208155556</v>
      </c>
      <c r="E65" s="385">
        <f t="shared" si="1"/>
        <v>32.135216112689299</v>
      </c>
      <c r="F65" s="385">
        <f t="shared" si="2"/>
        <v>32.307934032363548</v>
      </c>
      <c r="G65" s="110">
        <f t="shared" si="23"/>
        <v>1.0007622536735079</v>
      </c>
      <c r="H65" s="414" t="b">
        <f>Wh_hp&gt;='2018'!Maxi_hp</f>
        <v>1</v>
      </c>
      <c r="I65" s="390">
        <f>IF(H65,Wh_hp,'2018'!Maxi_hp)</f>
        <v>32.307934032363548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4.7130202334385585E-3</v>
      </c>
      <c r="M65" s="843"/>
      <c r="N65" s="843"/>
      <c r="O65" s="48">
        <f>IF(t&lt;Tnet,'2018'!Resal+('2018'!Salim-'2018'!Resal)*(1-EXP(('2018'!Tnet-t)/('2018'!Tau_j))),Resal+(Salim-Resal)*(1-EXP((Tnet-t)/(Tau_j))))*Salcycl</f>
        <v>3.391602846894734E-2</v>
      </c>
      <c r="P65" s="169">
        <f>(INDEX(Models!$BJ65:$BT65,,T65)*(1-R65)+INDEX(Models!$BJ65:$BT65,,T65+1)*R65-ERP_i)*Q65*Ramure*Pc/MaxiM</f>
        <v>5.3459908486019015E-3</v>
      </c>
      <c r="Q65" s="305">
        <f t="shared" si="4"/>
        <v>0.8</v>
      </c>
      <c r="R65" s="177">
        <f t="shared" si="5"/>
        <v>0.60563513885008213</v>
      </c>
      <c r="S65" s="809">
        <f t="shared" si="6"/>
        <v>0</v>
      </c>
      <c r="T65" s="176">
        <f t="shared" si="7"/>
        <v>6</v>
      </c>
      <c r="U65" s="251">
        <f t="shared" si="21"/>
        <v>0.60563513885008213</v>
      </c>
      <c r="V65" s="383">
        <f t="shared" si="8"/>
        <v>30.875465063334204</v>
      </c>
      <c r="W65" s="58"/>
      <c r="X65" s="157">
        <f t="shared" si="9"/>
        <v>43516</v>
      </c>
      <c r="Y65" s="385">
        <f t="shared" si="10"/>
        <v>30.898999999999997</v>
      </c>
      <c r="Z65" s="385">
        <f t="shared" si="11"/>
        <v>31.045317208155552</v>
      </c>
      <c r="AA65" s="386">
        <f t="shared" si="12"/>
        <v>32.135216112689299</v>
      </c>
      <c r="AB65" s="197">
        <f t="shared" si="13"/>
        <v>43516</v>
      </c>
      <c r="AC65" s="425">
        <f>IF(OR(t&lt;Tnet,NoTnet),'2018'!Resal_s+('2018'!Salim-'2018'!Resal_s)*(1-EXP(('2018'!Tnet_s-t)/'2018'!Tau_j)),Resal_s+(Salim-Resal_s)*(1-EXP((Tnet_s-t)/Tau_j)))*Salcycl</f>
        <v>3.391602846894734E-2</v>
      </c>
      <c r="AD65" s="231">
        <f>(INDEX(Models!$BJ65:$BT65,,AH65)*(1-AF65)+INDEX(Models!$BJ65:$BT65,,AH65+1)*AF65-ERP_i)*AE65*Ramure*Pc/MaxiM</f>
        <v>5.3459908486019015E-3</v>
      </c>
      <c r="AE65" s="305">
        <f t="shared" si="14"/>
        <v>0.8</v>
      </c>
      <c r="AF65" s="177">
        <f t="shared" si="15"/>
        <v>0.60563513885008213</v>
      </c>
      <c r="AG65" s="176">
        <f t="shared" si="16"/>
        <v>0</v>
      </c>
      <c r="AH65" s="176">
        <f t="shared" si="17"/>
        <v>6</v>
      </c>
      <c r="AI65" s="225">
        <f t="shared" si="22"/>
        <v>0.60563513885008213</v>
      </c>
      <c r="AJ65" s="265" t="b">
        <f t="shared" si="18"/>
        <v>0</v>
      </c>
      <c r="AK65" s="265" t="b">
        <f t="shared" si="19"/>
        <v>1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6">
        <v>30.901</v>
      </c>
      <c r="C66" s="390"/>
      <c r="D66" s="393">
        <f t="shared" si="0"/>
        <v>31.048049212294959</v>
      </c>
      <c r="E66" s="385">
        <f t="shared" si="1"/>
        <v>32.143021856042495</v>
      </c>
      <c r="F66" s="385">
        <f t="shared" si="2"/>
        <v>32.315694426247191</v>
      </c>
      <c r="G66" s="110">
        <f t="shared" si="23"/>
        <v>0.98912278185787195</v>
      </c>
      <c r="H66" s="414" t="b">
        <f>Wh_hp&gt;='2018'!Maxi_hp</f>
        <v>1</v>
      </c>
      <c r="I66" s="390">
        <f>IF(H66,Wh_hp,'2018'!Maxi_hp)</f>
        <v>32.315694426247191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4.7361820154784295E-3</v>
      </c>
      <c r="M66" s="843"/>
      <c r="N66" s="843"/>
      <c r="O66" s="48">
        <f>IF(t&lt;Tnet,'2018'!Resal+('2018'!Salim-'2018'!Resal)*(1-EXP(('2018'!Tnet-t)/('2018'!Tau_j))),Resal+(Salim-Resal)*(1-EXP((Tnet-t)/(Tau_j))))*Salcycl</f>
        <v>3.4065641016938042E-2</v>
      </c>
      <c r="P66" s="169">
        <f>(INDEX(Models!$BJ66:$BT66,,T66)*(1-R66)+INDEX(Models!$BJ66:$BT66,,T66+1)*R66-ERP_i)*Q66*Ramure*Pc/MaxiM</f>
        <v>5.4269878138187453E-3</v>
      </c>
      <c r="Q66" s="305">
        <f t="shared" si="4"/>
        <v>0.8</v>
      </c>
      <c r="R66" s="177">
        <f t="shared" si="5"/>
        <v>0.60590355274922603</v>
      </c>
      <c r="S66" s="809">
        <f t="shared" si="6"/>
        <v>0</v>
      </c>
      <c r="T66" s="176">
        <f t="shared" si="7"/>
        <v>6</v>
      </c>
      <c r="U66" s="251">
        <f t="shared" si="21"/>
        <v>0.60590355274922603</v>
      </c>
      <c r="V66" s="383">
        <f t="shared" si="8"/>
        <v>31.238184735922999</v>
      </c>
      <c r="W66" s="58"/>
      <c r="X66" s="157">
        <f t="shared" si="9"/>
        <v>43517</v>
      </c>
      <c r="Y66" s="385">
        <f t="shared" si="10"/>
        <v>30.901</v>
      </c>
      <c r="Z66" s="385">
        <f t="shared" si="11"/>
        <v>31.048049212294959</v>
      </c>
      <c r="AA66" s="386">
        <f t="shared" si="12"/>
        <v>32.143021856042495</v>
      </c>
      <c r="AB66" s="197">
        <f t="shared" si="13"/>
        <v>43517</v>
      </c>
      <c r="AC66" s="425">
        <f>IF(OR(t&lt;Tnet,NoTnet),'2018'!Resal_s+('2018'!Salim-'2018'!Resal_s)*(1-EXP(('2018'!Tnet_s-t)/'2018'!Tau_j)),Resal_s+(Salim-Resal_s)*(1-EXP((Tnet_s-t)/Tau_j)))*Salcycl</f>
        <v>3.4065641016938042E-2</v>
      </c>
      <c r="AD66" s="231">
        <f>(INDEX(Models!$BJ66:$BT66,,AH66)*(1-AF66)+INDEX(Models!$BJ66:$BT66,,AH66+1)*AF66-ERP_i)*AE66*Ramure*Pc/MaxiM</f>
        <v>5.4269878138187453E-3</v>
      </c>
      <c r="AE66" s="305">
        <f t="shared" si="14"/>
        <v>0.8</v>
      </c>
      <c r="AF66" s="177">
        <f t="shared" si="15"/>
        <v>0.60590355274922603</v>
      </c>
      <c r="AG66" s="176">
        <f t="shared" si="16"/>
        <v>0</v>
      </c>
      <c r="AH66" s="176">
        <f t="shared" si="17"/>
        <v>6</v>
      </c>
      <c r="AI66" s="225">
        <f t="shared" si="22"/>
        <v>0.60590355274922603</v>
      </c>
      <c r="AJ66" s="265" t="b">
        <f t="shared" si="18"/>
        <v>0</v>
      </c>
      <c r="AK66" s="265" t="b">
        <f t="shared" si="19"/>
        <v>1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6">
        <v>31.457999999999998</v>
      </c>
      <c r="C67" s="390"/>
      <c r="D67" s="393">
        <f t="shared" si="0"/>
        <v>31.608435393904017</v>
      </c>
      <c r="E67" s="385">
        <f t="shared" si="1"/>
        <v>32.728234699598332</v>
      </c>
      <c r="F67" s="385">
        <f t="shared" si="2"/>
        <v>32.908275792453587</v>
      </c>
      <c r="G67" s="110">
        <f t="shared" si="23"/>
        <v>0.99525494017166394</v>
      </c>
      <c r="H67" s="414" t="b">
        <f>Wh_hp&gt;='2018'!Maxi_hp</f>
        <v>1</v>
      </c>
      <c r="I67" s="390">
        <f>IF(H67,Wh_hp,'2018'!Maxi_hp)</f>
        <v>32.908275792453587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4.7593432585097961E-3</v>
      </c>
      <c r="M67" s="843"/>
      <c r="N67" s="843"/>
      <c r="O67" s="48">
        <f>IF(t&lt;Tnet,'2018'!Resal+('2018'!Salim-'2018'!Resal)*(1-EXP(('2018'!Tnet-t)/('2018'!Tau_j))),Resal+(Salim-Resal)*(1-EXP((Tnet-t)/(Tau_j))))*Salcycl</f>
        <v>3.421508419175627E-2</v>
      </c>
      <c r="P67" s="169">
        <f>(INDEX(Models!$BJ67:$BT67,,T67)*(1-R67)+INDEX(Models!$BJ67:$BT67,,T67+1)*R67-ERP_i)*Q67*Ramure*Pc/MaxiM</f>
        <v>5.5080428596335426E-3</v>
      </c>
      <c r="Q67" s="305">
        <f t="shared" si="4"/>
        <v>0.8</v>
      </c>
      <c r="R67" s="177">
        <f t="shared" si="5"/>
        <v>0.60618296946010919</v>
      </c>
      <c r="S67" s="809">
        <f t="shared" si="6"/>
        <v>0</v>
      </c>
      <c r="T67" s="176">
        <f t="shared" si="7"/>
        <v>6</v>
      </c>
      <c r="U67" s="251">
        <f t="shared" si="21"/>
        <v>0.60618296946010919</v>
      </c>
      <c r="V67" s="383">
        <f t="shared" si="8"/>
        <v>31.606804392407987</v>
      </c>
      <c r="W67" s="58"/>
      <c r="X67" s="157">
        <f t="shared" si="9"/>
        <v>43518</v>
      </c>
      <c r="Y67" s="385">
        <f t="shared" si="10"/>
        <v>31.457999999999998</v>
      </c>
      <c r="Z67" s="385">
        <f t="shared" si="11"/>
        <v>31.608435393904017</v>
      </c>
      <c r="AA67" s="386">
        <f t="shared" si="12"/>
        <v>32.728234699598332</v>
      </c>
      <c r="AB67" s="197">
        <f t="shared" si="13"/>
        <v>43518</v>
      </c>
      <c r="AC67" s="425">
        <f>IF(OR(t&lt;Tnet,NoTnet),'2018'!Resal_s+('2018'!Salim-'2018'!Resal_s)*(1-EXP(('2018'!Tnet_s-t)/'2018'!Tau_j)),Resal_s+(Salim-Resal_s)*(1-EXP((Tnet_s-t)/Tau_j)))*Salcycl</f>
        <v>3.421508419175627E-2</v>
      </c>
      <c r="AD67" s="231">
        <f>(INDEX(Models!$BJ67:$BT67,,AH67)*(1-AF67)+INDEX(Models!$BJ67:$BT67,,AH67+1)*AF67-ERP_i)*AE67*Ramure*Pc/MaxiM</f>
        <v>5.5080428596335426E-3</v>
      </c>
      <c r="AE67" s="305">
        <f t="shared" si="14"/>
        <v>0.8</v>
      </c>
      <c r="AF67" s="177">
        <f t="shared" si="15"/>
        <v>0.60618296946010919</v>
      </c>
      <c r="AG67" s="176">
        <f t="shared" si="16"/>
        <v>0</v>
      </c>
      <c r="AH67" s="176">
        <f t="shared" si="17"/>
        <v>6</v>
      </c>
      <c r="AI67" s="225">
        <f t="shared" si="22"/>
        <v>0.60618296946010919</v>
      </c>
      <c r="AJ67" s="265" t="b">
        <f t="shared" si="18"/>
        <v>0</v>
      </c>
      <c r="AK67" s="265" t="b">
        <f t="shared" si="19"/>
        <v>1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6">
        <v>31.849</v>
      </c>
      <c r="C68" s="390"/>
      <c r="D68" s="393">
        <f t="shared" si="0"/>
        <v>32.002049930602674</v>
      </c>
      <c r="E68" s="385">
        <f t="shared" si="1"/>
        <v>33.140916207745249</v>
      </c>
      <c r="F68" s="385">
        <f t="shared" si="2"/>
        <v>33.326083910270988</v>
      </c>
      <c r="G68" s="110">
        <f t="shared" si="23"/>
        <v>0.99584285840927611</v>
      </c>
      <c r="H68" s="414" t="b">
        <f>Wh_hp&gt;='2018'!Maxi_hp</f>
        <v>1</v>
      </c>
      <c r="I68" s="390">
        <f>IF(H68,Wh_hp,'2018'!Maxi_hp)</f>
        <v>33.326083910270988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4.7825039625452037E-3</v>
      </c>
      <c r="M68" s="843"/>
      <c r="N68" s="843"/>
      <c r="O68" s="48">
        <f>IF(t&lt;Tnet,'2018'!Resal+('2018'!Salim-'2018'!Resal)*(1-EXP(('2018'!Tnet-t)/('2018'!Tau_j))),Resal+(Salim-Resal)*(1-EXP((Tnet-t)/(Tau_j))))*Salcycl</f>
        <v>3.4364357038397721E-2</v>
      </c>
      <c r="P68" s="169">
        <f>(INDEX(Models!$BJ68:$BT68,,T68)*(1-R68)+INDEX(Models!$BJ68:$BT68,,T68+1)*R68-ERP_i)*Q68*Ramure*Pc/MaxiM</f>
        <v>5.5891689661987714E-3</v>
      </c>
      <c r="Q68" s="305">
        <f t="shared" si="4"/>
        <v>0.8</v>
      </c>
      <c r="R68" s="177">
        <f t="shared" si="5"/>
        <v>0.60647382889256263</v>
      </c>
      <c r="S68" s="809">
        <f t="shared" si="6"/>
        <v>0</v>
      </c>
      <c r="T68" s="176">
        <f t="shared" si="7"/>
        <v>6</v>
      </c>
      <c r="U68" s="251">
        <f t="shared" si="21"/>
        <v>0.60647382889256263</v>
      </c>
      <c r="V68" s="383">
        <f t="shared" si="8"/>
        <v>31.980894474955623</v>
      </c>
      <c r="W68" s="58"/>
      <c r="X68" s="157">
        <f t="shared" si="9"/>
        <v>43519</v>
      </c>
      <c r="Y68" s="385">
        <f t="shared" si="10"/>
        <v>31.848999999999997</v>
      </c>
      <c r="Z68" s="385">
        <f t="shared" si="11"/>
        <v>32.002049930602674</v>
      </c>
      <c r="AA68" s="386">
        <f t="shared" si="12"/>
        <v>33.140916207745249</v>
      </c>
      <c r="AB68" s="197">
        <f t="shared" si="13"/>
        <v>43519</v>
      </c>
      <c r="AC68" s="425">
        <f>IF(OR(t&lt;Tnet,NoTnet),'2018'!Resal_s+('2018'!Salim-'2018'!Resal_s)*(1-EXP(('2018'!Tnet_s-t)/'2018'!Tau_j)),Resal_s+(Salim-Resal_s)*(1-EXP((Tnet_s-t)/Tau_j)))*Salcycl</f>
        <v>3.4364357038397721E-2</v>
      </c>
      <c r="AD68" s="231">
        <f>(INDEX(Models!$BJ68:$BT68,,AH68)*(1-AF68)+INDEX(Models!$BJ68:$BT68,,AH68+1)*AF68-ERP_i)*AE68*Ramure*Pc/MaxiM</f>
        <v>5.5891689661987714E-3</v>
      </c>
      <c r="AE68" s="305">
        <f t="shared" si="14"/>
        <v>0.8</v>
      </c>
      <c r="AF68" s="177">
        <f t="shared" si="15"/>
        <v>0.60647382889256263</v>
      </c>
      <c r="AG68" s="176">
        <f t="shared" si="16"/>
        <v>0</v>
      </c>
      <c r="AH68" s="176">
        <f t="shared" si="17"/>
        <v>6</v>
      </c>
      <c r="AI68" s="225">
        <f t="shared" si="22"/>
        <v>0.60647382889256263</v>
      </c>
      <c r="AJ68" s="265" t="b">
        <f t="shared" si="18"/>
        <v>0</v>
      </c>
      <c r="AK68" s="265" t="b">
        <f t="shared" si="19"/>
        <v>1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6">
        <v>32.088000000000001</v>
      </c>
      <c r="C69" s="390"/>
      <c r="D69" s="393">
        <f t="shared" si="0"/>
        <v>32.242948782331197</v>
      </c>
      <c r="E69" s="385">
        <f t="shared" si="1"/>
        <v>33.395544543922625</v>
      </c>
      <c r="F69" s="385">
        <f t="shared" si="2"/>
        <v>33.583690939499711</v>
      </c>
      <c r="G69" s="110">
        <f t="shared" si="23"/>
        <v>0.99152589691626081</v>
      </c>
      <c r="H69" s="414" t="b">
        <f>Wh_hp&gt;='2018'!Maxi_hp</f>
        <v>1</v>
      </c>
      <c r="I69" s="390">
        <f>IF(H69,Wh_hp,'2018'!Maxi_hp)</f>
        <v>33.583690939499711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4.8056641275970868E-3</v>
      </c>
      <c r="M69" s="843"/>
      <c r="N69" s="843"/>
      <c r="O69" s="48">
        <f>IF(t&lt;Tnet,'2018'!Resal+('2018'!Salim-'2018'!Resal)*(1-EXP(('2018'!Tnet-t)/('2018'!Tau_j))),Resal+(Salim-Resal)*(1-EXP((Tnet-t)/(Tau_j))))*Salcycl</f>
        <v>3.4513459125528154E-2</v>
      </c>
      <c r="P69" s="169">
        <f>(INDEX(Models!$BJ69:$BT69,,T69)*(1-R69)+INDEX(Models!$BJ69:$BT69,,T69+1)*R69-ERP_i)*Q69*Ramure*Pc/MaxiM</f>
        <v>5.6704095443738441E-3</v>
      </c>
      <c r="Q69" s="305">
        <f t="shared" si="4"/>
        <v>0.8</v>
      </c>
      <c r="R69" s="177">
        <f t="shared" si="5"/>
        <v>0.60677658760522457</v>
      </c>
      <c r="S69" s="809">
        <f t="shared" si="6"/>
        <v>0</v>
      </c>
      <c r="T69" s="176">
        <f t="shared" si="7"/>
        <v>6</v>
      </c>
      <c r="U69" s="251">
        <f t="shared" si="21"/>
        <v>0.60677658760522457</v>
      </c>
      <c r="V69" s="383">
        <f t="shared" si="8"/>
        <v>32.360024839270572</v>
      </c>
      <c r="W69" s="58"/>
      <c r="X69" s="157">
        <f t="shared" si="9"/>
        <v>43520</v>
      </c>
      <c r="Y69" s="385">
        <f t="shared" si="10"/>
        <v>32.088000000000001</v>
      </c>
      <c r="Z69" s="385">
        <f t="shared" si="11"/>
        <v>32.242948782331197</v>
      </c>
      <c r="AA69" s="386">
        <f t="shared" si="12"/>
        <v>33.395544543922625</v>
      </c>
      <c r="AB69" s="197">
        <f t="shared" si="13"/>
        <v>43520</v>
      </c>
      <c r="AC69" s="425">
        <f>IF(OR(t&lt;Tnet,NoTnet),'2018'!Resal_s+('2018'!Salim-'2018'!Resal_s)*(1-EXP(('2018'!Tnet_s-t)/'2018'!Tau_j)),Resal_s+(Salim-Resal_s)*(1-EXP((Tnet_s-t)/Tau_j)))*Salcycl</f>
        <v>3.4513459125528154E-2</v>
      </c>
      <c r="AD69" s="231">
        <f>(INDEX(Models!$BJ69:$BT69,,AH69)*(1-AF69)+INDEX(Models!$BJ69:$BT69,,AH69+1)*AF69-ERP_i)*AE69*Ramure*Pc/MaxiM</f>
        <v>5.6704095443738441E-3</v>
      </c>
      <c r="AE69" s="305">
        <f t="shared" si="14"/>
        <v>0.8</v>
      </c>
      <c r="AF69" s="177">
        <f t="shared" si="15"/>
        <v>0.60677658760522457</v>
      </c>
      <c r="AG69" s="176">
        <f t="shared" si="16"/>
        <v>0</v>
      </c>
      <c r="AH69" s="176">
        <f t="shared" si="17"/>
        <v>6</v>
      </c>
      <c r="AI69" s="225">
        <f t="shared" si="22"/>
        <v>0.60677658760522457</v>
      </c>
      <c r="AJ69" s="265" t="b">
        <f t="shared" si="18"/>
        <v>0</v>
      </c>
      <c r="AK69" s="265" t="b">
        <f t="shared" si="19"/>
        <v>1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6">
        <v>32.521999999999998</v>
      </c>
      <c r="C70" s="390"/>
      <c r="D70" s="393">
        <f t="shared" si="0"/>
        <v>32.679805018740062</v>
      </c>
      <c r="E70" s="385">
        <f t="shared" si="1"/>
        <v>33.85323921932941</v>
      </c>
      <c r="F70" s="385">
        <f t="shared" si="2"/>
        <v>34.047177423693249</v>
      </c>
      <c r="G70" s="110">
        <f t="shared" si="23"/>
        <v>0.99317165203648616</v>
      </c>
      <c r="H70" s="414" t="b">
        <f>Wh_hp&gt;='2018'!Maxi_hp</f>
        <v>1</v>
      </c>
      <c r="I70" s="390">
        <f>IF(H70,Wh_hp,'2018'!Maxi_hp)</f>
        <v>34.047177423693249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4.828823753678213E-3</v>
      </c>
      <c r="M70" s="843"/>
      <c r="N70" s="843"/>
      <c r="O70" s="48">
        <f>IF(t&lt;Tnet,'2018'!Resal+('2018'!Salim-'2018'!Resal)*(1-EXP(('2018'!Tnet-t)/('2018'!Tau_j))),Resal+(Salim-Resal)*(1-EXP((Tnet-t)/(Tau_j))))*Salcycl</f>
        <v>3.4662390590952448E-2</v>
      </c>
      <c r="P70" s="169">
        <f>(INDEX(Models!$BJ70:$BT70,,T70)*(1-R70)+INDEX(Models!$BJ70:$BT70,,T70+1)*R70-ERP_i)*Q70*Ramure*Pc/MaxiM</f>
        <v>5.7518118993244247E-3</v>
      </c>
      <c r="Q70" s="305">
        <f t="shared" si="4"/>
        <v>0.8</v>
      </c>
      <c r="R70" s="177">
        <f t="shared" si="5"/>
        <v>0.60709171935578787</v>
      </c>
      <c r="S70" s="809">
        <f t="shared" si="6"/>
        <v>0</v>
      </c>
      <c r="T70" s="176">
        <f t="shared" si="7"/>
        <v>6</v>
      </c>
      <c r="U70" s="251">
        <f t="shared" si="21"/>
        <v>0.60709171935578787</v>
      </c>
      <c r="V70" s="383">
        <f t="shared" si="8"/>
        <v>32.743765578192509</v>
      </c>
      <c r="W70" s="58"/>
      <c r="X70" s="157">
        <f t="shared" si="9"/>
        <v>43521</v>
      </c>
      <c r="Y70" s="385">
        <f t="shared" si="10"/>
        <v>32.521999999999998</v>
      </c>
      <c r="Z70" s="385">
        <f t="shared" si="11"/>
        <v>32.679805018740062</v>
      </c>
      <c r="AA70" s="386">
        <f t="shared" si="12"/>
        <v>33.85323921932941</v>
      </c>
      <c r="AB70" s="197">
        <f t="shared" si="13"/>
        <v>43521</v>
      </c>
      <c r="AC70" s="425">
        <f>IF(OR(t&lt;Tnet,NoTnet),'2018'!Resal_s+('2018'!Salim-'2018'!Resal_s)*(1-EXP(('2018'!Tnet_s-t)/'2018'!Tau_j)),Resal_s+(Salim-Resal_s)*(1-EXP((Tnet_s-t)/Tau_j)))*Salcycl</f>
        <v>3.4662390590952448E-2</v>
      </c>
      <c r="AD70" s="231">
        <f>(INDEX(Models!$BJ70:$BT70,,AH70)*(1-AF70)+INDEX(Models!$BJ70:$BT70,,AH70+1)*AF70-ERP_i)*AE70*Ramure*Pc/MaxiM</f>
        <v>5.7518118993244247E-3</v>
      </c>
      <c r="AE70" s="305">
        <f t="shared" si="14"/>
        <v>0.8</v>
      </c>
      <c r="AF70" s="177">
        <f t="shared" si="15"/>
        <v>0.60709171935578787</v>
      </c>
      <c r="AG70" s="176">
        <f t="shared" si="16"/>
        <v>0</v>
      </c>
      <c r="AH70" s="176">
        <f t="shared" si="17"/>
        <v>6</v>
      </c>
      <c r="AI70" s="225">
        <f t="shared" si="22"/>
        <v>0.60709171935578787</v>
      </c>
      <c r="AJ70" s="265" t="b">
        <f t="shared" si="18"/>
        <v>0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6">
        <v>29.437000000000001</v>
      </c>
      <c r="C71" s="390"/>
      <c r="D71" s="393">
        <f t="shared" si="0"/>
        <v>29.580524195820018</v>
      </c>
      <c r="E71" s="385">
        <f t="shared" si="1"/>
        <v>30.647395339000038</v>
      </c>
      <c r="F71" s="385">
        <f t="shared" si="2"/>
        <v>30.798434522266472</v>
      </c>
      <c r="G71" s="110">
        <f t="shared" si="23"/>
        <v>0.88765504553205032</v>
      </c>
      <c r="H71" s="414" t="b">
        <f>Wh_hp&gt;='2018'!Maxi_hp</f>
        <v>1</v>
      </c>
      <c r="I71" s="390">
        <f>IF(H71,Wh_hp,'2018'!Maxi_hp)</f>
        <v>30.798434522266472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4.8519828408010168E-3</v>
      </c>
      <c r="M71" s="843"/>
      <c r="N71" s="843"/>
      <c r="O71" s="48">
        <f>IF(t&lt;Tnet,'2018'!Resal+('2018'!Salim-'2018'!Resal)*(1-EXP(('2018'!Tnet-t)/('2018'!Tau_j))),Resal+(Salim-Resal)*(1-EXP((Tnet-t)/(Tau_j))))*Salcycl</f>
        <v>3.4811152183702378E-2</v>
      </c>
      <c r="P71" s="169">
        <f>(INDEX(Models!$BJ71:$BT71,,T71)*(1-R71)+INDEX(Models!$BJ71:$BT71,,T71+1)*R71-ERP_i)*Q71*Ramure*Pc/MaxiM</f>
        <v>5.833427212814872E-3</v>
      </c>
      <c r="Q71" s="305">
        <f t="shared" si="4"/>
        <v>0.8</v>
      </c>
      <c r="R71" s="177">
        <f t="shared" si="5"/>
        <v>0.60741971566246622</v>
      </c>
      <c r="S71" s="809">
        <f t="shared" si="6"/>
        <v>0</v>
      </c>
      <c r="T71" s="176">
        <f t="shared" si="7"/>
        <v>6</v>
      </c>
      <c r="U71" s="251">
        <f t="shared" si="21"/>
        <v>0.60741971566246622</v>
      </c>
      <c r="V71" s="383">
        <f t="shared" si="8"/>
        <v>33.131686998505913</v>
      </c>
      <c r="W71" s="58"/>
      <c r="X71" s="157">
        <f t="shared" si="9"/>
        <v>43522</v>
      </c>
      <c r="Y71" s="385">
        <f t="shared" si="10"/>
        <v>29.437000000000001</v>
      </c>
      <c r="Z71" s="385">
        <f t="shared" si="11"/>
        <v>29.580524195820018</v>
      </c>
      <c r="AA71" s="386">
        <f t="shared" si="12"/>
        <v>30.647395339000038</v>
      </c>
      <c r="AB71" s="197">
        <f t="shared" si="13"/>
        <v>43522</v>
      </c>
      <c r="AC71" s="425">
        <f>IF(OR(t&lt;Tnet,NoTnet),'2018'!Resal_s+('2018'!Salim-'2018'!Resal_s)*(1-EXP(('2018'!Tnet_s-t)/'2018'!Tau_j)),Resal_s+(Salim-Resal_s)*(1-EXP((Tnet_s-t)/Tau_j)))*Salcycl</f>
        <v>3.4811152183702378E-2</v>
      </c>
      <c r="AD71" s="231">
        <f>(INDEX(Models!$BJ71:$BT71,,AH71)*(1-AF71)+INDEX(Models!$BJ71:$BT71,,AH71+1)*AF71-ERP_i)*AE71*Ramure*Pc/MaxiM</f>
        <v>5.833427212814872E-3</v>
      </c>
      <c r="AE71" s="305">
        <f t="shared" si="14"/>
        <v>0.8</v>
      </c>
      <c r="AF71" s="177">
        <f t="shared" si="15"/>
        <v>0.60741971566246622</v>
      </c>
      <c r="AG71" s="176">
        <f t="shared" si="16"/>
        <v>0</v>
      </c>
      <c r="AH71" s="176">
        <f t="shared" si="17"/>
        <v>6</v>
      </c>
      <c r="AI71" s="225">
        <f t="shared" si="22"/>
        <v>0.60741971566246622</v>
      </c>
      <c r="AJ71" s="265" t="b">
        <f t="shared" si="18"/>
        <v>0</v>
      </c>
      <c r="AK71" s="265" t="b">
        <f t="shared" si="19"/>
        <v>1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6">
        <v>33.371000000000002</v>
      </c>
      <c r="C72" s="390"/>
      <c r="D72" s="393">
        <f t="shared" si="0"/>
        <v>33.534485357524545</v>
      </c>
      <c r="E72" s="385">
        <f t="shared" si="1"/>
        <v>34.749312470942009</v>
      </c>
      <c r="F72" s="385">
        <f t="shared" si="2"/>
        <v>34.954686101605937</v>
      </c>
      <c r="G72" s="110">
        <f t="shared" si="23"/>
        <v>0.99541518187423961</v>
      </c>
      <c r="H72" s="414" t="b">
        <f>Wh_hp&gt;='2018'!Maxi_hp</f>
        <v>1</v>
      </c>
      <c r="I72" s="390">
        <f>IF(H72,Wh_hp,'2018'!Maxi_hp)</f>
        <v>34.954686101605937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4.8751413889780437E-3</v>
      </c>
      <c r="M72" s="843"/>
      <c r="N72" s="843"/>
      <c r="O72" s="48">
        <f>IF(t&lt;Tnet,'2018'!Resal+('2018'!Salim-'2018'!Resal)*(1-EXP(('2018'!Tnet-t)/('2018'!Tau_j))),Resal+(Salim-Resal)*(1-EXP((Tnet-t)/(Tau_j))))*Salcycl</f>
        <v>3.4959745302394887E-2</v>
      </c>
      <c r="P72" s="169">
        <f>(INDEX(Models!$BJ72:$BT72,,T72)*(1-R72)+INDEX(Models!$BJ72:$BT72,,T72+1)*R72-ERP_i)*Q72*Ramure*Pc/MaxiM</f>
        <v>5.9138339793862486E-3</v>
      </c>
      <c r="Q72" s="305">
        <f t="shared" si="4"/>
        <v>0.8</v>
      </c>
      <c r="R72" s="177">
        <f t="shared" si="5"/>
        <v>0.60776108637623838</v>
      </c>
      <c r="S72" s="809">
        <f t="shared" si="6"/>
        <v>0</v>
      </c>
      <c r="T72" s="176">
        <f t="shared" si="7"/>
        <v>6</v>
      </c>
      <c r="U72" s="251">
        <f t="shared" si="21"/>
        <v>0.60776108637623838</v>
      </c>
      <c r="V72" s="383">
        <f t="shared" si="8"/>
        <v>33.523409408039818</v>
      </c>
      <c r="W72" s="58"/>
      <c r="X72" s="157">
        <f t="shared" si="9"/>
        <v>43523</v>
      </c>
      <c r="Y72" s="385">
        <f t="shared" si="10"/>
        <v>33.371000000000002</v>
      </c>
      <c r="Z72" s="385">
        <f t="shared" si="11"/>
        <v>33.534485357524545</v>
      </c>
      <c r="AA72" s="386">
        <f t="shared" si="12"/>
        <v>34.749312470942009</v>
      </c>
      <c r="AB72" s="197">
        <f t="shared" si="13"/>
        <v>43523</v>
      </c>
      <c r="AC72" s="425">
        <f>IF(OR(t&lt;Tnet,NoTnet),'2018'!Resal_s+('2018'!Salim-'2018'!Resal_s)*(1-EXP(('2018'!Tnet_s-t)/'2018'!Tau_j)),Resal_s+(Salim-Resal_s)*(1-EXP((Tnet_s-t)/Tau_j)))*Salcycl</f>
        <v>3.4959745302394887E-2</v>
      </c>
      <c r="AD72" s="231">
        <f>(INDEX(Models!$BJ72:$BT72,,AH72)*(1-AF72)+INDEX(Models!$BJ72:$BT72,,AH72+1)*AF72-ERP_i)*AE72*Ramure*Pc/MaxiM</f>
        <v>5.9138339793862486E-3</v>
      </c>
      <c r="AE72" s="305">
        <f t="shared" si="14"/>
        <v>0.8</v>
      </c>
      <c r="AF72" s="177">
        <f t="shared" si="15"/>
        <v>0.60776108637623838</v>
      </c>
      <c r="AG72" s="176">
        <f t="shared" si="16"/>
        <v>0</v>
      </c>
      <c r="AH72" s="176">
        <f t="shared" si="17"/>
        <v>6</v>
      </c>
      <c r="AI72" s="225">
        <f t="shared" si="22"/>
        <v>0.60776108637623838</v>
      </c>
      <c r="AJ72" s="265" t="b">
        <f t="shared" si="18"/>
        <v>0</v>
      </c>
      <c r="AK72" s="265" t="b">
        <f t="shared" si="19"/>
        <v>1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6">
        <v>26.454000000000001</v>
      </c>
      <c r="C73" s="390"/>
      <c r="D73" s="393">
        <f t="shared" si="0"/>
        <v>26.584217456368727</v>
      </c>
      <c r="E73" s="385">
        <f t="shared" si="1"/>
        <v>27.551500267430043</v>
      </c>
      <c r="F73" s="385">
        <f t="shared" si="2"/>
        <v>27.665139057919827</v>
      </c>
      <c r="G73" s="110">
        <f t="shared" si="23"/>
        <v>0.77845166437665814</v>
      </c>
      <c r="H73" s="414" t="b">
        <f>Wh_hp&gt;='2018'!Maxi_hp</f>
        <v>1</v>
      </c>
      <c r="I73" s="390">
        <f>IF(H73,Wh_hp,'2018'!Maxi_hp)</f>
        <v>27.665139057919827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4.8982993982217282E-3</v>
      </c>
      <c r="M73" s="843"/>
      <c r="N73" s="843"/>
      <c r="O73" s="48">
        <f>IF(t&lt;Tnet,'2018'!Resal+('2018'!Salim-'2018'!Resal)*(1-EXP(('2018'!Tnet-t)/('2018'!Tau_j))),Resal+(Salim-Resal)*(1-EXP((Tnet-t)/(Tau_j))))*Salcycl</f>
        <v>3.5108172029556899E-2</v>
      </c>
      <c r="P73" s="169">
        <f>(INDEX(Models!$BJ73:$BT73,,T73)*(1-R73)+INDEX(Models!$BJ73:$BT73,,T73+1)*R73-ERP_i)*Q73*Ramure*Pc/MaxiM</f>
        <v>5.9912410990277691E-3</v>
      </c>
      <c r="Q73" s="305">
        <f t="shared" si="4"/>
        <v>0.8</v>
      </c>
      <c r="R73" s="177">
        <f t="shared" si="5"/>
        <v>0.60811636026334348</v>
      </c>
      <c r="S73" s="809">
        <f t="shared" si="6"/>
        <v>0</v>
      </c>
      <c r="T73" s="176">
        <f t="shared" si="7"/>
        <v>6</v>
      </c>
      <c r="U73" s="251">
        <f t="shared" si="21"/>
        <v>0.60811636026334348</v>
      </c>
      <c r="V73" s="383">
        <f t="shared" si="8"/>
        <v>33.918568416834411</v>
      </c>
      <c r="W73" s="58"/>
      <c r="X73" s="157">
        <f t="shared" si="9"/>
        <v>43524</v>
      </c>
      <c r="Y73" s="385">
        <f t="shared" si="10"/>
        <v>26.454000000000001</v>
      </c>
      <c r="Z73" s="385">
        <f t="shared" si="11"/>
        <v>26.584217456368727</v>
      </c>
      <c r="AA73" s="386">
        <f t="shared" si="12"/>
        <v>27.551500267430043</v>
      </c>
      <c r="AB73" s="197">
        <f t="shared" si="13"/>
        <v>43524</v>
      </c>
      <c r="AC73" s="425">
        <f>IF(OR(t&lt;Tnet,NoTnet),'2018'!Resal_s+('2018'!Salim-'2018'!Resal_s)*(1-EXP(('2018'!Tnet_s-t)/'2018'!Tau_j)),Resal_s+(Salim-Resal_s)*(1-EXP((Tnet_s-t)/Tau_j)))*Salcycl</f>
        <v>3.5108172029556899E-2</v>
      </c>
      <c r="AD73" s="231">
        <f>(INDEX(Models!$BJ73:$BT73,,AH73)*(1-AF73)+INDEX(Models!$BJ73:$BT73,,AH73+1)*AF73-ERP_i)*AE73*Ramure*Pc/MaxiM</f>
        <v>5.9912410990277691E-3</v>
      </c>
      <c r="AE73" s="305">
        <f t="shared" si="14"/>
        <v>0.8</v>
      </c>
      <c r="AF73" s="177">
        <f t="shared" si="15"/>
        <v>0.60811636026334348</v>
      </c>
      <c r="AG73" s="176">
        <f t="shared" si="16"/>
        <v>0</v>
      </c>
      <c r="AH73" s="176">
        <f t="shared" si="17"/>
        <v>6</v>
      </c>
      <c r="AI73" s="225">
        <f t="shared" si="22"/>
        <v>0.60811636026334348</v>
      </c>
      <c r="AJ73" s="265" t="b">
        <f t="shared" si="18"/>
        <v>0</v>
      </c>
      <c r="AK73" s="265" t="b">
        <f t="shared" si="19"/>
        <v>1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6">
        <v>14.224</v>
      </c>
      <c r="C74" s="390"/>
      <c r="D74" s="393">
        <f t="shared" si="0"/>
        <v>14.294349022176567</v>
      </c>
      <c r="E74" s="385">
        <f t="shared" si="1"/>
        <v>14.816734252663101</v>
      </c>
      <c r="F74" s="385">
        <f t="shared" si="2"/>
        <v>14.831448871305009</v>
      </c>
      <c r="G74" s="110">
        <f t="shared" si="23"/>
        <v>0.41238655068094582</v>
      </c>
      <c r="H74" s="414" t="b">
        <f>Wh_hp&gt;='2018'!Maxi_hp</f>
        <v>1</v>
      </c>
      <c r="I74" s="390">
        <f>IF(H74,Wh_hp,'2018'!Maxi_hp)</f>
        <v>14.831448871305009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4.9214568685447269E-3</v>
      </c>
      <c r="M74" s="843"/>
      <c r="N74" s="843"/>
      <c r="O74" s="48">
        <f>IF(t&lt;Tnet,'2018'!Resal+('2018'!Salim-'2018'!Resal)*(1-EXP(('2018'!Tnet-t)/('2018'!Tau_j))),Resal+(Salim-Resal)*(1-EXP((Tnet-t)/(Tau_j))))*Salcycl</f>
        <v>3.5256435161658148E-2</v>
      </c>
      <c r="P74" s="169">
        <f>(INDEX(Models!$BJ74:$BT74,,T74)*(1-R74)+INDEX(Models!$BJ74:$BT74,,T74+1)*R74-ERP_i)*Q74*Ramure*Pc/MaxiM</f>
        <v>6.0658221968186085E-3</v>
      </c>
      <c r="Q74" s="305">
        <f t="shared" si="4"/>
        <v>0.8</v>
      </c>
      <c r="R74" s="177">
        <f t="shared" si="5"/>
        <v>0.60848608559741413</v>
      </c>
      <c r="S74" s="809">
        <f t="shared" si="6"/>
        <v>0</v>
      </c>
      <c r="T74" s="176">
        <f t="shared" si="7"/>
        <v>6</v>
      </c>
      <c r="U74" s="251">
        <f t="shared" si="21"/>
        <v>0.60848608559741413</v>
      </c>
      <c r="V74" s="383">
        <f t="shared" si="8"/>
        <v>34.316735125203159</v>
      </c>
      <c r="W74" s="58"/>
      <c r="X74" s="157">
        <f t="shared" si="9"/>
        <v>43525</v>
      </c>
      <c r="Y74" s="385">
        <f t="shared" si="10"/>
        <v>14.224</v>
      </c>
      <c r="Z74" s="385">
        <f t="shared" si="11"/>
        <v>14.294349022176567</v>
      </c>
      <c r="AA74" s="386">
        <f t="shared" si="12"/>
        <v>14.816734252663101</v>
      </c>
      <c r="AB74" s="197">
        <f t="shared" si="13"/>
        <v>43525</v>
      </c>
      <c r="AC74" s="425">
        <f>IF(OR(t&lt;Tnet,NoTnet),'2018'!Resal_s+('2018'!Salim-'2018'!Resal_s)*(1-EXP(('2018'!Tnet_s-t)/'2018'!Tau_j)),Resal_s+(Salim-Resal_s)*(1-EXP((Tnet_s-t)/Tau_j)))*Salcycl</f>
        <v>3.5256435161658148E-2</v>
      </c>
      <c r="AD74" s="231">
        <f>(INDEX(Models!$BJ74:$BT74,,AH74)*(1-AF74)+INDEX(Models!$BJ74:$BT74,,AH74+1)*AF74-ERP_i)*AE74*Ramure*Pc/MaxiM</f>
        <v>6.0658221968186085E-3</v>
      </c>
      <c r="AE74" s="305">
        <f t="shared" si="14"/>
        <v>0.8</v>
      </c>
      <c r="AF74" s="177">
        <f t="shared" si="15"/>
        <v>0.60848608559741413</v>
      </c>
      <c r="AG74" s="176">
        <f t="shared" si="16"/>
        <v>0</v>
      </c>
      <c r="AH74" s="176">
        <f t="shared" si="17"/>
        <v>6</v>
      </c>
      <c r="AI74" s="225">
        <f t="shared" si="22"/>
        <v>0.60848608559741413</v>
      </c>
      <c r="AJ74" s="265" t="b">
        <f t="shared" si="18"/>
        <v>0</v>
      </c>
      <c r="AK74" s="265" t="b">
        <f t="shared" si="19"/>
        <v>1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6">
        <v>21.396000000000001</v>
      </c>
      <c r="C75" s="390"/>
      <c r="D75" s="393">
        <f t="shared" si="0"/>
        <v>21.502320671523574</v>
      </c>
      <c r="E75" s="385">
        <f t="shared" si="1"/>
        <v>22.291542438081787</v>
      </c>
      <c r="F75" s="385">
        <f t="shared" si="2"/>
        <v>22.353535265249896</v>
      </c>
      <c r="G75" s="110">
        <f t="shared" si="23"/>
        <v>0.61420970925738938</v>
      </c>
      <c r="H75" s="414" t="b">
        <f>Wh_hp&gt;='2018'!Maxi_hp</f>
        <v>1</v>
      </c>
      <c r="I75" s="390">
        <f>IF(H75,Wh_hp,'2018'!Maxi_hp)</f>
        <v>22.353535265249896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4.9446137999595852E-3</v>
      </c>
      <c r="M75" s="843"/>
      <c r="N75" s="843"/>
      <c r="O75" s="48">
        <f>IF(t&lt;Tnet,'2018'!Resal+('2018'!Salim-'2018'!Resal)*(1-EXP(('2018'!Tnet-t)/('2018'!Tau_j))),Resal+(Salim-Resal)*(1-EXP((Tnet-t)/(Tau_j))))*Salcycl</f>
        <v>3.5404538234642187E-2</v>
      </c>
      <c r="P75" s="169">
        <f>(INDEX(Models!$BJ75:$BT75,,T75)*(1-R75)+INDEX(Models!$BJ75:$BT75,,T75+1)*R75-ERP_i)*Q75*Ramure*Pc/MaxiM</f>
        <v>6.1377506038099447E-3</v>
      </c>
      <c r="Q75" s="305">
        <f t="shared" si="4"/>
        <v>0.8</v>
      </c>
      <c r="R75" s="177">
        <f t="shared" si="5"/>
        <v>0.60887083076052795</v>
      </c>
      <c r="S75" s="809">
        <f t="shared" si="6"/>
        <v>0</v>
      </c>
      <c r="T75" s="176">
        <f t="shared" si="7"/>
        <v>6</v>
      </c>
      <c r="U75" s="251">
        <f t="shared" si="21"/>
        <v>0.60887083076052795</v>
      </c>
      <c r="V75" s="383">
        <f t="shared" si="8"/>
        <v>34.717480818049751</v>
      </c>
      <c r="W75" s="58"/>
      <c r="X75" s="157">
        <f t="shared" si="9"/>
        <v>43526</v>
      </c>
      <c r="Y75" s="385">
        <f t="shared" si="10"/>
        <v>21.396000000000001</v>
      </c>
      <c r="Z75" s="385">
        <f t="shared" si="11"/>
        <v>21.502320671523574</v>
      </c>
      <c r="AA75" s="386">
        <f t="shared" si="12"/>
        <v>22.291542438081787</v>
      </c>
      <c r="AB75" s="197">
        <f t="shared" si="13"/>
        <v>43526</v>
      </c>
      <c r="AC75" s="425">
        <f>IF(OR(t&lt;Tnet,NoTnet),'2018'!Resal_s+('2018'!Salim-'2018'!Resal_s)*(1-EXP(('2018'!Tnet_s-t)/'2018'!Tau_j)),Resal_s+(Salim-Resal_s)*(1-EXP((Tnet_s-t)/Tau_j)))*Salcycl</f>
        <v>3.5404538234642187E-2</v>
      </c>
      <c r="AD75" s="231">
        <f>(INDEX(Models!$BJ75:$BT75,,AH75)*(1-AF75)+INDEX(Models!$BJ75:$BT75,,AH75+1)*AF75-ERP_i)*AE75*Ramure*Pc/MaxiM</f>
        <v>6.1377506038099447E-3</v>
      </c>
      <c r="AE75" s="305">
        <f t="shared" si="14"/>
        <v>0.8</v>
      </c>
      <c r="AF75" s="177">
        <f t="shared" si="15"/>
        <v>0.60887083076052795</v>
      </c>
      <c r="AG75" s="176">
        <f t="shared" si="16"/>
        <v>0</v>
      </c>
      <c r="AH75" s="176">
        <f t="shared" si="17"/>
        <v>6</v>
      </c>
      <c r="AI75" s="225">
        <f t="shared" si="22"/>
        <v>0.60887083076052795</v>
      </c>
      <c r="AJ75" s="265" t="b">
        <f t="shared" si="18"/>
        <v>0</v>
      </c>
      <c r="AK75" s="265" t="b">
        <f t="shared" si="19"/>
        <v>1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6">
        <v>31.446000000000002</v>
      </c>
      <c r="C76" s="390"/>
      <c r="D76" s="393">
        <f t="shared" si="0"/>
        <v>31.602996423626308</v>
      </c>
      <c r="E76" s="385">
        <f t="shared" si="1"/>
        <v>32.767979542648433</v>
      </c>
      <c r="F76" s="385">
        <f t="shared" si="2"/>
        <v>32.941895220548325</v>
      </c>
      <c r="G76" s="110">
        <f t="shared" si="23"/>
        <v>0.8945425547697633</v>
      </c>
      <c r="H76" s="414" t="b">
        <f>Wh_hp&gt;='2018'!Maxi_hp</f>
        <v>1</v>
      </c>
      <c r="I76" s="390">
        <f>IF(H76,Wh_hp,'2018'!Maxi_hp)</f>
        <v>32.941895220548325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4.9677701924788487E-3</v>
      </c>
      <c r="M76" s="843"/>
      <c r="N76" s="843"/>
      <c r="O76" s="48">
        <f>IF(t&lt;Tnet,'2018'!Resal+('2018'!Salim-'2018'!Resal)*(1-EXP(('2018'!Tnet-t)/('2018'!Tau_j))),Resal+(Salim-Resal)*(1-EXP((Tnet-t)/(Tau_j))))*Salcycl</f>
        <v>3.5552485544794406E-2</v>
      </c>
      <c r="P76" s="169">
        <f>(INDEX(Models!$BJ76:$BT76,,T76)*(1-R76)+INDEX(Models!$BJ76:$BT76,,T76+1)*R76-ERP_i)*Q76*Ramure*Pc/MaxiM</f>
        <v>6.2071991167290137E-3</v>
      </c>
      <c r="Q76" s="305">
        <f t="shared" si="4"/>
        <v>0.8</v>
      </c>
      <c r="R76" s="177">
        <f t="shared" si="5"/>
        <v>0.60927118485235743</v>
      </c>
      <c r="S76" s="809">
        <f t="shared" si="6"/>
        <v>0</v>
      </c>
      <c r="T76" s="176">
        <f t="shared" si="7"/>
        <v>6</v>
      </c>
      <c r="U76" s="251">
        <f t="shared" si="21"/>
        <v>0.60927118485235743</v>
      </c>
      <c r="V76" s="383">
        <f t="shared" si="8"/>
        <v>35.120376955240381</v>
      </c>
      <c r="W76" s="58"/>
      <c r="X76" s="157">
        <f t="shared" si="9"/>
        <v>43527</v>
      </c>
      <c r="Y76" s="385">
        <f t="shared" si="10"/>
        <v>31.445999999999998</v>
      </c>
      <c r="Z76" s="385">
        <f t="shared" si="11"/>
        <v>31.602996423626305</v>
      </c>
      <c r="AA76" s="386">
        <f t="shared" si="12"/>
        <v>32.767979542648433</v>
      </c>
      <c r="AB76" s="197">
        <f t="shared" si="13"/>
        <v>43527</v>
      </c>
      <c r="AC76" s="425">
        <f>IF(OR(t&lt;Tnet,NoTnet),'2018'!Resal_s+('2018'!Salim-'2018'!Resal_s)*(1-EXP(('2018'!Tnet_s-t)/'2018'!Tau_j)),Resal_s+(Salim-Resal_s)*(1-EXP((Tnet_s-t)/Tau_j)))*Salcycl</f>
        <v>3.5552485544794406E-2</v>
      </c>
      <c r="AD76" s="231">
        <f>(INDEX(Models!$BJ76:$BT76,,AH76)*(1-AF76)+INDEX(Models!$BJ76:$BT76,,AH76+1)*AF76-ERP_i)*AE76*Ramure*Pc/MaxiM</f>
        <v>6.2071991167290137E-3</v>
      </c>
      <c r="AE76" s="305">
        <f t="shared" si="14"/>
        <v>0.8</v>
      </c>
      <c r="AF76" s="177">
        <f t="shared" si="15"/>
        <v>0.60927118485235743</v>
      </c>
      <c r="AG76" s="176">
        <f t="shared" si="16"/>
        <v>0</v>
      </c>
      <c r="AH76" s="176">
        <f t="shared" si="17"/>
        <v>6</v>
      </c>
      <c r="AI76" s="225">
        <f t="shared" si="22"/>
        <v>0.60927118485235743</v>
      </c>
      <c r="AJ76" s="265" t="b">
        <f t="shared" si="18"/>
        <v>0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6">
        <v>13.218</v>
      </c>
      <c r="C77" s="390"/>
      <c r="D77" s="393">
        <f t="shared" si="0"/>
        <v>13.28430096368408</v>
      </c>
      <c r="E77" s="385">
        <f t="shared" si="1"/>
        <v>13.776112051040625</v>
      </c>
      <c r="F77" s="385">
        <f t="shared" si="2"/>
        <v>13.785017756441286</v>
      </c>
      <c r="G77" s="110">
        <f t="shared" si="23"/>
        <v>0.36998054505047484</v>
      </c>
      <c r="H77" s="414" t="b">
        <f>Wh_hp&gt;='2018'!Maxi_hp</f>
        <v>1</v>
      </c>
      <c r="I77" s="390">
        <f>IF(H77,Wh_hp,'2018'!Maxi_hp)</f>
        <v>13.785017756441286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4.9909260461149518E-3</v>
      </c>
      <c r="M77" s="843"/>
      <c r="N77" s="843"/>
      <c r="O77" s="48">
        <f>IF(t&lt;Tnet,'2018'!Resal+('2018'!Salim-'2018'!Resal)*(1-EXP(('2018'!Tnet-t)/('2018'!Tau_j))),Resal+(Salim-Resal)*(1-EXP((Tnet-t)/(Tau_j))))*Salcycl</f>
        <v>3.5700282164835756E-2</v>
      </c>
      <c r="P77" s="169">
        <f>(INDEX(Models!$BJ77:$BT77,,T77)*(1-R77)+INDEX(Models!$BJ77:$BT77,,T77+1)*R77-ERP_i)*Q77*Ramure*Pc/MaxiM</f>
        <v>6.2743398066240005E-3</v>
      </c>
      <c r="Q77" s="305">
        <f t="shared" si="4"/>
        <v>0.8</v>
      </c>
      <c r="R77" s="177">
        <f t="shared" si="5"/>
        <v>0.60968775830647537</v>
      </c>
      <c r="S77" s="809">
        <f t="shared" si="6"/>
        <v>0</v>
      </c>
      <c r="T77" s="176">
        <f t="shared" si="7"/>
        <v>6</v>
      </c>
      <c r="U77" s="251">
        <f t="shared" si="21"/>
        <v>0.60968775830647537</v>
      </c>
      <c r="V77" s="383">
        <f t="shared" si="8"/>
        <v>35.524995156890512</v>
      </c>
      <c r="W77" s="58"/>
      <c r="X77" s="157">
        <f t="shared" si="9"/>
        <v>43528</v>
      </c>
      <c r="Y77" s="385">
        <f t="shared" si="10"/>
        <v>13.218</v>
      </c>
      <c r="Z77" s="385">
        <f t="shared" si="11"/>
        <v>13.28430096368408</v>
      </c>
      <c r="AA77" s="386">
        <f t="shared" si="12"/>
        <v>13.776112051040625</v>
      </c>
      <c r="AB77" s="197">
        <f t="shared" si="13"/>
        <v>43528</v>
      </c>
      <c r="AC77" s="425">
        <f>IF(OR(t&lt;Tnet,NoTnet),'2018'!Resal_s+('2018'!Salim-'2018'!Resal_s)*(1-EXP(('2018'!Tnet_s-t)/'2018'!Tau_j)),Resal_s+(Salim-Resal_s)*(1-EXP((Tnet_s-t)/Tau_j)))*Salcycl</f>
        <v>3.5700282164835756E-2</v>
      </c>
      <c r="AD77" s="231">
        <f>(INDEX(Models!$BJ77:$BT77,,AH77)*(1-AF77)+INDEX(Models!$BJ77:$BT77,,AH77+1)*AF77-ERP_i)*AE77*Ramure*Pc/MaxiM</f>
        <v>6.2743398066240005E-3</v>
      </c>
      <c r="AE77" s="305">
        <f t="shared" si="14"/>
        <v>0.8</v>
      </c>
      <c r="AF77" s="177">
        <f t="shared" si="15"/>
        <v>0.60968775830647537</v>
      </c>
      <c r="AG77" s="176">
        <f t="shared" si="16"/>
        <v>0</v>
      </c>
      <c r="AH77" s="176">
        <f t="shared" si="17"/>
        <v>6</v>
      </c>
      <c r="AI77" s="225">
        <f t="shared" si="22"/>
        <v>0.60968775830647537</v>
      </c>
      <c r="AJ77" s="265" t="b">
        <f t="shared" si="18"/>
        <v>0</v>
      </c>
      <c r="AK77" s="265" t="b">
        <f t="shared" si="19"/>
        <v>1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6">
        <v>35.537999999999997</v>
      </c>
      <c r="C78" s="390"/>
      <c r="D78" s="393">
        <f t="shared" si="0"/>
        <v>35.717088387146916</v>
      </c>
      <c r="E78" s="385">
        <f t="shared" si="1"/>
        <v>37.045077892812976</v>
      </c>
      <c r="F78" s="385">
        <f t="shared" si="2"/>
        <v>37.277702445333496</v>
      </c>
      <c r="G78" s="110">
        <f t="shared" si="23"/>
        <v>0.98896636154769302</v>
      </c>
      <c r="H78" s="414" t="b">
        <f>Wh_hp&gt;='2018'!Maxi_hp</f>
        <v>1</v>
      </c>
      <c r="I78" s="390">
        <f>IF(H78,Wh_hp,'2018'!Maxi_hp)</f>
        <v>37.277702445333496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5.0140813608805512E-3</v>
      </c>
      <c r="M78" s="843"/>
      <c r="N78" s="843"/>
      <c r="O78" s="48">
        <f>IF(t&lt;Tnet,'2018'!Resal+('2018'!Salim-'2018'!Resal)*(1-EXP(('2018'!Tnet-t)/('2018'!Tau_j))),Resal+(Salim-Resal)*(1-EXP((Tnet-t)/(Tau_j))))*Salcycl</f>
        <v>3.5847933955180065E-2</v>
      </c>
      <c r="P78" s="169">
        <f>(INDEX(Models!$BJ78:$BT78,,T78)*(1-R78)+INDEX(Models!$BJ78:$BT78,,T78+1)*R78-ERP_i)*Q78*Ramure*Pc/MaxiM</f>
        <v>6.3393438681772383E-3</v>
      </c>
      <c r="Q78" s="305">
        <f t="shared" si="4"/>
        <v>0.8</v>
      </c>
      <c r="R78" s="177">
        <f t="shared" si="5"/>
        <v>0.61012118351275013</v>
      </c>
      <c r="S78" s="809">
        <f t="shared" si="6"/>
        <v>0</v>
      </c>
      <c r="T78" s="176">
        <f t="shared" si="7"/>
        <v>6</v>
      </c>
      <c r="U78" s="251">
        <f t="shared" si="21"/>
        <v>0.61012118351275013</v>
      </c>
      <c r="V78" s="383">
        <f t="shared" si="8"/>
        <v>35.930907200984905</v>
      </c>
      <c r="W78" s="58"/>
      <c r="X78" s="157">
        <f t="shared" si="9"/>
        <v>43529</v>
      </c>
      <c r="Y78" s="385">
        <f t="shared" si="10"/>
        <v>35.537999999999997</v>
      </c>
      <c r="Z78" s="385">
        <f t="shared" si="11"/>
        <v>35.717088387146916</v>
      </c>
      <c r="AA78" s="386">
        <f t="shared" si="12"/>
        <v>37.045077892812976</v>
      </c>
      <c r="AB78" s="197">
        <f t="shared" si="13"/>
        <v>43529</v>
      </c>
      <c r="AC78" s="425">
        <f>IF(OR(t&lt;Tnet,NoTnet),'2018'!Resal_s+('2018'!Salim-'2018'!Resal_s)*(1-EXP(('2018'!Tnet_s-t)/'2018'!Tau_j)),Resal_s+(Salim-Resal_s)*(1-EXP((Tnet_s-t)/Tau_j)))*Salcycl</f>
        <v>3.5847933955180065E-2</v>
      </c>
      <c r="AD78" s="231">
        <f>(INDEX(Models!$BJ78:$BT78,,AH78)*(1-AF78)+INDEX(Models!$BJ78:$BT78,,AH78+1)*AF78-ERP_i)*AE78*Ramure*Pc/MaxiM</f>
        <v>6.3393438681772383E-3</v>
      </c>
      <c r="AE78" s="305">
        <f t="shared" si="14"/>
        <v>0.8</v>
      </c>
      <c r="AF78" s="177">
        <f t="shared" si="15"/>
        <v>0.61012118351275013</v>
      </c>
      <c r="AG78" s="176">
        <f t="shared" si="16"/>
        <v>0</v>
      </c>
      <c r="AH78" s="176">
        <f t="shared" si="17"/>
        <v>6</v>
      </c>
      <c r="AI78" s="225">
        <f t="shared" si="22"/>
        <v>0.61012118351275013</v>
      </c>
      <c r="AJ78" s="265" t="b">
        <f t="shared" si="18"/>
        <v>0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6">
        <v>21.699000000000002</v>
      </c>
      <c r="C79" s="390"/>
      <c r="D79" s="393">
        <f t="shared" ref="D79:D142" si="24">Wh/(1-Ppv)</f>
        <v>21.808856359355371</v>
      </c>
      <c r="E79" s="385">
        <f t="shared" si="1"/>
        <v>22.623188141994536</v>
      </c>
      <c r="F79" s="385">
        <f t="shared" ref="F79:F142" si="25">Wh_sa/(1-Pvg*MEDIAN((-Sdif+Wh/Env_an)/Csdif,0,1))</f>
        <v>22.684826096802258</v>
      </c>
      <c r="G79" s="110">
        <f t="shared" si="23"/>
        <v>0.59489466257070822</v>
      </c>
      <c r="H79" s="414" t="b">
        <f>Wh_hp&gt;='2018'!Maxi_hp</f>
        <v>1</v>
      </c>
      <c r="I79" s="390">
        <f>IF(H79,Wh_hp,'2018'!Maxi_hp)</f>
        <v>22.684826096802258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5.0372361367881924E-3</v>
      </c>
      <c r="M79" s="843"/>
      <c r="N79" s="843"/>
      <c r="O79" s="48">
        <f>IF(t&lt;Tnet,'2018'!Resal+('2018'!Salim-'2018'!Resal)*(1-EXP(('2018'!Tnet-t)/('2018'!Tau_j))),Resal+(Salim-Resal)*(1-EXP((Tnet-t)/(Tau_j))))*Salcycl</f>
        <v>3.5995447570342773E-2</v>
      </c>
      <c r="P79" s="169">
        <f>(INDEX(Models!$BJ79:$BT79,,T79)*(1-R79)+INDEX(Models!$BJ79:$BT79,,T79+1)*R79-ERP_i)*Q79*Ramure*Pc/MaxiM</f>
        <v>6.4018717446843836E-3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0.61057211544462786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0.61057211544462786</v>
      </c>
      <c r="V79" s="383">
        <f t="shared" ref="V79:V142" si="32">MaxiM*(1-Ppv)*(1-Pvg)*(1-Psa)</f>
        <v>36.340597129139617</v>
      </c>
      <c r="W79" s="58"/>
      <c r="X79" s="157">
        <f t="shared" ref="X79:X142" si="33">t</f>
        <v>43530</v>
      </c>
      <c r="Y79" s="385">
        <f t="shared" ref="Y79:Y142" si="34">Wh_pvt_s*(1-Ppv)</f>
        <v>21.699000000000002</v>
      </c>
      <c r="Z79" s="385">
        <f t="shared" ref="Z79:Z142" si="35">Wh_sa_s*(1-Psa_s)</f>
        <v>21.808856359355371</v>
      </c>
      <c r="AA79" s="386">
        <f t="shared" ref="AA79:AA142" si="36">Wh_hp*(1-Pvg_s*MEDIAN((-Sdif+Wh/Env_an)/Csdif,0,1))</f>
        <v>22.623188141994536</v>
      </c>
      <c r="AB79" s="197">
        <f t="shared" ref="AB79:AB142" si="37">t</f>
        <v>43530</v>
      </c>
      <c r="AC79" s="425">
        <f>IF(OR(t&lt;Tnet,NoTnet),'2018'!Resal_s+('2018'!Salim-'2018'!Resal_s)*(1-EXP(('2018'!Tnet_s-t)/'2018'!Tau_j)),Resal_s+(Salim-Resal_s)*(1-EXP((Tnet_s-t)/Tau_j)))*Salcycl</f>
        <v>3.5995447570342773E-2</v>
      </c>
      <c r="AD79" s="231">
        <f>(INDEX(Models!$BJ79:$BT79,,AH79)*(1-AF79)+INDEX(Models!$BJ79:$BT79,,AH79+1)*AF79-ERP_i)*AE79*Ramure*Pc/MaxiM</f>
        <v>6.4018717446843836E-3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0.61057211544462786</v>
      </c>
      <c r="AG79" s="176">
        <f t="shared" ref="AG79:AG142" si="40">INDEX(Echel_vg,AH79)</f>
        <v>0</v>
      </c>
      <c r="AH79" s="176">
        <f t="shared" ref="AH79:AH142" si="41">MIN(MATCH(Hp_vg_s,Echel_vg),10)</f>
        <v>6</v>
      </c>
      <c r="AI79" s="225">
        <f t="shared" ref="AI79:AI142" si="42">IF(OR(t&lt;Ttai,Notai),Hdd_s+PousH*Croivg,Hdtai_s+PousH*(Croivg-Croi_tai))</f>
        <v>0.61057211544462786</v>
      </c>
      <c r="AJ79" s="265" t="b">
        <f t="shared" ref="AJ79:AJ142" si="43">t&lt;Tnet</f>
        <v>0</v>
      </c>
      <c r="AK79" s="265" t="b">
        <f t="shared" ref="AK79:AK142" si="44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6">
        <v>35.073</v>
      </c>
      <c r="C80" s="390"/>
      <c r="D80" s="393">
        <f t="shared" si="24"/>
        <v>35.251385773231746</v>
      </c>
      <c r="E80" s="385">
        <f t="shared" ref="E80:E143" si="46">Wh_pvt/(1-Psa)</f>
        <v>36.573246417905473</v>
      </c>
      <c r="F80" s="385">
        <f t="shared" si="25"/>
        <v>36.795227645060514</v>
      </c>
      <c r="G80" s="110">
        <f t="shared" ref="G80:G143" si="47">+Wh_hp/MaxiM</f>
        <v>0.95379312549040418</v>
      </c>
      <c r="H80" s="414" t="b">
        <f>Wh_hp&gt;='2018'!Maxi_hp</f>
        <v>1</v>
      </c>
      <c r="I80" s="390">
        <f>IF(H80,Wh_hp,'2018'!Maxi_hp)</f>
        <v>36.795227645060514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5.0603903738503098E-3</v>
      </c>
      <c r="M80" s="843"/>
      <c r="N80" s="843"/>
      <c r="O80" s="48">
        <f>IF(t&lt;Tnet,'2018'!Resal+('2018'!Salim-'2018'!Resal)*(1-EXP(('2018'!Tnet-t)/('2018'!Tau_j))),Resal+(Salim-Resal)*(1-EXP((Tnet-t)/(Tau_j))))*Salcycl</f>
        <v>3.6142830460534986E-2</v>
      </c>
      <c r="P80" s="169">
        <f>(INDEX(Models!$BJ80:$BT80,,T80)*(1-R80)+INDEX(Models!$BJ80:$BT80,,T80+1)*R80-ERP_i)*Q80*Ramure*Pc/MaxiM</f>
        <v>6.4552517660003139E-3</v>
      </c>
      <c r="Q80" s="305">
        <f t="shared" si="27"/>
        <v>0.8</v>
      </c>
      <c r="R80" s="177">
        <f t="shared" si="28"/>
        <v>0.61104123228995055</v>
      </c>
      <c r="S80" s="809">
        <f t="shared" si="29"/>
        <v>0</v>
      </c>
      <c r="T80" s="176">
        <f t="shared" si="30"/>
        <v>6</v>
      </c>
      <c r="U80" s="251">
        <f t="shared" si="31"/>
        <v>0.61104123228995055</v>
      </c>
      <c r="V80" s="383">
        <f t="shared" si="32"/>
        <v>36.756499222226722</v>
      </c>
      <c r="W80" s="58"/>
      <c r="X80" s="157">
        <f t="shared" si="33"/>
        <v>43531</v>
      </c>
      <c r="Y80" s="385">
        <f t="shared" si="34"/>
        <v>35.073</v>
      </c>
      <c r="Z80" s="385">
        <f t="shared" si="35"/>
        <v>35.251385773231746</v>
      </c>
      <c r="AA80" s="386">
        <f t="shared" si="36"/>
        <v>36.573246417905473</v>
      </c>
      <c r="AB80" s="197">
        <f t="shared" si="37"/>
        <v>43531</v>
      </c>
      <c r="AC80" s="425">
        <f>IF(OR(t&lt;Tnet,NoTnet),'2018'!Resal_s+('2018'!Salim-'2018'!Resal_s)*(1-EXP(('2018'!Tnet_s-t)/'2018'!Tau_j)),Resal_s+(Salim-Resal_s)*(1-EXP((Tnet_s-t)/Tau_j)))*Salcycl</f>
        <v>3.6142830460534986E-2</v>
      </c>
      <c r="AD80" s="231">
        <f>(INDEX(Models!$BJ80:$BT80,,AH80)*(1-AF80)+INDEX(Models!$BJ80:$BT80,,AH80+1)*AF80-ERP_i)*AE80*Ramure*Pc/MaxiM</f>
        <v>6.4552517660003139E-3</v>
      </c>
      <c r="AE80" s="305">
        <f t="shared" si="38"/>
        <v>0.8</v>
      </c>
      <c r="AF80" s="177">
        <f t="shared" si="39"/>
        <v>0.61104123228995055</v>
      </c>
      <c r="AG80" s="176">
        <f t="shared" si="40"/>
        <v>0</v>
      </c>
      <c r="AH80" s="176">
        <f t="shared" si="41"/>
        <v>6</v>
      </c>
      <c r="AI80" s="225">
        <f t="shared" si="42"/>
        <v>0.61104123228995055</v>
      </c>
      <c r="AJ80" s="265" t="b">
        <f t="shared" si="43"/>
        <v>0</v>
      </c>
      <c r="AK80" s="265" t="b">
        <f t="shared" si="44"/>
        <v>1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6">
        <v>20.709</v>
      </c>
      <c r="C81" s="390"/>
      <c r="D81" s="393">
        <f t="shared" si="24"/>
        <v>20.81481301933589</v>
      </c>
      <c r="E81" s="385">
        <f t="shared" si="46"/>
        <v>21.598629236981516</v>
      </c>
      <c r="F81" s="385">
        <f t="shared" si="25"/>
        <v>21.650296226127132</v>
      </c>
      <c r="G81" s="110">
        <f t="shared" si="47"/>
        <v>0.55472979503109754</v>
      </c>
      <c r="H81" s="414" t="b">
        <f>Wh_hp&gt;='2018'!Maxi_hp</f>
        <v>1</v>
      </c>
      <c r="I81" s="390">
        <f>IF(H81,Wh_hp,'2018'!Maxi_hp)</f>
        <v>21.650296226127132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5.0835440720795599E-3</v>
      </c>
      <c r="M81" s="843"/>
      <c r="N81" s="843"/>
      <c r="O81" s="48">
        <f>IF(t&lt;Tnet,'2018'!Resal+('2018'!Salim-'2018'!Resal)*(1-EXP(('2018'!Tnet-t)/('2018'!Tau_j))),Resal+(Salim-Resal)*(1-EXP((Tnet-t)/(Tau_j))))*Salcycl</f>
        <v>3.6290090868524305E-2</v>
      </c>
      <c r="P81" s="169">
        <f>(INDEX(Models!$BJ81:$BT81,,T81)*(1-R81)+INDEX(Models!$BJ81:$BT81,,T81+1)*R81-ERP_i)*Q81*Ramure*Pc/MaxiM</f>
        <v>6.4993485069922662E-3</v>
      </c>
      <c r="Q81" s="305">
        <f t="shared" si="27"/>
        <v>0.8</v>
      </c>
      <c r="R81" s="177">
        <f t="shared" si="28"/>
        <v>0.61152923608380261</v>
      </c>
      <c r="S81" s="809">
        <f t="shared" si="29"/>
        <v>0</v>
      </c>
      <c r="T81" s="176">
        <f t="shared" si="30"/>
        <v>6</v>
      </c>
      <c r="U81" s="251">
        <f t="shared" si="31"/>
        <v>0.61152923608380261</v>
      </c>
      <c r="V81" s="383">
        <f t="shared" si="32"/>
        <v>37.177779300417981</v>
      </c>
      <c r="W81" s="58"/>
      <c r="X81" s="157">
        <f t="shared" si="33"/>
        <v>43532</v>
      </c>
      <c r="Y81" s="385">
        <f t="shared" si="34"/>
        <v>20.709</v>
      </c>
      <c r="Z81" s="385">
        <f t="shared" si="35"/>
        <v>20.81481301933589</v>
      </c>
      <c r="AA81" s="386">
        <f t="shared" si="36"/>
        <v>21.598629236981516</v>
      </c>
      <c r="AB81" s="197">
        <f t="shared" si="37"/>
        <v>43532</v>
      </c>
      <c r="AC81" s="425">
        <f>IF(OR(t&lt;Tnet,NoTnet),'2018'!Resal_s+('2018'!Salim-'2018'!Resal_s)*(1-EXP(('2018'!Tnet_s-t)/'2018'!Tau_j)),Resal_s+(Salim-Resal_s)*(1-EXP((Tnet_s-t)/Tau_j)))*Salcycl</f>
        <v>3.6290090868524305E-2</v>
      </c>
      <c r="AD81" s="231">
        <f>(INDEX(Models!$BJ81:$BT81,,AH81)*(1-AF81)+INDEX(Models!$BJ81:$BT81,,AH81+1)*AF81-ERP_i)*AE81*Ramure*Pc/MaxiM</f>
        <v>6.4993485069922662E-3</v>
      </c>
      <c r="AE81" s="305">
        <f t="shared" si="38"/>
        <v>0.8</v>
      </c>
      <c r="AF81" s="177">
        <f t="shared" si="39"/>
        <v>0.61152923608380261</v>
      </c>
      <c r="AG81" s="176">
        <f t="shared" si="40"/>
        <v>0</v>
      </c>
      <c r="AH81" s="176">
        <f t="shared" si="41"/>
        <v>6</v>
      </c>
      <c r="AI81" s="225">
        <f t="shared" si="42"/>
        <v>0.61152923608380261</v>
      </c>
      <c r="AJ81" s="265" t="b">
        <f t="shared" si="43"/>
        <v>0</v>
      </c>
      <c r="AK81" s="265" t="b">
        <f t="shared" si="44"/>
        <v>1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6">
        <v>19.478000000000002</v>
      </c>
      <c r="C82" s="390"/>
      <c r="D82" s="393">
        <f t="shared" si="24"/>
        <v>19.577978810188128</v>
      </c>
      <c r="E82" s="385">
        <f t="shared" si="46"/>
        <v>20.318322353940406</v>
      </c>
      <c r="F82" s="385">
        <f t="shared" si="25"/>
        <v>20.35975254420039</v>
      </c>
      <c r="G82" s="110">
        <f t="shared" si="47"/>
        <v>0.51564704354696689</v>
      </c>
      <c r="H82" s="414" t="b">
        <f>Wh_hp&gt;='2018'!Maxi_hp</f>
        <v>1</v>
      </c>
      <c r="I82" s="390">
        <f>IF(H82,Wh_hp,'2018'!Maxi_hp)</f>
        <v>20.35975254420039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5.1066972314883774E-3</v>
      </c>
      <c r="M82" s="843"/>
      <c r="N82" s="843"/>
      <c r="O82" s="48">
        <f>IF(t&lt;Tnet,'2018'!Resal+('2018'!Salim-'2018'!Resal)*(1-EXP(('2018'!Tnet-t)/('2018'!Tau_j))),Resal+(Salim-Resal)*(1-EXP((Tnet-t)/(Tau_j))))*Salcycl</f>
        <v>3.6437237821886466E-2</v>
      </c>
      <c r="P82" s="169">
        <f>(INDEX(Models!$BJ82:$BT82,,T82)*(1-R82)+INDEX(Models!$BJ82:$BT82,,T82+1)*R82-ERP_i)*Q82*Ramure*Pc/MaxiM</f>
        <v>6.5346254459761792E-3</v>
      </c>
      <c r="Q82" s="305">
        <f t="shared" si="27"/>
        <v>0.8</v>
      </c>
      <c r="R82" s="177">
        <f t="shared" si="28"/>
        <v>0.61203685334170699</v>
      </c>
      <c r="S82" s="809">
        <f t="shared" si="29"/>
        <v>0</v>
      </c>
      <c r="T82" s="176">
        <f t="shared" si="30"/>
        <v>6</v>
      </c>
      <c r="U82" s="251">
        <f t="shared" si="31"/>
        <v>0.61203685334170699</v>
      </c>
      <c r="V82" s="383">
        <f t="shared" si="32"/>
        <v>37.603581753247916</v>
      </c>
      <c r="W82" s="58"/>
      <c r="X82" s="157">
        <f t="shared" si="33"/>
        <v>43533</v>
      </c>
      <c r="Y82" s="385">
        <f t="shared" si="34"/>
        <v>19.478000000000002</v>
      </c>
      <c r="Z82" s="385">
        <f t="shared" si="35"/>
        <v>19.577978810188128</v>
      </c>
      <c r="AA82" s="386">
        <f t="shared" si="36"/>
        <v>20.318322353940406</v>
      </c>
      <c r="AB82" s="197">
        <f t="shared" si="37"/>
        <v>43533</v>
      </c>
      <c r="AC82" s="425">
        <f>IF(OR(t&lt;Tnet,NoTnet),'2018'!Resal_s+('2018'!Salim-'2018'!Resal_s)*(1-EXP(('2018'!Tnet_s-t)/'2018'!Tau_j)),Resal_s+(Salim-Resal_s)*(1-EXP((Tnet_s-t)/Tau_j)))*Salcycl</f>
        <v>3.6437237821886466E-2</v>
      </c>
      <c r="AD82" s="231">
        <f>(INDEX(Models!$BJ82:$BT82,,AH82)*(1-AF82)+INDEX(Models!$BJ82:$BT82,,AH82+1)*AF82-ERP_i)*AE82*Ramure*Pc/MaxiM</f>
        <v>6.5346254459761792E-3</v>
      </c>
      <c r="AE82" s="305">
        <f t="shared" si="38"/>
        <v>0.8</v>
      </c>
      <c r="AF82" s="177">
        <f t="shared" si="39"/>
        <v>0.61203685334170699</v>
      </c>
      <c r="AG82" s="176">
        <f t="shared" si="40"/>
        <v>0</v>
      </c>
      <c r="AH82" s="176">
        <f t="shared" si="41"/>
        <v>6</v>
      </c>
      <c r="AI82" s="225">
        <f t="shared" si="42"/>
        <v>0.61203685334170699</v>
      </c>
      <c r="AJ82" s="265" t="b">
        <f t="shared" si="43"/>
        <v>0</v>
      </c>
      <c r="AK82" s="265" t="b">
        <f t="shared" si="44"/>
        <v>1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6">
        <v>13.632999999999999</v>
      </c>
      <c r="C83" s="390"/>
      <c r="D83" s="393">
        <f t="shared" si="24"/>
        <v>13.703295850190235</v>
      </c>
      <c r="E83" s="385">
        <f t="shared" si="46"/>
        <v>14.223658158839561</v>
      </c>
      <c r="F83" s="385">
        <f t="shared" si="25"/>
        <v>14.231455591232464</v>
      </c>
      <c r="G83" s="110">
        <f t="shared" si="47"/>
        <v>0.35629460820520636</v>
      </c>
      <c r="H83" s="414" t="b">
        <f>Wh_hp&gt;='2018'!Maxi_hp</f>
        <v>1</v>
      </c>
      <c r="I83" s="390">
        <f>IF(H83,Wh_hp,'2018'!Maxi_hp)</f>
        <v>14.231455591232464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5.1298498520894187E-3</v>
      </c>
      <c r="M83" s="843"/>
      <c r="N83" s="843"/>
      <c r="O83" s="48">
        <f>IF(t&lt;Tnet,'2018'!Resal+('2018'!Salim-'2018'!Resal)*(1-EXP(('2018'!Tnet-t)/('2018'!Tau_j))),Resal+(Salim-Resal)*(1-EXP((Tnet-t)/(Tau_j))))*Salcycl</f>
        <v>3.6584281120812509E-2</v>
      </c>
      <c r="P83" s="169">
        <f>(INDEX(Models!$BJ83:$BT83,,T83)*(1-R83)+INDEX(Models!$BJ83:$BT83,,T83+1)*R83-ERP_i)*Q83*Ramure*Pc/MaxiM</f>
        <v>6.5615361354797348E-3</v>
      </c>
      <c r="Q83" s="305">
        <f t="shared" si="27"/>
        <v>0.8</v>
      </c>
      <c r="R83" s="177">
        <f t="shared" si="28"/>
        <v>0.61256483569131104</v>
      </c>
      <c r="S83" s="809">
        <f t="shared" si="29"/>
        <v>0</v>
      </c>
      <c r="T83" s="176">
        <f t="shared" si="30"/>
        <v>6</v>
      </c>
      <c r="U83" s="251">
        <f t="shared" si="31"/>
        <v>0.61256483569131104</v>
      </c>
      <c r="V83" s="383">
        <f t="shared" si="32"/>
        <v>38.033051468983508</v>
      </c>
      <c r="W83" s="58"/>
      <c r="X83" s="157">
        <f t="shared" si="33"/>
        <v>43534</v>
      </c>
      <c r="Y83" s="385">
        <f t="shared" si="34"/>
        <v>13.632999999999999</v>
      </c>
      <c r="Z83" s="385">
        <f t="shared" si="35"/>
        <v>13.703295850190235</v>
      </c>
      <c r="AA83" s="386">
        <f t="shared" si="36"/>
        <v>14.223658158839561</v>
      </c>
      <c r="AB83" s="197">
        <f t="shared" si="37"/>
        <v>43534</v>
      </c>
      <c r="AC83" s="425">
        <f>IF(OR(t&lt;Tnet,NoTnet),'2018'!Resal_s+('2018'!Salim-'2018'!Resal_s)*(1-EXP(('2018'!Tnet_s-t)/'2018'!Tau_j)),Resal_s+(Salim-Resal_s)*(1-EXP((Tnet_s-t)/Tau_j)))*Salcycl</f>
        <v>3.6584281120812509E-2</v>
      </c>
      <c r="AD83" s="231">
        <f>(INDEX(Models!$BJ83:$BT83,,AH83)*(1-AF83)+INDEX(Models!$BJ83:$BT83,,AH83+1)*AF83-ERP_i)*AE83*Ramure*Pc/MaxiM</f>
        <v>6.5615361354797348E-3</v>
      </c>
      <c r="AE83" s="305">
        <f t="shared" si="38"/>
        <v>0.8</v>
      </c>
      <c r="AF83" s="177">
        <f t="shared" si="39"/>
        <v>0.61256483569131104</v>
      </c>
      <c r="AG83" s="176">
        <f t="shared" si="40"/>
        <v>0</v>
      </c>
      <c r="AH83" s="176">
        <f t="shared" si="41"/>
        <v>6</v>
      </c>
      <c r="AI83" s="225">
        <f t="shared" si="42"/>
        <v>0.61256483569131104</v>
      </c>
      <c r="AJ83" s="265" t="b">
        <f t="shared" si="43"/>
        <v>0</v>
      </c>
      <c r="AK83" s="265" t="b">
        <f t="shared" si="44"/>
        <v>1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6">
        <v>25.431000000000001</v>
      </c>
      <c r="C84" s="390"/>
      <c r="D84" s="393">
        <f t="shared" si="24"/>
        <v>25.562724770176349</v>
      </c>
      <c r="E84" s="385">
        <f t="shared" si="46"/>
        <v>26.537479051926752</v>
      </c>
      <c r="F84" s="385">
        <f t="shared" si="25"/>
        <v>26.627880507498926</v>
      </c>
      <c r="G84" s="110">
        <f t="shared" si="47"/>
        <v>0.65902750067901938</v>
      </c>
      <c r="H84" s="414" t="b">
        <f>Wh_hp&gt;='2018'!Maxi_hp</f>
        <v>1</v>
      </c>
      <c r="I84" s="390">
        <f>IF(H84,Wh_hp,'2018'!Maxi_hp)</f>
        <v>26.627880507498926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5.1530019338951183E-3</v>
      </c>
      <c r="M84" s="843"/>
      <c r="N84" s="843"/>
      <c r="O84" s="48">
        <f>IF(t&lt;Tnet,'2018'!Resal+('2018'!Salim-'2018'!Resal)*(1-EXP(('2018'!Tnet-t)/('2018'!Tau_j))),Resal+(Salim-Resal)*(1-EXP((Tnet-t)/(Tau_j))))*Salcycl</f>
        <v>3.6731231321674135E-2</v>
      </c>
      <c r="P84" s="169">
        <f>(INDEX(Models!$BJ84:$BT84,,T84)*(1-R84)+INDEX(Models!$BJ84:$BT84,,T84+1)*R84-ERP_i)*Q84*Ramure*Pc/MaxiM</f>
        <v>6.5805221874702773E-3</v>
      </c>
      <c r="Q84" s="305">
        <f t="shared" si="27"/>
        <v>0.8</v>
      </c>
      <c r="R84" s="177">
        <f t="shared" si="28"/>
        <v>0.61311396050050893</v>
      </c>
      <c r="S84" s="809">
        <f t="shared" si="29"/>
        <v>0</v>
      </c>
      <c r="T84" s="176">
        <f t="shared" si="30"/>
        <v>6</v>
      </c>
      <c r="U84" s="251">
        <f t="shared" si="31"/>
        <v>0.61311396050050893</v>
      </c>
      <c r="V84" s="383">
        <f t="shared" si="32"/>
        <v>38.465333844135131</v>
      </c>
      <c r="W84" s="58"/>
      <c r="X84" s="157">
        <f t="shared" si="33"/>
        <v>43535</v>
      </c>
      <c r="Y84" s="385">
        <f t="shared" si="34"/>
        <v>25.431000000000001</v>
      </c>
      <c r="Z84" s="385">
        <f t="shared" si="35"/>
        <v>25.562724770176349</v>
      </c>
      <c r="AA84" s="386">
        <f t="shared" si="36"/>
        <v>26.537479051926752</v>
      </c>
      <c r="AB84" s="197">
        <f t="shared" si="37"/>
        <v>43535</v>
      </c>
      <c r="AC84" s="425">
        <f>IF(OR(t&lt;Tnet,NoTnet),'2018'!Resal_s+('2018'!Salim-'2018'!Resal_s)*(1-EXP(('2018'!Tnet_s-t)/'2018'!Tau_j)),Resal_s+(Salim-Resal_s)*(1-EXP((Tnet_s-t)/Tau_j)))*Salcycl</f>
        <v>3.6731231321674135E-2</v>
      </c>
      <c r="AD84" s="231">
        <f>(INDEX(Models!$BJ84:$BT84,,AH84)*(1-AF84)+INDEX(Models!$BJ84:$BT84,,AH84+1)*AF84-ERP_i)*AE84*Ramure*Pc/MaxiM</f>
        <v>6.5805221874702773E-3</v>
      </c>
      <c r="AE84" s="305">
        <f t="shared" si="38"/>
        <v>0.8</v>
      </c>
      <c r="AF84" s="177">
        <f t="shared" si="39"/>
        <v>0.61311396050050893</v>
      </c>
      <c r="AG84" s="176">
        <f t="shared" si="40"/>
        <v>0</v>
      </c>
      <c r="AH84" s="176">
        <f t="shared" si="41"/>
        <v>6</v>
      </c>
      <c r="AI84" s="225">
        <f t="shared" si="42"/>
        <v>0.61311396050050893</v>
      </c>
      <c r="AJ84" s="265" t="b">
        <f t="shared" si="43"/>
        <v>0</v>
      </c>
      <c r="AK84" s="265" t="b">
        <f t="shared" si="44"/>
        <v>1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6">
        <v>32.241</v>
      </c>
      <c r="C85" s="390"/>
      <c r="D85" s="393">
        <f t="shared" si="24"/>
        <v>32.408752677856057</v>
      </c>
      <c r="E85" s="385">
        <f t="shared" si="46"/>
        <v>33.649689274347487</v>
      </c>
      <c r="F85" s="385">
        <f t="shared" si="25"/>
        <v>33.818104918556607</v>
      </c>
      <c r="G85" s="110">
        <f t="shared" si="47"/>
        <v>0.82748381199466614</v>
      </c>
      <c r="H85" s="414" t="b">
        <f>Wh_hp&gt;='2018'!Maxi_hp</f>
        <v>1</v>
      </c>
      <c r="I85" s="390">
        <f>IF(H85,Wh_hp,'2018'!Maxi_hp)</f>
        <v>33.818104918556607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5.1761534769180217E-3</v>
      </c>
      <c r="M85" s="843"/>
      <c r="N85" s="843"/>
      <c r="O85" s="48">
        <f>IF(t&lt;Tnet,'2018'!Resal+('2018'!Salim-'2018'!Resal)*(1-EXP(('2018'!Tnet-t)/('2018'!Tau_j))),Resal+(Salim-Resal)*(1-EXP((Tnet-t)/(Tau_j))))*Salcycl</f>
        <v>3.6878099716583311E-2</v>
      </c>
      <c r="P85" s="169">
        <f>(INDEX(Models!$BJ85:$BT85,,T85)*(1-R85)+INDEX(Models!$BJ85:$BT85,,T85+1)*R85-ERP_i)*Q85*Ramure*Pc/MaxiM</f>
        <v>6.5920115633988858E-3</v>
      </c>
      <c r="Q85" s="305">
        <f t="shared" si="27"/>
        <v>0.8</v>
      </c>
      <c r="R85" s="177">
        <f t="shared" si="28"/>
        <v>0.61368503149973519</v>
      </c>
      <c r="S85" s="809">
        <f t="shared" si="29"/>
        <v>0</v>
      </c>
      <c r="T85" s="176">
        <f t="shared" si="30"/>
        <v>6</v>
      </c>
      <c r="U85" s="251">
        <f t="shared" si="31"/>
        <v>0.61368503149973519</v>
      </c>
      <c r="V85" s="383">
        <f t="shared" si="32"/>
        <v>38.899574790124568</v>
      </c>
      <c r="W85" s="58"/>
      <c r="X85" s="157">
        <f t="shared" si="33"/>
        <v>43536</v>
      </c>
      <c r="Y85" s="385">
        <f t="shared" si="34"/>
        <v>32.241</v>
      </c>
      <c r="Z85" s="385">
        <f t="shared" si="35"/>
        <v>32.408752677856057</v>
      </c>
      <c r="AA85" s="386">
        <f t="shared" si="36"/>
        <v>33.649689274347487</v>
      </c>
      <c r="AB85" s="197">
        <f t="shared" si="37"/>
        <v>43536</v>
      </c>
      <c r="AC85" s="425">
        <f>IF(OR(t&lt;Tnet,NoTnet),'2018'!Resal_s+('2018'!Salim-'2018'!Resal_s)*(1-EXP(('2018'!Tnet_s-t)/'2018'!Tau_j)),Resal_s+(Salim-Resal_s)*(1-EXP((Tnet_s-t)/Tau_j)))*Salcycl</f>
        <v>3.6878099716583311E-2</v>
      </c>
      <c r="AD85" s="231">
        <f>(INDEX(Models!$BJ85:$BT85,,AH85)*(1-AF85)+INDEX(Models!$BJ85:$BT85,,AH85+1)*AF85-ERP_i)*AE85*Ramure*Pc/MaxiM</f>
        <v>6.5920115633988858E-3</v>
      </c>
      <c r="AE85" s="305">
        <f t="shared" si="38"/>
        <v>0.8</v>
      </c>
      <c r="AF85" s="177">
        <f t="shared" si="39"/>
        <v>0.61368503149973519</v>
      </c>
      <c r="AG85" s="176">
        <f t="shared" si="40"/>
        <v>0</v>
      </c>
      <c r="AH85" s="176">
        <f t="shared" si="41"/>
        <v>6</v>
      </c>
      <c r="AI85" s="225">
        <f t="shared" si="42"/>
        <v>0.61368503149973519</v>
      </c>
      <c r="AJ85" s="265" t="b">
        <f t="shared" si="43"/>
        <v>0</v>
      </c>
      <c r="AK85" s="265" t="b">
        <f t="shared" si="44"/>
        <v>1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6">
        <v>24.542000000000002</v>
      </c>
      <c r="C86" s="390"/>
      <c r="D86" s="393">
        <f t="shared" si="24"/>
        <v>24.670268236192118</v>
      </c>
      <c r="E86" s="385">
        <f t="shared" si="46"/>
        <v>25.61880176639681</v>
      </c>
      <c r="F86" s="385">
        <f t="shared" si="25"/>
        <v>25.697118110582807</v>
      </c>
      <c r="G86" s="110">
        <f t="shared" si="47"/>
        <v>0.6217030554689249</v>
      </c>
      <c r="H86" s="414" t="b">
        <f>Wh_hp&gt;='2018'!Maxi_hp</f>
        <v>1</v>
      </c>
      <c r="I86" s="390">
        <f>IF(H86,Wh_hp,'2018'!Maxi_hp)</f>
        <v>25.697118110582807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5.1993044811706746E-3</v>
      </c>
      <c r="M86" s="843"/>
      <c r="N86" s="843"/>
      <c r="O86" s="48">
        <f>IF(t&lt;Tnet,'2018'!Resal+('2018'!Salim-'2018'!Resal)*(1-EXP(('2018'!Tnet-t)/('2018'!Tau_j))),Resal+(Salim-Resal)*(1-EXP((Tnet-t)/(Tau_j))))*Salcycl</f>
        <v>3.7024898309211539E-2</v>
      </c>
      <c r="P86" s="169">
        <f>(INDEX(Models!$BJ86:$BT86,,T86)*(1-R86)+INDEX(Models!$BJ86:$BT86,,T86+1)*R86-ERP_i)*Q86*Ramure*Pc/MaxiM</f>
        <v>6.5861494639214467E-3</v>
      </c>
      <c r="Q86" s="305">
        <f t="shared" si="27"/>
        <v>0.8</v>
      </c>
      <c r="R86" s="177">
        <f t="shared" si="28"/>
        <v>0.61427887939595016</v>
      </c>
      <c r="S86" s="809">
        <f t="shared" si="29"/>
        <v>0</v>
      </c>
      <c r="T86" s="176">
        <f t="shared" si="30"/>
        <v>6</v>
      </c>
      <c r="U86" s="251">
        <f t="shared" si="31"/>
        <v>0.61427887939595016</v>
      </c>
      <c r="V86" s="383">
        <f t="shared" si="32"/>
        <v>39.335327302711114</v>
      </c>
      <c r="W86" s="58"/>
      <c r="X86" s="157">
        <f t="shared" si="33"/>
        <v>43537</v>
      </c>
      <c r="Y86" s="385">
        <f t="shared" si="34"/>
        <v>24.542000000000002</v>
      </c>
      <c r="Z86" s="385">
        <f t="shared" si="35"/>
        <v>24.670268236192118</v>
      </c>
      <c r="AA86" s="386">
        <f t="shared" si="36"/>
        <v>25.61880176639681</v>
      </c>
      <c r="AB86" s="197">
        <f t="shared" si="37"/>
        <v>43537</v>
      </c>
      <c r="AC86" s="425">
        <f>IF(OR(t&lt;Tnet,NoTnet),'2018'!Resal_s+('2018'!Salim-'2018'!Resal_s)*(1-EXP(('2018'!Tnet_s-t)/'2018'!Tau_j)),Resal_s+(Salim-Resal_s)*(1-EXP((Tnet_s-t)/Tau_j)))*Salcycl</f>
        <v>3.7024898309211539E-2</v>
      </c>
      <c r="AD86" s="231">
        <f>(INDEX(Models!$BJ86:$BT86,,AH86)*(1-AF86)+INDEX(Models!$BJ86:$BT86,,AH86+1)*AF86-ERP_i)*AE86*Ramure*Pc/MaxiM</f>
        <v>6.5861494639214467E-3</v>
      </c>
      <c r="AE86" s="305">
        <f t="shared" si="38"/>
        <v>0.8</v>
      </c>
      <c r="AF86" s="177">
        <f t="shared" si="39"/>
        <v>0.61427887939595016</v>
      </c>
      <c r="AG86" s="176">
        <f t="shared" si="40"/>
        <v>0</v>
      </c>
      <c r="AH86" s="176">
        <f t="shared" si="41"/>
        <v>6</v>
      </c>
      <c r="AI86" s="225">
        <f t="shared" si="42"/>
        <v>0.61427887939595016</v>
      </c>
      <c r="AJ86" s="265" t="b">
        <f t="shared" si="43"/>
        <v>0</v>
      </c>
      <c r="AK86" s="265" t="b">
        <f t="shared" si="44"/>
        <v>1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6">
        <v>22.173999999999999</v>
      </c>
      <c r="C87" s="390"/>
      <c r="D87" s="393">
        <f t="shared" si="24"/>
        <v>22.290410665442952</v>
      </c>
      <c r="E87" s="385">
        <f t="shared" si="46"/>
        <v>23.150970190071575</v>
      </c>
      <c r="F87" s="385">
        <f t="shared" si="25"/>
        <v>23.207020843239107</v>
      </c>
      <c r="G87" s="110">
        <f t="shared" si="47"/>
        <v>0.55521309965167787</v>
      </c>
      <c r="H87" s="414" t="b">
        <f>Wh_hp&gt;='2018'!Maxi_hp</f>
        <v>1</v>
      </c>
      <c r="I87" s="390">
        <f>IF(H87,Wh_hp,'2018'!Maxi_hp)</f>
        <v>23.207020843239107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5.2224549466657333E-3</v>
      </c>
      <c r="M87" s="843"/>
      <c r="N87" s="843"/>
      <c r="O87" s="48">
        <f>IF(t&lt;Tnet,'2018'!Resal+('2018'!Salim-'2018'!Resal)*(1-EXP(('2018'!Tnet-t)/('2018'!Tau_j))),Resal+(Salim-Resal)*(1-EXP((Tnet-t)/(Tau_j))))*Salcycl</f>
        <v>3.717163978716026E-2</v>
      </c>
      <c r="P87" s="169">
        <f>(INDEX(Models!$BJ87:$BT87,,T87)*(1-R87)+INDEX(Models!$BJ87:$BT87,,T87+1)*R87-ERP_i)*Q87*Ramure*Pc/MaxiM</f>
        <v>6.5648934301173875E-3</v>
      </c>
      <c r="Q87" s="305">
        <f t="shared" si="27"/>
        <v>0.8</v>
      </c>
      <c r="R87" s="177">
        <f t="shared" si="28"/>
        <v>0.61489636247559532</v>
      </c>
      <c r="S87" s="809">
        <f t="shared" si="29"/>
        <v>0</v>
      </c>
      <c r="T87" s="176">
        <f t="shared" si="30"/>
        <v>6</v>
      </c>
      <c r="U87" s="251">
        <f t="shared" si="31"/>
        <v>0.61489636247559532</v>
      </c>
      <c r="V87" s="383">
        <f t="shared" si="32"/>
        <v>39.77168936750715</v>
      </c>
      <c r="W87" s="58"/>
      <c r="X87" s="157">
        <f t="shared" si="33"/>
        <v>43538</v>
      </c>
      <c r="Y87" s="385">
        <f t="shared" si="34"/>
        <v>22.173999999999999</v>
      </c>
      <c r="Z87" s="385">
        <f t="shared" si="35"/>
        <v>22.290410665442952</v>
      </c>
      <c r="AA87" s="386">
        <f t="shared" si="36"/>
        <v>23.150970190071575</v>
      </c>
      <c r="AB87" s="197">
        <f t="shared" si="37"/>
        <v>43538</v>
      </c>
      <c r="AC87" s="425">
        <f>IF(OR(t&lt;Tnet,NoTnet),'2018'!Resal_s+('2018'!Salim-'2018'!Resal_s)*(1-EXP(('2018'!Tnet_s-t)/'2018'!Tau_j)),Resal_s+(Salim-Resal_s)*(1-EXP((Tnet_s-t)/Tau_j)))*Salcycl</f>
        <v>3.717163978716026E-2</v>
      </c>
      <c r="AD87" s="231">
        <f>(INDEX(Models!$BJ87:$BT87,,AH87)*(1-AF87)+INDEX(Models!$BJ87:$BT87,,AH87+1)*AF87-ERP_i)*AE87*Ramure*Pc/MaxiM</f>
        <v>6.5648934301173875E-3</v>
      </c>
      <c r="AE87" s="305">
        <f t="shared" si="38"/>
        <v>0.8</v>
      </c>
      <c r="AF87" s="177">
        <f t="shared" si="39"/>
        <v>0.61489636247559532</v>
      </c>
      <c r="AG87" s="176">
        <f t="shared" si="40"/>
        <v>0</v>
      </c>
      <c r="AH87" s="176">
        <f t="shared" si="41"/>
        <v>6</v>
      </c>
      <c r="AI87" s="225">
        <f t="shared" si="42"/>
        <v>0.61489636247559532</v>
      </c>
      <c r="AJ87" s="265" t="b">
        <f t="shared" si="43"/>
        <v>0</v>
      </c>
      <c r="AK87" s="265" t="b">
        <f t="shared" si="44"/>
        <v>1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6">
        <v>12.083</v>
      </c>
      <c r="C88" s="390"/>
      <c r="D88" s="393">
        <f t="shared" si="24"/>
        <v>12.146716877247288</v>
      </c>
      <c r="E88" s="385">
        <f t="shared" si="46"/>
        <v>12.617584140527006</v>
      </c>
      <c r="F88" s="385">
        <f t="shared" si="25"/>
        <v>12.617644601557247</v>
      </c>
      <c r="G88" s="110">
        <f t="shared" si="47"/>
        <v>0.29855317197941927</v>
      </c>
      <c r="H88" s="414" t="b">
        <f>Wh_hp&gt;='2018'!Maxi_hp</f>
        <v>1</v>
      </c>
      <c r="I88" s="390">
        <f>IF(H88,Wh_hp,'2018'!Maxi_hp)</f>
        <v>12.617644601557247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5.2456048734155214E-3</v>
      </c>
      <c r="M88" s="843"/>
      <c r="N88" s="843"/>
      <c r="O88" s="48">
        <f>IF(t&lt;Tnet,'2018'!Resal+('2018'!Salim-'2018'!Resal)*(1-EXP(('2018'!Tnet-t)/('2018'!Tau_j))),Resal+(Salim-Resal)*(1-EXP((Tnet-t)/(Tau_j))))*Salcycl</f>
        <v>3.7318337491193565E-2</v>
      </c>
      <c r="P88" s="169">
        <f>(INDEX(Models!$BJ88:$BT88,,T88)*(1-R88)+INDEX(Models!$BJ88:$BT88,,T88+1)*R88-ERP_i)*Q88*Ramure*Pc/MaxiM</f>
        <v>6.5288694856418155E-3</v>
      </c>
      <c r="Q88" s="305">
        <f t="shared" si="27"/>
        <v>0.8</v>
      </c>
      <c r="R88" s="177">
        <f t="shared" si="28"/>
        <v>0.61553836719355315</v>
      </c>
      <c r="S88" s="809">
        <f t="shared" si="29"/>
        <v>0</v>
      </c>
      <c r="T88" s="176">
        <f t="shared" si="30"/>
        <v>6</v>
      </c>
      <c r="U88" s="251">
        <f t="shared" si="31"/>
        <v>0.61553836719355315</v>
      </c>
      <c r="V88" s="383">
        <f t="shared" si="32"/>
        <v>40.207809924796074</v>
      </c>
      <c r="W88" s="58"/>
      <c r="X88" s="157">
        <f t="shared" si="33"/>
        <v>43539</v>
      </c>
      <c r="Y88" s="385">
        <f t="shared" si="34"/>
        <v>12.083</v>
      </c>
      <c r="Z88" s="385">
        <f t="shared" si="35"/>
        <v>12.146716877247288</v>
      </c>
      <c r="AA88" s="386">
        <f t="shared" si="36"/>
        <v>12.617584140527006</v>
      </c>
      <c r="AB88" s="197">
        <f t="shared" si="37"/>
        <v>43539</v>
      </c>
      <c r="AC88" s="425">
        <f>IF(OR(t&lt;Tnet,NoTnet),'2018'!Resal_s+('2018'!Salim-'2018'!Resal_s)*(1-EXP(('2018'!Tnet_s-t)/'2018'!Tau_j)),Resal_s+(Salim-Resal_s)*(1-EXP((Tnet_s-t)/Tau_j)))*Salcycl</f>
        <v>3.7318337491193565E-2</v>
      </c>
      <c r="AD88" s="231">
        <f>(INDEX(Models!$BJ88:$BT88,,AH88)*(1-AF88)+INDEX(Models!$BJ88:$BT88,,AH88+1)*AF88-ERP_i)*AE88*Ramure*Pc/MaxiM</f>
        <v>6.5288694856418155E-3</v>
      </c>
      <c r="AE88" s="305">
        <f t="shared" si="38"/>
        <v>0.8</v>
      </c>
      <c r="AF88" s="177">
        <f t="shared" si="39"/>
        <v>0.61553836719355315</v>
      </c>
      <c r="AG88" s="176">
        <f t="shared" si="40"/>
        <v>0</v>
      </c>
      <c r="AH88" s="176">
        <f t="shared" si="41"/>
        <v>6</v>
      </c>
      <c r="AI88" s="225">
        <f t="shared" si="42"/>
        <v>0.61553836719355315</v>
      </c>
      <c r="AJ88" s="265" t="b">
        <f t="shared" si="43"/>
        <v>0</v>
      </c>
      <c r="AK88" s="265" t="b">
        <f t="shared" si="44"/>
        <v>1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6">
        <v>39.783000000000001</v>
      </c>
      <c r="C89" s="390"/>
      <c r="D89" s="393">
        <f t="shared" si="24"/>
        <v>39.993717067228502</v>
      </c>
      <c r="E89" s="385">
        <f t="shared" si="46"/>
        <v>41.550403144653124</v>
      </c>
      <c r="F89" s="385">
        <f t="shared" si="25"/>
        <v>41.813109227567715</v>
      </c>
      <c r="G89" s="110">
        <f t="shared" si="47"/>
        <v>0.97865115738229569</v>
      </c>
      <c r="H89" s="414" t="b">
        <f>Wh_hp&gt;='2018'!Maxi_hp</f>
        <v>1</v>
      </c>
      <c r="I89" s="390">
        <f>IF(H89,Wh_hp,'2018'!Maxi_hp)</f>
        <v>41.813109227567715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5.2687542614328065E-3</v>
      </c>
      <c r="M89" s="843"/>
      <c r="N89" s="843"/>
      <c r="O89" s="48">
        <f>IF(t&lt;Tnet,'2018'!Resal+('2018'!Salim-'2018'!Resal)*(1-EXP(('2018'!Tnet-t)/('2018'!Tau_j))),Resal+(Salim-Resal)*(1-EXP((Tnet-t)/(Tau_j))))*Salcycl</f>
        <v>3.7465005381661177E-2</v>
      </c>
      <c r="P89" s="169">
        <f>(INDEX(Models!$BJ89:$BT89,,T89)*(1-R89)+INDEX(Models!$BJ89:$BT89,,T89+1)*R89-ERP_i)*Q89*Ramure*Pc/MaxiM</f>
        <v>6.4786676676316648E-3</v>
      </c>
      <c r="Q89" s="305">
        <f t="shared" si="27"/>
        <v>0.8</v>
      </c>
      <c r="R89" s="177">
        <f t="shared" si="28"/>
        <v>0.61620580874487951</v>
      </c>
      <c r="S89" s="809">
        <f t="shared" si="29"/>
        <v>0</v>
      </c>
      <c r="T89" s="176">
        <f t="shared" si="30"/>
        <v>6</v>
      </c>
      <c r="U89" s="251">
        <f t="shared" si="31"/>
        <v>0.61620580874487951</v>
      </c>
      <c r="V89" s="383">
        <f t="shared" si="32"/>
        <v>40.642838662070709</v>
      </c>
      <c r="W89" s="58"/>
      <c r="X89" s="157">
        <f t="shared" si="33"/>
        <v>43540</v>
      </c>
      <c r="Y89" s="385">
        <f t="shared" si="34"/>
        <v>39.783000000000001</v>
      </c>
      <c r="Z89" s="385">
        <f t="shared" si="35"/>
        <v>39.993717067228502</v>
      </c>
      <c r="AA89" s="386">
        <f t="shared" si="36"/>
        <v>41.550403144653124</v>
      </c>
      <c r="AB89" s="197">
        <f t="shared" si="37"/>
        <v>43540</v>
      </c>
      <c r="AC89" s="425">
        <f>IF(OR(t&lt;Tnet,NoTnet),'2018'!Resal_s+('2018'!Salim-'2018'!Resal_s)*(1-EXP(('2018'!Tnet_s-t)/'2018'!Tau_j)),Resal_s+(Salim-Resal_s)*(1-EXP((Tnet_s-t)/Tau_j)))*Salcycl</f>
        <v>3.7465005381661177E-2</v>
      </c>
      <c r="AD89" s="231">
        <f>(INDEX(Models!$BJ89:$BT89,,AH89)*(1-AF89)+INDEX(Models!$BJ89:$BT89,,AH89+1)*AF89-ERP_i)*AE89*Ramure*Pc/MaxiM</f>
        <v>6.4786676676316648E-3</v>
      </c>
      <c r="AE89" s="305">
        <f t="shared" si="38"/>
        <v>0.8</v>
      </c>
      <c r="AF89" s="177">
        <f t="shared" si="39"/>
        <v>0.61620580874487951</v>
      </c>
      <c r="AG89" s="176">
        <f t="shared" si="40"/>
        <v>0</v>
      </c>
      <c r="AH89" s="176">
        <f t="shared" si="41"/>
        <v>6</v>
      </c>
      <c r="AI89" s="225">
        <f t="shared" si="42"/>
        <v>0.61620580874487951</v>
      </c>
      <c r="AJ89" s="265" t="b">
        <f t="shared" si="43"/>
        <v>0</v>
      </c>
      <c r="AK89" s="265" t="b">
        <f t="shared" si="44"/>
        <v>1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6">
        <v>15.815</v>
      </c>
      <c r="C90" s="390"/>
      <c r="D90" s="393">
        <f t="shared" si="24"/>
        <v>15.89913669091256</v>
      </c>
      <c r="E90" s="385">
        <f t="shared" si="46"/>
        <v>16.520500090339866</v>
      </c>
      <c r="F90" s="385">
        <f t="shared" si="25"/>
        <v>16.533381517841846</v>
      </c>
      <c r="G90" s="110">
        <f t="shared" si="47"/>
        <v>0.38284715751833037</v>
      </c>
      <c r="H90" s="414" t="b">
        <f>Wh_hp&gt;='2018'!Maxi_hp</f>
        <v>1</v>
      </c>
      <c r="I90" s="390">
        <f>IF(H90,Wh_hp,'2018'!Maxi_hp)</f>
        <v>16.533381517841846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5.2919031107299119E-3</v>
      </c>
      <c r="M90" s="843"/>
      <c r="N90" s="843"/>
      <c r="O90" s="48">
        <f>IF(t&lt;Tnet,'2018'!Resal+('2018'!Salim-'2018'!Resal)*(1-EXP(('2018'!Tnet-t)/('2018'!Tau_j))),Resal+(Salim-Resal)*(1-EXP((Tnet-t)/(Tau_j))))*Salcycl</f>
        <v>3.7611658002449942E-2</v>
      </c>
      <c r="P90" s="169">
        <f>(INDEX(Models!$BJ90:$BT90,,T90)*(1-R90)+INDEX(Models!$BJ90:$BT90,,T90+1)*R90-ERP_i)*Q90*Ramure*Pc/MaxiM</f>
        <v>6.4148402059056499E-3</v>
      </c>
      <c r="Q90" s="305">
        <f t="shared" si="27"/>
        <v>0.8</v>
      </c>
      <c r="R90" s="177">
        <f t="shared" si="28"/>
        <v>0.61689963161579664</v>
      </c>
      <c r="S90" s="809">
        <f t="shared" si="29"/>
        <v>0</v>
      </c>
      <c r="T90" s="176">
        <f t="shared" si="30"/>
        <v>6</v>
      </c>
      <c r="U90" s="251">
        <f t="shared" si="31"/>
        <v>0.61689963161579664</v>
      </c>
      <c r="V90" s="383">
        <f t="shared" si="32"/>
        <v>41.075926050563481</v>
      </c>
      <c r="W90" s="58"/>
      <c r="X90" s="157">
        <f t="shared" si="33"/>
        <v>43541</v>
      </c>
      <c r="Y90" s="385">
        <f t="shared" si="34"/>
        <v>15.815</v>
      </c>
      <c r="Z90" s="385">
        <f t="shared" si="35"/>
        <v>15.89913669091256</v>
      </c>
      <c r="AA90" s="386">
        <f t="shared" si="36"/>
        <v>16.520500090339866</v>
      </c>
      <c r="AB90" s="197">
        <f t="shared" si="37"/>
        <v>43541</v>
      </c>
      <c r="AC90" s="425">
        <f>IF(OR(t&lt;Tnet,NoTnet),'2018'!Resal_s+('2018'!Salim-'2018'!Resal_s)*(1-EXP(('2018'!Tnet_s-t)/'2018'!Tau_j)),Resal_s+(Salim-Resal_s)*(1-EXP((Tnet_s-t)/Tau_j)))*Salcycl</f>
        <v>3.7611658002449942E-2</v>
      </c>
      <c r="AD90" s="231">
        <f>(INDEX(Models!$BJ90:$BT90,,AH90)*(1-AF90)+INDEX(Models!$BJ90:$BT90,,AH90+1)*AF90-ERP_i)*AE90*Ramure*Pc/MaxiM</f>
        <v>6.4148402059056499E-3</v>
      </c>
      <c r="AE90" s="305">
        <f t="shared" si="38"/>
        <v>0.8</v>
      </c>
      <c r="AF90" s="177">
        <f t="shared" si="39"/>
        <v>0.61689963161579664</v>
      </c>
      <c r="AG90" s="176">
        <f t="shared" si="40"/>
        <v>0</v>
      </c>
      <c r="AH90" s="176">
        <f t="shared" si="41"/>
        <v>6</v>
      </c>
      <c r="AI90" s="225">
        <f t="shared" si="42"/>
        <v>0.61689963161579664</v>
      </c>
      <c r="AJ90" s="265" t="b">
        <f t="shared" si="43"/>
        <v>0</v>
      </c>
      <c r="AK90" s="265" t="b">
        <f t="shared" si="44"/>
        <v>1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6">
        <v>30.244</v>
      </c>
      <c r="C91" s="390"/>
      <c r="D91" s="393">
        <f t="shared" si="24"/>
        <v>30.405607366650198</v>
      </c>
      <c r="E91" s="385">
        <f t="shared" si="46"/>
        <v>31.598721710594756</v>
      </c>
      <c r="F91" s="385">
        <f t="shared" si="25"/>
        <v>31.721839412381989</v>
      </c>
      <c r="G91" s="110">
        <f t="shared" si="47"/>
        <v>0.72686470977952311</v>
      </c>
      <c r="H91" s="414" t="b">
        <f>Wh_hp&gt;='2018'!Maxi_hp</f>
        <v>1</v>
      </c>
      <c r="I91" s="390">
        <f>IF(H91,Wh_hp,'2018'!Maxi_hp)</f>
        <v>31.721839412381989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5.3150514213196054E-3</v>
      </c>
      <c r="M91" s="843"/>
      <c r="N91" s="843"/>
      <c r="O91" s="48">
        <f>IF(t&lt;Tnet,'2018'!Resal+('2018'!Salim-'2018'!Resal)*(1-EXP(('2018'!Tnet-t)/('2018'!Tau_j))),Resal+(Salim-Resal)*(1-EXP((Tnet-t)/(Tau_j))))*Salcycl</f>
        <v>3.7758310442808751E-2</v>
      </c>
      <c r="P91" s="169">
        <f>(INDEX(Models!$BJ91:$BT91,,T91)*(1-R91)+INDEX(Models!$BJ91:$BT91,,T91+1)*R91-ERP_i)*Q91*Ramure*Pc/MaxiM</f>
        <v>6.3378999762600738E-3</v>
      </c>
      <c r="Q91" s="305">
        <f t="shared" si="27"/>
        <v>0.8</v>
      </c>
      <c r="R91" s="177">
        <f t="shared" si="28"/>
        <v>0.61762081011014713</v>
      </c>
      <c r="S91" s="809">
        <f t="shared" si="29"/>
        <v>0</v>
      </c>
      <c r="T91" s="176">
        <f t="shared" si="30"/>
        <v>6</v>
      </c>
      <c r="U91" s="251">
        <f t="shared" si="31"/>
        <v>0.61762081011014713</v>
      </c>
      <c r="V91" s="383">
        <f t="shared" si="32"/>
        <v>41.506223386605278</v>
      </c>
      <c r="W91" s="58"/>
      <c r="X91" s="157">
        <f t="shared" si="33"/>
        <v>43542</v>
      </c>
      <c r="Y91" s="385">
        <f t="shared" si="34"/>
        <v>30.244</v>
      </c>
      <c r="Z91" s="385">
        <f t="shared" si="35"/>
        <v>30.405607366650198</v>
      </c>
      <c r="AA91" s="386">
        <f t="shared" si="36"/>
        <v>31.598721710594756</v>
      </c>
      <c r="AB91" s="197">
        <f t="shared" si="37"/>
        <v>43542</v>
      </c>
      <c r="AC91" s="425">
        <f>IF(OR(t&lt;Tnet,NoTnet),'2018'!Resal_s+('2018'!Salim-'2018'!Resal_s)*(1-EXP(('2018'!Tnet_s-t)/'2018'!Tau_j)),Resal_s+(Salim-Resal_s)*(1-EXP((Tnet_s-t)/Tau_j)))*Salcycl</f>
        <v>3.7758310442808751E-2</v>
      </c>
      <c r="AD91" s="231">
        <f>(INDEX(Models!$BJ91:$BT91,,AH91)*(1-AF91)+INDEX(Models!$BJ91:$BT91,,AH91+1)*AF91-ERP_i)*AE91*Ramure*Pc/MaxiM</f>
        <v>6.3378999762600738E-3</v>
      </c>
      <c r="AE91" s="305">
        <f t="shared" si="38"/>
        <v>0.8</v>
      </c>
      <c r="AF91" s="177">
        <f t="shared" si="39"/>
        <v>0.61762081011014713</v>
      </c>
      <c r="AG91" s="176">
        <f t="shared" si="40"/>
        <v>0</v>
      </c>
      <c r="AH91" s="176">
        <f t="shared" si="41"/>
        <v>6</v>
      </c>
      <c r="AI91" s="225">
        <f t="shared" si="42"/>
        <v>0.61762081011014713</v>
      </c>
      <c r="AJ91" s="265" t="b">
        <f t="shared" si="43"/>
        <v>0</v>
      </c>
      <c r="AK91" s="265" t="b">
        <f t="shared" si="44"/>
        <v>1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6">
        <v>11.784000000000001</v>
      </c>
      <c r="C92" s="390"/>
      <c r="D92" s="393">
        <f t="shared" si="24"/>
        <v>11.847242942718633</v>
      </c>
      <c r="E92" s="385">
        <f t="shared" si="46"/>
        <v>12.314005036376461</v>
      </c>
      <c r="F92" s="385">
        <f t="shared" si="25"/>
        <v>12.314005036376461</v>
      </c>
      <c r="G92" s="110">
        <f t="shared" si="47"/>
        <v>0.27926460131836961</v>
      </c>
      <c r="H92" s="414" t="b">
        <f>Wh_hp&gt;='2018'!Maxi_hp</f>
        <v>1</v>
      </c>
      <c r="I92" s="390">
        <f>IF(H92,Wh_hp,'2018'!Maxi_hp)</f>
        <v>12.314005036376461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5.3381991932142103E-3</v>
      </c>
      <c r="M92" s="843"/>
      <c r="N92" s="843"/>
      <c r="O92" s="48">
        <f>IF(t&lt;Tnet,'2018'!Resal+('2018'!Salim-'2018'!Resal)*(1-EXP(('2018'!Tnet-t)/('2018'!Tau_j))),Resal+(Salim-Resal)*(1-EXP((Tnet-t)/(Tau_j))))*Salcycl</f>
        <v>3.7904978297392179E-2</v>
      </c>
      <c r="P92" s="169">
        <f>(INDEX(Models!$BJ92:$BT92,,T92)*(1-R92)+INDEX(Models!$BJ92:$BT92,,T92+1)*R92-ERP_i)*Q92*Ramure*Pc/MaxiM</f>
        <v>6.248319184331442E-3</v>
      </c>
      <c r="Q92" s="305">
        <f t="shared" si="27"/>
        <v>0.8</v>
      </c>
      <c r="R92" s="177">
        <f t="shared" si="28"/>
        <v>0.61837034884719499</v>
      </c>
      <c r="S92" s="809">
        <f t="shared" si="29"/>
        <v>0</v>
      </c>
      <c r="T92" s="176">
        <f t="shared" si="30"/>
        <v>6</v>
      </c>
      <c r="U92" s="251">
        <f t="shared" si="31"/>
        <v>0.61837034884719499</v>
      </c>
      <c r="V92" s="383">
        <f t="shared" si="32"/>
        <v>41.932882833874402</v>
      </c>
      <c r="W92" s="58"/>
      <c r="X92" s="157">
        <f t="shared" si="33"/>
        <v>43543</v>
      </c>
      <c r="Y92" s="385">
        <f t="shared" si="34"/>
        <v>11.784000000000001</v>
      </c>
      <c r="Z92" s="385">
        <f t="shared" si="35"/>
        <v>11.847242942718633</v>
      </c>
      <c r="AA92" s="386">
        <f t="shared" si="36"/>
        <v>12.314005036376461</v>
      </c>
      <c r="AB92" s="197">
        <f t="shared" si="37"/>
        <v>43543</v>
      </c>
      <c r="AC92" s="425">
        <f>IF(OR(t&lt;Tnet,NoTnet),'2018'!Resal_s+('2018'!Salim-'2018'!Resal_s)*(1-EXP(('2018'!Tnet_s-t)/'2018'!Tau_j)),Resal_s+(Salim-Resal_s)*(1-EXP((Tnet_s-t)/Tau_j)))*Salcycl</f>
        <v>3.7904978297392179E-2</v>
      </c>
      <c r="AD92" s="231">
        <f>(INDEX(Models!$BJ92:$BT92,,AH92)*(1-AF92)+INDEX(Models!$BJ92:$BT92,,AH92+1)*AF92-ERP_i)*AE92*Ramure*Pc/MaxiM</f>
        <v>6.248319184331442E-3</v>
      </c>
      <c r="AE92" s="305">
        <f t="shared" si="38"/>
        <v>0.8</v>
      </c>
      <c r="AF92" s="177">
        <f t="shared" si="39"/>
        <v>0.61837034884719499</v>
      </c>
      <c r="AG92" s="176">
        <f t="shared" si="40"/>
        <v>0</v>
      </c>
      <c r="AH92" s="176">
        <f t="shared" si="41"/>
        <v>6</v>
      </c>
      <c r="AI92" s="225">
        <f t="shared" si="42"/>
        <v>0.61837034884719499</v>
      </c>
      <c r="AJ92" s="265" t="b">
        <f t="shared" si="43"/>
        <v>0</v>
      </c>
      <c r="AK92" s="265" t="b">
        <f t="shared" si="44"/>
        <v>1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6">
        <v>42.481999999999999</v>
      </c>
      <c r="C93" s="390"/>
      <c r="D93" s="393">
        <f t="shared" si="24"/>
        <v>42.710988405054572</v>
      </c>
      <c r="E93" s="385">
        <f t="shared" si="46"/>
        <v>44.400501993285253</v>
      </c>
      <c r="F93" s="385">
        <f t="shared" si="25"/>
        <v>44.675068559280305</v>
      </c>
      <c r="G93" s="110">
        <f t="shared" si="47"/>
        <v>1.0028867986189021</v>
      </c>
      <c r="H93" s="414" t="b">
        <f>Wh_hp&gt;='2018'!Maxi_hp</f>
        <v>1</v>
      </c>
      <c r="I93" s="390">
        <f>IF(H93,Wh_hp,'2018'!Maxi_hp)</f>
        <v>44.675068559280305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5.3613464264262722E-3</v>
      </c>
      <c r="M93" s="843"/>
      <c r="N93" s="843"/>
      <c r="O93" s="48">
        <f>IF(t&lt;Tnet,'2018'!Resal+('2018'!Salim-'2018'!Resal)*(1-EXP(('2018'!Tnet-t)/('2018'!Tau_j))),Resal+(Salim-Resal)*(1-EXP((Tnet-t)/(Tau_j))))*Salcycl</f>
        <v>3.8051677624865228E-2</v>
      </c>
      <c r="P93" s="169">
        <f>(INDEX(Models!$BJ93:$BT93,,T93)*(1-R93)+INDEX(Models!$BJ93:$BT93,,T93+1)*R93-ERP_i)*Q93*Ramure*Pc/MaxiM</f>
        <v>6.1458566231570918E-3</v>
      </c>
      <c r="Q93" s="305">
        <f t="shared" si="27"/>
        <v>0.8</v>
      </c>
      <c r="R93" s="177">
        <f t="shared" si="28"/>
        <v>0.61914928322634077</v>
      </c>
      <c r="S93" s="809">
        <f t="shared" si="29"/>
        <v>0</v>
      </c>
      <c r="T93" s="176">
        <f t="shared" si="30"/>
        <v>6</v>
      </c>
      <c r="U93" s="251">
        <f t="shared" si="31"/>
        <v>0.61914928322634077</v>
      </c>
      <c r="V93" s="383">
        <f t="shared" si="32"/>
        <v>42.359716030266746</v>
      </c>
      <c r="W93" s="58"/>
      <c r="X93" s="157">
        <f t="shared" si="33"/>
        <v>43544</v>
      </c>
      <c r="Y93" s="385">
        <f t="shared" si="34"/>
        <v>42.481999999999999</v>
      </c>
      <c r="Z93" s="385">
        <f t="shared" si="35"/>
        <v>42.710988405054572</v>
      </c>
      <c r="AA93" s="386">
        <f t="shared" si="36"/>
        <v>44.400501993285253</v>
      </c>
      <c r="AB93" s="197">
        <f t="shared" si="37"/>
        <v>43544</v>
      </c>
      <c r="AC93" s="425">
        <f>IF(OR(t&lt;Tnet,NoTnet),'2018'!Resal_s+('2018'!Salim-'2018'!Resal_s)*(1-EXP(('2018'!Tnet_s-t)/'2018'!Tau_j)),Resal_s+(Salim-Resal_s)*(1-EXP((Tnet_s-t)/Tau_j)))*Salcycl</f>
        <v>3.8051677624865228E-2</v>
      </c>
      <c r="AD93" s="231">
        <f>(INDEX(Models!$BJ93:$BT93,,AH93)*(1-AF93)+INDEX(Models!$BJ93:$BT93,,AH93+1)*AF93-ERP_i)*AE93*Ramure*Pc/MaxiM</f>
        <v>6.1458566231570918E-3</v>
      </c>
      <c r="AE93" s="305">
        <f t="shared" si="38"/>
        <v>0.8</v>
      </c>
      <c r="AF93" s="177">
        <f t="shared" si="39"/>
        <v>0.61914928322634077</v>
      </c>
      <c r="AG93" s="176">
        <f t="shared" si="40"/>
        <v>0</v>
      </c>
      <c r="AH93" s="176">
        <f t="shared" si="41"/>
        <v>6</v>
      </c>
      <c r="AI93" s="225">
        <f t="shared" si="42"/>
        <v>0.61914928322634077</v>
      </c>
      <c r="AJ93" s="265" t="b">
        <f t="shared" si="43"/>
        <v>0</v>
      </c>
      <c r="AK93" s="265" t="b">
        <f t="shared" si="44"/>
        <v>1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6">
        <v>42.76</v>
      </c>
      <c r="C94" s="390"/>
      <c r="D94" s="393">
        <f t="shared" si="24"/>
        <v>42.991487367993166</v>
      </c>
      <c r="E94" s="385">
        <f t="shared" si="46"/>
        <v>44.698915536465769</v>
      </c>
      <c r="F94" s="385">
        <f t="shared" si="25"/>
        <v>44.969687153198187</v>
      </c>
      <c r="G94" s="110">
        <f t="shared" si="47"/>
        <v>0.9992822535026421</v>
      </c>
      <c r="H94" s="414" t="b">
        <f>Wh_hp&gt;='2018'!Maxi_hp</f>
        <v>1</v>
      </c>
      <c r="I94" s="390">
        <f>IF(H94,Wh_hp,'2018'!Maxi_hp)</f>
        <v>44.969687153198187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5.3844931209685587E-3</v>
      </c>
      <c r="M94" s="843"/>
      <c r="N94" s="843"/>
      <c r="O94" s="48">
        <f>IF(t&lt;Tnet,'2018'!Resal+('2018'!Salim-'2018'!Resal)*(1-EXP(('2018'!Tnet-t)/('2018'!Tau_j))),Resal+(Salim-Resal)*(1-EXP((Tnet-t)/(Tau_j))))*Salcycl</f>
        <v>3.8198424905402255E-2</v>
      </c>
      <c r="P94" s="169">
        <f>(INDEX(Models!$BJ94:$BT94,,T94)*(1-R94)+INDEX(Models!$BJ94:$BT94,,T94+1)*R94-ERP_i)*Q94*Ramure*Pc/MaxiM</f>
        <v>6.0273301309999453E-3</v>
      </c>
      <c r="Q94" s="305">
        <f t="shared" si="27"/>
        <v>0.8</v>
      </c>
      <c r="R94" s="177">
        <f t="shared" si="28"/>
        <v>0.61995867985398101</v>
      </c>
      <c r="S94" s="809">
        <f t="shared" si="29"/>
        <v>0</v>
      </c>
      <c r="T94" s="176">
        <f t="shared" si="30"/>
        <v>6</v>
      </c>
      <c r="U94" s="251">
        <f t="shared" si="31"/>
        <v>0.61995867985398101</v>
      </c>
      <c r="V94" s="383">
        <f t="shared" si="32"/>
        <v>42.790449113231681</v>
      </c>
      <c r="W94" s="58"/>
      <c r="X94" s="157">
        <f t="shared" si="33"/>
        <v>43545</v>
      </c>
      <c r="Y94" s="385">
        <f t="shared" si="34"/>
        <v>42.76</v>
      </c>
      <c r="Z94" s="385">
        <f t="shared" si="35"/>
        <v>42.991487367993166</v>
      </c>
      <c r="AA94" s="386">
        <f t="shared" si="36"/>
        <v>44.698915536465769</v>
      </c>
      <c r="AB94" s="197">
        <f t="shared" si="37"/>
        <v>43545</v>
      </c>
      <c r="AC94" s="425">
        <f>IF(OR(t&lt;Tnet,NoTnet),'2018'!Resal_s+('2018'!Salim-'2018'!Resal_s)*(1-EXP(('2018'!Tnet_s-t)/'2018'!Tau_j)),Resal_s+(Salim-Resal_s)*(1-EXP((Tnet_s-t)/Tau_j)))*Salcycl</f>
        <v>3.8198424905402255E-2</v>
      </c>
      <c r="AD94" s="231">
        <f>(INDEX(Models!$BJ94:$BT94,,AH94)*(1-AF94)+INDEX(Models!$BJ94:$BT94,,AH94+1)*AF94-ERP_i)*AE94*Ramure*Pc/MaxiM</f>
        <v>6.0273301309999453E-3</v>
      </c>
      <c r="AE94" s="305">
        <f t="shared" si="38"/>
        <v>0.8</v>
      </c>
      <c r="AF94" s="177">
        <f t="shared" si="39"/>
        <v>0.61995867985398101</v>
      </c>
      <c r="AG94" s="176">
        <f t="shared" si="40"/>
        <v>0</v>
      </c>
      <c r="AH94" s="176">
        <f t="shared" si="41"/>
        <v>6</v>
      </c>
      <c r="AI94" s="225">
        <f t="shared" si="42"/>
        <v>0.61995867985398101</v>
      </c>
      <c r="AJ94" s="265" t="b">
        <f t="shared" si="43"/>
        <v>0</v>
      </c>
      <c r="AK94" s="265" t="b">
        <f t="shared" si="44"/>
        <v>1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6">
        <v>41.951000000000001</v>
      </c>
      <c r="C95" s="390"/>
      <c r="D95" s="393">
        <f t="shared" si="24"/>
        <v>42.179089299960374</v>
      </c>
      <c r="E95" s="385">
        <f t="shared" si="46"/>
        <v>43.860947735821043</v>
      </c>
      <c r="F95" s="385">
        <f t="shared" si="25"/>
        <v>44.110203483465384</v>
      </c>
      <c r="G95" s="110">
        <f t="shared" si="47"/>
        <v>0.97031392958781593</v>
      </c>
      <c r="H95" s="414" t="b">
        <f>Wh_hp&gt;='2018'!Maxi_hp</f>
        <v>1</v>
      </c>
      <c r="I95" s="390">
        <f>IF(H95,Wh_hp,'2018'!Maxi_hp)</f>
        <v>44.110203483465384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5.4076392768533932E-3</v>
      </c>
      <c r="M95" s="843"/>
      <c r="N95" s="843"/>
      <c r="O95" s="48">
        <f>IF(t&lt;Tnet,'2018'!Resal+('2018'!Salim-'2018'!Resal)*(1-EXP(('2018'!Tnet-t)/('2018'!Tau_j))),Resal+(Salim-Resal)*(1-EXP((Tnet-t)/(Tau_j))))*Salcycl</f>
        <v>3.8345236997400854E-2</v>
      </c>
      <c r="P95" s="169">
        <f>(INDEX(Models!$BJ95:$BT95,,T95)*(1-R95)+INDEX(Models!$BJ95:$BT95,,T95+1)*R95-ERP_i)*Q95*Ramure*Pc/MaxiM</f>
        <v>5.8988728236881241E-3</v>
      </c>
      <c r="Q95" s="305">
        <f t="shared" si="27"/>
        <v>0.8</v>
      </c>
      <c r="R95" s="177">
        <f t="shared" si="28"/>
        <v>0.62079963692739071</v>
      </c>
      <c r="S95" s="809">
        <f t="shared" si="29"/>
        <v>0</v>
      </c>
      <c r="T95" s="176">
        <f t="shared" si="30"/>
        <v>6</v>
      </c>
      <c r="U95" s="251">
        <f t="shared" si="31"/>
        <v>0.62079963692739071</v>
      </c>
      <c r="V95" s="383">
        <f t="shared" si="32"/>
        <v>43.22367285705257</v>
      </c>
      <c r="W95" s="58"/>
      <c r="X95" s="157">
        <f t="shared" si="33"/>
        <v>43546</v>
      </c>
      <c r="Y95" s="385">
        <f t="shared" si="34"/>
        <v>41.951000000000001</v>
      </c>
      <c r="Z95" s="385">
        <f t="shared" si="35"/>
        <v>42.179089299960374</v>
      </c>
      <c r="AA95" s="386">
        <f t="shared" si="36"/>
        <v>43.860947735821043</v>
      </c>
      <c r="AB95" s="197">
        <f t="shared" si="37"/>
        <v>43546</v>
      </c>
      <c r="AC95" s="425">
        <f>IF(OR(t&lt;Tnet,NoTnet),'2018'!Resal_s+('2018'!Salim-'2018'!Resal_s)*(1-EXP(('2018'!Tnet_s-t)/'2018'!Tau_j)),Resal_s+(Salim-Resal_s)*(1-EXP((Tnet_s-t)/Tau_j)))*Salcycl</f>
        <v>3.8345236997400854E-2</v>
      </c>
      <c r="AD95" s="231">
        <f>(INDEX(Models!$BJ95:$BT95,,AH95)*(1-AF95)+INDEX(Models!$BJ95:$BT95,,AH95+1)*AF95-ERP_i)*AE95*Ramure*Pc/MaxiM</f>
        <v>5.8988728236881241E-3</v>
      </c>
      <c r="AE95" s="305">
        <f t="shared" si="38"/>
        <v>0.8</v>
      </c>
      <c r="AF95" s="177">
        <f t="shared" si="39"/>
        <v>0.62079963692739071</v>
      </c>
      <c r="AG95" s="176">
        <f t="shared" si="40"/>
        <v>0</v>
      </c>
      <c r="AH95" s="176">
        <f t="shared" si="41"/>
        <v>6</v>
      </c>
      <c r="AI95" s="225">
        <f t="shared" si="42"/>
        <v>0.62079963692739071</v>
      </c>
      <c r="AJ95" s="265" t="b">
        <f t="shared" si="43"/>
        <v>0</v>
      </c>
      <c r="AK95" s="265" t="b">
        <f t="shared" si="44"/>
        <v>1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6">
        <v>39.887999999999998</v>
      </c>
      <c r="C96" s="390"/>
      <c r="D96" s="393">
        <f t="shared" si="24"/>
        <v>40.105806005419666</v>
      </c>
      <c r="E96" s="385">
        <f t="shared" si="46"/>
        <v>41.711365348512402</v>
      </c>
      <c r="F96" s="385">
        <f t="shared" si="25"/>
        <v>41.92308435506223</v>
      </c>
      <c r="G96" s="110">
        <f t="shared" si="47"/>
        <v>0.9129897598833745</v>
      </c>
      <c r="H96" s="414" t="b">
        <f>Wh_hp&gt;='2018'!Maxi_hp</f>
        <v>1</v>
      </c>
      <c r="I96" s="390">
        <f>IF(H96,Wh_hp,'2018'!Maxi_hp)</f>
        <v>41.92308435506223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5.4307848940933212E-3</v>
      </c>
      <c r="M96" s="843"/>
      <c r="N96" s="843"/>
      <c r="O96" s="48">
        <f>IF(t&lt;Tnet,'2018'!Resal+('2018'!Salim-'2018'!Resal)*(1-EXP(('2018'!Tnet-t)/('2018'!Tau_j))),Resal+(Salim-Resal)*(1-EXP((Tnet-t)/(Tau_j))))*Salcycl</f>
        <v>3.8492131093713952E-2</v>
      </c>
      <c r="P96" s="169">
        <f>(INDEX(Models!$BJ96:$BT96,,T96)*(1-R96)+INDEX(Models!$BJ96:$BT96,,T96+1)*R96-ERP_i)*Q96*Ramure*Pc/MaxiM</f>
        <v>5.7608863547647642E-3</v>
      </c>
      <c r="Q96" s="305">
        <f t="shared" si="27"/>
        <v>0.8</v>
      </c>
      <c r="R96" s="177">
        <f t="shared" si="28"/>
        <v>0.62167328457014426</v>
      </c>
      <c r="S96" s="809">
        <f t="shared" si="29"/>
        <v>0</v>
      </c>
      <c r="T96" s="176">
        <f t="shared" si="30"/>
        <v>6</v>
      </c>
      <c r="U96" s="251">
        <f t="shared" si="31"/>
        <v>0.62167328457014426</v>
      </c>
      <c r="V96" s="383">
        <f t="shared" si="32"/>
        <v>43.658219504074935</v>
      </c>
      <c r="W96" s="58"/>
      <c r="X96" s="157">
        <f t="shared" si="33"/>
        <v>43547</v>
      </c>
      <c r="Y96" s="385">
        <f t="shared" si="34"/>
        <v>39.887999999999998</v>
      </c>
      <c r="Z96" s="385">
        <f t="shared" si="35"/>
        <v>40.105806005419666</v>
      </c>
      <c r="AA96" s="386">
        <f t="shared" si="36"/>
        <v>41.711365348512402</v>
      </c>
      <c r="AB96" s="197">
        <f t="shared" si="37"/>
        <v>43547</v>
      </c>
      <c r="AC96" s="425">
        <f>IF(OR(t&lt;Tnet,NoTnet),'2018'!Resal_s+('2018'!Salim-'2018'!Resal_s)*(1-EXP(('2018'!Tnet_s-t)/'2018'!Tau_j)),Resal_s+(Salim-Resal_s)*(1-EXP((Tnet_s-t)/Tau_j)))*Salcycl</f>
        <v>3.8492131093713952E-2</v>
      </c>
      <c r="AD96" s="231">
        <f>(INDEX(Models!$BJ96:$BT96,,AH96)*(1-AF96)+INDEX(Models!$BJ96:$BT96,,AH96+1)*AF96-ERP_i)*AE96*Ramure*Pc/MaxiM</f>
        <v>5.7608863547647642E-3</v>
      </c>
      <c r="AE96" s="305">
        <f t="shared" si="38"/>
        <v>0.8</v>
      </c>
      <c r="AF96" s="177">
        <f t="shared" si="39"/>
        <v>0.62167328457014426</v>
      </c>
      <c r="AG96" s="176">
        <f t="shared" si="40"/>
        <v>0</v>
      </c>
      <c r="AH96" s="176">
        <f t="shared" si="41"/>
        <v>6</v>
      </c>
      <c r="AI96" s="225">
        <f t="shared" si="42"/>
        <v>0.62167328457014426</v>
      </c>
      <c r="AJ96" s="265" t="b">
        <f t="shared" si="43"/>
        <v>0</v>
      </c>
      <c r="AK96" s="265" t="b">
        <f t="shared" si="44"/>
        <v>1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6">
        <v>43.39</v>
      </c>
      <c r="C97" s="390"/>
      <c r="D97" s="393">
        <f t="shared" si="24"/>
        <v>43.627943750065796</v>
      </c>
      <c r="E97" s="385">
        <f t="shared" si="46"/>
        <v>45.381442983560731</v>
      </c>
      <c r="F97" s="385">
        <f t="shared" si="25"/>
        <v>45.631773645613265</v>
      </c>
      <c r="G97" s="110">
        <f t="shared" si="47"/>
        <v>0.98393165087465984</v>
      </c>
      <c r="H97" s="414" t="b">
        <f>Wh_hp&gt;='2018'!Maxi_hp</f>
        <v>1</v>
      </c>
      <c r="I97" s="390">
        <f>IF(H97,Wh_hp,'2018'!Maxi_hp)</f>
        <v>45.631773645613265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5.4539299727008883E-3</v>
      </c>
      <c r="M97" s="843"/>
      <c r="N97" s="843"/>
      <c r="O97" s="48">
        <f>IF(t&lt;Tnet,'2018'!Resal+('2018'!Salim-'2018'!Resal)*(1-EXP(('2018'!Tnet-t)/('2018'!Tau_j))),Resal+(Salim-Resal)*(1-EXP((Tnet-t)/(Tau_j))))*Salcycl</f>
        <v>3.8639124677682296E-2</v>
      </c>
      <c r="P97" s="169">
        <f>(INDEX(Models!$BJ97:$BT97,,T97)*(1-R97)+INDEX(Models!$BJ97:$BT97,,T97+1)*R97-ERP_i)*Q97*Ramure*Pc/MaxiM</f>
        <v>5.613732499649692E-3</v>
      </c>
      <c r="Q97" s="305">
        <f t="shared" si="27"/>
        <v>0.8</v>
      </c>
      <c r="R97" s="177">
        <f t="shared" si="28"/>
        <v>0.62258078511321602</v>
      </c>
      <c r="S97" s="809">
        <f t="shared" si="29"/>
        <v>0</v>
      </c>
      <c r="T97" s="176">
        <f t="shared" si="30"/>
        <v>6</v>
      </c>
      <c r="U97" s="251">
        <f t="shared" si="31"/>
        <v>0.62258078511321602</v>
      </c>
      <c r="V97" s="383">
        <f t="shared" si="32"/>
        <v>44.092922570587262</v>
      </c>
      <c r="W97" s="58"/>
      <c r="X97" s="157">
        <f t="shared" si="33"/>
        <v>43548</v>
      </c>
      <c r="Y97" s="385">
        <f t="shared" si="34"/>
        <v>43.39</v>
      </c>
      <c r="Z97" s="385">
        <f t="shared" si="35"/>
        <v>43.627943750065796</v>
      </c>
      <c r="AA97" s="386">
        <f t="shared" si="36"/>
        <v>45.381442983560731</v>
      </c>
      <c r="AB97" s="197">
        <f t="shared" si="37"/>
        <v>43548</v>
      </c>
      <c r="AC97" s="425">
        <f>IF(OR(t&lt;Tnet,NoTnet),'2018'!Resal_s+('2018'!Salim-'2018'!Resal_s)*(1-EXP(('2018'!Tnet_s-t)/'2018'!Tau_j)),Resal_s+(Salim-Resal_s)*(1-EXP((Tnet_s-t)/Tau_j)))*Salcycl</f>
        <v>3.8639124677682296E-2</v>
      </c>
      <c r="AD97" s="231">
        <f>(INDEX(Models!$BJ97:$BT97,,AH97)*(1-AF97)+INDEX(Models!$BJ97:$BT97,,AH97+1)*AF97-ERP_i)*AE97*Ramure*Pc/MaxiM</f>
        <v>5.613732499649692E-3</v>
      </c>
      <c r="AE97" s="305">
        <f t="shared" si="38"/>
        <v>0.8</v>
      </c>
      <c r="AF97" s="177">
        <f t="shared" si="39"/>
        <v>0.62258078511321602</v>
      </c>
      <c r="AG97" s="176">
        <f t="shared" si="40"/>
        <v>0</v>
      </c>
      <c r="AH97" s="176">
        <f t="shared" si="41"/>
        <v>6</v>
      </c>
      <c r="AI97" s="225">
        <f t="shared" si="42"/>
        <v>0.62258078511321602</v>
      </c>
      <c r="AJ97" s="265" t="b">
        <f t="shared" si="43"/>
        <v>0</v>
      </c>
      <c r="AK97" s="265" t="b">
        <f t="shared" si="44"/>
        <v>1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6">
        <v>38.128999999999998</v>
      </c>
      <c r="C98" s="390"/>
      <c r="D98" s="393">
        <f t="shared" si="24"/>
        <v>38.338985480216031</v>
      </c>
      <c r="E98" s="385">
        <f t="shared" si="46"/>
        <v>39.886013803943399</v>
      </c>
      <c r="F98" s="385">
        <f t="shared" si="25"/>
        <v>40.059772568700907</v>
      </c>
      <c r="G98" s="110">
        <f t="shared" si="47"/>
        <v>0.85535580275692313</v>
      </c>
      <c r="H98" s="414" t="b">
        <f>Wh_hp&gt;='2018'!Maxi_hp</f>
        <v>1</v>
      </c>
      <c r="I98" s="390">
        <f>IF(H98,Wh_hp,'2018'!Maxi_hp)</f>
        <v>40.059772568700907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5.477074512688751E-3</v>
      </c>
      <c r="M98" s="843"/>
      <c r="N98" s="843"/>
      <c r="O98" s="48">
        <f>IF(t&lt;Tnet,'2018'!Resal+('2018'!Salim-'2018'!Resal)*(1-EXP(('2018'!Tnet-t)/('2018'!Tau_j))),Resal+(Salim-Resal)*(1-EXP((Tnet-t)/(Tau_j))))*Salcycl</f>
        <v>3.8786235479224968E-2</v>
      </c>
      <c r="P98" s="169">
        <f>(INDEX(Models!$BJ98:$BT98,,T98)*(1-R98)+INDEX(Models!$BJ98:$BT98,,T98+1)*R98-ERP_i)*Q98*Ramure*Pc/MaxiM</f>
        <v>5.4577316609874032E-3</v>
      </c>
      <c r="Q98" s="305">
        <f t="shared" si="27"/>
        <v>0.8</v>
      </c>
      <c r="R98" s="177">
        <f t="shared" si="28"/>
        <v>0.62352333331551268</v>
      </c>
      <c r="S98" s="809">
        <f t="shared" si="29"/>
        <v>0</v>
      </c>
      <c r="T98" s="176">
        <f t="shared" si="30"/>
        <v>6</v>
      </c>
      <c r="U98" s="251">
        <f t="shared" si="31"/>
        <v>0.62352333331551268</v>
      </c>
      <c r="V98" s="383">
        <f t="shared" si="32"/>
        <v>44.526616890759975</v>
      </c>
      <c r="W98" s="58"/>
      <c r="X98" s="157">
        <f t="shared" si="33"/>
        <v>43549</v>
      </c>
      <c r="Y98" s="385">
        <f t="shared" si="34"/>
        <v>38.128999999999998</v>
      </c>
      <c r="Z98" s="385">
        <f t="shared" si="35"/>
        <v>38.338985480216031</v>
      </c>
      <c r="AA98" s="386">
        <f t="shared" si="36"/>
        <v>39.886013803943399</v>
      </c>
      <c r="AB98" s="197">
        <f t="shared" si="37"/>
        <v>43549</v>
      </c>
      <c r="AC98" s="425">
        <f>IF(OR(t&lt;Tnet,NoTnet),'2018'!Resal_s+('2018'!Salim-'2018'!Resal_s)*(1-EXP(('2018'!Tnet_s-t)/'2018'!Tau_j)),Resal_s+(Salim-Resal_s)*(1-EXP((Tnet_s-t)/Tau_j)))*Salcycl</f>
        <v>3.8786235479224968E-2</v>
      </c>
      <c r="AD98" s="231">
        <f>(INDEX(Models!$BJ98:$BT98,,AH98)*(1-AF98)+INDEX(Models!$BJ98:$BT98,,AH98+1)*AF98-ERP_i)*AE98*Ramure*Pc/MaxiM</f>
        <v>5.4577316609874032E-3</v>
      </c>
      <c r="AE98" s="305">
        <f t="shared" si="38"/>
        <v>0.8</v>
      </c>
      <c r="AF98" s="177">
        <f t="shared" si="39"/>
        <v>0.62352333331551268</v>
      </c>
      <c r="AG98" s="176">
        <f t="shared" si="40"/>
        <v>0</v>
      </c>
      <c r="AH98" s="176">
        <f t="shared" si="41"/>
        <v>6</v>
      </c>
      <c r="AI98" s="225">
        <f t="shared" si="42"/>
        <v>0.62352333331551268</v>
      </c>
      <c r="AJ98" s="265" t="b">
        <f t="shared" si="43"/>
        <v>0</v>
      </c>
      <c r="AK98" s="265" t="b">
        <f t="shared" si="44"/>
        <v>1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6">
        <v>46.466000000000001</v>
      </c>
      <c r="C99" s="390"/>
      <c r="D99" s="393">
        <f t="shared" si="24"/>
        <v>46.722986636128653</v>
      </c>
      <c r="E99" s="385">
        <f t="shared" si="46"/>
        <v>48.615767726159476</v>
      </c>
      <c r="F99" s="385">
        <f t="shared" si="25"/>
        <v>48.874468185394626</v>
      </c>
      <c r="G99" s="110">
        <f t="shared" si="47"/>
        <v>1.0335392296912354</v>
      </c>
      <c r="H99" s="414" t="b">
        <f>Wh_hp&gt;='2018'!Maxi_hp</f>
        <v>1</v>
      </c>
      <c r="I99" s="390">
        <f>IF(H99,Wh_hp,'2018'!Maxi_hp)</f>
        <v>48.874468185394626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5.5002185140693438E-3</v>
      </c>
      <c r="M99" s="843"/>
      <c r="N99" s="843"/>
      <c r="O99" s="48">
        <f>IF(t&lt;Tnet,'2018'!Resal+('2018'!Salim-'2018'!Resal)*(1-EXP(('2018'!Tnet-t)/('2018'!Tau_j))),Resal+(Salim-Resal)*(1-EXP((Tnet-t)/(Tau_j))))*Salcycl</f>
        <v>3.8933481431217665E-2</v>
      </c>
      <c r="P99" s="169">
        <f>(INDEX(Models!$BJ99:$BT99,,T99)*(1-R99)+INDEX(Models!$BJ99:$BT99,,T99+1)*R99-ERP_i)*Q99*Ramure*Pc/MaxiM</f>
        <v>5.2931616207838811E-3</v>
      </c>
      <c r="Q99" s="305">
        <f t="shared" si="27"/>
        <v>0.8</v>
      </c>
      <c r="R99" s="177">
        <f t="shared" si="28"/>
        <v>0.62450215651719709</v>
      </c>
      <c r="S99" s="809">
        <f t="shared" si="29"/>
        <v>0</v>
      </c>
      <c r="T99" s="176">
        <f t="shared" si="30"/>
        <v>6</v>
      </c>
      <c r="U99" s="251">
        <f t="shared" si="31"/>
        <v>0.62450215651719709</v>
      </c>
      <c r="V99" s="383">
        <f t="shared" si="32"/>
        <v>44.958138660959669</v>
      </c>
      <c r="W99" s="58"/>
      <c r="X99" s="157">
        <f t="shared" si="33"/>
        <v>43550</v>
      </c>
      <c r="Y99" s="385">
        <f t="shared" si="34"/>
        <v>46.466000000000001</v>
      </c>
      <c r="Z99" s="385">
        <f t="shared" si="35"/>
        <v>46.722986636128653</v>
      </c>
      <c r="AA99" s="386">
        <f t="shared" si="36"/>
        <v>48.615767726159476</v>
      </c>
      <c r="AB99" s="197">
        <f t="shared" si="37"/>
        <v>43550</v>
      </c>
      <c r="AC99" s="425">
        <f>IF(OR(t&lt;Tnet,NoTnet),'2018'!Resal_s+('2018'!Salim-'2018'!Resal_s)*(1-EXP(('2018'!Tnet_s-t)/'2018'!Tau_j)),Resal_s+(Salim-Resal_s)*(1-EXP((Tnet_s-t)/Tau_j)))*Salcycl</f>
        <v>3.8933481431217665E-2</v>
      </c>
      <c r="AD99" s="231">
        <f>(INDEX(Models!$BJ99:$BT99,,AH99)*(1-AF99)+INDEX(Models!$BJ99:$BT99,,AH99+1)*AF99-ERP_i)*AE99*Ramure*Pc/MaxiM</f>
        <v>5.2931616207838811E-3</v>
      </c>
      <c r="AE99" s="305">
        <f t="shared" si="38"/>
        <v>0.8</v>
      </c>
      <c r="AF99" s="177">
        <f t="shared" si="39"/>
        <v>0.62450215651719709</v>
      </c>
      <c r="AG99" s="176">
        <f t="shared" si="40"/>
        <v>0</v>
      </c>
      <c r="AH99" s="176">
        <f t="shared" si="41"/>
        <v>6</v>
      </c>
      <c r="AI99" s="225">
        <f t="shared" si="42"/>
        <v>0.62450215651719709</v>
      </c>
      <c r="AJ99" s="265" t="b">
        <f t="shared" si="43"/>
        <v>0</v>
      </c>
      <c r="AK99" s="265" t="b">
        <f t="shared" si="44"/>
        <v>1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6">
        <v>45.872999999999998</v>
      </c>
      <c r="C100" s="390"/>
      <c r="D100" s="393">
        <f t="shared" si="24"/>
        <v>46.127780428495477</v>
      </c>
      <c r="E100" s="385">
        <f t="shared" si="46"/>
        <v>48.003811661654801</v>
      </c>
      <c r="F100" s="385">
        <f t="shared" si="25"/>
        <v>48.250977884589958</v>
      </c>
      <c r="G100" s="110">
        <f t="shared" si="47"/>
        <v>1.0107252241957958</v>
      </c>
      <c r="H100" s="414" t="b">
        <f>Wh_hp&gt;='2018'!Maxi_hp</f>
        <v>1</v>
      </c>
      <c r="I100" s="390">
        <f>IF(H100,Wh_hp,'2018'!Maxi_hp)</f>
        <v>48.250977884589958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5.5233619768552122E-3</v>
      </c>
      <c r="M100" s="843"/>
      <c r="N100" s="843"/>
      <c r="O100" s="48">
        <f>IF(t&lt;Tnet,'2018'!Resal+('2018'!Salim-'2018'!Resal)*(1-EXP(('2018'!Tnet-t)/('2018'!Tau_j))),Resal+(Salim-Resal)*(1-EXP((Tnet-t)/(Tau_j))))*Salcycl</f>
        <v>3.9080880626358352E-2</v>
      </c>
      <c r="P100" s="169">
        <f>(INDEX(Models!$BJ100:$BT100,,T100)*(1-R100)+INDEX(Models!$BJ100:$BT100,,T100+1)*R100-ERP_i)*Q100*Ramure*Pc/MaxiM</f>
        <v>5.1225122012314057E-3</v>
      </c>
      <c r="Q100" s="305">
        <f t="shared" si="27"/>
        <v>0.8</v>
      </c>
      <c r="R100" s="177">
        <f t="shared" si="28"/>
        <v>0.62551851471875453</v>
      </c>
      <c r="S100" s="809">
        <f t="shared" si="29"/>
        <v>0</v>
      </c>
      <c r="T100" s="176">
        <f t="shared" si="30"/>
        <v>6</v>
      </c>
      <c r="U100" s="251">
        <f t="shared" si="31"/>
        <v>0.62551851471875453</v>
      </c>
      <c r="V100" s="383">
        <f t="shared" si="32"/>
        <v>45.386222587350382</v>
      </c>
      <c r="W100" s="58"/>
      <c r="X100" s="157">
        <f t="shared" si="33"/>
        <v>43551</v>
      </c>
      <c r="Y100" s="385">
        <f t="shared" si="34"/>
        <v>45.872999999999998</v>
      </c>
      <c r="Z100" s="385">
        <f t="shared" si="35"/>
        <v>46.127780428495477</v>
      </c>
      <c r="AA100" s="386">
        <f t="shared" si="36"/>
        <v>48.003811661654801</v>
      </c>
      <c r="AB100" s="197">
        <f t="shared" si="37"/>
        <v>43551</v>
      </c>
      <c r="AC100" s="425">
        <f>IF(OR(t&lt;Tnet,NoTnet),'2018'!Resal_s+('2018'!Salim-'2018'!Resal_s)*(1-EXP(('2018'!Tnet_s-t)/'2018'!Tau_j)),Resal_s+(Salim-Resal_s)*(1-EXP((Tnet_s-t)/Tau_j)))*Salcycl</f>
        <v>3.9080880626358352E-2</v>
      </c>
      <c r="AD100" s="231">
        <f>(INDEX(Models!$BJ100:$BT100,,AH100)*(1-AF100)+INDEX(Models!$BJ100:$BT100,,AH100+1)*AF100-ERP_i)*AE100*Ramure*Pc/MaxiM</f>
        <v>5.1225122012314057E-3</v>
      </c>
      <c r="AE100" s="305">
        <f t="shared" si="38"/>
        <v>0.8</v>
      </c>
      <c r="AF100" s="177">
        <f t="shared" si="39"/>
        <v>0.62551851471875453</v>
      </c>
      <c r="AG100" s="176">
        <f t="shared" si="40"/>
        <v>0</v>
      </c>
      <c r="AH100" s="176">
        <f t="shared" si="41"/>
        <v>6</v>
      </c>
      <c r="AI100" s="225">
        <f t="shared" si="42"/>
        <v>0.62551851471875453</v>
      </c>
      <c r="AJ100" s="265" t="b">
        <f t="shared" si="43"/>
        <v>0</v>
      </c>
      <c r="AK100" s="265" t="b">
        <f t="shared" si="44"/>
        <v>1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6">
        <v>45.121000000000002</v>
      </c>
      <c r="C101" s="390"/>
      <c r="D101" s="393">
        <f t="shared" si="24"/>
        <v>45.372659679285228</v>
      </c>
      <c r="E101" s="385">
        <f t="shared" si="46"/>
        <v>47.225232407727518</v>
      </c>
      <c r="F101" s="385">
        <f t="shared" si="25"/>
        <v>47.455326938702427</v>
      </c>
      <c r="G101" s="110">
        <f t="shared" si="47"/>
        <v>0.98486963908081027</v>
      </c>
      <c r="H101" s="414" t="b">
        <f>Wh_hp&gt;='2018'!Maxi_hp</f>
        <v>1</v>
      </c>
      <c r="I101" s="390">
        <f>IF(H101,Wh_hp,'2018'!Maxi_hp)</f>
        <v>47.455326938702427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5.5465049010587908E-3</v>
      </c>
      <c r="M101" s="843"/>
      <c r="N101" s="843"/>
      <c r="O101" s="48">
        <f>IF(t&lt;Tnet,'2018'!Resal+('2018'!Salim-'2018'!Resal)*(1-EXP(('2018'!Tnet-t)/('2018'!Tau_j))),Resal+(Salim-Resal)*(1-EXP((Tnet-t)/(Tau_j))))*Salcycl</f>
        <v>3.9228451274686604E-2</v>
      </c>
      <c r="P101" s="169">
        <f>(INDEX(Models!$BJ101:$BT101,,T101)*(1-R101)+INDEX(Models!$BJ101:$BT101,,T101+1)*R101-ERP_i)*Q101*Ramure*Pc/MaxiM</f>
        <v>4.9550119225337357E-3</v>
      </c>
      <c r="Q101" s="305">
        <f t="shared" si="27"/>
        <v>0.8</v>
      </c>
      <c r="R101" s="177">
        <f t="shared" si="28"/>
        <v>0.6265737005783516</v>
      </c>
      <c r="S101" s="809">
        <f t="shared" si="29"/>
        <v>0</v>
      </c>
      <c r="T101" s="176">
        <f t="shared" si="30"/>
        <v>6</v>
      </c>
      <c r="U101" s="251">
        <f t="shared" si="31"/>
        <v>0.6265737005783516</v>
      </c>
      <c r="V101" s="383">
        <f t="shared" si="32"/>
        <v>45.809288782013844</v>
      </c>
      <c r="W101" s="58"/>
      <c r="X101" s="157">
        <f t="shared" si="33"/>
        <v>43552</v>
      </c>
      <c r="Y101" s="385">
        <f t="shared" si="34"/>
        <v>45.121000000000002</v>
      </c>
      <c r="Z101" s="385">
        <f t="shared" si="35"/>
        <v>45.372659679285228</v>
      </c>
      <c r="AA101" s="386">
        <f t="shared" si="36"/>
        <v>47.225232407727518</v>
      </c>
      <c r="AB101" s="197">
        <f t="shared" si="37"/>
        <v>43552</v>
      </c>
      <c r="AC101" s="425">
        <f>IF(OR(t&lt;Tnet,NoTnet),'2018'!Resal_s+('2018'!Salim-'2018'!Resal_s)*(1-EXP(('2018'!Tnet_s-t)/'2018'!Tau_j)),Resal_s+(Salim-Resal_s)*(1-EXP((Tnet_s-t)/Tau_j)))*Salcycl</f>
        <v>3.9228451274686604E-2</v>
      </c>
      <c r="AD101" s="231">
        <f>(INDEX(Models!$BJ101:$BT101,,AH101)*(1-AF101)+INDEX(Models!$BJ101:$BT101,,AH101+1)*AF101-ERP_i)*AE101*Ramure*Pc/MaxiM</f>
        <v>4.9550119225337357E-3</v>
      </c>
      <c r="AE101" s="305">
        <f t="shared" si="38"/>
        <v>0.8</v>
      </c>
      <c r="AF101" s="177">
        <f t="shared" si="39"/>
        <v>0.6265737005783516</v>
      </c>
      <c r="AG101" s="176">
        <f t="shared" si="40"/>
        <v>0</v>
      </c>
      <c r="AH101" s="176">
        <f t="shared" si="41"/>
        <v>6</v>
      </c>
      <c r="AI101" s="225">
        <f t="shared" si="42"/>
        <v>0.6265737005783516</v>
      </c>
      <c r="AJ101" s="265" t="b">
        <f t="shared" si="43"/>
        <v>0</v>
      </c>
      <c r="AK101" s="265" t="b">
        <f t="shared" si="44"/>
        <v>1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6">
        <v>45.460999999999999</v>
      </c>
      <c r="C102" s="390"/>
      <c r="D102" s="393">
        <f t="shared" si="24"/>
        <v>45.715619878214177</v>
      </c>
      <c r="E102" s="385">
        <f t="shared" si="46"/>
        <v>47.589514681187225</v>
      </c>
      <c r="F102" s="385">
        <f t="shared" si="25"/>
        <v>47.81315223167644</v>
      </c>
      <c r="G102" s="110">
        <f t="shared" si="47"/>
        <v>0.98333525619290207</v>
      </c>
      <c r="H102" s="414" t="b">
        <f>Wh_hp&gt;='2018'!Maxi_hp</f>
        <v>1</v>
      </c>
      <c r="I102" s="390">
        <f>IF(H102,Wh_hp,'2018'!Maxi_hp)</f>
        <v>47.81315223167644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5.569647286692847E-3</v>
      </c>
      <c r="M102" s="843"/>
      <c r="N102" s="843"/>
      <c r="O102" s="48">
        <f>IF(t&lt;Tnet,'2018'!Resal+('2018'!Salim-'2018'!Resal)*(1-EXP(('2018'!Tnet-t)/('2018'!Tau_j))),Resal+(Salim-Resal)*(1-EXP((Tnet-t)/(Tau_j))))*Salcycl</f>
        <v>3.9376211661889982E-2</v>
      </c>
      <c r="P102" s="169">
        <f>(INDEX(Models!$BJ102:$BT102,,T102)*(1-R102)+INDEX(Models!$BJ102:$BT102,,T102+1)*R102-ERP_i)*Q102*Ramure*Pc/MaxiM</f>
        <v>4.7906057266727097E-3</v>
      </c>
      <c r="Q102" s="305">
        <f t="shared" si="27"/>
        <v>0.8</v>
      </c>
      <c r="R102" s="177">
        <f t="shared" si="28"/>
        <v>0.62766903931961526</v>
      </c>
      <c r="S102" s="809">
        <f t="shared" si="29"/>
        <v>0</v>
      </c>
      <c r="T102" s="176">
        <f t="shared" si="30"/>
        <v>6</v>
      </c>
      <c r="U102" s="251">
        <f t="shared" si="31"/>
        <v>0.62766903931961526</v>
      </c>
      <c r="V102" s="383">
        <f t="shared" si="32"/>
        <v>46.226173180164103</v>
      </c>
      <c r="W102" s="58"/>
      <c r="X102" s="157">
        <f t="shared" si="33"/>
        <v>43553</v>
      </c>
      <c r="Y102" s="385">
        <f t="shared" si="34"/>
        <v>45.460999999999999</v>
      </c>
      <c r="Z102" s="385">
        <f t="shared" si="35"/>
        <v>45.715619878214177</v>
      </c>
      <c r="AA102" s="386">
        <f t="shared" si="36"/>
        <v>47.589514681187225</v>
      </c>
      <c r="AB102" s="197">
        <f t="shared" si="37"/>
        <v>43553</v>
      </c>
      <c r="AC102" s="425">
        <f>IF(OR(t&lt;Tnet,NoTnet),'2018'!Resal_s+('2018'!Salim-'2018'!Resal_s)*(1-EXP(('2018'!Tnet_s-t)/'2018'!Tau_j)),Resal_s+(Salim-Resal_s)*(1-EXP((Tnet_s-t)/Tau_j)))*Salcycl</f>
        <v>3.9376211661889982E-2</v>
      </c>
      <c r="AD102" s="231">
        <f>(INDEX(Models!$BJ102:$BT102,,AH102)*(1-AF102)+INDEX(Models!$BJ102:$BT102,,AH102+1)*AF102-ERP_i)*AE102*Ramure*Pc/MaxiM</f>
        <v>4.7906057266727097E-3</v>
      </c>
      <c r="AE102" s="305">
        <f t="shared" si="38"/>
        <v>0.8</v>
      </c>
      <c r="AF102" s="177">
        <f t="shared" si="39"/>
        <v>0.62766903931961526</v>
      </c>
      <c r="AG102" s="176">
        <f t="shared" si="40"/>
        <v>0</v>
      </c>
      <c r="AH102" s="176">
        <f t="shared" si="41"/>
        <v>6</v>
      </c>
      <c r="AI102" s="225">
        <f t="shared" si="42"/>
        <v>0.62766903931961526</v>
      </c>
      <c r="AJ102" s="265" t="b">
        <f t="shared" si="43"/>
        <v>0</v>
      </c>
      <c r="AK102" s="265" t="b">
        <f t="shared" si="44"/>
        <v>1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6">
        <v>46.445</v>
      </c>
      <c r="C103" s="390"/>
      <c r="D103" s="393">
        <f t="shared" si="24"/>
        <v>46.706218028670229</v>
      </c>
      <c r="E103" s="385">
        <f t="shared" si="46"/>
        <v>48.628208083308238</v>
      </c>
      <c r="F103" s="385">
        <f t="shared" si="25"/>
        <v>48.853038467776038</v>
      </c>
      <c r="G103" s="110">
        <f t="shared" si="47"/>
        <v>0.99588352841930194</v>
      </c>
      <c r="H103" s="414" t="b">
        <f>Wh_hp&gt;='2018'!Maxi_hp</f>
        <v>1</v>
      </c>
      <c r="I103" s="390">
        <f>IF(H103,Wh_hp,'2018'!Maxi_hp)</f>
        <v>48.853038467776038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5.5927891337697044E-3</v>
      </c>
      <c r="M103" s="843"/>
      <c r="N103" s="843"/>
      <c r="O103" s="48">
        <f>IF(t&lt;Tnet,'2018'!Resal+('2018'!Salim-'2018'!Resal)*(1-EXP(('2018'!Tnet-t)/('2018'!Tau_j))),Resal+(Salim-Resal)*(1-EXP((Tnet-t)/(Tau_j))))*Salcycl</f>
        <v>3.9524180108494247E-2</v>
      </c>
      <c r="P103" s="169">
        <f>(INDEX(Models!$BJ103:$BT103,,T103)*(1-R103)+INDEX(Models!$BJ103:$BT103,,T103+1)*R103-ERP_i)*Q103*Ramure*Pc/MaxiM</f>
        <v>4.6292221204483402E-3</v>
      </c>
      <c r="Q103" s="305">
        <f t="shared" si="27"/>
        <v>0.8</v>
      </c>
      <c r="R103" s="177">
        <f t="shared" si="28"/>
        <v>0.62880588854155728</v>
      </c>
      <c r="S103" s="809">
        <f t="shared" si="29"/>
        <v>0</v>
      </c>
      <c r="T103" s="176">
        <f t="shared" si="30"/>
        <v>6</v>
      </c>
      <c r="U103" s="251">
        <f t="shared" si="31"/>
        <v>0.62880588854155728</v>
      </c>
      <c r="V103" s="383">
        <f t="shared" si="32"/>
        <v>46.635712719872096</v>
      </c>
      <c r="W103" s="58"/>
      <c r="X103" s="157">
        <f t="shared" si="33"/>
        <v>43554</v>
      </c>
      <c r="Y103" s="385">
        <f t="shared" si="34"/>
        <v>46.445</v>
      </c>
      <c r="Z103" s="385">
        <f t="shared" si="35"/>
        <v>46.706218028670229</v>
      </c>
      <c r="AA103" s="386">
        <f t="shared" si="36"/>
        <v>48.628208083308238</v>
      </c>
      <c r="AB103" s="197">
        <f t="shared" si="37"/>
        <v>43554</v>
      </c>
      <c r="AC103" s="425">
        <f>IF(OR(t&lt;Tnet,NoTnet),'2018'!Resal_s+('2018'!Salim-'2018'!Resal_s)*(1-EXP(('2018'!Tnet_s-t)/'2018'!Tau_j)),Resal_s+(Salim-Resal_s)*(1-EXP((Tnet_s-t)/Tau_j)))*Salcycl</f>
        <v>3.9524180108494247E-2</v>
      </c>
      <c r="AD103" s="231">
        <f>(INDEX(Models!$BJ103:$BT103,,AH103)*(1-AF103)+INDEX(Models!$BJ103:$BT103,,AH103+1)*AF103-ERP_i)*AE103*Ramure*Pc/MaxiM</f>
        <v>4.6292221204483402E-3</v>
      </c>
      <c r="AE103" s="305">
        <f t="shared" si="38"/>
        <v>0.8</v>
      </c>
      <c r="AF103" s="177">
        <f t="shared" si="39"/>
        <v>0.62880588854155728</v>
      </c>
      <c r="AG103" s="176">
        <f t="shared" si="40"/>
        <v>0</v>
      </c>
      <c r="AH103" s="176">
        <f t="shared" si="41"/>
        <v>6</v>
      </c>
      <c r="AI103" s="225">
        <f t="shared" si="42"/>
        <v>0.62880588854155728</v>
      </c>
      <c r="AJ103" s="265" t="b">
        <f t="shared" si="43"/>
        <v>0</v>
      </c>
      <c r="AK103" s="265" t="b">
        <f t="shared" si="44"/>
        <v>1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6">
        <v>38.387</v>
      </c>
      <c r="C104" s="390"/>
      <c r="D104" s="393">
        <f t="shared" si="24"/>
        <v>38.603796234461534</v>
      </c>
      <c r="E104" s="385">
        <f t="shared" si="46"/>
        <v>40.198568932813522</v>
      </c>
      <c r="F104" s="385">
        <f t="shared" si="25"/>
        <v>40.331512912370108</v>
      </c>
      <c r="G104" s="110">
        <f t="shared" si="47"/>
        <v>0.81514495351120497</v>
      </c>
      <c r="H104" s="414" t="b">
        <f>Wh_hp&gt;='2018'!Maxi_hp</f>
        <v>1</v>
      </c>
      <c r="I104" s="390">
        <f>IF(H104,Wh_hp,'2018'!Maxi_hp)</f>
        <v>40.331512912370108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5.6159304423020195E-3</v>
      </c>
      <c r="M104" s="843"/>
      <c r="N104" s="843"/>
      <c r="O104" s="48">
        <f>IF(t&lt;Tnet,'2018'!Resal+('2018'!Salim-'2018'!Resal)*(1-EXP(('2018'!Tnet-t)/('2018'!Tau_j))),Resal+(Salim-Resal)*(1-EXP((Tnet-t)/(Tau_j))))*Salcycl</f>
        <v>3.9672374929998956E-2</v>
      </c>
      <c r="P104" s="169">
        <f>(INDEX(Models!$BJ104:$BT104,,T104)*(1-R104)+INDEX(Models!$BJ104:$BT104,,T104+1)*R104-ERP_i)*Q104*Ramure*Pc/MaxiM</f>
        <v>4.470774429540551E-3</v>
      </c>
      <c r="Q104" s="305">
        <f t="shared" si="27"/>
        <v>0.8</v>
      </c>
      <c r="R104" s="177">
        <f t="shared" si="28"/>
        <v>0.62998563792195439</v>
      </c>
      <c r="S104" s="809">
        <f t="shared" si="29"/>
        <v>0</v>
      </c>
      <c r="T104" s="176">
        <f t="shared" si="30"/>
        <v>6</v>
      </c>
      <c r="U104" s="251">
        <f t="shared" si="31"/>
        <v>0.62998563792195439</v>
      </c>
      <c r="V104" s="383">
        <f t="shared" si="32"/>
        <v>47.036745343384283</v>
      </c>
      <c r="W104" s="58"/>
      <c r="X104" s="157">
        <f t="shared" si="33"/>
        <v>43555</v>
      </c>
      <c r="Y104" s="385">
        <f t="shared" si="34"/>
        <v>38.387</v>
      </c>
      <c r="Z104" s="385">
        <f t="shared" si="35"/>
        <v>38.603796234461534</v>
      </c>
      <c r="AA104" s="386">
        <f t="shared" si="36"/>
        <v>40.198568932813522</v>
      </c>
      <c r="AB104" s="197">
        <f t="shared" si="37"/>
        <v>43555</v>
      </c>
      <c r="AC104" s="425">
        <f>IF(OR(t&lt;Tnet,NoTnet),'2018'!Resal_s+('2018'!Salim-'2018'!Resal_s)*(1-EXP(('2018'!Tnet_s-t)/'2018'!Tau_j)),Resal_s+(Salim-Resal_s)*(1-EXP((Tnet_s-t)/Tau_j)))*Salcycl</f>
        <v>3.9672374929998956E-2</v>
      </c>
      <c r="AD104" s="231">
        <f>(INDEX(Models!$BJ104:$BT104,,AH104)*(1-AF104)+INDEX(Models!$BJ104:$BT104,,AH104+1)*AF104-ERP_i)*AE104*Ramure*Pc/MaxiM</f>
        <v>4.470774429540551E-3</v>
      </c>
      <c r="AE104" s="305">
        <f t="shared" si="38"/>
        <v>0.8</v>
      </c>
      <c r="AF104" s="177">
        <f t="shared" si="39"/>
        <v>0.62998563792195439</v>
      </c>
      <c r="AG104" s="176">
        <f t="shared" si="40"/>
        <v>0</v>
      </c>
      <c r="AH104" s="176">
        <f t="shared" si="41"/>
        <v>6</v>
      </c>
      <c r="AI104" s="225">
        <f t="shared" si="42"/>
        <v>0.62998563792195439</v>
      </c>
      <c r="AJ104" s="265" t="b">
        <f t="shared" si="43"/>
        <v>0</v>
      </c>
      <c r="AK104" s="265" t="b">
        <f t="shared" si="44"/>
        <v>1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6">
        <v>35.732999999999997</v>
      </c>
      <c r="C105" s="390"/>
      <c r="D105" s="393">
        <f t="shared" si="24"/>
        <v>35.935643653622691</v>
      </c>
      <c r="E105" s="385">
        <f t="shared" si="46"/>
        <v>37.425976518217986</v>
      </c>
      <c r="F105" s="385">
        <f t="shared" si="25"/>
        <v>37.530878252324598</v>
      </c>
      <c r="G105" s="110">
        <f t="shared" si="47"/>
        <v>0.7522654936470986</v>
      </c>
      <c r="H105" s="414" t="b">
        <f>Wh_hp&gt;='2018'!Maxi_hp</f>
        <v>1</v>
      </c>
      <c r="I105" s="390">
        <f>IF(H105,Wh_hp,'2018'!Maxi_hp)</f>
        <v>37.530878252324598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5.6390712123022269E-3</v>
      </c>
      <c r="M105" s="843"/>
      <c r="N105" s="843"/>
      <c r="O105" s="48">
        <f>IF(t&lt;Tnet,'2018'!Resal+('2018'!Salim-'2018'!Resal)*(1-EXP(('2018'!Tnet-t)/('2018'!Tau_j))),Resal+(Salim-Resal)*(1-EXP((Tnet-t)/(Tau_j))))*Salcycl</f>
        <v>3.9820814397984815E-2</v>
      </c>
      <c r="P105" s="169">
        <f>(INDEX(Models!$BJ105:$BT105,,T105)*(1-R105)+INDEX(Models!$BJ105:$BT105,,T105+1)*R105-ERP_i)*Q105*Ramure*Pc/MaxiM</f>
        <v>4.3151619192778766E-3</v>
      </c>
      <c r="Q105" s="305">
        <f t="shared" si="27"/>
        <v>0.8</v>
      </c>
      <c r="R105" s="177">
        <f t="shared" si="28"/>
        <v>0.63120970880509675</v>
      </c>
      <c r="S105" s="809">
        <f t="shared" si="29"/>
        <v>0</v>
      </c>
      <c r="T105" s="176">
        <f t="shared" si="30"/>
        <v>6</v>
      </c>
      <c r="U105" s="251">
        <f t="shared" si="31"/>
        <v>0.63120970880509675</v>
      </c>
      <c r="V105" s="383">
        <f t="shared" si="32"/>
        <v>47.428110020030765</v>
      </c>
      <c r="W105" s="58"/>
      <c r="X105" s="157">
        <f t="shared" si="33"/>
        <v>43556</v>
      </c>
      <c r="Y105" s="385">
        <f t="shared" si="34"/>
        <v>35.732999999999997</v>
      </c>
      <c r="Z105" s="385">
        <f t="shared" si="35"/>
        <v>35.935643653622691</v>
      </c>
      <c r="AA105" s="386">
        <f t="shared" si="36"/>
        <v>37.425976518217986</v>
      </c>
      <c r="AB105" s="197">
        <f t="shared" si="37"/>
        <v>43556</v>
      </c>
      <c r="AC105" s="425">
        <f>IF(OR(t&lt;Tnet,NoTnet),'2018'!Resal_s+('2018'!Salim-'2018'!Resal_s)*(1-EXP(('2018'!Tnet_s-t)/'2018'!Tau_j)),Resal_s+(Salim-Resal_s)*(1-EXP((Tnet_s-t)/Tau_j)))*Salcycl</f>
        <v>3.9820814397984815E-2</v>
      </c>
      <c r="AD105" s="231">
        <f>(INDEX(Models!$BJ105:$BT105,,AH105)*(1-AF105)+INDEX(Models!$BJ105:$BT105,,AH105+1)*AF105-ERP_i)*AE105*Ramure*Pc/MaxiM</f>
        <v>4.3151619192778766E-3</v>
      </c>
      <c r="AE105" s="305">
        <f t="shared" si="38"/>
        <v>0.8</v>
      </c>
      <c r="AF105" s="177">
        <f t="shared" si="39"/>
        <v>0.63120970880509675</v>
      </c>
      <c r="AG105" s="176">
        <f t="shared" si="40"/>
        <v>0</v>
      </c>
      <c r="AH105" s="176">
        <f t="shared" si="41"/>
        <v>6</v>
      </c>
      <c r="AI105" s="225">
        <f t="shared" si="42"/>
        <v>0.63120970880509675</v>
      </c>
      <c r="AJ105" s="265" t="b">
        <f t="shared" si="43"/>
        <v>0</v>
      </c>
      <c r="AK105" s="265" t="b">
        <f t="shared" si="44"/>
        <v>1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6">
        <v>16.574000000000002</v>
      </c>
      <c r="C106" s="390"/>
      <c r="D106" s="393">
        <f t="shared" si="24"/>
        <v>16.66837989137024</v>
      </c>
      <c r="E106" s="385">
        <f t="shared" si="46"/>
        <v>17.362344406098856</v>
      </c>
      <c r="F106" s="385">
        <f t="shared" si="25"/>
        <v>17.367164254108548</v>
      </c>
      <c r="G106" s="110">
        <f t="shared" si="47"/>
        <v>0.34532657787131327</v>
      </c>
      <c r="H106" s="414" t="b">
        <f>Wh_hp&gt;='2018'!Maxi_hp</f>
        <v>1</v>
      </c>
      <c r="I106" s="390">
        <f>IF(H106,Wh_hp,'2018'!Maxi_hp)</f>
        <v>17.367164254108548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5.6622114437829829E-3</v>
      </c>
      <c r="M106" s="843"/>
      <c r="N106" s="843"/>
      <c r="O106" s="48">
        <f>IF(t&lt;Tnet,'2018'!Resal+('2018'!Salim-'2018'!Resal)*(1-EXP(('2018'!Tnet-t)/('2018'!Tau_j))),Resal+(Salim-Resal)*(1-EXP((Tnet-t)/(Tau_j))))*Salcycl</f>
        <v>3.9969516702182621E-2</v>
      </c>
      <c r="P106" s="169">
        <f>(INDEX(Models!$BJ106:$BT106,,T106)*(1-R106)+INDEX(Models!$BJ106:$BT106,,T106+1)*R106-ERP_i)*Q106*Ramure*Pc/MaxiM</f>
        <v>4.1622707851782133E-3</v>
      </c>
      <c r="Q106" s="305">
        <f t="shared" si="27"/>
        <v>0.8</v>
      </c>
      <c r="R106" s="177">
        <f t="shared" si="28"/>
        <v>0.63247955366442399</v>
      </c>
      <c r="S106" s="809">
        <f t="shared" si="29"/>
        <v>0</v>
      </c>
      <c r="T106" s="176">
        <f t="shared" si="30"/>
        <v>6</v>
      </c>
      <c r="U106" s="251">
        <f t="shared" si="31"/>
        <v>0.63247955366442399</v>
      </c>
      <c r="V106" s="383">
        <f t="shared" si="32"/>
        <v>47.808646748212695</v>
      </c>
      <c r="W106" s="58"/>
      <c r="X106" s="157">
        <f t="shared" si="33"/>
        <v>43557</v>
      </c>
      <c r="Y106" s="385">
        <f t="shared" si="34"/>
        <v>16.574000000000002</v>
      </c>
      <c r="Z106" s="385">
        <f t="shared" si="35"/>
        <v>16.66837989137024</v>
      </c>
      <c r="AA106" s="386">
        <f t="shared" si="36"/>
        <v>17.362344406098856</v>
      </c>
      <c r="AB106" s="197">
        <f t="shared" si="37"/>
        <v>43557</v>
      </c>
      <c r="AC106" s="425">
        <f>IF(OR(t&lt;Tnet,NoTnet),'2018'!Resal_s+('2018'!Salim-'2018'!Resal_s)*(1-EXP(('2018'!Tnet_s-t)/'2018'!Tau_j)),Resal_s+(Salim-Resal_s)*(1-EXP((Tnet_s-t)/Tau_j)))*Salcycl</f>
        <v>3.9969516702182621E-2</v>
      </c>
      <c r="AD106" s="231">
        <f>(INDEX(Models!$BJ106:$BT106,,AH106)*(1-AF106)+INDEX(Models!$BJ106:$BT106,,AH106+1)*AF106-ERP_i)*AE106*Ramure*Pc/MaxiM</f>
        <v>4.1622707851782133E-3</v>
      </c>
      <c r="AE106" s="305">
        <f t="shared" si="38"/>
        <v>0.8</v>
      </c>
      <c r="AF106" s="177">
        <f t="shared" si="39"/>
        <v>0.63247955366442399</v>
      </c>
      <c r="AG106" s="176">
        <f t="shared" si="40"/>
        <v>0</v>
      </c>
      <c r="AH106" s="176">
        <f t="shared" si="41"/>
        <v>6</v>
      </c>
      <c r="AI106" s="225">
        <f t="shared" si="42"/>
        <v>0.63247955366442399</v>
      </c>
      <c r="AJ106" s="265" t="b">
        <f t="shared" si="43"/>
        <v>0</v>
      </c>
      <c r="AK106" s="265" t="b">
        <f t="shared" si="44"/>
        <v>1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6">
        <v>15.343999999999999</v>
      </c>
      <c r="C107" s="390"/>
      <c r="D107" s="393">
        <f t="shared" si="24"/>
        <v>15.431734831164489</v>
      </c>
      <c r="E107" s="385">
        <f t="shared" si="46"/>
        <v>16.076708249688355</v>
      </c>
      <c r="F107" s="385">
        <f t="shared" si="25"/>
        <v>16.078410489243044</v>
      </c>
      <c r="G107" s="110">
        <f t="shared" si="47"/>
        <v>0.3172291230244374</v>
      </c>
      <c r="H107" s="414" t="b">
        <f>Wh_hp&gt;='2018'!Maxi_hp</f>
        <v>1</v>
      </c>
      <c r="I107" s="390">
        <f>IF(H107,Wh_hp,'2018'!Maxi_hp)</f>
        <v>16.078410489243044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5.6853511367567222E-3</v>
      </c>
      <c r="M107" s="843"/>
      <c r="N107" s="843"/>
      <c r="O107" s="48">
        <f>IF(t&lt;Tnet,'2018'!Resal+('2018'!Salim-'2018'!Resal)*(1-EXP(('2018'!Tnet-t)/('2018'!Tau_j))),Resal+(Salim-Resal)*(1-EXP((Tnet-t)/(Tau_j))))*Salcycl</f>
        <v>4.0118499913461364E-2</v>
      </c>
      <c r="P107" s="169">
        <f>(INDEX(Models!$BJ107:$BT107,,T107)*(1-R107)+INDEX(Models!$BJ107:$BT107,,T107+1)*R107-ERP_i)*Q107*Ramure*Pc/MaxiM</f>
        <v>4.0117522626478457E-3</v>
      </c>
      <c r="Q107" s="305">
        <f t="shared" si="27"/>
        <v>0.8</v>
      </c>
      <c r="R107" s="177">
        <f t="shared" si="28"/>
        <v>0.63379665543020025</v>
      </c>
      <c r="S107" s="809">
        <f t="shared" si="29"/>
        <v>0</v>
      </c>
      <c r="T107" s="176">
        <f t="shared" si="30"/>
        <v>6</v>
      </c>
      <c r="U107" s="251">
        <f t="shared" si="31"/>
        <v>0.63379665543020025</v>
      </c>
      <c r="V107" s="383">
        <f t="shared" si="32"/>
        <v>48.179882315105267</v>
      </c>
      <c r="W107" s="58"/>
      <c r="X107" s="157">
        <f t="shared" si="33"/>
        <v>43558</v>
      </c>
      <c r="Y107" s="385">
        <f t="shared" si="34"/>
        <v>15.343999999999999</v>
      </c>
      <c r="Z107" s="385">
        <f t="shared" si="35"/>
        <v>15.431734831164489</v>
      </c>
      <c r="AA107" s="386">
        <f t="shared" si="36"/>
        <v>16.076708249688355</v>
      </c>
      <c r="AB107" s="197">
        <f t="shared" si="37"/>
        <v>43558</v>
      </c>
      <c r="AC107" s="425">
        <f>IF(OR(t&lt;Tnet,NoTnet),'2018'!Resal_s+('2018'!Salim-'2018'!Resal_s)*(1-EXP(('2018'!Tnet_s-t)/'2018'!Tau_j)),Resal_s+(Salim-Resal_s)*(1-EXP((Tnet_s-t)/Tau_j)))*Salcycl</f>
        <v>4.0118499913461364E-2</v>
      </c>
      <c r="AD107" s="231">
        <f>(INDEX(Models!$BJ107:$BT107,,AH107)*(1-AF107)+INDEX(Models!$BJ107:$BT107,,AH107+1)*AF107-ERP_i)*AE107*Ramure*Pc/MaxiM</f>
        <v>4.0117522626478457E-3</v>
      </c>
      <c r="AE107" s="305">
        <f t="shared" si="38"/>
        <v>0.8</v>
      </c>
      <c r="AF107" s="177">
        <f t="shared" si="39"/>
        <v>0.63379665543020025</v>
      </c>
      <c r="AG107" s="176">
        <f t="shared" si="40"/>
        <v>0</v>
      </c>
      <c r="AH107" s="176">
        <f t="shared" si="41"/>
        <v>6</v>
      </c>
      <c r="AI107" s="225">
        <f t="shared" si="42"/>
        <v>0.63379665543020025</v>
      </c>
      <c r="AJ107" s="265" t="b">
        <f t="shared" si="43"/>
        <v>0</v>
      </c>
      <c r="AK107" s="265" t="b">
        <f t="shared" si="44"/>
        <v>1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6">
        <v>39.715000000000003</v>
      </c>
      <c r="C108" s="390"/>
      <c r="D108" s="393">
        <f t="shared" si="24"/>
        <v>39.943014309387841</v>
      </c>
      <c r="E108" s="385">
        <f t="shared" si="46"/>
        <v>41.618915733023236</v>
      </c>
      <c r="F108" s="385">
        <f t="shared" si="25"/>
        <v>41.738232203060576</v>
      </c>
      <c r="G108" s="110">
        <f t="shared" si="47"/>
        <v>0.81729636629476898</v>
      </c>
      <c r="H108" s="414" t="b">
        <f>Wh_hp&gt;='2018'!Maxi_hp</f>
        <v>1</v>
      </c>
      <c r="I108" s="390">
        <f>IF(H108,Wh_hp,'2018'!Maxi_hp)</f>
        <v>41.738232203060576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5.7084902912359903E-3</v>
      </c>
      <c r="M108" s="843"/>
      <c r="N108" s="843"/>
      <c r="O108" s="48">
        <f>IF(t&lt;Tnet,'2018'!Resal+('2018'!Salim-'2018'!Resal)*(1-EXP(('2018'!Tnet-t)/('2018'!Tau_j))),Resal+(Salim-Resal)*(1-EXP((Tnet-t)/(Tau_j))))*Salcycl</f>
        <v>4.0267781947659412E-2</v>
      </c>
      <c r="P108" s="169">
        <f>(INDEX(Models!$BJ108:$BT108,,T108)*(1-R108)+INDEX(Models!$BJ108:$BT108,,T108+1)*R108-ERP_i)*Q108*Ramure*Pc/MaxiM</f>
        <v>3.862195650241965E-3</v>
      </c>
      <c r="Q108" s="305">
        <f t="shared" si="27"/>
        <v>0.8</v>
      </c>
      <c r="R108" s="177">
        <f t="shared" si="28"/>
        <v>0.63516252667202344</v>
      </c>
      <c r="S108" s="809">
        <f t="shared" si="29"/>
        <v>0</v>
      </c>
      <c r="T108" s="176">
        <f t="shared" si="30"/>
        <v>6</v>
      </c>
      <c r="U108" s="251">
        <f t="shared" si="31"/>
        <v>0.63516252667202344</v>
      </c>
      <c r="V108" s="383">
        <f t="shared" si="32"/>
        <v>48.544240454270728</v>
      </c>
      <c r="W108" s="58"/>
      <c r="X108" s="157">
        <f t="shared" si="33"/>
        <v>43559</v>
      </c>
      <c r="Y108" s="385">
        <f t="shared" si="34"/>
        <v>39.715000000000003</v>
      </c>
      <c r="Z108" s="385">
        <f t="shared" si="35"/>
        <v>39.943014309387841</v>
      </c>
      <c r="AA108" s="386">
        <f t="shared" si="36"/>
        <v>41.618915733023236</v>
      </c>
      <c r="AB108" s="197">
        <f t="shared" si="37"/>
        <v>43559</v>
      </c>
      <c r="AC108" s="425">
        <f>IF(OR(t&lt;Tnet,NoTnet),'2018'!Resal_s+('2018'!Salim-'2018'!Resal_s)*(1-EXP(('2018'!Tnet_s-t)/'2018'!Tau_j)),Resal_s+(Salim-Resal_s)*(1-EXP((Tnet_s-t)/Tau_j)))*Salcycl</f>
        <v>4.0267781947659412E-2</v>
      </c>
      <c r="AD108" s="231">
        <f>(INDEX(Models!$BJ108:$BT108,,AH108)*(1-AF108)+INDEX(Models!$BJ108:$BT108,,AH108+1)*AF108-ERP_i)*AE108*Ramure*Pc/MaxiM</f>
        <v>3.862195650241965E-3</v>
      </c>
      <c r="AE108" s="305">
        <f t="shared" si="38"/>
        <v>0.8</v>
      </c>
      <c r="AF108" s="177">
        <f t="shared" si="39"/>
        <v>0.63516252667202344</v>
      </c>
      <c r="AG108" s="176">
        <f t="shared" si="40"/>
        <v>0</v>
      </c>
      <c r="AH108" s="176">
        <f t="shared" si="41"/>
        <v>6</v>
      </c>
      <c r="AI108" s="225">
        <f t="shared" si="42"/>
        <v>0.63516252667202344</v>
      </c>
      <c r="AJ108" s="265" t="b">
        <f t="shared" si="43"/>
        <v>0</v>
      </c>
      <c r="AK108" s="265" t="b">
        <f t="shared" si="44"/>
        <v>1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6">
        <v>44.771000000000001</v>
      </c>
      <c r="C109" s="390"/>
      <c r="D109" s="393">
        <f t="shared" si="24"/>
        <v>45.029090034105892</v>
      </c>
      <c r="E109" s="385">
        <f t="shared" si="46"/>
        <v>46.925704072238972</v>
      </c>
      <c r="F109" s="385">
        <f t="shared" si="25"/>
        <v>47.079549248501721</v>
      </c>
      <c r="G109" s="110">
        <f t="shared" si="47"/>
        <v>0.91511869550185798</v>
      </c>
      <c r="H109" s="414" t="b">
        <f>Wh_hp&gt;='2018'!Maxi_hp</f>
        <v>1</v>
      </c>
      <c r="I109" s="390">
        <f>IF(H109,Wh_hp,'2018'!Maxi_hp)</f>
        <v>47.079549248501721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5.7316289072333326E-3</v>
      </c>
      <c r="M109" s="843"/>
      <c r="N109" s="843"/>
      <c r="O109" s="48">
        <f>IF(t&lt;Tnet,'2018'!Resal+('2018'!Salim-'2018'!Resal)*(1-EXP(('2018'!Tnet-t)/('2018'!Tau_j))),Resal+(Salim-Resal)*(1-EXP((Tnet-t)/(Tau_j))))*Salcycl</f>
        <v>4.0417380530154014E-2</v>
      </c>
      <c r="P109" s="169">
        <f>(INDEX(Models!$BJ109:$BT109,,T109)*(1-R109)+INDEX(Models!$BJ109:$BT109,,T109+1)*R109-ERP_i)*Q109*Ramure*Pc/MaxiM</f>
        <v>3.7162077111375629E-3</v>
      </c>
      <c r="Q109" s="305">
        <f t="shared" si="27"/>
        <v>0.8</v>
      </c>
      <c r="R109" s="177">
        <f t="shared" si="28"/>
        <v>0.63657870862564592</v>
      </c>
      <c r="S109" s="809">
        <f t="shared" si="29"/>
        <v>0</v>
      </c>
      <c r="T109" s="176">
        <f t="shared" si="30"/>
        <v>6</v>
      </c>
      <c r="U109" s="251">
        <f t="shared" si="31"/>
        <v>0.63657870862564592</v>
      </c>
      <c r="V109" s="383">
        <f t="shared" si="32"/>
        <v>48.901697046457095</v>
      </c>
      <c r="W109" s="58"/>
      <c r="X109" s="157">
        <f t="shared" si="33"/>
        <v>43560</v>
      </c>
      <c r="Y109" s="385">
        <f t="shared" si="34"/>
        <v>44.771000000000001</v>
      </c>
      <c r="Z109" s="385">
        <f t="shared" si="35"/>
        <v>45.029090034105892</v>
      </c>
      <c r="AA109" s="386">
        <f t="shared" si="36"/>
        <v>46.925704072238972</v>
      </c>
      <c r="AB109" s="197">
        <f t="shared" si="37"/>
        <v>43560</v>
      </c>
      <c r="AC109" s="425">
        <f>IF(OR(t&lt;Tnet,NoTnet),'2018'!Resal_s+('2018'!Salim-'2018'!Resal_s)*(1-EXP(('2018'!Tnet_s-t)/'2018'!Tau_j)),Resal_s+(Salim-Resal_s)*(1-EXP((Tnet_s-t)/Tau_j)))*Salcycl</f>
        <v>4.0417380530154014E-2</v>
      </c>
      <c r="AD109" s="231">
        <f>(INDEX(Models!$BJ109:$BT109,,AH109)*(1-AF109)+INDEX(Models!$BJ109:$BT109,,AH109+1)*AF109-ERP_i)*AE109*Ramure*Pc/MaxiM</f>
        <v>3.7162077111375629E-3</v>
      </c>
      <c r="AE109" s="305">
        <f t="shared" si="38"/>
        <v>0.8</v>
      </c>
      <c r="AF109" s="177">
        <f t="shared" si="39"/>
        <v>0.63657870862564592</v>
      </c>
      <c r="AG109" s="176">
        <f t="shared" si="40"/>
        <v>0</v>
      </c>
      <c r="AH109" s="176">
        <f t="shared" si="41"/>
        <v>6</v>
      </c>
      <c r="AI109" s="225">
        <f t="shared" si="42"/>
        <v>0.63657870862564592</v>
      </c>
      <c r="AJ109" s="265" t="b">
        <f t="shared" si="43"/>
        <v>0</v>
      </c>
      <c r="AK109" s="265" t="b">
        <f t="shared" si="44"/>
        <v>1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6">
        <v>20.440999999999999</v>
      </c>
      <c r="C110" s="390"/>
      <c r="D110" s="393">
        <f t="shared" si="24"/>
        <v>20.559314061792136</v>
      </c>
      <c r="E110" s="385">
        <f t="shared" si="46"/>
        <v>21.42861541389502</v>
      </c>
      <c r="F110" s="385">
        <f t="shared" si="25"/>
        <v>21.441206174572471</v>
      </c>
      <c r="G110" s="110">
        <f t="shared" si="47"/>
        <v>0.41378562423519732</v>
      </c>
      <c r="H110" s="414" t="b">
        <f>Wh_hp&gt;='2018'!Maxi_hp</f>
        <v>1</v>
      </c>
      <c r="I110" s="390">
        <f>IF(H110,Wh_hp,'2018'!Maxi_hp)</f>
        <v>21.441206174572471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5.7547669847611838E-3</v>
      </c>
      <c r="M110" s="843"/>
      <c r="N110" s="843"/>
      <c r="O110" s="48">
        <f>IF(t&lt;Tnet,'2018'!Resal+('2018'!Salim-'2018'!Resal)*(1-EXP(('2018'!Tnet-t)/('2018'!Tau_j))),Resal+(Salim-Resal)*(1-EXP((Tnet-t)/(Tau_j))))*Salcycl</f>
        <v>4.0567313161036088E-2</v>
      </c>
      <c r="P110" s="169">
        <f>(INDEX(Models!$BJ110:$BT110,,T110)*(1-R110)+INDEX(Models!$BJ110:$BT110,,T110+1)*R110-ERP_i)*Q110*Ramure*Pc/MaxiM</f>
        <v>3.5735974371122127E-3</v>
      </c>
      <c r="Q110" s="305">
        <f t="shared" si="27"/>
        <v>0.8</v>
      </c>
      <c r="R110" s="177">
        <f t="shared" si="28"/>
        <v>0.63804677005329413</v>
      </c>
      <c r="S110" s="809">
        <f t="shared" si="29"/>
        <v>0</v>
      </c>
      <c r="T110" s="176">
        <f t="shared" si="30"/>
        <v>6</v>
      </c>
      <c r="U110" s="251">
        <f t="shared" si="31"/>
        <v>0.63804677005329413</v>
      </c>
      <c r="V110" s="383">
        <f t="shared" si="32"/>
        <v>49.25236269796919</v>
      </c>
      <c r="W110" s="58"/>
      <c r="X110" s="157">
        <f t="shared" si="33"/>
        <v>43561</v>
      </c>
      <c r="Y110" s="385">
        <f t="shared" si="34"/>
        <v>20.440999999999999</v>
      </c>
      <c r="Z110" s="385">
        <f t="shared" si="35"/>
        <v>20.559314061792136</v>
      </c>
      <c r="AA110" s="386">
        <f t="shared" si="36"/>
        <v>21.42861541389502</v>
      </c>
      <c r="AB110" s="197">
        <f t="shared" si="37"/>
        <v>43561</v>
      </c>
      <c r="AC110" s="425">
        <f>IF(OR(t&lt;Tnet,NoTnet),'2018'!Resal_s+('2018'!Salim-'2018'!Resal_s)*(1-EXP(('2018'!Tnet_s-t)/'2018'!Tau_j)),Resal_s+(Salim-Resal_s)*(1-EXP((Tnet_s-t)/Tau_j)))*Salcycl</f>
        <v>4.0567313161036088E-2</v>
      </c>
      <c r="AD110" s="231">
        <f>(INDEX(Models!$BJ110:$BT110,,AH110)*(1-AF110)+INDEX(Models!$BJ110:$BT110,,AH110+1)*AF110-ERP_i)*AE110*Ramure*Pc/MaxiM</f>
        <v>3.5735974371122127E-3</v>
      </c>
      <c r="AE110" s="305">
        <f t="shared" si="38"/>
        <v>0.8</v>
      </c>
      <c r="AF110" s="177">
        <f t="shared" si="39"/>
        <v>0.63804677005329413</v>
      </c>
      <c r="AG110" s="176">
        <f t="shared" si="40"/>
        <v>0</v>
      </c>
      <c r="AH110" s="176">
        <f t="shared" si="41"/>
        <v>6</v>
      </c>
      <c r="AI110" s="225">
        <f t="shared" si="42"/>
        <v>0.63804677005329413</v>
      </c>
      <c r="AJ110" s="265" t="b">
        <f t="shared" si="43"/>
        <v>0</v>
      </c>
      <c r="AK110" s="265" t="b">
        <f t="shared" si="44"/>
        <v>1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6">
        <v>35.639000000000003</v>
      </c>
      <c r="C111" s="390"/>
      <c r="D111" s="393">
        <f t="shared" si="24"/>
        <v>35.846115432519369</v>
      </c>
      <c r="E111" s="385">
        <f t="shared" si="46"/>
        <v>37.367635769647514</v>
      </c>
      <c r="F111" s="385">
        <f t="shared" si="25"/>
        <v>37.4445298925624</v>
      </c>
      <c r="G111" s="110">
        <f t="shared" si="47"/>
        <v>0.71758699492847045</v>
      </c>
      <c r="H111" s="414" t="b">
        <f>Wh_hp&gt;='2018'!Maxi_hp</f>
        <v>1</v>
      </c>
      <c r="I111" s="390">
        <f>IF(H111,Wh_hp,'2018'!Maxi_hp)</f>
        <v>37.4445298925624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5.7779045238323112E-3</v>
      </c>
      <c r="M111" s="843"/>
      <c r="N111" s="843"/>
      <c r="O111" s="48">
        <f>IF(t&lt;Tnet,'2018'!Resal+('2018'!Salim-'2018'!Resal)*(1-EXP(('2018'!Tnet-t)/('2018'!Tau_j))),Resal+(Salim-Resal)*(1-EXP((Tnet-t)/(Tau_j))))*Salcycl</f>
        <v>4.0717597080734337E-2</v>
      </c>
      <c r="P111" s="169">
        <f>(INDEX(Models!$BJ111:$BT111,,T111)*(1-R111)+INDEX(Models!$BJ111:$BT111,,T111+1)*R111-ERP_i)*Q111*Ramure*Pc/MaxiM</f>
        <v>3.4341807971035036E-3</v>
      </c>
      <c r="Q111" s="305">
        <f t="shared" si="27"/>
        <v>0.8</v>
      </c>
      <c r="R111" s="177">
        <f t="shared" si="28"/>
        <v>0.63956830592643299</v>
      </c>
      <c r="S111" s="809">
        <f t="shared" si="29"/>
        <v>0</v>
      </c>
      <c r="T111" s="176">
        <f t="shared" si="30"/>
        <v>6</v>
      </c>
      <c r="U111" s="251">
        <f t="shared" si="31"/>
        <v>0.63956830592643299</v>
      </c>
      <c r="V111" s="383">
        <f t="shared" si="32"/>
        <v>49.596348055412427</v>
      </c>
      <c r="W111" s="58"/>
      <c r="X111" s="157">
        <f t="shared" si="33"/>
        <v>43562</v>
      </c>
      <c r="Y111" s="385">
        <f t="shared" si="34"/>
        <v>35.639000000000003</v>
      </c>
      <c r="Z111" s="385">
        <f t="shared" si="35"/>
        <v>35.846115432519369</v>
      </c>
      <c r="AA111" s="386">
        <f t="shared" si="36"/>
        <v>37.367635769647514</v>
      </c>
      <c r="AB111" s="197">
        <f t="shared" si="37"/>
        <v>43562</v>
      </c>
      <c r="AC111" s="425">
        <f>IF(OR(t&lt;Tnet,NoTnet),'2018'!Resal_s+('2018'!Salim-'2018'!Resal_s)*(1-EXP(('2018'!Tnet_s-t)/'2018'!Tau_j)),Resal_s+(Salim-Resal_s)*(1-EXP((Tnet_s-t)/Tau_j)))*Salcycl</f>
        <v>4.0717597080734337E-2</v>
      </c>
      <c r="AD111" s="231">
        <f>(INDEX(Models!$BJ111:$BT111,,AH111)*(1-AF111)+INDEX(Models!$BJ111:$BT111,,AH111+1)*AF111-ERP_i)*AE111*Ramure*Pc/MaxiM</f>
        <v>3.4341807971035036E-3</v>
      </c>
      <c r="AE111" s="305">
        <f t="shared" si="38"/>
        <v>0.8</v>
      </c>
      <c r="AF111" s="177">
        <f t="shared" si="39"/>
        <v>0.63956830592643299</v>
      </c>
      <c r="AG111" s="176">
        <f t="shared" si="40"/>
        <v>0</v>
      </c>
      <c r="AH111" s="176">
        <f t="shared" si="41"/>
        <v>6</v>
      </c>
      <c r="AI111" s="225">
        <f t="shared" si="42"/>
        <v>0.63956830592643299</v>
      </c>
      <c r="AJ111" s="265" t="b">
        <f t="shared" si="43"/>
        <v>0</v>
      </c>
      <c r="AK111" s="265" t="b">
        <f t="shared" si="44"/>
        <v>1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6">
        <v>31.853999999999999</v>
      </c>
      <c r="C112" s="390"/>
      <c r="D112" s="393">
        <f t="shared" si="24"/>
        <v>32.039864584895021</v>
      </c>
      <c r="E112" s="385">
        <f t="shared" si="46"/>
        <v>33.405071367276285</v>
      </c>
      <c r="F112" s="385">
        <f t="shared" si="25"/>
        <v>33.45833716583499</v>
      </c>
      <c r="G112" s="110">
        <f t="shared" si="47"/>
        <v>0.63683518186473964</v>
      </c>
      <c r="H112" s="414" t="b">
        <f>Wh_hp&gt;='2018'!Maxi_hp</f>
        <v>1</v>
      </c>
      <c r="I112" s="390">
        <f>IF(H112,Wh_hp,'2018'!Maxi_hp)</f>
        <v>33.45833716583499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5.8010415244590385E-3</v>
      </c>
      <c r="M112" s="843"/>
      <c r="N112" s="843"/>
      <c r="O112" s="48">
        <f>IF(t&lt;Tnet,'2018'!Resal+('2018'!Salim-'2018'!Resal)*(1-EXP(('2018'!Tnet-t)/('2018'!Tau_j))),Resal+(Salim-Resal)*(1-EXP((Tnet-t)/(Tau_j))))*Salcycl</f>
        <v>4.0868249235911681E-2</v>
      </c>
      <c r="P112" s="169">
        <f>(INDEX(Models!$BJ112:$BT112,,T112)*(1-R112)+INDEX(Models!$BJ112:$BT112,,T112+1)*R112-ERP_i)*Q112*Ramure*Pc/MaxiM</f>
        <v>3.2977802347931868E-3</v>
      </c>
      <c r="Q112" s="305">
        <f t="shared" si="27"/>
        <v>0.8</v>
      </c>
      <c r="R112" s="177">
        <f t="shared" si="28"/>
        <v>0.64114493591972521</v>
      </c>
      <c r="S112" s="809">
        <f t="shared" si="29"/>
        <v>0</v>
      </c>
      <c r="T112" s="176">
        <f t="shared" si="30"/>
        <v>6</v>
      </c>
      <c r="U112" s="251">
        <f t="shared" si="31"/>
        <v>0.64114493591972521</v>
      </c>
      <c r="V112" s="383">
        <f t="shared" si="32"/>
        <v>49.933763807316751</v>
      </c>
      <c r="W112" s="58"/>
      <c r="X112" s="157">
        <f t="shared" si="33"/>
        <v>43563</v>
      </c>
      <c r="Y112" s="385">
        <f t="shared" si="34"/>
        <v>31.853999999999999</v>
      </c>
      <c r="Z112" s="385">
        <f t="shared" si="35"/>
        <v>32.039864584895021</v>
      </c>
      <c r="AA112" s="386">
        <f t="shared" si="36"/>
        <v>33.405071367276285</v>
      </c>
      <c r="AB112" s="197">
        <f t="shared" si="37"/>
        <v>43563</v>
      </c>
      <c r="AC112" s="425">
        <f>IF(OR(t&lt;Tnet,NoTnet),'2018'!Resal_s+('2018'!Salim-'2018'!Resal_s)*(1-EXP(('2018'!Tnet_s-t)/'2018'!Tau_j)),Resal_s+(Salim-Resal_s)*(1-EXP((Tnet_s-t)/Tau_j)))*Salcycl</f>
        <v>4.0868249235911681E-2</v>
      </c>
      <c r="AD112" s="231">
        <f>(INDEX(Models!$BJ112:$BT112,,AH112)*(1-AF112)+INDEX(Models!$BJ112:$BT112,,AH112+1)*AF112-ERP_i)*AE112*Ramure*Pc/MaxiM</f>
        <v>3.2977802347931868E-3</v>
      </c>
      <c r="AE112" s="305">
        <f t="shared" si="38"/>
        <v>0.8</v>
      </c>
      <c r="AF112" s="177">
        <f t="shared" si="39"/>
        <v>0.64114493591972521</v>
      </c>
      <c r="AG112" s="176">
        <f t="shared" si="40"/>
        <v>0</v>
      </c>
      <c r="AH112" s="176">
        <f t="shared" si="41"/>
        <v>6</v>
      </c>
      <c r="AI112" s="225">
        <f t="shared" si="42"/>
        <v>0.64114493591972521</v>
      </c>
      <c r="AJ112" s="265" t="b">
        <f t="shared" si="43"/>
        <v>0</v>
      </c>
      <c r="AK112" s="265" t="b">
        <f t="shared" si="44"/>
        <v>1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6">
        <v>40.499000000000002</v>
      </c>
      <c r="C113" s="390"/>
      <c r="D113" s="393">
        <f t="shared" si="24"/>
        <v>40.736255200799214</v>
      </c>
      <c r="E113" s="385">
        <f t="shared" si="46"/>
        <v>42.47870120485576</v>
      </c>
      <c r="F113" s="385">
        <f t="shared" si="25"/>
        <v>42.576029592748895</v>
      </c>
      <c r="G113" s="110">
        <f t="shared" si="47"/>
        <v>0.80500498860458103</v>
      </c>
      <c r="H113" s="414" t="b">
        <f>Wh_hp&gt;='2018'!Maxi_hp</f>
        <v>1</v>
      </c>
      <c r="I113" s="390">
        <f>IF(H113,Wh_hp,'2018'!Maxi_hp)</f>
        <v>42.576029592748895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5.8241779866539112E-3</v>
      </c>
      <c r="M113" s="843"/>
      <c r="N113" s="843"/>
      <c r="O113" s="48">
        <f>IF(t&lt;Tnet,'2018'!Resal+('2018'!Salim-'2018'!Resal)*(1-EXP(('2018'!Tnet-t)/('2018'!Tau_j))),Resal+(Salim-Resal)*(1-EXP((Tnet-t)/(Tau_j))))*Salcycl</f>
        <v>4.101928624544126E-2</v>
      </c>
      <c r="P113" s="169">
        <f>(INDEX(Models!$BJ113:$BT113,,T113)*(1-R113)+INDEX(Models!$BJ113:$BT113,,T113+1)*R113-ERP_i)*Q113*Ramure*Pc/MaxiM</f>
        <v>3.1642242109724719E-3</v>
      </c>
      <c r="Q113" s="305">
        <f t="shared" si="27"/>
        <v>0.8</v>
      </c>
      <c r="R113" s="177">
        <f t="shared" si="28"/>
        <v>0.64277830270480452</v>
      </c>
      <c r="S113" s="809">
        <f t="shared" si="29"/>
        <v>0</v>
      </c>
      <c r="T113" s="176">
        <f t="shared" si="30"/>
        <v>6</v>
      </c>
      <c r="U113" s="251">
        <f t="shared" si="31"/>
        <v>0.64277830270480452</v>
      </c>
      <c r="V113" s="383">
        <f t="shared" si="32"/>
        <v>50.264720693063026</v>
      </c>
      <c r="W113" s="58"/>
      <c r="X113" s="157">
        <f t="shared" si="33"/>
        <v>43564</v>
      </c>
      <c r="Y113" s="385">
        <f t="shared" si="34"/>
        <v>40.499000000000002</v>
      </c>
      <c r="Z113" s="385">
        <f t="shared" si="35"/>
        <v>40.736255200799214</v>
      </c>
      <c r="AA113" s="386">
        <f t="shared" si="36"/>
        <v>42.47870120485576</v>
      </c>
      <c r="AB113" s="197">
        <f t="shared" si="37"/>
        <v>43564</v>
      </c>
      <c r="AC113" s="425">
        <f>IF(OR(t&lt;Tnet,NoTnet),'2018'!Resal_s+('2018'!Salim-'2018'!Resal_s)*(1-EXP(('2018'!Tnet_s-t)/'2018'!Tau_j)),Resal_s+(Salim-Resal_s)*(1-EXP((Tnet_s-t)/Tau_j)))*Salcycl</f>
        <v>4.101928624544126E-2</v>
      </c>
      <c r="AD113" s="231">
        <f>(INDEX(Models!$BJ113:$BT113,,AH113)*(1-AF113)+INDEX(Models!$BJ113:$BT113,,AH113+1)*AF113-ERP_i)*AE113*Ramure*Pc/MaxiM</f>
        <v>3.1642242109724719E-3</v>
      </c>
      <c r="AE113" s="305">
        <f t="shared" si="38"/>
        <v>0.8</v>
      </c>
      <c r="AF113" s="177">
        <f t="shared" si="39"/>
        <v>0.64277830270480452</v>
      </c>
      <c r="AG113" s="176">
        <f t="shared" si="40"/>
        <v>0</v>
      </c>
      <c r="AH113" s="176">
        <f t="shared" si="41"/>
        <v>6</v>
      </c>
      <c r="AI113" s="225">
        <f t="shared" si="42"/>
        <v>0.64277830270480452</v>
      </c>
      <c r="AJ113" s="265" t="b">
        <f t="shared" si="43"/>
        <v>0</v>
      </c>
      <c r="AK113" s="265" t="b">
        <f t="shared" si="44"/>
        <v>1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6">
        <v>33.017000000000003</v>
      </c>
      <c r="C114" s="390"/>
      <c r="D114" s="393">
        <f t="shared" si="24"/>
        <v>33.211196290048811</v>
      </c>
      <c r="E114" s="385">
        <f t="shared" si="46"/>
        <v>34.637236402797271</v>
      </c>
      <c r="F114" s="385">
        <f t="shared" si="25"/>
        <v>34.690270224786346</v>
      </c>
      <c r="G114" s="110">
        <f t="shared" si="47"/>
        <v>0.65166405685571849</v>
      </c>
      <c r="H114" s="414" t="b">
        <f>Wh_hp&gt;='2018'!Maxi_hp</f>
        <v>1</v>
      </c>
      <c r="I114" s="390">
        <f>IF(H114,Wh_hp,'2018'!Maxi_hp)</f>
        <v>34.690270224786346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5.8473139104295857E-3</v>
      </c>
      <c r="M114" s="843"/>
      <c r="N114" s="843"/>
      <c r="O114" s="48">
        <f>IF(t&lt;Tnet,'2018'!Resal+('2018'!Salim-'2018'!Resal)*(1-EXP(('2018'!Tnet-t)/('2018'!Tau_j))),Resal+(Salim-Resal)*(1-EXP((Tnet-t)/(Tau_j))))*Salcycl</f>
        <v>4.1170724366257204E-2</v>
      </c>
      <c r="P114" s="169">
        <f>(INDEX(Models!$BJ114:$BT114,,T114)*(1-R114)+INDEX(Models!$BJ114:$BT114,,T114+1)*R114-ERP_i)*Q114*Ramure*Pc/MaxiM</f>
        <v>3.0345999743316625E-3</v>
      </c>
      <c r="Q114" s="305">
        <f t="shared" si="27"/>
        <v>0.8</v>
      </c>
      <c r="R114" s="177">
        <f t="shared" si="28"/>
        <v>0.64447007003241552</v>
      </c>
      <c r="S114" s="809">
        <f t="shared" si="29"/>
        <v>0</v>
      </c>
      <c r="T114" s="176">
        <f t="shared" si="30"/>
        <v>6</v>
      </c>
      <c r="U114" s="251">
        <f t="shared" si="31"/>
        <v>0.64447007003241552</v>
      </c>
      <c r="V114" s="383">
        <f t="shared" si="32"/>
        <v>50.589265896346113</v>
      </c>
      <c r="W114" s="58"/>
      <c r="X114" s="157">
        <f t="shared" si="33"/>
        <v>43565</v>
      </c>
      <c r="Y114" s="385">
        <f t="shared" si="34"/>
        <v>33.017000000000003</v>
      </c>
      <c r="Z114" s="385">
        <f t="shared" si="35"/>
        <v>33.211196290048811</v>
      </c>
      <c r="AA114" s="386">
        <f t="shared" si="36"/>
        <v>34.637236402797271</v>
      </c>
      <c r="AB114" s="197">
        <f t="shared" si="37"/>
        <v>43565</v>
      </c>
      <c r="AC114" s="425">
        <f>IF(OR(t&lt;Tnet,NoTnet),'2018'!Resal_s+('2018'!Salim-'2018'!Resal_s)*(1-EXP(('2018'!Tnet_s-t)/'2018'!Tau_j)),Resal_s+(Salim-Resal_s)*(1-EXP((Tnet_s-t)/Tau_j)))*Salcycl</f>
        <v>4.1170724366257204E-2</v>
      </c>
      <c r="AD114" s="231">
        <f>(INDEX(Models!$BJ114:$BT114,,AH114)*(1-AF114)+INDEX(Models!$BJ114:$BT114,,AH114+1)*AF114-ERP_i)*AE114*Ramure*Pc/MaxiM</f>
        <v>3.0345999743316625E-3</v>
      </c>
      <c r="AE114" s="305">
        <f t="shared" si="38"/>
        <v>0.8</v>
      </c>
      <c r="AF114" s="177">
        <f t="shared" si="39"/>
        <v>0.64447007003241552</v>
      </c>
      <c r="AG114" s="176">
        <f t="shared" si="40"/>
        <v>0</v>
      </c>
      <c r="AH114" s="176">
        <f t="shared" si="41"/>
        <v>6</v>
      </c>
      <c r="AI114" s="225">
        <f t="shared" si="42"/>
        <v>0.64447007003241552</v>
      </c>
      <c r="AJ114" s="265" t="b">
        <f t="shared" si="43"/>
        <v>0</v>
      </c>
      <c r="AK114" s="265" t="b">
        <f t="shared" si="44"/>
        <v>1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6">
        <v>11.307</v>
      </c>
      <c r="C115" s="390"/>
      <c r="D115" s="393">
        <f t="shared" si="24"/>
        <v>11.373769135009189</v>
      </c>
      <c r="E115" s="385">
        <f t="shared" si="46"/>
        <v>11.864021089168018</v>
      </c>
      <c r="F115" s="385">
        <f t="shared" si="25"/>
        <v>11.864021089168018</v>
      </c>
      <c r="G115" s="110">
        <f t="shared" si="47"/>
        <v>0.22146262912420295</v>
      </c>
      <c r="H115" s="414" t="b">
        <f>Wh_hp&gt;='2018'!Maxi_hp</f>
        <v>1</v>
      </c>
      <c r="I115" s="390">
        <f>IF(H115,Wh_hp,'2018'!Maxi_hp)</f>
        <v>11.864021089168018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5.8704492957984966E-3</v>
      </c>
      <c r="M115" s="843"/>
      <c r="N115" s="843"/>
      <c r="O115" s="48">
        <f>IF(t&lt;Tnet,'2018'!Resal+('2018'!Salim-'2018'!Resal)*(1-EXP(('2018'!Tnet-t)/('2018'!Tau_j))),Resal+(Salim-Resal)*(1-EXP((Tnet-t)/(Tau_j))))*Salcycl</f>
        <v>4.132257945886781E-2</v>
      </c>
      <c r="P115" s="169">
        <f>(INDEX(Models!$BJ115:$BT115,,T115)*(1-R115)+INDEX(Models!$BJ115:$BT115,,T115+1)*R115-ERP_i)*Q115*Ramure*Pc/MaxiM</f>
        <v>2.9066019835353061E-3</v>
      </c>
      <c r="Q115" s="305">
        <f t="shared" si="27"/>
        <v>0.8</v>
      </c>
      <c r="R115" s="177">
        <f t="shared" si="28"/>
        <v>0.64622192059149208</v>
      </c>
      <c r="S115" s="809">
        <f t="shared" si="29"/>
        <v>0</v>
      </c>
      <c r="T115" s="176">
        <f t="shared" si="30"/>
        <v>6</v>
      </c>
      <c r="U115" s="251">
        <f t="shared" si="31"/>
        <v>0.64622192059149208</v>
      </c>
      <c r="V115" s="383">
        <f t="shared" si="32"/>
        <v>50.907618571841695</v>
      </c>
      <c r="W115" s="58"/>
      <c r="X115" s="157">
        <f t="shared" si="33"/>
        <v>43566</v>
      </c>
      <c r="Y115" s="385">
        <f t="shared" si="34"/>
        <v>11.307</v>
      </c>
      <c r="Z115" s="385">
        <f t="shared" si="35"/>
        <v>11.373769135009189</v>
      </c>
      <c r="AA115" s="386">
        <f t="shared" si="36"/>
        <v>11.864021089168018</v>
      </c>
      <c r="AB115" s="197">
        <f t="shared" si="37"/>
        <v>43566</v>
      </c>
      <c r="AC115" s="425">
        <f>IF(OR(t&lt;Tnet,NoTnet),'2018'!Resal_s+('2018'!Salim-'2018'!Resal_s)*(1-EXP(('2018'!Tnet_s-t)/'2018'!Tau_j)),Resal_s+(Salim-Resal_s)*(1-EXP((Tnet_s-t)/Tau_j)))*Salcycl</f>
        <v>4.132257945886781E-2</v>
      </c>
      <c r="AD115" s="231">
        <f>(INDEX(Models!$BJ115:$BT115,,AH115)*(1-AF115)+INDEX(Models!$BJ115:$BT115,,AH115+1)*AF115-ERP_i)*AE115*Ramure*Pc/MaxiM</f>
        <v>2.9066019835353061E-3</v>
      </c>
      <c r="AE115" s="305">
        <f t="shared" si="38"/>
        <v>0.8</v>
      </c>
      <c r="AF115" s="177">
        <f t="shared" si="39"/>
        <v>0.64622192059149208</v>
      </c>
      <c r="AG115" s="176">
        <f t="shared" si="40"/>
        <v>0</v>
      </c>
      <c r="AH115" s="176">
        <f t="shared" si="41"/>
        <v>6</v>
      </c>
      <c r="AI115" s="225">
        <f t="shared" si="42"/>
        <v>0.64622192059149208</v>
      </c>
      <c r="AJ115" s="265" t="b">
        <f t="shared" si="43"/>
        <v>0</v>
      </c>
      <c r="AK115" s="265" t="b">
        <f t="shared" si="44"/>
        <v>1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6">
        <v>52.335999999999999</v>
      </c>
      <c r="C116" s="390"/>
      <c r="D116" s="393">
        <f t="shared" si="24"/>
        <v>52.646275253007197</v>
      </c>
      <c r="E116" s="385">
        <f t="shared" si="46"/>
        <v>54.924251266751327</v>
      </c>
      <c r="F116" s="385">
        <f t="shared" si="25"/>
        <v>55.077370568801221</v>
      </c>
      <c r="G116" s="110">
        <f t="shared" si="47"/>
        <v>1.0217905518918786</v>
      </c>
      <c r="H116" s="414" t="b">
        <f>Wh_hp&gt;='2018'!Maxi_hp</f>
        <v>1</v>
      </c>
      <c r="I116" s="390">
        <f>IF(H116,Wh_hp,'2018'!Maxi_hp)</f>
        <v>55.077370568801221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5.8935841427731894E-3</v>
      </c>
      <c r="M116" s="843"/>
      <c r="N116" s="843"/>
      <c r="O116" s="48">
        <f>IF(t&lt;Tnet,'2018'!Resal+('2018'!Salim-'2018'!Resal)*(1-EXP(('2018'!Tnet-t)/('2018'!Tau_j))),Resal+(Salim-Resal)*(1-EXP((Tnet-t)/(Tau_j))))*Salcycl</f>
        <v>4.1474866952316808E-2</v>
      </c>
      <c r="P116" s="169">
        <f>(INDEX(Models!$BJ116:$BT116,,T116)*(1-R116)+INDEX(Models!$BJ116:$BT116,,T116+1)*R116-ERP_i)*Q116*Ramure*Pc/MaxiM</f>
        <v>2.7800764718537785E-3</v>
      </c>
      <c r="Q116" s="305">
        <f t="shared" si="27"/>
        <v>0.8</v>
      </c>
      <c r="R116" s="177">
        <f t="shared" si="28"/>
        <v>0.64803555363384602</v>
      </c>
      <c r="S116" s="809">
        <f t="shared" si="29"/>
        <v>0</v>
      </c>
      <c r="T116" s="176">
        <f t="shared" si="30"/>
        <v>6</v>
      </c>
      <c r="U116" s="251">
        <f t="shared" si="31"/>
        <v>0.64803555363384602</v>
      </c>
      <c r="V116" s="383">
        <f t="shared" si="32"/>
        <v>51.219890322041238</v>
      </c>
      <c r="W116" s="58"/>
      <c r="X116" s="157">
        <f t="shared" si="33"/>
        <v>43567</v>
      </c>
      <c r="Y116" s="385">
        <f t="shared" si="34"/>
        <v>52.335999999999999</v>
      </c>
      <c r="Z116" s="385">
        <f t="shared" si="35"/>
        <v>52.646275253007197</v>
      </c>
      <c r="AA116" s="386">
        <f t="shared" si="36"/>
        <v>54.924251266751327</v>
      </c>
      <c r="AB116" s="197">
        <f t="shared" si="37"/>
        <v>43567</v>
      </c>
      <c r="AC116" s="425">
        <f>IF(OR(t&lt;Tnet,NoTnet),'2018'!Resal_s+('2018'!Salim-'2018'!Resal_s)*(1-EXP(('2018'!Tnet_s-t)/'2018'!Tau_j)),Resal_s+(Salim-Resal_s)*(1-EXP((Tnet_s-t)/Tau_j)))*Salcycl</f>
        <v>4.1474866952316808E-2</v>
      </c>
      <c r="AD116" s="231">
        <f>(INDEX(Models!$BJ116:$BT116,,AH116)*(1-AF116)+INDEX(Models!$BJ116:$BT116,,AH116+1)*AF116-ERP_i)*AE116*Ramure*Pc/MaxiM</f>
        <v>2.7800764718537785E-3</v>
      </c>
      <c r="AE116" s="305">
        <f t="shared" si="38"/>
        <v>0.8</v>
      </c>
      <c r="AF116" s="177">
        <f t="shared" si="39"/>
        <v>0.64803555363384602</v>
      </c>
      <c r="AG116" s="176">
        <f t="shared" si="40"/>
        <v>0</v>
      </c>
      <c r="AH116" s="176">
        <f t="shared" si="41"/>
        <v>6</v>
      </c>
      <c r="AI116" s="225">
        <f t="shared" si="42"/>
        <v>0.64803555363384602</v>
      </c>
      <c r="AJ116" s="265" t="b">
        <f t="shared" si="43"/>
        <v>0</v>
      </c>
      <c r="AK116" s="265" t="b">
        <f t="shared" si="44"/>
        <v>1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6">
        <v>52.113999999999997</v>
      </c>
      <c r="C117" s="390"/>
      <c r="D117" s="393">
        <f t="shared" si="24"/>
        <v>52.42417910782499</v>
      </c>
      <c r="E117" s="385">
        <f t="shared" si="46"/>
        <v>54.701261437355321</v>
      </c>
      <c r="F117" s="385">
        <f t="shared" si="25"/>
        <v>54.846872874129055</v>
      </c>
      <c r="G117" s="110">
        <f t="shared" si="47"/>
        <v>1.0114079288180304</v>
      </c>
      <c r="H117" s="414" t="b">
        <f>Wh_hp&gt;='2018'!Maxi_hp</f>
        <v>1</v>
      </c>
      <c r="I117" s="390">
        <f>IF(H117,Wh_hp,'2018'!Maxi_hp)</f>
        <v>54.846872874129055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5.9167184513662097E-3</v>
      </c>
      <c r="M117" s="843"/>
      <c r="N117" s="843"/>
      <c r="O117" s="48">
        <f>IF(t&lt;Tnet,'2018'!Resal+('2018'!Salim-'2018'!Resal)*(1-EXP(('2018'!Tnet-t)/('2018'!Tau_j))),Resal+(Salim-Resal)*(1-EXP((Tnet-t)/(Tau_j))))*Salcycl</f>
        <v>4.162760180838021E-2</v>
      </c>
      <c r="P117" s="169">
        <f>(INDEX(Models!$BJ117:$BT117,,T117)*(1-R117)+INDEX(Models!$BJ117:$BT117,,T117+1)*R117-ERP_i)*Q117*Ramure*Pc/MaxiM</f>
        <v>2.6548721767220076E-3</v>
      </c>
      <c r="Q117" s="305">
        <f t="shared" si="27"/>
        <v>0.8</v>
      </c>
      <c r="R117" s="177">
        <f t="shared" si="28"/>
        <v>0.64991268235335187</v>
      </c>
      <c r="S117" s="809">
        <f t="shared" si="29"/>
        <v>0</v>
      </c>
      <c r="T117" s="176">
        <f t="shared" si="30"/>
        <v>6</v>
      </c>
      <c r="U117" s="251">
        <f t="shared" si="31"/>
        <v>0.64991268235335187</v>
      </c>
      <c r="V117" s="383">
        <f t="shared" si="32"/>
        <v>51.52619285959365</v>
      </c>
      <c r="W117" s="58"/>
      <c r="X117" s="157">
        <f t="shared" si="33"/>
        <v>43568</v>
      </c>
      <c r="Y117" s="385">
        <f t="shared" si="34"/>
        <v>52.113999999999997</v>
      </c>
      <c r="Z117" s="385">
        <f t="shared" si="35"/>
        <v>52.42417910782499</v>
      </c>
      <c r="AA117" s="386">
        <f t="shared" si="36"/>
        <v>54.701261437355321</v>
      </c>
      <c r="AB117" s="197">
        <f t="shared" si="37"/>
        <v>43568</v>
      </c>
      <c r="AC117" s="425">
        <f>IF(OR(t&lt;Tnet,NoTnet),'2018'!Resal_s+('2018'!Salim-'2018'!Resal_s)*(1-EXP(('2018'!Tnet_s-t)/'2018'!Tau_j)),Resal_s+(Salim-Resal_s)*(1-EXP((Tnet_s-t)/Tau_j)))*Salcycl</f>
        <v>4.162760180838021E-2</v>
      </c>
      <c r="AD117" s="231">
        <f>(INDEX(Models!$BJ117:$BT117,,AH117)*(1-AF117)+INDEX(Models!$BJ117:$BT117,,AH117+1)*AF117-ERP_i)*AE117*Ramure*Pc/MaxiM</f>
        <v>2.6548721767220076E-3</v>
      </c>
      <c r="AE117" s="305">
        <f t="shared" si="38"/>
        <v>0.8</v>
      </c>
      <c r="AF117" s="177">
        <f t="shared" si="39"/>
        <v>0.64991268235335187</v>
      </c>
      <c r="AG117" s="176">
        <f t="shared" si="40"/>
        <v>0</v>
      </c>
      <c r="AH117" s="176">
        <f t="shared" si="41"/>
        <v>6</v>
      </c>
      <c r="AI117" s="225">
        <f t="shared" si="42"/>
        <v>0.64991268235335187</v>
      </c>
      <c r="AJ117" s="265" t="b">
        <f t="shared" si="43"/>
        <v>0</v>
      </c>
      <c r="AK117" s="265" t="b">
        <f t="shared" si="44"/>
        <v>1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6">
        <v>28.076000000000001</v>
      </c>
      <c r="C118" s="390"/>
      <c r="D118" s="393">
        <f t="shared" si="24"/>
        <v>28.243763783052831</v>
      </c>
      <c r="E118" s="385">
        <f t="shared" si="46"/>
        <v>29.475263841918164</v>
      </c>
      <c r="F118" s="385">
        <f t="shared" si="25"/>
        <v>29.50104682090171</v>
      </c>
      <c r="G118" s="110">
        <f t="shared" si="47"/>
        <v>0.54083077828652204</v>
      </c>
      <c r="H118" s="414" t="b">
        <f>Wh_hp&gt;='2018'!Maxi_hp</f>
        <v>1</v>
      </c>
      <c r="I118" s="390">
        <f>IF(H118,Wh_hp,'2018'!Maxi_hp)</f>
        <v>29.50104682090171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5.9398522215899918E-3</v>
      </c>
      <c r="M118" s="843"/>
      <c r="N118" s="843"/>
      <c r="O118" s="48">
        <f>IF(t&lt;Tnet,'2018'!Resal+('2018'!Salim-'2018'!Resal)*(1-EXP(('2018'!Tnet-t)/('2018'!Tau_j))),Resal+(Salim-Resal)*(1-EXP((Tnet-t)/(Tau_j))))*Salcycl</f>
        <v>4.1780798484794518E-2</v>
      </c>
      <c r="P118" s="169">
        <f>(INDEX(Models!$BJ118:$BT118,,T118)*(1-R118)+INDEX(Models!$BJ118:$BT118,,T118+1)*R118-ERP_i)*Q118*Ramure*Pc/MaxiM</f>
        <v>2.530840072577601E-3</v>
      </c>
      <c r="Q118" s="305">
        <f t="shared" si="27"/>
        <v>0.8</v>
      </c>
      <c r="R118" s="177">
        <f t="shared" si="28"/>
        <v>0.65185503100882825</v>
      </c>
      <c r="S118" s="809">
        <f t="shared" si="29"/>
        <v>0</v>
      </c>
      <c r="T118" s="176">
        <f t="shared" si="30"/>
        <v>6</v>
      </c>
      <c r="U118" s="251">
        <f t="shared" si="31"/>
        <v>0.65185503100882825</v>
      </c>
      <c r="V118" s="383">
        <f t="shared" si="32"/>
        <v>51.826638019916359</v>
      </c>
      <c r="W118" s="58"/>
      <c r="X118" s="157">
        <f t="shared" si="33"/>
        <v>43569</v>
      </c>
      <c r="Y118" s="385">
        <f t="shared" si="34"/>
        <v>28.076000000000001</v>
      </c>
      <c r="Z118" s="385">
        <f t="shared" si="35"/>
        <v>28.243763783052831</v>
      </c>
      <c r="AA118" s="386">
        <f t="shared" si="36"/>
        <v>29.475263841918164</v>
      </c>
      <c r="AB118" s="197">
        <f t="shared" si="37"/>
        <v>43569</v>
      </c>
      <c r="AC118" s="425">
        <f>IF(OR(t&lt;Tnet,NoTnet),'2018'!Resal_s+('2018'!Salim-'2018'!Resal_s)*(1-EXP(('2018'!Tnet_s-t)/'2018'!Tau_j)),Resal_s+(Salim-Resal_s)*(1-EXP((Tnet_s-t)/Tau_j)))*Salcycl</f>
        <v>4.1780798484794518E-2</v>
      </c>
      <c r="AD118" s="231">
        <f>(INDEX(Models!$BJ118:$BT118,,AH118)*(1-AF118)+INDEX(Models!$BJ118:$BT118,,AH118+1)*AF118-ERP_i)*AE118*Ramure*Pc/MaxiM</f>
        <v>2.530840072577601E-3</v>
      </c>
      <c r="AE118" s="305">
        <f t="shared" si="38"/>
        <v>0.8</v>
      </c>
      <c r="AF118" s="177">
        <f t="shared" si="39"/>
        <v>0.65185503100882825</v>
      </c>
      <c r="AG118" s="176">
        <f t="shared" si="40"/>
        <v>0</v>
      </c>
      <c r="AH118" s="176">
        <f t="shared" si="41"/>
        <v>6</v>
      </c>
      <c r="AI118" s="225">
        <f t="shared" si="42"/>
        <v>0.65185503100882825</v>
      </c>
      <c r="AJ118" s="265" t="b">
        <f t="shared" si="43"/>
        <v>0</v>
      </c>
      <c r="AK118" s="265" t="b">
        <f t="shared" si="44"/>
        <v>1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6">
        <v>35.902000000000001</v>
      </c>
      <c r="C119" s="390"/>
      <c r="D119" s="393">
        <f t="shared" si="24"/>
        <v>36.117367336041987</v>
      </c>
      <c r="E119" s="385">
        <f t="shared" si="46"/>
        <v>37.698222343798847</v>
      </c>
      <c r="F119" s="385">
        <f t="shared" si="25"/>
        <v>37.748708735215864</v>
      </c>
      <c r="G119" s="110">
        <f t="shared" si="47"/>
        <v>0.68807748610153163</v>
      </c>
      <c r="H119" s="414" t="b">
        <f>Wh_hp&gt;='2018'!Maxi_hp</f>
        <v>1</v>
      </c>
      <c r="I119" s="390">
        <f>IF(H119,Wh_hp,'2018'!Maxi_hp)</f>
        <v>37.748708735215864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5.9629854534571924E-3</v>
      </c>
      <c r="M119" s="843"/>
      <c r="N119" s="843"/>
      <c r="O119" s="48">
        <f>IF(t&lt;Tnet,'2018'!Resal+('2018'!Salim-'2018'!Resal)*(1-EXP(('2018'!Tnet-t)/('2018'!Tau_j))),Resal+(Salim-Resal)*(1-EXP((Tnet-t)/(Tau_j))))*Salcycl</f>
        <v>4.1934470897323377E-2</v>
      </c>
      <c r="P119" s="169">
        <f>(INDEX(Models!$BJ119:$BT119,,T119)*(1-R119)+INDEX(Models!$BJ119:$BT119,,T119+1)*R119-ERP_i)*Q119*Ramure*Pc/MaxiM</f>
        <v>2.4078331287963268E-3</v>
      </c>
      <c r="Q119" s="305">
        <f t="shared" si="27"/>
        <v>0.8</v>
      </c>
      <c r="R119" s="177">
        <f t="shared" si="28"/>
        <v>0.65386433178026604</v>
      </c>
      <c r="S119" s="809">
        <f t="shared" si="29"/>
        <v>0</v>
      </c>
      <c r="T119" s="176">
        <f t="shared" si="30"/>
        <v>6</v>
      </c>
      <c r="U119" s="251">
        <f t="shared" si="31"/>
        <v>0.65386433178026604</v>
      </c>
      <c r="V119" s="383">
        <f t="shared" si="32"/>
        <v>52.121337748737595</v>
      </c>
      <c r="W119" s="58"/>
      <c r="X119" s="157">
        <f t="shared" si="33"/>
        <v>43570</v>
      </c>
      <c r="Y119" s="385">
        <f t="shared" si="34"/>
        <v>35.902000000000001</v>
      </c>
      <c r="Z119" s="385">
        <f t="shared" si="35"/>
        <v>36.117367336041987</v>
      </c>
      <c r="AA119" s="386">
        <f t="shared" si="36"/>
        <v>37.698222343798847</v>
      </c>
      <c r="AB119" s="197">
        <f t="shared" si="37"/>
        <v>43570</v>
      </c>
      <c r="AC119" s="425">
        <f>IF(OR(t&lt;Tnet,NoTnet),'2018'!Resal_s+('2018'!Salim-'2018'!Resal_s)*(1-EXP(('2018'!Tnet_s-t)/'2018'!Tau_j)),Resal_s+(Salim-Resal_s)*(1-EXP((Tnet_s-t)/Tau_j)))*Salcycl</f>
        <v>4.1934470897323377E-2</v>
      </c>
      <c r="AD119" s="231">
        <f>(INDEX(Models!$BJ119:$BT119,,AH119)*(1-AF119)+INDEX(Models!$BJ119:$BT119,,AH119+1)*AF119-ERP_i)*AE119*Ramure*Pc/MaxiM</f>
        <v>2.4078331287963268E-3</v>
      </c>
      <c r="AE119" s="305">
        <f t="shared" si="38"/>
        <v>0.8</v>
      </c>
      <c r="AF119" s="177">
        <f t="shared" si="39"/>
        <v>0.65386433178026604</v>
      </c>
      <c r="AG119" s="176">
        <f t="shared" si="40"/>
        <v>0</v>
      </c>
      <c r="AH119" s="176">
        <f t="shared" si="41"/>
        <v>6</v>
      </c>
      <c r="AI119" s="225">
        <f t="shared" si="42"/>
        <v>0.65386433178026604</v>
      </c>
      <c r="AJ119" s="265" t="b">
        <f t="shared" si="43"/>
        <v>0</v>
      </c>
      <c r="AK119" s="265" t="b">
        <f t="shared" si="44"/>
        <v>1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6">
        <v>36.454000000000001</v>
      </c>
      <c r="C120" s="390"/>
      <c r="D120" s="393">
        <f t="shared" si="24"/>
        <v>36.673532095993693</v>
      </c>
      <c r="E120" s="385">
        <f t="shared" si="46"/>
        <v>38.284890790189102</v>
      </c>
      <c r="F120" s="385">
        <f t="shared" si="25"/>
        <v>38.334402879296498</v>
      </c>
      <c r="G120" s="110">
        <f t="shared" si="47"/>
        <v>0.69485656529099948</v>
      </c>
      <c r="H120" s="414" t="b">
        <f>Wh_hp&gt;='2018'!Maxi_hp</f>
        <v>1</v>
      </c>
      <c r="I120" s="390">
        <f>IF(H120,Wh_hp,'2018'!Maxi_hp)</f>
        <v>38.334402879296498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5.986118146980357E-3</v>
      </c>
      <c r="M120" s="843"/>
      <c r="N120" s="843"/>
      <c r="O120" s="48">
        <f>IF(t&lt;Tnet,'2018'!Resal+('2018'!Salim-'2018'!Resal)*(1-EXP(('2018'!Tnet-t)/('2018'!Tau_j))),Resal+(Salim-Resal)*(1-EXP((Tnet-t)/(Tau_j))))*Salcycl</f>
        <v>4.2088632380488364E-2</v>
      </c>
      <c r="P120" s="169">
        <f>(INDEX(Models!$BJ120:$BT120,,T120)*(1-R120)+INDEX(Models!$BJ120:$BT120,,T120+1)*R120-ERP_i)*Q120*Ramure*Pc/MaxiM</f>
        <v>2.2857060884065986E-3</v>
      </c>
      <c r="Q120" s="305">
        <f t="shared" si="27"/>
        <v>0.8</v>
      </c>
      <c r="R120" s="177">
        <f t="shared" si="28"/>
        <v>0.65594232134863684</v>
      </c>
      <c r="S120" s="809">
        <f t="shared" si="29"/>
        <v>0</v>
      </c>
      <c r="T120" s="176">
        <f t="shared" si="30"/>
        <v>6</v>
      </c>
      <c r="U120" s="251">
        <f t="shared" si="31"/>
        <v>0.65594232134863684</v>
      </c>
      <c r="V120" s="383">
        <f t="shared" si="32"/>
        <v>52.410404123119619</v>
      </c>
      <c r="W120" s="58"/>
      <c r="X120" s="157">
        <f t="shared" si="33"/>
        <v>43571</v>
      </c>
      <c r="Y120" s="385">
        <f t="shared" si="34"/>
        <v>36.454000000000001</v>
      </c>
      <c r="Z120" s="385">
        <f t="shared" si="35"/>
        <v>36.673532095993693</v>
      </c>
      <c r="AA120" s="386">
        <f t="shared" si="36"/>
        <v>38.284890790189102</v>
      </c>
      <c r="AB120" s="197">
        <f t="shared" si="37"/>
        <v>43571</v>
      </c>
      <c r="AC120" s="425">
        <f>IF(OR(t&lt;Tnet,NoTnet),'2018'!Resal_s+('2018'!Salim-'2018'!Resal_s)*(1-EXP(('2018'!Tnet_s-t)/'2018'!Tau_j)),Resal_s+(Salim-Resal_s)*(1-EXP((Tnet_s-t)/Tau_j)))*Salcycl</f>
        <v>4.2088632380488364E-2</v>
      </c>
      <c r="AD120" s="231">
        <f>(INDEX(Models!$BJ120:$BT120,,AH120)*(1-AF120)+INDEX(Models!$BJ120:$BT120,,AH120+1)*AF120-ERP_i)*AE120*Ramure*Pc/MaxiM</f>
        <v>2.2857060884065986E-3</v>
      </c>
      <c r="AE120" s="305">
        <f t="shared" si="38"/>
        <v>0.8</v>
      </c>
      <c r="AF120" s="177">
        <f t="shared" si="39"/>
        <v>0.65594232134863684</v>
      </c>
      <c r="AG120" s="176">
        <f t="shared" si="40"/>
        <v>0</v>
      </c>
      <c r="AH120" s="176">
        <f t="shared" si="41"/>
        <v>6</v>
      </c>
      <c r="AI120" s="225">
        <f t="shared" si="42"/>
        <v>0.65594232134863684</v>
      </c>
      <c r="AJ120" s="265" t="b">
        <f t="shared" si="43"/>
        <v>0</v>
      </c>
      <c r="AK120" s="265" t="b">
        <f t="shared" si="44"/>
        <v>1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6">
        <v>35.334000000000003</v>
      </c>
      <c r="C121" s="390"/>
      <c r="D121" s="393">
        <f t="shared" si="24"/>
        <v>35.547614513255276</v>
      </c>
      <c r="E121" s="385">
        <f t="shared" si="46"/>
        <v>37.115495356685585</v>
      </c>
      <c r="F121" s="385">
        <f t="shared" si="25"/>
        <v>37.15806795435055</v>
      </c>
      <c r="G121" s="110">
        <f t="shared" si="47"/>
        <v>0.66987091859652736</v>
      </c>
      <c r="H121" s="414" t="b">
        <f>Wh_hp&gt;='2018'!Maxi_hp</f>
        <v>1</v>
      </c>
      <c r="I121" s="390">
        <f>IF(H121,Wh_hp,'2018'!Maxi_hp)</f>
        <v>37.15806795435055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6.0092503021719201E-3</v>
      </c>
      <c r="M121" s="843"/>
      <c r="N121" s="843"/>
      <c r="O121" s="48">
        <f>IF(t&lt;Tnet,'2018'!Resal+('2018'!Salim-'2018'!Resal)*(1-EXP(('2018'!Tnet-t)/('2018'!Tau_j))),Resal+(Salim-Resal)*(1-EXP((Tnet-t)/(Tau_j))))*Salcycl</f>
        <v>4.2243295646810938E-2</v>
      </c>
      <c r="P121" s="169">
        <f>(INDEX(Models!$BJ121:$BT121,,T121)*(1-R121)+INDEX(Models!$BJ121:$BT121,,T121+1)*R121-ERP_i)*Q121*Ramure*Pc/MaxiM</f>
        <v>2.164326105393936E-3</v>
      </c>
      <c r="Q121" s="305">
        <f t="shared" si="27"/>
        <v>0.8</v>
      </c>
      <c r="R121" s="177">
        <f t="shared" si="28"/>
        <v>0.65809073719024902</v>
      </c>
      <c r="S121" s="809">
        <f t="shared" si="29"/>
        <v>0</v>
      </c>
      <c r="T121" s="176">
        <f t="shared" si="30"/>
        <v>6</v>
      </c>
      <c r="U121" s="251">
        <f t="shared" si="31"/>
        <v>0.65809073719024902</v>
      </c>
      <c r="V121" s="383">
        <f t="shared" si="32"/>
        <v>52.693684964747334</v>
      </c>
      <c r="W121" s="58"/>
      <c r="X121" s="157">
        <f t="shared" si="33"/>
        <v>43572</v>
      </c>
      <c r="Y121" s="385">
        <f t="shared" si="34"/>
        <v>35.334000000000003</v>
      </c>
      <c r="Z121" s="385">
        <f t="shared" si="35"/>
        <v>35.547614513255276</v>
      </c>
      <c r="AA121" s="386">
        <f t="shared" si="36"/>
        <v>37.115495356685585</v>
      </c>
      <c r="AB121" s="197">
        <f t="shared" si="37"/>
        <v>43572</v>
      </c>
      <c r="AC121" s="425">
        <f>IF(OR(t&lt;Tnet,NoTnet),'2018'!Resal_s+('2018'!Salim-'2018'!Resal_s)*(1-EXP(('2018'!Tnet_s-t)/'2018'!Tau_j)),Resal_s+(Salim-Resal_s)*(1-EXP((Tnet_s-t)/Tau_j)))*Salcycl</f>
        <v>4.2243295646810938E-2</v>
      </c>
      <c r="AD121" s="231">
        <f>(INDEX(Models!$BJ121:$BT121,,AH121)*(1-AF121)+INDEX(Models!$BJ121:$BT121,,AH121+1)*AF121-ERP_i)*AE121*Ramure*Pc/MaxiM</f>
        <v>2.164326105393936E-3</v>
      </c>
      <c r="AE121" s="305">
        <f t="shared" si="38"/>
        <v>0.8</v>
      </c>
      <c r="AF121" s="177">
        <f t="shared" si="39"/>
        <v>0.65809073719024902</v>
      </c>
      <c r="AG121" s="176">
        <f t="shared" si="40"/>
        <v>0</v>
      </c>
      <c r="AH121" s="176">
        <f t="shared" si="41"/>
        <v>6</v>
      </c>
      <c r="AI121" s="225">
        <f t="shared" si="42"/>
        <v>0.65809073719024902</v>
      </c>
      <c r="AJ121" s="265" t="b">
        <f t="shared" si="43"/>
        <v>0</v>
      </c>
      <c r="AK121" s="265" t="b">
        <f t="shared" si="44"/>
        <v>1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6">
        <v>26.808</v>
      </c>
      <c r="C122" s="390"/>
      <c r="D122" s="393">
        <f t="shared" si="24"/>
        <v>26.970697548233982</v>
      </c>
      <c r="E122" s="385">
        <f t="shared" si="46"/>
        <v>28.164843915329481</v>
      </c>
      <c r="F122" s="385">
        <f t="shared" si="25"/>
        <v>28.181853259104333</v>
      </c>
      <c r="G122" s="110">
        <f t="shared" si="47"/>
        <v>0.50535942844322779</v>
      </c>
      <c r="H122" s="414" t="b">
        <f>Wh_hp&gt;='2018'!Maxi_hp</f>
        <v>1</v>
      </c>
      <c r="I122" s="390">
        <f>IF(H122,Wh_hp,'2018'!Maxi_hp)</f>
        <v>28.181853259104333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6.0323819190444272E-3</v>
      </c>
      <c r="M122" s="843"/>
      <c r="N122" s="843"/>
      <c r="O122" s="48">
        <f>IF(t&lt;Tnet,'2018'!Resal+('2018'!Salim-'2018'!Resal)*(1-EXP(('2018'!Tnet-t)/('2018'!Tau_j))),Resal+(Salim-Resal)*(1-EXP((Tnet-t)/(Tau_j))))*Salcycl</f>
        <v>4.2398472744439822E-2</v>
      </c>
      <c r="P122" s="169">
        <f>(INDEX(Models!$BJ122:$BT122,,T122)*(1-R122)+INDEX(Models!$BJ122:$BT122,,T122+1)*R122-ERP_i)*Q122*Ramure*Pc/MaxiM</f>
        <v>2.0500059050676416E-3</v>
      </c>
      <c r="Q122" s="305">
        <f t="shared" si="27"/>
        <v>0.8</v>
      </c>
      <c r="R122" s="177">
        <f t="shared" si="28"/>
        <v>0.66031131357751649</v>
      </c>
      <c r="S122" s="809">
        <f t="shared" si="29"/>
        <v>0</v>
      </c>
      <c r="T122" s="176">
        <f t="shared" si="30"/>
        <v>6</v>
      </c>
      <c r="U122" s="251">
        <f t="shared" si="31"/>
        <v>0.66031131357751649</v>
      </c>
      <c r="V122" s="383">
        <f t="shared" si="32"/>
        <v>52.970615887838719</v>
      </c>
      <c r="W122" s="58"/>
      <c r="X122" s="157">
        <f t="shared" si="33"/>
        <v>43573</v>
      </c>
      <c r="Y122" s="385">
        <f t="shared" si="34"/>
        <v>26.808</v>
      </c>
      <c r="Z122" s="385">
        <f t="shared" si="35"/>
        <v>26.970697548233982</v>
      </c>
      <c r="AA122" s="386">
        <f t="shared" si="36"/>
        <v>28.164843915329481</v>
      </c>
      <c r="AB122" s="197">
        <f t="shared" si="37"/>
        <v>43573</v>
      </c>
      <c r="AC122" s="425">
        <f>IF(OR(t&lt;Tnet,NoTnet),'2018'!Resal_s+('2018'!Salim-'2018'!Resal_s)*(1-EXP(('2018'!Tnet_s-t)/'2018'!Tau_j)),Resal_s+(Salim-Resal_s)*(1-EXP((Tnet_s-t)/Tau_j)))*Salcycl</f>
        <v>4.2398472744439822E-2</v>
      </c>
      <c r="AD122" s="231">
        <f>(INDEX(Models!$BJ122:$BT122,,AH122)*(1-AF122)+INDEX(Models!$BJ122:$BT122,,AH122+1)*AF122-ERP_i)*AE122*Ramure*Pc/MaxiM</f>
        <v>2.0500059050676416E-3</v>
      </c>
      <c r="AE122" s="305">
        <f t="shared" si="38"/>
        <v>0.8</v>
      </c>
      <c r="AF122" s="177">
        <f t="shared" si="39"/>
        <v>0.66031131357751649</v>
      </c>
      <c r="AG122" s="176">
        <f t="shared" si="40"/>
        <v>0</v>
      </c>
      <c r="AH122" s="176">
        <f t="shared" si="41"/>
        <v>6</v>
      </c>
      <c r="AI122" s="225">
        <f t="shared" si="42"/>
        <v>0.66031131357751649</v>
      </c>
      <c r="AJ122" s="265" t="b">
        <f t="shared" si="43"/>
        <v>0</v>
      </c>
      <c r="AK122" s="265" t="b">
        <f t="shared" si="44"/>
        <v>1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6">
        <v>49.383000000000003</v>
      </c>
      <c r="C123" s="390"/>
      <c r="D123" s="393">
        <f t="shared" si="24"/>
        <v>49.683861267677891</v>
      </c>
      <c r="E123" s="385">
        <f t="shared" si="46"/>
        <v>51.892086184987086</v>
      </c>
      <c r="F123" s="385">
        <f t="shared" si="25"/>
        <v>51.982663755217459</v>
      </c>
      <c r="G123" s="110">
        <f t="shared" si="47"/>
        <v>0.92734761780458486</v>
      </c>
      <c r="H123" s="414" t="b">
        <f>Wh_hp&gt;='2018'!Maxi_hp</f>
        <v>1</v>
      </c>
      <c r="I123" s="390">
        <f>IF(H123,Wh_hp,'2018'!Maxi_hp)</f>
        <v>51.982663755217459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6.0555129976103128E-3</v>
      </c>
      <c r="M123" s="843"/>
      <c r="N123" s="843"/>
      <c r="O123" s="48">
        <f>IF(t&lt;Tnet,'2018'!Resal+('2018'!Salim-'2018'!Resal)*(1-EXP(('2018'!Tnet-t)/('2018'!Tau_j))),Resal+(Salim-Resal)*(1-EXP((Tnet-t)/(Tau_j))))*Salcycl</f>
        <v>4.2554175013068886E-2</v>
      </c>
      <c r="P123" s="169">
        <f>(INDEX(Models!$BJ123:$BT123,,T123)*(1-R123)+INDEX(Models!$BJ123:$BT123,,T123+1)*R123-ERP_i)*Q123*Ramure*Pc/MaxiM</f>
        <v>1.9436699348809375E-3</v>
      </c>
      <c r="Q123" s="305">
        <f t="shared" si="27"/>
        <v>0.8</v>
      </c>
      <c r="R123" s="177">
        <f t="shared" si="28"/>
        <v>0.66260577727908077</v>
      </c>
      <c r="S123" s="809">
        <f t="shared" si="29"/>
        <v>0</v>
      </c>
      <c r="T123" s="176">
        <f t="shared" si="30"/>
        <v>6</v>
      </c>
      <c r="U123" s="251">
        <f t="shared" si="31"/>
        <v>0.66260577727908077</v>
      </c>
      <c r="V123" s="383">
        <f t="shared" si="32"/>
        <v>53.24114196529424</v>
      </c>
      <c r="W123" s="58"/>
      <c r="X123" s="157">
        <f t="shared" si="33"/>
        <v>43574</v>
      </c>
      <c r="Y123" s="385">
        <f t="shared" si="34"/>
        <v>49.383000000000003</v>
      </c>
      <c r="Z123" s="385">
        <f t="shared" si="35"/>
        <v>49.683861267677891</v>
      </c>
      <c r="AA123" s="386">
        <f t="shared" si="36"/>
        <v>51.892086184987086</v>
      </c>
      <c r="AB123" s="197">
        <f t="shared" si="37"/>
        <v>43574</v>
      </c>
      <c r="AC123" s="425">
        <f>IF(OR(t&lt;Tnet,NoTnet),'2018'!Resal_s+('2018'!Salim-'2018'!Resal_s)*(1-EXP(('2018'!Tnet_s-t)/'2018'!Tau_j)),Resal_s+(Salim-Resal_s)*(1-EXP((Tnet_s-t)/Tau_j)))*Salcycl</f>
        <v>4.2554175013068886E-2</v>
      </c>
      <c r="AD123" s="231">
        <f>(INDEX(Models!$BJ123:$BT123,,AH123)*(1-AF123)+INDEX(Models!$BJ123:$BT123,,AH123+1)*AF123-ERP_i)*AE123*Ramure*Pc/MaxiM</f>
        <v>1.9436699348809375E-3</v>
      </c>
      <c r="AE123" s="305">
        <f t="shared" si="38"/>
        <v>0.8</v>
      </c>
      <c r="AF123" s="177">
        <f t="shared" si="39"/>
        <v>0.66260577727908077</v>
      </c>
      <c r="AG123" s="176">
        <f t="shared" si="40"/>
        <v>0</v>
      </c>
      <c r="AH123" s="176">
        <f t="shared" si="41"/>
        <v>6</v>
      </c>
      <c r="AI123" s="225">
        <f t="shared" si="42"/>
        <v>0.66260577727908077</v>
      </c>
      <c r="AJ123" s="265" t="b">
        <f t="shared" si="43"/>
        <v>0</v>
      </c>
      <c r="AK123" s="265" t="b">
        <f t="shared" si="44"/>
        <v>1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6">
        <v>45.578000000000003</v>
      </c>
      <c r="C124" s="390"/>
      <c r="D124" s="393">
        <f t="shared" si="24"/>
        <v>45.856746817711795</v>
      </c>
      <c r="E124" s="385">
        <f t="shared" si="46"/>
        <v>47.90269051525388</v>
      </c>
      <c r="F124" s="385">
        <f t="shared" si="25"/>
        <v>47.97247568092412</v>
      </c>
      <c r="G124" s="110">
        <f t="shared" si="47"/>
        <v>0.85150829101791026</v>
      </c>
      <c r="H124" s="414" t="b">
        <f>Wh_hp&gt;='2018'!Maxi_hp</f>
        <v>1</v>
      </c>
      <c r="I124" s="390">
        <f>IF(H124,Wh_hp,'2018'!Maxi_hp)</f>
        <v>47.97247568092412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6.0786435378823445E-3</v>
      </c>
      <c r="M124" s="843"/>
      <c r="N124" s="843"/>
      <c r="O124" s="48">
        <f>IF(t&lt;Tnet,'2018'!Resal+('2018'!Salim-'2018'!Resal)*(1-EXP(('2018'!Tnet-t)/('2018'!Tau_j))),Resal+(Salim-Resal)*(1-EXP((Tnet-t)/(Tau_j))))*Salcycl</f>
        <v>4.2710413038085759E-2</v>
      </c>
      <c r="P124" s="169">
        <f>(INDEX(Models!$BJ124:$BT124,,T124)*(1-R124)+INDEX(Models!$BJ124:$BT124,,T124+1)*R124-ERP_i)*Q124*Ramure*Pc/MaxiM</f>
        <v>1.8452477760564872E-3</v>
      </c>
      <c r="Q124" s="305">
        <f t="shared" si="27"/>
        <v>0.8</v>
      </c>
      <c r="R124" s="177">
        <f t="shared" si="28"/>
        <v>0.66497584295348378</v>
      </c>
      <c r="S124" s="809">
        <f t="shared" si="29"/>
        <v>0</v>
      </c>
      <c r="T124" s="176">
        <f t="shared" si="30"/>
        <v>6</v>
      </c>
      <c r="U124" s="251">
        <f t="shared" si="31"/>
        <v>0.66497584295348378</v>
      </c>
      <c r="V124" s="383">
        <f t="shared" si="32"/>
        <v>53.50526094308799</v>
      </c>
      <c r="W124" s="58"/>
      <c r="X124" s="157">
        <f t="shared" si="33"/>
        <v>43575</v>
      </c>
      <c r="Y124" s="385">
        <f t="shared" si="34"/>
        <v>45.578000000000003</v>
      </c>
      <c r="Z124" s="385">
        <f t="shared" si="35"/>
        <v>45.856746817711795</v>
      </c>
      <c r="AA124" s="386">
        <f t="shared" si="36"/>
        <v>47.90269051525388</v>
      </c>
      <c r="AB124" s="197">
        <f t="shared" si="37"/>
        <v>43575</v>
      </c>
      <c r="AC124" s="425">
        <f>IF(OR(t&lt;Tnet,NoTnet),'2018'!Resal_s+('2018'!Salim-'2018'!Resal_s)*(1-EXP(('2018'!Tnet_s-t)/'2018'!Tau_j)),Resal_s+(Salim-Resal_s)*(1-EXP((Tnet_s-t)/Tau_j)))*Salcycl</f>
        <v>4.2710413038085759E-2</v>
      </c>
      <c r="AD124" s="231">
        <f>(INDEX(Models!$BJ124:$BT124,,AH124)*(1-AF124)+INDEX(Models!$BJ124:$BT124,,AH124+1)*AF124-ERP_i)*AE124*Ramure*Pc/MaxiM</f>
        <v>1.8452477760564872E-3</v>
      </c>
      <c r="AE124" s="305">
        <f t="shared" si="38"/>
        <v>0.8</v>
      </c>
      <c r="AF124" s="177">
        <f t="shared" si="39"/>
        <v>0.66497584295348378</v>
      </c>
      <c r="AG124" s="176">
        <f t="shared" si="40"/>
        <v>0</v>
      </c>
      <c r="AH124" s="176">
        <f t="shared" si="41"/>
        <v>6</v>
      </c>
      <c r="AI124" s="225">
        <f t="shared" si="42"/>
        <v>0.66497584295348378</v>
      </c>
      <c r="AJ124" s="265" t="b">
        <f t="shared" si="43"/>
        <v>0</v>
      </c>
      <c r="AK124" s="265" t="b">
        <f t="shared" si="44"/>
        <v>1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6">
        <v>17.8</v>
      </c>
      <c r="C125" s="390"/>
      <c r="D125" s="393">
        <f t="shared" si="24"/>
        <v>17.90927836082027</v>
      </c>
      <c r="E125" s="385">
        <f t="shared" si="46"/>
        <v>18.711382889873164</v>
      </c>
      <c r="F125" s="385">
        <f t="shared" si="25"/>
        <v>18.712840911740976</v>
      </c>
      <c r="G125" s="110">
        <f t="shared" si="47"/>
        <v>0.33052770593814246</v>
      </c>
      <c r="H125" s="414" t="b">
        <f>Wh_hp&gt;='2018'!Maxi_hp</f>
        <v>1</v>
      </c>
      <c r="I125" s="390">
        <f>IF(H125,Wh_hp,'2018'!Maxi_hp)</f>
        <v>18.712840911740976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6.1017735398728457E-3</v>
      </c>
      <c r="M125" s="843"/>
      <c r="N125" s="843"/>
      <c r="O125" s="48">
        <f>IF(t&lt;Tnet,'2018'!Resal+('2018'!Salim-'2018'!Resal)*(1-EXP(('2018'!Tnet-t)/('2018'!Tau_j))),Resal+(Salim-Resal)*(1-EXP((Tnet-t)/(Tau_j))))*Salcycl</f>
        <v>4.2867196602930063E-2</v>
      </c>
      <c r="P125" s="169">
        <f>(INDEX(Models!$BJ125:$BT125,,T125)*(1-R125)+INDEX(Models!$BJ125:$BT125,,T125+1)*R125-ERP_i)*Q125*Ramure*Pc/MaxiM</f>
        <v>1.754691636249887E-3</v>
      </c>
      <c r="Q125" s="305">
        <f t="shared" si="27"/>
        <v>0.8</v>
      </c>
      <c r="R125" s="177">
        <f t="shared" si="28"/>
        <v>0.66742320823205148</v>
      </c>
      <c r="S125" s="809">
        <f t="shared" si="29"/>
        <v>0</v>
      </c>
      <c r="T125" s="176">
        <f t="shared" si="30"/>
        <v>6</v>
      </c>
      <c r="U125" s="251">
        <f t="shared" si="31"/>
        <v>0.66742320823205148</v>
      </c>
      <c r="V125" s="383">
        <f t="shared" si="32"/>
        <v>53.762969763995962</v>
      </c>
      <c r="W125" s="58"/>
      <c r="X125" s="157">
        <f t="shared" si="33"/>
        <v>43576</v>
      </c>
      <c r="Y125" s="385">
        <f t="shared" si="34"/>
        <v>17.8</v>
      </c>
      <c r="Z125" s="385">
        <f t="shared" si="35"/>
        <v>17.90927836082027</v>
      </c>
      <c r="AA125" s="386">
        <f t="shared" si="36"/>
        <v>18.711382889873164</v>
      </c>
      <c r="AB125" s="197">
        <f t="shared" si="37"/>
        <v>43576</v>
      </c>
      <c r="AC125" s="425">
        <f>IF(OR(t&lt;Tnet,NoTnet),'2018'!Resal_s+('2018'!Salim-'2018'!Resal_s)*(1-EXP(('2018'!Tnet_s-t)/'2018'!Tau_j)),Resal_s+(Salim-Resal_s)*(1-EXP((Tnet_s-t)/Tau_j)))*Salcycl</f>
        <v>4.2867196602930063E-2</v>
      </c>
      <c r="AD125" s="231">
        <f>(INDEX(Models!$BJ125:$BT125,,AH125)*(1-AF125)+INDEX(Models!$BJ125:$BT125,,AH125+1)*AF125-ERP_i)*AE125*Ramure*Pc/MaxiM</f>
        <v>1.754691636249887E-3</v>
      </c>
      <c r="AE125" s="305">
        <f t="shared" si="38"/>
        <v>0.8</v>
      </c>
      <c r="AF125" s="177">
        <f t="shared" si="39"/>
        <v>0.66742320823205148</v>
      </c>
      <c r="AG125" s="176">
        <f t="shared" si="40"/>
        <v>0</v>
      </c>
      <c r="AH125" s="176">
        <f t="shared" si="41"/>
        <v>6</v>
      </c>
      <c r="AI125" s="225">
        <f t="shared" si="42"/>
        <v>0.66742320823205148</v>
      </c>
      <c r="AJ125" s="265" t="b">
        <f t="shared" si="43"/>
        <v>0</v>
      </c>
      <c r="AK125" s="265" t="b">
        <f t="shared" si="44"/>
        <v>1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6">
        <v>31.391999999999999</v>
      </c>
      <c r="C126" s="390"/>
      <c r="D126" s="393">
        <f t="shared" si="24"/>
        <v>31.585457865751849</v>
      </c>
      <c r="E126" s="385">
        <f t="shared" si="46"/>
        <v>33.005504330102511</v>
      </c>
      <c r="F126" s="385">
        <f t="shared" si="25"/>
        <v>33.027685929482935</v>
      </c>
      <c r="G126" s="110">
        <f t="shared" si="47"/>
        <v>0.58059802430491625</v>
      </c>
      <c r="H126" s="414" t="b">
        <f>Wh_hp&gt;='2018'!Maxi_hp</f>
        <v>1</v>
      </c>
      <c r="I126" s="390">
        <f>IF(H126,Wh_hp,'2018'!Maxi_hp)</f>
        <v>33.027685929482935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6.1249030035944729E-3</v>
      </c>
      <c r="M126" s="843"/>
      <c r="N126" s="843"/>
      <c r="O126" s="48">
        <f>IF(t&lt;Tnet,'2018'!Resal+('2018'!Salim-'2018'!Resal)*(1-EXP(('2018'!Tnet-t)/('2018'!Tau_j))),Resal+(Salim-Resal)*(1-EXP((Tnet-t)/(Tau_j))))*Salcycl</f>
        <v>4.3024534639681866E-2</v>
      </c>
      <c r="P126" s="169">
        <f>(INDEX(Models!$BJ126:$BT126,,T126)*(1-R126)+INDEX(Models!$BJ126:$BT126,,T126+1)*R126-ERP_i)*Q126*Ramure*Pc/MaxiM</f>
        <v>1.6719705492778754E-3</v>
      </c>
      <c r="Q126" s="305">
        <f t="shared" si="27"/>
        <v>0.8</v>
      </c>
      <c r="R126" s="177">
        <f t="shared" si="28"/>
        <v>0.66994954848831045</v>
      </c>
      <c r="S126" s="809">
        <f t="shared" si="29"/>
        <v>0</v>
      </c>
      <c r="T126" s="176">
        <f t="shared" si="30"/>
        <v>6</v>
      </c>
      <c r="U126" s="251">
        <f t="shared" si="31"/>
        <v>0.66994954848831045</v>
      </c>
      <c r="V126" s="383">
        <f t="shared" si="32"/>
        <v>54.014264853339803</v>
      </c>
      <c r="W126" s="58"/>
      <c r="X126" s="157">
        <f t="shared" si="33"/>
        <v>43577</v>
      </c>
      <c r="Y126" s="385">
        <f t="shared" si="34"/>
        <v>31.391999999999999</v>
      </c>
      <c r="Z126" s="385">
        <f t="shared" si="35"/>
        <v>31.585457865751849</v>
      </c>
      <c r="AA126" s="386">
        <f t="shared" si="36"/>
        <v>33.005504330102511</v>
      </c>
      <c r="AB126" s="197">
        <f t="shared" si="37"/>
        <v>43577</v>
      </c>
      <c r="AC126" s="425">
        <f>IF(OR(t&lt;Tnet,NoTnet),'2018'!Resal_s+('2018'!Salim-'2018'!Resal_s)*(1-EXP(('2018'!Tnet_s-t)/'2018'!Tau_j)),Resal_s+(Salim-Resal_s)*(1-EXP((Tnet_s-t)/Tau_j)))*Salcycl</f>
        <v>4.3024534639681866E-2</v>
      </c>
      <c r="AD126" s="231">
        <f>(INDEX(Models!$BJ126:$BT126,,AH126)*(1-AF126)+INDEX(Models!$BJ126:$BT126,,AH126+1)*AF126-ERP_i)*AE126*Ramure*Pc/MaxiM</f>
        <v>1.6719705492778754E-3</v>
      </c>
      <c r="AE126" s="305">
        <f t="shared" si="38"/>
        <v>0.8</v>
      </c>
      <c r="AF126" s="177">
        <f t="shared" si="39"/>
        <v>0.66994954848831045</v>
      </c>
      <c r="AG126" s="176">
        <f t="shared" si="40"/>
        <v>0</v>
      </c>
      <c r="AH126" s="176">
        <f t="shared" si="41"/>
        <v>6</v>
      </c>
      <c r="AI126" s="225">
        <f t="shared" si="42"/>
        <v>0.66994954848831045</v>
      </c>
      <c r="AJ126" s="265" t="b">
        <f t="shared" si="43"/>
        <v>0</v>
      </c>
      <c r="AK126" s="265" t="b">
        <f t="shared" si="44"/>
        <v>1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6">
        <v>31.861000000000001</v>
      </c>
      <c r="C127" s="390"/>
      <c r="D127" s="393">
        <f t="shared" si="24"/>
        <v>32.05809418664429</v>
      </c>
      <c r="E127" s="385">
        <f t="shared" si="46"/>
        <v>33.504918142474025</v>
      </c>
      <c r="F127" s="385">
        <f t="shared" si="25"/>
        <v>33.52688679253167</v>
      </c>
      <c r="G127" s="110">
        <f t="shared" si="47"/>
        <v>0.5866471879669839</v>
      </c>
      <c r="H127" s="414" t="b">
        <f>Wh_hp&gt;='2018'!Maxi_hp</f>
        <v>1</v>
      </c>
      <c r="I127" s="390">
        <f>IF(H127,Wh_hp,'2018'!Maxi_hp)</f>
        <v>33.52688679253167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6.1480319290596608E-3</v>
      </c>
      <c r="M127" s="843"/>
      <c r="N127" s="843"/>
      <c r="O127" s="48">
        <f>IF(t&lt;Tnet,'2018'!Resal+('2018'!Salim-'2018'!Resal)*(1-EXP(('2018'!Tnet-t)/('2018'!Tau_j))),Resal+(Salim-Resal)*(1-EXP((Tnet-t)/(Tau_j))))*Salcycl</f>
        <v>4.3182435177944983E-2</v>
      </c>
      <c r="P127" s="169">
        <f>(INDEX(Models!$BJ127:$BT127,,T127)*(1-R127)+INDEX(Models!$BJ127:$BT127,,T127+1)*R127-ERP_i)*Q127*Ramure*Pc/MaxiM</f>
        <v>1.5970660079018641E-3</v>
      </c>
      <c r="Q127" s="305">
        <f t="shared" si="27"/>
        <v>0.8</v>
      </c>
      <c r="R127" s="177">
        <f t="shared" si="28"/>
        <v>0.67255651129315053</v>
      </c>
      <c r="S127" s="809">
        <f t="shared" si="29"/>
        <v>0</v>
      </c>
      <c r="T127" s="176">
        <f t="shared" si="30"/>
        <v>6</v>
      </c>
      <c r="U127" s="251">
        <f t="shared" si="31"/>
        <v>0.67255651129315053</v>
      </c>
      <c r="V127" s="383">
        <f t="shared" si="32"/>
        <v>54.259142339010879</v>
      </c>
      <c r="W127" s="58"/>
      <c r="X127" s="157">
        <f t="shared" si="33"/>
        <v>43578</v>
      </c>
      <c r="Y127" s="385">
        <f t="shared" si="34"/>
        <v>31.861000000000001</v>
      </c>
      <c r="Z127" s="385">
        <f t="shared" si="35"/>
        <v>32.05809418664429</v>
      </c>
      <c r="AA127" s="386">
        <f t="shared" si="36"/>
        <v>33.504918142474025</v>
      </c>
      <c r="AB127" s="197">
        <f t="shared" si="37"/>
        <v>43578</v>
      </c>
      <c r="AC127" s="425">
        <f>IF(OR(t&lt;Tnet,NoTnet),'2018'!Resal_s+('2018'!Salim-'2018'!Resal_s)*(1-EXP(('2018'!Tnet_s-t)/'2018'!Tau_j)),Resal_s+(Salim-Resal_s)*(1-EXP((Tnet_s-t)/Tau_j)))*Salcycl</f>
        <v>4.3182435177944983E-2</v>
      </c>
      <c r="AD127" s="231">
        <f>(INDEX(Models!$BJ127:$BT127,,AH127)*(1-AF127)+INDEX(Models!$BJ127:$BT127,,AH127+1)*AF127-ERP_i)*AE127*Ramure*Pc/MaxiM</f>
        <v>1.5970660079018641E-3</v>
      </c>
      <c r="AE127" s="305">
        <f t="shared" si="38"/>
        <v>0.8</v>
      </c>
      <c r="AF127" s="177">
        <f t="shared" si="39"/>
        <v>0.67255651129315053</v>
      </c>
      <c r="AG127" s="176">
        <f t="shared" si="40"/>
        <v>0</v>
      </c>
      <c r="AH127" s="176">
        <f t="shared" si="41"/>
        <v>6</v>
      </c>
      <c r="AI127" s="225">
        <f t="shared" si="42"/>
        <v>0.67255651129315053</v>
      </c>
      <c r="AJ127" s="265" t="b">
        <f t="shared" si="43"/>
        <v>0</v>
      </c>
      <c r="AK127" s="265" t="b">
        <f t="shared" si="44"/>
        <v>1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6">
        <v>48.704999999999998</v>
      </c>
      <c r="C128" s="390"/>
      <c r="D128" s="393">
        <f t="shared" si="24"/>
        <v>49.007432724029336</v>
      </c>
      <c r="E128" s="385">
        <f t="shared" si="46"/>
        <v>51.227687057106607</v>
      </c>
      <c r="F128" s="385">
        <f t="shared" si="25"/>
        <v>51.294410518399886</v>
      </c>
      <c r="G128" s="110">
        <f t="shared" si="47"/>
        <v>0.89350402779604987</v>
      </c>
      <c r="H128" s="414" t="b">
        <f>Wh_hp&gt;='2018'!Maxi_hp</f>
        <v>1</v>
      </c>
      <c r="I128" s="390">
        <f>IF(H128,Wh_hp,'2018'!Maxi_hp)</f>
        <v>51.294410518399886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6.1711603162809547E-3</v>
      </c>
      <c r="M128" s="843"/>
      <c r="N128" s="843"/>
      <c r="O128" s="48">
        <f>IF(t&lt;Tnet,'2018'!Resal+('2018'!Salim-'2018'!Resal)*(1-EXP(('2018'!Tnet-t)/('2018'!Tau_j))),Resal+(Salim-Resal)*(1-EXP((Tnet-t)/(Tau_j))))*Salcycl</f>
        <v>4.3340905292136613E-2</v>
      </c>
      <c r="P128" s="169">
        <f>(INDEX(Models!$BJ128:$BT128,,T128)*(1-R128)+INDEX(Models!$BJ128:$BT128,,T128+1)*R128-ERP_i)*Q128*Ramure*Pc/MaxiM</f>
        <v>1.533664733849341E-3</v>
      </c>
      <c r="Q128" s="305">
        <f t="shared" si="27"/>
        <v>0.8</v>
      </c>
      <c r="R128" s="177">
        <f t="shared" si="28"/>
        <v>0.6752457105570483</v>
      </c>
      <c r="S128" s="809">
        <f t="shared" si="29"/>
        <v>0</v>
      </c>
      <c r="T128" s="176">
        <f t="shared" si="30"/>
        <v>6</v>
      </c>
      <c r="U128" s="251">
        <f t="shared" si="31"/>
        <v>0.6752457105570483</v>
      </c>
      <c r="V128" s="383">
        <f t="shared" si="32"/>
        <v>54.497396478558898</v>
      </c>
      <c r="W128" s="58"/>
      <c r="X128" s="157">
        <f t="shared" si="33"/>
        <v>43579</v>
      </c>
      <c r="Y128" s="385">
        <f t="shared" si="34"/>
        <v>48.704999999999998</v>
      </c>
      <c r="Z128" s="385">
        <f t="shared" si="35"/>
        <v>49.007432724029336</v>
      </c>
      <c r="AA128" s="386">
        <f t="shared" si="36"/>
        <v>51.227687057106607</v>
      </c>
      <c r="AB128" s="197">
        <f t="shared" si="37"/>
        <v>43579</v>
      </c>
      <c r="AC128" s="425">
        <f>IF(OR(t&lt;Tnet,NoTnet),'2018'!Resal_s+('2018'!Salim-'2018'!Resal_s)*(1-EXP(('2018'!Tnet_s-t)/'2018'!Tau_j)),Resal_s+(Salim-Resal_s)*(1-EXP((Tnet_s-t)/Tau_j)))*Salcycl</f>
        <v>4.3340905292136613E-2</v>
      </c>
      <c r="AD128" s="231">
        <f>(INDEX(Models!$BJ128:$BT128,,AH128)*(1-AF128)+INDEX(Models!$BJ128:$BT128,,AH128+1)*AF128-ERP_i)*AE128*Ramure*Pc/MaxiM</f>
        <v>1.533664733849341E-3</v>
      </c>
      <c r="AE128" s="305">
        <f t="shared" si="38"/>
        <v>0.8</v>
      </c>
      <c r="AF128" s="177">
        <f t="shared" si="39"/>
        <v>0.6752457105570483</v>
      </c>
      <c r="AG128" s="176">
        <f t="shared" si="40"/>
        <v>0</v>
      </c>
      <c r="AH128" s="176">
        <f t="shared" si="41"/>
        <v>6</v>
      </c>
      <c r="AI128" s="225">
        <f t="shared" si="42"/>
        <v>0.6752457105570483</v>
      </c>
      <c r="AJ128" s="265" t="b">
        <f t="shared" si="43"/>
        <v>0</v>
      </c>
      <c r="AK128" s="265" t="b">
        <f t="shared" si="44"/>
        <v>1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6">
        <v>34.011000000000003</v>
      </c>
      <c r="C129" s="390"/>
      <c r="D129" s="393">
        <f t="shared" si="24"/>
        <v>34.222987043624549</v>
      </c>
      <c r="E129" s="385">
        <f t="shared" si="46"/>
        <v>35.77938870060467</v>
      </c>
      <c r="F129" s="385">
        <f t="shared" si="25"/>
        <v>35.803730650991298</v>
      </c>
      <c r="G129" s="110">
        <f t="shared" si="47"/>
        <v>0.62094493636131343</v>
      </c>
      <c r="H129" s="414" t="b">
        <f>Wh_hp&gt;='2018'!Maxi_hp</f>
        <v>1</v>
      </c>
      <c r="I129" s="390">
        <f>IF(H129,Wh_hp,'2018'!Maxi_hp)</f>
        <v>35.803730650991298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6.1942881652709003E-3</v>
      </c>
      <c r="M129" s="843"/>
      <c r="N129" s="843"/>
      <c r="O129" s="48">
        <f>IF(t&lt;Tnet,'2018'!Resal+('2018'!Salim-'2018'!Resal)*(1-EXP(('2018'!Tnet-t)/('2018'!Tau_j))),Resal+(Salim-Resal)*(1-EXP((Tnet-t)/(Tau_j))))*Salcycl</f>
        <v>4.3499951047341931E-2</v>
      </c>
      <c r="P129" s="169">
        <f>(INDEX(Models!$BJ129:$BT129,,T129)*(1-R129)+INDEX(Models!$BJ129:$BT129,,T129+1)*R129-ERP_i)*Q129*Ramure*Pc/MaxiM</f>
        <v>1.4805441607659421E-3</v>
      </c>
      <c r="Q129" s="305">
        <f t="shared" si="27"/>
        <v>0.8</v>
      </c>
      <c r="R129" s="177">
        <f t="shared" si="28"/>
        <v>0.67801872036300725</v>
      </c>
      <c r="S129" s="809">
        <f t="shared" si="29"/>
        <v>0</v>
      </c>
      <c r="T129" s="176">
        <f t="shared" si="30"/>
        <v>6</v>
      </c>
      <c r="U129" s="251">
        <f t="shared" si="31"/>
        <v>0.67801872036300725</v>
      </c>
      <c r="V129" s="383">
        <f t="shared" si="32"/>
        <v>54.729087587449833</v>
      </c>
      <c r="W129" s="58"/>
      <c r="X129" s="157">
        <f t="shared" si="33"/>
        <v>43580</v>
      </c>
      <c r="Y129" s="385">
        <f t="shared" si="34"/>
        <v>34.011000000000003</v>
      </c>
      <c r="Z129" s="385">
        <f t="shared" si="35"/>
        <v>34.222987043624549</v>
      </c>
      <c r="AA129" s="386">
        <f t="shared" si="36"/>
        <v>35.77938870060467</v>
      </c>
      <c r="AB129" s="197">
        <f t="shared" si="37"/>
        <v>43580</v>
      </c>
      <c r="AC129" s="425">
        <f>IF(OR(t&lt;Tnet,NoTnet),'2018'!Resal_s+('2018'!Salim-'2018'!Resal_s)*(1-EXP(('2018'!Tnet_s-t)/'2018'!Tau_j)),Resal_s+(Salim-Resal_s)*(1-EXP((Tnet_s-t)/Tau_j)))*Salcycl</f>
        <v>4.3499951047341931E-2</v>
      </c>
      <c r="AD129" s="231">
        <f>(INDEX(Models!$BJ129:$BT129,,AH129)*(1-AF129)+INDEX(Models!$BJ129:$BT129,,AH129+1)*AF129-ERP_i)*AE129*Ramure*Pc/MaxiM</f>
        <v>1.4805441607659421E-3</v>
      </c>
      <c r="AE129" s="305">
        <f t="shared" si="38"/>
        <v>0.8</v>
      </c>
      <c r="AF129" s="177">
        <f t="shared" si="39"/>
        <v>0.67801872036300725</v>
      </c>
      <c r="AG129" s="176">
        <f t="shared" si="40"/>
        <v>0</v>
      </c>
      <c r="AH129" s="176">
        <f t="shared" si="41"/>
        <v>6</v>
      </c>
      <c r="AI129" s="225">
        <f t="shared" si="42"/>
        <v>0.67801872036300725</v>
      </c>
      <c r="AJ129" s="265" t="b">
        <f t="shared" si="43"/>
        <v>0</v>
      </c>
      <c r="AK129" s="265" t="b">
        <f t="shared" si="44"/>
        <v>1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6">
        <v>29.116</v>
      </c>
      <c r="C130" s="390"/>
      <c r="D130" s="393">
        <f t="shared" si="24"/>
        <v>29.298158826104959</v>
      </c>
      <c r="E130" s="385">
        <f t="shared" si="46"/>
        <v>30.635700567584834</v>
      </c>
      <c r="F130" s="385">
        <f t="shared" si="25"/>
        <v>30.650168987381477</v>
      </c>
      <c r="G130" s="110">
        <f t="shared" si="47"/>
        <v>0.52931104983786925</v>
      </c>
      <c r="H130" s="414" t="b">
        <f>Wh_hp&gt;='2018'!Maxi_hp</f>
        <v>1</v>
      </c>
      <c r="I130" s="390">
        <f>IF(H130,Wh_hp,'2018'!Maxi_hp)</f>
        <v>30.650168987381477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6.217415476041932E-3</v>
      </c>
      <c r="M130" s="843"/>
      <c r="N130" s="843"/>
      <c r="O130" s="48">
        <f>IF(t&lt;Tnet,'2018'!Resal+('2018'!Salim-'2018'!Resal)*(1-EXP(('2018'!Tnet-t)/('2018'!Tau_j))),Resal+(Salim-Resal)*(1-EXP((Tnet-t)/(Tau_j))))*Salcycl</f>
        <v>4.3659577443941534E-2</v>
      </c>
      <c r="P130" s="169">
        <f>(INDEX(Models!$BJ130:$BT130,,T130)*(1-R130)+INDEX(Models!$BJ130:$BT130,,T130+1)*R130-ERP_i)*Q130*Ramure*Pc/MaxiM</f>
        <v>1.4377813893711945E-3</v>
      </c>
      <c r="Q130" s="305">
        <f t="shared" si="27"/>
        <v>0.8</v>
      </c>
      <c r="R130" s="177">
        <f t="shared" si="28"/>
        <v>0.68087706849643803</v>
      </c>
      <c r="S130" s="809">
        <f t="shared" si="29"/>
        <v>0</v>
      </c>
      <c r="T130" s="176">
        <f t="shared" si="30"/>
        <v>6</v>
      </c>
      <c r="U130" s="251">
        <f t="shared" si="31"/>
        <v>0.68087706849643803</v>
      </c>
      <c r="V130" s="383">
        <f t="shared" si="32"/>
        <v>54.954206040930487</v>
      </c>
      <c r="W130" s="58"/>
      <c r="X130" s="157">
        <f t="shared" si="33"/>
        <v>43581</v>
      </c>
      <c r="Y130" s="385">
        <f t="shared" si="34"/>
        <v>29.116</v>
      </c>
      <c r="Z130" s="385">
        <f t="shared" si="35"/>
        <v>29.298158826104959</v>
      </c>
      <c r="AA130" s="386">
        <f t="shared" si="36"/>
        <v>30.635700567584834</v>
      </c>
      <c r="AB130" s="197">
        <f t="shared" si="37"/>
        <v>43581</v>
      </c>
      <c r="AC130" s="425">
        <f>IF(OR(t&lt;Tnet,NoTnet),'2018'!Resal_s+('2018'!Salim-'2018'!Resal_s)*(1-EXP(('2018'!Tnet_s-t)/'2018'!Tau_j)),Resal_s+(Salim-Resal_s)*(1-EXP((Tnet_s-t)/Tau_j)))*Salcycl</f>
        <v>4.3659577443941534E-2</v>
      </c>
      <c r="AD130" s="231">
        <f>(INDEX(Models!$BJ130:$BT130,,AH130)*(1-AF130)+INDEX(Models!$BJ130:$BT130,,AH130+1)*AF130-ERP_i)*AE130*Ramure*Pc/MaxiM</f>
        <v>1.4377813893711945E-3</v>
      </c>
      <c r="AE130" s="305">
        <f t="shared" si="38"/>
        <v>0.8</v>
      </c>
      <c r="AF130" s="177">
        <f t="shared" si="39"/>
        <v>0.68087706849643803</v>
      </c>
      <c r="AG130" s="176">
        <f t="shared" si="40"/>
        <v>0</v>
      </c>
      <c r="AH130" s="176">
        <f t="shared" si="41"/>
        <v>6</v>
      </c>
      <c r="AI130" s="225">
        <f t="shared" si="42"/>
        <v>0.68087706849643803</v>
      </c>
      <c r="AJ130" s="265" t="b">
        <f t="shared" si="43"/>
        <v>0</v>
      </c>
      <c r="AK130" s="265" t="b">
        <f t="shared" si="44"/>
        <v>1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6">
        <v>29.472000000000001</v>
      </c>
      <c r="C131" s="390"/>
      <c r="D131" s="393">
        <f t="shared" si="24"/>
        <v>29.657076237228576</v>
      </c>
      <c r="E131" s="385">
        <f t="shared" si="46"/>
        <v>31.01619953669751</v>
      </c>
      <c r="F131" s="385">
        <f t="shared" si="25"/>
        <v>31.030789783278504</v>
      </c>
      <c r="G131" s="110">
        <f t="shared" si="47"/>
        <v>0.53367698331862479</v>
      </c>
      <c r="H131" s="414" t="b">
        <f>Wh_hp&gt;='2018'!Maxi_hp</f>
        <v>1</v>
      </c>
      <c r="I131" s="390">
        <f>IF(H131,Wh_hp,'2018'!Maxi_hp)</f>
        <v>31.030789783278504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6.2405422486067064E-3</v>
      </c>
      <c r="M131" s="843"/>
      <c r="N131" s="843"/>
      <c r="O131" s="48">
        <f>IF(t&lt;Tnet,'2018'!Resal+('2018'!Salim-'2018'!Resal)*(1-EXP(('2018'!Tnet-t)/('2018'!Tau_j))),Resal+(Salim-Resal)*(1-EXP((Tnet-t)/(Tau_j))))*Salcycl</f>
        <v>4.3819788361267632E-2</v>
      </c>
      <c r="P131" s="169">
        <f>(INDEX(Models!$BJ131:$BT131,,T131)*(1-R131)+INDEX(Models!$BJ131:$BT131,,T131+1)*R131-ERP_i)*Q131*Ramure*Pc/MaxiM</f>
        <v>1.4054775759179204E-3</v>
      </c>
      <c r="Q131" s="305">
        <f t="shared" si="27"/>
        <v>0.8</v>
      </c>
      <c r="R131" s="177">
        <f t="shared" si="28"/>
        <v>0.68382222968100004</v>
      </c>
      <c r="S131" s="809">
        <f t="shared" si="29"/>
        <v>0</v>
      </c>
      <c r="T131" s="176">
        <f t="shared" si="30"/>
        <v>6</v>
      </c>
      <c r="U131" s="251">
        <f t="shared" si="31"/>
        <v>0.68382222968100004</v>
      </c>
      <c r="V131" s="383">
        <f t="shared" si="32"/>
        <v>55.17274127191039</v>
      </c>
      <c r="W131" s="58"/>
      <c r="X131" s="157">
        <f t="shared" si="33"/>
        <v>43582</v>
      </c>
      <c r="Y131" s="385">
        <f t="shared" si="34"/>
        <v>29.472000000000001</v>
      </c>
      <c r="Z131" s="385">
        <f t="shared" si="35"/>
        <v>29.657076237228576</v>
      </c>
      <c r="AA131" s="386">
        <f t="shared" si="36"/>
        <v>31.01619953669751</v>
      </c>
      <c r="AB131" s="197">
        <f t="shared" si="37"/>
        <v>43582</v>
      </c>
      <c r="AC131" s="425">
        <f>IF(OR(t&lt;Tnet,NoTnet),'2018'!Resal_s+('2018'!Salim-'2018'!Resal_s)*(1-EXP(('2018'!Tnet_s-t)/'2018'!Tau_j)),Resal_s+(Salim-Resal_s)*(1-EXP((Tnet_s-t)/Tau_j)))*Salcycl</f>
        <v>4.3819788361267632E-2</v>
      </c>
      <c r="AD131" s="231">
        <f>(INDEX(Models!$BJ131:$BT131,,AH131)*(1-AF131)+INDEX(Models!$BJ131:$BT131,,AH131+1)*AF131-ERP_i)*AE131*Ramure*Pc/MaxiM</f>
        <v>1.4054775759179204E-3</v>
      </c>
      <c r="AE131" s="305">
        <f t="shared" si="38"/>
        <v>0.8</v>
      </c>
      <c r="AF131" s="177">
        <f t="shared" si="39"/>
        <v>0.68382222968100004</v>
      </c>
      <c r="AG131" s="176">
        <f t="shared" si="40"/>
        <v>0</v>
      </c>
      <c r="AH131" s="176">
        <f t="shared" si="41"/>
        <v>6</v>
      </c>
      <c r="AI131" s="225">
        <f t="shared" si="42"/>
        <v>0.68382222968100004</v>
      </c>
      <c r="AJ131" s="265" t="b">
        <f t="shared" si="43"/>
        <v>0</v>
      </c>
      <c r="AK131" s="265" t="b">
        <f t="shared" si="44"/>
        <v>1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6">
        <v>41.606000000000002</v>
      </c>
      <c r="C132" s="390"/>
      <c r="D132" s="393">
        <f t="shared" si="24"/>
        <v>41.868248830637938</v>
      </c>
      <c r="E132" s="385">
        <f t="shared" si="46"/>
        <v>43.794350030386653</v>
      </c>
      <c r="F132" s="385">
        <f t="shared" si="25"/>
        <v>43.833448045184817</v>
      </c>
      <c r="G132" s="110">
        <f t="shared" si="47"/>
        <v>0.75084877239670711</v>
      </c>
      <c r="H132" s="414" t="b">
        <f>Wh_hp&gt;='2018'!Maxi_hp</f>
        <v>1</v>
      </c>
      <c r="I132" s="390">
        <f>IF(H132,Wh_hp,'2018'!Maxi_hp)</f>
        <v>43.833448045184817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6.2636684829777689E-3</v>
      </c>
      <c r="M132" s="843"/>
      <c r="N132" s="843"/>
      <c r="O132" s="48">
        <f>IF(t&lt;Tnet,'2018'!Resal+('2018'!Salim-'2018'!Resal)*(1-EXP(('2018'!Tnet-t)/('2018'!Tau_j))),Resal+(Salim-Resal)*(1-EXP((Tnet-t)/(Tau_j))))*Salcycl</f>
        <v>4.3980586500594145E-2</v>
      </c>
      <c r="P132" s="169">
        <f>(INDEX(Models!$BJ132:$BT132,,T132)*(1-R132)+INDEX(Models!$BJ132:$BT132,,T132+1)*R132-ERP_i)*Q132*Ramure*Pc/MaxiM</f>
        <v>1.3837580865089288E-3</v>
      </c>
      <c r="Q132" s="305">
        <f t="shared" si="27"/>
        <v>0.8</v>
      </c>
      <c r="R132" s="177">
        <f t="shared" si="28"/>
        <v>0.68685561853245281</v>
      </c>
      <c r="S132" s="809">
        <f t="shared" si="29"/>
        <v>0</v>
      </c>
      <c r="T132" s="176">
        <f t="shared" si="30"/>
        <v>6</v>
      </c>
      <c r="U132" s="251">
        <f t="shared" si="31"/>
        <v>0.68685561853245281</v>
      </c>
      <c r="V132" s="383">
        <f t="shared" si="32"/>
        <v>55.384681744134973</v>
      </c>
      <c r="W132" s="58"/>
      <c r="X132" s="157">
        <f t="shared" si="33"/>
        <v>43583</v>
      </c>
      <c r="Y132" s="385">
        <f t="shared" si="34"/>
        <v>41.606000000000002</v>
      </c>
      <c r="Z132" s="385">
        <f t="shared" si="35"/>
        <v>41.868248830637938</v>
      </c>
      <c r="AA132" s="386">
        <f t="shared" si="36"/>
        <v>43.794350030386653</v>
      </c>
      <c r="AB132" s="197">
        <f t="shared" si="37"/>
        <v>43583</v>
      </c>
      <c r="AC132" s="425">
        <f>IF(OR(t&lt;Tnet,NoTnet),'2018'!Resal_s+('2018'!Salim-'2018'!Resal_s)*(1-EXP(('2018'!Tnet_s-t)/'2018'!Tau_j)),Resal_s+(Salim-Resal_s)*(1-EXP((Tnet_s-t)/Tau_j)))*Salcycl</f>
        <v>4.3980586500594145E-2</v>
      </c>
      <c r="AD132" s="231">
        <f>(INDEX(Models!$BJ132:$BT132,,AH132)*(1-AF132)+INDEX(Models!$BJ132:$BT132,,AH132+1)*AF132-ERP_i)*AE132*Ramure*Pc/MaxiM</f>
        <v>1.3837580865089288E-3</v>
      </c>
      <c r="AE132" s="305">
        <f t="shared" si="38"/>
        <v>0.8</v>
      </c>
      <c r="AF132" s="177">
        <f t="shared" si="39"/>
        <v>0.68685561853245281</v>
      </c>
      <c r="AG132" s="176">
        <f t="shared" si="40"/>
        <v>0</v>
      </c>
      <c r="AH132" s="176">
        <f t="shared" si="41"/>
        <v>6</v>
      </c>
      <c r="AI132" s="225">
        <f t="shared" si="42"/>
        <v>0.68685561853245281</v>
      </c>
      <c r="AJ132" s="265" t="b">
        <f t="shared" si="43"/>
        <v>0</v>
      </c>
      <c r="AK132" s="265" t="b">
        <f t="shared" si="44"/>
        <v>1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6">
        <v>50.776000000000003</v>
      </c>
      <c r="C133" s="390"/>
      <c r="D133" s="393">
        <f t="shared" si="24"/>
        <v>51.097237817281218</v>
      </c>
      <c r="E133" s="385">
        <f t="shared" si="46"/>
        <v>53.456932296918403</v>
      </c>
      <c r="F133" s="385">
        <f t="shared" si="25"/>
        <v>53.521315436728898</v>
      </c>
      <c r="G133" s="110">
        <f t="shared" si="47"/>
        <v>0.9132461369232785</v>
      </c>
      <c r="H133" s="414" t="b">
        <f>Wh_hp&gt;='2018'!Maxi_hp</f>
        <v>1</v>
      </c>
      <c r="I133" s="390">
        <f>IF(H133,Wh_hp,'2018'!Maxi_hp)</f>
        <v>53.521315436728898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6.2867941791674431E-3</v>
      </c>
      <c r="M133" s="843"/>
      <c r="N133" s="843"/>
      <c r="O133" s="48">
        <f>IF(t&lt;Tnet,'2018'!Resal+('2018'!Salim-'2018'!Resal)*(1-EXP(('2018'!Tnet-t)/('2018'!Tau_j))),Resal+(Salim-Resal)*(1-EXP((Tnet-t)/(Tau_j))))*Salcycl</f>
        <v>4.4141973327811189E-2</v>
      </c>
      <c r="P133" s="169">
        <f>(INDEX(Models!$BJ133:$BT133,,T133)*(1-R133)+INDEX(Models!$BJ133:$BT133,,T133+1)*R133-ERP_i)*Q133*Ramure*Pc/MaxiM</f>
        <v>1.3727726508899886E-3</v>
      </c>
      <c r="Q133" s="305">
        <f t="shared" si="27"/>
        <v>0.8</v>
      </c>
      <c r="R133" s="177">
        <f t="shared" si="28"/>
        <v>0.68997858224581132</v>
      </c>
      <c r="S133" s="809">
        <f t="shared" si="29"/>
        <v>0</v>
      </c>
      <c r="T133" s="176">
        <f t="shared" si="30"/>
        <v>6</v>
      </c>
      <c r="U133" s="251">
        <f t="shared" si="31"/>
        <v>0.68997858224581132</v>
      </c>
      <c r="V133" s="383">
        <f t="shared" si="32"/>
        <v>55.590014933457574</v>
      </c>
      <c r="W133" s="58"/>
      <c r="X133" s="157">
        <f t="shared" si="33"/>
        <v>43584</v>
      </c>
      <c r="Y133" s="385">
        <f t="shared" si="34"/>
        <v>50.776000000000003</v>
      </c>
      <c r="Z133" s="385">
        <f t="shared" si="35"/>
        <v>51.097237817281218</v>
      </c>
      <c r="AA133" s="386">
        <f t="shared" si="36"/>
        <v>53.456932296918403</v>
      </c>
      <c r="AB133" s="197">
        <f t="shared" si="37"/>
        <v>43584</v>
      </c>
      <c r="AC133" s="425">
        <f>IF(OR(t&lt;Tnet,NoTnet),'2018'!Resal_s+('2018'!Salim-'2018'!Resal_s)*(1-EXP(('2018'!Tnet_s-t)/'2018'!Tau_j)),Resal_s+(Salim-Resal_s)*(1-EXP((Tnet_s-t)/Tau_j)))*Salcycl</f>
        <v>4.4141973327811189E-2</v>
      </c>
      <c r="AD133" s="231">
        <f>(INDEX(Models!$BJ133:$BT133,,AH133)*(1-AF133)+INDEX(Models!$BJ133:$BT133,,AH133+1)*AF133-ERP_i)*AE133*Ramure*Pc/MaxiM</f>
        <v>1.3727726508899886E-3</v>
      </c>
      <c r="AE133" s="305">
        <f t="shared" si="38"/>
        <v>0.8</v>
      </c>
      <c r="AF133" s="177">
        <f t="shared" si="39"/>
        <v>0.68997858224581132</v>
      </c>
      <c r="AG133" s="176">
        <f t="shared" si="40"/>
        <v>0</v>
      </c>
      <c r="AH133" s="176">
        <f t="shared" si="41"/>
        <v>6</v>
      </c>
      <c r="AI133" s="225">
        <f t="shared" si="42"/>
        <v>0.68997858224581132</v>
      </c>
      <c r="AJ133" s="265" t="b">
        <f t="shared" si="43"/>
        <v>0</v>
      </c>
      <c r="AK133" s="265" t="b">
        <f t="shared" si="44"/>
        <v>1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6">
        <v>56.076999999999998</v>
      </c>
      <c r="C134" s="390"/>
      <c r="D134" s="393">
        <f t="shared" si="24"/>
        <v>56.433088234709459</v>
      </c>
      <c r="E134" s="385">
        <f t="shared" si="46"/>
        <v>59.049201026430708</v>
      </c>
      <c r="F134" s="385">
        <f t="shared" si="25"/>
        <v>59.130369018521904</v>
      </c>
      <c r="G134" s="110">
        <f t="shared" si="47"/>
        <v>1.0051672211569245</v>
      </c>
      <c r="H134" s="414" t="b">
        <f>Wh_hp&gt;='2018'!Maxi_hp</f>
        <v>1</v>
      </c>
      <c r="I134" s="390">
        <f>IF(H134,Wh_hp,'2018'!Maxi_hp)</f>
        <v>59.130369018521904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6.3099193371884965E-3</v>
      </c>
      <c r="M134" s="843"/>
      <c r="N134" s="843"/>
      <c r="O134" s="48">
        <f>IF(t&lt;Tnet,'2018'!Resal+('2018'!Salim-'2018'!Resal)*(1-EXP(('2018'!Tnet-t)/('2018'!Tau_j))),Resal+(Salim-Resal)*(1-EXP((Tnet-t)/(Tau_j))))*Salcycl</f>
        <v>4.4303949016181704E-2</v>
      </c>
      <c r="P134" s="169">
        <f>(INDEX(Models!$BJ134:$BT134,,T134)*(1-R134)+INDEX(Models!$BJ134:$BT134,,T134+1)*R134-ERP_i)*Q134*Ramure*Pc/MaxiM</f>
        <v>1.3726955105889801E-3</v>
      </c>
      <c r="Q134" s="305">
        <f t="shared" si="27"/>
        <v>0.8</v>
      </c>
      <c r="R134" s="177">
        <f t="shared" si="28"/>
        <v>0.69319239303454627</v>
      </c>
      <c r="S134" s="809">
        <f t="shared" si="29"/>
        <v>0</v>
      </c>
      <c r="T134" s="176">
        <f t="shared" si="30"/>
        <v>6</v>
      </c>
      <c r="U134" s="251">
        <f t="shared" si="31"/>
        <v>0.69319239303454627</v>
      </c>
      <c r="V134" s="383">
        <f t="shared" si="32"/>
        <v>55.788727307936547</v>
      </c>
      <c r="W134" s="58"/>
      <c r="X134" s="157">
        <f t="shared" si="33"/>
        <v>43585</v>
      </c>
      <c r="Y134" s="385">
        <f t="shared" si="34"/>
        <v>56.076999999999998</v>
      </c>
      <c r="Z134" s="385">
        <f t="shared" si="35"/>
        <v>56.433088234709459</v>
      </c>
      <c r="AA134" s="386">
        <f t="shared" si="36"/>
        <v>59.049201026430708</v>
      </c>
      <c r="AB134" s="197">
        <f t="shared" si="37"/>
        <v>43585</v>
      </c>
      <c r="AC134" s="425">
        <f>IF(OR(t&lt;Tnet,NoTnet),'2018'!Resal_s+('2018'!Salim-'2018'!Resal_s)*(1-EXP(('2018'!Tnet_s-t)/'2018'!Tau_j)),Resal_s+(Salim-Resal_s)*(1-EXP((Tnet_s-t)/Tau_j)))*Salcycl</f>
        <v>4.4303949016181704E-2</v>
      </c>
      <c r="AD134" s="231">
        <f>(INDEX(Models!$BJ134:$BT134,,AH134)*(1-AF134)+INDEX(Models!$BJ134:$BT134,,AH134+1)*AF134-ERP_i)*AE134*Ramure*Pc/MaxiM</f>
        <v>1.3726955105889801E-3</v>
      </c>
      <c r="AE134" s="305">
        <f t="shared" si="38"/>
        <v>0.8</v>
      </c>
      <c r="AF134" s="177">
        <f t="shared" si="39"/>
        <v>0.69319239303454627</v>
      </c>
      <c r="AG134" s="176">
        <f t="shared" si="40"/>
        <v>0</v>
      </c>
      <c r="AH134" s="176">
        <f t="shared" si="41"/>
        <v>6</v>
      </c>
      <c r="AI134" s="225">
        <f t="shared" si="42"/>
        <v>0.69319239303454627</v>
      </c>
      <c r="AJ134" s="265" t="b">
        <f t="shared" si="43"/>
        <v>0</v>
      </c>
      <c r="AK134" s="265" t="b">
        <f t="shared" si="44"/>
        <v>1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6">
        <v>50.85</v>
      </c>
      <c r="C135" s="390"/>
      <c r="D135" s="393">
        <f t="shared" si="24"/>
        <v>51.174087747164897</v>
      </c>
      <c r="E135" s="385">
        <f t="shared" si="46"/>
        <v>53.555514705342418</v>
      </c>
      <c r="F135" s="385">
        <f t="shared" si="25"/>
        <v>53.619994148118579</v>
      </c>
      <c r="G135" s="110">
        <f t="shared" si="47"/>
        <v>0.90817488353181663</v>
      </c>
      <c r="H135" s="414" t="b">
        <f>Wh_hp&gt;='2018'!Maxi_hp</f>
        <v>1</v>
      </c>
      <c r="I135" s="390">
        <f>IF(H135,Wh_hp,'2018'!Maxi_hp)</f>
        <v>53.619994148118579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6.3330439570532526E-3</v>
      </c>
      <c r="M135" s="843"/>
      <c r="N135" s="843"/>
      <c r="O135" s="48">
        <f>IF(t&lt;Tnet,'2018'!Resal+('2018'!Salim-'2018'!Resal)*(1-EXP(('2018'!Tnet-t)/('2018'!Tau_j))),Resal+(Salim-Resal)*(1-EXP((Tnet-t)/(Tau_j))))*Salcycl</f>
        <v>4.4466512389618906E-2</v>
      </c>
      <c r="P135" s="169">
        <f>(INDEX(Models!$BJ135:$BT135,,T135)*(1-R135)+INDEX(Models!$BJ135:$BT135,,T135+1)*R135-ERP_i)*Q135*Ramure*Pc/MaxiM</f>
        <v>1.3837142747567955E-3</v>
      </c>
      <c r="Q135" s="305">
        <f t="shared" si="27"/>
        <v>0.8</v>
      </c>
      <c r="R135" s="177">
        <f t="shared" si="28"/>
        <v>0.69649824034421826</v>
      </c>
      <c r="S135" s="809">
        <f t="shared" si="29"/>
        <v>0</v>
      </c>
      <c r="T135" s="176">
        <f t="shared" si="30"/>
        <v>6</v>
      </c>
      <c r="U135" s="251">
        <f t="shared" si="31"/>
        <v>0.69649824034421826</v>
      </c>
      <c r="V135" s="383">
        <f t="shared" si="32"/>
        <v>55.981261330633544</v>
      </c>
      <c r="W135" s="58"/>
      <c r="X135" s="157">
        <f t="shared" si="33"/>
        <v>43586</v>
      </c>
      <c r="Y135" s="385">
        <f t="shared" si="34"/>
        <v>50.85</v>
      </c>
      <c r="Z135" s="385">
        <f t="shared" si="35"/>
        <v>51.174087747164897</v>
      </c>
      <c r="AA135" s="386">
        <f t="shared" si="36"/>
        <v>53.555514705342418</v>
      </c>
      <c r="AB135" s="197">
        <f t="shared" si="37"/>
        <v>43586</v>
      </c>
      <c r="AC135" s="425">
        <f>IF(OR(t&lt;Tnet,NoTnet),'2018'!Resal_s+('2018'!Salim-'2018'!Resal_s)*(1-EXP(('2018'!Tnet_s-t)/'2018'!Tau_j)),Resal_s+(Salim-Resal_s)*(1-EXP((Tnet_s-t)/Tau_j)))*Salcycl</f>
        <v>4.4466512389618906E-2</v>
      </c>
      <c r="AD135" s="231">
        <f>(INDEX(Models!$BJ135:$BT135,,AH135)*(1-AF135)+INDEX(Models!$BJ135:$BT135,,AH135+1)*AF135-ERP_i)*AE135*Ramure*Pc/MaxiM</f>
        <v>1.3837142747567955E-3</v>
      </c>
      <c r="AE135" s="305">
        <f t="shared" si="38"/>
        <v>0.8</v>
      </c>
      <c r="AF135" s="177">
        <f t="shared" si="39"/>
        <v>0.69649824034421826</v>
      </c>
      <c r="AG135" s="176">
        <f t="shared" si="40"/>
        <v>0</v>
      </c>
      <c r="AH135" s="176">
        <f t="shared" si="41"/>
        <v>6</v>
      </c>
      <c r="AI135" s="225">
        <f t="shared" si="42"/>
        <v>0.69649824034421826</v>
      </c>
      <c r="AJ135" s="265" t="b">
        <f t="shared" si="43"/>
        <v>0</v>
      </c>
      <c r="AK135" s="265" t="b">
        <f t="shared" si="44"/>
        <v>1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6">
        <v>32.633000000000003</v>
      </c>
      <c r="C136" s="390"/>
      <c r="D136" s="393">
        <f t="shared" si="24"/>
        <v>32.841747666857579</v>
      </c>
      <c r="E136" s="385">
        <f t="shared" si="46"/>
        <v>34.375933940612228</v>
      </c>
      <c r="F136" s="385">
        <f t="shared" si="25"/>
        <v>34.395346486180358</v>
      </c>
      <c r="G136" s="110">
        <f t="shared" si="47"/>
        <v>0.58050076276794305</v>
      </c>
      <c r="H136" s="414" t="b">
        <f>Wh_hp&gt;='2018'!Maxi_hp</f>
        <v>1</v>
      </c>
      <c r="I136" s="390">
        <f>IF(H136,Wh_hp,'2018'!Maxi_hp)</f>
        <v>34.395346486180358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6.356168038774368E-3</v>
      </c>
      <c r="M136" s="843"/>
      <c r="N136" s="843"/>
      <c r="O136" s="48">
        <f>IF(t&lt;Tnet,'2018'!Resal+('2018'!Salim-'2018'!Resal)*(1-EXP(('2018'!Tnet-t)/('2018'!Tau_j))),Resal+(Salim-Resal)*(1-EXP((Tnet-t)/(Tau_j))))*Salcycl</f>
        <v>4.4629660866963058E-2</v>
      </c>
      <c r="P136" s="169">
        <f>(INDEX(Models!$BJ136:$BT136,,T136)*(1-R136)+INDEX(Models!$BJ136:$BT136,,T136+1)*R136-ERP_i)*Q136*Ramure*Pc/MaxiM</f>
        <v>1.4060150086405534E-3</v>
      </c>
      <c r="Q136" s="305">
        <f t="shared" si="27"/>
        <v>0.8</v>
      </c>
      <c r="R136" s="177">
        <f t="shared" si="28"/>
        <v>0.69989722286674028</v>
      </c>
      <c r="S136" s="809">
        <f t="shared" si="29"/>
        <v>0</v>
      </c>
      <c r="T136" s="176">
        <f t="shared" si="30"/>
        <v>6</v>
      </c>
      <c r="U136" s="251">
        <f t="shared" si="31"/>
        <v>0.69989722286674028</v>
      </c>
      <c r="V136" s="383">
        <f t="shared" si="32"/>
        <v>56.167919115166555</v>
      </c>
      <c r="W136" s="58"/>
      <c r="X136" s="157">
        <f t="shared" si="33"/>
        <v>43587</v>
      </c>
      <c r="Y136" s="385">
        <f t="shared" si="34"/>
        <v>32.633000000000003</v>
      </c>
      <c r="Z136" s="385">
        <f t="shared" si="35"/>
        <v>32.841747666857579</v>
      </c>
      <c r="AA136" s="386">
        <f t="shared" si="36"/>
        <v>34.375933940612228</v>
      </c>
      <c r="AB136" s="197">
        <f t="shared" si="37"/>
        <v>43587</v>
      </c>
      <c r="AC136" s="425">
        <f>IF(OR(t&lt;Tnet,NoTnet),'2018'!Resal_s+('2018'!Salim-'2018'!Resal_s)*(1-EXP(('2018'!Tnet_s-t)/'2018'!Tau_j)),Resal_s+(Salim-Resal_s)*(1-EXP((Tnet_s-t)/Tau_j)))*Salcycl</f>
        <v>4.4629660866963058E-2</v>
      </c>
      <c r="AD136" s="231">
        <f>(INDEX(Models!$BJ136:$BT136,,AH136)*(1-AF136)+INDEX(Models!$BJ136:$BT136,,AH136+1)*AF136-ERP_i)*AE136*Ramure*Pc/MaxiM</f>
        <v>1.4060150086405534E-3</v>
      </c>
      <c r="AE136" s="305">
        <f t="shared" si="38"/>
        <v>0.8</v>
      </c>
      <c r="AF136" s="177">
        <f t="shared" si="39"/>
        <v>0.69989722286674028</v>
      </c>
      <c r="AG136" s="176">
        <f t="shared" si="40"/>
        <v>0</v>
      </c>
      <c r="AH136" s="176">
        <f t="shared" si="41"/>
        <v>6</v>
      </c>
      <c r="AI136" s="225">
        <f t="shared" si="42"/>
        <v>0.69989722286674028</v>
      </c>
      <c r="AJ136" s="265" t="b">
        <f t="shared" si="43"/>
        <v>0</v>
      </c>
      <c r="AK136" s="265" t="b">
        <f t="shared" si="44"/>
        <v>1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6">
        <v>19.25</v>
      </c>
      <c r="C137" s="390"/>
      <c r="D137" s="393">
        <f t="shared" si="24"/>
        <v>19.373589778192201</v>
      </c>
      <c r="E137" s="385">
        <f t="shared" si="46"/>
        <v>20.282093511122863</v>
      </c>
      <c r="F137" s="385">
        <f t="shared" si="25"/>
        <v>20.283821685932384</v>
      </c>
      <c r="G137" s="110">
        <f t="shared" si="47"/>
        <v>0.34116134529235365</v>
      </c>
      <c r="H137" s="414" t="b">
        <f>Wh_hp&gt;='2018'!Maxi_hp</f>
        <v>1</v>
      </c>
      <c r="I137" s="390">
        <f>IF(H137,Wh_hp,'2018'!Maxi_hp)</f>
        <v>20.283821685932384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6.3792915823643881E-3</v>
      </c>
      <c r="M137" s="843"/>
      <c r="N137" s="843"/>
      <c r="O137" s="48">
        <f>IF(t&lt;Tnet,'2018'!Resal+('2018'!Salim-'2018'!Resal)*(1-EXP(('2018'!Tnet-t)/('2018'!Tau_j))),Resal+(Salim-Resal)*(1-EXP((Tnet-t)/(Tau_j))))*Salcycl</f>
        <v>4.4793390407771833E-2</v>
      </c>
      <c r="P137" s="169">
        <f>(INDEX(Models!$BJ137:$BT137,,T137)*(1-R137)+INDEX(Models!$BJ137:$BT137,,T137+1)*R137-ERP_i)*Q137*Ramure*Pc/MaxiM</f>
        <v>1.4328977419879433E-3</v>
      </c>
      <c r="Q137" s="305">
        <f t="shared" si="27"/>
        <v>0.8</v>
      </c>
      <c r="R137" s="177">
        <f t="shared" si="28"/>
        <v>0.70339034038541681</v>
      </c>
      <c r="S137" s="809">
        <f t="shared" si="29"/>
        <v>0</v>
      </c>
      <c r="T137" s="176">
        <f t="shared" si="30"/>
        <v>6</v>
      </c>
      <c r="U137" s="251">
        <f t="shared" si="31"/>
        <v>0.70339034038541681</v>
      </c>
      <c r="V137" s="383">
        <f t="shared" si="32"/>
        <v>56.348865036283755</v>
      </c>
      <c r="W137" s="58"/>
      <c r="X137" s="157">
        <f t="shared" si="33"/>
        <v>43588</v>
      </c>
      <c r="Y137" s="385">
        <f t="shared" si="34"/>
        <v>19.25</v>
      </c>
      <c r="Z137" s="385">
        <f t="shared" si="35"/>
        <v>19.373589778192201</v>
      </c>
      <c r="AA137" s="386">
        <f t="shared" si="36"/>
        <v>20.282093511122863</v>
      </c>
      <c r="AB137" s="197">
        <f t="shared" si="37"/>
        <v>43588</v>
      </c>
      <c r="AC137" s="425">
        <f>IF(OR(t&lt;Tnet,NoTnet),'2018'!Resal_s+('2018'!Salim-'2018'!Resal_s)*(1-EXP(('2018'!Tnet_s-t)/'2018'!Tau_j)),Resal_s+(Salim-Resal_s)*(1-EXP((Tnet_s-t)/Tau_j)))*Salcycl</f>
        <v>4.4793390407771833E-2</v>
      </c>
      <c r="AD137" s="231">
        <f>(INDEX(Models!$BJ137:$BT137,,AH137)*(1-AF137)+INDEX(Models!$BJ137:$BT137,,AH137+1)*AF137-ERP_i)*AE137*Ramure*Pc/MaxiM</f>
        <v>1.4328977419879433E-3</v>
      </c>
      <c r="AE137" s="305">
        <f t="shared" si="38"/>
        <v>0.8</v>
      </c>
      <c r="AF137" s="177">
        <f t="shared" si="39"/>
        <v>0.70339034038541681</v>
      </c>
      <c r="AG137" s="176">
        <f t="shared" si="40"/>
        <v>0</v>
      </c>
      <c r="AH137" s="176">
        <f t="shared" si="41"/>
        <v>6</v>
      </c>
      <c r="AI137" s="225">
        <f t="shared" si="42"/>
        <v>0.70339034038541681</v>
      </c>
      <c r="AJ137" s="265" t="b">
        <f t="shared" si="43"/>
        <v>0</v>
      </c>
      <c r="AK137" s="265" t="b">
        <f t="shared" si="44"/>
        <v>1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6">
        <v>32.631</v>
      </c>
      <c r="C138" s="390"/>
      <c r="D138" s="393">
        <f t="shared" si="24"/>
        <v>32.841263383771206</v>
      </c>
      <c r="E138" s="385">
        <f t="shared" si="46"/>
        <v>34.38723418602401</v>
      </c>
      <c r="F138" s="385">
        <f t="shared" si="25"/>
        <v>34.407194909862604</v>
      </c>
      <c r="G138" s="110">
        <f t="shared" si="47"/>
        <v>0.57678496924614353</v>
      </c>
      <c r="H138" s="414" t="b">
        <f>Wh_hp&gt;='2018'!Maxi_hp</f>
        <v>1</v>
      </c>
      <c r="I138" s="390">
        <f>IF(H138,Wh_hp,'2018'!Maxi_hp)</f>
        <v>34.407194909862604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6.4024145878356364E-3</v>
      </c>
      <c r="M138" s="843"/>
      <c r="N138" s="843"/>
      <c r="O138" s="48">
        <f>IF(t&lt;Tnet,'2018'!Resal+('2018'!Salim-'2018'!Resal)*(1-EXP(('2018'!Tnet-t)/('2018'!Tau_j))),Resal+(Salim-Resal)*(1-EXP((Tnet-t)/(Tau_j))))*Salcycl</f>
        <v>4.4957695460169665E-2</v>
      </c>
      <c r="P138" s="169">
        <f>(INDEX(Models!$BJ138:$BT138,,T138)*(1-R138)+INDEX(Models!$BJ138:$BT138,,T138+1)*R138-ERP_i)*Q138*Ramure*Pc/MaxiM</f>
        <v>1.4644743801110688E-3</v>
      </c>
      <c r="Q138" s="305">
        <f t="shared" si="27"/>
        <v>0.8</v>
      </c>
      <c r="R138" s="177">
        <f t="shared" si="28"/>
        <v>0.70697848548496534</v>
      </c>
      <c r="S138" s="809">
        <f t="shared" si="29"/>
        <v>0</v>
      </c>
      <c r="T138" s="176">
        <f t="shared" si="30"/>
        <v>6</v>
      </c>
      <c r="U138" s="251">
        <f t="shared" si="31"/>
        <v>0.70697848548496534</v>
      </c>
      <c r="V138" s="383">
        <f t="shared" si="32"/>
        <v>56.523883284275641</v>
      </c>
      <c r="W138" s="58"/>
      <c r="X138" s="157">
        <f t="shared" si="33"/>
        <v>43589</v>
      </c>
      <c r="Y138" s="385">
        <f t="shared" si="34"/>
        <v>32.631</v>
      </c>
      <c r="Z138" s="385">
        <f t="shared" si="35"/>
        <v>32.841263383771206</v>
      </c>
      <c r="AA138" s="386">
        <f t="shared" si="36"/>
        <v>34.38723418602401</v>
      </c>
      <c r="AB138" s="197">
        <f t="shared" si="37"/>
        <v>43589</v>
      </c>
      <c r="AC138" s="425">
        <f>IF(OR(t&lt;Tnet,NoTnet),'2018'!Resal_s+('2018'!Salim-'2018'!Resal_s)*(1-EXP(('2018'!Tnet_s-t)/'2018'!Tau_j)),Resal_s+(Salim-Resal_s)*(1-EXP((Tnet_s-t)/Tau_j)))*Salcycl</f>
        <v>4.4957695460169665E-2</v>
      </c>
      <c r="AD138" s="231">
        <f>(INDEX(Models!$BJ138:$BT138,,AH138)*(1-AF138)+INDEX(Models!$BJ138:$BT138,,AH138+1)*AF138-ERP_i)*AE138*Ramure*Pc/MaxiM</f>
        <v>1.4644743801110688E-3</v>
      </c>
      <c r="AE138" s="305">
        <f t="shared" si="38"/>
        <v>0.8</v>
      </c>
      <c r="AF138" s="177">
        <f t="shared" si="39"/>
        <v>0.70697848548496534</v>
      </c>
      <c r="AG138" s="176">
        <f t="shared" si="40"/>
        <v>0</v>
      </c>
      <c r="AH138" s="176">
        <f t="shared" si="41"/>
        <v>6</v>
      </c>
      <c r="AI138" s="225">
        <f t="shared" si="42"/>
        <v>0.70697848548496534</v>
      </c>
      <c r="AJ138" s="265" t="b">
        <f t="shared" si="43"/>
        <v>0</v>
      </c>
      <c r="AK138" s="265" t="b">
        <f t="shared" si="44"/>
        <v>1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6">
        <v>45.747</v>
      </c>
      <c r="C139" s="390"/>
      <c r="D139" s="393">
        <f t="shared" si="24"/>
        <v>46.042850039052993</v>
      </c>
      <c r="E139" s="385">
        <f t="shared" si="46"/>
        <v>48.218597005228915</v>
      </c>
      <c r="F139" s="385">
        <f t="shared" si="25"/>
        <v>48.271062930461738</v>
      </c>
      <c r="G139" s="110">
        <f t="shared" si="47"/>
        <v>0.80659406027522551</v>
      </c>
      <c r="H139" s="414" t="b">
        <f>Wh_hp&gt;='2018'!Maxi_hp</f>
        <v>1</v>
      </c>
      <c r="I139" s="390">
        <f>IF(H139,Wh_hp,'2018'!Maxi_hp)</f>
        <v>48.271062930461738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6.4255370552008806E-3</v>
      </c>
      <c r="M139" s="843"/>
      <c r="N139" s="843"/>
      <c r="O139" s="48">
        <f>IF(t&lt;Tnet,'2018'!Resal+('2018'!Salim-'2018'!Resal)*(1-EXP(('2018'!Tnet-t)/('2018'!Tau_j))),Resal+(Salim-Resal)*(1-EXP((Tnet-t)/(Tau_j))))*Salcycl</f>
        <v>4.5122568911326488E-2</v>
      </c>
      <c r="P139" s="169">
        <f>(INDEX(Models!$BJ139:$BT139,,T139)*(1-R139)+INDEX(Models!$BJ139:$BT139,,T139+1)*R139-ERP_i)*Q139*Ramure*Pc/MaxiM</f>
        <v>1.5008657171966964E-3</v>
      </c>
      <c r="Q139" s="305">
        <f t="shared" si="27"/>
        <v>0.8</v>
      </c>
      <c r="R139" s="177">
        <f t="shared" si="28"/>
        <v>0.71066243516485694</v>
      </c>
      <c r="S139" s="809">
        <f t="shared" si="29"/>
        <v>0</v>
      </c>
      <c r="T139" s="176">
        <f t="shared" si="30"/>
        <v>6</v>
      </c>
      <c r="U139" s="251">
        <f t="shared" si="31"/>
        <v>0.71066243516485694</v>
      </c>
      <c r="V139" s="383">
        <f t="shared" si="32"/>
        <v>56.692757928779237</v>
      </c>
      <c r="W139" s="58"/>
      <c r="X139" s="157">
        <f t="shared" si="33"/>
        <v>43590</v>
      </c>
      <c r="Y139" s="385">
        <f t="shared" si="34"/>
        <v>45.747</v>
      </c>
      <c r="Z139" s="385">
        <f t="shared" si="35"/>
        <v>46.042850039052993</v>
      </c>
      <c r="AA139" s="386">
        <f t="shared" si="36"/>
        <v>48.218597005228915</v>
      </c>
      <c r="AB139" s="197">
        <f t="shared" si="37"/>
        <v>43590</v>
      </c>
      <c r="AC139" s="425">
        <f>IF(OR(t&lt;Tnet,NoTnet),'2018'!Resal_s+('2018'!Salim-'2018'!Resal_s)*(1-EXP(('2018'!Tnet_s-t)/'2018'!Tau_j)),Resal_s+(Salim-Resal_s)*(1-EXP((Tnet_s-t)/Tau_j)))*Salcycl</f>
        <v>4.5122568911326488E-2</v>
      </c>
      <c r="AD139" s="231">
        <f>(INDEX(Models!$BJ139:$BT139,,AH139)*(1-AF139)+INDEX(Models!$BJ139:$BT139,,AH139+1)*AF139-ERP_i)*AE139*Ramure*Pc/MaxiM</f>
        <v>1.5008657171966964E-3</v>
      </c>
      <c r="AE139" s="305">
        <f t="shared" si="38"/>
        <v>0.8</v>
      </c>
      <c r="AF139" s="177">
        <f t="shared" si="39"/>
        <v>0.71066243516485694</v>
      </c>
      <c r="AG139" s="176">
        <f t="shared" si="40"/>
        <v>0</v>
      </c>
      <c r="AH139" s="176">
        <f t="shared" si="41"/>
        <v>6</v>
      </c>
      <c r="AI139" s="225">
        <f t="shared" si="42"/>
        <v>0.71066243516485694</v>
      </c>
      <c r="AJ139" s="265" t="b">
        <f t="shared" si="43"/>
        <v>0</v>
      </c>
      <c r="AK139" s="265" t="b">
        <f t="shared" si="44"/>
        <v>1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6">
        <v>58.3</v>
      </c>
      <c r="C140" s="390"/>
      <c r="D140" s="393">
        <f t="shared" si="24"/>
        <v>58.678396971826807</v>
      </c>
      <c r="E140" s="385">
        <f t="shared" si="46"/>
        <v>61.461882847686233</v>
      </c>
      <c r="F140" s="385">
        <f t="shared" si="25"/>
        <v>61.556815865324921</v>
      </c>
      <c r="G140" s="110">
        <f t="shared" si="47"/>
        <v>1.025410608451331</v>
      </c>
      <c r="H140" s="414" t="b">
        <f>Wh_hp&gt;='2018'!Maxi_hp</f>
        <v>1</v>
      </c>
      <c r="I140" s="390">
        <f>IF(H140,Wh_hp,'2018'!Maxi_hp)</f>
        <v>61.556815865324921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6.448658984472444E-3</v>
      </c>
      <c r="M140" s="843"/>
      <c r="N140" s="843"/>
      <c r="O140" s="48">
        <f>IF(t&lt;Tnet,'2018'!Resal+('2018'!Salim-'2018'!Resal)*(1-EXP(('2018'!Tnet-t)/('2018'!Tau_j))),Resal+(Salim-Resal)*(1-EXP((Tnet-t)/(Tau_j))))*Salcycl</f>
        <v>4.5288002041157988E-2</v>
      </c>
      <c r="P140" s="169">
        <f>(INDEX(Models!$BJ140:$BT140,,T140)*(1-R140)+INDEX(Models!$BJ140:$BT140,,T140+1)*R140-ERP_i)*Q140*Ramure*Pc/MaxiM</f>
        <v>1.542201562965634E-3</v>
      </c>
      <c r="Q140" s="305">
        <f t="shared" si="27"/>
        <v>0.8</v>
      </c>
      <c r="R140" s="177">
        <f t="shared" si="28"/>
        <v>0.71444284239846667</v>
      </c>
      <c r="S140" s="809">
        <f t="shared" si="29"/>
        <v>0</v>
      </c>
      <c r="T140" s="176">
        <f t="shared" si="30"/>
        <v>6</v>
      </c>
      <c r="U140" s="251">
        <f t="shared" si="31"/>
        <v>0.71444284239846667</v>
      </c>
      <c r="V140" s="383">
        <f t="shared" si="32"/>
        <v>56.855272921400719</v>
      </c>
      <c r="W140" s="58"/>
      <c r="X140" s="157">
        <f t="shared" si="33"/>
        <v>43591</v>
      </c>
      <c r="Y140" s="385">
        <f t="shared" si="34"/>
        <v>58.3</v>
      </c>
      <c r="Z140" s="385">
        <f t="shared" si="35"/>
        <v>58.678396971826807</v>
      </c>
      <c r="AA140" s="386">
        <f t="shared" si="36"/>
        <v>61.461882847686233</v>
      </c>
      <c r="AB140" s="197">
        <f t="shared" si="37"/>
        <v>43591</v>
      </c>
      <c r="AC140" s="425">
        <f>IF(OR(t&lt;Tnet,NoTnet),'2018'!Resal_s+('2018'!Salim-'2018'!Resal_s)*(1-EXP(('2018'!Tnet_s-t)/'2018'!Tau_j)),Resal_s+(Salim-Resal_s)*(1-EXP((Tnet_s-t)/Tau_j)))*Salcycl</f>
        <v>4.5288002041157988E-2</v>
      </c>
      <c r="AD140" s="231">
        <f>(INDEX(Models!$BJ140:$BT140,,AH140)*(1-AF140)+INDEX(Models!$BJ140:$BT140,,AH140+1)*AF140-ERP_i)*AE140*Ramure*Pc/MaxiM</f>
        <v>1.542201562965634E-3</v>
      </c>
      <c r="AE140" s="305">
        <f t="shared" si="38"/>
        <v>0.8</v>
      </c>
      <c r="AF140" s="177">
        <f t="shared" si="39"/>
        <v>0.71444284239846667</v>
      </c>
      <c r="AG140" s="176">
        <f t="shared" si="40"/>
        <v>0</v>
      </c>
      <c r="AH140" s="176">
        <f t="shared" si="41"/>
        <v>6</v>
      </c>
      <c r="AI140" s="225">
        <f t="shared" si="42"/>
        <v>0.71444284239846667</v>
      </c>
      <c r="AJ140" s="265" t="b">
        <f t="shared" si="43"/>
        <v>0</v>
      </c>
      <c r="AK140" s="265" t="b">
        <f t="shared" si="44"/>
        <v>1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6">
        <v>41.601999999999997</v>
      </c>
      <c r="C141" s="390"/>
      <c r="D141" s="393">
        <f t="shared" si="24"/>
        <v>41.872992813158476</v>
      </c>
      <c r="E141" s="385">
        <f t="shared" si="46"/>
        <v>43.866919071828342</v>
      </c>
      <c r="F141" s="385">
        <f t="shared" si="25"/>
        <v>43.909740853252941</v>
      </c>
      <c r="G141" s="110">
        <f t="shared" si="47"/>
        <v>0.72926806785047771</v>
      </c>
      <c r="H141" s="414" t="b">
        <f>Wh_hp&gt;='2018'!Maxi_hp</f>
        <v>1</v>
      </c>
      <c r="I141" s="390">
        <f>IF(H141,Wh_hp,'2018'!Maxi_hp)</f>
        <v>43.909740853252941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6.4717803756629833E-3</v>
      </c>
      <c r="M141" s="843"/>
      <c r="N141" s="843"/>
      <c r="O141" s="48">
        <f>IF(t&lt;Tnet,'2018'!Resal+('2018'!Salim-'2018'!Resal)*(1-EXP(('2018'!Tnet-t)/('2018'!Tau_j))),Resal+(Salim-Resal)*(1-EXP((Tnet-t)/(Tau_j))))*Salcycl</f>
        <v>4.545398447985332E-2</v>
      </c>
      <c r="P141" s="169">
        <f>(INDEX(Models!$BJ141:$BT141,,T141)*(1-R141)+INDEX(Models!$BJ141:$BT141,,T141+1)*R141-ERP_i)*Q141*Ramure*Pc/MaxiM</f>
        <v>1.5886208549255264E-3</v>
      </c>
      <c r="Q141" s="305">
        <f t="shared" si="27"/>
        <v>0.8</v>
      </c>
      <c r="R141" s="177">
        <f t="shared" si="28"/>
        <v>0.71832022768464943</v>
      </c>
      <c r="S141" s="809">
        <f t="shared" si="29"/>
        <v>0</v>
      </c>
      <c r="T141" s="176">
        <f t="shared" si="30"/>
        <v>6</v>
      </c>
      <c r="U141" s="251">
        <f t="shared" si="31"/>
        <v>0.71832022768464943</v>
      </c>
      <c r="V141" s="383">
        <f t="shared" si="32"/>
        <v>57.011212114381721</v>
      </c>
      <c r="W141" s="58"/>
      <c r="X141" s="157">
        <f t="shared" si="33"/>
        <v>43592</v>
      </c>
      <c r="Y141" s="385">
        <f t="shared" si="34"/>
        <v>41.601999999999997</v>
      </c>
      <c r="Z141" s="385">
        <f t="shared" si="35"/>
        <v>41.872992813158476</v>
      </c>
      <c r="AA141" s="386">
        <f t="shared" si="36"/>
        <v>43.866919071828342</v>
      </c>
      <c r="AB141" s="197">
        <f t="shared" si="37"/>
        <v>43592</v>
      </c>
      <c r="AC141" s="425">
        <f>IF(OR(t&lt;Tnet,NoTnet),'2018'!Resal_s+('2018'!Salim-'2018'!Resal_s)*(1-EXP(('2018'!Tnet_s-t)/'2018'!Tau_j)),Resal_s+(Salim-Resal_s)*(1-EXP((Tnet_s-t)/Tau_j)))*Salcycl</f>
        <v>4.545398447985332E-2</v>
      </c>
      <c r="AD141" s="231">
        <f>(INDEX(Models!$BJ141:$BT141,,AH141)*(1-AF141)+INDEX(Models!$BJ141:$BT141,,AH141+1)*AF141-ERP_i)*AE141*Ramure*Pc/MaxiM</f>
        <v>1.5886208549255264E-3</v>
      </c>
      <c r="AE141" s="305">
        <f t="shared" si="38"/>
        <v>0.8</v>
      </c>
      <c r="AF141" s="177">
        <f t="shared" si="39"/>
        <v>0.71832022768464943</v>
      </c>
      <c r="AG141" s="176">
        <f t="shared" si="40"/>
        <v>0</v>
      </c>
      <c r="AH141" s="176">
        <f t="shared" si="41"/>
        <v>6</v>
      </c>
      <c r="AI141" s="225">
        <f t="shared" si="42"/>
        <v>0.71832022768464943</v>
      </c>
      <c r="AJ141" s="265" t="b">
        <f t="shared" si="43"/>
        <v>0</v>
      </c>
      <c r="AK141" s="265" t="b">
        <f t="shared" si="44"/>
        <v>1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6">
        <v>29.079000000000001</v>
      </c>
      <c r="C142" s="390"/>
      <c r="D142" s="393">
        <f t="shared" si="24"/>
        <v>29.26909991299031</v>
      </c>
      <c r="E142" s="385">
        <f t="shared" si="46"/>
        <v>30.668198594869136</v>
      </c>
      <c r="F142" s="385">
        <f t="shared" si="25"/>
        <v>30.683203933648411</v>
      </c>
      <c r="G142" s="110">
        <f t="shared" si="47"/>
        <v>0.50814073514193103</v>
      </c>
      <c r="H142" s="414" t="b">
        <f>Wh_hp&gt;='2018'!Maxi_hp</f>
        <v>1</v>
      </c>
      <c r="I142" s="390">
        <f>IF(H142,Wh_hp,'2018'!Maxi_hp)</f>
        <v>30.683203933648411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6.4949012287849328E-3</v>
      </c>
      <c r="M142" s="843"/>
      <c r="N142" s="843"/>
      <c r="O142" s="48">
        <f>IF(t&lt;Tnet,'2018'!Resal+('2018'!Salim-'2018'!Resal)*(1-EXP(('2018'!Tnet-t)/('2018'!Tau_j))),Resal+(Salim-Resal)*(1-EXP((Tnet-t)/(Tau_j))))*Salcycl</f>
        <v>4.562050416984384E-2</v>
      </c>
      <c r="P142" s="169">
        <f>(INDEX(Models!$BJ142:$BT142,,T142)*(1-R142)+INDEX(Models!$BJ142:$BT142,,T142+1)*R142-ERP_i)*Q142*Ramure*Pc/MaxiM</f>
        <v>1.6400812652510941E-3</v>
      </c>
      <c r="Q142" s="305">
        <f t="shared" si="27"/>
        <v>0.8</v>
      </c>
      <c r="R142" s="177">
        <f t="shared" si="28"/>
        <v>0.722294970642409</v>
      </c>
      <c r="S142" s="809">
        <f t="shared" si="29"/>
        <v>0</v>
      </c>
      <c r="T142" s="176">
        <f t="shared" si="30"/>
        <v>6</v>
      </c>
      <c r="U142" s="251">
        <f t="shared" si="31"/>
        <v>0.722294970642409</v>
      </c>
      <c r="V142" s="383">
        <f t="shared" si="32"/>
        <v>57.160370167182833</v>
      </c>
      <c r="W142" s="58"/>
      <c r="X142" s="157">
        <f t="shared" si="33"/>
        <v>43593</v>
      </c>
      <c r="Y142" s="385">
        <f t="shared" si="34"/>
        <v>29.079000000000001</v>
      </c>
      <c r="Z142" s="385">
        <f t="shared" si="35"/>
        <v>29.26909991299031</v>
      </c>
      <c r="AA142" s="386">
        <f t="shared" si="36"/>
        <v>30.668198594869136</v>
      </c>
      <c r="AB142" s="197">
        <f t="shared" si="37"/>
        <v>43593</v>
      </c>
      <c r="AC142" s="425">
        <f>IF(OR(t&lt;Tnet,NoTnet),'2018'!Resal_s+('2018'!Salim-'2018'!Resal_s)*(1-EXP(('2018'!Tnet_s-t)/'2018'!Tau_j)),Resal_s+(Salim-Resal_s)*(1-EXP((Tnet_s-t)/Tau_j)))*Salcycl</f>
        <v>4.562050416984384E-2</v>
      </c>
      <c r="AD142" s="231">
        <f>(INDEX(Models!$BJ142:$BT142,,AH142)*(1-AF142)+INDEX(Models!$BJ142:$BT142,,AH142+1)*AF142-ERP_i)*AE142*Ramure*Pc/MaxiM</f>
        <v>1.6400812652510941E-3</v>
      </c>
      <c r="AE142" s="305">
        <f t="shared" si="38"/>
        <v>0.8</v>
      </c>
      <c r="AF142" s="177">
        <f t="shared" si="39"/>
        <v>0.722294970642409</v>
      </c>
      <c r="AG142" s="176">
        <f t="shared" si="40"/>
        <v>0</v>
      </c>
      <c r="AH142" s="176">
        <f t="shared" si="41"/>
        <v>6</v>
      </c>
      <c r="AI142" s="225">
        <f t="shared" si="42"/>
        <v>0.722294970642409</v>
      </c>
      <c r="AJ142" s="265" t="b">
        <f t="shared" si="43"/>
        <v>0</v>
      </c>
      <c r="AK142" s="265" t="b">
        <f t="shared" si="44"/>
        <v>1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6">
        <v>43.131999999999998</v>
      </c>
      <c r="C143" s="390"/>
      <c r="D143" s="393">
        <f t="shared" ref="D143:D206" si="48">Wh/(1-Ppv)</f>
        <v>43.414979773489449</v>
      </c>
      <c r="E143" s="385">
        <f t="shared" si="46"/>
        <v>45.498232235533997</v>
      </c>
      <c r="F143" s="385">
        <f t="shared" ref="F143:F206" si="49">Wh_sa/(1-Pvg*MEDIAN((-Sdif+Wh/Env_an)/Csdif,0,1))</f>
        <v>45.54809177199639</v>
      </c>
      <c r="G143" s="110">
        <f t="shared" si="47"/>
        <v>0.75225303063193516</v>
      </c>
      <c r="H143" s="414" t="b">
        <f>Wh_hp&gt;='2018'!Maxi_hp</f>
        <v>1</v>
      </c>
      <c r="I143" s="390">
        <f>IF(H143,Wh_hp,'2018'!Maxi_hp)</f>
        <v>45.54809177199639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6.5180215438508382E-3</v>
      </c>
      <c r="M143" s="843"/>
      <c r="N143" s="843"/>
      <c r="O143" s="48">
        <f>IF(t&lt;Tnet,'2018'!Resal+('2018'!Salim-'2018'!Resal)*(1-EXP(('2018'!Tnet-t)/('2018'!Tau_j))),Resal+(Salim-Resal)*(1-EXP((Tnet-t)/(Tau_j))))*Salcycl</f>
        <v>4.5787547332828735E-2</v>
      </c>
      <c r="P143" s="169">
        <f>(INDEX(Models!$BJ143:$BT143,,T143)*(1-R143)+INDEX(Models!$BJ143:$BT143,,T143+1)*R143-ERP_i)*Q143*Ramure*Pc/MaxiM</f>
        <v>1.6926303419755244E-3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0.7263673017032235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0.7263673017032235</v>
      </c>
      <c r="V143" s="383">
        <f t="shared" ref="V143:V206" si="56">MaxiM*(1-Ppv)*(1-Pvg)*(1-Psa)</f>
        <v>57.302766746616228</v>
      </c>
      <c r="W143" s="58"/>
      <c r="X143" s="157">
        <f t="shared" ref="X143:X206" si="57">t</f>
        <v>43594</v>
      </c>
      <c r="Y143" s="385">
        <f t="shared" ref="Y143:Y206" si="58">Wh_pvt_s*(1-Ppv)</f>
        <v>43.131999999999998</v>
      </c>
      <c r="Z143" s="385">
        <f t="shared" ref="Z143:Z206" si="59">Wh_sa_s*(1-Psa_s)</f>
        <v>43.414979773489449</v>
      </c>
      <c r="AA143" s="386">
        <f t="shared" ref="AA143:AA206" si="60">Wh_hp*(1-Pvg_s*MEDIAN((-Sdif+Wh/Env_an)/Csdif,0,1))</f>
        <v>45.498232235533997</v>
      </c>
      <c r="AB143" s="197">
        <f t="shared" ref="AB143:AB206" si="61">t</f>
        <v>43594</v>
      </c>
      <c r="AC143" s="425">
        <f>IF(OR(t&lt;Tnet,NoTnet),'2018'!Resal_s+('2018'!Salim-'2018'!Resal_s)*(1-EXP(('2018'!Tnet_s-t)/'2018'!Tau_j)),Resal_s+(Salim-Resal_s)*(1-EXP((Tnet_s-t)/Tau_j)))*Salcycl</f>
        <v>4.5787547332828735E-2</v>
      </c>
      <c r="AD143" s="231">
        <f>(INDEX(Models!$BJ143:$BT143,,AH143)*(1-AF143)+INDEX(Models!$BJ143:$BT143,,AH143+1)*AF143-ERP_i)*AE143*Ramure*Pc/MaxiM</f>
        <v>1.6926303419755244E-3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0.7263673017032235</v>
      </c>
      <c r="AG143" s="176">
        <f t="shared" ref="AG143:AG206" si="64">INDEX(Echel_vg,AH143)</f>
        <v>0</v>
      </c>
      <c r="AH143" s="176">
        <f t="shared" ref="AH143:AH206" si="65">MIN(MATCH(Hp_vg_s,Echel_vg),10)</f>
        <v>6</v>
      </c>
      <c r="AI143" s="225">
        <f t="shared" ref="AI143:AI206" si="66">IF(OR(t&lt;Ttai,Notai),Hdd_s+PousH*Croivg,Hdtai_s+PousH*(Croivg-Croi_tai))</f>
        <v>0.7263673017032235</v>
      </c>
      <c r="AJ143" s="265" t="b">
        <f t="shared" ref="AJ143:AJ206" si="67">t&lt;Tnet</f>
        <v>0</v>
      </c>
      <c r="AK143" s="265" t="b">
        <f t="shared" ref="AK143:AK206" si="68">t&lt;Ttai</f>
        <v>1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6">
        <v>35.646999999999998</v>
      </c>
      <c r="C144" s="390"/>
      <c r="D144" s="393">
        <f t="shared" si="48"/>
        <v>35.881707318403897</v>
      </c>
      <c r="E144" s="385">
        <f t="shared" ref="E144:E169" si="70">Wh_pvt/(1-Psa)</f>
        <v>37.610082355479229</v>
      </c>
      <c r="F144" s="385">
        <f t="shared" si="49"/>
        <v>37.640188741832958</v>
      </c>
      <c r="G144" s="110">
        <f t="shared" ref="G144:G169" si="71">+Wh_hp/MaxiM</f>
        <v>0.62002705301751604</v>
      </c>
      <c r="H144" s="414" t="b">
        <f>Wh_hp&gt;='2018'!Maxi_hp</f>
        <v>1</v>
      </c>
      <c r="I144" s="390">
        <f>IF(H144,Wh_hp,'2018'!Maxi_hp)</f>
        <v>37.640188741832958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6.541141320873356E-3</v>
      </c>
      <c r="M144" s="843"/>
      <c r="N144" s="843"/>
      <c r="O144" s="48">
        <f>IF(t&lt;Tnet,'2018'!Resal+('2018'!Salim-'2018'!Resal)*(1-EXP(('2018'!Tnet-t)/('2018'!Tau_j))),Resal+(Salim-Resal)*(1-EXP((Tnet-t)/(Tau_j))))*Salcycl</f>
        <v>4.5955098442466688E-2</v>
      </c>
      <c r="P144" s="169">
        <f>(INDEX(Models!$BJ144:$BT144,,T144)*(1-R144)+INDEX(Models!$BJ144:$BT144,,T144+1)*R144-ERP_i)*Q144*Ramure*Pc/MaxiM</f>
        <v>1.7463092743621969E-3</v>
      </c>
      <c r="Q144" s="305">
        <f t="shared" si="51"/>
        <v>0.8</v>
      </c>
      <c r="R144" s="177">
        <f t="shared" si="52"/>
        <v>0.73053729395928535</v>
      </c>
      <c r="S144" s="809">
        <f t="shared" si="53"/>
        <v>0</v>
      </c>
      <c r="T144" s="176">
        <f t="shared" si="54"/>
        <v>6</v>
      </c>
      <c r="U144" s="251">
        <f t="shared" si="55"/>
        <v>0.73053729395928535</v>
      </c>
      <c r="V144" s="383">
        <f t="shared" si="56"/>
        <v>57.438194468006181</v>
      </c>
      <c r="W144" s="58"/>
      <c r="X144" s="157">
        <f t="shared" si="57"/>
        <v>43595</v>
      </c>
      <c r="Y144" s="385">
        <f t="shared" si="58"/>
        <v>35.646999999999998</v>
      </c>
      <c r="Z144" s="385">
        <f t="shared" si="59"/>
        <v>35.881707318403897</v>
      </c>
      <c r="AA144" s="386">
        <f t="shared" si="60"/>
        <v>37.610082355479229</v>
      </c>
      <c r="AB144" s="197">
        <f t="shared" si="61"/>
        <v>43595</v>
      </c>
      <c r="AC144" s="425">
        <f>IF(OR(t&lt;Tnet,NoTnet),'2018'!Resal_s+('2018'!Salim-'2018'!Resal_s)*(1-EXP(('2018'!Tnet_s-t)/'2018'!Tau_j)),Resal_s+(Salim-Resal_s)*(1-EXP((Tnet_s-t)/Tau_j)))*Salcycl</f>
        <v>4.5955098442466688E-2</v>
      </c>
      <c r="AD144" s="231">
        <f>(INDEX(Models!$BJ144:$BT144,,AH144)*(1-AF144)+INDEX(Models!$BJ144:$BT144,,AH144+1)*AF144-ERP_i)*AE144*Ramure*Pc/MaxiM</f>
        <v>1.7463092743621969E-3</v>
      </c>
      <c r="AE144" s="305">
        <f t="shared" si="62"/>
        <v>0.8</v>
      </c>
      <c r="AF144" s="177">
        <f t="shared" si="63"/>
        <v>0.73053729395928535</v>
      </c>
      <c r="AG144" s="176">
        <f t="shared" si="64"/>
        <v>0</v>
      </c>
      <c r="AH144" s="176">
        <f t="shared" si="65"/>
        <v>6</v>
      </c>
      <c r="AI144" s="225">
        <f t="shared" si="66"/>
        <v>0.73053729395928535</v>
      </c>
      <c r="AJ144" s="265" t="b">
        <f t="shared" si="67"/>
        <v>0</v>
      </c>
      <c r="AK144" s="265" t="b">
        <f t="shared" si="68"/>
        <v>1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6">
        <v>36.712000000000003</v>
      </c>
      <c r="C145" s="390"/>
      <c r="D145" s="393">
        <f t="shared" si="48"/>
        <v>36.954579488643695</v>
      </c>
      <c r="E145" s="385">
        <f t="shared" si="70"/>
        <v>38.741457148379723</v>
      </c>
      <c r="F145" s="385">
        <f t="shared" si="49"/>
        <v>38.775153312483432</v>
      </c>
      <c r="G145" s="110">
        <f t="shared" si="71"/>
        <v>0.6371376326532564</v>
      </c>
      <c r="H145" s="414" t="b">
        <f>Wh_hp&gt;='2018'!Maxi_hp</f>
        <v>1</v>
      </c>
      <c r="I145" s="390">
        <f>IF(H145,Wh_hp,'2018'!Maxi_hp)</f>
        <v>38.775153312483432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6.5642605598648096E-3</v>
      </c>
      <c r="M145" s="843"/>
      <c r="N145" s="843"/>
      <c r="O145" s="48">
        <f>IF(t&lt;Tnet,'2018'!Resal+('2018'!Salim-'2018'!Resal)*(1-EXP(('2018'!Tnet-t)/('2018'!Tau_j))),Resal+(Salim-Resal)*(1-EXP((Tnet-t)/(Tau_j))))*Salcycl</f>
        <v>4.6123140203330304E-2</v>
      </c>
      <c r="P145" s="169">
        <f>(INDEX(Models!$BJ145:$BT145,,T145)*(1-R145)+INDEX(Models!$BJ145:$BT145,,T145+1)*R145-ERP_i)*Q145*Ramure*Pc/MaxiM</f>
        <v>1.8011587263612751E-3</v>
      </c>
      <c r="Q145" s="305">
        <f t="shared" si="51"/>
        <v>0.8</v>
      </c>
      <c r="R145" s="177">
        <f t="shared" si="52"/>
        <v>0.73480485522932248</v>
      </c>
      <c r="S145" s="809">
        <f t="shared" si="53"/>
        <v>0</v>
      </c>
      <c r="T145" s="176">
        <f t="shared" si="54"/>
        <v>6</v>
      </c>
      <c r="U145" s="251">
        <f t="shared" si="55"/>
        <v>0.73480485522932248</v>
      </c>
      <c r="V145" s="383">
        <f t="shared" si="56"/>
        <v>57.566446354914284</v>
      </c>
      <c r="W145" s="58"/>
      <c r="X145" s="157">
        <f t="shared" si="57"/>
        <v>43596</v>
      </c>
      <c r="Y145" s="385">
        <f t="shared" si="58"/>
        <v>36.712000000000003</v>
      </c>
      <c r="Z145" s="385">
        <f t="shared" si="59"/>
        <v>36.954579488643695</v>
      </c>
      <c r="AA145" s="386">
        <f t="shared" si="60"/>
        <v>38.741457148379723</v>
      </c>
      <c r="AB145" s="197">
        <f t="shared" si="61"/>
        <v>43596</v>
      </c>
      <c r="AC145" s="425">
        <f>IF(OR(t&lt;Tnet,NoTnet),'2018'!Resal_s+('2018'!Salim-'2018'!Resal_s)*(1-EXP(('2018'!Tnet_s-t)/'2018'!Tau_j)),Resal_s+(Salim-Resal_s)*(1-EXP((Tnet_s-t)/Tau_j)))*Salcycl</f>
        <v>4.6123140203330304E-2</v>
      </c>
      <c r="AD145" s="231">
        <f>(INDEX(Models!$BJ145:$BT145,,AH145)*(1-AF145)+INDEX(Models!$BJ145:$BT145,,AH145+1)*AF145-ERP_i)*AE145*Ramure*Pc/MaxiM</f>
        <v>1.8011587263612751E-3</v>
      </c>
      <c r="AE145" s="305">
        <f t="shared" si="62"/>
        <v>0.8</v>
      </c>
      <c r="AF145" s="177">
        <f t="shared" si="63"/>
        <v>0.73480485522932248</v>
      </c>
      <c r="AG145" s="176">
        <f t="shared" si="64"/>
        <v>0</v>
      </c>
      <c r="AH145" s="176">
        <f t="shared" si="65"/>
        <v>6</v>
      </c>
      <c r="AI145" s="225">
        <f t="shared" si="66"/>
        <v>0.73480485522932248</v>
      </c>
      <c r="AJ145" s="265" t="b">
        <f t="shared" si="67"/>
        <v>0</v>
      </c>
      <c r="AK145" s="265" t="b">
        <f t="shared" si="68"/>
        <v>1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6">
        <v>56.689</v>
      </c>
      <c r="C146" s="390"/>
      <c r="D146" s="393">
        <f t="shared" si="48"/>
        <v>57.064908192750536</v>
      </c>
      <c r="E146" s="385">
        <f t="shared" si="70"/>
        <v>59.834758083399507</v>
      </c>
      <c r="F146" s="385">
        <f t="shared" si="49"/>
        <v>59.943333681324077</v>
      </c>
      <c r="G146" s="110">
        <f t="shared" si="71"/>
        <v>0.98264915931835839</v>
      </c>
      <c r="H146" s="414" t="b">
        <f>Wh_hp&gt;='2018'!Maxi_hp</f>
        <v>1</v>
      </c>
      <c r="I146" s="390">
        <f>IF(H146,Wh_hp,'2018'!Maxi_hp)</f>
        <v>59.943333681324077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6.5873792608377446E-3</v>
      </c>
      <c r="M146" s="843"/>
      <c r="N146" s="843"/>
      <c r="O146" s="48">
        <f>IF(t&lt;Tnet,'2018'!Resal+('2018'!Salim-'2018'!Resal)*(1-EXP(('2018'!Tnet-t)/('2018'!Tau_j))),Resal+(Salim-Resal)*(1-EXP((Tnet-t)/(Tau_j))))*Salcycl</f>
        <v>4.6291653536699708E-2</v>
      </c>
      <c r="P146" s="169">
        <f>(INDEX(Models!$BJ146:$BT146,,T146)*(1-R146)+INDEX(Models!$BJ146:$BT146,,T146+1)*R146-ERP_i)*Q146*Ramure*Pc/MaxiM</f>
        <v>1.8572187594109932E-3</v>
      </c>
      <c r="Q146" s="305">
        <f t="shared" si="51"/>
        <v>0.8</v>
      </c>
      <c r="R146" s="177">
        <f t="shared" si="52"/>
        <v>0.73916972040671691</v>
      </c>
      <c r="S146" s="809">
        <f t="shared" si="53"/>
        <v>0</v>
      </c>
      <c r="T146" s="176">
        <f t="shared" si="54"/>
        <v>6</v>
      </c>
      <c r="U146" s="251">
        <f t="shared" si="55"/>
        <v>0.73916972040671691</v>
      </c>
      <c r="V146" s="383">
        <f t="shared" si="56"/>
        <v>57.687315839525034</v>
      </c>
      <c r="W146" s="58"/>
      <c r="X146" s="157">
        <f t="shared" si="57"/>
        <v>43597</v>
      </c>
      <c r="Y146" s="385">
        <f t="shared" si="58"/>
        <v>56.689</v>
      </c>
      <c r="Z146" s="385">
        <f t="shared" si="59"/>
        <v>57.064908192750536</v>
      </c>
      <c r="AA146" s="386">
        <f t="shared" si="60"/>
        <v>59.834758083399507</v>
      </c>
      <c r="AB146" s="197">
        <f t="shared" si="61"/>
        <v>43597</v>
      </c>
      <c r="AC146" s="425">
        <f>IF(OR(t&lt;Tnet,NoTnet),'2018'!Resal_s+('2018'!Salim-'2018'!Resal_s)*(1-EXP(('2018'!Tnet_s-t)/'2018'!Tau_j)),Resal_s+(Salim-Resal_s)*(1-EXP((Tnet_s-t)/Tau_j)))*Salcycl</f>
        <v>4.6291653536699708E-2</v>
      </c>
      <c r="AD146" s="231">
        <f>(INDEX(Models!$BJ146:$BT146,,AH146)*(1-AF146)+INDEX(Models!$BJ146:$BT146,,AH146+1)*AF146-ERP_i)*AE146*Ramure*Pc/MaxiM</f>
        <v>1.8572187594109932E-3</v>
      </c>
      <c r="AE146" s="305">
        <f t="shared" si="62"/>
        <v>0.8</v>
      </c>
      <c r="AF146" s="177">
        <f t="shared" si="63"/>
        <v>0.73916972040671691</v>
      </c>
      <c r="AG146" s="176">
        <f t="shared" si="64"/>
        <v>0</v>
      </c>
      <c r="AH146" s="176">
        <f t="shared" si="65"/>
        <v>6</v>
      </c>
      <c r="AI146" s="225">
        <f t="shared" si="66"/>
        <v>0.73916972040671691</v>
      </c>
      <c r="AJ146" s="265" t="b">
        <f t="shared" si="67"/>
        <v>0</v>
      </c>
      <c r="AK146" s="265" t="b">
        <f t="shared" si="68"/>
        <v>1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6">
        <v>59.718000000000004</v>
      </c>
      <c r="C147" s="390"/>
      <c r="D147" s="393">
        <f t="shared" si="48"/>
        <v>60.115392648232159</v>
      </c>
      <c r="E147" s="385">
        <f t="shared" si="70"/>
        <v>63.044478032223601</v>
      </c>
      <c r="F147" s="385">
        <f t="shared" si="49"/>
        <v>63.165410025979916</v>
      </c>
      <c r="G147" s="110">
        <f t="shared" si="71"/>
        <v>1.033172723484227</v>
      </c>
      <c r="H147" s="414" t="b">
        <f>Wh_hp&gt;='2018'!Maxi_hp</f>
        <v>1</v>
      </c>
      <c r="I147" s="390">
        <f>IF(H147,Wh_hp,'2018'!Maxi_hp)</f>
        <v>63.165410025979916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6.6104974238048175E-3</v>
      </c>
      <c r="M147" s="843"/>
      <c r="N147" s="843"/>
      <c r="O147" s="48">
        <f>IF(t&lt;Tnet,'2018'!Resal+('2018'!Salim-'2018'!Resal)*(1-EXP(('2018'!Tnet-t)/('2018'!Tau_j))),Resal+(Salim-Resal)*(1-EXP((Tnet-t)/(Tau_j))))*Salcycl</f>
        <v>4.6460617573743986E-2</v>
      </c>
      <c r="P147" s="169">
        <f>(INDEX(Models!$BJ147:$BT147,,T147)*(1-R147)+INDEX(Models!$BJ147:$BT147,,T147+1)*R147-ERP_i)*Q147*Ramure*Pc/MaxiM</f>
        <v>1.9145287540534904E-3</v>
      </c>
      <c r="Q147" s="305">
        <f t="shared" si="51"/>
        <v>0.8</v>
      </c>
      <c r="R147" s="177">
        <f t="shared" si="52"/>
        <v>0.74363144415725946</v>
      </c>
      <c r="S147" s="809">
        <f t="shared" si="53"/>
        <v>0</v>
      </c>
      <c r="T147" s="176">
        <f t="shared" si="54"/>
        <v>6</v>
      </c>
      <c r="U147" s="251">
        <f t="shared" si="55"/>
        <v>0.74363144415725946</v>
      </c>
      <c r="V147" s="383">
        <f t="shared" si="56"/>
        <v>57.800596785607745</v>
      </c>
      <c r="W147" s="58"/>
      <c r="X147" s="157">
        <f t="shared" si="57"/>
        <v>43598</v>
      </c>
      <c r="Y147" s="385">
        <f t="shared" si="58"/>
        <v>59.718000000000004</v>
      </c>
      <c r="Z147" s="385">
        <f t="shared" si="59"/>
        <v>60.115392648232159</v>
      </c>
      <c r="AA147" s="386">
        <f t="shared" si="60"/>
        <v>63.044478032223601</v>
      </c>
      <c r="AB147" s="197">
        <f t="shared" si="61"/>
        <v>43598</v>
      </c>
      <c r="AC147" s="425">
        <f>IF(OR(t&lt;Tnet,NoTnet),'2018'!Resal_s+('2018'!Salim-'2018'!Resal_s)*(1-EXP(('2018'!Tnet_s-t)/'2018'!Tau_j)),Resal_s+(Salim-Resal_s)*(1-EXP((Tnet_s-t)/Tau_j)))*Salcycl</f>
        <v>4.6460617573743986E-2</v>
      </c>
      <c r="AD147" s="231">
        <f>(INDEX(Models!$BJ147:$BT147,,AH147)*(1-AF147)+INDEX(Models!$BJ147:$BT147,,AH147+1)*AF147-ERP_i)*AE147*Ramure*Pc/MaxiM</f>
        <v>1.9145287540534904E-3</v>
      </c>
      <c r="AE147" s="305">
        <f t="shared" si="62"/>
        <v>0.8</v>
      </c>
      <c r="AF147" s="177">
        <f t="shared" si="63"/>
        <v>0.74363144415725946</v>
      </c>
      <c r="AG147" s="176">
        <f t="shared" si="64"/>
        <v>0</v>
      </c>
      <c r="AH147" s="176">
        <f t="shared" si="65"/>
        <v>6</v>
      </c>
      <c r="AI147" s="225">
        <f t="shared" si="66"/>
        <v>0.74363144415725946</v>
      </c>
      <c r="AJ147" s="265" t="b">
        <f t="shared" si="67"/>
        <v>0</v>
      </c>
      <c r="AK147" s="265" t="b">
        <f t="shared" si="68"/>
        <v>1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6">
        <v>58.183999999999997</v>
      </c>
      <c r="C148" s="390"/>
      <c r="D148" s="393">
        <f t="shared" si="48"/>
        <v>58.572547734094172</v>
      </c>
      <c r="E148" s="385">
        <f t="shared" si="70"/>
        <v>61.437373031845539</v>
      </c>
      <c r="F148" s="385">
        <f t="shared" si="49"/>
        <v>61.55883645461271</v>
      </c>
      <c r="G148" s="110">
        <f t="shared" si="71"/>
        <v>1.0047994354983338</v>
      </c>
      <c r="H148" s="414" t="b">
        <f>Wh_hp&gt;='2018'!Maxi_hp</f>
        <v>1</v>
      </c>
      <c r="I148" s="390">
        <f>IF(H148,Wh_hp,'2018'!Maxi_hp)</f>
        <v>61.55883645461271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6.6336150487783518E-3</v>
      </c>
      <c r="M148" s="843"/>
      <c r="N148" s="843"/>
      <c r="O148" s="48">
        <f>IF(t&lt;Tnet,'2018'!Resal+('2018'!Salim-'2018'!Resal)*(1-EXP(('2018'!Tnet-t)/('2018'!Tau_j))),Resal+(Salim-Resal)*(1-EXP((Tnet-t)/(Tau_j))))*Salcycl</f>
        <v>4.6630009656604514E-2</v>
      </c>
      <c r="P148" s="169">
        <f>(INDEX(Models!$BJ148:$BT148,,T148)*(1-R148)+INDEX(Models!$BJ148:$BT148,,T148+1)*R148-ERP_i)*Q148*Ramure*Pc/MaxiM</f>
        <v>1.973127332527354E-3</v>
      </c>
      <c r="Q148" s="305">
        <f t="shared" si="51"/>
        <v>0.8</v>
      </c>
      <c r="R148" s="177">
        <f t="shared" si="52"/>
        <v>0.74818939403598228</v>
      </c>
      <c r="S148" s="809">
        <f t="shared" si="53"/>
        <v>0</v>
      </c>
      <c r="T148" s="176">
        <f t="shared" si="54"/>
        <v>6</v>
      </c>
      <c r="U148" s="251">
        <f t="shared" si="55"/>
        <v>0.74818939403598228</v>
      </c>
      <c r="V148" s="383">
        <f t="shared" si="56"/>
        <v>57.906083487341355</v>
      </c>
      <c r="W148" s="58"/>
      <c r="X148" s="157">
        <f t="shared" si="57"/>
        <v>43599</v>
      </c>
      <c r="Y148" s="385">
        <f t="shared" si="58"/>
        <v>58.183999999999997</v>
      </c>
      <c r="Z148" s="385">
        <f t="shared" si="59"/>
        <v>58.572547734094172</v>
      </c>
      <c r="AA148" s="386">
        <f t="shared" si="60"/>
        <v>61.437373031845539</v>
      </c>
      <c r="AB148" s="197">
        <f t="shared" si="61"/>
        <v>43599</v>
      </c>
      <c r="AC148" s="425">
        <f>IF(OR(t&lt;Tnet,NoTnet),'2018'!Resal_s+('2018'!Salim-'2018'!Resal_s)*(1-EXP(('2018'!Tnet_s-t)/'2018'!Tau_j)),Resal_s+(Salim-Resal_s)*(1-EXP((Tnet_s-t)/Tau_j)))*Salcycl</f>
        <v>4.6630009656604514E-2</v>
      </c>
      <c r="AD148" s="231">
        <f>(INDEX(Models!$BJ148:$BT148,,AH148)*(1-AF148)+INDEX(Models!$BJ148:$BT148,,AH148+1)*AF148-ERP_i)*AE148*Ramure*Pc/MaxiM</f>
        <v>1.973127332527354E-3</v>
      </c>
      <c r="AE148" s="305">
        <f t="shared" si="62"/>
        <v>0.8</v>
      </c>
      <c r="AF148" s="177">
        <f t="shared" si="63"/>
        <v>0.74818939403598228</v>
      </c>
      <c r="AG148" s="176">
        <f t="shared" si="64"/>
        <v>0</v>
      </c>
      <c r="AH148" s="176">
        <f t="shared" si="65"/>
        <v>6</v>
      </c>
      <c r="AI148" s="225">
        <f t="shared" si="66"/>
        <v>0.74818939403598228</v>
      </c>
      <c r="AJ148" s="265" t="b">
        <f t="shared" si="67"/>
        <v>0</v>
      </c>
      <c r="AK148" s="265" t="b">
        <f t="shared" si="68"/>
        <v>1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6">
        <v>59.075000000000003</v>
      </c>
      <c r="C149" s="390"/>
      <c r="D149" s="393">
        <f t="shared" si="48"/>
        <v>59.470881729551756</v>
      </c>
      <c r="E149" s="385">
        <f t="shared" si="70"/>
        <v>62.390757013278318</v>
      </c>
      <c r="F149" s="385">
        <f t="shared" si="49"/>
        <v>62.517859934391758</v>
      </c>
      <c r="G149" s="110">
        <f t="shared" si="71"/>
        <v>1.0184785533236003</v>
      </c>
      <c r="H149" s="414" t="b">
        <f>Wh_hp&gt;='2018'!Maxi_hp</f>
        <v>1</v>
      </c>
      <c r="I149" s="390">
        <f>IF(H149,Wh_hp,'2018'!Maxi_hp)</f>
        <v>62.517859934391758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6.6567321357711151E-3</v>
      </c>
      <c r="M149" s="843"/>
      <c r="N149" s="843"/>
      <c r="O149" s="48">
        <f>IF(t&lt;Tnet,'2018'!Resal+('2018'!Salim-'2018'!Resal)*(1-EXP(('2018'!Tnet-t)/('2018'!Tau_j))),Resal+(Salim-Resal)*(1-EXP((Tnet-t)/(Tau_j))))*Salcycl</f>
        <v>4.6799805347852094E-2</v>
      </c>
      <c r="P149" s="169">
        <f>(INDEX(Models!$BJ149:$BT149,,T149)*(1-R149)+INDEX(Models!$BJ149:$BT149,,T149+1)*R149-ERP_i)*Q149*Ramure*Pc/MaxiM</f>
        <v>2.0330657710743898E-3</v>
      </c>
      <c r="Q149" s="305">
        <f t="shared" si="51"/>
        <v>0.8</v>
      </c>
      <c r="R149" s="177">
        <f t="shared" si="52"/>
        <v>0.75284274409402985</v>
      </c>
      <c r="S149" s="809">
        <f t="shared" si="53"/>
        <v>0</v>
      </c>
      <c r="T149" s="176">
        <f t="shared" si="54"/>
        <v>6</v>
      </c>
      <c r="U149" s="251">
        <f t="shared" si="55"/>
        <v>0.75284274409402985</v>
      </c>
      <c r="V149" s="383">
        <f t="shared" si="56"/>
        <v>58.00318505207656</v>
      </c>
      <c r="W149" s="58"/>
      <c r="X149" s="157">
        <f t="shared" si="57"/>
        <v>43600</v>
      </c>
      <c r="Y149" s="385">
        <f t="shared" si="58"/>
        <v>59.075000000000003</v>
      </c>
      <c r="Z149" s="385">
        <f t="shared" si="59"/>
        <v>59.470881729551756</v>
      </c>
      <c r="AA149" s="386">
        <f t="shared" si="60"/>
        <v>62.390757013278318</v>
      </c>
      <c r="AB149" s="197">
        <f t="shared" si="61"/>
        <v>43600</v>
      </c>
      <c r="AC149" s="425">
        <f>IF(OR(t&lt;Tnet,NoTnet),'2018'!Resal_s+('2018'!Salim-'2018'!Resal_s)*(1-EXP(('2018'!Tnet_s-t)/'2018'!Tau_j)),Resal_s+(Salim-Resal_s)*(1-EXP((Tnet_s-t)/Tau_j)))*Salcycl</f>
        <v>4.6799805347852094E-2</v>
      </c>
      <c r="AD149" s="231">
        <f>(INDEX(Models!$BJ149:$BT149,,AH149)*(1-AF149)+INDEX(Models!$BJ149:$BT149,,AH149+1)*AF149-ERP_i)*AE149*Ramure*Pc/MaxiM</f>
        <v>2.0330657710743898E-3</v>
      </c>
      <c r="AE149" s="305">
        <f t="shared" si="62"/>
        <v>0.8</v>
      </c>
      <c r="AF149" s="177">
        <f t="shared" si="63"/>
        <v>0.75284274409402985</v>
      </c>
      <c r="AG149" s="176">
        <f t="shared" si="64"/>
        <v>0</v>
      </c>
      <c r="AH149" s="176">
        <f t="shared" si="65"/>
        <v>6</v>
      </c>
      <c r="AI149" s="225">
        <f t="shared" si="66"/>
        <v>0.75284274409402985</v>
      </c>
      <c r="AJ149" s="265" t="b">
        <f t="shared" si="67"/>
        <v>0</v>
      </c>
      <c r="AK149" s="265" t="b">
        <f t="shared" si="68"/>
        <v>1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6">
        <v>49.469000000000001</v>
      </c>
      <c r="C150" s="390"/>
      <c r="D150" s="393">
        <f t="shared" si="48"/>
        <v>49.801667603844159</v>
      </c>
      <c r="E150" s="385">
        <f t="shared" si="70"/>
        <v>52.256137244009771</v>
      </c>
      <c r="F150" s="385">
        <f t="shared" si="49"/>
        <v>52.342496301263523</v>
      </c>
      <c r="G150" s="110">
        <f t="shared" si="71"/>
        <v>0.85118782291810102</v>
      </c>
      <c r="H150" s="414" t="b">
        <f>Wh_hp&gt;='2018'!Maxi_hp</f>
        <v>1</v>
      </c>
      <c r="I150" s="390">
        <f>IF(H150,Wh_hp,'2018'!Maxi_hp)</f>
        <v>52.342496301263523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6.6798486847954308E-3</v>
      </c>
      <c r="M150" s="843"/>
      <c r="N150" s="843"/>
      <c r="O150" s="48">
        <f>IF(t&lt;Tnet,'2018'!Resal+('2018'!Salim-'2018'!Resal)*(1-EXP(('2018'!Tnet-t)/('2018'!Tau_j))),Resal+(Salim-Resal)*(1-EXP((Tnet-t)/(Tau_j))))*Salcycl</f>
        <v>4.6969978448741352E-2</v>
      </c>
      <c r="P150" s="169">
        <f>(INDEX(Models!$BJ150:$BT150,,T150)*(1-R150)+INDEX(Models!$BJ150:$BT150,,T150+1)*R150-ERP_i)*Q150*Ramure*Pc/MaxiM</f>
        <v>2.0938886539230159E-3</v>
      </c>
      <c r="Q150" s="305">
        <f t="shared" si="51"/>
        <v>0.8</v>
      </c>
      <c r="R150" s="177">
        <f t="shared" si="52"/>
        <v>0.75759046904738114</v>
      </c>
      <c r="S150" s="809">
        <f t="shared" si="53"/>
        <v>0</v>
      </c>
      <c r="T150" s="176">
        <f t="shared" si="54"/>
        <v>6</v>
      </c>
      <c r="U150" s="251">
        <f t="shared" si="55"/>
        <v>0.75759046904738114</v>
      </c>
      <c r="V150" s="383">
        <f t="shared" si="56"/>
        <v>58.091760611766546</v>
      </c>
      <c r="W150" s="58"/>
      <c r="X150" s="157">
        <f t="shared" si="57"/>
        <v>43601</v>
      </c>
      <c r="Y150" s="385">
        <f t="shared" si="58"/>
        <v>49.469000000000001</v>
      </c>
      <c r="Z150" s="385">
        <f t="shared" si="59"/>
        <v>49.801667603844159</v>
      </c>
      <c r="AA150" s="386">
        <f t="shared" si="60"/>
        <v>52.256137244009771</v>
      </c>
      <c r="AB150" s="197">
        <f t="shared" si="61"/>
        <v>43601</v>
      </c>
      <c r="AC150" s="425">
        <f>IF(OR(t&lt;Tnet,NoTnet),'2018'!Resal_s+('2018'!Salim-'2018'!Resal_s)*(1-EXP(('2018'!Tnet_s-t)/'2018'!Tau_j)),Resal_s+(Salim-Resal_s)*(1-EXP((Tnet_s-t)/Tau_j)))*Salcycl</f>
        <v>4.6969978448741352E-2</v>
      </c>
      <c r="AD150" s="231">
        <f>(INDEX(Models!$BJ150:$BT150,,AH150)*(1-AF150)+INDEX(Models!$BJ150:$BT150,,AH150+1)*AF150-ERP_i)*AE150*Ramure*Pc/MaxiM</f>
        <v>2.0938886539230159E-3</v>
      </c>
      <c r="AE150" s="305">
        <f t="shared" si="62"/>
        <v>0.8</v>
      </c>
      <c r="AF150" s="177">
        <f t="shared" si="63"/>
        <v>0.75759046904738114</v>
      </c>
      <c r="AG150" s="176">
        <f t="shared" si="64"/>
        <v>0</v>
      </c>
      <c r="AH150" s="176">
        <f t="shared" si="65"/>
        <v>6</v>
      </c>
      <c r="AI150" s="225">
        <f t="shared" si="66"/>
        <v>0.75759046904738114</v>
      </c>
      <c r="AJ150" s="265" t="b">
        <f t="shared" si="67"/>
        <v>0</v>
      </c>
      <c r="AK150" s="265" t="b">
        <f t="shared" si="68"/>
        <v>1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6">
        <v>7.3579999999999997</v>
      </c>
      <c r="C151" s="390"/>
      <c r="D151" s="393">
        <f t="shared" si="48"/>
        <v>7.407653238134416</v>
      </c>
      <c r="E151" s="385">
        <f t="shared" si="70"/>
        <v>7.7741296026492526</v>
      </c>
      <c r="F151" s="385">
        <f t="shared" si="49"/>
        <v>7.7741296026492526</v>
      </c>
      <c r="G151" s="110">
        <f t="shared" si="71"/>
        <v>0.12621379899240187</v>
      </c>
      <c r="H151" s="414" t="b">
        <f>Wh_hp&gt;='2018'!Maxi_hp</f>
        <v>1</v>
      </c>
      <c r="I151" s="390">
        <f>IF(H151,Wh_hp,'2018'!Maxi_hp)</f>
        <v>7.7741296026492526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6.7029646958638445E-3</v>
      </c>
      <c r="M151" s="843"/>
      <c r="N151" s="843"/>
      <c r="O151" s="48">
        <f>IF(t&lt;Tnet,'2018'!Resal+('2018'!Salim-'2018'!Resal)*(1-EXP(('2018'!Tnet-t)/('2018'!Tau_j))),Resal+(Salim-Resal)*(1-EXP((Tnet-t)/(Tau_j))))*Salcycl</f>
        <v>4.7140501026629353E-2</v>
      </c>
      <c r="P151" s="169">
        <f>(INDEX(Models!$BJ151:$BT151,,T151)*(1-R151)+INDEX(Models!$BJ151:$BT151,,T151+1)*R151-ERP_i)*Q151*Ramure*Pc/MaxiM</f>
        <v>2.1556263164028266E-3</v>
      </c>
      <c r="Q151" s="305">
        <f t="shared" si="51"/>
        <v>0.8</v>
      </c>
      <c r="R151" s="177">
        <f t="shared" si="52"/>
        <v>0.76243133907934979</v>
      </c>
      <c r="S151" s="809">
        <f t="shared" si="53"/>
        <v>0</v>
      </c>
      <c r="T151" s="176">
        <f t="shared" si="54"/>
        <v>6</v>
      </c>
      <c r="U151" s="251">
        <f t="shared" si="55"/>
        <v>0.76243133907934979</v>
      </c>
      <c r="V151" s="383">
        <f t="shared" si="56"/>
        <v>58.172236000961405</v>
      </c>
      <c r="W151" s="58"/>
      <c r="X151" s="157">
        <f t="shared" si="57"/>
        <v>43602</v>
      </c>
      <c r="Y151" s="385">
        <f t="shared" si="58"/>
        <v>7.3579999999999997</v>
      </c>
      <c r="Z151" s="385">
        <f t="shared" si="59"/>
        <v>7.407653238134416</v>
      </c>
      <c r="AA151" s="386">
        <f t="shared" si="60"/>
        <v>7.7741296026492526</v>
      </c>
      <c r="AB151" s="197">
        <f t="shared" si="61"/>
        <v>43602</v>
      </c>
      <c r="AC151" s="425">
        <f>IF(OR(t&lt;Tnet,NoTnet),'2018'!Resal_s+('2018'!Salim-'2018'!Resal_s)*(1-EXP(('2018'!Tnet_s-t)/'2018'!Tau_j)),Resal_s+(Salim-Resal_s)*(1-EXP((Tnet_s-t)/Tau_j)))*Salcycl</f>
        <v>4.7140501026629353E-2</v>
      </c>
      <c r="AD151" s="231">
        <f>(INDEX(Models!$BJ151:$BT151,,AH151)*(1-AF151)+INDEX(Models!$BJ151:$BT151,,AH151+1)*AF151-ERP_i)*AE151*Ramure*Pc/MaxiM</f>
        <v>2.1556263164028266E-3</v>
      </c>
      <c r="AE151" s="305">
        <f t="shared" si="62"/>
        <v>0.8</v>
      </c>
      <c r="AF151" s="177">
        <f t="shared" si="63"/>
        <v>0.76243133907934979</v>
      </c>
      <c r="AG151" s="176">
        <f t="shared" si="64"/>
        <v>0</v>
      </c>
      <c r="AH151" s="176">
        <f t="shared" si="65"/>
        <v>6</v>
      </c>
      <c r="AI151" s="225">
        <f t="shared" si="66"/>
        <v>0.76243133907934979</v>
      </c>
      <c r="AJ151" s="265" t="b">
        <f t="shared" si="67"/>
        <v>0</v>
      </c>
      <c r="AK151" s="265" t="b">
        <f t="shared" si="68"/>
        <v>1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6">
        <v>36.67</v>
      </c>
      <c r="C152" s="390"/>
      <c r="D152" s="393">
        <f t="shared" si="48"/>
        <v>36.918315550093965</v>
      </c>
      <c r="E152" s="385">
        <f t="shared" si="70"/>
        <v>38.751711061470665</v>
      </c>
      <c r="F152" s="385">
        <f t="shared" si="49"/>
        <v>38.792226848776266</v>
      </c>
      <c r="G152" s="110">
        <f t="shared" si="71"/>
        <v>0.62884171604134986</v>
      </c>
      <c r="H152" s="414" t="b">
        <f>Wh_hp&gt;='2018'!Maxi_hp</f>
        <v>1</v>
      </c>
      <c r="I152" s="390">
        <f>IF(H152,Wh_hp,'2018'!Maxi_hp)</f>
        <v>38.792226848776266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6.7260801689890126E-3</v>
      </c>
      <c r="M152" s="843"/>
      <c r="N152" s="843"/>
      <c r="O152" s="48">
        <f>IF(t&lt;Tnet,'2018'!Resal+('2018'!Salim-'2018'!Resal)*(1-EXP(('2018'!Tnet-t)/('2018'!Tau_j))),Resal+(Salim-Resal)*(1-EXP((Tnet-t)/(Tau_j))))*Salcycl</f>
        <v>4.7311343451865738E-2</v>
      </c>
      <c r="P152" s="169">
        <f>(INDEX(Models!$BJ152:$BT152,,T152)*(1-R152)+INDEX(Models!$BJ152:$BT152,,T152+1)*R152-ERP_i)*Q152*Ramure*Pc/MaxiM</f>
        <v>2.2182718233194369E-3</v>
      </c>
      <c r="Q152" s="305">
        <f t="shared" si="51"/>
        <v>0.8</v>
      </c>
      <c r="R152" s="177">
        <f t="shared" si="52"/>
        <v>0.76736391534809822</v>
      </c>
      <c r="S152" s="809">
        <f t="shared" si="53"/>
        <v>0</v>
      </c>
      <c r="T152" s="176">
        <f t="shared" si="54"/>
        <v>6</v>
      </c>
      <c r="U152" s="251">
        <f t="shared" si="55"/>
        <v>0.76736391534809822</v>
      </c>
      <c r="V152" s="383">
        <f t="shared" si="56"/>
        <v>58.245038938048211</v>
      </c>
      <c r="W152" s="58"/>
      <c r="X152" s="157">
        <f t="shared" si="57"/>
        <v>43603</v>
      </c>
      <c r="Y152" s="385">
        <f t="shared" si="58"/>
        <v>36.67</v>
      </c>
      <c r="Z152" s="385">
        <f t="shared" si="59"/>
        <v>36.918315550093965</v>
      </c>
      <c r="AA152" s="386">
        <f t="shared" si="60"/>
        <v>38.751711061470665</v>
      </c>
      <c r="AB152" s="197">
        <f t="shared" si="61"/>
        <v>43603</v>
      </c>
      <c r="AC152" s="425">
        <f>IF(OR(t&lt;Tnet,NoTnet),'2018'!Resal_s+('2018'!Salim-'2018'!Resal_s)*(1-EXP(('2018'!Tnet_s-t)/'2018'!Tau_j)),Resal_s+(Salim-Resal_s)*(1-EXP((Tnet_s-t)/Tau_j)))*Salcycl</f>
        <v>4.7311343451865738E-2</v>
      </c>
      <c r="AD152" s="231">
        <f>(INDEX(Models!$BJ152:$BT152,,AH152)*(1-AF152)+INDEX(Models!$BJ152:$BT152,,AH152+1)*AF152-ERP_i)*AE152*Ramure*Pc/MaxiM</f>
        <v>2.2182718233194369E-3</v>
      </c>
      <c r="AE152" s="305">
        <f t="shared" si="62"/>
        <v>0.8</v>
      </c>
      <c r="AF152" s="177">
        <f t="shared" si="63"/>
        <v>0.76736391534809822</v>
      </c>
      <c r="AG152" s="176">
        <f t="shared" si="64"/>
        <v>0</v>
      </c>
      <c r="AH152" s="176">
        <f t="shared" si="65"/>
        <v>6</v>
      </c>
      <c r="AI152" s="225">
        <f t="shared" si="66"/>
        <v>0.76736391534809822</v>
      </c>
      <c r="AJ152" s="265" t="b">
        <f t="shared" si="67"/>
        <v>0</v>
      </c>
      <c r="AK152" s="265" t="b">
        <f t="shared" si="68"/>
        <v>1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6">
        <v>26.847000000000001</v>
      </c>
      <c r="C153" s="390"/>
      <c r="D153" s="393">
        <f t="shared" si="48"/>
        <v>27.029426875537258</v>
      </c>
      <c r="E153" s="385">
        <f t="shared" si="70"/>
        <v>28.376828930019816</v>
      </c>
      <c r="F153" s="385">
        <f t="shared" si="49"/>
        <v>28.3916751084145</v>
      </c>
      <c r="G153" s="110">
        <f t="shared" si="71"/>
        <v>0.45960348911532145</v>
      </c>
      <c r="H153" s="414" t="b">
        <f>Wh_hp&gt;='2018'!Maxi_hp</f>
        <v>1</v>
      </c>
      <c r="I153" s="390">
        <f>IF(H153,Wh_hp,'2018'!Maxi_hp)</f>
        <v>28.3916751084145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6.7491951041832587E-3</v>
      </c>
      <c r="M153" s="843"/>
      <c r="N153" s="843"/>
      <c r="O153" s="48">
        <f>IF(t&lt;Tnet,'2018'!Resal+('2018'!Salim-'2018'!Resal)*(1-EXP(('2018'!Tnet-t)/('2018'!Tau_j))),Resal+(Salim-Resal)*(1-EXP((Tnet-t)/(Tau_j))))*Salcycl</f>
        <v>4.7482474444392214E-2</v>
      </c>
      <c r="P153" s="169">
        <f>(INDEX(Models!$BJ153:$BT153,,T153)*(1-R153)+INDEX(Models!$BJ153:$BT153,,T153+1)*R153-ERP_i)*Q153*Ramure*Pc/MaxiM</f>
        <v>2.2818134691182722E-3</v>
      </c>
      <c r="Q153" s="305">
        <f t="shared" si="51"/>
        <v>0.8</v>
      </c>
      <c r="R153" s="177">
        <f t="shared" si="52"/>
        <v>0.77238654626885406</v>
      </c>
      <c r="S153" s="809">
        <f t="shared" si="53"/>
        <v>0</v>
      </c>
      <c r="T153" s="176">
        <f t="shared" si="54"/>
        <v>6</v>
      </c>
      <c r="U153" s="251">
        <f t="shared" si="55"/>
        <v>0.77238654626885406</v>
      </c>
      <c r="V153" s="383">
        <f t="shared" si="56"/>
        <v>58.310597159660951</v>
      </c>
      <c r="W153" s="58"/>
      <c r="X153" s="157">
        <f t="shared" si="57"/>
        <v>43604</v>
      </c>
      <c r="Y153" s="385">
        <f t="shared" si="58"/>
        <v>26.847000000000001</v>
      </c>
      <c r="Z153" s="385">
        <f t="shared" si="59"/>
        <v>27.029426875537258</v>
      </c>
      <c r="AA153" s="386">
        <f t="shared" si="60"/>
        <v>28.376828930019816</v>
      </c>
      <c r="AB153" s="197">
        <f t="shared" si="61"/>
        <v>43604</v>
      </c>
      <c r="AC153" s="425">
        <f>IF(OR(t&lt;Tnet,NoTnet),'2018'!Resal_s+('2018'!Salim-'2018'!Resal_s)*(1-EXP(('2018'!Tnet_s-t)/'2018'!Tau_j)),Resal_s+(Salim-Resal_s)*(1-EXP((Tnet_s-t)/Tau_j)))*Salcycl</f>
        <v>4.7482474444392214E-2</v>
      </c>
      <c r="AD153" s="231">
        <f>(INDEX(Models!$BJ153:$BT153,,AH153)*(1-AF153)+INDEX(Models!$BJ153:$BT153,,AH153+1)*AF153-ERP_i)*AE153*Ramure*Pc/MaxiM</f>
        <v>2.2818134691182722E-3</v>
      </c>
      <c r="AE153" s="305">
        <f t="shared" si="62"/>
        <v>0.8</v>
      </c>
      <c r="AF153" s="177">
        <f t="shared" si="63"/>
        <v>0.77238654626885406</v>
      </c>
      <c r="AG153" s="176">
        <f t="shared" si="64"/>
        <v>0</v>
      </c>
      <c r="AH153" s="176">
        <f t="shared" si="65"/>
        <v>6</v>
      </c>
      <c r="AI153" s="225">
        <f t="shared" si="66"/>
        <v>0.77238654626885406</v>
      </c>
      <c r="AJ153" s="265" t="b">
        <f t="shared" si="67"/>
        <v>0</v>
      </c>
      <c r="AK153" s="265" t="b">
        <f t="shared" si="68"/>
        <v>1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6">
        <v>52.811999999999998</v>
      </c>
      <c r="C154" s="390"/>
      <c r="D154" s="393">
        <f t="shared" si="48"/>
        <v>53.172097903846741</v>
      </c>
      <c r="E154" s="385">
        <f t="shared" si="70"/>
        <v>55.83274371957863</v>
      </c>
      <c r="F154" s="385">
        <f t="shared" si="49"/>
        <v>55.946152923991129</v>
      </c>
      <c r="G154" s="110">
        <f t="shared" si="71"/>
        <v>0.90450078409744483</v>
      </c>
      <c r="H154" s="414" t="b">
        <f>Wh_hp&gt;='2018'!Maxi_hp</f>
        <v>1</v>
      </c>
      <c r="I154" s="390">
        <f>IF(H154,Wh_hp,'2018'!Maxi_hp)</f>
        <v>55.946152923991129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6.7723095014592394E-3</v>
      </c>
      <c r="M154" s="843"/>
      <c r="N154" s="843"/>
      <c r="O154" s="48">
        <f>IF(t&lt;Tnet,'2018'!Resal+('2018'!Salim-'2018'!Resal)*(1-EXP(('2018'!Tnet-t)/('2018'!Tau_j))),Resal+(Salim-Resal)*(1-EXP((Tnet-t)/(Tau_j))))*Salcycl</f>
        <v>4.7653861130218668E-2</v>
      </c>
      <c r="P154" s="169">
        <f>(INDEX(Models!$BJ154:$BT154,,T154)*(1-R154)+INDEX(Models!$BJ154:$BT154,,T154+1)*R154-ERP_i)*Q154*Ramure*Pc/MaxiM</f>
        <v>2.3462346071833938E-3</v>
      </c>
      <c r="Q154" s="305">
        <f t="shared" si="51"/>
        <v>0.8</v>
      </c>
      <c r="R154" s="177">
        <f t="shared" si="52"/>
        <v>0.77749736463804686</v>
      </c>
      <c r="S154" s="809">
        <f t="shared" si="53"/>
        <v>0</v>
      </c>
      <c r="T154" s="176">
        <f t="shared" si="54"/>
        <v>6</v>
      </c>
      <c r="U154" s="251">
        <f t="shared" si="55"/>
        <v>0.77749736463804686</v>
      </c>
      <c r="V154" s="383">
        <f t="shared" si="56"/>
        <v>58.369338394747658</v>
      </c>
      <c r="W154" s="58"/>
      <c r="X154" s="157">
        <f t="shared" si="57"/>
        <v>43605</v>
      </c>
      <c r="Y154" s="385">
        <f t="shared" si="58"/>
        <v>52.811999999999998</v>
      </c>
      <c r="Z154" s="385">
        <f t="shared" si="59"/>
        <v>53.172097903846741</v>
      </c>
      <c r="AA154" s="386">
        <f t="shared" si="60"/>
        <v>55.83274371957863</v>
      </c>
      <c r="AB154" s="197">
        <f t="shared" si="61"/>
        <v>43605</v>
      </c>
      <c r="AC154" s="425">
        <f>IF(OR(t&lt;Tnet,NoTnet),'2018'!Resal_s+('2018'!Salim-'2018'!Resal_s)*(1-EXP(('2018'!Tnet_s-t)/'2018'!Tau_j)),Resal_s+(Salim-Resal_s)*(1-EXP((Tnet_s-t)/Tau_j)))*Salcycl</f>
        <v>4.7653861130218668E-2</v>
      </c>
      <c r="AD154" s="231">
        <f>(INDEX(Models!$BJ154:$BT154,,AH154)*(1-AF154)+INDEX(Models!$BJ154:$BT154,,AH154+1)*AF154-ERP_i)*AE154*Ramure*Pc/MaxiM</f>
        <v>2.3462346071833938E-3</v>
      </c>
      <c r="AE154" s="305">
        <f t="shared" si="62"/>
        <v>0.8</v>
      </c>
      <c r="AF154" s="177">
        <f t="shared" si="63"/>
        <v>0.77749736463804686</v>
      </c>
      <c r="AG154" s="176">
        <f t="shared" si="64"/>
        <v>0</v>
      </c>
      <c r="AH154" s="176">
        <f t="shared" si="65"/>
        <v>6</v>
      </c>
      <c r="AI154" s="225">
        <f t="shared" si="66"/>
        <v>0.77749736463804686</v>
      </c>
      <c r="AJ154" s="265" t="b">
        <f t="shared" si="67"/>
        <v>0</v>
      </c>
      <c r="AK154" s="265" t="b">
        <f t="shared" si="68"/>
        <v>1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6">
        <v>50.917999999999999</v>
      </c>
      <c r="C155" s="390"/>
      <c r="D155" s="393">
        <f t="shared" si="48"/>
        <v>51.26637673408387</v>
      </c>
      <c r="E155" s="385">
        <f t="shared" si="70"/>
        <v>53.841365286309532</v>
      </c>
      <c r="F155" s="385">
        <f t="shared" si="49"/>
        <v>53.947589963508648</v>
      </c>
      <c r="G155" s="110">
        <f t="shared" si="71"/>
        <v>0.87117344735555058</v>
      </c>
      <c r="H155" s="414" t="b">
        <f>Wh_hp&gt;='2018'!Maxi_hp</f>
        <v>1</v>
      </c>
      <c r="I155" s="390">
        <f>IF(H155,Wh_hp,'2018'!Maxi_hp)</f>
        <v>53.947589963508648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6.795423360829389E-3</v>
      </c>
      <c r="M155" s="843"/>
      <c r="N155" s="843"/>
      <c r="O155" s="48">
        <f>IF(t&lt;Tnet,'2018'!Resal+('2018'!Salim-'2018'!Resal)*(1-EXP(('2018'!Tnet-t)/('2018'!Tau_j))),Resal+(Salim-Resal)*(1-EXP((Tnet-t)/(Tau_j))))*Salcycl</f>
        <v>4.7825469107864796E-2</v>
      </c>
      <c r="P155" s="169">
        <f>(INDEX(Models!$BJ155:$BT155,,T155)*(1-R155)+INDEX(Models!$BJ155:$BT155,,T155+1)*R155-ERP_i)*Q155*Ramure*Pc/MaxiM</f>
        <v>2.4115134847277186E-3</v>
      </c>
      <c r="Q155" s="305">
        <f t="shared" si="51"/>
        <v>0.8</v>
      </c>
      <c r="R155" s="177">
        <f t="shared" si="52"/>
        <v>0.78269428566317834</v>
      </c>
      <c r="S155" s="809">
        <f t="shared" si="53"/>
        <v>0</v>
      </c>
      <c r="T155" s="176">
        <f t="shared" si="54"/>
        <v>6</v>
      </c>
      <c r="U155" s="251">
        <f t="shared" si="55"/>
        <v>0.78269428566317834</v>
      </c>
      <c r="V155" s="383">
        <f t="shared" si="56"/>
        <v>58.421690387992555</v>
      </c>
      <c r="W155" s="58"/>
      <c r="X155" s="157">
        <f t="shared" si="57"/>
        <v>43606</v>
      </c>
      <c r="Y155" s="385">
        <f t="shared" si="58"/>
        <v>50.917999999999999</v>
      </c>
      <c r="Z155" s="385">
        <f t="shared" si="59"/>
        <v>51.26637673408387</v>
      </c>
      <c r="AA155" s="386">
        <f t="shared" si="60"/>
        <v>53.841365286309532</v>
      </c>
      <c r="AB155" s="197">
        <f t="shared" si="61"/>
        <v>43606</v>
      </c>
      <c r="AC155" s="425">
        <f>IF(OR(t&lt;Tnet,NoTnet),'2018'!Resal_s+('2018'!Salim-'2018'!Resal_s)*(1-EXP(('2018'!Tnet_s-t)/'2018'!Tau_j)),Resal_s+(Salim-Resal_s)*(1-EXP((Tnet_s-t)/Tau_j)))*Salcycl</f>
        <v>4.7825469107864796E-2</v>
      </c>
      <c r="AD155" s="231">
        <f>(INDEX(Models!$BJ155:$BT155,,AH155)*(1-AF155)+INDEX(Models!$BJ155:$BT155,,AH155+1)*AF155-ERP_i)*AE155*Ramure*Pc/MaxiM</f>
        <v>2.4115134847277186E-3</v>
      </c>
      <c r="AE155" s="305">
        <f t="shared" si="62"/>
        <v>0.8</v>
      </c>
      <c r="AF155" s="177">
        <f t="shared" si="63"/>
        <v>0.78269428566317834</v>
      </c>
      <c r="AG155" s="176">
        <f t="shared" si="64"/>
        <v>0</v>
      </c>
      <c r="AH155" s="176">
        <f t="shared" si="65"/>
        <v>6</v>
      </c>
      <c r="AI155" s="225">
        <f t="shared" si="66"/>
        <v>0.78269428566317834</v>
      </c>
      <c r="AJ155" s="265" t="b">
        <f t="shared" si="67"/>
        <v>0</v>
      </c>
      <c r="AK155" s="265" t="b">
        <f t="shared" si="68"/>
        <v>1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6">
        <v>56.692</v>
      </c>
      <c r="C156" s="390"/>
      <c r="D156" s="393">
        <f t="shared" si="48"/>
        <v>57.081210326481553</v>
      </c>
      <c r="E156" s="385">
        <f t="shared" si="70"/>
        <v>59.95908213233173</v>
      </c>
      <c r="F156" s="385">
        <f t="shared" si="49"/>
        <v>60.101475651272665</v>
      </c>
      <c r="G156" s="110">
        <f t="shared" si="71"/>
        <v>0.96951770737209919</v>
      </c>
      <c r="H156" s="414" t="b">
        <f>Wh_hp&gt;='2018'!Maxi_hp</f>
        <v>1</v>
      </c>
      <c r="I156" s="390">
        <f>IF(H156,Wh_hp,'2018'!Maxi_hp)</f>
        <v>60.101475651272665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6.8185366823062532E-3</v>
      </c>
      <c r="M156" s="843"/>
      <c r="N156" s="843"/>
      <c r="O156" s="48">
        <f>IF(t&lt;Tnet,'2018'!Resal+('2018'!Salim-'2018'!Resal)*(1-EXP(('2018'!Tnet-t)/('2018'!Tau_j))),Resal+(Salim-Resal)*(1-EXP((Tnet-t)/(Tau_j))))*Salcycl</f>
        <v>4.7997262524776735E-2</v>
      </c>
      <c r="P156" s="169">
        <f>(INDEX(Models!$BJ156:$BT156,,T156)*(1-R156)+INDEX(Models!$BJ156:$BT156,,T156+1)*R156-ERP_i)*Q156*Ramure*Pc/MaxiM</f>
        <v>2.476699423452495E-3</v>
      </c>
      <c r="Q156" s="305">
        <f t="shared" si="51"/>
        <v>0.8</v>
      </c>
      <c r="R156" s="177">
        <f t="shared" si="52"/>
        <v>0.78797500595784498</v>
      </c>
      <c r="S156" s="809">
        <f t="shared" si="53"/>
        <v>0</v>
      </c>
      <c r="T156" s="176">
        <f t="shared" si="54"/>
        <v>6</v>
      </c>
      <c r="U156" s="251">
        <f t="shared" si="55"/>
        <v>0.78797500595784498</v>
      </c>
      <c r="V156" s="383">
        <f t="shared" si="56"/>
        <v>58.468135013147233</v>
      </c>
      <c r="W156" s="58"/>
      <c r="X156" s="157">
        <f t="shared" si="57"/>
        <v>43607</v>
      </c>
      <c r="Y156" s="385">
        <f t="shared" si="58"/>
        <v>56.692</v>
      </c>
      <c r="Z156" s="385">
        <f t="shared" si="59"/>
        <v>57.081210326481553</v>
      </c>
      <c r="AA156" s="386">
        <f t="shared" si="60"/>
        <v>59.95908213233173</v>
      </c>
      <c r="AB156" s="197">
        <f t="shared" si="61"/>
        <v>43607</v>
      </c>
      <c r="AC156" s="425">
        <f>IF(OR(t&lt;Tnet,NoTnet),'2018'!Resal_s+('2018'!Salim-'2018'!Resal_s)*(1-EXP(('2018'!Tnet_s-t)/'2018'!Tau_j)),Resal_s+(Salim-Resal_s)*(1-EXP((Tnet_s-t)/Tau_j)))*Salcycl</f>
        <v>4.7997262524776735E-2</v>
      </c>
      <c r="AD156" s="231">
        <f>(INDEX(Models!$BJ156:$BT156,,AH156)*(1-AF156)+INDEX(Models!$BJ156:$BT156,,AH156+1)*AF156-ERP_i)*AE156*Ramure*Pc/MaxiM</f>
        <v>2.476699423452495E-3</v>
      </c>
      <c r="AE156" s="305">
        <f t="shared" si="62"/>
        <v>0.8</v>
      </c>
      <c r="AF156" s="177">
        <f t="shared" si="63"/>
        <v>0.78797500595784498</v>
      </c>
      <c r="AG156" s="176">
        <f t="shared" si="64"/>
        <v>0</v>
      </c>
      <c r="AH156" s="176">
        <f t="shared" si="65"/>
        <v>6</v>
      </c>
      <c r="AI156" s="225">
        <f t="shared" si="66"/>
        <v>0.78797500595784498</v>
      </c>
      <c r="AJ156" s="265" t="b">
        <f t="shared" si="67"/>
        <v>0</v>
      </c>
      <c r="AK156" s="265" t="b">
        <f t="shared" si="68"/>
        <v>1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6">
        <v>46.872999999999998</v>
      </c>
      <c r="C157" s="390"/>
      <c r="D157" s="393">
        <f t="shared" si="48"/>
        <v>47.195897788900211</v>
      </c>
      <c r="E157" s="385">
        <f t="shared" si="70"/>
        <v>49.584335782527418</v>
      </c>
      <c r="F157" s="385">
        <f t="shared" si="49"/>
        <v>49.674731285733913</v>
      </c>
      <c r="G157" s="110">
        <f t="shared" si="71"/>
        <v>0.80054376726164633</v>
      </c>
      <c r="H157" s="414" t="b">
        <f>Wh_hp&gt;='2018'!Maxi_hp</f>
        <v>1</v>
      </c>
      <c r="I157" s="390">
        <f>IF(H157,Wh_hp,'2018'!Maxi_hp)</f>
        <v>49.674731285733913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6.8416494659023774E-3</v>
      </c>
      <c r="M157" s="843"/>
      <c r="N157" s="843"/>
      <c r="O157" s="48">
        <f>IF(t&lt;Tnet,'2018'!Resal+('2018'!Salim-'2018'!Resal)*(1-EXP(('2018'!Tnet-t)/('2018'!Tau_j))),Resal+(Salim-Resal)*(1-EXP((Tnet-t)/(Tau_j))))*Salcycl</f>
        <v>4.8169204163643217E-2</v>
      </c>
      <c r="P157" s="169">
        <f>(INDEX(Models!$BJ157:$BT157,,T157)*(1-R157)+INDEX(Models!$BJ157:$BT157,,T157+1)*R157-ERP_i)*Q157*Ramure*Pc/MaxiM</f>
        <v>2.5419363498866408E-3</v>
      </c>
      <c r="Q157" s="305">
        <f t="shared" si="51"/>
        <v>0.8</v>
      </c>
      <c r="R157" s="177">
        <f t="shared" si="52"/>
        <v>0.79333700355597181</v>
      </c>
      <c r="S157" s="809">
        <f t="shared" si="53"/>
        <v>0</v>
      </c>
      <c r="T157" s="176">
        <f t="shared" si="54"/>
        <v>6</v>
      </c>
      <c r="U157" s="251">
        <f t="shared" si="55"/>
        <v>0.79333700355597181</v>
      </c>
      <c r="V157" s="383">
        <f t="shared" si="56"/>
        <v>58.509089793537143</v>
      </c>
      <c r="W157" s="58"/>
      <c r="X157" s="157">
        <f t="shared" si="57"/>
        <v>43608</v>
      </c>
      <c r="Y157" s="385">
        <f t="shared" si="58"/>
        <v>46.872999999999998</v>
      </c>
      <c r="Z157" s="385">
        <f t="shared" si="59"/>
        <v>47.195897788900211</v>
      </c>
      <c r="AA157" s="386">
        <f t="shared" si="60"/>
        <v>49.584335782527418</v>
      </c>
      <c r="AB157" s="197">
        <f t="shared" si="61"/>
        <v>43608</v>
      </c>
      <c r="AC157" s="425">
        <f>IF(OR(t&lt;Tnet,NoTnet),'2018'!Resal_s+('2018'!Salim-'2018'!Resal_s)*(1-EXP(('2018'!Tnet_s-t)/'2018'!Tau_j)),Resal_s+(Salim-Resal_s)*(1-EXP((Tnet_s-t)/Tau_j)))*Salcycl</f>
        <v>4.8169204163643217E-2</v>
      </c>
      <c r="AD157" s="231">
        <f>(INDEX(Models!$BJ157:$BT157,,AH157)*(1-AF157)+INDEX(Models!$BJ157:$BT157,,AH157+1)*AF157-ERP_i)*AE157*Ramure*Pc/MaxiM</f>
        <v>2.5419363498866408E-3</v>
      </c>
      <c r="AE157" s="305">
        <f t="shared" si="62"/>
        <v>0.8</v>
      </c>
      <c r="AF157" s="177">
        <f t="shared" si="63"/>
        <v>0.79333700355597181</v>
      </c>
      <c r="AG157" s="176">
        <f t="shared" si="64"/>
        <v>0</v>
      </c>
      <c r="AH157" s="176">
        <f t="shared" si="65"/>
        <v>6</v>
      </c>
      <c r="AI157" s="225">
        <f t="shared" si="66"/>
        <v>0.79333700355597181</v>
      </c>
      <c r="AJ157" s="265" t="b">
        <f t="shared" si="67"/>
        <v>0</v>
      </c>
      <c r="AK157" s="265" t="b">
        <f t="shared" si="68"/>
        <v>1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6">
        <v>12.458</v>
      </c>
      <c r="C158" s="390"/>
      <c r="D158" s="393">
        <f t="shared" si="48"/>
        <v>12.544112342112523</v>
      </c>
      <c r="E158" s="385">
        <f t="shared" si="70"/>
        <v>13.181313590734675</v>
      </c>
      <c r="F158" s="385">
        <f t="shared" si="49"/>
        <v>13.181313590734675</v>
      </c>
      <c r="G158" s="110">
        <f t="shared" si="71"/>
        <v>0.21223884839006338</v>
      </c>
      <c r="H158" s="414" t="b">
        <f>Wh_hp&gt;='2018'!Maxi_hp</f>
        <v>1</v>
      </c>
      <c r="I158" s="390">
        <f>IF(H158,Wh_hp,'2018'!Maxi_hp)</f>
        <v>13.181313590734675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6.8647617116303072E-3</v>
      </c>
      <c r="M158" s="843"/>
      <c r="N158" s="843"/>
      <c r="O158" s="48">
        <f>IF(t&lt;Tnet,'2018'!Resal+('2018'!Salim-'2018'!Resal)*(1-EXP(('2018'!Tnet-t)/('2018'!Tau_j))),Resal+(Salim-Resal)*(1-EXP((Tnet-t)/(Tau_j))))*Salcycl</f>
        <v>4.8341255538450291E-2</v>
      </c>
      <c r="P158" s="169">
        <f>(INDEX(Models!$BJ158:$BT158,,T158)*(1-R158)+INDEX(Models!$BJ158:$BT158,,T158+1)*R158-ERP_i)*Q158*Ramure*Pc/MaxiM</f>
        <v>2.6071458841976499E-3</v>
      </c>
      <c r="Q158" s="305">
        <f t="shared" si="51"/>
        <v>0.8</v>
      </c>
      <c r="R158" s="177">
        <f t="shared" si="52"/>
        <v>0.79877753899296722</v>
      </c>
      <c r="S158" s="809">
        <f t="shared" si="53"/>
        <v>0</v>
      </c>
      <c r="T158" s="176">
        <f t="shared" si="54"/>
        <v>6</v>
      </c>
      <c r="U158" s="251">
        <f t="shared" si="55"/>
        <v>0.79877753899296722</v>
      </c>
      <c r="V158" s="383">
        <f t="shared" si="56"/>
        <v>58.544984911237414</v>
      </c>
      <c r="W158" s="58"/>
      <c r="X158" s="157">
        <f t="shared" si="57"/>
        <v>43609</v>
      </c>
      <c r="Y158" s="385">
        <f t="shared" si="58"/>
        <v>12.458</v>
      </c>
      <c r="Z158" s="385">
        <f t="shared" si="59"/>
        <v>12.544112342112523</v>
      </c>
      <c r="AA158" s="386">
        <f t="shared" si="60"/>
        <v>13.181313590734675</v>
      </c>
      <c r="AB158" s="197">
        <f t="shared" si="61"/>
        <v>43609</v>
      </c>
      <c r="AC158" s="425">
        <f>IF(OR(t&lt;Tnet,NoTnet),'2018'!Resal_s+('2018'!Salim-'2018'!Resal_s)*(1-EXP(('2018'!Tnet_s-t)/'2018'!Tau_j)),Resal_s+(Salim-Resal_s)*(1-EXP((Tnet_s-t)/Tau_j)))*Salcycl</f>
        <v>4.8341255538450291E-2</v>
      </c>
      <c r="AD158" s="231">
        <f>(INDEX(Models!$BJ158:$BT158,,AH158)*(1-AF158)+INDEX(Models!$BJ158:$BT158,,AH158+1)*AF158-ERP_i)*AE158*Ramure*Pc/MaxiM</f>
        <v>2.6071458841976499E-3</v>
      </c>
      <c r="AE158" s="305">
        <f t="shared" si="62"/>
        <v>0.8</v>
      </c>
      <c r="AF158" s="177">
        <f t="shared" si="63"/>
        <v>0.79877753899296722</v>
      </c>
      <c r="AG158" s="176">
        <f t="shared" si="64"/>
        <v>0</v>
      </c>
      <c r="AH158" s="176">
        <f t="shared" si="65"/>
        <v>6</v>
      </c>
      <c r="AI158" s="225">
        <f t="shared" si="66"/>
        <v>0.79877753899296722</v>
      </c>
      <c r="AJ158" s="265" t="b">
        <f t="shared" si="67"/>
        <v>0</v>
      </c>
      <c r="AK158" s="265" t="b">
        <f t="shared" si="68"/>
        <v>1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6">
        <v>26.260999999999999</v>
      </c>
      <c r="C159" s="390"/>
      <c r="D159" s="393">
        <f t="shared" si="48"/>
        <v>26.443136980335112</v>
      </c>
      <c r="E159" s="385">
        <f t="shared" si="70"/>
        <v>27.791391219943442</v>
      </c>
      <c r="F159" s="385">
        <f t="shared" si="49"/>
        <v>27.807136163687705</v>
      </c>
      <c r="G159" s="110">
        <f t="shared" si="71"/>
        <v>0.44737691680733377</v>
      </c>
      <c r="H159" s="414" t="b">
        <f>Wh_hp&gt;='2018'!Maxi_hp</f>
        <v>1</v>
      </c>
      <c r="I159" s="390">
        <f>IF(H159,Wh_hp,'2018'!Maxi_hp)</f>
        <v>27.807136163687705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6.8878734195024771E-3</v>
      </c>
      <c r="M159" s="843"/>
      <c r="N159" s="843"/>
      <c r="O159" s="48">
        <f>IF(t&lt;Tnet,'2018'!Resal+('2018'!Salim-'2018'!Resal)*(1-EXP(('2018'!Tnet-t)/('2018'!Tau_j))),Resal+(Salim-Resal)*(1-EXP((Tnet-t)/(Tau_j))))*Salcycl</f>
        <v>4.8513377000025955E-2</v>
      </c>
      <c r="P159" s="169">
        <f>(INDEX(Models!$BJ159:$BT159,,T159)*(1-R159)+INDEX(Models!$BJ159:$BT159,,T159+1)*R159-ERP_i)*Q159*Ramure*Pc/MaxiM</f>
        <v>2.6722580099783695E-3</v>
      </c>
      <c r="Q159" s="305">
        <f t="shared" si="51"/>
        <v>0.8</v>
      </c>
      <c r="R159" s="177">
        <f t="shared" si="52"/>
        <v>0.80429365749422776</v>
      </c>
      <c r="S159" s="809">
        <f t="shared" si="53"/>
        <v>0</v>
      </c>
      <c r="T159" s="176">
        <f t="shared" si="54"/>
        <v>6</v>
      </c>
      <c r="U159" s="251">
        <f t="shared" si="55"/>
        <v>0.80429365749422776</v>
      </c>
      <c r="V159" s="383">
        <f t="shared" si="56"/>
        <v>58.576249702811495</v>
      </c>
      <c r="W159" s="58"/>
      <c r="X159" s="157">
        <f t="shared" si="57"/>
        <v>43610</v>
      </c>
      <c r="Y159" s="385">
        <f t="shared" si="58"/>
        <v>26.260999999999999</v>
      </c>
      <c r="Z159" s="385">
        <f t="shared" si="59"/>
        <v>26.443136980335112</v>
      </c>
      <c r="AA159" s="386">
        <f t="shared" si="60"/>
        <v>27.791391219943442</v>
      </c>
      <c r="AB159" s="197">
        <f t="shared" si="61"/>
        <v>43610</v>
      </c>
      <c r="AC159" s="425">
        <f>IF(OR(t&lt;Tnet,NoTnet),'2018'!Resal_s+('2018'!Salim-'2018'!Resal_s)*(1-EXP(('2018'!Tnet_s-t)/'2018'!Tau_j)),Resal_s+(Salim-Resal_s)*(1-EXP((Tnet_s-t)/Tau_j)))*Salcycl</f>
        <v>4.8513377000025955E-2</v>
      </c>
      <c r="AD159" s="231">
        <f>(INDEX(Models!$BJ159:$BT159,,AH159)*(1-AF159)+INDEX(Models!$BJ159:$BT159,,AH159+1)*AF159-ERP_i)*AE159*Ramure*Pc/MaxiM</f>
        <v>2.6722580099783695E-3</v>
      </c>
      <c r="AE159" s="305">
        <f t="shared" si="62"/>
        <v>0.8</v>
      </c>
      <c r="AF159" s="177">
        <f t="shared" si="63"/>
        <v>0.80429365749422776</v>
      </c>
      <c r="AG159" s="176">
        <f t="shared" si="64"/>
        <v>0</v>
      </c>
      <c r="AH159" s="176">
        <f t="shared" si="65"/>
        <v>6</v>
      </c>
      <c r="AI159" s="225">
        <f t="shared" si="66"/>
        <v>0.80429365749422776</v>
      </c>
      <c r="AJ159" s="265" t="b">
        <f t="shared" si="67"/>
        <v>0</v>
      </c>
      <c r="AK159" s="265" t="b">
        <f t="shared" si="68"/>
        <v>1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6">
        <v>26.457999999999998</v>
      </c>
      <c r="C160" s="390"/>
      <c r="D160" s="393">
        <f t="shared" si="48"/>
        <v>26.64212330358346</v>
      </c>
      <c r="E160" s="385">
        <f t="shared" si="70"/>
        <v>28.005590247557265</v>
      </c>
      <c r="F160" s="385">
        <f t="shared" si="49"/>
        <v>28.022188193120101</v>
      </c>
      <c r="G160" s="110">
        <f t="shared" si="71"/>
        <v>0.45050724100458589</v>
      </c>
      <c r="H160" s="414" t="b">
        <f>Wh_hp&gt;='2018'!Maxi_hp</f>
        <v>1</v>
      </c>
      <c r="I160" s="390">
        <f>IF(H160,Wh_hp,'2018'!Maxi_hp)</f>
        <v>28.022188193120101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6.9109845895314326E-3</v>
      </c>
      <c r="M160" s="843"/>
      <c r="N160" s="843"/>
      <c r="O160" s="48">
        <f>IF(t&lt;Tnet,'2018'!Resal+('2018'!Salim-'2018'!Resal)*(1-EXP(('2018'!Tnet-t)/('2018'!Tau_j))),Resal+(Salim-Resal)*(1-EXP((Tnet-t)/(Tau_j))))*Salcycl</f>
        <v>4.8685527850737979E-2</v>
      </c>
      <c r="P160" s="169">
        <f>(INDEX(Models!$BJ160:$BT160,,T160)*(1-R160)+INDEX(Models!$BJ160:$BT160,,T160+1)*R160-ERP_i)*Q160*Ramure*Pc/MaxiM</f>
        <v>2.7371965975905347E-3</v>
      </c>
      <c r="Q160" s="305">
        <f t="shared" si="51"/>
        <v>0.8</v>
      </c>
      <c r="R160" s="177">
        <f t="shared" si="52"/>
        <v>0.80988219230322656</v>
      </c>
      <c r="S160" s="809">
        <f t="shared" si="53"/>
        <v>0</v>
      </c>
      <c r="T160" s="176">
        <f t="shared" si="54"/>
        <v>6</v>
      </c>
      <c r="U160" s="251">
        <f t="shared" si="55"/>
        <v>0.80988219230322656</v>
      </c>
      <c r="V160" s="383">
        <f t="shared" si="56"/>
        <v>58.603313488539968</v>
      </c>
      <c r="W160" s="58"/>
      <c r="X160" s="157">
        <f t="shared" si="57"/>
        <v>43611</v>
      </c>
      <c r="Y160" s="385">
        <f t="shared" si="58"/>
        <v>26.457999999999998</v>
      </c>
      <c r="Z160" s="385">
        <f t="shared" si="59"/>
        <v>26.64212330358346</v>
      </c>
      <c r="AA160" s="386">
        <f t="shared" si="60"/>
        <v>28.005590247557265</v>
      </c>
      <c r="AB160" s="197">
        <f t="shared" si="61"/>
        <v>43611</v>
      </c>
      <c r="AC160" s="425">
        <f>IF(OR(t&lt;Tnet,NoTnet),'2018'!Resal_s+('2018'!Salim-'2018'!Resal_s)*(1-EXP(('2018'!Tnet_s-t)/'2018'!Tau_j)),Resal_s+(Salim-Resal_s)*(1-EXP((Tnet_s-t)/Tau_j)))*Salcycl</f>
        <v>4.8685527850737979E-2</v>
      </c>
      <c r="AD160" s="231">
        <f>(INDEX(Models!$BJ160:$BT160,,AH160)*(1-AF160)+INDEX(Models!$BJ160:$BT160,,AH160+1)*AF160-ERP_i)*AE160*Ramure*Pc/MaxiM</f>
        <v>2.7371965975905347E-3</v>
      </c>
      <c r="AE160" s="305">
        <f t="shared" si="62"/>
        <v>0.8</v>
      </c>
      <c r="AF160" s="177">
        <f t="shared" si="63"/>
        <v>0.80988219230322656</v>
      </c>
      <c r="AG160" s="176">
        <f t="shared" si="64"/>
        <v>0</v>
      </c>
      <c r="AH160" s="176">
        <f t="shared" si="65"/>
        <v>6</v>
      </c>
      <c r="AI160" s="225">
        <f t="shared" si="66"/>
        <v>0.80988219230322656</v>
      </c>
      <c r="AJ160" s="265" t="b">
        <f t="shared" si="67"/>
        <v>0</v>
      </c>
      <c r="AK160" s="265" t="b">
        <f t="shared" si="68"/>
        <v>1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6">
        <v>29.731000000000002</v>
      </c>
      <c r="C161" s="390"/>
      <c r="D161" s="393">
        <f t="shared" si="48"/>
        <v>29.938597082978372</v>
      </c>
      <c r="E161" s="385">
        <f t="shared" si="70"/>
        <v>31.476463645352624</v>
      </c>
      <c r="F161" s="385">
        <f t="shared" si="49"/>
        <v>31.502581015768008</v>
      </c>
      <c r="G161" s="110">
        <f t="shared" si="71"/>
        <v>0.5061234058991354</v>
      </c>
      <c r="H161" s="414" t="b">
        <f>Wh_hp&gt;='2018'!Maxi_hp</f>
        <v>1</v>
      </c>
      <c r="I161" s="390">
        <f>IF(H161,Wh_hp,'2018'!Maxi_hp)</f>
        <v>31.502581015768008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6.9340952217297191E-3</v>
      </c>
      <c r="M161" s="843"/>
      <c r="N161" s="843"/>
      <c r="O161" s="48">
        <f>IF(t&lt;Tnet,'2018'!Resal+('2018'!Salim-'2018'!Resal)*(1-EXP(('2018'!Tnet-t)/('2018'!Tau_j))),Resal+(Salim-Resal)*(1-EXP((Tnet-t)/(Tau_j))))*Salcycl</f>
        <v>4.8857666467920065E-2</v>
      </c>
      <c r="P161" s="169">
        <f>(INDEX(Models!$BJ161:$BT161,,T161)*(1-R161)+INDEX(Models!$BJ161:$BT161,,T161+1)*R161-ERP_i)*Q161*Ramure*Pc/MaxiM</f>
        <v>2.8018794792275489E-3</v>
      </c>
      <c r="Q161" s="305">
        <f t="shared" si="51"/>
        <v>0.8</v>
      </c>
      <c r="R161" s="177">
        <f t="shared" si="52"/>
        <v>0.81553976917239757</v>
      </c>
      <c r="S161" s="809">
        <f t="shared" si="53"/>
        <v>0</v>
      </c>
      <c r="T161" s="176">
        <f t="shared" si="54"/>
        <v>6</v>
      </c>
      <c r="U161" s="251">
        <f t="shared" si="55"/>
        <v>0.81553976917239757</v>
      </c>
      <c r="V161" s="383">
        <f t="shared" si="56"/>
        <v>58.626605566951085</v>
      </c>
      <c r="W161" s="58"/>
      <c r="X161" s="157">
        <f t="shared" si="57"/>
        <v>43612</v>
      </c>
      <c r="Y161" s="385">
        <f t="shared" si="58"/>
        <v>29.731000000000002</v>
      </c>
      <c r="Z161" s="385">
        <f t="shared" si="59"/>
        <v>29.938597082978372</v>
      </c>
      <c r="AA161" s="386">
        <f t="shared" si="60"/>
        <v>31.476463645352624</v>
      </c>
      <c r="AB161" s="197">
        <f t="shared" si="61"/>
        <v>43612</v>
      </c>
      <c r="AC161" s="425">
        <f>IF(OR(t&lt;Tnet,NoTnet),'2018'!Resal_s+('2018'!Salim-'2018'!Resal_s)*(1-EXP(('2018'!Tnet_s-t)/'2018'!Tau_j)),Resal_s+(Salim-Resal_s)*(1-EXP((Tnet_s-t)/Tau_j)))*Salcycl</f>
        <v>4.8857666467920065E-2</v>
      </c>
      <c r="AD161" s="231">
        <f>(INDEX(Models!$BJ161:$BT161,,AH161)*(1-AF161)+INDEX(Models!$BJ161:$BT161,,AH161+1)*AF161-ERP_i)*AE161*Ramure*Pc/MaxiM</f>
        <v>2.8018794792275489E-3</v>
      </c>
      <c r="AE161" s="305">
        <f t="shared" si="62"/>
        <v>0.8</v>
      </c>
      <c r="AF161" s="177">
        <f t="shared" si="63"/>
        <v>0.81553976917239757</v>
      </c>
      <c r="AG161" s="176">
        <f t="shared" si="64"/>
        <v>0</v>
      </c>
      <c r="AH161" s="176">
        <f t="shared" si="65"/>
        <v>6</v>
      </c>
      <c r="AI161" s="225">
        <f t="shared" si="66"/>
        <v>0.81553976917239757</v>
      </c>
      <c r="AJ161" s="265" t="b">
        <f t="shared" si="67"/>
        <v>0</v>
      </c>
      <c r="AK161" s="265" t="b">
        <f t="shared" si="68"/>
        <v>1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6">
        <v>27.841999999999999</v>
      </c>
      <c r="C162" s="390"/>
      <c r="D162" s="393">
        <f t="shared" si="48"/>
        <v>28.037059579957766</v>
      </c>
      <c r="E162" s="385">
        <f t="shared" si="70"/>
        <v>29.482583280389573</v>
      </c>
      <c r="F162" s="385">
        <f t="shared" si="49"/>
        <v>29.503693155942916</v>
      </c>
      <c r="G162" s="110">
        <f t="shared" si="71"/>
        <v>0.47372052310935353</v>
      </c>
      <c r="H162" s="414" t="b">
        <f>Wh_hp&gt;='2018'!Maxi_hp</f>
        <v>1</v>
      </c>
      <c r="I162" s="390">
        <f>IF(H162,Wh_hp,'2018'!Maxi_hp)</f>
        <v>29.503693155942916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6.9572053161097713E-3</v>
      </c>
      <c r="M162" s="843"/>
      <c r="N162" s="843"/>
      <c r="O162" s="48">
        <f>IF(t&lt;Tnet,'2018'!Resal+('2018'!Salim-'2018'!Resal)*(1-EXP(('2018'!Tnet-t)/('2018'!Tau_j))),Resal+(Salim-Resal)*(1-EXP((Tnet-t)/(Tau_j))))*Salcycl</f>
        <v>4.9029750435515641E-2</v>
      </c>
      <c r="P162" s="169">
        <f>(INDEX(Models!$BJ162:$BT162,,T162)*(1-R162)+INDEX(Models!$BJ162:$BT162,,T162+1)*R162-ERP_i)*Q162*Ramure*Pc/MaxiM</f>
        <v>2.8662185593553288E-3</v>
      </c>
      <c r="Q162" s="305">
        <f t="shared" si="51"/>
        <v>0.8</v>
      </c>
      <c r="R162" s="177">
        <f t="shared" si="52"/>
        <v>0.82126281203024842</v>
      </c>
      <c r="S162" s="809">
        <f t="shared" si="53"/>
        <v>0</v>
      </c>
      <c r="T162" s="176">
        <f t="shared" si="54"/>
        <v>6</v>
      </c>
      <c r="U162" s="251">
        <f t="shared" si="55"/>
        <v>0.82126281203024842</v>
      </c>
      <c r="V162" s="383">
        <f t="shared" si="56"/>
        <v>58.646555189453146</v>
      </c>
      <c r="W162" s="58"/>
      <c r="X162" s="157">
        <f t="shared" si="57"/>
        <v>43613</v>
      </c>
      <c r="Y162" s="385">
        <f t="shared" si="58"/>
        <v>27.841999999999999</v>
      </c>
      <c r="Z162" s="385">
        <f t="shared" si="59"/>
        <v>28.037059579957766</v>
      </c>
      <c r="AA162" s="386">
        <f t="shared" si="60"/>
        <v>29.482583280389573</v>
      </c>
      <c r="AB162" s="197">
        <f t="shared" si="61"/>
        <v>43613</v>
      </c>
      <c r="AC162" s="425">
        <f>IF(OR(t&lt;Tnet,NoTnet),'2018'!Resal_s+('2018'!Salim-'2018'!Resal_s)*(1-EXP(('2018'!Tnet_s-t)/'2018'!Tau_j)),Resal_s+(Salim-Resal_s)*(1-EXP((Tnet_s-t)/Tau_j)))*Salcycl</f>
        <v>4.9029750435515641E-2</v>
      </c>
      <c r="AD162" s="231">
        <f>(INDEX(Models!$BJ162:$BT162,,AH162)*(1-AF162)+INDEX(Models!$BJ162:$BT162,,AH162+1)*AF162-ERP_i)*AE162*Ramure*Pc/MaxiM</f>
        <v>2.8662185593553288E-3</v>
      </c>
      <c r="AE162" s="305">
        <f t="shared" si="62"/>
        <v>0.8</v>
      </c>
      <c r="AF162" s="177">
        <f t="shared" si="63"/>
        <v>0.82126281203024842</v>
      </c>
      <c r="AG162" s="176">
        <f t="shared" si="64"/>
        <v>0</v>
      </c>
      <c r="AH162" s="176">
        <f t="shared" si="65"/>
        <v>6</v>
      </c>
      <c r="AI162" s="225">
        <f t="shared" si="66"/>
        <v>0.82126281203024842</v>
      </c>
      <c r="AJ162" s="265" t="b">
        <f t="shared" si="67"/>
        <v>0</v>
      </c>
      <c r="AK162" s="265" t="b">
        <f t="shared" si="68"/>
        <v>1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6">
        <v>38.228999999999999</v>
      </c>
      <c r="C163" s="390"/>
      <c r="D163" s="393">
        <f t="shared" si="48"/>
        <v>38.497726251115182</v>
      </c>
      <c r="E163" s="385">
        <f t="shared" si="70"/>
        <v>40.48989963109954</v>
      </c>
      <c r="F163" s="385">
        <f t="shared" si="49"/>
        <v>40.549594821556646</v>
      </c>
      <c r="G163" s="110">
        <f t="shared" si="71"/>
        <v>0.65073247224403574</v>
      </c>
      <c r="H163" s="414" t="b">
        <f>Wh_hp&gt;='2018'!Maxi_hp</f>
        <v>1</v>
      </c>
      <c r="I163" s="390">
        <f>IF(H163,Wh_hp,'2018'!Maxi_hp)</f>
        <v>40.549594821556646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6.9803148726842457E-3</v>
      </c>
      <c r="M163" s="843"/>
      <c r="N163" s="843"/>
      <c r="O163" s="48">
        <f>IF(t&lt;Tnet,'2018'!Resal+('2018'!Salim-'2018'!Resal)*(1-EXP(('2018'!Tnet-t)/('2018'!Tau_j))),Resal+(Salim-Resal)*(1-EXP((Tnet-t)/(Tau_j))))*Salcycl</f>
        <v>4.9201736683343315E-2</v>
      </c>
      <c r="P163" s="169">
        <f>(INDEX(Models!$BJ163:$BT163,,T163)*(1-R163)+INDEX(Models!$BJ163:$BT163,,T163+1)*R163-ERP_i)*Q163*Ramure*Pc/MaxiM</f>
        <v>2.9302061428682284E-3</v>
      </c>
      <c r="Q163" s="305">
        <f t="shared" si="51"/>
        <v>0.8</v>
      </c>
      <c r="R163" s="177">
        <f t="shared" si="52"/>
        <v>0.82704754982771478</v>
      </c>
      <c r="S163" s="809">
        <f t="shared" si="53"/>
        <v>0</v>
      </c>
      <c r="T163" s="176">
        <f t="shared" si="54"/>
        <v>6</v>
      </c>
      <c r="U163" s="251">
        <f t="shared" si="55"/>
        <v>0.82704754982771478</v>
      </c>
      <c r="V163" s="383">
        <f t="shared" si="56"/>
        <v>58.661861086903748</v>
      </c>
      <c r="W163" s="58"/>
      <c r="X163" s="157">
        <f t="shared" si="57"/>
        <v>43614</v>
      </c>
      <c r="Y163" s="385">
        <f t="shared" si="58"/>
        <v>38.228999999999999</v>
      </c>
      <c r="Z163" s="385">
        <f t="shared" si="59"/>
        <v>38.497726251115182</v>
      </c>
      <c r="AA163" s="386">
        <f t="shared" si="60"/>
        <v>40.48989963109954</v>
      </c>
      <c r="AB163" s="197">
        <f t="shared" si="61"/>
        <v>43614</v>
      </c>
      <c r="AC163" s="425">
        <f>IF(OR(t&lt;Tnet,NoTnet),'2018'!Resal_s+('2018'!Salim-'2018'!Resal_s)*(1-EXP(('2018'!Tnet_s-t)/'2018'!Tau_j)),Resal_s+(Salim-Resal_s)*(1-EXP((Tnet_s-t)/Tau_j)))*Salcycl</f>
        <v>4.9201736683343315E-2</v>
      </c>
      <c r="AD163" s="231">
        <f>(INDEX(Models!$BJ163:$BT163,,AH163)*(1-AF163)+INDEX(Models!$BJ163:$BT163,,AH163+1)*AF163-ERP_i)*AE163*Ramure*Pc/MaxiM</f>
        <v>2.9302061428682284E-3</v>
      </c>
      <c r="AE163" s="305">
        <f t="shared" si="62"/>
        <v>0.8</v>
      </c>
      <c r="AF163" s="177">
        <f t="shared" si="63"/>
        <v>0.82704754982771478</v>
      </c>
      <c r="AG163" s="176">
        <f t="shared" si="64"/>
        <v>0</v>
      </c>
      <c r="AH163" s="176">
        <f t="shared" si="65"/>
        <v>6</v>
      </c>
      <c r="AI163" s="225">
        <f t="shared" si="66"/>
        <v>0.82704754982771478</v>
      </c>
      <c r="AJ163" s="265" t="b">
        <f t="shared" si="67"/>
        <v>0</v>
      </c>
      <c r="AK163" s="265" t="b">
        <f t="shared" si="68"/>
        <v>1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6">
        <v>51.194000000000003</v>
      </c>
      <c r="C164" s="390"/>
      <c r="D164" s="393">
        <f t="shared" si="48"/>
        <v>51.555061952604866</v>
      </c>
      <c r="E164" s="385">
        <f t="shared" si="70"/>
        <v>54.232725870572338</v>
      </c>
      <c r="F164" s="385">
        <f t="shared" si="49"/>
        <v>54.365825617196379</v>
      </c>
      <c r="G164" s="110">
        <f t="shared" si="71"/>
        <v>0.87208101837523633</v>
      </c>
      <c r="H164" s="414" t="b">
        <f>Wh_hp&gt;='2018'!Maxi_hp</f>
        <v>1</v>
      </c>
      <c r="I164" s="390">
        <f>IF(H164,Wh_hp,'2018'!Maxi_hp)</f>
        <v>54.365825617196379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7.0034238914655766E-3</v>
      </c>
      <c r="M164" s="843"/>
      <c r="N164" s="843"/>
      <c r="O164" s="48">
        <f>IF(t&lt;Tnet,'2018'!Resal+('2018'!Salim-'2018'!Resal)*(1-EXP(('2018'!Tnet-t)/('2018'!Tau_j))),Resal+(Salim-Resal)*(1-EXP((Tnet-t)/(Tau_j))))*Salcycl</f>
        <v>4.9373581633307212E-2</v>
      </c>
      <c r="P164" s="169">
        <f>(INDEX(Models!$BJ164:$BT164,,T164)*(1-R164)+INDEX(Models!$BJ164:$BT164,,T164+1)*R164-ERP_i)*Q164*Ramure*Pc/MaxiM</f>
        <v>2.9931607484807894E-3</v>
      </c>
      <c r="Q164" s="305">
        <f t="shared" si="51"/>
        <v>0.8</v>
      </c>
      <c r="R164" s="177">
        <f t="shared" si="52"/>
        <v>0.83289002455581984</v>
      </c>
      <c r="S164" s="809">
        <f t="shared" si="53"/>
        <v>0</v>
      </c>
      <c r="T164" s="176">
        <f t="shared" si="54"/>
        <v>6</v>
      </c>
      <c r="U164" s="251">
        <f t="shared" si="55"/>
        <v>0.83289002455581984</v>
      </c>
      <c r="V164" s="383">
        <f t="shared" si="56"/>
        <v>58.671193374329846</v>
      </c>
      <c r="W164" s="58"/>
      <c r="X164" s="157">
        <f t="shared" si="57"/>
        <v>43615</v>
      </c>
      <c r="Y164" s="385">
        <f t="shared" si="58"/>
        <v>51.194000000000003</v>
      </c>
      <c r="Z164" s="385">
        <f t="shared" si="59"/>
        <v>51.555061952604866</v>
      </c>
      <c r="AA164" s="386">
        <f t="shared" si="60"/>
        <v>54.232725870572338</v>
      </c>
      <c r="AB164" s="197">
        <f t="shared" si="61"/>
        <v>43615</v>
      </c>
      <c r="AC164" s="425">
        <f>IF(OR(t&lt;Tnet,NoTnet),'2018'!Resal_s+('2018'!Salim-'2018'!Resal_s)*(1-EXP(('2018'!Tnet_s-t)/'2018'!Tau_j)),Resal_s+(Salim-Resal_s)*(1-EXP((Tnet_s-t)/Tau_j)))*Salcycl</f>
        <v>4.9373581633307212E-2</v>
      </c>
      <c r="AD164" s="231">
        <f>(INDEX(Models!$BJ164:$BT164,,AH164)*(1-AF164)+INDEX(Models!$BJ164:$BT164,,AH164+1)*AF164-ERP_i)*AE164*Ramure*Pc/MaxiM</f>
        <v>2.9931607484807894E-3</v>
      </c>
      <c r="AE164" s="305">
        <f t="shared" si="62"/>
        <v>0.8</v>
      </c>
      <c r="AF164" s="177">
        <f t="shared" si="63"/>
        <v>0.83289002455581984</v>
      </c>
      <c r="AG164" s="176">
        <f t="shared" si="64"/>
        <v>0</v>
      </c>
      <c r="AH164" s="176">
        <f t="shared" si="65"/>
        <v>6</v>
      </c>
      <c r="AI164" s="225">
        <f t="shared" si="66"/>
        <v>0.83289002455581984</v>
      </c>
      <c r="AJ164" s="265" t="b">
        <f t="shared" si="67"/>
        <v>0</v>
      </c>
      <c r="AK164" s="265" t="b">
        <f t="shared" si="68"/>
        <v>1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6">
        <v>58.776000000000003</v>
      </c>
      <c r="C165" s="390"/>
      <c r="D165" s="393">
        <f t="shared" si="48"/>
        <v>59.191913899200969</v>
      </c>
      <c r="E165" s="385">
        <f t="shared" si="70"/>
        <v>62.277465982060562</v>
      </c>
      <c r="F165" s="385">
        <f t="shared" si="49"/>
        <v>62.468341792037805</v>
      </c>
      <c r="G165" s="110">
        <f t="shared" si="71"/>
        <v>1.001723991981496</v>
      </c>
      <c r="H165" s="414" t="b">
        <f>Wh_hp&gt;='2018'!Maxi_hp</f>
        <v>1</v>
      </c>
      <c r="I165" s="390">
        <f>IF(H165,Wh_hp,'2018'!Maxi_hp)</f>
        <v>62.468341792037805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7.0265323724661988E-3</v>
      </c>
      <c r="M165" s="843"/>
      <c r="N165" s="843"/>
      <c r="O165" s="48">
        <f>IF(t&lt;Tnet,'2018'!Resal+('2018'!Salim-'2018'!Resal)*(1-EXP(('2018'!Tnet-t)/('2018'!Tau_j))),Resal+(Salim-Resal)*(1-EXP((Tnet-t)/(Tau_j))))*Salcycl</f>
        <v>4.9545241351798122E-2</v>
      </c>
      <c r="P165" s="169">
        <f>(INDEX(Models!$BJ165:$BT165,,T165)*(1-R165)+INDEX(Models!$BJ165:$BT165,,T165+1)*R165-ERP_i)*Q165*Ramure*Pc/MaxiM</f>
        <v>3.0555606968515939E-3</v>
      </c>
      <c r="Q165" s="305">
        <f t="shared" si="51"/>
        <v>0.8</v>
      </c>
      <c r="R165" s="177">
        <f t="shared" si="52"/>
        <v>0.83878610041537183</v>
      </c>
      <c r="S165" s="809">
        <f t="shared" si="53"/>
        <v>0</v>
      </c>
      <c r="T165" s="176">
        <f t="shared" si="54"/>
        <v>6</v>
      </c>
      <c r="U165" s="251">
        <f t="shared" si="55"/>
        <v>0.83878610041537183</v>
      </c>
      <c r="V165" s="383">
        <f t="shared" si="56"/>
        <v>58.674845037639592</v>
      </c>
      <c r="W165" s="58"/>
      <c r="X165" s="157">
        <f t="shared" si="57"/>
        <v>43616</v>
      </c>
      <c r="Y165" s="385">
        <f t="shared" si="58"/>
        <v>58.776000000000003</v>
      </c>
      <c r="Z165" s="385">
        <f t="shared" si="59"/>
        <v>59.191913899200969</v>
      </c>
      <c r="AA165" s="386">
        <f t="shared" si="60"/>
        <v>62.277465982060562</v>
      </c>
      <c r="AB165" s="197">
        <f t="shared" si="61"/>
        <v>43616</v>
      </c>
      <c r="AC165" s="425">
        <f>IF(OR(t&lt;Tnet,NoTnet),'2018'!Resal_s+('2018'!Salim-'2018'!Resal_s)*(1-EXP(('2018'!Tnet_s-t)/'2018'!Tau_j)),Resal_s+(Salim-Resal_s)*(1-EXP((Tnet_s-t)/Tau_j)))*Salcycl</f>
        <v>4.9545241351798122E-2</v>
      </c>
      <c r="AD165" s="231">
        <f>(INDEX(Models!$BJ165:$BT165,,AH165)*(1-AF165)+INDEX(Models!$BJ165:$BT165,,AH165+1)*AF165-ERP_i)*AE165*Ramure*Pc/MaxiM</f>
        <v>3.0555606968515939E-3</v>
      </c>
      <c r="AE165" s="305">
        <f t="shared" si="62"/>
        <v>0.8</v>
      </c>
      <c r="AF165" s="177">
        <f t="shared" si="63"/>
        <v>0.83878610041537183</v>
      </c>
      <c r="AG165" s="176">
        <f t="shared" si="64"/>
        <v>0</v>
      </c>
      <c r="AH165" s="176">
        <f t="shared" si="65"/>
        <v>6</v>
      </c>
      <c r="AI165" s="225">
        <f t="shared" si="66"/>
        <v>0.83878610041537183</v>
      </c>
      <c r="AJ165" s="265" t="b">
        <f t="shared" si="67"/>
        <v>0</v>
      </c>
      <c r="AK165" s="265" t="b">
        <f t="shared" si="68"/>
        <v>1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6">
        <v>58.956000000000003</v>
      </c>
      <c r="C166" s="390"/>
      <c r="D166" s="393">
        <f t="shared" si="48"/>
        <v>59.374569357872517</v>
      </c>
      <c r="E166" s="385">
        <f t="shared" si="70"/>
        <v>62.480912365953081</v>
      </c>
      <c r="F166" s="385">
        <f t="shared" si="49"/>
        <v>62.676293728135057</v>
      </c>
      <c r="G166" s="110">
        <f t="shared" si="71"/>
        <v>1.0048209013916753</v>
      </c>
      <c r="H166" s="414" t="b">
        <f>Wh_hp&gt;='2018'!Maxi_hp</f>
        <v>1</v>
      </c>
      <c r="I166" s="390">
        <f>IF(H166,Wh_hp,'2018'!Maxi_hp)</f>
        <v>62.676293728135057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7.0496403156987686E-3</v>
      </c>
      <c r="M166" s="843"/>
      <c r="N166" s="843"/>
      <c r="O166" s="48">
        <f>IF(t&lt;Tnet,'2018'!Resal+('2018'!Salim-'2018'!Resal)*(1-EXP(('2018'!Tnet-t)/('2018'!Tau_j))),Resal+(Salim-Resal)*(1-EXP((Tnet-t)/(Tau_j))))*Salcycl</f>
        <v>4.9716671707458283E-2</v>
      </c>
      <c r="P166" s="169">
        <f>(INDEX(Models!$BJ166:$BT166,,T166)*(1-R166)+INDEX(Models!$BJ166:$BT166,,T166+1)*R166-ERP_i)*Q166*Ramure*Pc/MaxiM</f>
        <v>3.1173088030613831E-3</v>
      </c>
      <c r="Q166" s="305">
        <f t="shared" si="51"/>
        <v>0.8</v>
      </c>
      <c r="R166" s="177">
        <f t="shared" si="52"/>
        <v>0.84473147410787064</v>
      </c>
      <c r="S166" s="809">
        <f t="shared" si="53"/>
        <v>0</v>
      </c>
      <c r="T166" s="176">
        <f t="shared" si="54"/>
        <v>6</v>
      </c>
      <c r="U166" s="251">
        <f t="shared" si="55"/>
        <v>0.84473147410787064</v>
      </c>
      <c r="V166" s="383">
        <f t="shared" si="56"/>
        <v>58.673142565352741</v>
      </c>
      <c r="W166" s="58"/>
      <c r="X166" s="157">
        <f t="shared" si="57"/>
        <v>43617</v>
      </c>
      <c r="Y166" s="385">
        <f t="shared" si="58"/>
        <v>58.956000000000003</v>
      </c>
      <c r="Z166" s="385">
        <f t="shared" si="59"/>
        <v>59.374569357872517</v>
      </c>
      <c r="AA166" s="386">
        <f t="shared" si="60"/>
        <v>62.480912365953081</v>
      </c>
      <c r="AB166" s="197">
        <f t="shared" si="61"/>
        <v>43617</v>
      </c>
      <c r="AC166" s="425">
        <f>IF(OR(t&lt;Tnet,NoTnet),'2018'!Resal_s+('2018'!Salim-'2018'!Resal_s)*(1-EXP(('2018'!Tnet_s-t)/'2018'!Tau_j)),Resal_s+(Salim-Resal_s)*(1-EXP((Tnet_s-t)/Tau_j)))*Salcycl</f>
        <v>4.9716671707458283E-2</v>
      </c>
      <c r="AD166" s="231">
        <f>(INDEX(Models!$BJ166:$BT166,,AH166)*(1-AF166)+INDEX(Models!$BJ166:$BT166,,AH166+1)*AF166-ERP_i)*AE166*Ramure*Pc/MaxiM</f>
        <v>3.1173088030613831E-3</v>
      </c>
      <c r="AE166" s="305">
        <f t="shared" si="62"/>
        <v>0.8</v>
      </c>
      <c r="AF166" s="177">
        <f t="shared" si="63"/>
        <v>0.84473147410787064</v>
      </c>
      <c r="AG166" s="176">
        <f t="shared" si="64"/>
        <v>0</v>
      </c>
      <c r="AH166" s="176">
        <f t="shared" si="65"/>
        <v>6</v>
      </c>
      <c r="AI166" s="225">
        <f t="shared" si="66"/>
        <v>0.84473147410787064</v>
      </c>
      <c r="AJ166" s="265" t="b">
        <f t="shared" si="67"/>
        <v>0</v>
      </c>
      <c r="AK166" s="265" t="b">
        <f t="shared" si="68"/>
        <v>1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6">
        <v>57.670999999999999</v>
      </c>
      <c r="C167" s="390"/>
      <c r="D167" s="393">
        <f t="shared" si="48"/>
        <v>58.081797903765654</v>
      </c>
      <c r="E167" s="385">
        <f t="shared" si="70"/>
        <v>61.131516517793038</v>
      </c>
      <c r="F167" s="385">
        <f t="shared" si="49"/>
        <v>61.321691281882586</v>
      </c>
      <c r="G167" s="110">
        <f t="shared" si="71"/>
        <v>0.98295670271234148</v>
      </c>
      <c r="H167" s="414" t="b">
        <f>Wh_hp&gt;='2018'!Maxi_hp</f>
        <v>1</v>
      </c>
      <c r="I167" s="390">
        <f>IF(H167,Wh_hp,'2018'!Maxi_hp)</f>
        <v>61.321691281882586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7.0727477211758316E-3</v>
      </c>
      <c r="M167" s="843"/>
      <c r="N167" s="843"/>
      <c r="O167" s="48">
        <f>IF(t&lt;Tnet,'2018'!Resal+('2018'!Salim-'2018'!Resal)*(1-EXP(('2018'!Tnet-t)/('2018'!Tau_j))),Resal+(Salim-Resal)*(1-EXP((Tnet-t)/(Tau_j))))*Salcycl</f>
        <v>4.9887828533416501E-2</v>
      </c>
      <c r="P167" s="169">
        <f>(INDEX(Models!$BJ167:$BT167,,T167)*(1-R167)+INDEX(Models!$BJ167:$BT167,,T167+1)*R167-ERP_i)*Q167*Ramure*Pc/MaxiM</f>
        <v>3.1783031977664447E-3</v>
      </c>
      <c r="Q167" s="305">
        <f t="shared" si="51"/>
        <v>0.8</v>
      </c>
      <c r="R167" s="177">
        <f t="shared" si="52"/>
        <v>0.85072168620516564</v>
      </c>
      <c r="S167" s="809">
        <f t="shared" si="53"/>
        <v>0</v>
      </c>
      <c r="T167" s="176">
        <f t="shared" si="54"/>
        <v>6</v>
      </c>
      <c r="U167" s="251">
        <f t="shared" si="55"/>
        <v>0.85072168620516564</v>
      </c>
      <c r="V167" s="383">
        <f t="shared" si="56"/>
        <v>58.666412367553463</v>
      </c>
      <c r="W167" s="58"/>
      <c r="X167" s="157">
        <f t="shared" si="57"/>
        <v>43618</v>
      </c>
      <c r="Y167" s="385">
        <f t="shared" si="58"/>
        <v>57.670999999999999</v>
      </c>
      <c r="Z167" s="385">
        <f t="shared" si="59"/>
        <v>58.081797903765654</v>
      </c>
      <c r="AA167" s="386">
        <f t="shared" si="60"/>
        <v>61.131516517793038</v>
      </c>
      <c r="AB167" s="197">
        <f t="shared" si="61"/>
        <v>43618</v>
      </c>
      <c r="AC167" s="425">
        <f>IF(OR(t&lt;Tnet,NoTnet),'2018'!Resal_s+('2018'!Salim-'2018'!Resal_s)*(1-EXP(('2018'!Tnet_s-t)/'2018'!Tau_j)),Resal_s+(Salim-Resal_s)*(1-EXP((Tnet_s-t)/Tau_j)))*Salcycl</f>
        <v>4.9887828533416501E-2</v>
      </c>
      <c r="AD167" s="231">
        <f>(INDEX(Models!$BJ167:$BT167,,AH167)*(1-AF167)+INDEX(Models!$BJ167:$BT167,,AH167+1)*AF167-ERP_i)*AE167*Ramure*Pc/MaxiM</f>
        <v>3.1783031977664447E-3</v>
      </c>
      <c r="AE167" s="305">
        <f t="shared" si="62"/>
        <v>0.8</v>
      </c>
      <c r="AF167" s="177">
        <f t="shared" si="63"/>
        <v>0.85072168620516564</v>
      </c>
      <c r="AG167" s="176">
        <f t="shared" si="64"/>
        <v>0</v>
      </c>
      <c r="AH167" s="176">
        <f t="shared" si="65"/>
        <v>6</v>
      </c>
      <c r="AI167" s="225">
        <f t="shared" si="66"/>
        <v>0.85072168620516564</v>
      </c>
      <c r="AJ167" s="265" t="b">
        <f t="shared" si="67"/>
        <v>0</v>
      </c>
      <c r="AK167" s="265" t="b">
        <f t="shared" si="68"/>
        <v>1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6">
        <v>46.628</v>
      </c>
      <c r="C168" s="390"/>
      <c r="D168" s="393">
        <f t="shared" si="48"/>
        <v>46.961230059820828</v>
      </c>
      <c r="E168" s="385">
        <f t="shared" si="70"/>
        <v>49.43592669109119</v>
      </c>
      <c r="F168" s="385">
        <f t="shared" si="49"/>
        <v>49.549386079030654</v>
      </c>
      <c r="G168" s="110">
        <f t="shared" si="71"/>
        <v>0.79419796840557422</v>
      </c>
      <c r="H168" s="414" t="b">
        <f>Wh_hp&gt;='2018'!Maxi_hp</f>
        <v>1</v>
      </c>
      <c r="I168" s="390">
        <f>IF(H168,Wh_hp,'2018'!Maxi_hp)</f>
        <v>49.549386079030654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7.0958545889097113E-3</v>
      </c>
      <c r="M168" s="843"/>
      <c r="N168" s="843"/>
      <c r="O168" s="48">
        <f>IF(t&lt;Tnet,'2018'!Resal+('2018'!Salim-'2018'!Resal)*(1-EXP(('2018'!Tnet-t)/('2018'!Tau_j))),Resal+(Salim-Resal)*(1-EXP((Tnet-t)/(Tau_j))))*Salcycl</f>
        <v>5.005866779303908E-2</v>
      </c>
      <c r="P168" s="169">
        <f>(INDEX(Models!$BJ168:$BT168,,T168)*(1-R168)+INDEX(Models!$BJ168:$BT168,,T168+1)*R168-ERP_i)*Q168*Ramure*Pc/MaxiM</f>
        <v>3.2384375988995986E-3</v>
      </c>
      <c r="Q168" s="305">
        <f t="shared" si="51"/>
        <v>0.8</v>
      </c>
      <c r="R168" s="177">
        <f t="shared" si="52"/>
        <v>0.85675213354389201</v>
      </c>
      <c r="S168" s="809">
        <f t="shared" si="53"/>
        <v>0</v>
      </c>
      <c r="T168" s="176">
        <f t="shared" si="54"/>
        <v>6</v>
      </c>
      <c r="U168" s="251">
        <f t="shared" si="55"/>
        <v>0.85675213354389201</v>
      </c>
      <c r="V168" s="383">
        <f t="shared" si="56"/>
        <v>58.654980742974537</v>
      </c>
      <c r="W168" s="58"/>
      <c r="X168" s="157">
        <f t="shared" si="57"/>
        <v>43619</v>
      </c>
      <c r="Y168" s="385">
        <f t="shared" si="58"/>
        <v>46.628</v>
      </c>
      <c r="Z168" s="385">
        <f t="shared" si="59"/>
        <v>46.961230059820828</v>
      </c>
      <c r="AA168" s="386">
        <f t="shared" si="60"/>
        <v>49.43592669109119</v>
      </c>
      <c r="AB168" s="197">
        <f t="shared" si="61"/>
        <v>43619</v>
      </c>
      <c r="AC168" s="425">
        <f>IF(OR(t&lt;Tnet,NoTnet),'2018'!Resal_s+('2018'!Salim-'2018'!Resal_s)*(1-EXP(('2018'!Tnet_s-t)/'2018'!Tau_j)),Resal_s+(Salim-Resal_s)*(1-EXP((Tnet_s-t)/Tau_j)))*Salcycl</f>
        <v>5.005866779303908E-2</v>
      </c>
      <c r="AD168" s="231">
        <f>(INDEX(Models!$BJ168:$BT168,,AH168)*(1-AF168)+INDEX(Models!$BJ168:$BT168,,AH168+1)*AF168-ERP_i)*AE168*Ramure*Pc/MaxiM</f>
        <v>3.2384375988995986E-3</v>
      </c>
      <c r="AE168" s="305">
        <f t="shared" si="62"/>
        <v>0.8</v>
      </c>
      <c r="AF168" s="177">
        <f t="shared" si="63"/>
        <v>0.85675213354389201</v>
      </c>
      <c r="AG168" s="176">
        <f t="shared" si="64"/>
        <v>0</v>
      </c>
      <c r="AH168" s="176">
        <f t="shared" si="65"/>
        <v>6</v>
      </c>
      <c r="AI168" s="225">
        <f t="shared" si="66"/>
        <v>0.85675213354389201</v>
      </c>
      <c r="AJ168" s="265" t="b">
        <f t="shared" si="67"/>
        <v>0</v>
      </c>
      <c r="AK168" s="265" t="b">
        <f t="shared" si="68"/>
        <v>1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6">
        <v>53.042000000000002</v>
      </c>
      <c r="C169" s="390"/>
      <c r="D169" s="393">
        <f t="shared" si="48"/>
        <v>53.422311346674981</v>
      </c>
      <c r="E169" s="385">
        <f t="shared" si="70"/>
        <v>56.247579200310213</v>
      </c>
      <c r="F169" s="385">
        <f t="shared" si="49"/>
        <v>56.408226720952712</v>
      </c>
      <c r="G169" s="110">
        <f t="shared" si="71"/>
        <v>0.9041409985028781</v>
      </c>
      <c r="H169" s="414" t="b">
        <f>Wh_hp&gt;='2018'!Maxi_hp</f>
        <v>1</v>
      </c>
      <c r="I169" s="390">
        <f>IF(H169,Wh_hp,'2018'!Maxi_hp)</f>
        <v>56.408226720952712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7.1189609189129532E-3</v>
      </c>
      <c r="M169" s="843"/>
      <c r="N169" s="843"/>
      <c r="O169" s="48">
        <f>IF(t&lt;Tnet,'2018'!Resal+('2018'!Salim-'2018'!Resal)*(1-EXP(('2018'!Tnet-t)/('2018'!Tau_j))),Resal+(Salim-Resal)*(1-EXP((Tnet-t)/(Tau_j))))*Salcycl</f>
        <v>5.0229145748189812E-2</v>
      </c>
      <c r="P169" s="169">
        <f>(INDEX(Models!$BJ169:$BT169,,T169)*(1-R169)+INDEX(Models!$BJ169:$BT169,,T169+1)*R169-ERP_i)*Q169*Ramure*Pc/MaxiM</f>
        <v>3.2976016149931665E-3</v>
      </c>
      <c r="Q169" s="305">
        <f t="shared" si="51"/>
        <v>0.8</v>
      </c>
      <c r="R169" s="177">
        <f t="shared" si="52"/>
        <v>0.86281808257948378</v>
      </c>
      <c r="S169" s="809">
        <f t="shared" si="53"/>
        <v>0</v>
      </c>
      <c r="T169" s="176">
        <f t="shared" si="54"/>
        <v>6</v>
      </c>
      <c r="U169" s="251">
        <f t="shared" si="55"/>
        <v>0.86281808257948378</v>
      </c>
      <c r="V169" s="383">
        <f t="shared" si="56"/>
        <v>58.639173841190335</v>
      </c>
      <c r="W169" s="58"/>
      <c r="X169" s="157">
        <f t="shared" si="57"/>
        <v>43620</v>
      </c>
      <c r="Y169" s="385">
        <f t="shared" si="58"/>
        <v>53.042000000000002</v>
      </c>
      <c r="Z169" s="385">
        <f t="shared" si="59"/>
        <v>53.422311346674981</v>
      </c>
      <c r="AA169" s="386">
        <f t="shared" si="60"/>
        <v>56.247579200310213</v>
      </c>
      <c r="AB169" s="197">
        <f t="shared" si="61"/>
        <v>43620</v>
      </c>
      <c r="AC169" s="425">
        <f>IF(OR(t&lt;Tnet,NoTnet),'2018'!Resal_s+('2018'!Salim-'2018'!Resal_s)*(1-EXP(('2018'!Tnet_s-t)/'2018'!Tau_j)),Resal_s+(Salim-Resal_s)*(1-EXP((Tnet_s-t)/Tau_j)))*Salcycl</f>
        <v>5.0229145748189812E-2</v>
      </c>
      <c r="AD169" s="231">
        <f>(INDEX(Models!$BJ169:$BT169,,AH169)*(1-AF169)+INDEX(Models!$BJ169:$BT169,,AH169+1)*AF169-ERP_i)*AE169*Ramure*Pc/MaxiM</f>
        <v>3.2976016149931665E-3</v>
      </c>
      <c r="AE169" s="305">
        <f t="shared" si="62"/>
        <v>0.8</v>
      </c>
      <c r="AF169" s="177">
        <f t="shared" si="63"/>
        <v>0.86281808257948378</v>
      </c>
      <c r="AG169" s="176">
        <f t="shared" si="64"/>
        <v>0</v>
      </c>
      <c r="AH169" s="176">
        <f t="shared" si="65"/>
        <v>6</v>
      </c>
      <c r="AI169" s="225">
        <f t="shared" si="66"/>
        <v>0.86281808257948378</v>
      </c>
      <c r="AJ169" s="265" t="b">
        <f t="shared" si="67"/>
        <v>0</v>
      </c>
      <c r="AK169" s="265" t="b">
        <f t="shared" si="68"/>
        <v>1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6">
        <v>11.388999999999999</v>
      </c>
      <c r="C170" s="390"/>
      <c r="D170" s="393">
        <f t="shared" si="48"/>
        <v>11.470926119585304</v>
      </c>
      <c r="E170" s="385">
        <f t="shared" ref="E170:E232" si="73">Wh_pvt/(1-Psa)</f>
        <v>12.079735348430527</v>
      </c>
      <c r="F170" s="385">
        <f t="shared" si="49"/>
        <v>12.079735348430527</v>
      </c>
      <c r="G170" s="110">
        <f t="shared" ref="G170:G232" si="74">+Wh_hp/MaxiM</f>
        <v>0.19363552162841699</v>
      </c>
      <c r="H170" s="414" t="b">
        <f>Wh_hp&gt;='2018'!Maxi_hp</f>
        <v>1</v>
      </c>
      <c r="I170" s="390">
        <f>IF(H170,Wh_hp,'2018'!Maxi_hp)</f>
        <v>12.079735348430527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7.1420667111982139E-3</v>
      </c>
      <c r="M170" s="843"/>
      <c r="N170" s="843"/>
      <c r="O170" s="48">
        <f>IF(t&lt;Tnet,'2018'!Resal+('2018'!Salim-'2018'!Resal)*(1-EXP(('2018'!Tnet-t)/('2018'!Tau_j))),Resal+(Salim-Resal)*(1-EXP((Tnet-t)/(Tau_j))))*Salcycl</f>
        <v>5.0399219128945877E-2</v>
      </c>
      <c r="P170" s="169">
        <f>(INDEX(Models!$BJ170:$BT170,,T170)*(1-R170)+INDEX(Models!$BJ170:$BT170,,T170+1)*R170-ERP_i)*Q170*Ramure*Pc/MaxiM</f>
        <v>3.3553641480424945E-3</v>
      </c>
      <c r="Q170" s="305">
        <f t="shared" si="51"/>
        <v>0.8</v>
      </c>
      <c r="R170" s="177">
        <f t="shared" si="52"/>
        <v>0.86891468362381008</v>
      </c>
      <c r="S170" s="809">
        <f t="shared" si="53"/>
        <v>0</v>
      </c>
      <c r="T170" s="176">
        <f t="shared" si="54"/>
        <v>6</v>
      </c>
      <c r="U170" s="251">
        <f t="shared" si="55"/>
        <v>0.86891468362381008</v>
      </c>
      <c r="V170" s="383">
        <f t="shared" si="56"/>
        <v>58.619336278081732</v>
      </c>
      <c r="W170" s="58"/>
      <c r="X170" s="157">
        <f t="shared" si="57"/>
        <v>43621</v>
      </c>
      <c r="Y170" s="385">
        <f t="shared" si="58"/>
        <v>11.388999999999999</v>
      </c>
      <c r="Z170" s="385">
        <f t="shared" si="59"/>
        <v>11.470926119585304</v>
      </c>
      <c r="AA170" s="386">
        <f t="shared" si="60"/>
        <v>12.079735348430527</v>
      </c>
      <c r="AB170" s="197">
        <f t="shared" si="61"/>
        <v>43621</v>
      </c>
      <c r="AC170" s="425">
        <f>IF(OR(t&lt;Tnet,NoTnet),'2018'!Resal_s+('2018'!Salim-'2018'!Resal_s)*(1-EXP(('2018'!Tnet_s-t)/'2018'!Tau_j)),Resal_s+(Salim-Resal_s)*(1-EXP((Tnet_s-t)/Tau_j)))*Salcycl</f>
        <v>5.0399219128945877E-2</v>
      </c>
      <c r="AD170" s="231">
        <f>(INDEX(Models!$BJ170:$BT170,,AH170)*(1-AF170)+INDEX(Models!$BJ170:$BT170,,AH170+1)*AF170-ERP_i)*AE170*Ramure*Pc/MaxiM</f>
        <v>3.3553641480424945E-3</v>
      </c>
      <c r="AE170" s="305">
        <f t="shared" si="62"/>
        <v>0.8</v>
      </c>
      <c r="AF170" s="177">
        <f t="shared" si="63"/>
        <v>0.86891468362381008</v>
      </c>
      <c r="AG170" s="176">
        <f t="shared" si="64"/>
        <v>0</v>
      </c>
      <c r="AH170" s="176">
        <f t="shared" si="65"/>
        <v>6</v>
      </c>
      <c r="AI170" s="225">
        <f t="shared" si="66"/>
        <v>0.86891468362381008</v>
      </c>
      <c r="AJ170" s="265" t="b">
        <f t="shared" si="67"/>
        <v>0</v>
      </c>
      <c r="AK170" s="265" t="b">
        <f t="shared" si="68"/>
        <v>1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6">
        <v>59.83</v>
      </c>
      <c r="C171" s="390"/>
      <c r="D171" s="393">
        <f t="shared" si="48"/>
        <v>60.261786060085427</v>
      </c>
      <c r="E171" s="385">
        <f t="shared" si="73"/>
        <v>63.471464741812149</v>
      </c>
      <c r="F171" s="385">
        <f t="shared" si="49"/>
        <v>63.6888163743956</v>
      </c>
      <c r="G171" s="110">
        <f t="shared" si="74"/>
        <v>1.0210641834334233</v>
      </c>
      <c r="H171" s="414" t="b">
        <f>Wh_hp&gt;='2018'!Maxi_hp</f>
        <v>1</v>
      </c>
      <c r="I171" s="390">
        <f>IF(H171,Wh_hp,'2018'!Maxi_hp)</f>
        <v>63.6888163743956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7.1651719657779278E-3</v>
      </c>
      <c r="M171" s="843"/>
      <c r="N171" s="843"/>
      <c r="O171" s="48">
        <f>IF(t&lt;Tnet,'2018'!Resal+('2018'!Salim-'2018'!Resal)*(1-EXP(('2018'!Tnet-t)/('2018'!Tau_j))),Resal+(Salim-Resal)*(1-EXP((Tnet-t)/(Tau_j))))*Salcycl</f>
        <v>5.0568845303680658E-2</v>
      </c>
      <c r="P171" s="169">
        <f>(INDEX(Models!$BJ171:$BT171,,T171)*(1-R171)+INDEX(Models!$BJ171:$BT171,,T171+1)*R171-ERP_i)*Q171*Ramure*Pc/MaxiM</f>
        <v>3.4127127014851855E-3</v>
      </c>
      <c r="Q171" s="305">
        <f t="shared" si="51"/>
        <v>0.8</v>
      </c>
      <c r="R171" s="177">
        <f t="shared" si="52"/>
        <v>0.87503698588037804</v>
      </c>
      <c r="S171" s="809">
        <f t="shared" si="53"/>
        <v>0</v>
      </c>
      <c r="T171" s="176">
        <f t="shared" si="54"/>
        <v>6</v>
      </c>
      <c r="U171" s="251">
        <f t="shared" si="55"/>
        <v>0.87503698588037804</v>
      </c>
      <c r="V171" s="383">
        <f t="shared" si="56"/>
        <v>58.595728819726155</v>
      </c>
      <c r="W171" s="58"/>
      <c r="X171" s="157">
        <f t="shared" si="57"/>
        <v>43622</v>
      </c>
      <c r="Y171" s="385">
        <f t="shared" si="58"/>
        <v>59.83</v>
      </c>
      <c r="Z171" s="385">
        <f t="shared" si="59"/>
        <v>60.261786060085427</v>
      </c>
      <c r="AA171" s="386">
        <f t="shared" si="60"/>
        <v>63.471464741812149</v>
      </c>
      <c r="AB171" s="197">
        <f t="shared" si="61"/>
        <v>43622</v>
      </c>
      <c r="AC171" s="425">
        <f>IF(OR(t&lt;Tnet,NoTnet),'2018'!Resal_s+('2018'!Salim-'2018'!Resal_s)*(1-EXP(('2018'!Tnet_s-t)/'2018'!Tau_j)),Resal_s+(Salim-Resal_s)*(1-EXP((Tnet_s-t)/Tau_j)))*Salcycl</f>
        <v>5.0568845303680658E-2</v>
      </c>
      <c r="AD171" s="231">
        <f>(INDEX(Models!$BJ171:$BT171,,AH171)*(1-AF171)+INDEX(Models!$BJ171:$BT171,,AH171+1)*AF171-ERP_i)*AE171*Ramure*Pc/MaxiM</f>
        <v>3.4127127014851855E-3</v>
      </c>
      <c r="AE171" s="305">
        <f t="shared" si="62"/>
        <v>0.8</v>
      </c>
      <c r="AF171" s="177">
        <f t="shared" si="63"/>
        <v>0.87503698588037804</v>
      </c>
      <c r="AG171" s="176">
        <f t="shared" si="64"/>
        <v>0</v>
      </c>
      <c r="AH171" s="176">
        <f t="shared" si="65"/>
        <v>6</v>
      </c>
      <c r="AI171" s="225">
        <f t="shared" si="66"/>
        <v>0.87503698588037804</v>
      </c>
      <c r="AJ171" s="265" t="b">
        <f t="shared" si="67"/>
        <v>0</v>
      </c>
      <c r="AK171" s="265" t="b">
        <f t="shared" si="68"/>
        <v>1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6">
        <v>19.96</v>
      </c>
      <c r="C172" s="390"/>
      <c r="D172" s="393">
        <f t="shared" si="48"/>
        <v>20.104516829542035</v>
      </c>
      <c r="E172" s="385">
        <f t="shared" si="73"/>
        <v>21.179101720931456</v>
      </c>
      <c r="F172" s="385">
        <f t="shared" si="49"/>
        <v>21.183385176505375</v>
      </c>
      <c r="G172" s="110">
        <f t="shared" si="74"/>
        <v>0.33968278168086113</v>
      </c>
      <c r="H172" s="414" t="b">
        <f>Wh_hp&gt;='2018'!Maxi_hp</f>
        <v>1</v>
      </c>
      <c r="I172" s="390">
        <f>IF(H172,Wh_hp,'2018'!Maxi_hp)</f>
        <v>21.183385176505375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7.1882766826646405E-3</v>
      </c>
      <c r="M172" s="843"/>
      <c r="N172" s="843"/>
      <c r="O172" s="48">
        <f>IF(t&lt;Tnet,'2018'!Resal+('2018'!Salim-'2018'!Resal)*(1-EXP(('2018'!Tnet-t)/('2018'!Tau_j))),Resal+(Salim-Resal)*(1-EXP((Tnet-t)/(Tau_j))))*Salcycl</f>
        <v>5.07379824483963E-2</v>
      </c>
      <c r="P172" s="169">
        <f>(INDEX(Models!$BJ172:$BT172,,T172)*(1-R172)+INDEX(Models!$BJ172:$BT172,,T172+1)*R172-ERP_i)*Q172*Ramure*Pc/MaxiM</f>
        <v>3.4695564331994259E-3</v>
      </c>
      <c r="Q172" s="305">
        <f t="shared" si="51"/>
        <v>0.8</v>
      </c>
      <c r="R172" s="177">
        <f t="shared" si="52"/>
        <v>0.88117995318176923</v>
      </c>
      <c r="S172" s="809">
        <f t="shared" si="53"/>
        <v>0</v>
      </c>
      <c r="T172" s="176">
        <f t="shared" si="54"/>
        <v>6</v>
      </c>
      <c r="U172" s="251">
        <f t="shared" si="55"/>
        <v>0.88117995318176923</v>
      </c>
      <c r="V172" s="383">
        <f t="shared" si="56"/>
        <v>58.568675286368745</v>
      </c>
      <c r="W172" s="58"/>
      <c r="X172" s="157">
        <f t="shared" si="57"/>
        <v>43623</v>
      </c>
      <c r="Y172" s="385">
        <f t="shared" si="58"/>
        <v>19.96</v>
      </c>
      <c r="Z172" s="385">
        <f t="shared" si="59"/>
        <v>20.104516829542035</v>
      </c>
      <c r="AA172" s="386">
        <f t="shared" si="60"/>
        <v>21.179101720931456</v>
      </c>
      <c r="AB172" s="197">
        <f t="shared" si="61"/>
        <v>43623</v>
      </c>
      <c r="AC172" s="425">
        <f>IF(OR(t&lt;Tnet,NoTnet),'2018'!Resal_s+('2018'!Salim-'2018'!Resal_s)*(1-EXP(('2018'!Tnet_s-t)/'2018'!Tau_j)),Resal_s+(Salim-Resal_s)*(1-EXP((Tnet_s-t)/Tau_j)))*Salcycl</f>
        <v>5.07379824483963E-2</v>
      </c>
      <c r="AD172" s="231">
        <f>(INDEX(Models!$BJ172:$BT172,,AH172)*(1-AF172)+INDEX(Models!$BJ172:$BT172,,AH172+1)*AF172-ERP_i)*AE172*Ramure*Pc/MaxiM</f>
        <v>3.4695564331994259E-3</v>
      </c>
      <c r="AE172" s="305">
        <f t="shared" si="62"/>
        <v>0.8</v>
      </c>
      <c r="AF172" s="177">
        <f t="shared" si="63"/>
        <v>0.88117995318176923</v>
      </c>
      <c r="AG172" s="176">
        <f t="shared" si="64"/>
        <v>0</v>
      </c>
      <c r="AH172" s="176">
        <f t="shared" si="65"/>
        <v>6</v>
      </c>
      <c r="AI172" s="225">
        <f t="shared" si="66"/>
        <v>0.88117995318176923</v>
      </c>
      <c r="AJ172" s="265" t="b">
        <f t="shared" si="67"/>
        <v>0</v>
      </c>
      <c r="AK172" s="265" t="b">
        <f t="shared" si="68"/>
        <v>1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6">
        <v>59.302999999999997</v>
      </c>
      <c r="C173" s="390"/>
      <c r="D173" s="393">
        <f t="shared" si="48"/>
        <v>59.733762914690523</v>
      </c>
      <c r="E173" s="385">
        <f t="shared" si="73"/>
        <v>62.937706939405516</v>
      </c>
      <c r="F173" s="385">
        <f t="shared" si="49"/>
        <v>63.160398004063062</v>
      </c>
      <c r="G173" s="110">
        <f t="shared" si="74"/>
        <v>1.0130597946957371</v>
      </c>
      <c r="H173" s="414" t="b">
        <f>Wh_hp&gt;='2018'!Maxi_hp</f>
        <v>1</v>
      </c>
      <c r="I173" s="390">
        <f>IF(H173,Wh_hp,'2018'!Maxi_hp)</f>
        <v>63.160398004063062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7.2113808618707864E-3</v>
      </c>
      <c r="M173" s="843"/>
      <c r="N173" s="843"/>
      <c r="O173" s="48">
        <f>IF(t&lt;Tnet,'2018'!Resal+('2018'!Salim-'2018'!Resal)*(1-EXP(('2018'!Tnet-t)/('2018'!Tau_j))),Resal+(Salim-Resal)*(1-EXP((Tnet-t)/(Tau_j))))*Salcycl</f>
        <v>5.0906589714170017E-2</v>
      </c>
      <c r="P173" s="169">
        <f>(INDEX(Models!$BJ173:$BT173,,T173)*(1-R173)+INDEX(Models!$BJ173:$BT173,,T173+1)*R173-ERP_i)*Q173*Ramure*Pc/MaxiM</f>
        <v>3.5258021116842658E-3</v>
      </c>
      <c r="Q173" s="305">
        <f t="shared" si="51"/>
        <v>0.8</v>
      </c>
      <c r="R173" s="177">
        <f t="shared" si="52"/>
        <v>0.88733848032568896</v>
      </c>
      <c r="S173" s="809">
        <f t="shared" si="53"/>
        <v>0</v>
      </c>
      <c r="T173" s="176">
        <f t="shared" si="54"/>
        <v>6</v>
      </c>
      <c r="U173" s="251">
        <f t="shared" si="55"/>
        <v>0.88733848032568896</v>
      </c>
      <c r="V173" s="383">
        <f t="shared" si="56"/>
        <v>58.53849921841099</v>
      </c>
      <c r="W173" s="58"/>
      <c r="X173" s="157">
        <f t="shared" si="57"/>
        <v>43624</v>
      </c>
      <c r="Y173" s="385">
        <f t="shared" si="58"/>
        <v>59.302999999999997</v>
      </c>
      <c r="Z173" s="385">
        <f t="shared" si="59"/>
        <v>59.733762914690523</v>
      </c>
      <c r="AA173" s="386">
        <f t="shared" si="60"/>
        <v>62.937706939405516</v>
      </c>
      <c r="AB173" s="197">
        <f t="shared" si="61"/>
        <v>43624</v>
      </c>
      <c r="AC173" s="425">
        <f>IF(OR(t&lt;Tnet,NoTnet),'2018'!Resal_s+('2018'!Salim-'2018'!Resal_s)*(1-EXP(('2018'!Tnet_s-t)/'2018'!Tau_j)),Resal_s+(Salim-Resal_s)*(1-EXP((Tnet_s-t)/Tau_j)))*Salcycl</f>
        <v>5.0906589714170017E-2</v>
      </c>
      <c r="AD173" s="231">
        <f>(INDEX(Models!$BJ173:$BT173,,AH173)*(1-AF173)+INDEX(Models!$BJ173:$BT173,,AH173+1)*AF173-ERP_i)*AE173*Ramure*Pc/MaxiM</f>
        <v>3.5258021116842658E-3</v>
      </c>
      <c r="AE173" s="305">
        <f t="shared" si="62"/>
        <v>0.8</v>
      </c>
      <c r="AF173" s="177">
        <f t="shared" si="63"/>
        <v>0.88733848032568896</v>
      </c>
      <c r="AG173" s="176">
        <f t="shared" si="64"/>
        <v>0</v>
      </c>
      <c r="AH173" s="176">
        <f t="shared" si="65"/>
        <v>6</v>
      </c>
      <c r="AI173" s="225">
        <f t="shared" si="66"/>
        <v>0.88733848032568896</v>
      </c>
      <c r="AJ173" s="265" t="b">
        <f t="shared" si="67"/>
        <v>0</v>
      </c>
      <c r="AK173" s="265" t="b">
        <f t="shared" si="68"/>
        <v>1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6">
        <v>46.488999999999997</v>
      </c>
      <c r="C174" s="390"/>
      <c r="D174" s="393">
        <f t="shared" si="48"/>
        <v>46.827774811200754</v>
      </c>
      <c r="E174" s="385">
        <f t="shared" si="73"/>
        <v>49.348216585756809</v>
      </c>
      <c r="F174" s="385">
        <f t="shared" si="49"/>
        <v>49.473410405201427</v>
      </c>
      <c r="G174" s="110">
        <f t="shared" si="74"/>
        <v>0.79377161521351969</v>
      </c>
      <c r="H174" s="414" t="b">
        <f>Wh_hp&gt;='2018'!Maxi_hp</f>
        <v>1</v>
      </c>
      <c r="I174" s="390">
        <f>IF(H174,Wh_hp,'2018'!Maxi_hp)</f>
        <v>49.473410405201427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7.2344845034090222E-3</v>
      </c>
      <c r="M174" s="843"/>
      <c r="N174" s="843"/>
      <c r="O174" s="48">
        <f>IF(t&lt;Tnet,'2018'!Resal+('2018'!Salim-'2018'!Resal)*(1-EXP(('2018'!Tnet-t)/('2018'!Tau_j))),Resal+(Salim-Resal)*(1-EXP((Tnet-t)/(Tau_j))))*Salcycl</f>
        <v>5.1074627391570676E-2</v>
      </c>
      <c r="P174" s="169">
        <f>(INDEX(Models!$BJ174:$BT174,,T174)*(1-R174)+INDEX(Models!$BJ174:$BT174,,T174+1)*R174-ERP_i)*Q174*Ramure*Pc/MaxiM</f>
        <v>3.5813544253031622E-3</v>
      </c>
      <c r="Q174" s="305">
        <f t="shared" si="51"/>
        <v>0.8</v>
      </c>
      <c r="R174" s="177">
        <f t="shared" si="52"/>
        <v>0.89350740989885602</v>
      </c>
      <c r="S174" s="809">
        <f t="shared" si="53"/>
        <v>0</v>
      </c>
      <c r="T174" s="176">
        <f t="shared" si="54"/>
        <v>6</v>
      </c>
      <c r="U174" s="251">
        <f t="shared" si="55"/>
        <v>0.89350740989885602</v>
      </c>
      <c r="V174" s="383">
        <f t="shared" si="56"/>
        <v>58.505523851661188</v>
      </c>
      <c r="W174" s="58"/>
      <c r="X174" s="157">
        <f t="shared" si="57"/>
        <v>43625</v>
      </c>
      <c r="Y174" s="385">
        <f t="shared" si="58"/>
        <v>46.488999999999997</v>
      </c>
      <c r="Z174" s="385">
        <f t="shared" si="59"/>
        <v>46.827774811200754</v>
      </c>
      <c r="AA174" s="386">
        <f t="shared" si="60"/>
        <v>49.348216585756809</v>
      </c>
      <c r="AB174" s="197">
        <f t="shared" si="61"/>
        <v>43625</v>
      </c>
      <c r="AC174" s="425">
        <f>IF(OR(t&lt;Tnet,NoTnet),'2018'!Resal_s+('2018'!Salim-'2018'!Resal_s)*(1-EXP(('2018'!Tnet_s-t)/'2018'!Tau_j)),Resal_s+(Salim-Resal_s)*(1-EXP((Tnet_s-t)/Tau_j)))*Salcycl</f>
        <v>5.1074627391570676E-2</v>
      </c>
      <c r="AD174" s="231">
        <f>(INDEX(Models!$BJ174:$BT174,,AH174)*(1-AF174)+INDEX(Models!$BJ174:$BT174,,AH174+1)*AF174-ERP_i)*AE174*Ramure*Pc/MaxiM</f>
        <v>3.5813544253031622E-3</v>
      </c>
      <c r="AE174" s="305">
        <f t="shared" si="62"/>
        <v>0.8</v>
      </c>
      <c r="AF174" s="177">
        <f t="shared" si="63"/>
        <v>0.89350740989885602</v>
      </c>
      <c r="AG174" s="176">
        <f t="shared" si="64"/>
        <v>0</v>
      </c>
      <c r="AH174" s="176">
        <f t="shared" si="65"/>
        <v>6</v>
      </c>
      <c r="AI174" s="225">
        <f t="shared" si="66"/>
        <v>0.89350740989885602</v>
      </c>
      <c r="AJ174" s="265" t="b">
        <f t="shared" si="67"/>
        <v>0</v>
      </c>
      <c r="AK174" s="265" t="b">
        <f t="shared" si="68"/>
        <v>1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6">
        <v>21.196999999999999</v>
      </c>
      <c r="C175" s="390"/>
      <c r="D175" s="393">
        <f t="shared" si="48"/>
        <v>21.351963747485087</v>
      </c>
      <c r="E175" s="385">
        <f t="shared" si="73"/>
        <v>22.505175220525945</v>
      </c>
      <c r="F175" s="385">
        <f t="shared" si="49"/>
        <v>22.512487170207226</v>
      </c>
      <c r="G175" s="110">
        <f t="shared" si="74"/>
        <v>0.36132651064840066</v>
      </c>
      <c r="H175" s="414" t="b">
        <f>Wh_hp&gt;='2018'!Maxi_hp</f>
        <v>1</v>
      </c>
      <c r="I175" s="390">
        <f>IF(H175,Wh_hp,'2018'!Maxi_hp)</f>
        <v>22.512487170207226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7.2575876072916712E-3</v>
      </c>
      <c r="M175" s="843"/>
      <c r="N175" s="843"/>
      <c r="O175" s="48">
        <f>IF(t&lt;Tnet,'2018'!Resal+('2018'!Salim-'2018'!Resal)*(1-EXP(('2018'!Tnet-t)/('2018'!Tau_j))),Resal+(Salim-Resal)*(1-EXP((Tnet-t)/(Tau_j))))*Salcycl</f>
        <v>5.124205707090293E-2</v>
      </c>
      <c r="P175" s="169">
        <f>(INDEX(Models!$BJ175:$BT175,,T175)*(1-R175)+INDEX(Models!$BJ175:$BT175,,T175+1)*R175-ERP_i)*Q175*Ramure*Pc/MaxiM</f>
        <v>3.636116310326979E-3</v>
      </c>
      <c r="Q175" s="305">
        <f t="shared" si="51"/>
        <v>0.8</v>
      </c>
      <c r="R175" s="177">
        <f t="shared" si="52"/>
        <v>0.89968154947206991</v>
      </c>
      <c r="S175" s="809">
        <f t="shared" si="53"/>
        <v>0</v>
      </c>
      <c r="T175" s="176">
        <f t="shared" si="54"/>
        <v>6</v>
      </c>
      <c r="U175" s="251">
        <f t="shared" si="55"/>
        <v>0.89968154947206991</v>
      </c>
      <c r="V175" s="383">
        <f t="shared" si="56"/>
        <v>58.470072083827844</v>
      </c>
      <c r="W175" s="58"/>
      <c r="X175" s="157">
        <f t="shared" si="57"/>
        <v>43626</v>
      </c>
      <c r="Y175" s="385">
        <f t="shared" si="58"/>
        <v>21.196999999999999</v>
      </c>
      <c r="Z175" s="385">
        <f t="shared" si="59"/>
        <v>21.351963747485087</v>
      </c>
      <c r="AA175" s="386">
        <f t="shared" si="60"/>
        <v>22.505175220525945</v>
      </c>
      <c r="AB175" s="197">
        <f t="shared" si="61"/>
        <v>43626</v>
      </c>
      <c r="AC175" s="425">
        <f>IF(OR(t&lt;Tnet,NoTnet),'2018'!Resal_s+('2018'!Salim-'2018'!Resal_s)*(1-EXP(('2018'!Tnet_s-t)/'2018'!Tau_j)),Resal_s+(Salim-Resal_s)*(1-EXP((Tnet_s-t)/Tau_j)))*Salcycl</f>
        <v>5.124205707090293E-2</v>
      </c>
      <c r="AD175" s="231">
        <f>(INDEX(Models!$BJ175:$BT175,,AH175)*(1-AF175)+INDEX(Models!$BJ175:$BT175,,AH175+1)*AF175-ERP_i)*AE175*Ramure*Pc/MaxiM</f>
        <v>3.636116310326979E-3</v>
      </c>
      <c r="AE175" s="305">
        <f t="shared" si="62"/>
        <v>0.8</v>
      </c>
      <c r="AF175" s="177">
        <f t="shared" si="63"/>
        <v>0.89968154947206991</v>
      </c>
      <c r="AG175" s="176">
        <f t="shared" si="64"/>
        <v>0</v>
      </c>
      <c r="AH175" s="176">
        <f t="shared" si="65"/>
        <v>6</v>
      </c>
      <c r="AI175" s="225">
        <f t="shared" si="66"/>
        <v>0.89968154947206991</v>
      </c>
      <c r="AJ175" s="265" t="b">
        <f t="shared" si="67"/>
        <v>0</v>
      </c>
      <c r="AK175" s="265" t="b">
        <f t="shared" si="68"/>
        <v>1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6">
        <v>33.366</v>
      </c>
      <c r="C176" s="390"/>
      <c r="D176" s="393">
        <f t="shared" si="48"/>
        <v>33.610709159905952</v>
      </c>
      <c r="E176" s="385">
        <f t="shared" si="73"/>
        <v>35.432239557854331</v>
      </c>
      <c r="F176" s="385">
        <f t="shared" si="49"/>
        <v>35.482932205452556</v>
      </c>
      <c r="G176" s="110">
        <f t="shared" si="74"/>
        <v>0.56972505499484849</v>
      </c>
      <c r="H176" s="414" t="b">
        <f>Wh_hp&gt;='2018'!Maxi_hp</f>
        <v>1</v>
      </c>
      <c r="I176" s="390">
        <f>IF(H176,Wh_hp,'2018'!Maxi_hp)</f>
        <v>35.482932205452556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7.28069017353139E-3</v>
      </c>
      <c r="M176" s="843"/>
      <c r="N176" s="843"/>
      <c r="O176" s="48">
        <f>IF(t&lt;Tnet,'2018'!Resal+('2018'!Salim-'2018'!Resal)*(1-EXP(('2018'!Tnet-t)/('2018'!Tau_j))),Resal+(Salim-Resal)*(1-EXP((Tnet-t)/(Tau_j))))*Salcycl</f>
        <v>5.1408841797148018E-2</v>
      </c>
      <c r="P176" s="169">
        <f>(INDEX(Models!$BJ176:$BT176,,T176)*(1-R176)+INDEX(Models!$BJ176:$BT176,,T176+1)*R176-ERP_i)*Q176*Ramure*Pc/MaxiM</f>
        <v>3.6899892943340284E-3</v>
      </c>
      <c r="Q176" s="305">
        <f t="shared" si="51"/>
        <v>0.8</v>
      </c>
      <c r="R176" s="177">
        <f t="shared" si="52"/>
        <v>0.9058556890452838</v>
      </c>
      <c r="S176" s="809">
        <f t="shared" si="53"/>
        <v>0</v>
      </c>
      <c r="T176" s="176">
        <f t="shared" si="54"/>
        <v>6</v>
      </c>
      <c r="U176" s="251">
        <f t="shared" si="55"/>
        <v>0.9058556890452838</v>
      </c>
      <c r="V176" s="383">
        <f t="shared" si="56"/>
        <v>58.43246645355412</v>
      </c>
      <c r="W176" s="58"/>
      <c r="X176" s="157">
        <f t="shared" si="57"/>
        <v>43627</v>
      </c>
      <c r="Y176" s="385">
        <f t="shared" si="58"/>
        <v>33.366</v>
      </c>
      <c r="Z176" s="385">
        <f t="shared" si="59"/>
        <v>33.610709159905952</v>
      </c>
      <c r="AA176" s="386">
        <f t="shared" si="60"/>
        <v>35.432239557854331</v>
      </c>
      <c r="AB176" s="197">
        <f t="shared" si="61"/>
        <v>43627</v>
      </c>
      <c r="AC176" s="425">
        <f>IF(OR(t&lt;Tnet,NoTnet),'2018'!Resal_s+('2018'!Salim-'2018'!Resal_s)*(1-EXP(('2018'!Tnet_s-t)/'2018'!Tau_j)),Resal_s+(Salim-Resal_s)*(1-EXP((Tnet_s-t)/Tau_j)))*Salcycl</f>
        <v>5.1408841797148018E-2</v>
      </c>
      <c r="AD176" s="231">
        <f>(INDEX(Models!$BJ176:$BT176,,AH176)*(1-AF176)+INDEX(Models!$BJ176:$BT176,,AH176+1)*AF176-ERP_i)*AE176*Ramure*Pc/MaxiM</f>
        <v>3.6899892943340284E-3</v>
      </c>
      <c r="AE176" s="305">
        <f t="shared" si="62"/>
        <v>0.8</v>
      </c>
      <c r="AF176" s="177">
        <f t="shared" si="63"/>
        <v>0.9058556890452838</v>
      </c>
      <c r="AG176" s="176">
        <f t="shared" si="64"/>
        <v>0</v>
      </c>
      <c r="AH176" s="176">
        <f t="shared" si="65"/>
        <v>6</v>
      </c>
      <c r="AI176" s="225">
        <f t="shared" si="66"/>
        <v>0.9058556890452838</v>
      </c>
      <c r="AJ176" s="265" t="b">
        <f t="shared" si="67"/>
        <v>0</v>
      </c>
      <c r="AK176" s="265" t="b">
        <f t="shared" si="68"/>
        <v>1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6">
        <v>53.636000000000003</v>
      </c>
      <c r="C177" s="390"/>
      <c r="D177" s="393">
        <f t="shared" si="48"/>
        <v>54.030628482990828</v>
      </c>
      <c r="E177" s="385">
        <f t="shared" si="73"/>
        <v>56.968790804885373</v>
      </c>
      <c r="F177" s="385">
        <f t="shared" si="49"/>
        <v>57.157834054855876</v>
      </c>
      <c r="G177" s="110">
        <f t="shared" si="74"/>
        <v>0.91814525055763918</v>
      </c>
      <c r="H177" s="414" t="b">
        <f>Wh_hp&gt;='2018'!Maxi_hp</f>
        <v>1</v>
      </c>
      <c r="I177" s="390">
        <f>IF(H177,Wh_hp,'2018'!Maxi_hp)</f>
        <v>57.157834054855876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7.3037922021406132E-3</v>
      </c>
      <c r="M177" s="843"/>
      <c r="N177" s="843"/>
      <c r="O177" s="48">
        <f>IF(t&lt;Tnet,'2018'!Resal+('2018'!Salim-'2018'!Resal)*(1-EXP(('2018'!Tnet-t)/('2018'!Tau_j))),Resal+(Salim-Resal)*(1-EXP((Tnet-t)/(Tau_j))))*Salcycl</f>
        <v>5.1574946218492963E-2</v>
      </c>
      <c r="P177" s="169">
        <f>(INDEX(Models!$BJ177:$BT177,,T177)*(1-R177)+INDEX(Models!$BJ177:$BT177,,T177+1)*R177-ERP_i)*Q177*Ramure*Pc/MaxiM</f>
        <v>3.7429239425427422E-3</v>
      </c>
      <c r="Q177" s="305">
        <f t="shared" si="51"/>
        <v>0.8</v>
      </c>
      <c r="R177" s="177">
        <f t="shared" si="52"/>
        <v>0.91202461861845086</v>
      </c>
      <c r="S177" s="809">
        <f t="shared" si="53"/>
        <v>0</v>
      </c>
      <c r="T177" s="176">
        <f t="shared" si="54"/>
        <v>6</v>
      </c>
      <c r="U177" s="251">
        <f t="shared" si="55"/>
        <v>0.91202461861845086</v>
      </c>
      <c r="V177" s="383">
        <f t="shared" si="56"/>
        <v>58.392244747790492</v>
      </c>
      <c r="W177" s="58"/>
      <c r="X177" s="157">
        <f t="shared" si="57"/>
        <v>43628</v>
      </c>
      <c r="Y177" s="385">
        <f t="shared" si="58"/>
        <v>53.636000000000003</v>
      </c>
      <c r="Z177" s="385">
        <f t="shared" si="59"/>
        <v>54.030628482990828</v>
      </c>
      <c r="AA177" s="386">
        <f t="shared" si="60"/>
        <v>56.968790804885373</v>
      </c>
      <c r="AB177" s="197">
        <f t="shared" si="61"/>
        <v>43628</v>
      </c>
      <c r="AC177" s="425">
        <f>IF(OR(t&lt;Tnet,NoTnet),'2018'!Resal_s+('2018'!Salim-'2018'!Resal_s)*(1-EXP(('2018'!Tnet_s-t)/'2018'!Tau_j)),Resal_s+(Salim-Resal_s)*(1-EXP((Tnet_s-t)/Tau_j)))*Salcycl</f>
        <v>5.1574946218492963E-2</v>
      </c>
      <c r="AD177" s="231">
        <f>(INDEX(Models!$BJ177:$BT177,,AH177)*(1-AF177)+INDEX(Models!$BJ177:$BT177,,AH177+1)*AF177-ERP_i)*AE177*Ramure*Pc/MaxiM</f>
        <v>3.7429239425427422E-3</v>
      </c>
      <c r="AE177" s="305">
        <f t="shared" si="62"/>
        <v>0.8</v>
      </c>
      <c r="AF177" s="177">
        <f t="shared" si="63"/>
        <v>0.91202461861845086</v>
      </c>
      <c r="AG177" s="176">
        <f t="shared" si="64"/>
        <v>0</v>
      </c>
      <c r="AH177" s="176">
        <f t="shared" si="65"/>
        <v>6</v>
      </c>
      <c r="AI177" s="225">
        <f t="shared" si="66"/>
        <v>0.91202461861845086</v>
      </c>
      <c r="AJ177" s="265" t="b">
        <f t="shared" si="67"/>
        <v>0</v>
      </c>
      <c r="AK177" s="265" t="b">
        <f t="shared" si="68"/>
        <v>1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6">
        <v>59.603999999999999</v>
      </c>
      <c r="C178" s="390"/>
      <c r="D178" s="393">
        <f t="shared" si="48"/>
        <v>60.043935532564362</v>
      </c>
      <c r="E178" s="385">
        <f t="shared" si="73"/>
        <v>63.320140946775133</v>
      </c>
      <c r="F178" s="385">
        <f t="shared" si="49"/>
        <v>63.561322397498678</v>
      </c>
      <c r="G178" s="110">
        <f t="shared" si="74"/>
        <v>1.0215127054447235</v>
      </c>
      <c r="H178" s="414" t="b">
        <f>Wh_hp&gt;='2018'!Maxi_hp</f>
        <v>1</v>
      </c>
      <c r="I178" s="390">
        <f>IF(H178,Wh_hp,'2018'!Maxi_hp)</f>
        <v>63.561322397498678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7.3268936931318862E-3</v>
      </c>
      <c r="M178" s="843"/>
      <c r="N178" s="843"/>
      <c r="O178" s="48">
        <f>IF(t&lt;Tnet,'2018'!Resal+('2018'!Salim-'2018'!Resal)*(1-EXP(('2018'!Tnet-t)/('2018'!Tau_j))),Resal+(Salim-Resal)*(1-EXP((Tnet-t)/(Tau_j))))*Salcycl</f>
        <v>5.1740336727371529E-2</v>
      </c>
      <c r="P178" s="169">
        <f>(INDEX(Models!$BJ178:$BT178,,T178)*(1-R178)+INDEX(Models!$BJ178:$BT178,,T178+1)*R178-ERP_i)*Q178*Ramure*Pc/MaxiM</f>
        <v>3.7944687370606951E-3</v>
      </c>
      <c r="Q178" s="305">
        <f t="shared" si="51"/>
        <v>0.8</v>
      </c>
      <c r="R178" s="177">
        <f t="shared" si="52"/>
        <v>0.91818314576237059</v>
      </c>
      <c r="S178" s="809">
        <f t="shared" si="53"/>
        <v>0</v>
      </c>
      <c r="T178" s="176">
        <f t="shared" si="54"/>
        <v>6</v>
      </c>
      <c r="U178" s="251">
        <f t="shared" si="55"/>
        <v>0.91818314576237059</v>
      </c>
      <c r="V178" s="383">
        <f t="shared" si="56"/>
        <v>58.348760306462296</v>
      </c>
      <c r="W178" s="58"/>
      <c r="X178" s="157">
        <f t="shared" si="57"/>
        <v>43629</v>
      </c>
      <c r="Y178" s="385">
        <f t="shared" si="58"/>
        <v>59.603999999999999</v>
      </c>
      <c r="Z178" s="385">
        <f t="shared" si="59"/>
        <v>60.043935532564362</v>
      </c>
      <c r="AA178" s="386">
        <f t="shared" si="60"/>
        <v>63.320140946775133</v>
      </c>
      <c r="AB178" s="197">
        <f t="shared" si="61"/>
        <v>43629</v>
      </c>
      <c r="AC178" s="425">
        <f>IF(OR(t&lt;Tnet,NoTnet),'2018'!Resal_s+('2018'!Salim-'2018'!Resal_s)*(1-EXP(('2018'!Tnet_s-t)/'2018'!Tau_j)),Resal_s+(Salim-Resal_s)*(1-EXP((Tnet_s-t)/Tau_j)))*Salcycl</f>
        <v>5.1740336727371529E-2</v>
      </c>
      <c r="AD178" s="231">
        <f>(INDEX(Models!$BJ178:$BT178,,AH178)*(1-AF178)+INDEX(Models!$BJ178:$BT178,,AH178+1)*AF178-ERP_i)*AE178*Ramure*Pc/MaxiM</f>
        <v>3.7944687370606951E-3</v>
      </c>
      <c r="AE178" s="305">
        <f t="shared" si="62"/>
        <v>0.8</v>
      </c>
      <c r="AF178" s="177">
        <f t="shared" si="63"/>
        <v>0.91818314576237059</v>
      </c>
      <c r="AG178" s="176">
        <f t="shared" si="64"/>
        <v>0</v>
      </c>
      <c r="AH178" s="176">
        <f t="shared" si="65"/>
        <v>6</v>
      </c>
      <c r="AI178" s="225">
        <f t="shared" si="66"/>
        <v>0.91818314576237059</v>
      </c>
      <c r="AJ178" s="265" t="b">
        <f t="shared" si="67"/>
        <v>0</v>
      </c>
      <c r="AK178" s="265" t="b">
        <f t="shared" si="68"/>
        <v>1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6">
        <v>23.704000000000001</v>
      </c>
      <c r="C179" s="390"/>
      <c r="D179" s="393">
        <f t="shared" si="48"/>
        <v>23.879514302283226</v>
      </c>
      <c r="E179" s="385">
        <f t="shared" si="73"/>
        <v>25.186836591975169</v>
      </c>
      <c r="F179" s="385">
        <f t="shared" si="49"/>
        <v>25.201590681971329</v>
      </c>
      <c r="G179" s="110">
        <f t="shared" si="74"/>
        <v>0.40524668241259421</v>
      </c>
      <c r="H179" s="414" t="b">
        <f>Wh_hp&gt;='2018'!Maxi_hp</f>
        <v>1</v>
      </c>
      <c r="I179" s="390">
        <f>IF(H179,Wh_hp,'2018'!Maxi_hp)</f>
        <v>25.201590681971329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7.3499946465177546E-3</v>
      </c>
      <c r="M179" s="843"/>
      <c r="N179" s="843"/>
      <c r="O179" s="48">
        <f>IF(t&lt;Tnet,'2018'!Resal+('2018'!Salim-'2018'!Resal)*(1-EXP(('2018'!Tnet-t)/('2018'!Tau_j))),Resal+(Salim-Resal)*(1-EXP((Tnet-t)/(Tau_j))))*Salcycl</f>
        <v>5.1904981592983117E-2</v>
      </c>
      <c r="P179" s="169">
        <f>(INDEX(Models!$BJ179:$BT179,,T179)*(1-R179)+INDEX(Models!$BJ179:$BT179,,T179+1)*R179-ERP_i)*Q179*Ramure*Pc/MaxiM</f>
        <v>3.8453505720895884E-3</v>
      </c>
      <c r="Q179" s="305">
        <f t="shared" si="51"/>
        <v>0.8</v>
      </c>
      <c r="R179" s="177">
        <f t="shared" si="52"/>
        <v>0.92432611306376178</v>
      </c>
      <c r="S179" s="809">
        <f t="shared" si="53"/>
        <v>0</v>
      </c>
      <c r="T179" s="176">
        <f t="shared" si="54"/>
        <v>6</v>
      </c>
      <c r="U179" s="251">
        <f t="shared" si="55"/>
        <v>0.92432611306376178</v>
      </c>
      <c r="V179" s="383">
        <f t="shared" si="56"/>
        <v>58.301974837515594</v>
      </c>
      <c r="W179" s="58"/>
      <c r="X179" s="157">
        <f t="shared" si="57"/>
        <v>43630</v>
      </c>
      <c r="Y179" s="385">
        <f t="shared" si="58"/>
        <v>23.704000000000001</v>
      </c>
      <c r="Z179" s="385">
        <f t="shared" si="59"/>
        <v>23.879514302283226</v>
      </c>
      <c r="AA179" s="386">
        <f t="shared" si="60"/>
        <v>25.186836591975169</v>
      </c>
      <c r="AB179" s="197">
        <f t="shared" si="61"/>
        <v>43630</v>
      </c>
      <c r="AC179" s="425">
        <f>IF(OR(t&lt;Tnet,NoTnet),'2018'!Resal_s+('2018'!Salim-'2018'!Resal_s)*(1-EXP(('2018'!Tnet_s-t)/'2018'!Tau_j)),Resal_s+(Salim-Resal_s)*(1-EXP((Tnet_s-t)/Tau_j)))*Salcycl</f>
        <v>5.1904981592983117E-2</v>
      </c>
      <c r="AD179" s="231">
        <f>(INDEX(Models!$BJ179:$BT179,,AH179)*(1-AF179)+INDEX(Models!$BJ179:$BT179,,AH179+1)*AF179-ERP_i)*AE179*Ramure*Pc/MaxiM</f>
        <v>3.8453505720895884E-3</v>
      </c>
      <c r="AE179" s="305">
        <f t="shared" si="62"/>
        <v>0.8</v>
      </c>
      <c r="AF179" s="177">
        <f t="shared" si="63"/>
        <v>0.92432611306376178</v>
      </c>
      <c r="AG179" s="176">
        <f t="shared" si="64"/>
        <v>0</v>
      </c>
      <c r="AH179" s="176">
        <f t="shared" si="65"/>
        <v>6</v>
      </c>
      <c r="AI179" s="225">
        <f t="shared" si="66"/>
        <v>0.92432611306376178</v>
      </c>
      <c r="AJ179" s="265" t="b">
        <f t="shared" si="67"/>
        <v>0</v>
      </c>
      <c r="AK179" s="265" t="b">
        <f t="shared" si="68"/>
        <v>1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6">
        <v>24.65</v>
      </c>
      <c r="C180" s="390"/>
      <c r="D180" s="393">
        <f t="shared" si="48"/>
        <v>24.833096783274645</v>
      </c>
      <c r="E180" s="385">
        <f t="shared" si="73"/>
        <v>26.197152410995692</v>
      </c>
      <c r="F180" s="385">
        <f t="shared" si="49"/>
        <v>26.215120231679773</v>
      </c>
      <c r="G180" s="110">
        <f t="shared" si="74"/>
        <v>0.42180286279261198</v>
      </c>
      <c r="H180" s="414" t="b">
        <f>Wh_hp&gt;='2018'!Maxi_hp</f>
        <v>1</v>
      </c>
      <c r="I180" s="390">
        <f>IF(H180,Wh_hp,'2018'!Maxi_hp)</f>
        <v>26.215120231679773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7.3730950623106528E-3</v>
      </c>
      <c r="M180" s="843"/>
      <c r="N180" s="843"/>
      <c r="O180" s="48">
        <f>IF(t&lt;Tnet,'2018'!Resal+('2018'!Salim-'2018'!Resal)*(1-EXP(('2018'!Tnet-t)/('2018'!Tau_j))),Resal+(Salim-Resal)*(1-EXP((Tnet-t)/(Tau_j))))*Salcycl</f>
        <v>5.206885108430772E-2</v>
      </c>
      <c r="P180" s="169">
        <f>(INDEX(Models!$BJ180:$BT180,,T180)*(1-R180)+INDEX(Models!$BJ180:$BT180,,T180+1)*R180-ERP_i)*Q180*Ramure*Pc/MaxiM</f>
        <v>3.8955087388968242E-3</v>
      </c>
      <c r="Q180" s="305">
        <f t="shared" si="51"/>
        <v>0.8</v>
      </c>
      <c r="R180" s="177">
        <f t="shared" si="52"/>
        <v>0.93044841532032985</v>
      </c>
      <c r="S180" s="809">
        <f t="shared" si="53"/>
        <v>0</v>
      </c>
      <c r="T180" s="176">
        <f t="shared" si="54"/>
        <v>6</v>
      </c>
      <c r="U180" s="251">
        <f t="shared" si="55"/>
        <v>0.93044841532032985</v>
      </c>
      <c r="V180" s="383">
        <f t="shared" si="56"/>
        <v>58.251896071213608</v>
      </c>
      <c r="W180" s="58"/>
      <c r="X180" s="157">
        <f t="shared" si="57"/>
        <v>43631</v>
      </c>
      <c r="Y180" s="385">
        <f t="shared" si="58"/>
        <v>24.65</v>
      </c>
      <c r="Z180" s="385">
        <f t="shared" si="59"/>
        <v>24.833096783274645</v>
      </c>
      <c r="AA180" s="386">
        <f t="shared" si="60"/>
        <v>26.197152410995692</v>
      </c>
      <c r="AB180" s="197">
        <f t="shared" si="61"/>
        <v>43631</v>
      </c>
      <c r="AC180" s="425">
        <f>IF(OR(t&lt;Tnet,NoTnet),'2018'!Resal_s+('2018'!Salim-'2018'!Resal_s)*(1-EXP(('2018'!Tnet_s-t)/'2018'!Tau_j)),Resal_s+(Salim-Resal_s)*(1-EXP((Tnet_s-t)/Tau_j)))*Salcycl</f>
        <v>5.206885108430772E-2</v>
      </c>
      <c r="AD180" s="231">
        <f>(INDEX(Models!$BJ180:$BT180,,AH180)*(1-AF180)+INDEX(Models!$BJ180:$BT180,,AH180+1)*AF180-ERP_i)*AE180*Ramure*Pc/MaxiM</f>
        <v>3.8955087388968242E-3</v>
      </c>
      <c r="AE180" s="305">
        <f t="shared" si="62"/>
        <v>0.8</v>
      </c>
      <c r="AF180" s="177">
        <f t="shared" si="63"/>
        <v>0.93044841532032985</v>
      </c>
      <c r="AG180" s="176">
        <f t="shared" si="64"/>
        <v>0</v>
      </c>
      <c r="AH180" s="176">
        <f t="shared" si="65"/>
        <v>6</v>
      </c>
      <c r="AI180" s="225">
        <f t="shared" si="66"/>
        <v>0.93044841532032985</v>
      </c>
      <c r="AJ180" s="265" t="b">
        <f t="shared" si="67"/>
        <v>0</v>
      </c>
      <c r="AK180" s="265" t="b">
        <f t="shared" si="68"/>
        <v>1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6">
        <v>60.661999999999999</v>
      </c>
      <c r="C181" s="390"/>
      <c r="D181" s="393">
        <f t="shared" si="48"/>
        <v>61.114011139988655</v>
      </c>
      <c r="E181" s="385">
        <f t="shared" si="73"/>
        <v>64.482031283556239</v>
      </c>
      <c r="F181" s="385">
        <f t="shared" si="49"/>
        <v>64.737412852018437</v>
      </c>
      <c r="G181" s="110">
        <f t="shared" si="74"/>
        <v>1.0423287056230153</v>
      </c>
      <c r="H181" s="414" t="b">
        <f>Wh_hp&gt;='2018'!Maxi_hp</f>
        <v>1</v>
      </c>
      <c r="I181" s="390">
        <f>IF(H181,Wh_hp,'2018'!Maxi_hp)</f>
        <v>64.737412852018437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7.3961949405231264E-3</v>
      </c>
      <c r="M181" s="843"/>
      <c r="N181" s="843"/>
      <c r="O181" s="48">
        <f>IF(t&lt;Tnet,'2018'!Resal+('2018'!Salim-'2018'!Resal)*(1-EXP(('2018'!Tnet-t)/('2018'!Tau_j))),Resal+(Salim-Resal)*(1-EXP((Tnet-t)/(Tau_j))))*Salcycl</f>
        <v>5.223191758269688E-2</v>
      </c>
      <c r="P181" s="169">
        <f>(INDEX(Models!$BJ181:$BT181,,T181)*(1-R181)+INDEX(Models!$BJ181:$BT181,,T181+1)*R181-ERP_i)*Q181*Ramure*Pc/MaxiM</f>
        <v>3.9448837574952537E-3</v>
      </c>
      <c r="Q181" s="305">
        <f t="shared" si="51"/>
        <v>0.8</v>
      </c>
      <c r="R181" s="177">
        <f t="shared" si="52"/>
        <v>0.93654501636465604</v>
      </c>
      <c r="S181" s="809">
        <f t="shared" si="53"/>
        <v>0</v>
      </c>
      <c r="T181" s="176">
        <f t="shared" si="54"/>
        <v>6</v>
      </c>
      <c r="U181" s="251">
        <f t="shared" si="55"/>
        <v>0.93654501636465604</v>
      </c>
      <c r="V181" s="383">
        <f t="shared" si="56"/>
        <v>58.198531492751542</v>
      </c>
      <c r="W181" s="58"/>
      <c r="X181" s="157">
        <f t="shared" si="57"/>
        <v>43632</v>
      </c>
      <c r="Y181" s="385">
        <f t="shared" si="58"/>
        <v>60.661999999999992</v>
      </c>
      <c r="Z181" s="385">
        <f t="shared" si="59"/>
        <v>61.114011139988648</v>
      </c>
      <c r="AA181" s="386">
        <f t="shared" si="60"/>
        <v>64.482031283556239</v>
      </c>
      <c r="AB181" s="197">
        <f t="shared" si="61"/>
        <v>43632</v>
      </c>
      <c r="AC181" s="425">
        <f>IF(OR(t&lt;Tnet,NoTnet),'2018'!Resal_s+('2018'!Salim-'2018'!Resal_s)*(1-EXP(('2018'!Tnet_s-t)/'2018'!Tau_j)),Resal_s+(Salim-Resal_s)*(1-EXP((Tnet_s-t)/Tau_j)))*Salcycl</f>
        <v>5.223191758269688E-2</v>
      </c>
      <c r="AD181" s="231">
        <f>(INDEX(Models!$BJ181:$BT181,,AH181)*(1-AF181)+INDEX(Models!$BJ181:$BT181,,AH181+1)*AF181-ERP_i)*AE181*Ramure*Pc/MaxiM</f>
        <v>3.9448837574952537E-3</v>
      </c>
      <c r="AE181" s="305">
        <f t="shared" si="62"/>
        <v>0.8</v>
      </c>
      <c r="AF181" s="177">
        <f t="shared" si="63"/>
        <v>0.93654501636465604</v>
      </c>
      <c r="AG181" s="176">
        <f t="shared" si="64"/>
        <v>0</v>
      </c>
      <c r="AH181" s="176">
        <f t="shared" si="65"/>
        <v>6</v>
      </c>
      <c r="AI181" s="225">
        <f t="shared" si="66"/>
        <v>0.93654501636465604</v>
      </c>
      <c r="AJ181" s="265" t="b">
        <f t="shared" si="67"/>
        <v>0</v>
      </c>
      <c r="AK181" s="265" t="b">
        <f t="shared" si="68"/>
        <v>1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6">
        <v>57.918999999999997</v>
      </c>
      <c r="C182" s="390"/>
      <c r="D182" s="393">
        <f t="shared" si="48"/>
        <v>58.351930141594622</v>
      </c>
      <c r="E182" s="385">
        <f t="shared" si="73"/>
        <v>61.578271695511049</v>
      </c>
      <c r="F182" s="385">
        <f t="shared" si="49"/>
        <v>61.823807905736835</v>
      </c>
      <c r="G182" s="110">
        <f t="shared" si="74"/>
        <v>0.99614460340378908</v>
      </c>
      <c r="H182" s="414" t="b">
        <f>Wh_hp&gt;='2018'!Maxi_hp</f>
        <v>1</v>
      </c>
      <c r="I182" s="390">
        <f>IF(H182,Wh_hp,'2018'!Maxi_hp)</f>
        <v>61.823807905736835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7.4192942811676099E-3</v>
      </c>
      <c r="M182" s="843"/>
      <c r="N182" s="843"/>
      <c r="O182" s="48">
        <f>IF(t&lt;Tnet,'2018'!Resal+('2018'!Salim-'2018'!Resal)*(1-EXP(('2018'!Tnet-t)/('2018'!Tau_j))),Resal+(Salim-Resal)*(1-EXP((Tnet-t)/(Tau_j))))*Salcycl</f>
        <v>5.2394155683190863E-2</v>
      </c>
      <c r="P182" s="169">
        <f>(INDEX(Models!$BJ182:$BT182,,T182)*(1-R182)+INDEX(Models!$BJ182:$BT182,,T182+1)*R182-ERP_i)*Q182*Ramure*Pc/MaxiM</f>
        <v>3.9934176335380571E-3</v>
      </c>
      <c r="Q182" s="305">
        <f t="shared" si="51"/>
        <v>0.8</v>
      </c>
      <c r="R182" s="177">
        <f t="shared" si="52"/>
        <v>0.94261096540024791</v>
      </c>
      <c r="S182" s="809">
        <f t="shared" si="53"/>
        <v>0</v>
      </c>
      <c r="T182" s="176">
        <f t="shared" si="54"/>
        <v>6</v>
      </c>
      <c r="U182" s="251">
        <f t="shared" si="55"/>
        <v>0.94261096540024791</v>
      </c>
      <c r="V182" s="383">
        <f t="shared" si="56"/>
        <v>58.141888310500093</v>
      </c>
      <c r="W182" s="58"/>
      <c r="X182" s="157">
        <f t="shared" si="57"/>
        <v>43633</v>
      </c>
      <c r="Y182" s="385">
        <f t="shared" si="58"/>
        <v>57.918999999999997</v>
      </c>
      <c r="Z182" s="385">
        <f t="shared" si="59"/>
        <v>58.351930141594622</v>
      </c>
      <c r="AA182" s="386">
        <f t="shared" si="60"/>
        <v>61.578271695511049</v>
      </c>
      <c r="AB182" s="197">
        <f t="shared" si="61"/>
        <v>43633</v>
      </c>
      <c r="AC182" s="425">
        <f>IF(OR(t&lt;Tnet,NoTnet),'2018'!Resal_s+('2018'!Salim-'2018'!Resal_s)*(1-EXP(('2018'!Tnet_s-t)/'2018'!Tau_j)),Resal_s+(Salim-Resal_s)*(1-EXP((Tnet_s-t)/Tau_j)))*Salcycl</f>
        <v>5.2394155683190863E-2</v>
      </c>
      <c r="AD182" s="231">
        <f>(INDEX(Models!$BJ182:$BT182,,AH182)*(1-AF182)+INDEX(Models!$BJ182:$BT182,,AH182+1)*AF182-ERP_i)*AE182*Ramure*Pc/MaxiM</f>
        <v>3.9934176335380571E-3</v>
      </c>
      <c r="AE182" s="305">
        <f t="shared" si="62"/>
        <v>0.8</v>
      </c>
      <c r="AF182" s="177">
        <f t="shared" si="63"/>
        <v>0.94261096540024791</v>
      </c>
      <c r="AG182" s="176">
        <f t="shared" si="64"/>
        <v>0</v>
      </c>
      <c r="AH182" s="176">
        <f t="shared" si="65"/>
        <v>6</v>
      </c>
      <c r="AI182" s="225">
        <f t="shared" si="66"/>
        <v>0.94261096540024791</v>
      </c>
      <c r="AJ182" s="265" t="b">
        <f t="shared" si="67"/>
        <v>0</v>
      </c>
      <c r="AK182" s="265" t="b">
        <f t="shared" si="68"/>
        <v>1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6">
        <v>57.185000000000002</v>
      </c>
      <c r="C183" s="390"/>
      <c r="D183" s="393">
        <f t="shared" si="48"/>
        <v>57.613784430805694</v>
      </c>
      <c r="E183" s="385">
        <f t="shared" si="73"/>
        <v>60.809669592328717</v>
      </c>
      <c r="F183" s="385">
        <f t="shared" si="49"/>
        <v>61.050936871155521</v>
      </c>
      <c r="G183" s="110">
        <f t="shared" si="74"/>
        <v>0.98446864293438274</v>
      </c>
      <c r="H183" s="414" t="b">
        <f>Wh_hp&gt;='2018'!Maxi_hp</f>
        <v>1</v>
      </c>
      <c r="I183" s="390">
        <f>IF(H183,Wh_hp,'2018'!Maxi_hp)</f>
        <v>61.050936871155521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7.4423930842568708E-3</v>
      </c>
      <c r="M183" s="843"/>
      <c r="N183" s="843"/>
      <c r="O183" s="48">
        <f>IF(t&lt;Tnet,'2018'!Resal+('2018'!Salim-'2018'!Resal)*(1-EXP(('2018'!Tnet-t)/('2018'!Tau_j))),Resal+(Salim-Resal)*(1-EXP((Tnet-t)/(Tau_j))))*Salcycl</f>
        <v>5.2555542283791612E-2</v>
      </c>
      <c r="P183" s="169">
        <f>(INDEX(Models!$BJ183:$BT183,,T183)*(1-R183)+INDEX(Models!$BJ183:$BT183,,T183+1)*R183-ERP_i)*Q183*Ramure*Pc/MaxiM</f>
        <v>4.0410541040676604E-3</v>
      </c>
      <c r="Q183" s="305">
        <f t="shared" si="51"/>
        <v>0.8</v>
      </c>
      <c r="R183" s="177">
        <f t="shared" si="52"/>
        <v>0.94864141273897418</v>
      </c>
      <c r="S183" s="809">
        <f t="shared" si="53"/>
        <v>0</v>
      </c>
      <c r="T183" s="176">
        <f t="shared" si="54"/>
        <v>6</v>
      </c>
      <c r="U183" s="251">
        <f t="shared" si="55"/>
        <v>0.94864141273897418</v>
      </c>
      <c r="V183" s="383">
        <f t="shared" si="56"/>
        <v>58.081973439854522</v>
      </c>
      <c r="W183" s="58"/>
      <c r="X183" s="157">
        <f t="shared" si="57"/>
        <v>43634</v>
      </c>
      <c r="Y183" s="385">
        <f t="shared" si="58"/>
        <v>57.185000000000002</v>
      </c>
      <c r="Z183" s="385">
        <f t="shared" si="59"/>
        <v>57.613784430805694</v>
      </c>
      <c r="AA183" s="386">
        <f t="shared" si="60"/>
        <v>60.809669592328717</v>
      </c>
      <c r="AB183" s="197">
        <f t="shared" si="61"/>
        <v>43634</v>
      </c>
      <c r="AC183" s="425">
        <f>IF(OR(t&lt;Tnet,NoTnet),'2018'!Resal_s+('2018'!Salim-'2018'!Resal_s)*(1-EXP(('2018'!Tnet_s-t)/'2018'!Tau_j)),Resal_s+(Salim-Resal_s)*(1-EXP((Tnet_s-t)/Tau_j)))*Salcycl</f>
        <v>5.2555542283791612E-2</v>
      </c>
      <c r="AD183" s="231">
        <f>(INDEX(Models!$BJ183:$BT183,,AH183)*(1-AF183)+INDEX(Models!$BJ183:$BT183,,AH183+1)*AF183-ERP_i)*AE183*Ramure*Pc/MaxiM</f>
        <v>4.0410541040676604E-3</v>
      </c>
      <c r="AE183" s="305">
        <f t="shared" si="62"/>
        <v>0.8</v>
      </c>
      <c r="AF183" s="177">
        <f t="shared" si="63"/>
        <v>0.94864141273897418</v>
      </c>
      <c r="AG183" s="176">
        <f t="shared" si="64"/>
        <v>0</v>
      </c>
      <c r="AH183" s="176">
        <f t="shared" si="65"/>
        <v>6</v>
      </c>
      <c r="AI183" s="225">
        <f t="shared" si="66"/>
        <v>0.94864141273897418</v>
      </c>
      <c r="AJ183" s="265" t="b">
        <f t="shared" si="67"/>
        <v>0</v>
      </c>
      <c r="AK183" s="265" t="b">
        <f t="shared" si="68"/>
        <v>1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6">
        <v>46.046999999999997</v>
      </c>
      <c r="C184" s="390"/>
      <c r="D184" s="393">
        <f t="shared" si="48"/>
        <v>46.393349146743404</v>
      </c>
      <c r="E184" s="385">
        <f t="shared" si="73"/>
        <v>48.975124589639741</v>
      </c>
      <c r="F184" s="385">
        <f t="shared" si="49"/>
        <v>49.116701204913014</v>
      </c>
      <c r="G184" s="110">
        <f t="shared" si="74"/>
        <v>0.79269728023074737</v>
      </c>
      <c r="H184" s="414" t="b">
        <f>Wh_hp&gt;='2018'!Maxi_hp</f>
        <v>1</v>
      </c>
      <c r="I184" s="390">
        <f>IF(H184,Wh_hp,'2018'!Maxi_hp)</f>
        <v>49.116701204913014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7.4654913498031217E-3</v>
      </c>
      <c r="M184" s="843"/>
      <c r="N184" s="843"/>
      <c r="O184" s="48">
        <f>IF(t&lt;Tnet,'2018'!Resal+('2018'!Salim-'2018'!Resal)*(1-EXP(('2018'!Tnet-t)/('2018'!Tau_j))),Resal+(Salim-Resal)*(1-EXP((Tnet-t)/(Tau_j))))*Salcycl</f>
        <v>5.2716056662007724E-2</v>
      </c>
      <c r="P184" s="169">
        <f>(INDEX(Models!$BJ184:$BT184,,T184)*(1-R184)+INDEX(Models!$BJ184:$BT184,,T184+1)*R184-ERP_i)*Q184*Ramure*Pc/MaxiM</f>
        <v>4.0872924677972508E-3</v>
      </c>
      <c r="Q184" s="305">
        <f t="shared" si="51"/>
        <v>0.8</v>
      </c>
      <c r="R184" s="177">
        <f t="shared" si="52"/>
        <v>0.95463162483626918</v>
      </c>
      <c r="S184" s="809">
        <f t="shared" si="53"/>
        <v>0</v>
      </c>
      <c r="T184" s="176">
        <f t="shared" si="54"/>
        <v>6</v>
      </c>
      <c r="U184" s="251">
        <f t="shared" si="55"/>
        <v>0.95463162483626918</v>
      </c>
      <c r="V184" s="383">
        <f t="shared" si="56"/>
        <v>58.018819486295499</v>
      </c>
      <c r="W184" s="58"/>
      <c r="X184" s="157">
        <f t="shared" si="57"/>
        <v>43635</v>
      </c>
      <c r="Y184" s="385">
        <f t="shared" si="58"/>
        <v>46.046999999999997</v>
      </c>
      <c r="Z184" s="385">
        <f t="shared" si="59"/>
        <v>46.393349146743404</v>
      </c>
      <c r="AA184" s="386">
        <f t="shared" si="60"/>
        <v>48.975124589639741</v>
      </c>
      <c r="AB184" s="197">
        <f t="shared" si="61"/>
        <v>43635</v>
      </c>
      <c r="AC184" s="425">
        <f>IF(OR(t&lt;Tnet,NoTnet),'2018'!Resal_s+('2018'!Salim-'2018'!Resal_s)*(1-EXP(('2018'!Tnet_s-t)/'2018'!Tau_j)),Resal_s+(Salim-Resal_s)*(1-EXP((Tnet_s-t)/Tau_j)))*Salcycl</f>
        <v>5.2716056662007724E-2</v>
      </c>
      <c r="AD184" s="231">
        <f>(INDEX(Models!$BJ184:$BT184,,AH184)*(1-AF184)+INDEX(Models!$BJ184:$BT184,,AH184+1)*AF184-ERP_i)*AE184*Ramure*Pc/MaxiM</f>
        <v>4.0872924677972508E-3</v>
      </c>
      <c r="AE184" s="305">
        <f t="shared" si="62"/>
        <v>0.8</v>
      </c>
      <c r="AF184" s="177">
        <f t="shared" si="63"/>
        <v>0.95463162483626918</v>
      </c>
      <c r="AG184" s="176">
        <f t="shared" si="64"/>
        <v>0</v>
      </c>
      <c r="AH184" s="176">
        <f t="shared" si="65"/>
        <v>6</v>
      </c>
      <c r="AI184" s="225">
        <f t="shared" si="66"/>
        <v>0.95463162483626918</v>
      </c>
      <c r="AJ184" s="265" t="b">
        <f t="shared" si="67"/>
        <v>0</v>
      </c>
      <c r="AK184" s="265" t="b">
        <f t="shared" si="68"/>
        <v>1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6">
        <v>27.423999999999999</v>
      </c>
      <c r="C185" s="390"/>
      <c r="D185" s="393">
        <f t="shared" si="48"/>
        <v>27.630916580111954</v>
      </c>
      <c r="E185" s="385">
        <f t="shared" si="73"/>
        <v>29.173484422625378</v>
      </c>
      <c r="F185" s="385">
        <f t="shared" si="49"/>
        <v>29.203347128002424</v>
      </c>
      <c r="G185" s="110">
        <f t="shared" si="74"/>
        <v>0.47174271160161874</v>
      </c>
      <c r="H185" s="414" t="b">
        <f>Wh_hp&gt;='2018'!Maxi_hp</f>
        <v>1</v>
      </c>
      <c r="I185" s="390">
        <f>IF(H185,Wh_hp,'2018'!Maxi_hp)</f>
        <v>29.203347128002424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7.4885890778190189E-3</v>
      </c>
      <c r="M185" s="843"/>
      <c r="N185" s="843"/>
      <c r="O185" s="48">
        <f>IF(t&lt;Tnet,'2018'!Resal+('2018'!Salim-'2018'!Resal)*(1-EXP(('2018'!Tnet-t)/('2018'!Tau_j))),Resal+(Salim-Resal)*(1-EXP((Tnet-t)/(Tau_j))))*Salcycl</f>
        <v>5.2875680538081109E-2</v>
      </c>
      <c r="P185" s="169">
        <f>(INDEX(Models!$BJ185:$BT185,,T185)*(1-R185)+INDEX(Models!$BJ185:$BT185,,T185+1)*R185-ERP_i)*Q185*Ramure*Pc/MaxiM</f>
        <v>4.1324434154532954E-3</v>
      </c>
      <c r="Q185" s="305">
        <f t="shared" si="51"/>
        <v>0.8</v>
      </c>
      <c r="R185" s="177">
        <f t="shared" si="52"/>
        <v>0.96057699852876799</v>
      </c>
      <c r="S185" s="809">
        <f t="shared" si="53"/>
        <v>0</v>
      </c>
      <c r="T185" s="176">
        <f t="shared" si="54"/>
        <v>6</v>
      </c>
      <c r="U185" s="251">
        <f t="shared" si="55"/>
        <v>0.96057699852876799</v>
      </c>
      <c r="V185" s="383">
        <f t="shared" si="56"/>
        <v>57.952411523229685</v>
      </c>
      <c r="W185" s="58"/>
      <c r="X185" s="157">
        <f t="shared" si="57"/>
        <v>43636</v>
      </c>
      <c r="Y185" s="385">
        <f t="shared" si="58"/>
        <v>27.423999999999999</v>
      </c>
      <c r="Z185" s="385">
        <f t="shared" si="59"/>
        <v>27.630916580111954</v>
      </c>
      <c r="AA185" s="386">
        <f t="shared" si="60"/>
        <v>29.173484422625378</v>
      </c>
      <c r="AB185" s="197">
        <f t="shared" si="61"/>
        <v>43636</v>
      </c>
      <c r="AC185" s="425">
        <f>IF(OR(t&lt;Tnet,NoTnet),'2018'!Resal_s+('2018'!Salim-'2018'!Resal_s)*(1-EXP(('2018'!Tnet_s-t)/'2018'!Tau_j)),Resal_s+(Salim-Resal_s)*(1-EXP((Tnet_s-t)/Tau_j)))*Salcycl</f>
        <v>5.2875680538081109E-2</v>
      </c>
      <c r="AD185" s="231">
        <f>(INDEX(Models!$BJ185:$BT185,,AH185)*(1-AF185)+INDEX(Models!$BJ185:$BT185,,AH185+1)*AF185-ERP_i)*AE185*Ramure*Pc/MaxiM</f>
        <v>4.1324434154532954E-3</v>
      </c>
      <c r="AE185" s="305">
        <f t="shared" si="62"/>
        <v>0.8</v>
      </c>
      <c r="AF185" s="177">
        <f t="shared" si="63"/>
        <v>0.96057699852876799</v>
      </c>
      <c r="AG185" s="176">
        <f t="shared" si="64"/>
        <v>0</v>
      </c>
      <c r="AH185" s="176">
        <f t="shared" si="65"/>
        <v>6</v>
      </c>
      <c r="AI185" s="225">
        <f t="shared" si="66"/>
        <v>0.96057699852876799</v>
      </c>
      <c r="AJ185" s="265" t="b">
        <f t="shared" si="67"/>
        <v>0</v>
      </c>
      <c r="AK185" s="265" t="b">
        <f t="shared" si="68"/>
        <v>1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6">
        <v>10.744999999999999</v>
      </c>
      <c r="C186" s="390"/>
      <c r="D186" s="393">
        <f t="shared" si="48"/>
        <v>10.82632394894363</v>
      </c>
      <c r="E186" s="385">
        <f t="shared" si="73"/>
        <v>11.432647529646928</v>
      </c>
      <c r="F186" s="385">
        <f t="shared" si="49"/>
        <v>11.432647529646928</v>
      </c>
      <c r="G186" s="110">
        <f t="shared" si="74"/>
        <v>0.18485857980100018</v>
      </c>
      <c r="H186" s="414" t="b">
        <f>Wh_hp&gt;='2018'!Maxi_hp</f>
        <v>1</v>
      </c>
      <c r="I186" s="390">
        <f>IF(H186,Wh_hp,'2018'!Maxi_hp)</f>
        <v>11.432647529646928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7.5116862683169972E-3</v>
      </c>
      <c r="M186" s="843"/>
      <c r="N186" s="843"/>
      <c r="O186" s="48">
        <f>IF(t&lt;Tnet,'2018'!Resal+('2018'!Salim-'2018'!Resal)*(1-EXP(('2018'!Tnet-t)/('2018'!Tau_j))),Resal+(Salim-Resal)*(1-EXP((Tnet-t)/(Tau_j))))*Salcycl</f>
        <v>5.3034398124405704E-2</v>
      </c>
      <c r="P186" s="169">
        <f>(INDEX(Models!$BJ186:$BT186,,T186)*(1-R186)+INDEX(Models!$BJ186:$BT186,,T186+1)*R186-ERP_i)*Q186*Ramure*Pc/MaxiM</f>
        <v>4.1764550099401831E-3</v>
      </c>
      <c r="Q186" s="305">
        <f t="shared" si="51"/>
        <v>0.8</v>
      </c>
      <c r="R186" s="177">
        <f t="shared" si="52"/>
        <v>0.96647307438831997</v>
      </c>
      <c r="S186" s="809">
        <f t="shared" si="53"/>
        <v>0</v>
      </c>
      <c r="T186" s="176">
        <f t="shared" si="54"/>
        <v>6</v>
      </c>
      <c r="U186" s="251">
        <f t="shared" si="55"/>
        <v>0.96647307438831997</v>
      </c>
      <c r="V186" s="383">
        <f t="shared" si="56"/>
        <v>57.882755576921831</v>
      </c>
      <c r="W186" s="58"/>
      <c r="X186" s="157">
        <f t="shared" si="57"/>
        <v>43637</v>
      </c>
      <c r="Y186" s="385">
        <f t="shared" si="58"/>
        <v>10.744999999999999</v>
      </c>
      <c r="Z186" s="385">
        <f t="shared" si="59"/>
        <v>10.82632394894363</v>
      </c>
      <c r="AA186" s="386">
        <f t="shared" si="60"/>
        <v>11.432647529646928</v>
      </c>
      <c r="AB186" s="197">
        <f t="shared" si="61"/>
        <v>43637</v>
      </c>
      <c r="AC186" s="425">
        <f>IF(OR(t&lt;Tnet,NoTnet),'2018'!Resal_s+('2018'!Salim-'2018'!Resal_s)*(1-EXP(('2018'!Tnet_s-t)/'2018'!Tau_j)),Resal_s+(Salim-Resal_s)*(1-EXP((Tnet_s-t)/Tau_j)))*Salcycl</f>
        <v>5.3034398124405704E-2</v>
      </c>
      <c r="AD186" s="231">
        <f>(INDEX(Models!$BJ186:$BT186,,AH186)*(1-AF186)+INDEX(Models!$BJ186:$BT186,,AH186+1)*AF186-ERP_i)*AE186*Ramure*Pc/MaxiM</f>
        <v>4.1764550099401831E-3</v>
      </c>
      <c r="AE186" s="305">
        <f t="shared" si="62"/>
        <v>0.8</v>
      </c>
      <c r="AF186" s="177">
        <f t="shared" si="63"/>
        <v>0.96647307438831997</v>
      </c>
      <c r="AG186" s="176">
        <f t="shared" si="64"/>
        <v>0</v>
      </c>
      <c r="AH186" s="176">
        <f t="shared" si="65"/>
        <v>6</v>
      </c>
      <c r="AI186" s="225">
        <f t="shared" si="66"/>
        <v>0.96647307438831997</v>
      </c>
      <c r="AJ186" s="265" t="b">
        <f t="shared" si="67"/>
        <v>0</v>
      </c>
      <c r="AK186" s="265" t="b">
        <f t="shared" si="68"/>
        <v>1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6">
        <v>53.081000000000003</v>
      </c>
      <c r="C187" s="390"/>
      <c r="D187" s="393">
        <f t="shared" si="48"/>
        <v>53.483990256347013</v>
      </c>
      <c r="E187" s="385">
        <f t="shared" si="73"/>
        <v>56.488750979314624</v>
      </c>
      <c r="F187" s="385">
        <f t="shared" si="49"/>
        <v>56.700027985282361</v>
      </c>
      <c r="G187" s="110">
        <f t="shared" si="74"/>
        <v>0.91774539478327521</v>
      </c>
      <c r="H187" s="414" t="b">
        <f>Wh_hp&gt;='2018'!Maxi_hp</f>
        <v>1</v>
      </c>
      <c r="I187" s="390">
        <f>IF(H187,Wh_hp,'2018'!Maxi_hp)</f>
        <v>56.700027985282361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7.5347829213096018E-3</v>
      </c>
      <c r="M187" s="843"/>
      <c r="N187" s="843"/>
      <c r="O187" s="48">
        <f>IF(t&lt;Tnet,'2018'!Resal+('2018'!Salim-'2018'!Resal)*(1-EXP(('2018'!Tnet-t)/('2018'!Tau_j))),Resal+(Salim-Resal)*(1-EXP((Tnet-t)/(Tau_j))))*Salcycl</f>
        <v>5.3192196160752714E-2</v>
      </c>
      <c r="P187" s="169">
        <f>(INDEX(Models!$BJ187:$BT187,,T187)*(1-R187)+INDEX(Models!$BJ187:$BT187,,T187+1)*R187-ERP_i)*Q187*Ramure*Pc/MaxiM</f>
        <v>4.2192779237403997E-3</v>
      </c>
      <c r="Q187" s="305">
        <f t="shared" si="51"/>
        <v>0.8</v>
      </c>
      <c r="R187" s="177">
        <f t="shared" si="52"/>
        <v>0.97231554911642504</v>
      </c>
      <c r="S187" s="809">
        <f t="shared" si="53"/>
        <v>0</v>
      </c>
      <c r="T187" s="176">
        <f t="shared" si="54"/>
        <v>6</v>
      </c>
      <c r="U187" s="251">
        <f t="shared" si="55"/>
        <v>0.97231554911642504</v>
      </c>
      <c r="V187" s="383">
        <f t="shared" si="56"/>
        <v>57.809857309409175</v>
      </c>
      <c r="W187" s="58"/>
      <c r="X187" s="157">
        <f t="shared" si="57"/>
        <v>43638</v>
      </c>
      <c r="Y187" s="385">
        <f t="shared" si="58"/>
        <v>53.081000000000003</v>
      </c>
      <c r="Z187" s="385">
        <f t="shared" si="59"/>
        <v>53.483990256347013</v>
      </c>
      <c r="AA187" s="386">
        <f t="shared" si="60"/>
        <v>56.488750979314624</v>
      </c>
      <c r="AB187" s="197">
        <f t="shared" si="61"/>
        <v>43638</v>
      </c>
      <c r="AC187" s="425">
        <f>IF(OR(t&lt;Tnet,NoTnet),'2018'!Resal_s+('2018'!Salim-'2018'!Resal_s)*(1-EXP(('2018'!Tnet_s-t)/'2018'!Tau_j)),Resal_s+(Salim-Resal_s)*(1-EXP((Tnet_s-t)/Tau_j)))*Salcycl</f>
        <v>5.3192196160752714E-2</v>
      </c>
      <c r="AD187" s="231">
        <f>(INDEX(Models!$BJ187:$BT187,,AH187)*(1-AF187)+INDEX(Models!$BJ187:$BT187,,AH187+1)*AF187-ERP_i)*AE187*Ramure*Pc/MaxiM</f>
        <v>4.2192779237403997E-3</v>
      </c>
      <c r="AE187" s="305">
        <f t="shared" si="62"/>
        <v>0.8</v>
      </c>
      <c r="AF187" s="177">
        <f t="shared" si="63"/>
        <v>0.97231554911642504</v>
      </c>
      <c r="AG187" s="176">
        <f t="shared" si="64"/>
        <v>0</v>
      </c>
      <c r="AH187" s="176">
        <f t="shared" si="65"/>
        <v>6</v>
      </c>
      <c r="AI187" s="225">
        <f t="shared" si="66"/>
        <v>0.97231554911642504</v>
      </c>
      <c r="AJ187" s="265" t="b">
        <f t="shared" si="67"/>
        <v>0</v>
      </c>
      <c r="AK187" s="265" t="b">
        <f t="shared" si="68"/>
        <v>1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6">
        <v>50.929000000000002</v>
      </c>
      <c r="C188" s="390"/>
      <c r="D188" s="393">
        <f t="shared" si="48"/>
        <v>51.316846518537623</v>
      </c>
      <c r="E188" s="385">
        <f t="shared" si="73"/>
        <v>54.2088372424274</v>
      </c>
      <c r="F188" s="385">
        <f t="shared" si="49"/>
        <v>54.401603739724401</v>
      </c>
      <c r="G188" s="110">
        <f t="shared" si="74"/>
        <v>0.88150093836714283</v>
      </c>
      <c r="H188" s="414" t="b">
        <f>Wh_hp&gt;='2018'!Maxi_hp</f>
        <v>1</v>
      </c>
      <c r="I188" s="390">
        <f>IF(H188,Wh_hp,'2018'!Maxi_hp)</f>
        <v>54.401603739724401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7.5578790368093784E-3</v>
      </c>
      <c r="M188" s="843"/>
      <c r="N188" s="843"/>
      <c r="O188" s="48">
        <f>IF(t&lt;Tnet,'2018'!Resal+('2018'!Salim-'2018'!Resal)*(1-EXP(('2018'!Tnet-t)/('2018'!Tau_j))),Resal+(Salim-Resal)*(1-EXP((Tnet-t)/(Tau_j))))*Salcycl</f>
        <v>5.3349063935027856E-2</v>
      </c>
      <c r="P188" s="169">
        <f>(INDEX(Models!$BJ188:$BT188,,T188)*(1-R188)+INDEX(Models!$BJ188:$BT188,,T188+1)*R188-ERP_i)*Q188*Ramure*Pc/MaxiM</f>
        <v>4.2608220324279579E-3</v>
      </c>
      <c r="Q188" s="305">
        <f t="shared" si="51"/>
        <v>0.8</v>
      </c>
      <c r="R188" s="177">
        <f t="shared" si="52"/>
        <v>0.9781002869138915</v>
      </c>
      <c r="S188" s="809">
        <f t="shared" si="53"/>
        <v>0</v>
      </c>
      <c r="T188" s="176">
        <f t="shared" si="54"/>
        <v>6</v>
      </c>
      <c r="U188" s="251">
        <f t="shared" si="55"/>
        <v>0.9781002869138915</v>
      </c>
      <c r="V188" s="383">
        <f t="shared" si="56"/>
        <v>57.733724530585228</v>
      </c>
      <c r="W188" s="58"/>
      <c r="X188" s="157">
        <f t="shared" si="57"/>
        <v>43639</v>
      </c>
      <c r="Y188" s="385">
        <f t="shared" si="58"/>
        <v>50.929000000000002</v>
      </c>
      <c r="Z188" s="385">
        <f t="shared" si="59"/>
        <v>51.316846518537623</v>
      </c>
      <c r="AA188" s="386">
        <f t="shared" si="60"/>
        <v>54.2088372424274</v>
      </c>
      <c r="AB188" s="197">
        <f t="shared" si="61"/>
        <v>43639</v>
      </c>
      <c r="AC188" s="425">
        <f>IF(OR(t&lt;Tnet,NoTnet),'2018'!Resal_s+('2018'!Salim-'2018'!Resal_s)*(1-EXP(('2018'!Tnet_s-t)/'2018'!Tau_j)),Resal_s+(Salim-Resal_s)*(1-EXP((Tnet_s-t)/Tau_j)))*Salcycl</f>
        <v>5.3349063935027856E-2</v>
      </c>
      <c r="AD188" s="231">
        <f>(INDEX(Models!$BJ188:$BT188,,AH188)*(1-AF188)+INDEX(Models!$BJ188:$BT188,,AH188+1)*AF188-ERP_i)*AE188*Ramure*Pc/MaxiM</f>
        <v>4.2608220324279579E-3</v>
      </c>
      <c r="AE188" s="305">
        <f t="shared" si="62"/>
        <v>0.8</v>
      </c>
      <c r="AF188" s="177">
        <f t="shared" si="63"/>
        <v>0.9781002869138915</v>
      </c>
      <c r="AG188" s="176">
        <f t="shared" si="64"/>
        <v>0</v>
      </c>
      <c r="AH188" s="176">
        <f t="shared" si="65"/>
        <v>6</v>
      </c>
      <c r="AI188" s="225">
        <f t="shared" si="66"/>
        <v>0.9781002869138915</v>
      </c>
      <c r="AJ188" s="265" t="b">
        <f t="shared" si="67"/>
        <v>0</v>
      </c>
      <c r="AK188" s="265" t="b">
        <f t="shared" si="68"/>
        <v>1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6">
        <v>37.219000000000001</v>
      </c>
      <c r="C189" s="390"/>
      <c r="D189" s="393">
        <f t="shared" si="48"/>
        <v>37.503311653618098</v>
      </c>
      <c r="E189" s="385">
        <f t="shared" si="73"/>
        <v>39.623359222945169</v>
      </c>
      <c r="F189" s="385">
        <f t="shared" si="49"/>
        <v>39.707665743941725</v>
      </c>
      <c r="G189" s="110">
        <f t="shared" si="74"/>
        <v>0.64414500917697726</v>
      </c>
      <c r="H189" s="414" t="b">
        <f>Wh_hp&gt;='2018'!Maxi_hp</f>
        <v>1</v>
      </c>
      <c r="I189" s="390">
        <f>IF(H189,Wh_hp,'2018'!Maxi_hp)</f>
        <v>39.707665743941725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7.5809746148288726E-3</v>
      </c>
      <c r="M189" s="843"/>
      <c r="N189" s="843"/>
      <c r="O189" s="48">
        <f>IF(t&lt;Tnet,'2018'!Resal+('2018'!Salim-'2018'!Resal)*(1-EXP(('2018'!Tnet-t)/('2018'!Tau_j))),Resal+(Salim-Resal)*(1-EXP((Tnet-t)/(Tau_j))))*Salcycl</f>
        <v>5.3504993289397583E-2</v>
      </c>
      <c r="P189" s="169">
        <f>(INDEX(Models!$BJ189:$BT189,,T189)*(1-R189)+INDEX(Models!$BJ189:$BT189,,T189+1)*R189-ERP_i)*Q189*Ramure*Pc/MaxiM</f>
        <v>4.3009961522490958E-3</v>
      </c>
      <c r="Q189" s="305">
        <f t="shared" si="51"/>
        <v>0.8</v>
      </c>
      <c r="R189" s="177">
        <f t="shared" si="52"/>
        <v>0.98382332977174225</v>
      </c>
      <c r="S189" s="809">
        <f t="shared" si="53"/>
        <v>0</v>
      </c>
      <c r="T189" s="176">
        <f t="shared" si="54"/>
        <v>6</v>
      </c>
      <c r="U189" s="251">
        <f t="shared" si="55"/>
        <v>0.98382332977174225</v>
      </c>
      <c r="V189" s="383">
        <f t="shared" si="56"/>
        <v>57.65436488350084</v>
      </c>
      <c r="W189" s="58"/>
      <c r="X189" s="157">
        <f t="shared" si="57"/>
        <v>43640</v>
      </c>
      <c r="Y189" s="385">
        <f t="shared" si="58"/>
        <v>37.219000000000001</v>
      </c>
      <c r="Z189" s="385">
        <f t="shared" si="59"/>
        <v>37.503311653618098</v>
      </c>
      <c r="AA189" s="386">
        <f t="shared" si="60"/>
        <v>39.623359222945169</v>
      </c>
      <c r="AB189" s="197">
        <f t="shared" si="61"/>
        <v>43640</v>
      </c>
      <c r="AC189" s="425">
        <f>IF(OR(t&lt;Tnet,NoTnet),'2018'!Resal_s+('2018'!Salim-'2018'!Resal_s)*(1-EXP(('2018'!Tnet_s-t)/'2018'!Tau_j)),Resal_s+(Salim-Resal_s)*(1-EXP((Tnet_s-t)/Tau_j)))*Salcycl</f>
        <v>5.3504993289397583E-2</v>
      </c>
      <c r="AD189" s="231">
        <f>(INDEX(Models!$BJ189:$BT189,,AH189)*(1-AF189)+INDEX(Models!$BJ189:$BT189,,AH189+1)*AF189-ERP_i)*AE189*Ramure*Pc/MaxiM</f>
        <v>4.3009961522490958E-3</v>
      </c>
      <c r="AE189" s="305">
        <f t="shared" si="62"/>
        <v>0.8</v>
      </c>
      <c r="AF189" s="177">
        <f t="shared" si="63"/>
        <v>0.98382332977174225</v>
      </c>
      <c r="AG189" s="176">
        <f t="shared" si="64"/>
        <v>0</v>
      </c>
      <c r="AH189" s="176">
        <f t="shared" si="65"/>
        <v>6</v>
      </c>
      <c r="AI189" s="225">
        <f t="shared" si="66"/>
        <v>0.98382332977174225</v>
      </c>
      <c r="AJ189" s="265" t="b">
        <f t="shared" si="67"/>
        <v>0</v>
      </c>
      <c r="AK189" s="265" t="b">
        <f t="shared" si="68"/>
        <v>1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6">
        <v>53.841999999999999</v>
      </c>
      <c r="C190" s="390"/>
      <c r="D190" s="393">
        <f t="shared" si="48"/>
        <v>54.254555418524156</v>
      </c>
      <c r="E190" s="385">
        <f t="shared" si="73"/>
        <v>57.330932003629897</v>
      </c>
      <c r="F190" s="385">
        <f t="shared" si="49"/>
        <v>57.557600167598451</v>
      </c>
      <c r="G190" s="110">
        <f t="shared" si="74"/>
        <v>0.93483797470474295</v>
      </c>
      <c r="H190" s="414" t="b">
        <f>Wh_hp&gt;='2018'!Maxi_hp</f>
        <v>1</v>
      </c>
      <c r="I190" s="390">
        <f>IF(H190,Wh_hp,'2018'!Maxi_hp)</f>
        <v>57.557600167598451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7.6040696553804077E-3</v>
      </c>
      <c r="M190" s="843"/>
      <c r="N190" s="843"/>
      <c r="O190" s="48">
        <f>IF(t&lt;Tnet,'2018'!Resal+('2018'!Salim-'2018'!Resal)*(1-EXP(('2018'!Tnet-t)/('2018'!Tau_j))),Resal+(Salim-Resal)*(1-EXP((Tnet-t)/(Tau_j))))*Salcycl</f>
        <v>5.365997861173722E-2</v>
      </c>
      <c r="P190" s="169">
        <f>(INDEX(Models!$BJ190:$BT190,,T190)*(1-R190)+INDEX(Models!$BJ190:$BT190,,T190+1)*R190-ERP_i)*Q190*Ramure*Pc/MaxiM</f>
        <v>4.3397537498477429E-3</v>
      </c>
      <c r="Q190" s="305">
        <f t="shared" si="51"/>
        <v>0.8</v>
      </c>
      <c r="R190" s="177">
        <f t="shared" si="52"/>
        <v>0.98948090664091337</v>
      </c>
      <c r="S190" s="809">
        <f t="shared" si="53"/>
        <v>0</v>
      </c>
      <c r="T190" s="176">
        <f t="shared" si="54"/>
        <v>6</v>
      </c>
      <c r="U190" s="251">
        <f t="shared" si="55"/>
        <v>0.98948090664091337</v>
      </c>
      <c r="V190" s="383">
        <f t="shared" si="56"/>
        <v>57.571783193413559</v>
      </c>
      <c r="W190" s="58"/>
      <c r="X190" s="157">
        <f t="shared" si="57"/>
        <v>43641</v>
      </c>
      <c r="Y190" s="385">
        <f t="shared" si="58"/>
        <v>53.841999999999999</v>
      </c>
      <c r="Z190" s="385">
        <f t="shared" si="59"/>
        <v>54.254555418524156</v>
      </c>
      <c r="AA190" s="386">
        <f t="shared" si="60"/>
        <v>57.330932003629897</v>
      </c>
      <c r="AB190" s="197">
        <f t="shared" si="61"/>
        <v>43641</v>
      </c>
      <c r="AC190" s="425">
        <f>IF(OR(t&lt;Tnet,NoTnet),'2018'!Resal_s+('2018'!Salim-'2018'!Resal_s)*(1-EXP(('2018'!Tnet_s-t)/'2018'!Tau_j)),Resal_s+(Salim-Resal_s)*(1-EXP((Tnet_s-t)/Tau_j)))*Salcycl</f>
        <v>5.365997861173722E-2</v>
      </c>
      <c r="AD190" s="231">
        <f>(INDEX(Models!$BJ190:$BT190,,AH190)*(1-AF190)+INDEX(Models!$BJ190:$BT190,,AH190+1)*AF190-ERP_i)*AE190*Ramure*Pc/MaxiM</f>
        <v>4.3397537498477429E-3</v>
      </c>
      <c r="AE190" s="305">
        <f t="shared" si="62"/>
        <v>0.8</v>
      </c>
      <c r="AF190" s="177">
        <f t="shared" si="63"/>
        <v>0.98948090664091337</v>
      </c>
      <c r="AG190" s="176">
        <f t="shared" si="64"/>
        <v>0</v>
      </c>
      <c r="AH190" s="176">
        <f t="shared" si="65"/>
        <v>6</v>
      </c>
      <c r="AI190" s="225">
        <f t="shared" si="66"/>
        <v>0.98948090664091337</v>
      </c>
      <c r="AJ190" s="265" t="b">
        <f t="shared" si="67"/>
        <v>0</v>
      </c>
      <c r="AK190" s="265" t="b">
        <f t="shared" si="68"/>
        <v>1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6">
        <v>55.500999999999998</v>
      </c>
      <c r="C191" s="390"/>
      <c r="D191" s="393">
        <f t="shared" si="48"/>
        <v>55.927568747824147</v>
      </c>
      <c r="E191" s="385">
        <f t="shared" si="73"/>
        <v>59.108430838738784</v>
      </c>
      <c r="F191" s="385">
        <f t="shared" si="49"/>
        <v>59.355416952943592</v>
      </c>
      <c r="G191" s="110">
        <f t="shared" si="74"/>
        <v>0.96526079564827905</v>
      </c>
      <c r="H191" s="414" t="b">
        <f>Wh_hp&gt;='2018'!Maxi_hp</f>
        <v>1</v>
      </c>
      <c r="I191" s="390">
        <f>IF(H191,Wh_hp,'2018'!Maxi_hp)</f>
        <v>59.355416952943592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7.6271641584767513E-3</v>
      </c>
      <c r="M191" s="843"/>
      <c r="N191" s="843"/>
      <c r="O191" s="48">
        <f>IF(t&lt;Tnet,'2018'!Resal+('2018'!Salim-'2018'!Resal)*(1-EXP(('2018'!Tnet-t)/('2018'!Tau_j))),Resal+(Salim-Resal)*(1-EXP((Tnet-t)/(Tau_j))))*Salcycl</f>
        <v>5.3814016812470465E-2</v>
      </c>
      <c r="P191" s="169">
        <f>(INDEX(Models!$BJ191:$BT191,,T191)*(1-R191)+INDEX(Models!$BJ191:$BT191,,T191+1)*R191-ERP_i)*Q191*Ramure*Pc/MaxiM</f>
        <v>4.3770514797712946E-3</v>
      </c>
      <c r="Q191" s="305">
        <f t="shared" si="51"/>
        <v>0.8</v>
      </c>
      <c r="R191" s="177">
        <f t="shared" si="52"/>
        <v>0.99506944144991205</v>
      </c>
      <c r="S191" s="809">
        <f t="shared" si="53"/>
        <v>0</v>
      </c>
      <c r="T191" s="176">
        <f t="shared" si="54"/>
        <v>6</v>
      </c>
      <c r="U191" s="251">
        <f t="shared" si="55"/>
        <v>0.99506944144991205</v>
      </c>
      <c r="V191" s="383">
        <f t="shared" si="56"/>
        <v>57.48598388570641</v>
      </c>
      <c r="W191" s="58"/>
      <c r="X191" s="157">
        <f t="shared" si="57"/>
        <v>43642</v>
      </c>
      <c r="Y191" s="385">
        <f t="shared" si="58"/>
        <v>55.500999999999998</v>
      </c>
      <c r="Z191" s="385">
        <f t="shared" si="59"/>
        <v>55.927568747824147</v>
      </c>
      <c r="AA191" s="386">
        <f t="shared" si="60"/>
        <v>59.108430838738784</v>
      </c>
      <c r="AB191" s="197">
        <f t="shared" si="61"/>
        <v>43642</v>
      </c>
      <c r="AC191" s="425">
        <f>IF(OR(t&lt;Tnet,NoTnet),'2018'!Resal_s+('2018'!Salim-'2018'!Resal_s)*(1-EXP(('2018'!Tnet_s-t)/'2018'!Tau_j)),Resal_s+(Salim-Resal_s)*(1-EXP((Tnet_s-t)/Tau_j)))*Salcycl</f>
        <v>5.3814016812470465E-2</v>
      </c>
      <c r="AD191" s="231">
        <f>(INDEX(Models!$BJ191:$BT191,,AH191)*(1-AF191)+INDEX(Models!$BJ191:$BT191,,AH191+1)*AF191-ERP_i)*AE191*Ramure*Pc/MaxiM</f>
        <v>4.3770514797712946E-3</v>
      </c>
      <c r="AE191" s="305">
        <f t="shared" si="62"/>
        <v>0.8</v>
      </c>
      <c r="AF191" s="177">
        <f t="shared" si="63"/>
        <v>0.99506944144991205</v>
      </c>
      <c r="AG191" s="176">
        <f t="shared" si="64"/>
        <v>0</v>
      </c>
      <c r="AH191" s="176">
        <f t="shared" si="65"/>
        <v>6</v>
      </c>
      <c r="AI191" s="225">
        <f t="shared" si="66"/>
        <v>0.99506944144991205</v>
      </c>
      <c r="AJ191" s="265" t="b">
        <f t="shared" si="67"/>
        <v>0</v>
      </c>
      <c r="AK191" s="265" t="b">
        <f t="shared" si="68"/>
        <v>1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6">
        <v>55.335999999999999</v>
      </c>
      <c r="C192" s="390"/>
      <c r="D192" s="393">
        <f t="shared" si="48"/>
        <v>55.762598270441046</v>
      </c>
      <c r="E192" s="385">
        <f t="shared" si="73"/>
        <v>58.943614645920114</v>
      </c>
      <c r="F192" s="385">
        <f t="shared" si="49"/>
        <v>59.191456400170118</v>
      </c>
      <c r="G192" s="110">
        <f t="shared" si="74"/>
        <v>0.96387414882391231</v>
      </c>
      <c r="H192" s="414" t="b">
        <f>Wh_hp&gt;='2018'!Maxi_hp</f>
        <v>1</v>
      </c>
      <c r="I192" s="390">
        <f>IF(H192,Wh_hp,'2018'!Maxi_hp)</f>
        <v>59.191456400170118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7.650258124130116E-3</v>
      </c>
      <c r="M192" s="843"/>
      <c r="N192" s="843"/>
      <c r="O192" s="48">
        <f>IF(t&lt;Tnet,'2018'!Resal+('2018'!Salim-'2018'!Resal)*(1-EXP(('2018'!Tnet-t)/('2018'!Tau_j))),Resal+(Salim-Resal)*(1-EXP((Tnet-t)/(Tau_j))))*Salcycl</f>
        <v>5.3967107286984957E-2</v>
      </c>
      <c r="P192" s="169">
        <f>(INDEX(Models!$BJ192:$BT192,,T192)*(1-R192)+INDEX(Models!$BJ192:$BT192,,T192+1)*R192-ERP_i)*Q192*Ramure*Pc/MaxiM</f>
        <v>4.413512596004544E-3</v>
      </c>
      <c r="Q192" s="305">
        <f t="shared" si="51"/>
        <v>0.8</v>
      </c>
      <c r="R192" s="177">
        <f t="shared" si="52"/>
        <v>5.855599511725984E-4</v>
      </c>
      <c r="S192" s="809">
        <f t="shared" si="53"/>
        <v>1</v>
      </c>
      <c r="T192" s="176">
        <f t="shared" si="54"/>
        <v>7</v>
      </c>
      <c r="U192" s="251">
        <f t="shared" si="55"/>
        <v>1.0005855599511726</v>
      </c>
      <c r="V192" s="383">
        <f t="shared" si="56"/>
        <v>57.396932735803261</v>
      </c>
      <c r="W192" s="58"/>
      <c r="X192" s="157">
        <f t="shared" si="57"/>
        <v>43643</v>
      </c>
      <c r="Y192" s="385">
        <f t="shared" si="58"/>
        <v>55.335999999999999</v>
      </c>
      <c r="Z192" s="385">
        <f t="shared" si="59"/>
        <v>55.762598270441046</v>
      </c>
      <c r="AA192" s="386">
        <f t="shared" si="60"/>
        <v>58.943614645920114</v>
      </c>
      <c r="AB192" s="197">
        <f t="shared" si="61"/>
        <v>43643</v>
      </c>
      <c r="AC192" s="425">
        <f>IF(OR(t&lt;Tnet,NoTnet),'2018'!Resal_s+('2018'!Salim-'2018'!Resal_s)*(1-EXP(('2018'!Tnet_s-t)/'2018'!Tau_j)),Resal_s+(Salim-Resal_s)*(1-EXP((Tnet_s-t)/Tau_j)))*Salcycl</f>
        <v>5.3967107286984957E-2</v>
      </c>
      <c r="AD192" s="231">
        <f>(INDEX(Models!$BJ192:$BT192,,AH192)*(1-AF192)+INDEX(Models!$BJ192:$BT192,,AH192+1)*AF192-ERP_i)*AE192*Ramure*Pc/MaxiM</f>
        <v>4.413512596004544E-3</v>
      </c>
      <c r="AE192" s="305">
        <f t="shared" si="62"/>
        <v>0.8</v>
      </c>
      <c r="AF192" s="177">
        <f t="shared" si="63"/>
        <v>5.855599511725984E-4</v>
      </c>
      <c r="AG192" s="176">
        <f t="shared" si="64"/>
        <v>1</v>
      </c>
      <c r="AH192" s="176">
        <f t="shared" si="65"/>
        <v>7</v>
      </c>
      <c r="AI192" s="225">
        <f t="shared" si="66"/>
        <v>1.0005855599511726</v>
      </c>
      <c r="AJ192" s="265" t="b">
        <f t="shared" si="67"/>
        <v>0</v>
      </c>
      <c r="AK192" s="265" t="b">
        <f t="shared" si="68"/>
        <v>1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6">
        <v>55.792999999999999</v>
      </c>
      <c r="C193" s="390"/>
      <c r="D193" s="393">
        <f t="shared" si="48"/>
        <v>56.224429815807305</v>
      </c>
      <c r="E193" s="385">
        <f t="shared" si="73"/>
        <v>59.441351276682127</v>
      </c>
      <c r="F193" s="385">
        <f t="shared" si="49"/>
        <v>59.69741705865998</v>
      </c>
      <c r="G193" s="110">
        <f t="shared" si="74"/>
        <v>0.97346493128724998</v>
      </c>
      <c r="H193" s="414" t="b">
        <f>Wh_hp&gt;='2018'!Maxi_hp</f>
        <v>1</v>
      </c>
      <c r="I193" s="390">
        <f>IF(H193,Wh_hp,'2018'!Maxi_hp)</f>
        <v>59.69741705865998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7.6733515523532692E-3</v>
      </c>
      <c r="M193" s="843"/>
      <c r="N193" s="843"/>
      <c r="O193" s="48">
        <f>IF(t&lt;Tnet,'2018'!Resal+('2018'!Salim-'2018'!Resal)*(1-EXP(('2018'!Tnet-t)/('2018'!Tau_j))),Resal+(Salim-Resal)*(1-EXP((Tnet-t)/(Tau_j))))*Salcycl</f>
        <v>5.4119251863925417E-2</v>
      </c>
      <c r="P193" s="169">
        <f>(INDEX(Models!$BJ193:$BT193,,T193)*(1-R193)+INDEX(Models!$BJ193:$BT193,,T193+1)*R193-ERP_i)*Q193*Ramure*Pc/MaxiM</f>
        <v>4.4573135942489574E-3</v>
      </c>
      <c r="Q193" s="305">
        <f t="shared" si="51"/>
        <v>0.8</v>
      </c>
      <c r="R193" s="177">
        <f t="shared" si="52"/>
        <v>6.0260953881681179E-3</v>
      </c>
      <c r="S193" s="809">
        <f t="shared" si="53"/>
        <v>1</v>
      </c>
      <c r="T193" s="176">
        <f t="shared" si="54"/>
        <v>7</v>
      </c>
      <c r="U193" s="251">
        <f t="shared" si="55"/>
        <v>1.0060260953881681</v>
      </c>
      <c r="V193" s="383">
        <f t="shared" si="56"/>
        <v>57.304160783678704</v>
      </c>
      <c r="W193" s="58"/>
      <c r="X193" s="157">
        <f t="shared" si="57"/>
        <v>43644</v>
      </c>
      <c r="Y193" s="385">
        <f t="shared" si="58"/>
        <v>55.792999999999999</v>
      </c>
      <c r="Z193" s="385">
        <f t="shared" si="59"/>
        <v>56.224429815807305</v>
      </c>
      <c r="AA193" s="386">
        <f t="shared" si="60"/>
        <v>59.441351276682127</v>
      </c>
      <c r="AB193" s="197">
        <f t="shared" si="61"/>
        <v>43644</v>
      </c>
      <c r="AC193" s="425">
        <f>IF(OR(t&lt;Tnet,NoTnet),'2018'!Resal_s+('2018'!Salim-'2018'!Resal_s)*(1-EXP(('2018'!Tnet_s-t)/'2018'!Tau_j)),Resal_s+(Salim-Resal_s)*(1-EXP((Tnet_s-t)/Tau_j)))*Salcycl</f>
        <v>5.4119251863925417E-2</v>
      </c>
      <c r="AD193" s="231">
        <f>(INDEX(Models!$BJ193:$BT193,,AH193)*(1-AF193)+INDEX(Models!$BJ193:$BT193,,AH193+1)*AF193-ERP_i)*AE193*Ramure*Pc/MaxiM</f>
        <v>4.4573135942489574E-3</v>
      </c>
      <c r="AE193" s="305">
        <f t="shared" si="62"/>
        <v>0.8</v>
      </c>
      <c r="AF193" s="177">
        <f t="shared" si="63"/>
        <v>6.0260953881681179E-3</v>
      </c>
      <c r="AG193" s="176">
        <f t="shared" si="64"/>
        <v>1</v>
      </c>
      <c r="AH193" s="176">
        <f t="shared" si="65"/>
        <v>7</v>
      </c>
      <c r="AI193" s="225">
        <f t="shared" si="66"/>
        <v>1.0060260953881681</v>
      </c>
      <c r="AJ193" s="265" t="b">
        <f t="shared" si="67"/>
        <v>0</v>
      </c>
      <c r="AK193" s="265" t="b">
        <f t="shared" si="68"/>
        <v>1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6">
        <v>53.042999999999999</v>
      </c>
      <c r="C194" s="390"/>
      <c r="D194" s="393">
        <f t="shared" si="48"/>
        <v>53.454408888250299</v>
      </c>
      <c r="E194" s="385">
        <f t="shared" si="73"/>
        <v>56.521876847510413</v>
      </c>
      <c r="F194" s="385">
        <f t="shared" si="49"/>
        <v>56.750661085147328</v>
      </c>
      <c r="G194" s="110">
        <f t="shared" si="74"/>
        <v>0.92675669402377903</v>
      </c>
      <c r="H194" s="414" t="b">
        <f>Wh_hp&gt;='2018'!Maxi_hp</f>
        <v>1</v>
      </c>
      <c r="I194" s="390">
        <f>IF(H194,Wh_hp,'2018'!Maxi_hp)</f>
        <v>56.750661085147328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7.6964444431585344E-3</v>
      </c>
      <c r="M194" s="843"/>
      <c r="N194" s="843"/>
      <c r="O194" s="48">
        <f>IF(t&lt;Tnet,'2018'!Resal+('2018'!Salim-'2018'!Resal)*(1-EXP(('2018'!Tnet-t)/('2018'!Tau_j))),Resal+(Salim-Resal)*(1-EXP((Tnet-t)/(Tau_j))))*Salcycl</f>
        <v>5.4270454739777887E-2</v>
      </c>
      <c r="P194" s="169">
        <f>(INDEX(Models!$BJ194:$BT194,,T194)*(1-R194)+INDEX(Models!$BJ194:$BT194,,T194+1)*R194-ERP_i)*Q194*Ramure*Pc/MaxiM</f>
        <v>4.4993777276346476E-3</v>
      </c>
      <c r="Q194" s="305">
        <f t="shared" si="51"/>
        <v>0.8</v>
      </c>
      <c r="R194" s="177">
        <f t="shared" si="52"/>
        <v>1.138809298629484E-2</v>
      </c>
      <c r="S194" s="809">
        <f t="shared" si="53"/>
        <v>1</v>
      </c>
      <c r="T194" s="176">
        <f t="shared" si="54"/>
        <v>7</v>
      </c>
      <c r="U194" s="251">
        <f t="shared" si="55"/>
        <v>1.0113880929862948</v>
      </c>
      <c r="V194" s="383">
        <f t="shared" si="56"/>
        <v>57.20819344381129</v>
      </c>
      <c r="W194" s="58"/>
      <c r="X194" s="157">
        <f t="shared" si="57"/>
        <v>43645</v>
      </c>
      <c r="Y194" s="385">
        <f t="shared" si="58"/>
        <v>53.042999999999999</v>
      </c>
      <c r="Z194" s="385">
        <f t="shared" si="59"/>
        <v>53.454408888250299</v>
      </c>
      <c r="AA194" s="386">
        <f t="shared" si="60"/>
        <v>56.521876847510413</v>
      </c>
      <c r="AB194" s="197">
        <f t="shared" si="61"/>
        <v>43645</v>
      </c>
      <c r="AC194" s="425">
        <f>IF(OR(t&lt;Tnet,NoTnet),'2018'!Resal_s+('2018'!Salim-'2018'!Resal_s)*(1-EXP(('2018'!Tnet_s-t)/'2018'!Tau_j)),Resal_s+(Salim-Resal_s)*(1-EXP((Tnet_s-t)/Tau_j)))*Salcycl</f>
        <v>5.4270454739777887E-2</v>
      </c>
      <c r="AD194" s="231">
        <f>(INDEX(Models!$BJ194:$BT194,,AH194)*(1-AF194)+INDEX(Models!$BJ194:$BT194,,AH194+1)*AF194-ERP_i)*AE194*Ramure*Pc/MaxiM</f>
        <v>4.4993777276346476E-3</v>
      </c>
      <c r="AE194" s="305">
        <f t="shared" si="62"/>
        <v>0.8</v>
      </c>
      <c r="AF194" s="177">
        <f t="shared" si="63"/>
        <v>1.138809298629484E-2</v>
      </c>
      <c r="AG194" s="176">
        <f t="shared" si="64"/>
        <v>1</v>
      </c>
      <c r="AH194" s="176">
        <f t="shared" si="65"/>
        <v>7</v>
      </c>
      <c r="AI194" s="225">
        <f t="shared" si="66"/>
        <v>1.0113880929862948</v>
      </c>
      <c r="AJ194" s="265" t="b">
        <f t="shared" si="67"/>
        <v>0</v>
      </c>
      <c r="AK194" s="265" t="b">
        <f t="shared" si="68"/>
        <v>1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6">
        <v>50.395000000000003</v>
      </c>
      <c r="C195" s="390"/>
      <c r="D195" s="393">
        <f t="shared" si="48"/>
        <v>50.787052520722476</v>
      </c>
      <c r="E195" s="385">
        <f t="shared" si="73"/>
        <v>53.709988917736112</v>
      </c>
      <c r="F195" s="385">
        <f t="shared" si="49"/>
        <v>53.913631634693168</v>
      </c>
      <c r="G195" s="110">
        <f t="shared" si="74"/>
        <v>0.88175944086717384</v>
      </c>
      <c r="H195" s="414" t="b">
        <f>Wh_hp&gt;='2018'!Maxi_hp</f>
        <v>1</v>
      </c>
      <c r="I195" s="390">
        <f>IF(H195,Wh_hp,'2018'!Maxi_hp)</f>
        <v>53.913631634693168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7.7195367965585682E-3</v>
      </c>
      <c r="M195" s="843"/>
      <c r="N195" s="843"/>
      <c r="O195" s="48">
        <f>IF(t&lt;Tnet,'2018'!Resal+('2018'!Salim-'2018'!Resal)*(1-EXP(('2018'!Tnet-t)/('2018'!Tau_j))),Resal+(Salim-Resal)*(1-EXP((Tnet-t)/(Tau_j))))*Salcycl</f>
        <v>5.4420722400268878E-2</v>
      </c>
      <c r="P195" s="169">
        <f>(INDEX(Models!$BJ195:$BT195,,T195)*(1-R195)+INDEX(Models!$BJ195:$BT195,,T195+1)*R195-ERP_i)*Q195*Ramure*Pc/MaxiM</f>
        <v>4.5396359623961751E-3</v>
      </c>
      <c r="Q195" s="305">
        <f t="shared" si="51"/>
        <v>0.8</v>
      </c>
      <c r="R195" s="177">
        <f t="shared" si="52"/>
        <v>1.6668813280961592E-2</v>
      </c>
      <c r="S195" s="809">
        <f t="shared" si="53"/>
        <v>1</v>
      </c>
      <c r="T195" s="176">
        <f t="shared" si="54"/>
        <v>7</v>
      </c>
      <c r="U195" s="251">
        <f t="shared" si="55"/>
        <v>1.0166688132809616</v>
      </c>
      <c r="V195" s="383">
        <f t="shared" si="56"/>
        <v>57.109035823888362</v>
      </c>
      <c r="W195" s="58"/>
      <c r="X195" s="157">
        <f t="shared" si="57"/>
        <v>43646</v>
      </c>
      <c r="Y195" s="385">
        <f t="shared" si="58"/>
        <v>50.395000000000003</v>
      </c>
      <c r="Z195" s="385">
        <f t="shared" si="59"/>
        <v>50.787052520722476</v>
      </c>
      <c r="AA195" s="386">
        <f t="shared" si="60"/>
        <v>53.709988917736112</v>
      </c>
      <c r="AB195" s="197">
        <f t="shared" si="61"/>
        <v>43646</v>
      </c>
      <c r="AC195" s="425">
        <f>IF(OR(t&lt;Tnet,NoTnet),'2018'!Resal_s+('2018'!Salim-'2018'!Resal_s)*(1-EXP(('2018'!Tnet_s-t)/'2018'!Tau_j)),Resal_s+(Salim-Resal_s)*(1-EXP((Tnet_s-t)/Tau_j)))*Salcycl</f>
        <v>5.4420722400268878E-2</v>
      </c>
      <c r="AD195" s="231">
        <f>(INDEX(Models!$BJ195:$BT195,,AH195)*(1-AF195)+INDEX(Models!$BJ195:$BT195,,AH195+1)*AF195-ERP_i)*AE195*Ramure*Pc/MaxiM</f>
        <v>4.5396359623961751E-3</v>
      </c>
      <c r="AE195" s="305">
        <f t="shared" si="62"/>
        <v>0.8</v>
      </c>
      <c r="AF195" s="177">
        <f t="shared" si="63"/>
        <v>1.6668813280961592E-2</v>
      </c>
      <c r="AG195" s="176">
        <f t="shared" si="64"/>
        <v>1</v>
      </c>
      <c r="AH195" s="176">
        <f t="shared" si="65"/>
        <v>7</v>
      </c>
      <c r="AI195" s="225">
        <f t="shared" si="66"/>
        <v>1.0166688132809616</v>
      </c>
      <c r="AJ195" s="265" t="b">
        <f t="shared" si="67"/>
        <v>0</v>
      </c>
      <c r="AK195" s="265" t="b">
        <f t="shared" si="68"/>
        <v>1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6">
        <v>18.343</v>
      </c>
      <c r="C196" s="390"/>
      <c r="D196" s="393">
        <f t="shared" si="48"/>
        <v>18.486131248742158</v>
      </c>
      <c r="E196" s="385">
        <f t="shared" si="73"/>
        <v>19.553147764443867</v>
      </c>
      <c r="F196" s="385">
        <f t="shared" si="49"/>
        <v>19.555931972993271</v>
      </c>
      <c r="G196" s="110">
        <f t="shared" si="74"/>
        <v>0.32034177789032164</v>
      </c>
      <c r="H196" s="414" t="b">
        <f>Wh_hp&gt;='2018'!Maxi_hp</f>
        <v>1</v>
      </c>
      <c r="I196" s="390">
        <f>IF(H196,Wh_hp,'2018'!Maxi_hp)</f>
        <v>19.555931972993271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7.742628612565805E-3</v>
      </c>
      <c r="M196" s="843"/>
      <c r="N196" s="843"/>
      <c r="O196" s="48">
        <f>IF(t&lt;Tnet,'2018'!Resal+('2018'!Salim-'2018'!Resal)*(1-EXP(('2018'!Tnet-t)/('2018'!Tau_j))),Resal+(Salim-Resal)*(1-EXP((Tnet-t)/(Tau_j))))*Salcycl</f>
        <v>5.4570063529208852E-2</v>
      </c>
      <c r="P196" s="169">
        <f>(INDEX(Models!$BJ196:$BT196,,T196)*(1-R196)+INDEX(Models!$BJ196:$BT196,,T196+1)*R196-ERP_i)*Q196*Ramure*Pc/MaxiM</f>
        <v>4.5780239979541061E-3</v>
      </c>
      <c r="Q196" s="305">
        <f t="shared" si="51"/>
        <v>0.8</v>
      </c>
      <c r="R196" s="177">
        <f t="shared" si="52"/>
        <v>2.1865734306093065E-2</v>
      </c>
      <c r="S196" s="809">
        <f t="shared" si="53"/>
        <v>1</v>
      </c>
      <c r="T196" s="176">
        <f t="shared" si="54"/>
        <v>7</v>
      </c>
      <c r="U196" s="251">
        <f t="shared" si="55"/>
        <v>1.0218657343060931</v>
      </c>
      <c r="V196" s="383">
        <f t="shared" si="56"/>
        <v>57.006692546166832</v>
      </c>
      <c r="W196" s="58"/>
      <c r="X196" s="157">
        <f t="shared" si="57"/>
        <v>43647</v>
      </c>
      <c r="Y196" s="385">
        <f t="shared" si="58"/>
        <v>18.343</v>
      </c>
      <c r="Z196" s="385">
        <f t="shared" si="59"/>
        <v>18.486131248742158</v>
      </c>
      <c r="AA196" s="386">
        <f t="shared" si="60"/>
        <v>19.553147764443867</v>
      </c>
      <c r="AB196" s="197">
        <f t="shared" si="61"/>
        <v>43647</v>
      </c>
      <c r="AC196" s="425">
        <f>IF(OR(t&lt;Tnet,NoTnet),'2018'!Resal_s+('2018'!Salim-'2018'!Resal_s)*(1-EXP(('2018'!Tnet_s-t)/'2018'!Tau_j)),Resal_s+(Salim-Resal_s)*(1-EXP((Tnet_s-t)/Tau_j)))*Salcycl</f>
        <v>5.4570063529208852E-2</v>
      </c>
      <c r="AD196" s="231">
        <f>(INDEX(Models!$BJ196:$BT196,,AH196)*(1-AF196)+INDEX(Models!$BJ196:$BT196,,AH196+1)*AF196-ERP_i)*AE196*Ramure*Pc/MaxiM</f>
        <v>4.5780239979541061E-3</v>
      </c>
      <c r="AE196" s="305">
        <f t="shared" si="62"/>
        <v>0.8</v>
      </c>
      <c r="AF196" s="177">
        <f t="shared" si="63"/>
        <v>2.1865734306093065E-2</v>
      </c>
      <c r="AG196" s="176">
        <f t="shared" si="64"/>
        <v>1</v>
      </c>
      <c r="AH196" s="176">
        <f t="shared" si="65"/>
        <v>7</v>
      </c>
      <c r="AI196" s="225">
        <f t="shared" si="66"/>
        <v>1.0218657343060931</v>
      </c>
      <c r="AJ196" s="265" t="b">
        <f t="shared" si="67"/>
        <v>0</v>
      </c>
      <c r="AK196" s="265" t="b">
        <f t="shared" si="68"/>
        <v>1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6">
        <v>31.757000000000001</v>
      </c>
      <c r="C197" s="390"/>
      <c r="D197" s="393">
        <f t="shared" si="48"/>
        <v>32.005546106024035</v>
      </c>
      <c r="E197" s="385">
        <f t="shared" si="73"/>
        <v>33.858216552830413</v>
      </c>
      <c r="F197" s="385">
        <f t="shared" si="49"/>
        <v>33.915923772787316</v>
      </c>
      <c r="G197" s="110">
        <f t="shared" si="74"/>
        <v>0.55647951218056646</v>
      </c>
      <c r="H197" s="414" t="b">
        <f>Wh_hp&gt;='2018'!Maxi_hp</f>
        <v>1</v>
      </c>
      <c r="I197" s="390">
        <f>IF(H197,Wh_hp,'2018'!Maxi_hp)</f>
        <v>33.915923772787316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7.7657198911926795E-3</v>
      </c>
      <c r="M197" s="843"/>
      <c r="N197" s="843"/>
      <c r="O197" s="48">
        <f>IF(t&lt;Tnet,'2018'!Resal+('2018'!Salim-'2018'!Resal)*(1-EXP(('2018'!Tnet-t)/('2018'!Tau_j))),Resal+(Salim-Resal)*(1-EXP((Tnet-t)/(Tau_j))))*Salcycl</f>
        <v>5.4718488905509108E-2</v>
      </c>
      <c r="P197" s="169">
        <f>(INDEX(Models!$BJ197:$BT197,,T197)*(1-R197)+INDEX(Models!$BJ197:$BT197,,T197+1)*R197-ERP_i)*Q197*Ramure*Pc/MaxiM</f>
        <v>4.6144823147115412E-3</v>
      </c>
      <c r="Q197" s="305">
        <f t="shared" si="51"/>
        <v>0.8</v>
      </c>
      <c r="R197" s="177">
        <f t="shared" si="52"/>
        <v>2.697655267528587E-2</v>
      </c>
      <c r="S197" s="809">
        <f t="shared" si="53"/>
        <v>1</v>
      </c>
      <c r="T197" s="176">
        <f t="shared" si="54"/>
        <v>7</v>
      </c>
      <c r="U197" s="251">
        <f t="shared" si="55"/>
        <v>1.0269765526752859</v>
      </c>
      <c r="V197" s="383">
        <f t="shared" si="56"/>
        <v>56.901167752295805</v>
      </c>
      <c r="W197" s="58"/>
      <c r="X197" s="157">
        <f t="shared" si="57"/>
        <v>43648</v>
      </c>
      <c r="Y197" s="385">
        <f t="shared" si="58"/>
        <v>31.756999999999998</v>
      </c>
      <c r="Z197" s="385">
        <f t="shared" si="59"/>
        <v>32.005546106024035</v>
      </c>
      <c r="AA197" s="386">
        <f t="shared" si="60"/>
        <v>33.858216552830413</v>
      </c>
      <c r="AB197" s="197">
        <f t="shared" si="61"/>
        <v>43648</v>
      </c>
      <c r="AC197" s="425">
        <f>IF(OR(t&lt;Tnet,NoTnet),'2018'!Resal_s+('2018'!Salim-'2018'!Resal_s)*(1-EXP(('2018'!Tnet_s-t)/'2018'!Tau_j)),Resal_s+(Salim-Resal_s)*(1-EXP((Tnet_s-t)/Tau_j)))*Salcycl</f>
        <v>5.4718488905509108E-2</v>
      </c>
      <c r="AD197" s="231">
        <f>(INDEX(Models!$BJ197:$BT197,,AH197)*(1-AF197)+INDEX(Models!$BJ197:$BT197,,AH197+1)*AF197-ERP_i)*AE197*Ramure*Pc/MaxiM</f>
        <v>4.6144823147115412E-3</v>
      </c>
      <c r="AE197" s="305">
        <f t="shared" si="62"/>
        <v>0.8</v>
      </c>
      <c r="AF197" s="177">
        <f t="shared" si="63"/>
        <v>2.697655267528587E-2</v>
      </c>
      <c r="AG197" s="176">
        <f t="shared" si="64"/>
        <v>1</v>
      </c>
      <c r="AH197" s="176">
        <f t="shared" si="65"/>
        <v>7</v>
      </c>
      <c r="AI197" s="225">
        <f t="shared" si="66"/>
        <v>1.0269765526752859</v>
      </c>
      <c r="AJ197" s="265" t="b">
        <f t="shared" si="67"/>
        <v>0</v>
      </c>
      <c r="AK197" s="265" t="b">
        <f t="shared" si="68"/>
        <v>1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6">
        <v>48.45</v>
      </c>
      <c r="C198" s="390"/>
      <c r="D198" s="393">
        <f t="shared" si="48"/>
        <v>48.830330195009026</v>
      </c>
      <c r="E198" s="385">
        <f t="shared" si="73"/>
        <v>51.664981662140079</v>
      </c>
      <c r="F198" s="385">
        <f t="shared" si="49"/>
        <v>51.855426044960964</v>
      </c>
      <c r="G198" s="110">
        <f t="shared" si="74"/>
        <v>0.85227012437363336</v>
      </c>
      <c r="H198" s="414" t="b">
        <f>Wh_hp&gt;='2018'!Maxi_hp</f>
        <v>1</v>
      </c>
      <c r="I198" s="390">
        <f>IF(H198,Wh_hp,'2018'!Maxi_hp)</f>
        <v>51.855426044960964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7.788810632451848E-3</v>
      </c>
      <c r="M198" s="843"/>
      <c r="N198" s="843"/>
      <c r="O198" s="48">
        <f>IF(t&lt;Tnet,'2018'!Resal+('2018'!Salim-'2018'!Resal)*(1-EXP(('2018'!Tnet-t)/('2018'!Tau_j))),Resal+(Salim-Resal)*(1-EXP((Tnet-t)/(Tau_j))))*Salcycl</f>
        <v>5.4866011289195417E-2</v>
      </c>
      <c r="P198" s="169">
        <f>(INDEX(Models!$BJ198:$BT198,,T198)*(1-R198)+INDEX(Models!$BJ198:$BT198,,T198+1)*R198-ERP_i)*Q198*Ramure*Pc/MaxiM</f>
        <v>4.6479793328757565E-3</v>
      </c>
      <c r="Q198" s="305">
        <f t="shared" si="51"/>
        <v>0.8</v>
      </c>
      <c r="R198" s="177">
        <f t="shared" si="52"/>
        <v>3.1999183596041592E-2</v>
      </c>
      <c r="S198" s="809">
        <f t="shared" si="53"/>
        <v>1</v>
      </c>
      <c r="T198" s="176">
        <f t="shared" si="54"/>
        <v>7</v>
      </c>
      <c r="U198" s="251">
        <f t="shared" si="55"/>
        <v>1.0319991835960416</v>
      </c>
      <c r="V198" s="383">
        <f t="shared" si="56"/>
        <v>56.792520853145035</v>
      </c>
      <c r="W198" s="58"/>
      <c r="X198" s="157">
        <f t="shared" si="57"/>
        <v>43649</v>
      </c>
      <c r="Y198" s="385">
        <f t="shared" si="58"/>
        <v>48.45</v>
      </c>
      <c r="Z198" s="385">
        <f t="shared" si="59"/>
        <v>48.830330195009026</v>
      </c>
      <c r="AA198" s="386">
        <f t="shared" si="60"/>
        <v>51.664981662140079</v>
      </c>
      <c r="AB198" s="197">
        <f t="shared" si="61"/>
        <v>43649</v>
      </c>
      <c r="AC198" s="425">
        <f>IF(OR(t&lt;Tnet,NoTnet),'2018'!Resal_s+('2018'!Salim-'2018'!Resal_s)*(1-EXP(('2018'!Tnet_s-t)/'2018'!Tau_j)),Resal_s+(Salim-Resal_s)*(1-EXP((Tnet_s-t)/Tau_j)))*Salcycl</f>
        <v>5.4866011289195417E-2</v>
      </c>
      <c r="AD198" s="231">
        <f>(INDEX(Models!$BJ198:$BT198,,AH198)*(1-AF198)+INDEX(Models!$BJ198:$BT198,,AH198+1)*AF198-ERP_i)*AE198*Ramure*Pc/MaxiM</f>
        <v>4.6479793328757565E-3</v>
      </c>
      <c r="AE198" s="305">
        <f t="shared" si="62"/>
        <v>0.8</v>
      </c>
      <c r="AF198" s="177">
        <f t="shared" si="63"/>
        <v>3.1999183596041592E-2</v>
      </c>
      <c r="AG198" s="176">
        <f t="shared" si="64"/>
        <v>1</v>
      </c>
      <c r="AH198" s="176">
        <f t="shared" si="65"/>
        <v>7</v>
      </c>
      <c r="AI198" s="225">
        <f t="shared" si="66"/>
        <v>1.0319991835960416</v>
      </c>
      <c r="AJ198" s="265" t="b">
        <f t="shared" si="67"/>
        <v>0</v>
      </c>
      <c r="AK198" s="265" t="b">
        <f t="shared" si="68"/>
        <v>1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6">
        <v>54.118000000000002</v>
      </c>
      <c r="C199" s="390"/>
      <c r="D199" s="393">
        <f t="shared" si="48"/>
        <v>54.544093046084974</v>
      </c>
      <c r="E199" s="385">
        <f t="shared" si="73"/>
        <v>57.719389338544659</v>
      </c>
      <c r="F199" s="385">
        <f t="shared" si="49"/>
        <v>57.973124882145292</v>
      </c>
      <c r="G199" s="110">
        <f t="shared" si="74"/>
        <v>0.95449684499325749</v>
      </c>
      <c r="H199" s="414" t="b">
        <f>Wh_hp&gt;='2018'!Maxi_hp</f>
        <v>1</v>
      </c>
      <c r="I199" s="390">
        <f>IF(H199,Wh_hp,'2018'!Maxi_hp)</f>
        <v>57.973124882145292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7.8119008363556341E-3</v>
      </c>
      <c r="M199" s="843"/>
      <c r="N199" s="843"/>
      <c r="O199" s="48">
        <f>IF(t&lt;Tnet,'2018'!Resal+('2018'!Salim-'2018'!Resal)*(1-EXP(('2018'!Tnet-t)/('2018'!Tau_j))),Resal+(Salim-Resal)*(1-EXP((Tnet-t)/(Tau_j))))*Salcycl</f>
        <v>5.501264529732721E-2</v>
      </c>
      <c r="P199" s="169">
        <f>(INDEX(Models!$BJ199:$BT199,,T199)*(1-R199)+INDEX(Models!$BJ199:$BT199,,T199+1)*R199-ERP_i)*Q199*Ramure*Pc/MaxiM</f>
        <v>4.6789974601266363E-3</v>
      </c>
      <c r="Q199" s="305">
        <f t="shared" si="51"/>
        <v>0.8</v>
      </c>
      <c r="R199" s="177">
        <f t="shared" si="52"/>
        <v>3.6931759864790026E-2</v>
      </c>
      <c r="S199" s="809">
        <f t="shared" si="53"/>
        <v>1</v>
      </c>
      <c r="T199" s="176">
        <f t="shared" si="54"/>
        <v>7</v>
      </c>
      <c r="U199" s="251">
        <f t="shared" si="55"/>
        <v>1.03693175986479</v>
      </c>
      <c r="V199" s="383">
        <f t="shared" si="56"/>
        <v>56.680724420461026</v>
      </c>
      <c r="W199" s="58"/>
      <c r="X199" s="157">
        <f t="shared" si="57"/>
        <v>43650</v>
      </c>
      <c r="Y199" s="385">
        <f t="shared" si="58"/>
        <v>54.118000000000002</v>
      </c>
      <c r="Z199" s="385">
        <f t="shared" si="59"/>
        <v>54.544093046084974</v>
      </c>
      <c r="AA199" s="386">
        <f t="shared" si="60"/>
        <v>57.719389338544659</v>
      </c>
      <c r="AB199" s="197">
        <f t="shared" si="61"/>
        <v>43650</v>
      </c>
      <c r="AC199" s="425">
        <f>IF(OR(t&lt;Tnet,NoTnet),'2018'!Resal_s+('2018'!Salim-'2018'!Resal_s)*(1-EXP(('2018'!Tnet_s-t)/'2018'!Tau_j)),Resal_s+(Salim-Resal_s)*(1-EXP((Tnet_s-t)/Tau_j)))*Salcycl</f>
        <v>5.501264529732721E-2</v>
      </c>
      <c r="AD199" s="231">
        <f>(INDEX(Models!$BJ199:$BT199,,AH199)*(1-AF199)+INDEX(Models!$BJ199:$BT199,,AH199+1)*AF199-ERP_i)*AE199*Ramure*Pc/MaxiM</f>
        <v>4.6789974601266363E-3</v>
      </c>
      <c r="AE199" s="305">
        <f t="shared" si="62"/>
        <v>0.8</v>
      </c>
      <c r="AF199" s="177">
        <f t="shared" si="63"/>
        <v>3.6931759864790026E-2</v>
      </c>
      <c r="AG199" s="176">
        <f t="shared" si="64"/>
        <v>1</v>
      </c>
      <c r="AH199" s="176">
        <f t="shared" si="65"/>
        <v>7</v>
      </c>
      <c r="AI199" s="225">
        <f t="shared" si="66"/>
        <v>1.03693175986479</v>
      </c>
      <c r="AJ199" s="265" t="b">
        <f t="shared" si="67"/>
        <v>0</v>
      </c>
      <c r="AK199" s="265" t="b">
        <f t="shared" si="68"/>
        <v>1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6">
        <v>52.238999999999997</v>
      </c>
      <c r="C200" s="390"/>
      <c r="D200" s="393">
        <f t="shared" si="48"/>
        <v>52.651524192008473</v>
      </c>
      <c r="E200" s="385">
        <f t="shared" si="73"/>
        <v>55.725239656230329</v>
      </c>
      <c r="F200" s="385">
        <f t="shared" si="49"/>
        <v>55.959884864116098</v>
      </c>
      <c r="G200" s="110">
        <f t="shared" si="74"/>
        <v>0.9230318119250257</v>
      </c>
      <c r="H200" s="414" t="b">
        <f>Wh_hp&gt;='2018'!Maxi_hp</f>
        <v>1</v>
      </c>
      <c r="I200" s="390">
        <f>IF(H200,Wh_hp,'2018'!Maxi_hp)</f>
        <v>55.959884864116098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7.8349905029166944E-3</v>
      </c>
      <c r="M200" s="843"/>
      <c r="N200" s="843"/>
      <c r="O200" s="48">
        <f>IF(t&lt;Tnet,'2018'!Resal+('2018'!Salim-'2018'!Resal)*(1-EXP(('2018'!Tnet-t)/('2018'!Tau_j))),Resal+(Salim-Resal)*(1-EXP((Tnet-t)/(Tau_j))))*Salcycl</f>
        <v>5.5158407270810207E-2</v>
      </c>
      <c r="P200" s="169">
        <f>(INDEX(Models!$BJ200:$BT200,,T200)*(1-R200)+INDEX(Models!$BJ200:$BT200,,T200+1)*R200-ERP_i)*Q200*Ramure*Pc/MaxiM</f>
        <v>4.7074994969466665E-3</v>
      </c>
      <c r="Q200" s="305">
        <f t="shared" si="51"/>
        <v>0.8</v>
      </c>
      <c r="R200" s="177">
        <f t="shared" si="52"/>
        <v>4.1772629896758673E-2</v>
      </c>
      <c r="S200" s="809">
        <f t="shared" si="53"/>
        <v>1</v>
      </c>
      <c r="T200" s="176">
        <f t="shared" si="54"/>
        <v>7</v>
      </c>
      <c r="U200" s="251">
        <f t="shared" si="55"/>
        <v>1.0417726298967587</v>
      </c>
      <c r="V200" s="383">
        <f t="shared" si="56"/>
        <v>56.565780600665754</v>
      </c>
      <c r="W200" s="58"/>
      <c r="X200" s="157">
        <f t="shared" si="57"/>
        <v>43651</v>
      </c>
      <c r="Y200" s="385">
        <f t="shared" si="58"/>
        <v>52.238999999999997</v>
      </c>
      <c r="Z200" s="385">
        <f t="shared" si="59"/>
        <v>52.651524192008473</v>
      </c>
      <c r="AA200" s="386">
        <f t="shared" si="60"/>
        <v>55.725239656230329</v>
      </c>
      <c r="AB200" s="197">
        <f t="shared" si="61"/>
        <v>43651</v>
      </c>
      <c r="AC200" s="425">
        <f>IF(OR(t&lt;Tnet,NoTnet),'2018'!Resal_s+('2018'!Salim-'2018'!Resal_s)*(1-EXP(('2018'!Tnet_s-t)/'2018'!Tau_j)),Resal_s+(Salim-Resal_s)*(1-EXP((Tnet_s-t)/Tau_j)))*Salcycl</f>
        <v>5.5158407270810207E-2</v>
      </c>
      <c r="AD200" s="231">
        <f>(INDEX(Models!$BJ200:$BT200,,AH200)*(1-AF200)+INDEX(Models!$BJ200:$BT200,,AH200+1)*AF200-ERP_i)*AE200*Ramure*Pc/MaxiM</f>
        <v>4.7074994969466665E-3</v>
      </c>
      <c r="AE200" s="305">
        <f t="shared" si="62"/>
        <v>0.8</v>
      </c>
      <c r="AF200" s="177">
        <f t="shared" si="63"/>
        <v>4.1772629896758673E-2</v>
      </c>
      <c r="AG200" s="176">
        <f t="shared" si="64"/>
        <v>1</v>
      </c>
      <c r="AH200" s="176">
        <f t="shared" si="65"/>
        <v>7</v>
      </c>
      <c r="AI200" s="225">
        <f t="shared" si="66"/>
        <v>1.0417726298967587</v>
      </c>
      <c r="AJ200" s="265" t="b">
        <f t="shared" si="67"/>
        <v>0</v>
      </c>
      <c r="AK200" s="265" t="b">
        <f t="shared" si="68"/>
        <v>1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6">
        <v>50.734999999999999</v>
      </c>
      <c r="C201" s="390"/>
      <c r="D201" s="393">
        <f t="shared" si="48"/>
        <v>51.136837339953523</v>
      </c>
      <c r="E201" s="385">
        <f t="shared" si="73"/>
        <v>54.130429543278694</v>
      </c>
      <c r="F201" s="385">
        <f t="shared" si="49"/>
        <v>54.350500616280897</v>
      </c>
      <c r="G201" s="110">
        <f t="shared" si="74"/>
        <v>0.8981791396066785</v>
      </c>
      <c r="H201" s="414" t="b">
        <f>Wh_hp&gt;='2018'!Maxi_hp</f>
        <v>1</v>
      </c>
      <c r="I201" s="390">
        <f>IF(H201,Wh_hp,'2018'!Maxi_hp)</f>
        <v>54.350500616280897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7.8580796321474633E-3</v>
      </c>
      <c r="M201" s="843"/>
      <c r="N201" s="843"/>
      <c r="O201" s="48">
        <f>IF(t&lt;Tnet,'2018'!Resal+('2018'!Salim-'2018'!Resal)*(1-EXP(('2018'!Tnet-t)/('2018'!Tau_j))),Resal+(Salim-Resal)*(1-EXP((Tnet-t)/(Tau_j))))*Salcycl</f>
        <v>5.5303315133158483E-2</v>
      </c>
      <c r="P201" s="169">
        <f>(INDEX(Models!$BJ201:$BT201,,T201)*(1-R201)+INDEX(Models!$BJ201:$BT201,,T201+1)*R201-ERP_i)*Q201*Ramure*Pc/MaxiM</f>
        <v>4.733452624431222E-3</v>
      </c>
      <c r="Q201" s="305">
        <f t="shared" si="51"/>
        <v>0.8</v>
      </c>
      <c r="R201" s="177">
        <f t="shared" si="52"/>
        <v>4.6520354850110079E-2</v>
      </c>
      <c r="S201" s="809">
        <f t="shared" si="53"/>
        <v>1</v>
      </c>
      <c r="T201" s="176">
        <f t="shared" si="54"/>
        <v>7</v>
      </c>
      <c r="U201" s="251">
        <f t="shared" si="55"/>
        <v>1.0465203548501101</v>
      </c>
      <c r="V201" s="383">
        <f t="shared" si="56"/>
        <v>56.447691119475586</v>
      </c>
      <c r="W201" s="58"/>
      <c r="X201" s="157">
        <f t="shared" si="57"/>
        <v>43652</v>
      </c>
      <c r="Y201" s="385">
        <f t="shared" si="58"/>
        <v>50.734999999999999</v>
      </c>
      <c r="Z201" s="385">
        <f t="shared" si="59"/>
        <v>51.136837339953523</v>
      </c>
      <c r="AA201" s="386">
        <f t="shared" si="60"/>
        <v>54.130429543278694</v>
      </c>
      <c r="AB201" s="197">
        <f t="shared" si="61"/>
        <v>43652</v>
      </c>
      <c r="AC201" s="425">
        <f>IF(OR(t&lt;Tnet,NoTnet),'2018'!Resal_s+('2018'!Salim-'2018'!Resal_s)*(1-EXP(('2018'!Tnet_s-t)/'2018'!Tau_j)),Resal_s+(Salim-Resal_s)*(1-EXP((Tnet_s-t)/Tau_j)))*Salcycl</f>
        <v>5.5303315133158483E-2</v>
      </c>
      <c r="AD201" s="231">
        <f>(INDEX(Models!$BJ201:$BT201,,AH201)*(1-AF201)+INDEX(Models!$BJ201:$BT201,,AH201+1)*AF201-ERP_i)*AE201*Ramure*Pc/MaxiM</f>
        <v>4.733452624431222E-3</v>
      </c>
      <c r="AE201" s="305">
        <f t="shared" si="62"/>
        <v>0.8</v>
      </c>
      <c r="AF201" s="177">
        <f t="shared" si="63"/>
        <v>4.6520354850110079E-2</v>
      </c>
      <c r="AG201" s="176">
        <f t="shared" si="64"/>
        <v>1</v>
      </c>
      <c r="AH201" s="176">
        <f t="shared" si="65"/>
        <v>7</v>
      </c>
      <c r="AI201" s="225">
        <f t="shared" si="66"/>
        <v>1.0465203548501101</v>
      </c>
      <c r="AJ201" s="265" t="b">
        <f t="shared" si="67"/>
        <v>0</v>
      </c>
      <c r="AK201" s="265" t="b">
        <f t="shared" si="68"/>
        <v>1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6">
        <v>50.954999999999998</v>
      </c>
      <c r="C202" s="390"/>
      <c r="D202" s="393">
        <f t="shared" si="48"/>
        <v>51.359775026937193</v>
      </c>
      <c r="E202" s="385">
        <f t="shared" si="73"/>
        <v>54.374710722956927</v>
      </c>
      <c r="F202" s="385">
        <f t="shared" si="49"/>
        <v>54.599046863417513</v>
      </c>
      <c r="G202" s="110">
        <f t="shared" si="74"/>
        <v>0.90404839095853207</v>
      </c>
      <c r="H202" s="414" t="b">
        <f>Wh_hp&gt;='2018'!Maxi_hp</f>
        <v>1</v>
      </c>
      <c r="I202" s="390">
        <f>IF(H202,Wh_hp,'2018'!Maxi_hp)</f>
        <v>54.599046863417513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7.8811682240604863E-3</v>
      </c>
      <c r="M202" s="843"/>
      <c r="N202" s="843"/>
      <c r="O202" s="48">
        <f>IF(t&lt;Tnet,'2018'!Resal+('2018'!Salim-'2018'!Resal)*(1-EXP(('2018'!Tnet-t)/('2018'!Tau_j))),Resal+(Salim-Resal)*(1-EXP((Tnet-t)/(Tau_j))))*Salcycl</f>
        <v>5.5447388242321878E-2</v>
      </c>
      <c r="P202" s="169">
        <f>(INDEX(Models!$BJ202:$BT202,,T202)*(1-R202)+INDEX(Models!$BJ202:$BT202,,T202+1)*R202-ERP_i)*Q202*Ramure*Pc/MaxiM</f>
        <v>4.7568282285239023E-3</v>
      </c>
      <c r="Q202" s="305">
        <f t="shared" si="51"/>
        <v>0.8</v>
      </c>
      <c r="R202" s="177">
        <f t="shared" si="52"/>
        <v>5.1173704908157536E-2</v>
      </c>
      <c r="S202" s="809">
        <f t="shared" si="53"/>
        <v>1</v>
      </c>
      <c r="T202" s="176">
        <f t="shared" si="54"/>
        <v>7</v>
      </c>
      <c r="U202" s="251">
        <f t="shared" si="55"/>
        <v>1.0511737049081575</v>
      </c>
      <c r="V202" s="383">
        <f t="shared" si="56"/>
        <v>56.326457301402527</v>
      </c>
      <c r="W202" s="58"/>
      <c r="X202" s="157">
        <f t="shared" si="57"/>
        <v>43653</v>
      </c>
      <c r="Y202" s="385">
        <f t="shared" si="58"/>
        <v>50.954999999999998</v>
      </c>
      <c r="Z202" s="385">
        <f t="shared" si="59"/>
        <v>51.359775026937193</v>
      </c>
      <c r="AA202" s="386">
        <f t="shared" si="60"/>
        <v>54.374710722956927</v>
      </c>
      <c r="AB202" s="197">
        <f t="shared" si="61"/>
        <v>43653</v>
      </c>
      <c r="AC202" s="425">
        <f>IF(OR(t&lt;Tnet,NoTnet),'2018'!Resal_s+('2018'!Salim-'2018'!Resal_s)*(1-EXP(('2018'!Tnet_s-t)/'2018'!Tau_j)),Resal_s+(Salim-Resal_s)*(1-EXP((Tnet_s-t)/Tau_j)))*Salcycl</f>
        <v>5.5447388242321878E-2</v>
      </c>
      <c r="AD202" s="231">
        <f>(INDEX(Models!$BJ202:$BT202,,AH202)*(1-AF202)+INDEX(Models!$BJ202:$BT202,,AH202+1)*AF202-ERP_i)*AE202*Ramure*Pc/MaxiM</f>
        <v>4.7568282285239023E-3</v>
      </c>
      <c r="AE202" s="305">
        <f t="shared" si="62"/>
        <v>0.8</v>
      </c>
      <c r="AF202" s="177">
        <f t="shared" si="63"/>
        <v>5.1173704908157536E-2</v>
      </c>
      <c r="AG202" s="176">
        <f t="shared" si="64"/>
        <v>1</v>
      </c>
      <c r="AH202" s="176">
        <f t="shared" si="65"/>
        <v>7</v>
      </c>
      <c r="AI202" s="225">
        <f t="shared" si="66"/>
        <v>1.0511737049081575</v>
      </c>
      <c r="AJ202" s="265" t="b">
        <f t="shared" si="67"/>
        <v>0</v>
      </c>
      <c r="AK202" s="265" t="b">
        <f t="shared" si="68"/>
        <v>1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6">
        <v>32.588999999999999</v>
      </c>
      <c r="C203" s="390"/>
      <c r="D203" s="393">
        <f t="shared" si="48"/>
        <v>32.848644101384103</v>
      </c>
      <c r="E203" s="385">
        <f t="shared" si="73"/>
        <v>34.782209648042922</v>
      </c>
      <c r="F203" s="385">
        <f t="shared" si="49"/>
        <v>34.84877233975152</v>
      </c>
      <c r="G203" s="110">
        <f t="shared" si="74"/>
        <v>0.57818803630845284</v>
      </c>
      <c r="H203" s="414" t="b">
        <f>Wh_hp&gt;='2018'!Maxi_hp</f>
        <v>1</v>
      </c>
      <c r="I203" s="390">
        <f>IF(H203,Wh_hp,'2018'!Maxi_hp)</f>
        <v>34.84877233975152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7.904256278668309E-3</v>
      </c>
      <c r="M203" s="843"/>
      <c r="N203" s="843"/>
      <c r="O203" s="48">
        <f>IF(t&lt;Tnet,'2018'!Resal+('2018'!Salim-'2018'!Resal)*(1-EXP(('2018'!Tnet-t)/('2018'!Tau_j))),Resal+(Salim-Resal)*(1-EXP((Tnet-t)/(Tau_j))))*Salcycl</f>
        <v>5.5590647236743722E-2</v>
      </c>
      <c r="P203" s="169">
        <f>(INDEX(Models!$BJ203:$BT203,,T203)*(1-R203)+INDEX(Models!$BJ203:$BT203,,T203+1)*R203-ERP_i)*Q203*Ramure*Pc/MaxiM</f>
        <v>4.7776016965422261E-3</v>
      </c>
      <c r="Q203" s="305">
        <f t="shared" si="51"/>
        <v>0.8</v>
      </c>
      <c r="R203" s="177">
        <f t="shared" si="52"/>
        <v>5.5731654786880469E-2</v>
      </c>
      <c r="S203" s="809">
        <f t="shared" si="53"/>
        <v>1</v>
      </c>
      <c r="T203" s="176">
        <f t="shared" si="54"/>
        <v>7</v>
      </c>
      <c r="U203" s="251">
        <f t="shared" si="55"/>
        <v>1.0557316547868805</v>
      </c>
      <c r="V203" s="383">
        <f t="shared" si="56"/>
        <v>56.202080098172893</v>
      </c>
      <c r="W203" s="58"/>
      <c r="X203" s="157">
        <f t="shared" si="57"/>
        <v>43654</v>
      </c>
      <c r="Y203" s="385">
        <f t="shared" si="58"/>
        <v>32.588999999999999</v>
      </c>
      <c r="Z203" s="385">
        <f t="shared" si="59"/>
        <v>32.848644101384103</v>
      </c>
      <c r="AA203" s="386">
        <f t="shared" si="60"/>
        <v>34.782209648042922</v>
      </c>
      <c r="AB203" s="197">
        <f t="shared" si="61"/>
        <v>43654</v>
      </c>
      <c r="AC203" s="425">
        <f>IF(OR(t&lt;Tnet,NoTnet),'2018'!Resal_s+('2018'!Salim-'2018'!Resal_s)*(1-EXP(('2018'!Tnet_s-t)/'2018'!Tau_j)),Resal_s+(Salim-Resal_s)*(1-EXP((Tnet_s-t)/Tau_j)))*Salcycl</f>
        <v>5.5590647236743722E-2</v>
      </c>
      <c r="AD203" s="231">
        <f>(INDEX(Models!$BJ203:$BT203,,AH203)*(1-AF203)+INDEX(Models!$BJ203:$BT203,,AH203+1)*AF203-ERP_i)*AE203*Ramure*Pc/MaxiM</f>
        <v>4.7776016965422261E-3</v>
      </c>
      <c r="AE203" s="305">
        <f t="shared" si="62"/>
        <v>0.8</v>
      </c>
      <c r="AF203" s="177">
        <f t="shared" si="63"/>
        <v>5.5731654786880469E-2</v>
      </c>
      <c r="AG203" s="176">
        <f t="shared" si="64"/>
        <v>1</v>
      </c>
      <c r="AH203" s="176">
        <f t="shared" si="65"/>
        <v>7</v>
      </c>
      <c r="AI203" s="225">
        <f t="shared" si="66"/>
        <v>1.0557316547868805</v>
      </c>
      <c r="AJ203" s="265" t="b">
        <f t="shared" si="67"/>
        <v>0</v>
      </c>
      <c r="AK203" s="265" t="b">
        <f t="shared" si="68"/>
        <v>1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6">
        <v>19.640999999999998</v>
      </c>
      <c r="C204" s="390"/>
      <c r="D204" s="393">
        <f t="shared" si="48"/>
        <v>19.797945117399632</v>
      </c>
      <c r="E204" s="385">
        <f t="shared" si="73"/>
        <v>20.966471882418251</v>
      </c>
      <c r="F204" s="385">
        <f t="shared" si="49"/>
        <v>20.973694691467195</v>
      </c>
      <c r="G204" s="110">
        <f t="shared" si="74"/>
        <v>0.34870608592532037</v>
      </c>
      <c r="H204" s="414" t="b">
        <f>Wh_hp&gt;='2018'!Maxi_hp</f>
        <v>1</v>
      </c>
      <c r="I204" s="390">
        <f>IF(H204,Wh_hp,'2018'!Maxi_hp)</f>
        <v>20.973694691467195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7.9273437959832549E-3</v>
      </c>
      <c r="M204" s="843"/>
      <c r="N204" s="843"/>
      <c r="O204" s="48">
        <f>IF(t&lt;Tnet,'2018'!Resal+('2018'!Salim-'2018'!Resal)*(1-EXP(('2018'!Tnet-t)/('2018'!Tau_j))),Resal+(Salim-Resal)*(1-EXP((Tnet-t)/(Tau_j))))*Salcycl</f>
        <v>5.573311387685146E-2</v>
      </c>
      <c r="P204" s="169">
        <f>(INDEX(Models!$BJ204:$BT204,,T204)*(1-R204)+INDEX(Models!$BJ204:$BT204,,T204+1)*R204-ERP_i)*Q204*Ramure*Pc/MaxiM</f>
        <v>4.7957521901533639E-3</v>
      </c>
      <c r="Q204" s="305">
        <f t="shared" si="51"/>
        <v>0.8</v>
      </c>
      <c r="R204" s="177">
        <f t="shared" si="52"/>
        <v>6.0193378537422904E-2</v>
      </c>
      <c r="S204" s="809">
        <f t="shared" si="53"/>
        <v>1</v>
      </c>
      <c r="T204" s="176">
        <f t="shared" si="54"/>
        <v>7</v>
      </c>
      <c r="U204" s="251">
        <f t="shared" si="55"/>
        <v>1.0601933785374229</v>
      </c>
      <c r="V204" s="383">
        <f t="shared" si="56"/>
        <v>56.074560107635008</v>
      </c>
      <c r="W204" s="58"/>
      <c r="X204" s="157">
        <f t="shared" si="57"/>
        <v>43655</v>
      </c>
      <c r="Y204" s="385">
        <f t="shared" si="58"/>
        <v>19.640999999999998</v>
      </c>
      <c r="Z204" s="385">
        <f t="shared" si="59"/>
        <v>19.797945117399632</v>
      </c>
      <c r="AA204" s="386">
        <f t="shared" si="60"/>
        <v>20.966471882418251</v>
      </c>
      <c r="AB204" s="197">
        <f t="shared" si="61"/>
        <v>43655</v>
      </c>
      <c r="AC204" s="425">
        <f>IF(OR(t&lt;Tnet,NoTnet),'2018'!Resal_s+('2018'!Salim-'2018'!Resal_s)*(1-EXP(('2018'!Tnet_s-t)/'2018'!Tau_j)),Resal_s+(Salim-Resal_s)*(1-EXP((Tnet_s-t)/Tau_j)))*Salcycl</f>
        <v>5.573311387685146E-2</v>
      </c>
      <c r="AD204" s="231">
        <f>(INDEX(Models!$BJ204:$BT204,,AH204)*(1-AF204)+INDEX(Models!$BJ204:$BT204,,AH204+1)*AF204-ERP_i)*AE204*Ramure*Pc/MaxiM</f>
        <v>4.7957521901533639E-3</v>
      </c>
      <c r="AE204" s="305">
        <f t="shared" si="62"/>
        <v>0.8</v>
      </c>
      <c r="AF204" s="177">
        <f t="shared" si="63"/>
        <v>6.0193378537422904E-2</v>
      </c>
      <c r="AG204" s="176">
        <f t="shared" si="64"/>
        <v>1</v>
      </c>
      <c r="AH204" s="176">
        <f t="shared" si="65"/>
        <v>7</v>
      </c>
      <c r="AI204" s="225">
        <f t="shared" si="66"/>
        <v>1.0601933785374229</v>
      </c>
      <c r="AJ204" s="265" t="b">
        <f t="shared" si="67"/>
        <v>0</v>
      </c>
      <c r="AK204" s="265" t="b">
        <f t="shared" si="68"/>
        <v>1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6">
        <v>56.837000000000003</v>
      </c>
      <c r="C205" s="390"/>
      <c r="D205" s="393">
        <f t="shared" si="48"/>
        <v>57.292500055677678</v>
      </c>
      <c r="E205" s="385">
        <f t="shared" si="73"/>
        <v>60.683160153023429</v>
      </c>
      <c r="F205" s="385">
        <f t="shared" si="49"/>
        <v>60.976537805718309</v>
      </c>
      <c r="G205" s="110">
        <f t="shared" si="74"/>
        <v>1.0159765316518194</v>
      </c>
      <c r="H205" s="414" t="b">
        <f>Wh_hp&gt;='2018'!Maxi_hp</f>
        <v>1</v>
      </c>
      <c r="I205" s="390">
        <f>IF(H205,Wh_hp,'2018'!Maxi_hp)</f>
        <v>60.976537805718309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7.9504307760179804E-3</v>
      </c>
      <c r="M205" s="843"/>
      <c r="N205" s="843"/>
      <c r="O205" s="48">
        <f>IF(t&lt;Tnet,'2018'!Resal+('2018'!Salim-'2018'!Resal)*(1-EXP(('2018'!Tnet-t)/('2018'!Tau_j))),Resal+(Salim-Resal)*(1-EXP((Tnet-t)/(Tau_j))))*Salcycl</f>
        <v>5.5874810883210307E-2</v>
      </c>
      <c r="P205" s="169">
        <f>(INDEX(Models!$BJ205:$BT205,,T205)*(1-R205)+INDEX(Models!$BJ205:$BT205,,T205+1)*R205-ERP_i)*Q205*Ramure*Pc/MaxiM</f>
        <v>4.8113202758350666E-3</v>
      </c>
      <c r="Q205" s="305">
        <f t="shared" si="51"/>
        <v>0.8</v>
      </c>
      <c r="R205" s="177">
        <f t="shared" si="52"/>
        <v>6.4558243714817332E-2</v>
      </c>
      <c r="S205" s="809">
        <f t="shared" si="53"/>
        <v>1</v>
      </c>
      <c r="T205" s="176">
        <f t="shared" si="54"/>
        <v>7</v>
      </c>
      <c r="U205" s="251">
        <f t="shared" si="55"/>
        <v>1.0645582437148173</v>
      </c>
      <c r="V205" s="383">
        <f t="shared" si="56"/>
        <v>55.943221353343574</v>
      </c>
      <c r="W205" s="58"/>
      <c r="X205" s="157">
        <f t="shared" si="57"/>
        <v>43656</v>
      </c>
      <c r="Y205" s="385">
        <f t="shared" si="58"/>
        <v>56.837000000000003</v>
      </c>
      <c r="Z205" s="385">
        <f t="shared" si="59"/>
        <v>57.292500055677678</v>
      </c>
      <c r="AA205" s="386">
        <f t="shared" si="60"/>
        <v>60.683160153023429</v>
      </c>
      <c r="AB205" s="197">
        <f t="shared" si="61"/>
        <v>43656</v>
      </c>
      <c r="AC205" s="425">
        <f>IF(OR(t&lt;Tnet,NoTnet),'2018'!Resal_s+('2018'!Salim-'2018'!Resal_s)*(1-EXP(('2018'!Tnet_s-t)/'2018'!Tau_j)),Resal_s+(Salim-Resal_s)*(1-EXP((Tnet_s-t)/Tau_j)))*Salcycl</f>
        <v>5.5874810883210307E-2</v>
      </c>
      <c r="AD205" s="231">
        <f>(INDEX(Models!$BJ205:$BT205,,AH205)*(1-AF205)+INDEX(Models!$BJ205:$BT205,,AH205+1)*AF205-ERP_i)*AE205*Ramure*Pc/MaxiM</f>
        <v>4.8113202758350666E-3</v>
      </c>
      <c r="AE205" s="305">
        <f t="shared" si="62"/>
        <v>0.8</v>
      </c>
      <c r="AF205" s="177">
        <f t="shared" si="63"/>
        <v>6.4558243714817332E-2</v>
      </c>
      <c r="AG205" s="176">
        <f t="shared" si="64"/>
        <v>1</v>
      </c>
      <c r="AH205" s="176">
        <f t="shared" si="65"/>
        <v>7</v>
      </c>
      <c r="AI205" s="225">
        <f t="shared" si="66"/>
        <v>1.0645582437148173</v>
      </c>
      <c r="AJ205" s="265" t="b">
        <f t="shared" si="67"/>
        <v>0</v>
      </c>
      <c r="AK205" s="265" t="b">
        <f t="shared" si="68"/>
        <v>1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6">
        <v>56.527000000000001</v>
      </c>
      <c r="C206" s="390"/>
      <c r="D206" s="393">
        <f t="shared" si="48"/>
        <v>56.981341709268328</v>
      </c>
      <c r="E206" s="385">
        <f t="shared" si="73"/>
        <v>60.362598655530711</v>
      </c>
      <c r="F206" s="385">
        <f t="shared" si="49"/>
        <v>60.655127137032757</v>
      </c>
      <c r="G206" s="110">
        <f t="shared" si="74"/>
        <v>1.0128892440153339</v>
      </c>
      <c r="H206" s="414" t="b">
        <f>Wh_hp&gt;='2018'!Maxi_hp</f>
        <v>1</v>
      </c>
      <c r="I206" s="390">
        <f>IF(H206,Wh_hp,'2018'!Maxi_hp)</f>
        <v>60.655127137032757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7.9735172187850312E-3</v>
      </c>
      <c r="M206" s="843"/>
      <c r="N206" s="843"/>
      <c r="O206" s="48">
        <f>IF(t&lt;Tnet,'2018'!Resal+('2018'!Salim-'2018'!Resal)*(1-EXP(('2018'!Tnet-t)/('2018'!Tau_j))),Resal+(Salim-Resal)*(1-EXP((Tnet-t)/(Tau_j))))*Salcycl</f>
        <v>5.6015761772585236E-2</v>
      </c>
      <c r="P206" s="169">
        <f>(INDEX(Models!$BJ206:$BT206,,T206)*(1-R206)+INDEX(Models!$BJ206:$BT206,,T206+1)*R206-ERP_i)*Q206*Ramure*Pc/MaxiM</f>
        <v>4.8228154042305443E-3</v>
      </c>
      <c r="Q206" s="305">
        <f t="shared" si="51"/>
        <v>0.8</v>
      </c>
      <c r="R206" s="177">
        <f t="shared" si="52"/>
        <v>6.8825804984854466E-2</v>
      </c>
      <c r="S206" s="809">
        <f t="shared" si="53"/>
        <v>1</v>
      </c>
      <c r="T206" s="176">
        <f t="shared" si="54"/>
        <v>7</v>
      </c>
      <c r="U206" s="251">
        <f t="shared" si="55"/>
        <v>1.0688258049848545</v>
      </c>
      <c r="V206" s="383">
        <f t="shared" si="56"/>
        <v>55.807681179349416</v>
      </c>
      <c r="W206" s="58"/>
      <c r="X206" s="157">
        <f t="shared" si="57"/>
        <v>43657</v>
      </c>
      <c r="Y206" s="385">
        <f t="shared" si="58"/>
        <v>56.527000000000001</v>
      </c>
      <c r="Z206" s="385">
        <f t="shared" si="59"/>
        <v>56.981341709268328</v>
      </c>
      <c r="AA206" s="386">
        <f t="shared" si="60"/>
        <v>60.362598655530711</v>
      </c>
      <c r="AB206" s="197">
        <f t="shared" si="61"/>
        <v>43657</v>
      </c>
      <c r="AC206" s="425">
        <f>IF(OR(t&lt;Tnet,NoTnet),'2018'!Resal_s+('2018'!Salim-'2018'!Resal_s)*(1-EXP(('2018'!Tnet_s-t)/'2018'!Tau_j)),Resal_s+(Salim-Resal_s)*(1-EXP((Tnet_s-t)/Tau_j)))*Salcycl</f>
        <v>5.6015761772585236E-2</v>
      </c>
      <c r="AD206" s="231">
        <f>(INDEX(Models!$BJ206:$BT206,,AH206)*(1-AF206)+INDEX(Models!$BJ206:$BT206,,AH206+1)*AF206-ERP_i)*AE206*Ramure*Pc/MaxiM</f>
        <v>4.8228154042305443E-3</v>
      </c>
      <c r="AE206" s="305">
        <f t="shared" si="62"/>
        <v>0.8</v>
      </c>
      <c r="AF206" s="177">
        <f t="shared" si="63"/>
        <v>6.8825804984854466E-2</v>
      </c>
      <c r="AG206" s="176">
        <f t="shared" si="64"/>
        <v>1</v>
      </c>
      <c r="AH206" s="176">
        <f t="shared" si="65"/>
        <v>7</v>
      </c>
      <c r="AI206" s="225">
        <f t="shared" si="66"/>
        <v>1.0688258049848545</v>
      </c>
      <c r="AJ206" s="265" t="b">
        <f t="shared" si="67"/>
        <v>0</v>
      </c>
      <c r="AK206" s="265" t="b">
        <f t="shared" si="68"/>
        <v>1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6">
        <v>56.868000000000002</v>
      </c>
      <c r="C207" s="390"/>
      <c r="D207" s="393">
        <f t="shared" ref="D207:D270" si="75">Wh/(1-Ppv)</f>
        <v>57.326416602105134</v>
      </c>
      <c r="E207" s="385">
        <f t="shared" si="73"/>
        <v>60.737172707390194</v>
      </c>
      <c r="F207" s="385">
        <f t="shared" ref="F207:F270" si="76">Wh_sa/(1-Pvg*MEDIAN((-Sdif+Wh/Env_an)/Csdif,0,1))</f>
        <v>61.032000698200029</v>
      </c>
      <c r="G207" s="110">
        <f t="shared" si="74"/>
        <v>1.0215522835104482</v>
      </c>
      <c r="H207" s="414" t="b">
        <f>Wh_hp&gt;='2018'!Maxi_hp</f>
        <v>1</v>
      </c>
      <c r="I207" s="390">
        <f>IF(H207,Wh_hp,'2018'!Maxi_hp)</f>
        <v>61.032000698200029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7.9966031242967306E-3</v>
      </c>
      <c r="M207" s="843"/>
      <c r="N207" s="843"/>
      <c r="O207" s="48">
        <f>IF(t&lt;Tnet,'2018'!Resal+('2018'!Salim-'2018'!Resal)*(1-EXP(('2018'!Tnet-t)/('2018'!Tau_j))),Resal+(Salim-Resal)*(1-EXP((Tnet-t)/(Tau_j))))*Salcycl</f>
        <v>5.6155990693160185E-2</v>
      </c>
      <c r="P207" s="169">
        <f>(INDEX(Models!$BJ207:$BT207,,T207)*(1-R207)+INDEX(Models!$BJ207:$BT207,,T207+1)*R207-ERP_i)*Q207*Ramure*Pc/MaxiM</f>
        <v>4.8307115519241068E-3</v>
      </c>
      <c r="Q207" s="305">
        <f t="shared" ref="Q207:Q270" si="78">IF(OR(t&lt;Ttai,Notai),Dd+PousD*Croivg,Dens+PousD*(Croivg-Croi_tai))</f>
        <v>0.8</v>
      </c>
      <c r="R207" s="177">
        <f t="shared" ref="R207:R270" si="79">(Hp_vg-S207)/(INDEX(Echel_vg,T207+1)-S207)</f>
        <v>7.2995797240916316E-2</v>
      </c>
      <c r="S207" s="809">
        <f t="shared" ref="S207:S270" si="80">INDEX(Echel_vg,T207)</f>
        <v>1</v>
      </c>
      <c r="T207" s="176">
        <f t="shared" ref="T207:T270" si="81">MIN(MATCH(Hp_vg,Echel_vg),10)</f>
        <v>7</v>
      </c>
      <c r="U207" s="251">
        <f t="shared" ref="U207:U270" si="82">IF(OR(t&lt;Ttai,Notai),Hdd+PousH*Croivg,Hdtf+PousH*(Croivg-Croi_tai))</f>
        <v>1.0729957972409163</v>
      </c>
      <c r="V207" s="383">
        <f t="shared" ref="V207:V270" si="83">MaxiM*(1-Ppv)*(1-Pvg)*(1-Psa)</f>
        <v>55.668222682229811</v>
      </c>
      <c r="W207" s="58"/>
      <c r="X207" s="157">
        <f t="shared" ref="X207:X270" si="84">t</f>
        <v>43658</v>
      </c>
      <c r="Y207" s="385">
        <f t="shared" ref="Y207:Y270" si="85">Wh_pvt_s*(1-Ppv)</f>
        <v>56.868000000000002</v>
      </c>
      <c r="Z207" s="385">
        <f t="shared" ref="Z207:Z270" si="86">Wh_sa_s*(1-Psa_s)</f>
        <v>57.326416602105134</v>
      </c>
      <c r="AA207" s="386">
        <f t="shared" ref="AA207:AA270" si="87">Wh_hp*(1-Pvg_s*MEDIAN((-Sdif+Wh/Env_an)/Csdif,0,1))</f>
        <v>60.737172707390194</v>
      </c>
      <c r="AB207" s="197">
        <f t="shared" ref="AB207:AB270" si="88">t</f>
        <v>43658</v>
      </c>
      <c r="AC207" s="425">
        <f>IF(OR(t&lt;Tnet,NoTnet),'2018'!Resal_s+('2018'!Salim-'2018'!Resal_s)*(1-EXP(('2018'!Tnet_s-t)/'2018'!Tau_j)),Resal_s+(Salim-Resal_s)*(1-EXP((Tnet_s-t)/Tau_j)))*Salcycl</f>
        <v>5.6155990693160185E-2</v>
      </c>
      <c r="AD207" s="231">
        <f>(INDEX(Models!$BJ207:$BT207,,AH207)*(1-AF207)+INDEX(Models!$BJ207:$BT207,,AH207+1)*AF207-ERP_i)*AE207*Ramure*Pc/MaxiM</f>
        <v>4.8307115519241068E-3</v>
      </c>
      <c r="AE207" s="305">
        <f t="shared" ref="AE207:AE270" si="89">IF(OR(t&lt;Ttai,Notai),Dd_s+PousD*Croivg,Dens_s+PousD*(Croivg-Croi_tai))</f>
        <v>0.8</v>
      </c>
      <c r="AF207" s="177">
        <f t="shared" ref="AF207:AF270" si="90">(Hp_vg_s-AG207)/(INDEX(Echel_vg,AH207+1)-AG207)</f>
        <v>7.2995797240916316E-2</v>
      </c>
      <c r="AG207" s="176">
        <f t="shared" ref="AG207:AG270" si="91">INDEX(Echel_vg,AH207)</f>
        <v>1</v>
      </c>
      <c r="AH207" s="176">
        <f t="shared" ref="AH207:AH270" si="92">MIN(MATCH(Hp_vg_s,Echel_vg),10)</f>
        <v>7</v>
      </c>
      <c r="AI207" s="225">
        <f t="shared" ref="AI207:AI270" si="93">IF(OR(t&lt;Ttai,Notai),Hdd_s+PousH*Croivg,Hdtai_s+PousH*(Croivg-Croi_tai))</f>
        <v>1.0729957972409163</v>
      </c>
      <c r="AJ207" s="265" t="b">
        <f t="shared" ref="AJ207:AJ270" si="94">t&lt;Tnet</f>
        <v>0</v>
      </c>
      <c r="AK207" s="265" t="b">
        <f t="shared" ref="AK207:AK270" si="95">t&lt;Ttai</f>
        <v>1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6">
        <v>49.363</v>
      </c>
      <c r="C208" s="390"/>
      <c r="D208" s="393">
        <f t="shared" si="75"/>
        <v>49.762076351078925</v>
      </c>
      <c r="E208" s="385">
        <f t="shared" si="73"/>
        <v>52.730571407542982</v>
      </c>
      <c r="F208" s="385">
        <f t="shared" si="76"/>
        <v>52.945978266940926</v>
      </c>
      <c r="G208" s="110">
        <f t="shared" si="74"/>
        <v>0.88833618520205326</v>
      </c>
      <c r="H208" s="414" t="b">
        <f>Wh_hp&gt;='2018'!Maxi_hp</f>
        <v>1</v>
      </c>
      <c r="I208" s="390">
        <f>IF(H208,Wh_hp,'2018'!Maxi_hp)</f>
        <v>52.945978266940926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8.0196884925657352E-3</v>
      </c>
      <c r="M208" s="843"/>
      <c r="N208" s="843"/>
      <c r="O208" s="48">
        <f>IF(t&lt;Tnet,'2018'!Resal+('2018'!Salim-'2018'!Resal)*(1-EXP(('2018'!Tnet-t)/('2018'!Tau_j))),Resal+(Salim-Resal)*(1-EXP((Tnet-t)/(Tau_j))))*Salcycl</f>
        <v>5.6295522260155599E-2</v>
      </c>
      <c r="P208" s="169">
        <f>(INDEX(Models!$BJ208:$BT208,,T208)*(1-R208)+INDEX(Models!$BJ208:$BT208,,T208+1)*R208-ERP_i)*Q208*Ramure*Pc/MaxiM</f>
        <v>4.8349748778110328E-3</v>
      </c>
      <c r="Q208" s="305">
        <f t="shared" si="78"/>
        <v>0.8</v>
      </c>
      <c r="R208" s="177">
        <f t="shared" si="79"/>
        <v>7.7068128301730932E-2</v>
      </c>
      <c r="S208" s="809">
        <f t="shared" si="80"/>
        <v>1</v>
      </c>
      <c r="T208" s="176">
        <f t="shared" si="81"/>
        <v>7</v>
      </c>
      <c r="U208" s="251">
        <f t="shared" si="82"/>
        <v>1.0770681283017309</v>
      </c>
      <c r="V208" s="383">
        <f t="shared" si="83"/>
        <v>55.525157204413532</v>
      </c>
      <c r="W208" s="58"/>
      <c r="X208" s="157">
        <f t="shared" si="84"/>
        <v>43659</v>
      </c>
      <c r="Y208" s="385">
        <f t="shared" si="85"/>
        <v>49.363</v>
      </c>
      <c r="Z208" s="385">
        <f t="shared" si="86"/>
        <v>49.762076351078925</v>
      </c>
      <c r="AA208" s="386">
        <f t="shared" si="87"/>
        <v>52.730571407542982</v>
      </c>
      <c r="AB208" s="197">
        <f t="shared" si="88"/>
        <v>43659</v>
      </c>
      <c r="AC208" s="425">
        <f>IF(OR(t&lt;Tnet,NoTnet),'2018'!Resal_s+('2018'!Salim-'2018'!Resal_s)*(1-EXP(('2018'!Tnet_s-t)/'2018'!Tau_j)),Resal_s+(Salim-Resal_s)*(1-EXP((Tnet_s-t)/Tau_j)))*Salcycl</f>
        <v>5.6295522260155599E-2</v>
      </c>
      <c r="AD208" s="231">
        <f>(INDEX(Models!$BJ208:$BT208,,AH208)*(1-AF208)+INDEX(Models!$BJ208:$BT208,,AH208+1)*AF208-ERP_i)*AE208*Ramure*Pc/MaxiM</f>
        <v>4.8349748778110328E-3</v>
      </c>
      <c r="AE208" s="305">
        <f t="shared" si="89"/>
        <v>0.8</v>
      </c>
      <c r="AF208" s="177">
        <f t="shared" si="90"/>
        <v>7.7068128301730932E-2</v>
      </c>
      <c r="AG208" s="176">
        <f t="shared" si="91"/>
        <v>1</v>
      </c>
      <c r="AH208" s="176">
        <f t="shared" si="92"/>
        <v>7</v>
      </c>
      <c r="AI208" s="225">
        <f t="shared" si="93"/>
        <v>1.0770681283017309</v>
      </c>
      <c r="AJ208" s="265" t="b">
        <f t="shared" si="94"/>
        <v>0</v>
      </c>
      <c r="AK208" s="265" t="b">
        <f t="shared" si="95"/>
        <v>1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6">
        <v>56.484999999999999</v>
      </c>
      <c r="C209" s="390"/>
      <c r="D209" s="393">
        <f t="shared" si="75"/>
        <v>56.942979476298532</v>
      </c>
      <c r="E209" s="385">
        <f t="shared" si="73"/>
        <v>60.348722286393055</v>
      </c>
      <c r="F209" s="385">
        <f t="shared" si="76"/>
        <v>60.641960912358456</v>
      </c>
      <c r="G209" s="110">
        <f t="shared" si="74"/>
        <v>1.0199752327836298</v>
      </c>
      <c r="H209" s="414" t="b">
        <f>Wh_hp&gt;='2018'!Maxi_hp</f>
        <v>1</v>
      </c>
      <c r="I209" s="390">
        <f>IF(H209,Wh_hp,'2018'!Maxi_hp)</f>
        <v>60.641960912358456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8.0427733236044796E-3</v>
      </c>
      <c r="M209" s="843"/>
      <c r="N209" s="843"/>
      <c r="O209" s="48">
        <f>IF(t&lt;Tnet,'2018'!Resal+('2018'!Salim-'2018'!Resal)*(1-EXP(('2018'!Tnet-t)/('2018'!Tau_j))),Resal+(Salim-Resal)*(1-EXP((Tnet-t)/(Tau_j))))*Salcycl</f>
        <v>5.6434381393065926E-2</v>
      </c>
      <c r="P209" s="169">
        <f>(INDEX(Models!$BJ209:$BT209,,T209)*(1-R209)+INDEX(Models!$BJ209:$BT209,,T209+1)*R209-ERP_i)*Q209*Ramure*Pc/MaxiM</f>
        <v>4.8355729523522472E-3</v>
      </c>
      <c r="Q209" s="305">
        <f t="shared" si="78"/>
        <v>0.8</v>
      </c>
      <c r="R209" s="177">
        <f t="shared" si="79"/>
        <v>8.104287125949039E-2</v>
      </c>
      <c r="S209" s="809">
        <f t="shared" si="80"/>
        <v>1</v>
      </c>
      <c r="T209" s="176">
        <f t="shared" si="81"/>
        <v>7</v>
      </c>
      <c r="U209" s="251">
        <f t="shared" si="82"/>
        <v>1.0810428712594904</v>
      </c>
      <c r="V209" s="383">
        <f t="shared" si="83"/>
        <v>55.378795665308395</v>
      </c>
      <c r="W209" s="58"/>
      <c r="X209" s="157">
        <f t="shared" si="84"/>
        <v>43660</v>
      </c>
      <c r="Y209" s="385">
        <f t="shared" si="85"/>
        <v>56.484999999999999</v>
      </c>
      <c r="Z209" s="385">
        <f t="shared" si="86"/>
        <v>56.942979476298532</v>
      </c>
      <c r="AA209" s="386">
        <f t="shared" si="87"/>
        <v>60.348722286393055</v>
      </c>
      <c r="AB209" s="197">
        <f t="shared" si="88"/>
        <v>43660</v>
      </c>
      <c r="AC209" s="425">
        <f>IF(OR(t&lt;Tnet,NoTnet),'2018'!Resal_s+('2018'!Salim-'2018'!Resal_s)*(1-EXP(('2018'!Tnet_s-t)/'2018'!Tau_j)),Resal_s+(Salim-Resal_s)*(1-EXP((Tnet_s-t)/Tau_j)))*Salcycl</f>
        <v>5.6434381393065926E-2</v>
      </c>
      <c r="AD209" s="231">
        <f>(INDEX(Models!$BJ209:$BT209,,AH209)*(1-AF209)+INDEX(Models!$BJ209:$BT209,,AH209+1)*AF209-ERP_i)*AE209*Ramure*Pc/MaxiM</f>
        <v>4.8355729523522472E-3</v>
      </c>
      <c r="AE209" s="305">
        <f t="shared" si="89"/>
        <v>0.8</v>
      </c>
      <c r="AF209" s="177">
        <f t="shared" si="90"/>
        <v>8.104287125949039E-2</v>
      </c>
      <c r="AG209" s="176">
        <f t="shared" si="91"/>
        <v>1</v>
      </c>
      <c r="AH209" s="176">
        <f t="shared" si="92"/>
        <v>7</v>
      </c>
      <c r="AI209" s="225">
        <f t="shared" si="93"/>
        <v>1.0810428712594904</v>
      </c>
      <c r="AJ209" s="265" t="b">
        <f t="shared" si="94"/>
        <v>0</v>
      </c>
      <c r="AK209" s="265" t="b">
        <f t="shared" si="95"/>
        <v>1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6">
        <v>57.575000000000003</v>
      </c>
      <c r="C210" s="390"/>
      <c r="D210" s="393">
        <f t="shared" si="75"/>
        <v>58.043167928172963</v>
      </c>
      <c r="E210" s="385">
        <f t="shared" si="73"/>
        <v>61.523724567557139</v>
      </c>
      <c r="F210" s="385">
        <f t="shared" si="76"/>
        <v>61.822480130513313</v>
      </c>
      <c r="G210" s="110">
        <f t="shared" si="74"/>
        <v>1.042469216361481</v>
      </c>
      <c r="H210" s="414" t="b">
        <f>Wh_hp&gt;='2018'!Maxi_hp</f>
        <v>1</v>
      </c>
      <c r="I210" s="390">
        <f>IF(H210,Wh_hp,'2018'!Maxi_hp)</f>
        <v>61.822480130513313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8.0658576174255092E-3</v>
      </c>
      <c r="M210" s="843"/>
      <c r="N210" s="843"/>
      <c r="O210" s="48">
        <f>IF(t&lt;Tnet,'2018'!Resal+('2018'!Salim-'2018'!Resal)*(1-EXP(('2018'!Tnet-t)/('2018'!Tau_j))),Resal+(Salim-Resal)*(1-EXP((Tnet-t)/(Tau_j))))*Salcycl</f>
        <v>5.6572593155706861E-2</v>
      </c>
      <c r="P210" s="169">
        <f>(INDEX(Models!$BJ210:$BT210,,T210)*(1-R210)+INDEX(Models!$BJ210:$BT210,,T210+1)*R210-ERP_i)*Q210*Ramure*Pc/MaxiM</f>
        <v>4.8324745679156301E-3</v>
      </c>
      <c r="Q210" s="305">
        <f t="shared" si="78"/>
        <v>0.8</v>
      </c>
      <c r="R210" s="177">
        <f t="shared" si="79"/>
        <v>8.4920256545673256E-2</v>
      </c>
      <c r="S210" s="809">
        <f t="shared" si="80"/>
        <v>1</v>
      </c>
      <c r="T210" s="176">
        <f t="shared" si="81"/>
        <v>7</v>
      </c>
      <c r="U210" s="251">
        <f t="shared" si="82"/>
        <v>1.0849202565456733</v>
      </c>
      <c r="V210" s="383">
        <f t="shared" si="83"/>
        <v>55.229448597967625</v>
      </c>
      <c r="W210" s="58"/>
      <c r="X210" s="157">
        <f t="shared" si="84"/>
        <v>43661</v>
      </c>
      <c r="Y210" s="385">
        <f t="shared" si="85"/>
        <v>57.575000000000003</v>
      </c>
      <c r="Z210" s="385">
        <f t="shared" si="86"/>
        <v>58.043167928172963</v>
      </c>
      <c r="AA210" s="386">
        <f t="shared" si="87"/>
        <v>61.523724567557139</v>
      </c>
      <c r="AB210" s="197">
        <f t="shared" si="88"/>
        <v>43661</v>
      </c>
      <c r="AC210" s="425">
        <f>IF(OR(t&lt;Tnet,NoTnet),'2018'!Resal_s+('2018'!Salim-'2018'!Resal_s)*(1-EXP(('2018'!Tnet_s-t)/'2018'!Tau_j)),Resal_s+(Salim-Resal_s)*(1-EXP((Tnet_s-t)/Tau_j)))*Salcycl</f>
        <v>5.6572593155706861E-2</v>
      </c>
      <c r="AD210" s="231">
        <f>(INDEX(Models!$BJ210:$BT210,,AH210)*(1-AF210)+INDEX(Models!$BJ210:$BT210,,AH210+1)*AF210-ERP_i)*AE210*Ramure*Pc/MaxiM</f>
        <v>4.8324745679156301E-3</v>
      </c>
      <c r="AE210" s="305">
        <f t="shared" si="89"/>
        <v>0.8</v>
      </c>
      <c r="AF210" s="177">
        <f t="shared" si="90"/>
        <v>8.4920256545673256E-2</v>
      </c>
      <c r="AG210" s="176">
        <f t="shared" si="91"/>
        <v>1</v>
      </c>
      <c r="AH210" s="176">
        <f t="shared" si="92"/>
        <v>7</v>
      </c>
      <c r="AI210" s="225">
        <f t="shared" si="93"/>
        <v>1.0849202565456733</v>
      </c>
      <c r="AJ210" s="265" t="b">
        <f t="shared" si="94"/>
        <v>0</v>
      </c>
      <c r="AK210" s="265" t="b">
        <f t="shared" si="95"/>
        <v>1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6">
        <v>55.761000000000003</v>
      </c>
      <c r="C211" s="390"/>
      <c r="D211" s="393">
        <f t="shared" si="75"/>
        <v>56.215725709563849</v>
      </c>
      <c r="E211" s="385">
        <f t="shared" si="73"/>
        <v>59.595391228249468</v>
      </c>
      <c r="F211" s="385">
        <f t="shared" si="76"/>
        <v>59.884372222442117</v>
      </c>
      <c r="G211" s="110">
        <f t="shared" si="74"/>
        <v>1.0124111431871605</v>
      </c>
      <c r="H211" s="414" t="b">
        <f>Wh_hp&gt;='2018'!Maxi_hp</f>
        <v>1</v>
      </c>
      <c r="I211" s="390">
        <f>IF(H211,Wh_hp,'2018'!Maxi_hp)</f>
        <v>59.884372222442117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8.0889413740412586E-3</v>
      </c>
      <c r="M211" s="843"/>
      <c r="N211" s="843"/>
      <c r="O211" s="48">
        <f>IF(t&lt;Tnet,'2018'!Resal+('2018'!Salim-'2018'!Resal)*(1-EXP(('2018'!Tnet-t)/('2018'!Tau_j))),Resal+(Salim-Resal)*(1-EXP((Tnet-t)/(Tau_j))))*Salcycl</f>
        <v>5.6710182600220795E-2</v>
      </c>
      <c r="P211" s="169">
        <f>(INDEX(Models!$BJ211:$BT211,,T211)*(1-R211)+INDEX(Models!$BJ211:$BT211,,T211+1)*R211-ERP_i)*Q211*Ramure*Pc/MaxiM</f>
        <v>4.825649555433663E-3</v>
      </c>
      <c r="Q211" s="305">
        <f t="shared" si="78"/>
        <v>0.8</v>
      </c>
      <c r="R211" s="177">
        <f t="shared" si="79"/>
        <v>8.8700663779282873E-2</v>
      </c>
      <c r="S211" s="809">
        <f t="shared" si="80"/>
        <v>1</v>
      </c>
      <c r="T211" s="176">
        <f t="shared" si="81"/>
        <v>7</v>
      </c>
      <c r="U211" s="251">
        <f t="shared" si="82"/>
        <v>1.0887006637792829</v>
      </c>
      <c r="V211" s="383">
        <f t="shared" si="83"/>
        <v>55.077426177332853</v>
      </c>
      <c r="W211" s="58"/>
      <c r="X211" s="157">
        <f t="shared" si="84"/>
        <v>43662</v>
      </c>
      <c r="Y211" s="385">
        <f t="shared" si="85"/>
        <v>55.761000000000003</v>
      </c>
      <c r="Z211" s="385">
        <f t="shared" si="86"/>
        <v>56.215725709563849</v>
      </c>
      <c r="AA211" s="386">
        <f t="shared" si="87"/>
        <v>59.595391228249468</v>
      </c>
      <c r="AB211" s="197">
        <f t="shared" si="88"/>
        <v>43662</v>
      </c>
      <c r="AC211" s="425">
        <f>IF(OR(t&lt;Tnet,NoTnet),'2018'!Resal_s+('2018'!Salim-'2018'!Resal_s)*(1-EXP(('2018'!Tnet_s-t)/'2018'!Tau_j)),Resal_s+(Salim-Resal_s)*(1-EXP((Tnet_s-t)/Tau_j)))*Salcycl</f>
        <v>5.6710182600220795E-2</v>
      </c>
      <c r="AD211" s="231">
        <f>(INDEX(Models!$BJ211:$BT211,,AH211)*(1-AF211)+INDEX(Models!$BJ211:$BT211,,AH211+1)*AF211-ERP_i)*AE211*Ramure*Pc/MaxiM</f>
        <v>4.825649555433663E-3</v>
      </c>
      <c r="AE211" s="305">
        <f t="shared" si="89"/>
        <v>0.8</v>
      </c>
      <c r="AF211" s="177">
        <f t="shared" si="90"/>
        <v>8.8700663779282873E-2</v>
      </c>
      <c r="AG211" s="176">
        <f t="shared" si="91"/>
        <v>1</v>
      </c>
      <c r="AH211" s="176">
        <f t="shared" si="92"/>
        <v>7</v>
      </c>
      <c r="AI211" s="225">
        <f t="shared" si="93"/>
        <v>1.0887006637792829</v>
      </c>
      <c r="AJ211" s="265" t="b">
        <f t="shared" si="94"/>
        <v>0</v>
      </c>
      <c r="AK211" s="265" t="b">
        <f t="shared" si="95"/>
        <v>1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6">
        <v>47.889000000000003</v>
      </c>
      <c r="C212" s="390"/>
      <c r="D212" s="393">
        <f t="shared" si="75"/>
        <v>48.280653851431353</v>
      </c>
      <c r="E212" s="385">
        <f t="shared" si="73"/>
        <v>51.190700543977108</v>
      </c>
      <c r="F212" s="385">
        <f t="shared" si="76"/>
        <v>51.392846904126159</v>
      </c>
      <c r="G212" s="110">
        <f t="shared" si="74"/>
        <v>0.87115735838703368</v>
      </c>
      <c r="H212" s="414" t="b">
        <f>Wh_hp&gt;='2018'!Maxi_hp</f>
        <v>1</v>
      </c>
      <c r="I212" s="390">
        <f>IF(H212,Wh_hp,'2018'!Maxi_hp)</f>
        <v>51.392846904126159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8.1120245934642732E-3</v>
      </c>
      <c r="M212" s="843"/>
      <c r="N212" s="843"/>
      <c r="O212" s="48">
        <f>IF(t&lt;Tnet,'2018'!Resal+('2018'!Salim-'2018'!Resal)*(1-EXP(('2018'!Tnet-t)/('2018'!Tau_j))),Resal+(Salim-Resal)*(1-EXP((Tnet-t)/(Tau_j))))*Salcycl</f>
        <v>5.684717461613522E-2</v>
      </c>
      <c r="P212" s="169">
        <f>(INDEX(Models!$BJ212:$BT212,,T212)*(1-R212)+INDEX(Models!$BJ212:$BT212,,T212+1)*R212-ERP_i)*Q212*Ramure*Pc/MaxiM</f>
        <v>4.8141502643049118E-3</v>
      </c>
      <c r="Q212" s="305">
        <f t="shared" si="78"/>
        <v>0.8</v>
      </c>
      <c r="R212" s="177">
        <f t="shared" si="79"/>
        <v>9.2384613459174592E-2</v>
      </c>
      <c r="S212" s="809">
        <f t="shared" si="80"/>
        <v>1</v>
      </c>
      <c r="T212" s="176">
        <f t="shared" si="81"/>
        <v>7</v>
      </c>
      <c r="U212" s="251">
        <f t="shared" si="82"/>
        <v>1.0923846134591746</v>
      </c>
      <c r="V212" s="383">
        <f t="shared" si="83"/>
        <v>54.923088940138165</v>
      </c>
      <c r="W212" s="58"/>
      <c r="X212" s="157">
        <f t="shared" si="84"/>
        <v>43663</v>
      </c>
      <c r="Y212" s="385">
        <f t="shared" si="85"/>
        <v>47.889000000000003</v>
      </c>
      <c r="Z212" s="385">
        <f t="shared" si="86"/>
        <v>48.280653851431353</v>
      </c>
      <c r="AA212" s="386">
        <f t="shared" si="87"/>
        <v>51.190700543977108</v>
      </c>
      <c r="AB212" s="197">
        <f t="shared" si="88"/>
        <v>43663</v>
      </c>
      <c r="AC212" s="425">
        <f>IF(OR(t&lt;Tnet,NoTnet),'2018'!Resal_s+('2018'!Salim-'2018'!Resal_s)*(1-EXP(('2018'!Tnet_s-t)/'2018'!Tau_j)),Resal_s+(Salim-Resal_s)*(1-EXP((Tnet_s-t)/Tau_j)))*Salcycl</f>
        <v>5.684717461613522E-2</v>
      </c>
      <c r="AD212" s="231">
        <f>(INDEX(Models!$BJ212:$BT212,,AH212)*(1-AF212)+INDEX(Models!$BJ212:$BT212,,AH212+1)*AF212-ERP_i)*AE212*Ramure*Pc/MaxiM</f>
        <v>4.8141502643049118E-3</v>
      </c>
      <c r="AE212" s="305">
        <f t="shared" si="89"/>
        <v>0.8</v>
      </c>
      <c r="AF212" s="177">
        <f t="shared" si="90"/>
        <v>9.2384613459174592E-2</v>
      </c>
      <c r="AG212" s="176">
        <f t="shared" si="91"/>
        <v>1</v>
      </c>
      <c r="AH212" s="176">
        <f t="shared" si="92"/>
        <v>7</v>
      </c>
      <c r="AI212" s="225">
        <f t="shared" si="93"/>
        <v>1.0923846134591746</v>
      </c>
      <c r="AJ212" s="265" t="b">
        <f t="shared" si="94"/>
        <v>0</v>
      </c>
      <c r="AK212" s="265" t="b">
        <f t="shared" si="95"/>
        <v>1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6">
        <v>41.49</v>
      </c>
      <c r="C213" s="390"/>
      <c r="D213" s="393">
        <f t="shared" si="75"/>
        <v>41.830293928482561</v>
      </c>
      <c r="E213" s="385">
        <f t="shared" si="73"/>
        <v>44.357970500640526</v>
      </c>
      <c r="F213" s="385">
        <f t="shared" si="76"/>
        <v>44.497560410336952</v>
      </c>
      <c r="G213" s="110">
        <f t="shared" si="74"/>
        <v>0.75631426752528086</v>
      </c>
      <c r="H213" s="414" t="b">
        <f>Wh_hp&gt;='2018'!Maxi_hp</f>
        <v>1</v>
      </c>
      <c r="I213" s="390">
        <f>IF(H213,Wh_hp,'2018'!Maxi_hp)</f>
        <v>44.497560410336952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8.1351072757069876E-3</v>
      </c>
      <c r="M213" s="843"/>
      <c r="N213" s="843"/>
      <c r="O213" s="48">
        <f>IF(t&lt;Tnet,'2018'!Resal+('2018'!Salim-'2018'!Resal)*(1-EXP(('2018'!Tnet-t)/('2018'!Tau_j))),Resal+(Salim-Resal)*(1-EXP((Tnet-t)/(Tau_j))))*Salcycl</f>
        <v>5.6983593785506097E-2</v>
      </c>
      <c r="P213" s="169">
        <f>(INDEX(Models!$BJ213:$BT213,,T213)*(1-R213)+INDEX(Models!$BJ213:$BT213,,T213+1)*R213-ERP_i)*Q213*Ramure*Pc/MaxiM</f>
        <v>4.7990070035158448E-3</v>
      </c>
      <c r="Q213" s="305">
        <f t="shared" si="78"/>
        <v>0.8</v>
      </c>
      <c r="R213" s="177">
        <f t="shared" si="79"/>
        <v>9.5972758558723115E-2</v>
      </c>
      <c r="S213" s="809">
        <f t="shared" si="80"/>
        <v>1</v>
      </c>
      <c r="T213" s="176">
        <f t="shared" si="81"/>
        <v>7</v>
      </c>
      <c r="U213" s="251">
        <f t="shared" si="82"/>
        <v>1.0959727585587231</v>
      </c>
      <c r="V213" s="383">
        <f t="shared" si="83"/>
        <v>54.766687741436243</v>
      </c>
      <c r="W213" s="58"/>
      <c r="X213" s="157">
        <f t="shared" si="84"/>
        <v>43664</v>
      </c>
      <c r="Y213" s="385">
        <f t="shared" si="85"/>
        <v>41.49</v>
      </c>
      <c r="Z213" s="385">
        <f t="shared" si="86"/>
        <v>41.830293928482561</v>
      </c>
      <c r="AA213" s="386">
        <f t="shared" si="87"/>
        <v>44.357970500640526</v>
      </c>
      <c r="AB213" s="197">
        <f t="shared" si="88"/>
        <v>43664</v>
      </c>
      <c r="AC213" s="425">
        <f>IF(OR(t&lt;Tnet,NoTnet),'2018'!Resal_s+('2018'!Salim-'2018'!Resal_s)*(1-EXP(('2018'!Tnet_s-t)/'2018'!Tau_j)),Resal_s+(Salim-Resal_s)*(1-EXP((Tnet_s-t)/Tau_j)))*Salcycl</f>
        <v>5.6983593785506097E-2</v>
      </c>
      <c r="AD213" s="231">
        <f>(INDEX(Models!$BJ213:$BT213,,AH213)*(1-AF213)+INDEX(Models!$BJ213:$BT213,,AH213+1)*AF213-ERP_i)*AE213*Ramure*Pc/MaxiM</f>
        <v>4.7990070035158448E-3</v>
      </c>
      <c r="AE213" s="305">
        <f t="shared" si="89"/>
        <v>0.8</v>
      </c>
      <c r="AF213" s="177">
        <f t="shared" si="90"/>
        <v>9.5972758558723115E-2</v>
      </c>
      <c r="AG213" s="176">
        <f t="shared" si="91"/>
        <v>1</v>
      </c>
      <c r="AH213" s="176">
        <f t="shared" si="92"/>
        <v>7</v>
      </c>
      <c r="AI213" s="225">
        <f t="shared" si="93"/>
        <v>1.0959727585587231</v>
      </c>
      <c r="AJ213" s="265" t="b">
        <f t="shared" si="94"/>
        <v>0</v>
      </c>
      <c r="AK213" s="265" t="b">
        <f t="shared" si="95"/>
        <v>1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6">
        <v>54.183999999999997</v>
      </c>
      <c r="C214" s="390"/>
      <c r="D214" s="393">
        <f t="shared" si="75"/>
        <v>54.629679271493409</v>
      </c>
      <c r="E214" s="385">
        <f t="shared" si="73"/>
        <v>57.939131416850664</v>
      </c>
      <c r="F214" s="385">
        <f t="shared" si="76"/>
        <v>58.214316694306376</v>
      </c>
      <c r="G214" s="110">
        <f t="shared" si="74"/>
        <v>0.99217298174868462</v>
      </c>
      <c r="H214" s="414" t="b">
        <f>Wh_hp&gt;='2018'!Maxi_hp</f>
        <v>1</v>
      </c>
      <c r="I214" s="390">
        <f>IF(H214,Wh_hp,'2018'!Maxi_hp)</f>
        <v>58.214316694306376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8.1581894207820582E-3</v>
      </c>
      <c r="M214" s="843"/>
      <c r="N214" s="843"/>
      <c r="O214" s="48">
        <f>IF(t&lt;Tnet,'2018'!Resal+('2018'!Salim-'2018'!Resal)*(1-EXP(('2018'!Tnet-t)/('2018'!Tau_j))),Resal+(Salim-Resal)*(1-EXP((Tnet-t)/(Tau_j))))*Salcycl</f>
        <v>5.7119464245105236E-2</v>
      </c>
      <c r="P214" s="169">
        <f>(INDEX(Models!$BJ214:$BT214,,T214)*(1-R214)+INDEX(Models!$BJ214:$BT214,,T214+1)*R214-ERP_i)*Q214*Ramure*Pc/MaxiM</f>
        <v>4.7801946538358377E-3</v>
      </c>
      <c r="Q214" s="305">
        <f t="shared" si="78"/>
        <v>0.8</v>
      </c>
      <c r="R214" s="177">
        <f t="shared" si="79"/>
        <v>9.9465876077399429E-2</v>
      </c>
      <c r="S214" s="809">
        <f t="shared" si="80"/>
        <v>1</v>
      </c>
      <c r="T214" s="176">
        <f t="shared" si="81"/>
        <v>7</v>
      </c>
      <c r="U214" s="251">
        <f t="shared" si="82"/>
        <v>1.0994658760773994</v>
      </c>
      <c r="V214" s="383">
        <f t="shared" si="83"/>
        <v>54.608531786651902</v>
      </c>
      <c r="W214" s="58"/>
      <c r="X214" s="157">
        <f t="shared" si="84"/>
        <v>43665</v>
      </c>
      <c r="Y214" s="385">
        <f t="shared" si="85"/>
        <v>54.183999999999997</v>
      </c>
      <c r="Z214" s="385">
        <f t="shared" si="86"/>
        <v>54.629679271493409</v>
      </c>
      <c r="AA214" s="386">
        <f t="shared" si="87"/>
        <v>57.939131416850664</v>
      </c>
      <c r="AB214" s="197">
        <f t="shared" si="88"/>
        <v>43665</v>
      </c>
      <c r="AC214" s="425">
        <f>IF(OR(t&lt;Tnet,NoTnet),'2018'!Resal_s+('2018'!Salim-'2018'!Resal_s)*(1-EXP(('2018'!Tnet_s-t)/'2018'!Tau_j)),Resal_s+(Salim-Resal_s)*(1-EXP((Tnet_s-t)/Tau_j)))*Salcycl</f>
        <v>5.7119464245105236E-2</v>
      </c>
      <c r="AD214" s="231">
        <f>(INDEX(Models!$BJ214:$BT214,,AH214)*(1-AF214)+INDEX(Models!$BJ214:$BT214,,AH214+1)*AF214-ERP_i)*AE214*Ramure*Pc/MaxiM</f>
        <v>4.7801946538358377E-3</v>
      </c>
      <c r="AE214" s="305">
        <f t="shared" si="89"/>
        <v>0.8</v>
      </c>
      <c r="AF214" s="177">
        <f t="shared" si="90"/>
        <v>9.9465876077399429E-2</v>
      </c>
      <c r="AG214" s="176">
        <f t="shared" si="91"/>
        <v>1</v>
      </c>
      <c r="AH214" s="176">
        <f t="shared" si="92"/>
        <v>7</v>
      </c>
      <c r="AI214" s="225">
        <f t="shared" si="93"/>
        <v>1.0994658760773994</v>
      </c>
      <c r="AJ214" s="265" t="b">
        <f t="shared" si="94"/>
        <v>0</v>
      </c>
      <c r="AK214" s="265" t="b">
        <f t="shared" si="95"/>
        <v>1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6">
        <v>26.649000000000001</v>
      </c>
      <c r="C215" s="390"/>
      <c r="D215" s="393">
        <f t="shared" si="75"/>
        <v>26.868821107703834</v>
      </c>
      <c r="E215" s="385">
        <f t="shared" si="73"/>
        <v>28.500618597761981</v>
      </c>
      <c r="F215" s="385">
        <f t="shared" si="76"/>
        <v>28.537360620054528</v>
      </c>
      <c r="G215" s="110">
        <f t="shared" si="74"/>
        <v>0.48773050016445457</v>
      </c>
      <c r="H215" s="414" t="b">
        <f>Wh_hp&gt;='2018'!Maxi_hp</f>
        <v>1</v>
      </c>
      <c r="I215" s="390">
        <f>IF(H215,Wh_hp,'2018'!Maxi_hp)</f>
        <v>28.537360620054528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8.1812710287019197E-3</v>
      </c>
      <c r="M215" s="843"/>
      <c r="N215" s="843"/>
      <c r="O215" s="48">
        <f>IF(t&lt;Tnet,'2018'!Resal+('2018'!Salim-'2018'!Resal)*(1-EXP(('2018'!Tnet-t)/('2018'!Tau_j))),Resal+(Salim-Resal)*(1-EXP((Tnet-t)/(Tau_j))))*Salcycl</f>
        <v>5.7254809556529625E-2</v>
      </c>
      <c r="P215" s="169">
        <f>(INDEX(Models!$BJ215:$BT215,,T215)*(1-R215)+INDEX(Models!$BJ215:$BT215,,T215+1)*R215-ERP_i)*Q215*Ramure*Pc/MaxiM</f>
        <v>4.757688460532177E-3</v>
      </c>
      <c r="Q215" s="305">
        <f t="shared" si="78"/>
        <v>0.8</v>
      </c>
      <c r="R215" s="177">
        <f t="shared" si="79"/>
        <v>0.10286485859992167</v>
      </c>
      <c r="S215" s="809">
        <f t="shared" si="80"/>
        <v>1</v>
      </c>
      <c r="T215" s="176">
        <f t="shared" si="81"/>
        <v>7</v>
      </c>
      <c r="U215" s="251">
        <f t="shared" si="82"/>
        <v>1.1028648585999217</v>
      </c>
      <c r="V215" s="383">
        <f t="shared" si="83"/>
        <v>54.448930054460398</v>
      </c>
      <c r="W215" s="58"/>
      <c r="X215" s="157">
        <f t="shared" si="84"/>
        <v>43666</v>
      </c>
      <c r="Y215" s="385">
        <f t="shared" si="85"/>
        <v>26.649000000000001</v>
      </c>
      <c r="Z215" s="385">
        <f t="shared" si="86"/>
        <v>26.868821107703834</v>
      </c>
      <c r="AA215" s="386">
        <f t="shared" si="87"/>
        <v>28.500618597761981</v>
      </c>
      <c r="AB215" s="197">
        <f t="shared" si="88"/>
        <v>43666</v>
      </c>
      <c r="AC215" s="425">
        <f>IF(OR(t&lt;Tnet,NoTnet),'2018'!Resal_s+('2018'!Salim-'2018'!Resal_s)*(1-EXP(('2018'!Tnet_s-t)/'2018'!Tau_j)),Resal_s+(Salim-Resal_s)*(1-EXP((Tnet_s-t)/Tau_j)))*Salcycl</f>
        <v>5.7254809556529625E-2</v>
      </c>
      <c r="AD215" s="231">
        <f>(INDEX(Models!$BJ215:$BT215,,AH215)*(1-AF215)+INDEX(Models!$BJ215:$BT215,,AH215+1)*AF215-ERP_i)*AE215*Ramure*Pc/MaxiM</f>
        <v>4.757688460532177E-3</v>
      </c>
      <c r="AE215" s="305">
        <f t="shared" si="89"/>
        <v>0.8</v>
      </c>
      <c r="AF215" s="177">
        <f t="shared" si="90"/>
        <v>0.10286485859992167</v>
      </c>
      <c r="AG215" s="176">
        <f t="shared" si="91"/>
        <v>1</v>
      </c>
      <c r="AH215" s="176">
        <f t="shared" si="92"/>
        <v>7</v>
      </c>
      <c r="AI215" s="225">
        <f t="shared" si="93"/>
        <v>1.1028648585999217</v>
      </c>
      <c r="AJ215" s="265" t="b">
        <f t="shared" si="94"/>
        <v>0</v>
      </c>
      <c r="AK215" s="265" t="b">
        <f t="shared" si="95"/>
        <v>1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6">
        <v>43.764000000000003</v>
      </c>
      <c r="C216" s="390"/>
      <c r="D216" s="393">
        <f t="shared" si="75"/>
        <v>44.126025449538581</v>
      </c>
      <c r="E216" s="385">
        <f t="shared" si="73"/>
        <v>46.812583344273797</v>
      </c>
      <c r="F216" s="385">
        <f t="shared" si="76"/>
        <v>46.973285219583495</v>
      </c>
      <c r="G216" s="110">
        <f t="shared" si="74"/>
        <v>0.80508222446842226</v>
      </c>
      <c r="H216" s="414" t="b">
        <f>Wh_hp&gt;='2018'!Maxi_hp</f>
        <v>1</v>
      </c>
      <c r="I216" s="390">
        <f>IF(H216,Wh_hp,'2018'!Maxi_hp)</f>
        <v>46.973285219583495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8.2043520994788954E-3</v>
      </c>
      <c r="M216" s="843"/>
      <c r="N216" s="843"/>
      <c r="O216" s="48">
        <f>IF(t&lt;Tnet,'2018'!Resal+('2018'!Salim-'2018'!Resal)*(1-EXP(('2018'!Tnet-t)/('2018'!Tau_j))),Resal+(Salim-Resal)*(1-EXP((Tnet-t)/(Tau_j))))*Salcycl</f>
        <v>5.7389652585021059E-2</v>
      </c>
      <c r="P216" s="169">
        <f>(INDEX(Models!$BJ216:$BT216,,T216)*(1-R216)+INDEX(Models!$BJ216:$BT216,,T216+1)*R216-ERP_i)*Q216*Ramure*Pc/MaxiM</f>
        <v>4.7314639215992457E-3</v>
      </c>
      <c r="Q216" s="305">
        <f t="shared" si="78"/>
        <v>0.8</v>
      </c>
      <c r="R216" s="177">
        <f t="shared" si="79"/>
        <v>0.10617070590959354</v>
      </c>
      <c r="S216" s="809">
        <f t="shared" si="80"/>
        <v>1</v>
      </c>
      <c r="T216" s="176">
        <f t="shared" si="81"/>
        <v>7</v>
      </c>
      <c r="U216" s="251">
        <f t="shared" si="82"/>
        <v>1.1061707059095935</v>
      </c>
      <c r="V216" s="383">
        <f t="shared" si="83"/>
        <v>54.288191327048089</v>
      </c>
      <c r="W216" s="58"/>
      <c r="X216" s="157">
        <f t="shared" si="84"/>
        <v>43667</v>
      </c>
      <c r="Y216" s="385">
        <f t="shared" si="85"/>
        <v>43.764000000000003</v>
      </c>
      <c r="Z216" s="385">
        <f t="shared" si="86"/>
        <v>44.126025449538581</v>
      </c>
      <c r="AA216" s="386">
        <f t="shared" si="87"/>
        <v>46.812583344273797</v>
      </c>
      <c r="AB216" s="197">
        <f t="shared" si="88"/>
        <v>43667</v>
      </c>
      <c r="AC216" s="425">
        <f>IF(OR(t&lt;Tnet,NoTnet),'2018'!Resal_s+('2018'!Salim-'2018'!Resal_s)*(1-EXP(('2018'!Tnet_s-t)/'2018'!Tau_j)),Resal_s+(Salim-Resal_s)*(1-EXP((Tnet_s-t)/Tau_j)))*Salcycl</f>
        <v>5.7389652585021059E-2</v>
      </c>
      <c r="AD216" s="231">
        <f>(INDEX(Models!$BJ216:$BT216,,AH216)*(1-AF216)+INDEX(Models!$BJ216:$BT216,,AH216+1)*AF216-ERP_i)*AE216*Ramure*Pc/MaxiM</f>
        <v>4.7314639215992457E-3</v>
      </c>
      <c r="AE216" s="305">
        <f t="shared" si="89"/>
        <v>0.8</v>
      </c>
      <c r="AF216" s="177">
        <f t="shared" si="90"/>
        <v>0.10617070590959354</v>
      </c>
      <c r="AG216" s="176">
        <f t="shared" si="91"/>
        <v>1</v>
      </c>
      <c r="AH216" s="176">
        <f t="shared" si="92"/>
        <v>7</v>
      </c>
      <c r="AI216" s="225">
        <f t="shared" si="93"/>
        <v>1.1061707059095935</v>
      </c>
      <c r="AJ216" s="265" t="b">
        <f t="shared" si="94"/>
        <v>0</v>
      </c>
      <c r="AK216" s="265" t="b">
        <f t="shared" si="95"/>
        <v>1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6">
        <v>46.529000000000003</v>
      </c>
      <c r="C217" s="390"/>
      <c r="D217" s="393">
        <f t="shared" si="75"/>
        <v>46.914989919042704</v>
      </c>
      <c r="E217" s="385">
        <f t="shared" si="73"/>
        <v>49.778446013498375</v>
      </c>
      <c r="F217" s="385">
        <f t="shared" si="76"/>
        <v>49.966255598295881</v>
      </c>
      <c r="G217" s="110">
        <f t="shared" si="74"/>
        <v>0.85881891044958314</v>
      </c>
      <c r="H217" s="414" t="b">
        <f>Wh_hp&gt;='2018'!Maxi_hp</f>
        <v>1</v>
      </c>
      <c r="I217" s="390">
        <f>IF(H217,Wh_hp,'2018'!Maxi_hp)</f>
        <v>49.966255598295881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8.227432633125753E-3</v>
      </c>
      <c r="M217" s="843"/>
      <c r="N217" s="843"/>
      <c r="O217" s="48">
        <f>IF(t&lt;Tnet,'2018'!Resal+('2018'!Salim-'2018'!Resal)*(1-EXP(('2018'!Tnet-t)/('2018'!Tau_j))),Resal+(Salim-Resal)*(1-EXP((Tnet-t)/(Tau_j))))*Salcycl</f>
        <v>5.7524015387687949E-2</v>
      </c>
      <c r="P217" s="169">
        <f>(INDEX(Models!$BJ217:$BT217,,T217)*(1-R217)+INDEX(Models!$BJ217:$BT217,,T217+1)*R217-ERP_i)*Q217*Ramure*Pc/MaxiM</f>
        <v>4.7014966983679385E-3</v>
      </c>
      <c r="Q217" s="305">
        <f t="shared" si="78"/>
        <v>0.8</v>
      </c>
      <c r="R217" s="177">
        <f t="shared" si="79"/>
        <v>0.10938451669832849</v>
      </c>
      <c r="S217" s="809">
        <f t="shared" si="80"/>
        <v>1</v>
      </c>
      <c r="T217" s="176">
        <f t="shared" si="81"/>
        <v>7</v>
      </c>
      <c r="U217" s="251">
        <f t="shared" si="82"/>
        <v>1.1093845166983285</v>
      </c>
      <c r="V217" s="383">
        <f t="shared" si="83"/>
        <v>54.126624211832379</v>
      </c>
      <c r="W217" s="58"/>
      <c r="X217" s="157">
        <f t="shared" si="84"/>
        <v>43668</v>
      </c>
      <c r="Y217" s="385">
        <f t="shared" si="85"/>
        <v>46.529000000000003</v>
      </c>
      <c r="Z217" s="385">
        <f t="shared" si="86"/>
        <v>46.914989919042704</v>
      </c>
      <c r="AA217" s="386">
        <f t="shared" si="87"/>
        <v>49.778446013498375</v>
      </c>
      <c r="AB217" s="197">
        <f t="shared" si="88"/>
        <v>43668</v>
      </c>
      <c r="AC217" s="425">
        <f>IF(OR(t&lt;Tnet,NoTnet),'2018'!Resal_s+('2018'!Salim-'2018'!Resal_s)*(1-EXP(('2018'!Tnet_s-t)/'2018'!Tau_j)),Resal_s+(Salim-Resal_s)*(1-EXP((Tnet_s-t)/Tau_j)))*Salcycl</f>
        <v>5.7524015387687949E-2</v>
      </c>
      <c r="AD217" s="231">
        <f>(INDEX(Models!$BJ217:$BT217,,AH217)*(1-AF217)+INDEX(Models!$BJ217:$BT217,,AH217+1)*AF217-ERP_i)*AE217*Ramure*Pc/MaxiM</f>
        <v>4.7014966983679385E-3</v>
      </c>
      <c r="AE217" s="305">
        <f t="shared" si="89"/>
        <v>0.8</v>
      </c>
      <c r="AF217" s="177">
        <f t="shared" si="90"/>
        <v>0.10938451669832849</v>
      </c>
      <c r="AG217" s="176">
        <f t="shared" si="91"/>
        <v>1</v>
      </c>
      <c r="AH217" s="176">
        <f t="shared" si="92"/>
        <v>7</v>
      </c>
      <c r="AI217" s="225">
        <f t="shared" si="93"/>
        <v>1.1093845166983285</v>
      </c>
      <c r="AJ217" s="265" t="b">
        <f t="shared" si="94"/>
        <v>0</v>
      </c>
      <c r="AK217" s="265" t="b">
        <f t="shared" si="95"/>
        <v>1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6">
        <v>50.97</v>
      </c>
      <c r="C218" s="390"/>
      <c r="D218" s="393">
        <f t="shared" si="75"/>
        <v>51.394027069425114</v>
      </c>
      <c r="E218" s="385">
        <f t="shared" si="73"/>
        <v>54.538609823069272</v>
      </c>
      <c r="F218" s="385">
        <f t="shared" si="76"/>
        <v>54.77401411835254</v>
      </c>
      <c r="G218" s="110">
        <f t="shared" si="74"/>
        <v>0.9441581649476406</v>
      </c>
      <c r="H218" s="414" t="b">
        <f>Wh_hp&gt;='2018'!Maxi_hp</f>
        <v>1</v>
      </c>
      <c r="I218" s="390">
        <f>IF(H218,Wh_hp,'2018'!Maxi_hp)</f>
        <v>54.77401411835254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8.2505126296548159E-3</v>
      </c>
      <c r="M218" s="843"/>
      <c r="N218" s="843"/>
      <c r="O218" s="48">
        <f>IF(t&lt;Tnet,'2018'!Resal+('2018'!Salim-'2018'!Resal)*(1-EXP(('2018'!Tnet-t)/('2018'!Tau_j))),Resal+(Salim-Resal)*(1-EXP((Tnet-t)/(Tau_j))))*Salcycl</f>
        <v>5.7657919111719483E-2</v>
      </c>
      <c r="P218" s="169">
        <f>(INDEX(Models!$BJ218:$BT218,,T218)*(1-R218)+INDEX(Models!$BJ218:$BT218,,T218+1)*R218-ERP_i)*Q218*Ramure*Pc/MaxiM</f>
        <v>4.6677625495952458E-3</v>
      </c>
      <c r="Q218" s="305">
        <f t="shared" si="78"/>
        <v>0.8</v>
      </c>
      <c r="R218" s="177">
        <f t="shared" si="79"/>
        <v>0.11250748041168723</v>
      </c>
      <c r="S218" s="809">
        <f t="shared" si="80"/>
        <v>1</v>
      </c>
      <c r="T218" s="176">
        <f t="shared" si="81"/>
        <v>7</v>
      </c>
      <c r="U218" s="251">
        <f t="shared" si="82"/>
        <v>1.1125074804116872</v>
      </c>
      <c r="V218" s="383">
        <f t="shared" si="83"/>
        <v>53.964537163599481</v>
      </c>
      <c r="W218" s="58"/>
      <c r="X218" s="157">
        <f t="shared" si="84"/>
        <v>43669</v>
      </c>
      <c r="Y218" s="385">
        <f t="shared" si="85"/>
        <v>50.97</v>
      </c>
      <c r="Z218" s="385">
        <f t="shared" si="86"/>
        <v>51.394027069425114</v>
      </c>
      <c r="AA218" s="386">
        <f t="shared" si="87"/>
        <v>54.538609823069272</v>
      </c>
      <c r="AB218" s="197">
        <f t="shared" si="88"/>
        <v>43669</v>
      </c>
      <c r="AC218" s="425">
        <f>IF(OR(t&lt;Tnet,NoTnet),'2018'!Resal_s+('2018'!Salim-'2018'!Resal_s)*(1-EXP(('2018'!Tnet_s-t)/'2018'!Tau_j)),Resal_s+(Salim-Resal_s)*(1-EXP((Tnet_s-t)/Tau_j)))*Salcycl</f>
        <v>5.7657919111719483E-2</v>
      </c>
      <c r="AD218" s="231">
        <f>(INDEX(Models!$BJ218:$BT218,,AH218)*(1-AF218)+INDEX(Models!$BJ218:$BT218,,AH218+1)*AF218-ERP_i)*AE218*Ramure*Pc/MaxiM</f>
        <v>4.6677625495952458E-3</v>
      </c>
      <c r="AE218" s="305">
        <f t="shared" si="89"/>
        <v>0.8</v>
      </c>
      <c r="AF218" s="177">
        <f t="shared" si="90"/>
        <v>0.11250748041168723</v>
      </c>
      <c r="AG218" s="176">
        <f t="shared" si="91"/>
        <v>1</v>
      </c>
      <c r="AH218" s="176">
        <f t="shared" si="92"/>
        <v>7</v>
      </c>
      <c r="AI218" s="225">
        <f t="shared" si="93"/>
        <v>1.1125074804116872</v>
      </c>
      <c r="AJ218" s="265" t="b">
        <f t="shared" si="94"/>
        <v>0</v>
      </c>
      <c r="AK218" s="265" t="b">
        <f t="shared" si="95"/>
        <v>1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6">
        <v>51.127000000000002</v>
      </c>
      <c r="C219" s="390"/>
      <c r="D219" s="393">
        <f t="shared" si="75"/>
        <v>51.553532901981903</v>
      </c>
      <c r="E219" s="385">
        <f t="shared" si="73"/>
        <v>54.715624566819457</v>
      </c>
      <c r="F219" s="385">
        <f t="shared" si="76"/>
        <v>54.951989772892752</v>
      </c>
      <c r="G219" s="110">
        <f t="shared" si="74"/>
        <v>0.94996038996422327</v>
      </c>
      <c r="H219" s="414" t="b">
        <f>Wh_hp&gt;='2018'!Maxi_hp</f>
        <v>1</v>
      </c>
      <c r="I219" s="390">
        <f>IF(H219,Wh_hp,'2018'!Maxi_hp)</f>
        <v>54.951989772892752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8.2735920890787407E-3</v>
      </c>
      <c r="M219" s="843"/>
      <c r="N219" s="843"/>
      <c r="O219" s="48">
        <f>IF(t&lt;Tnet,'2018'!Resal+('2018'!Salim-'2018'!Resal)*(1-EXP(('2018'!Tnet-t)/('2018'!Tau_j))),Resal+(Salim-Resal)*(1-EXP((Tnet-t)/(Tau_j))))*Salcycl</f>
        <v>5.7791383903074436E-2</v>
      </c>
      <c r="P219" s="169">
        <f>(INDEX(Models!$BJ219:$BT219,,T219)*(1-R219)+INDEX(Models!$BJ219:$BT219,,T219+1)*R219-ERP_i)*Q219*Ramure*Pc/MaxiM</f>
        <v>4.6302194404603059E-3</v>
      </c>
      <c r="Q219" s="305">
        <f t="shared" si="78"/>
        <v>0.8</v>
      </c>
      <c r="R219" s="177">
        <f t="shared" si="79"/>
        <v>0.11554086926313989</v>
      </c>
      <c r="S219" s="809">
        <f t="shared" si="80"/>
        <v>1</v>
      </c>
      <c r="T219" s="176">
        <f t="shared" si="81"/>
        <v>7</v>
      </c>
      <c r="U219" s="251">
        <f t="shared" si="82"/>
        <v>1.1155408692631399</v>
      </c>
      <c r="V219" s="383">
        <f t="shared" si="83"/>
        <v>53.802360001731422</v>
      </c>
      <c r="W219" s="58"/>
      <c r="X219" s="157">
        <f t="shared" si="84"/>
        <v>43670</v>
      </c>
      <c r="Y219" s="385">
        <f t="shared" si="85"/>
        <v>51.127000000000002</v>
      </c>
      <c r="Z219" s="385">
        <f t="shared" si="86"/>
        <v>51.553532901981903</v>
      </c>
      <c r="AA219" s="386">
        <f t="shared" si="87"/>
        <v>54.715624566819457</v>
      </c>
      <c r="AB219" s="197">
        <f t="shared" si="88"/>
        <v>43670</v>
      </c>
      <c r="AC219" s="425">
        <f>IF(OR(t&lt;Tnet,NoTnet),'2018'!Resal_s+('2018'!Salim-'2018'!Resal_s)*(1-EXP(('2018'!Tnet_s-t)/'2018'!Tau_j)),Resal_s+(Salim-Resal_s)*(1-EXP((Tnet_s-t)/Tau_j)))*Salcycl</f>
        <v>5.7791383903074436E-2</v>
      </c>
      <c r="AD219" s="231">
        <f>(INDEX(Models!$BJ219:$BT219,,AH219)*(1-AF219)+INDEX(Models!$BJ219:$BT219,,AH219+1)*AF219-ERP_i)*AE219*Ramure*Pc/MaxiM</f>
        <v>4.6302194404603059E-3</v>
      </c>
      <c r="AE219" s="305">
        <f t="shared" si="89"/>
        <v>0.8</v>
      </c>
      <c r="AF219" s="177">
        <f t="shared" si="90"/>
        <v>0.11554086926313989</v>
      </c>
      <c r="AG219" s="176">
        <f t="shared" si="91"/>
        <v>1</v>
      </c>
      <c r="AH219" s="176">
        <f t="shared" si="92"/>
        <v>7</v>
      </c>
      <c r="AI219" s="225">
        <f t="shared" si="93"/>
        <v>1.1155408692631399</v>
      </c>
      <c r="AJ219" s="265" t="b">
        <f t="shared" si="94"/>
        <v>0</v>
      </c>
      <c r="AK219" s="265" t="b">
        <f t="shared" si="95"/>
        <v>1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6">
        <v>51.35</v>
      </c>
      <c r="C220" s="390"/>
      <c r="D220" s="393">
        <f t="shared" si="75"/>
        <v>51.779598292132789</v>
      </c>
      <c r="E220" s="385">
        <f t="shared" si="73"/>
        <v>54.963317037938637</v>
      </c>
      <c r="F220" s="385">
        <f t="shared" si="76"/>
        <v>55.201202460860117</v>
      </c>
      <c r="G220" s="110">
        <f t="shared" si="74"/>
        <v>0.95703863004711842</v>
      </c>
      <c r="H220" s="414" t="b">
        <f>Wh_hp&gt;='2018'!Maxi_hp</f>
        <v>1</v>
      </c>
      <c r="I220" s="390">
        <f>IF(H220,Wh_hp,'2018'!Maxi_hp)</f>
        <v>55.201202460860117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8.2966710114098507E-3</v>
      </c>
      <c r="M220" s="843"/>
      <c r="N220" s="843"/>
      <c r="O220" s="48">
        <f>IF(t&lt;Tnet,'2018'!Resal+('2018'!Salim-'2018'!Resal)*(1-EXP(('2018'!Tnet-t)/('2018'!Tau_j))),Resal+(Salim-Resal)*(1-EXP((Tnet-t)/(Tau_j))))*Salcycl</f>
        <v>5.7924428826016366E-2</v>
      </c>
      <c r="P220" s="169">
        <f>(INDEX(Models!$BJ220:$BT220,,T220)*(1-R220)+INDEX(Models!$BJ220:$BT220,,T220+1)*R220-ERP_i)*Q220*Ramure*Pc/MaxiM</f>
        <v>4.5893226015051303E-3</v>
      </c>
      <c r="Q220" s="305">
        <f t="shared" si="78"/>
        <v>0.8</v>
      </c>
      <c r="R220" s="177">
        <f t="shared" si="79"/>
        <v>0.11848603044770178</v>
      </c>
      <c r="S220" s="809">
        <f t="shared" si="80"/>
        <v>1</v>
      </c>
      <c r="T220" s="176">
        <f t="shared" si="81"/>
        <v>7</v>
      </c>
      <c r="U220" s="251">
        <f t="shared" si="82"/>
        <v>1.1184860304477018</v>
      </c>
      <c r="V220" s="383">
        <f t="shared" si="83"/>
        <v>53.640013498273312</v>
      </c>
      <c r="W220" s="58"/>
      <c r="X220" s="157">
        <f t="shared" si="84"/>
        <v>43671</v>
      </c>
      <c r="Y220" s="385">
        <f t="shared" si="85"/>
        <v>51.35</v>
      </c>
      <c r="Z220" s="385">
        <f t="shared" si="86"/>
        <v>51.779598292132789</v>
      </c>
      <c r="AA220" s="386">
        <f t="shared" si="87"/>
        <v>54.963317037938637</v>
      </c>
      <c r="AB220" s="197">
        <f t="shared" si="88"/>
        <v>43671</v>
      </c>
      <c r="AC220" s="425">
        <f>IF(OR(t&lt;Tnet,NoTnet),'2018'!Resal_s+('2018'!Salim-'2018'!Resal_s)*(1-EXP(('2018'!Tnet_s-t)/'2018'!Tau_j)),Resal_s+(Salim-Resal_s)*(1-EXP((Tnet_s-t)/Tau_j)))*Salcycl</f>
        <v>5.7924428826016366E-2</v>
      </c>
      <c r="AD220" s="231">
        <f>(INDEX(Models!$BJ220:$BT220,,AH220)*(1-AF220)+INDEX(Models!$BJ220:$BT220,,AH220+1)*AF220-ERP_i)*AE220*Ramure*Pc/MaxiM</f>
        <v>4.5893226015051303E-3</v>
      </c>
      <c r="AE220" s="305">
        <f t="shared" si="89"/>
        <v>0.8</v>
      </c>
      <c r="AF220" s="177">
        <f t="shared" si="90"/>
        <v>0.11848603044770178</v>
      </c>
      <c r="AG220" s="176">
        <f t="shared" si="91"/>
        <v>1</v>
      </c>
      <c r="AH220" s="176">
        <f t="shared" si="92"/>
        <v>7</v>
      </c>
      <c r="AI220" s="225">
        <f t="shared" si="93"/>
        <v>1.1184860304477018</v>
      </c>
      <c r="AJ220" s="265" t="b">
        <f t="shared" si="94"/>
        <v>0</v>
      </c>
      <c r="AK220" s="265" t="b">
        <f t="shared" si="95"/>
        <v>1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6">
        <v>19.841999999999999</v>
      </c>
      <c r="C221" s="390"/>
      <c r="D221" s="393">
        <f t="shared" si="75"/>
        <v>20.00846541809026</v>
      </c>
      <c r="E221" s="385">
        <f t="shared" si="73"/>
        <v>21.241696093193912</v>
      </c>
      <c r="F221" s="385">
        <f t="shared" si="76"/>
        <v>21.251502008725112</v>
      </c>
      <c r="G221" s="110">
        <f t="shared" si="74"/>
        <v>0.36952156251947349</v>
      </c>
      <c r="H221" s="414" t="b">
        <f>Wh_hp&gt;='2018'!Maxi_hp</f>
        <v>1</v>
      </c>
      <c r="I221" s="390">
        <f>IF(H221,Wh_hp,'2018'!Maxi_hp)</f>
        <v>21.251502008725112</v>
      </c>
      <c r="J221" s="85">
        <f>IF(H221,An,'2018'!An_max)</f>
        <v>2019</v>
      </c>
      <c r="K221" s="197">
        <f t="shared" si="77"/>
        <v>43672</v>
      </c>
      <c r="L221" s="147">
        <f>IF(t&lt;Tvie,1-EXP((T0-t)*PertePVj)+'2018'!Pspv,1-EXP((T0-t)*PertePVj)+Pspv)</f>
        <v>8.3197493966606917E-3</v>
      </c>
      <c r="M221" s="843"/>
      <c r="N221" s="843"/>
      <c r="O221" s="48">
        <f>IF(t&lt;Tnet,'2018'!Resal+('2018'!Salim-'2018'!Resal)*(1-EXP(('2018'!Tnet-t)/('2018'!Tau_j))),Resal+(Salim-Resal)*(1-EXP((Tnet-t)/(Tau_j))))*Salcycl</f>
        <v>5.8057071793753516E-2</v>
      </c>
      <c r="P221" s="169">
        <f>(INDEX(Models!$BJ221:$BT221,,T221)*(1-R221)+INDEX(Models!$BJ221:$BT221,,T221+1)*R221-ERP_i)*Q221*Ramure*Pc/MaxiM</f>
        <v>4.546793981290877E-3</v>
      </c>
      <c r="Q221" s="305">
        <f t="shared" si="78"/>
        <v>0.8</v>
      </c>
      <c r="R221" s="177">
        <f t="shared" si="79"/>
        <v>0.12134437858113256</v>
      </c>
      <c r="S221" s="809">
        <f t="shared" si="80"/>
        <v>1</v>
      </c>
      <c r="T221" s="176">
        <f t="shared" si="81"/>
        <v>7</v>
      </c>
      <c r="U221" s="251">
        <f t="shared" si="82"/>
        <v>1.1213443785811326</v>
      </c>
      <c r="V221" s="383">
        <f t="shared" si="83"/>
        <v>53.47698926688814</v>
      </c>
      <c r="W221" s="58"/>
      <c r="X221" s="157">
        <f t="shared" si="84"/>
        <v>43672</v>
      </c>
      <c r="Y221" s="385">
        <f t="shared" si="85"/>
        <v>19.841999999999999</v>
      </c>
      <c r="Z221" s="385">
        <f t="shared" si="86"/>
        <v>20.00846541809026</v>
      </c>
      <c r="AA221" s="386">
        <f t="shared" si="87"/>
        <v>21.241696093193912</v>
      </c>
      <c r="AB221" s="197">
        <f t="shared" si="88"/>
        <v>43672</v>
      </c>
      <c r="AC221" s="425">
        <f>IF(OR(t&lt;Tnet,NoTnet),'2018'!Resal_s+('2018'!Salim-'2018'!Resal_s)*(1-EXP(('2018'!Tnet_s-t)/'2018'!Tau_j)),Resal_s+(Salim-Resal_s)*(1-EXP((Tnet_s-t)/Tau_j)))*Salcycl</f>
        <v>5.8057071793753516E-2</v>
      </c>
      <c r="AD221" s="231">
        <f>(INDEX(Models!$BJ221:$BT221,,AH221)*(1-AF221)+INDEX(Models!$BJ221:$BT221,,AH221+1)*AF221-ERP_i)*AE221*Ramure*Pc/MaxiM</f>
        <v>4.546793981290877E-3</v>
      </c>
      <c r="AE221" s="305">
        <f t="shared" si="89"/>
        <v>0.8</v>
      </c>
      <c r="AF221" s="177">
        <f t="shared" si="90"/>
        <v>0.12134437858113256</v>
      </c>
      <c r="AG221" s="176">
        <f t="shared" si="91"/>
        <v>1</v>
      </c>
      <c r="AH221" s="176">
        <f t="shared" si="92"/>
        <v>7</v>
      </c>
      <c r="AI221" s="225">
        <f t="shared" si="93"/>
        <v>1.1213443785811326</v>
      </c>
      <c r="AJ221" s="265" t="b">
        <f t="shared" si="94"/>
        <v>0</v>
      </c>
      <c r="AK221" s="265" t="b">
        <f t="shared" si="95"/>
        <v>1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6">
        <v>13.205</v>
      </c>
      <c r="C222" s="390"/>
      <c r="D222" s="393">
        <f t="shared" si="75"/>
        <v>13.316093870739707</v>
      </c>
      <c r="E222" s="385">
        <f t="shared" si="73"/>
        <v>14.138822470355214</v>
      </c>
      <c r="F222" s="385">
        <f t="shared" si="76"/>
        <v>14.138822470355214</v>
      </c>
      <c r="G222" s="110">
        <f t="shared" si="74"/>
        <v>0.24657352144112918</v>
      </c>
      <c r="H222" s="414" t="b">
        <f>Wh_hp&gt;='2018'!Maxi_hp</f>
        <v>1</v>
      </c>
      <c r="I222" s="390">
        <f>IF(H222,Wh_hp,'2018'!Maxi_hp)</f>
        <v>14.138822470355214</v>
      </c>
      <c r="J222" s="85">
        <f>IF(H222,An,'2018'!An_max)</f>
        <v>2019</v>
      </c>
      <c r="K222" s="197">
        <f t="shared" si="77"/>
        <v>43673</v>
      </c>
      <c r="L222" s="147">
        <f>IF(t&lt;Tvie,1-EXP((T0-t)*PertePVj)+'2018'!Pspv,1-EXP((T0-t)*PertePVj)+Pspv)</f>
        <v>8.34282724484392E-3</v>
      </c>
      <c r="M222" s="843"/>
      <c r="N222" s="843"/>
      <c r="O222" s="48">
        <f>IF(t&lt;Tnet,'2018'!Resal+('2018'!Salim-'2018'!Resal)*(1-EXP(('2018'!Tnet-t)/('2018'!Tau_j))),Resal+(Salim-Resal)*(1-EXP((Tnet-t)/(Tau_j))))*Salcycl</f>
        <v>5.8189329510326376E-2</v>
      </c>
      <c r="P222" s="169">
        <f>(INDEX(Models!$BJ222:$BT222,,T222)*(1-R222)+INDEX(Models!$BJ222:$BT222,,T222+1)*R222-ERP_i)*Q222*Ramure*Pc/MaxiM</f>
        <v>4.5027463924236276E-3</v>
      </c>
      <c r="Q222" s="305">
        <f t="shared" si="78"/>
        <v>0.8</v>
      </c>
      <c r="R222" s="177">
        <f t="shared" si="79"/>
        <v>0.12411738838709141</v>
      </c>
      <c r="S222" s="809">
        <f t="shared" si="80"/>
        <v>1</v>
      </c>
      <c r="T222" s="176">
        <f t="shared" si="81"/>
        <v>7</v>
      </c>
      <c r="U222" s="251">
        <f t="shared" si="82"/>
        <v>1.1241173883870914</v>
      </c>
      <c r="V222" s="383">
        <f t="shared" si="83"/>
        <v>53.312866511608057</v>
      </c>
      <c r="W222" s="58"/>
      <c r="X222" s="157">
        <f t="shared" si="84"/>
        <v>43673</v>
      </c>
      <c r="Y222" s="385">
        <f t="shared" si="85"/>
        <v>13.205</v>
      </c>
      <c r="Z222" s="385">
        <f t="shared" si="86"/>
        <v>13.316093870739707</v>
      </c>
      <c r="AA222" s="386">
        <f t="shared" si="87"/>
        <v>14.138822470355214</v>
      </c>
      <c r="AB222" s="197">
        <f t="shared" si="88"/>
        <v>43673</v>
      </c>
      <c r="AC222" s="425">
        <f>IF(OR(t&lt;Tnet,NoTnet),'2018'!Resal_s+('2018'!Salim-'2018'!Resal_s)*(1-EXP(('2018'!Tnet_s-t)/'2018'!Tau_j)),Resal_s+(Salim-Resal_s)*(1-EXP((Tnet_s-t)/Tau_j)))*Salcycl</f>
        <v>5.8189329510326376E-2</v>
      </c>
      <c r="AD222" s="231">
        <f>(INDEX(Models!$BJ222:$BT222,,AH222)*(1-AF222)+INDEX(Models!$BJ222:$BT222,,AH222+1)*AF222-ERP_i)*AE222*Ramure*Pc/MaxiM</f>
        <v>4.5027463924236276E-3</v>
      </c>
      <c r="AE222" s="305">
        <f t="shared" si="89"/>
        <v>0.8</v>
      </c>
      <c r="AF222" s="177">
        <f t="shared" si="90"/>
        <v>0.12411738838709141</v>
      </c>
      <c r="AG222" s="176">
        <f t="shared" si="91"/>
        <v>1</v>
      </c>
      <c r="AH222" s="176">
        <f t="shared" si="92"/>
        <v>7</v>
      </c>
      <c r="AI222" s="225">
        <f t="shared" si="93"/>
        <v>1.1241173883870914</v>
      </c>
      <c r="AJ222" s="265" t="b">
        <f t="shared" si="94"/>
        <v>0</v>
      </c>
      <c r="AK222" s="265" t="b">
        <f t="shared" si="95"/>
        <v>1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6">
        <v>50.884</v>
      </c>
      <c r="C223" s="390"/>
      <c r="D223" s="393">
        <f t="shared" si="75"/>
        <v>51.313282019831576</v>
      </c>
      <c r="E223" s="385">
        <f t="shared" si="73"/>
        <v>54.491279796545456</v>
      </c>
      <c r="F223" s="385">
        <f t="shared" si="76"/>
        <v>54.720346355997435</v>
      </c>
      <c r="G223" s="110">
        <f t="shared" si="74"/>
        <v>0.95715523134299918</v>
      </c>
      <c r="H223" s="414" t="b">
        <f>Wh_hp&gt;='2018'!Maxi_hp</f>
        <v>1</v>
      </c>
      <c r="I223" s="390">
        <f>IF(H223,Wh_hp,'2018'!Maxi_hp)</f>
        <v>54.720346355997435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8.3659045559717482E-3</v>
      </c>
      <c r="M223" s="843"/>
      <c r="N223" s="843"/>
      <c r="O223" s="48">
        <f>IF(t&lt;Tnet,'2018'!Resal+('2018'!Salim-'2018'!Resal)*(1-EXP(('2018'!Tnet-t)/('2018'!Tau_j))),Resal+(Salim-Resal)*(1-EXP((Tnet-t)/(Tau_j))))*Salcycl</f>
        <v>5.8321217423771297E-2</v>
      </c>
      <c r="P223" s="169">
        <f>(INDEX(Models!$BJ223:$BT223,,T223)*(1-R223)+INDEX(Models!$BJ223:$BT223,,T223+1)*R223-ERP_i)*Q223*Ramure*Pc/MaxiM</f>
        <v>4.457287736319677E-3</v>
      </c>
      <c r="Q223" s="305">
        <f t="shared" si="78"/>
        <v>0.8</v>
      </c>
      <c r="R223" s="177">
        <f t="shared" si="79"/>
        <v>0.1268065876509894</v>
      </c>
      <c r="S223" s="809">
        <f t="shared" si="80"/>
        <v>1</v>
      </c>
      <c r="T223" s="176">
        <f t="shared" si="81"/>
        <v>7</v>
      </c>
      <c r="U223" s="251">
        <f t="shared" si="82"/>
        <v>1.1268065876509894</v>
      </c>
      <c r="V223" s="383">
        <f t="shared" si="83"/>
        <v>53.147225040993419</v>
      </c>
      <c r="W223" s="58"/>
      <c r="X223" s="157">
        <f t="shared" si="84"/>
        <v>43674</v>
      </c>
      <c r="Y223" s="385">
        <f t="shared" si="85"/>
        <v>50.884</v>
      </c>
      <c r="Z223" s="385">
        <f t="shared" si="86"/>
        <v>51.313282019831576</v>
      </c>
      <c r="AA223" s="386">
        <f t="shared" si="87"/>
        <v>54.491279796545456</v>
      </c>
      <c r="AB223" s="197">
        <f t="shared" si="88"/>
        <v>43674</v>
      </c>
      <c r="AC223" s="425">
        <f>IF(OR(t&lt;Tnet,NoTnet),'2018'!Resal_s+('2018'!Salim-'2018'!Resal_s)*(1-EXP(('2018'!Tnet_s-t)/'2018'!Tau_j)),Resal_s+(Salim-Resal_s)*(1-EXP((Tnet_s-t)/Tau_j)))*Salcycl</f>
        <v>5.8321217423771297E-2</v>
      </c>
      <c r="AD223" s="231">
        <f>(INDEX(Models!$BJ223:$BT223,,AH223)*(1-AF223)+INDEX(Models!$BJ223:$BT223,,AH223+1)*AF223-ERP_i)*AE223*Ramure*Pc/MaxiM</f>
        <v>4.457287736319677E-3</v>
      </c>
      <c r="AE223" s="305">
        <f t="shared" si="89"/>
        <v>0.8</v>
      </c>
      <c r="AF223" s="177">
        <f t="shared" si="90"/>
        <v>0.1268065876509894</v>
      </c>
      <c r="AG223" s="176">
        <f t="shared" si="91"/>
        <v>1</v>
      </c>
      <c r="AH223" s="176">
        <f t="shared" si="92"/>
        <v>7</v>
      </c>
      <c r="AI223" s="225">
        <f t="shared" si="93"/>
        <v>1.1268065876509894</v>
      </c>
      <c r="AJ223" s="265" t="b">
        <f t="shared" si="94"/>
        <v>0</v>
      </c>
      <c r="AK223" s="265" t="b">
        <f t="shared" si="95"/>
        <v>1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6">
        <v>53.296999999999997</v>
      </c>
      <c r="C224" s="390"/>
      <c r="D224" s="393">
        <f t="shared" si="75"/>
        <v>53.747890046126912</v>
      </c>
      <c r="E224" s="385">
        <f t="shared" si="73"/>
        <v>57.084644481153497</v>
      </c>
      <c r="F224" s="385">
        <f t="shared" si="76"/>
        <v>57.337532868317645</v>
      </c>
      <c r="G224" s="110">
        <f t="shared" si="74"/>
        <v>1.0059901257077033</v>
      </c>
      <c r="H224" s="414" t="b">
        <f>Wh_hp&gt;='2018'!Maxi_hp</f>
        <v>1</v>
      </c>
      <c r="I224" s="390">
        <f>IF(H224,Wh_hp,'2018'!Maxi_hp)</f>
        <v>57.337532868317645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8.3889813300569438E-3</v>
      </c>
      <c r="M224" s="843"/>
      <c r="N224" s="843"/>
      <c r="O224" s="48">
        <f>IF(t&lt;Tnet,'2018'!Resal+('2018'!Salim-'2018'!Resal)*(1-EXP(('2018'!Tnet-t)/('2018'!Tau_j))),Resal+(Salim-Resal)*(1-EXP((Tnet-t)/(Tau_j))))*Salcycl</f>
        <v>5.8452749690474287E-2</v>
      </c>
      <c r="P224" s="169">
        <f>(INDEX(Models!$BJ224:$BT224,,T224)*(1-R224)+INDEX(Models!$BJ224:$BT224,,T224+1)*R224-ERP_i)*Q224*Ramure*Pc/MaxiM</f>
        <v>4.4105209016393416E-3</v>
      </c>
      <c r="Q224" s="305">
        <f t="shared" si="78"/>
        <v>0.8</v>
      </c>
      <c r="R224" s="177">
        <f t="shared" si="79"/>
        <v>0.12941355045582936</v>
      </c>
      <c r="S224" s="809">
        <f t="shared" si="80"/>
        <v>1</v>
      </c>
      <c r="T224" s="176">
        <f t="shared" si="81"/>
        <v>7</v>
      </c>
      <c r="U224" s="251">
        <f t="shared" si="82"/>
        <v>1.1294135504558294</v>
      </c>
      <c r="V224" s="383">
        <f t="shared" si="83"/>
        <v>52.97964526491365</v>
      </c>
      <c r="W224" s="58"/>
      <c r="X224" s="157">
        <f t="shared" si="84"/>
        <v>43675</v>
      </c>
      <c r="Y224" s="385">
        <f t="shared" si="85"/>
        <v>53.296999999999997</v>
      </c>
      <c r="Z224" s="385">
        <f t="shared" si="86"/>
        <v>53.747890046126912</v>
      </c>
      <c r="AA224" s="386">
        <f t="shared" si="87"/>
        <v>57.084644481153497</v>
      </c>
      <c r="AB224" s="197">
        <f t="shared" si="88"/>
        <v>43675</v>
      </c>
      <c r="AC224" s="425">
        <f>IF(OR(t&lt;Tnet,NoTnet),'2018'!Resal_s+('2018'!Salim-'2018'!Resal_s)*(1-EXP(('2018'!Tnet_s-t)/'2018'!Tau_j)),Resal_s+(Salim-Resal_s)*(1-EXP((Tnet_s-t)/Tau_j)))*Salcycl</f>
        <v>5.8452749690474287E-2</v>
      </c>
      <c r="AD224" s="231">
        <f>(INDEX(Models!$BJ224:$BT224,,AH224)*(1-AF224)+INDEX(Models!$BJ224:$BT224,,AH224+1)*AF224-ERP_i)*AE224*Ramure*Pc/MaxiM</f>
        <v>4.4105209016393416E-3</v>
      </c>
      <c r="AE224" s="305">
        <f t="shared" si="89"/>
        <v>0.8</v>
      </c>
      <c r="AF224" s="177">
        <f t="shared" si="90"/>
        <v>0.12941355045582936</v>
      </c>
      <c r="AG224" s="176">
        <f t="shared" si="91"/>
        <v>1</v>
      </c>
      <c r="AH224" s="176">
        <f t="shared" si="92"/>
        <v>7</v>
      </c>
      <c r="AI224" s="225">
        <f t="shared" si="93"/>
        <v>1.1294135504558294</v>
      </c>
      <c r="AJ224" s="265" t="b">
        <f t="shared" si="94"/>
        <v>0</v>
      </c>
      <c r="AK224" s="265" t="b">
        <f t="shared" si="95"/>
        <v>1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6">
        <v>26.884</v>
      </c>
      <c r="C225" s="390"/>
      <c r="D225" s="393">
        <f t="shared" si="75"/>
        <v>27.112068279127488</v>
      </c>
      <c r="E225" s="385">
        <f t="shared" si="73"/>
        <v>28.799241277722665</v>
      </c>
      <c r="F225" s="385">
        <f t="shared" si="76"/>
        <v>28.836815251761184</v>
      </c>
      <c r="G225" s="110">
        <f t="shared" si="74"/>
        <v>0.50751349444763327</v>
      </c>
      <c r="H225" s="414" t="b">
        <f>Wh_hp&gt;='2018'!Maxi_hp</f>
        <v>1</v>
      </c>
      <c r="I225" s="390">
        <f>IF(H225,Wh_hp,'2018'!Maxi_hp)</f>
        <v>28.836815251761184</v>
      </c>
      <c r="J225" s="85">
        <f>IF(H225,An,'2018'!An_max)</f>
        <v>2019</v>
      </c>
      <c r="K225" s="197">
        <f t="shared" si="77"/>
        <v>43676</v>
      </c>
      <c r="L225" s="147">
        <f>IF(t&lt;Tvie,1-EXP((T0-t)*PertePVj)+'2018'!Pspv,1-EXP((T0-t)*PertePVj)+Pspv)</f>
        <v>8.4120575671118303E-3</v>
      </c>
      <c r="M225" s="843"/>
      <c r="N225" s="843"/>
      <c r="O225" s="48">
        <f>IF(t&lt;Tnet,'2018'!Resal+('2018'!Salim-'2018'!Resal)*(1-EXP(('2018'!Tnet-t)/('2018'!Tau_j))),Resal+(Salim-Resal)*(1-EXP((Tnet-t)/(Tau_j))))*Salcycl</f>
        <v>5.8583939150517524E-2</v>
      </c>
      <c r="P225" s="169">
        <f>(INDEX(Models!$BJ225:$BT225,,T225)*(1-R225)+INDEX(Models!$BJ225:$BT225,,T225+1)*R225-ERP_i)*Q225*Ramure*Pc/MaxiM</f>
        <v>4.3625436989706235E-3</v>
      </c>
      <c r="Q225" s="305">
        <f t="shared" si="78"/>
        <v>0.8</v>
      </c>
      <c r="R225" s="177">
        <f t="shared" si="79"/>
        <v>0.13193989071208834</v>
      </c>
      <c r="S225" s="809">
        <f t="shared" si="80"/>
        <v>1</v>
      </c>
      <c r="T225" s="176">
        <f t="shared" si="81"/>
        <v>7</v>
      </c>
      <c r="U225" s="251">
        <f t="shared" si="82"/>
        <v>1.1319398907120883</v>
      </c>
      <c r="V225" s="383">
        <f t="shared" si="83"/>
        <v>52.809708188000045</v>
      </c>
      <c r="W225" s="58"/>
      <c r="X225" s="157">
        <f t="shared" si="84"/>
        <v>43676</v>
      </c>
      <c r="Y225" s="385">
        <f t="shared" si="85"/>
        <v>26.884</v>
      </c>
      <c r="Z225" s="385">
        <f t="shared" si="86"/>
        <v>27.112068279127488</v>
      </c>
      <c r="AA225" s="386">
        <f t="shared" si="87"/>
        <v>28.799241277722665</v>
      </c>
      <c r="AB225" s="197">
        <f t="shared" si="88"/>
        <v>43676</v>
      </c>
      <c r="AC225" s="425">
        <f>IF(OR(t&lt;Tnet,NoTnet),'2018'!Resal_s+('2018'!Salim-'2018'!Resal_s)*(1-EXP(('2018'!Tnet_s-t)/'2018'!Tau_j)),Resal_s+(Salim-Resal_s)*(1-EXP((Tnet_s-t)/Tau_j)))*Salcycl</f>
        <v>5.8583939150517524E-2</v>
      </c>
      <c r="AD225" s="231">
        <f>(INDEX(Models!$BJ225:$BT225,,AH225)*(1-AF225)+INDEX(Models!$BJ225:$BT225,,AH225+1)*AF225-ERP_i)*AE225*Ramure*Pc/MaxiM</f>
        <v>4.3625436989706235E-3</v>
      </c>
      <c r="AE225" s="305">
        <f t="shared" si="89"/>
        <v>0.8</v>
      </c>
      <c r="AF225" s="177">
        <f t="shared" si="90"/>
        <v>0.13193989071208834</v>
      </c>
      <c r="AG225" s="176">
        <f t="shared" si="91"/>
        <v>1</v>
      </c>
      <c r="AH225" s="176">
        <f t="shared" si="92"/>
        <v>7</v>
      </c>
      <c r="AI225" s="225">
        <f t="shared" si="93"/>
        <v>1.1319398907120883</v>
      </c>
      <c r="AJ225" s="265" t="b">
        <f t="shared" si="94"/>
        <v>0</v>
      </c>
      <c r="AK225" s="265" t="b">
        <f t="shared" si="95"/>
        <v>1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6">
        <v>51.174999999999997</v>
      </c>
      <c r="C226" s="390"/>
      <c r="D226" s="393">
        <f t="shared" si="75"/>
        <v>51.610340096678364</v>
      </c>
      <c r="E226" s="385">
        <f t="shared" si="73"/>
        <v>54.82965200067968</v>
      </c>
      <c r="F226" s="385">
        <f t="shared" si="76"/>
        <v>55.057825166695693</v>
      </c>
      <c r="G226" s="110">
        <f t="shared" si="74"/>
        <v>0.9720597578166088</v>
      </c>
      <c r="H226" s="414" t="b">
        <f>Wh_hp&gt;='2018'!Maxi_hp</f>
        <v>1</v>
      </c>
      <c r="I226" s="390">
        <f>IF(H226,Wh_hp,'2018'!Maxi_hp)</f>
        <v>55.057825166695693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8.4351332671490642E-3</v>
      </c>
      <c r="M226" s="843"/>
      <c r="N226" s="843"/>
      <c r="O226" s="48">
        <f>IF(t&lt;Tnet,'2018'!Resal+('2018'!Salim-'2018'!Resal)*(1-EXP(('2018'!Tnet-t)/('2018'!Tau_j))),Resal+(Salim-Resal)*(1-EXP((Tnet-t)/(Tau_j))))*Salcycl</f>
        <v>5.8714797313712833E-2</v>
      </c>
      <c r="P226" s="169">
        <f>(INDEX(Models!$BJ226:$BT226,,T226)*(1-R226)+INDEX(Models!$BJ226:$BT226,,T226+1)*R226-ERP_i)*Q226*Ramure*Pc/MaxiM</f>
        <v>4.3154656009242072E-3</v>
      </c>
      <c r="Q226" s="305">
        <f t="shared" si="78"/>
        <v>0.8</v>
      </c>
      <c r="R226" s="177">
        <f t="shared" si="79"/>
        <v>0.13438725599065604</v>
      </c>
      <c r="S226" s="809">
        <f t="shared" si="80"/>
        <v>1</v>
      </c>
      <c r="T226" s="176">
        <f t="shared" si="81"/>
        <v>7</v>
      </c>
      <c r="U226" s="251">
        <f t="shared" si="82"/>
        <v>1.134387255990656</v>
      </c>
      <c r="V226" s="383">
        <f t="shared" si="83"/>
        <v>52.636888788459842</v>
      </c>
      <c r="W226" s="58"/>
      <c r="X226" s="157">
        <f t="shared" si="84"/>
        <v>43677</v>
      </c>
      <c r="Y226" s="385">
        <f t="shared" si="85"/>
        <v>51.174999999999997</v>
      </c>
      <c r="Z226" s="385">
        <f t="shared" si="86"/>
        <v>51.610340096678364</v>
      </c>
      <c r="AA226" s="386">
        <f t="shared" si="87"/>
        <v>54.82965200067968</v>
      </c>
      <c r="AB226" s="197">
        <f t="shared" si="88"/>
        <v>43677</v>
      </c>
      <c r="AC226" s="425">
        <f>IF(OR(t&lt;Tnet,NoTnet),'2018'!Resal_s+('2018'!Salim-'2018'!Resal_s)*(1-EXP(('2018'!Tnet_s-t)/'2018'!Tau_j)),Resal_s+(Salim-Resal_s)*(1-EXP((Tnet_s-t)/Tau_j)))*Salcycl</f>
        <v>5.8714797313712833E-2</v>
      </c>
      <c r="AD226" s="231">
        <f>(INDEX(Models!$BJ226:$BT226,,AH226)*(1-AF226)+INDEX(Models!$BJ226:$BT226,,AH226+1)*AF226-ERP_i)*AE226*Ramure*Pc/MaxiM</f>
        <v>4.3154656009242072E-3</v>
      </c>
      <c r="AE226" s="305">
        <f t="shared" si="89"/>
        <v>0.8</v>
      </c>
      <c r="AF226" s="177">
        <f t="shared" si="90"/>
        <v>0.13438725599065604</v>
      </c>
      <c r="AG226" s="176">
        <f t="shared" si="91"/>
        <v>1</v>
      </c>
      <c r="AH226" s="176">
        <f t="shared" si="92"/>
        <v>7</v>
      </c>
      <c r="AI226" s="225">
        <f t="shared" si="93"/>
        <v>1.134387255990656</v>
      </c>
      <c r="AJ226" s="265" t="b">
        <f t="shared" si="94"/>
        <v>0</v>
      </c>
      <c r="AK226" s="265" t="b">
        <f t="shared" si="95"/>
        <v>1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6">
        <v>46.734000000000002</v>
      </c>
      <c r="C227" s="390"/>
      <c r="D227" s="393">
        <f t="shared" si="75"/>
        <v>47.132657843912213</v>
      </c>
      <c r="E227" s="385">
        <f t="shared" si="73"/>
        <v>50.07960919118068</v>
      </c>
      <c r="F227" s="385">
        <f t="shared" si="76"/>
        <v>50.260775606051858</v>
      </c>
      <c r="G227" s="110">
        <f t="shared" si="74"/>
        <v>0.89024267901334209</v>
      </c>
      <c r="H227" s="414" t="b">
        <f>Wh_hp&gt;='2018'!Maxi_hp</f>
        <v>1</v>
      </c>
      <c r="I227" s="390">
        <f>IF(H227,Wh_hp,'2018'!Maxi_hp)</f>
        <v>50.260775606051858</v>
      </c>
      <c r="J227" s="85">
        <f>IF(H227,An,'2018'!An_max)</f>
        <v>2019</v>
      </c>
      <c r="K227" s="197">
        <f t="shared" si="77"/>
        <v>43678</v>
      </c>
      <c r="L227" s="147">
        <f>IF(t&lt;Tvie,1-EXP((T0-t)*PertePVj)+'2018'!Pspv,1-EXP((T0-t)*PertePVj)+Pspv)</f>
        <v>8.458208430180969E-3</v>
      </c>
      <c r="M227" s="843"/>
      <c r="N227" s="843"/>
      <c r="O227" s="48">
        <f>IF(t&lt;Tnet,'2018'!Resal+('2018'!Salim-'2018'!Resal)*(1-EXP(('2018'!Tnet-t)/('2018'!Tau_j))),Resal+(Salim-Resal)*(1-EXP((Tnet-t)/(Tau_j))))*Salcycl</f>
        <v>5.8845334355912826E-2</v>
      </c>
      <c r="P227" s="169">
        <f>(INDEX(Models!$BJ227:$BT227,,T227)*(1-R227)+INDEX(Models!$BJ227:$BT227,,T227+1)*R227-ERP_i)*Q227*Ramure*Pc/MaxiM</f>
        <v>4.2704934202179657E-3</v>
      </c>
      <c r="Q227" s="305">
        <f t="shared" si="78"/>
        <v>0.8</v>
      </c>
      <c r="R227" s="177">
        <f t="shared" si="79"/>
        <v>0.13675732166505927</v>
      </c>
      <c r="S227" s="809">
        <f t="shared" si="80"/>
        <v>1</v>
      </c>
      <c r="T227" s="176">
        <f t="shared" si="81"/>
        <v>7</v>
      </c>
      <c r="U227" s="251">
        <f t="shared" si="82"/>
        <v>1.1367573216650593</v>
      </c>
      <c r="V227" s="383">
        <f t="shared" si="83"/>
        <v>52.460711356259459</v>
      </c>
      <c r="W227" s="58"/>
      <c r="X227" s="157">
        <f t="shared" si="84"/>
        <v>43678</v>
      </c>
      <c r="Y227" s="385">
        <f t="shared" si="85"/>
        <v>46.734000000000002</v>
      </c>
      <c r="Z227" s="385">
        <f t="shared" si="86"/>
        <v>47.132657843912213</v>
      </c>
      <c r="AA227" s="386">
        <f t="shared" si="87"/>
        <v>50.07960919118068</v>
      </c>
      <c r="AB227" s="197">
        <f t="shared" si="88"/>
        <v>43678</v>
      </c>
      <c r="AC227" s="425">
        <f>IF(OR(t&lt;Tnet,NoTnet),'2018'!Resal_s+('2018'!Salim-'2018'!Resal_s)*(1-EXP(('2018'!Tnet_s-t)/'2018'!Tau_j)),Resal_s+(Salim-Resal_s)*(1-EXP((Tnet_s-t)/Tau_j)))*Salcycl</f>
        <v>5.8845334355912826E-2</v>
      </c>
      <c r="AD227" s="231">
        <f>(INDEX(Models!$BJ227:$BT227,,AH227)*(1-AF227)+INDEX(Models!$BJ227:$BT227,,AH227+1)*AF227-ERP_i)*AE227*Ramure*Pc/MaxiM</f>
        <v>4.2704934202179657E-3</v>
      </c>
      <c r="AE227" s="305">
        <f t="shared" si="89"/>
        <v>0.8</v>
      </c>
      <c r="AF227" s="177">
        <f t="shared" si="90"/>
        <v>0.13675732166505927</v>
      </c>
      <c r="AG227" s="176">
        <f t="shared" si="91"/>
        <v>1</v>
      </c>
      <c r="AH227" s="176">
        <f t="shared" si="92"/>
        <v>7</v>
      </c>
      <c r="AI227" s="225">
        <f t="shared" si="93"/>
        <v>1.1367573216650593</v>
      </c>
      <c r="AJ227" s="265" t="b">
        <f t="shared" si="94"/>
        <v>0</v>
      </c>
      <c r="AK227" s="265" t="b">
        <f t="shared" si="95"/>
        <v>1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6">
        <v>50.973999999999997</v>
      </c>
      <c r="C228" s="390"/>
      <c r="D228" s="393">
        <f t="shared" si="75"/>
        <v>51.41002295662188</v>
      </c>
      <c r="E228" s="385">
        <f t="shared" si="73"/>
        <v>54.631974179994707</v>
      </c>
      <c r="F228" s="385">
        <f t="shared" si="76"/>
        <v>54.855614137032767</v>
      </c>
      <c r="G228" s="110">
        <f t="shared" si="74"/>
        <v>0.97485728889526257</v>
      </c>
      <c r="H228" s="414" t="b">
        <f>Wh_hp&gt;='2018'!Maxi_hp</f>
        <v>1</v>
      </c>
      <c r="I228" s="390">
        <f>IF(H228,Wh_hp,'2018'!Maxi_hp)</f>
        <v>54.855614137032767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8.4812830562200903E-3</v>
      </c>
      <c r="M228" s="843"/>
      <c r="N228" s="843"/>
      <c r="O228" s="48">
        <f>IF(t&lt;Tnet,'2018'!Resal+('2018'!Salim-'2018'!Resal)*(1-EXP(('2018'!Tnet-t)/('2018'!Tau_j))),Resal+(Salim-Resal)*(1-EXP((Tnet-t)/(Tau_j))))*Salcycl</f>
        <v>5.8975559125092933E-2</v>
      </c>
      <c r="P228" s="169">
        <f>(INDEX(Models!$BJ228:$BT228,,T228)*(1-R228)+INDEX(Models!$BJ228:$BT228,,T228+1)*R228-ERP_i)*Q228*Ramure*Pc/MaxiM</f>
        <v>4.2278475223151198E-3</v>
      </c>
      <c r="Q228" s="305">
        <f t="shared" si="78"/>
        <v>0.8</v>
      </c>
      <c r="R228" s="177">
        <f t="shared" si="79"/>
        <v>0.13905178536662333</v>
      </c>
      <c r="S228" s="809">
        <f t="shared" si="80"/>
        <v>1</v>
      </c>
      <c r="T228" s="176">
        <f t="shared" si="81"/>
        <v>7</v>
      </c>
      <c r="U228" s="251">
        <f t="shared" si="82"/>
        <v>1.1390517853666233</v>
      </c>
      <c r="V228" s="383">
        <f t="shared" si="83"/>
        <v>52.28075313971781</v>
      </c>
      <c r="W228" s="58"/>
      <c r="X228" s="157">
        <f t="shared" si="84"/>
        <v>43679</v>
      </c>
      <c r="Y228" s="385">
        <f t="shared" si="85"/>
        <v>50.973999999999997</v>
      </c>
      <c r="Z228" s="385">
        <f t="shared" si="86"/>
        <v>51.41002295662188</v>
      </c>
      <c r="AA228" s="386">
        <f t="shared" si="87"/>
        <v>54.631974179994707</v>
      </c>
      <c r="AB228" s="197">
        <f t="shared" si="88"/>
        <v>43679</v>
      </c>
      <c r="AC228" s="425">
        <f>IF(OR(t&lt;Tnet,NoTnet),'2018'!Resal_s+('2018'!Salim-'2018'!Resal_s)*(1-EXP(('2018'!Tnet_s-t)/'2018'!Tau_j)),Resal_s+(Salim-Resal_s)*(1-EXP((Tnet_s-t)/Tau_j)))*Salcycl</f>
        <v>5.8975559125092933E-2</v>
      </c>
      <c r="AD228" s="231">
        <f>(INDEX(Models!$BJ228:$BT228,,AH228)*(1-AF228)+INDEX(Models!$BJ228:$BT228,,AH228+1)*AF228-ERP_i)*AE228*Ramure*Pc/MaxiM</f>
        <v>4.2278475223151198E-3</v>
      </c>
      <c r="AE228" s="305">
        <f t="shared" si="89"/>
        <v>0.8</v>
      </c>
      <c r="AF228" s="177">
        <f t="shared" si="90"/>
        <v>0.13905178536662333</v>
      </c>
      <c r="AG228" s="176">
        <f t="shared" si="91"/>
        <v>1</v>
      </c>
      <c r="AH228" s="176">
        <f t="shared" si="92"/>
        <v>7</v>
      </c>
      <c r="AI228" s="225">
        <f t="shared" si="93"/>
        <v>1.1390517853666233</v>
      </c>
      <c r="AJ228" s="265" t="b">
        <f t="shared" si="94"/>
        <v>0</v>
      </c>
      <c r="AK228" s="265" t="b">
        <f t="shared" si="95"/>
        <v>1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6">
        <v>50.779000000000003</v>
      </c>
      <c r="C229" s="390"/>
      <c r="D229" s="393">
        <f t="shared" si="75"/>
        <v>51.214546796995258</v>
      </c>
      <c r="E229" s="385">
        <f t="shared" si="73"/>
        <v>54.431762182107121</v>
      </c>
      <c r="F229" s="385">
        <f t="shared" si="76"/>
        <v>54.652362848660495</v>
      </c>
      <c r="G229" s="110">
        <f t="shared" si="74"/>
        <v>0.97456058962938807</v>
      </c>
      <c r="H229" s="414" t="b">
        <f>Wh_hp&gt;='2018'!Maxi_hp</f>
        <v>1</v>
      </c>
      <c r="I229" s="390">
        <f>IF(H229,Wh_hp,'2018'!Maxi_hp)</f>
        <v>54.652362848660495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8.5043571452789735E-3</v>
      </c>
      <c r="M229" s="843"/>
      <c r="N229" s="843"/>
      <c r="O229" s="48">
        <f>IF(t&lt;Tnet,'2018'!Resal+('2018'!Salim-'2018'!Resal)*(1-EXP(('2018'!Tnet-t)/('2018'!Tau_j))),Resal+(Salim-Resal)*(1-EXP((Tnet-t)/(Tau_j))))*Salcycl</f>
        <v>5.9105479156605932E-2</v>
      </c>
      <c r="P229" s="169">
        <f>(INDEX(Models!$BJ229:$BT229,,T229)*(1-R229)+INDEX(Models!$BJ229:$BT229,,T229+1)*R229-ERP_i)*Q229*Ramure*Pc/MaxiM</f>
        <v>4.1877392190171015E-3</v>
      </c>
      <c r="Q229" s="305">
        <f t="shared" si="78"/>
        <v>0.8</v>
      </c>
      <c r="R229" s="177">
        <f t="shared" si="79"/>
        <v>0.14127236175389069</v>
      </c>
      <c r="S229" s="809">
        <f t="shared" si="80"/>
        <v>1</v>
      </c>
      <c r="T229" s="176">
        <f t="shared" si="81"/>
        <v>7</v>
      </c>
      <c r="U229" s="251">
        <f t="shared" si="82"/>
        <v>1.1412723617538907</v>
      </c>
      <c r="V229" s="383">
        <f t="shared" si="83"/>
        <v>52.096592335730683</v>
      </c>
      <c r="W229" s="58"/>
      <c r="X229" s="157">
        <f t="shared" si="84"/>
        <v>43680</v>
      </c>
      <c r="Y229" s="385">
        <f t="shared" si="85"/>
        <v>50.779000000000003</v>
      </c>
      <c r="Z229" s="385">
        <f t="shared" si="86"/>
        <v>51.214546796995258</v>
      </c>
      <c r="AA229" s="386">
        <f t="shared" si="87"/>
        <v>54.431762182107121</v>
      </c>
      <c r="AB229" s="197">
        <f t="shared" si="88"/>
        <v>43680</v>
      </c>
      <c r="AC229" s="425">
        <f>IF(OR(t&lt;Tnet,NoTnet),'2018'!Resal_s+('2018'!Salim-'2018'!Resal_s)*(1-EXP(('2018'!Tnet_s-t)/'2018'!Tau_j)),Resal_s+(Salim-Resal_s)*(1-EXP((Tnet_s-t)/Tau_j)))*Salcycl</f>
        <v>5.9105479156605932E-2</v>
      </c>
      <c r="AD229" s="231">
        <f>(INDEX(Models!$BJ229:$BT229,,AH229)*(1-AF229)+INDEX(Models!$BJ229:$BT229,,AH229+1)*AF229-ERP_i)*AE229*Ramure*Pc/MaxiM</f>
        <v>4.1877392190171015E-3</v>
      </c>
      <c r="AE229" s="305">
        <f t="shared" si="89"/>
        <v>0.8</v>
      </c>
      <c r="AF229" s="177">
        <f t="shared" si="90"/>
        <v>0.14127236175389069</v>
      </c>
      <c r="AG229" s="176">
        <f t="shared" si="91"/>
        <v>1</v>
      </c>
      <c r="AH229" s="176">
        <f t="shared" si="92"/>
        <v>7</v>
      </c>
      <c r="AI229" s="225">
        <f t="shared" si="93"/>
        <v>1.1412723617538907</v>
      </c>
      <c r="AJ229" s="265" t="b">
        <f t="shared" si="94"/>
        <v>0</v>
      </c>
      <c r="AK229" s="265" t="b">
        <f t="shared" si="95"/>
        <v>1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6">
        <v>47.813000000000002</v>
      </c>
      <c r="C230" s="390"/>
      <c r="D230" s="393">
        <f t="shared" si="75"/>
        <v>48.224228768759723</v>
      </c>
      <c r="E230" s="385">
        <f t="shared" si="73"/>
        <v>51.260659070597463</v>
      </c>
      <c r="F230" s="385">
        <f t="shared" si="76"/>
        <v>51.450131759098554</v>
      </c>
      <c r="G230" s="110">
        <f t="shared" si="74"/>
        <v>0.9206814123897259</v>
      </c>
      <c r="H230" s="414" t="b">
        <f>Wh_hp&gt;='2018'!Maxi_hp</f>
        <v>1</v>
      </c>
      <c r="I230" s="390">
        <f>IF(H230,Wh_hp,'2018'!Maxi_hp)</f>
        <v>51.450131759098554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8.5274306973701641E-3</v>
      </c>
      <c r="M230" s="843"/>
      <c r="N230" s="843"/>
      <c r="O230" s="48">
        <f>IF(t&lt;Tnet,'2018'!Resal+('2018'!Salim-'2018'!Resal)*(1-EXP(('2018'!Tnet-t)/('2018'!Tau_j))),Resal+(Salim-Resal)*(1-EXP((Tnet-t)/(Tau_j))))*Salcycl</f>
        <v>5.9235100696928042E-2</v>
      </c>
      <c r="P230" s="169">
        <f>(INDEX(Models!$BJ230:$BT230,,T230)*(1-R230)+INDEX(Models!$BJ230:$BT230,,T230+1)*R230-ERP_i)*Q230*Ramure*Pc/MaxiM</f>
        <v>4.1503714342923962E-3</v>
      </c>
      <c r="Q230" s="305">
        <f t="shared" si="78"/>
        <v>0.8</v>
      </c>
      <c r="R230" s="177">
        <f t="shared" si="79"/>
        <v>0.14342077759550298</v>
      </c>
      <c r="S230" s="809">
        <f t="shared" si="80"/>
        <v>1</v>
      </c>
      <c r="T230" s="176">
        <f t="shared" si="81"/>
        <v>7</v>
      </c>
      <c r="U230" s="251">
        <f t="shared" si="82"/>
        <v>1.143420777595503</v>
      </c>
      <c r="V230" s="383">
        <f t="shared" si="83"/>
        <v>51.907808066964442</v>
      </c>
      <c r="W230" s="58"/>
      <c r="X230" s="157">
        <f t="shared" si="84"/>
        <v>43681</v>
      </c>
      <c r="Y230" s="385">
        <f t="shared" si="85"/>
        <v>47.813000000000002</v>
      </c>
      <c r="Z230" s="385">
        <f t="shared" si="86"/>
        <v>48.224228768759723</v>
      </c>
      <c r="AA230" s="386">
        <f t="shared" si="87"/>
        <v>51.260659070597463</v>
      </c>
      <c r="AB230" s="197">
        <f t="shared" si="88"/>
        <v>43681</v>
      </c>
      <c r="AC230" s="425">
        <f>IF(OR(t&lt;Tnet,NoTnet),'2018'!Resal_s+('2018'!Salim-'2018'!Resal_s)*(1-EXP(('2018'!Tnet_s-t)/'2018'!Tau_j)),Resal_s+(Salim-Resal_s)*(1-EXP((Tnet_s-t)/Tau_j)))*Salcycl</f>
        <v>5.9235100696928042E-2</v>
      </c>
      <c r="AD230" s="231">
        <f>(INDEX(Models!$BJ230:$BT230,,AH230)*(1-AF230)+INDEX(Models!$BJ230:$BT230,,AH230+1)*AF230-ERP_i)*AE230*Ramure*Pc/MaxiM</f>
        <v>4.1503714342923962E-3</v>
      </c>
      <c r="AE230" s="305">
        <f t="shared" si="89"/>
        <v>0.8</v>
      </c>
      <c r="AF230" s="177">
        <f t="shared" si="90"/>
        <v>0.14342077759550298</v>
      </c>
      <c r="AG230" s="176">
        <f t="shared" si="91"/>
        <v>1</v>
      </c>
      <c r="AH230" s="176">
        <f t="shared" si="92"/>
        <v>7</v>
      </c>
      <c r="AI230" s="225">
        <f t="shared" si="93"/>
        <v>1.143420777595503</v>
      </c>
      <c r="AJ230" s="265" t="b">
        <f t="shared" si="94"/>
        <v>0</v>
      </c>
      <c r="AK230" s="265" t="b">
        <f t="shared" si="95"/>
        <v>1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6">
        <v>48.362000000000002</v>
      </c>
      <c r="C231" s="390"/>
      <c r="D231" s="393">
        <f t="shared" si="75"/>
        <v>48.779085753830778</v>
      </c>
      <c r="E231" s="385">
        <f t="shared" si="73"/>
        <v>51.857581452334671</v>
      </c>
      <c r="F231" s="385">
        <f t="shared" si="76"/>
        <v>52.05198609745166</v>
      </c>
      <c r="G231" s="110">
        <f t="shared" si="74"/>
        <v>0.93482456267357239</v>
      </c>
      <c r="H231" s="414" t="b">
        <f>Wh_hp&gt;='2018'!Maxi_hp</f>
        <v>1</v>
      </c>
      <c r="I231" s="390">
        <f>IF(H231,Wh_hp,'2018'!Maxi_hp)</f>
        <v>52.05198609745166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8.5505037125059857E-3</v>
      </c>
      <c r="M231" s="843"/>
      <c r="N231" s="843"/>
      <c r="O231" s="48">
        <f>IF(t&lt;Tnet,'2018'!Resal+('2018'!Salim-'2018'!Resal)*(1-EXP(('2018'!Tnet-t)/('2018'!Tau_j))),Resal+(Salim-Resal)*(1-EXP((Tnet-t)/(Tau_j))))*Salcycl</f>
        <v>5.9364428735141035E-2</v>
      </c>
      <c r="P231" s="169">
        <f>(INDEX(Models!$BJ231:$BT231,,T231)*(1-R231)+INDEX(Models!$BJ231:$BT231,,T231+1)*R231-ERP_i)*Q231*Ramure*Pc/MaxiM</f>
        <v>4.1159394105589565E-3</v>
      </c>
      <c r="Q231" s="305">
        <f t="shared" si="78"/>
        <v>0.8</v>
      </c>
      <c r="R231" s="177">
        <f t="shared" si="79"/>
        <v>0.14549876716387367</v>
      </c>
      <c r="S231" s="809">
        <f t="shared" si="80"/>
        <v>1</v>
      </c>
      <c r="T231" s="176">
        <f t="shared" si="81"/>
        <v>7</v>
      </c>
      <c r="U231" s="251">
        <f t="shared" si="82"/>
        <v>1.1454987671638737</v>
      </c>
      <c r="V231" s="383">
        <f t="shared" si="83"/>
        <v>51.713980347797893</v>
      </c>
      <c r="W231" s="58"/>
      <c r="X231" s="157">
        <f t="shared" si="84"/>
        <v>43682</v>
      </c>
      <c r="Y231" s="385">
        <f t="shared" si="85"/>
        <v>48.362000000000002</v>
      </c>
      <c r="Z231" s="385">
        <f t="shared" si="86"/>
        <v>48.779085753830778</v>
      </c>
      <c r="AA231" s="386">
        <f t="shared" si="87"/>
        <v>51.857581452334671</v>
      </c>
      <c r="AB231" s="197">
        <f t="shared" si="88"/>
        <v>43682</v>
      </c>
      <c r="AC231" s="425">
        <f>IF(OR(t&lt;Tnet,NoTnet),'2018'!Resal_s+('2018'!Salim-'2018'!Resal_s)*(1-EXP(('2018'!Tnet_s-t)/'2018'!Tau_j)),Resal_s+(Salim-Resal_s)*(1-EXP((Tnet_s-t)/Tau_j)))*Salcycl</f>
        <v>5.9364428735141035E-2</v>
      </c>
      <c r="AD231" s="231">
        <f>(INDEX(Models!$BJ231:$BT231,,AH231)*(1-AF231)+INDEX(Models!$BJ231:$BT231,,AH231+1)*AF231-ERP_i)*AE231*Ramure*Pc/MaxiM</f>
        <v>4.1159394105589565E-3</v>
      </c>
      <c r="AE231" s="305">
        <f t="shared" si="89"/>
        <v>0.8</v>
      </c>
      <c r="AF231" s="177">
        <f t="shared" si="90"/>
        <v>0.14549876716387367</v>
      </c>
      <c r="AG231" s="176">
        <f t="shared" si="91"/>
        <v>1</v>
      </c>
      <c r="AH231" s="176">
        <f t="shared" si="92"/>
        <v>7</v>
      </c>
      <c r="AI231" s="225">
        <f t="shared" si="93"/>
        <v>1.1454987671638737</v>
      </c>
      <c r="AJ231" s="265" t="b">
        <f t="shared" si="94"/>
        <v>0</v>
      </c>
      <c r="AK231" s="265" t="b">
        <f t="shared" si="95"/>
        <v>1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6">
        <v>36.878999999999998</v>
      </c>
      <c r="C232" s="390"/>
      <c r="D232" s="393">
        <f t="shared" si="75"/>
        <v>37.197919194348209</v>
      </c>
      <c r="E232" s="385">
        <f t="shared" si="73"/>
        <v>39.55094184973921</v>
      </c>
      <c r="F232" s="385">
        <f t="shared" si="76"/>
        <v>39.647158091301861</v>
      </c>
      <c r="G232" s="110">
        <f t="shared" si="74"/>
        <v>0.7147031757664839</v>
      </c>
      <c r="H232" s="414" t="b">
        <f>Wh_hp&gt;='2018'!Maxi_hp</f>
        <v>1</v>
      </c>
      <c r="I232" s="390">
        <f>IF(H232,Wh_hp,'2018'!Maxi_hp)</f>
        <v>39.647158091301861</v>
      </c>
      <c r="J232" s="85">
        <f>IF(H232,An,'2018'!An_max)</f>
        <v>2019</v>
      </c>
      <c r="K232" s="197">
        <f t="shared" si="77"/>
        <v>43683</v>
      </c>
      <c r="L232" s="147">
        <f>IF(t&lt;Tvie,1-EXP((T0-t)*PertePVj)+'2018'!Pspv,1-EXP((T0-t)*PertePVj)+Pspv)</f>
        <v>8.5735761906990948E-3</v>
      </c>
      <c r="M232" s="843"/>
      <c r="N232" s="843"/>
      <c r="O232" s="48">
        <f>IF(t&lt;Tnet,'2018'!Resal+('2018'!Salim-'2018'!Resal)*(1-EXP(('2018'!Tnet-t)/('2018'!Tau_j))),Resal+(Salim-Resal)*(1-EXP((Tnet-t)/(Tau_j))))*Salcycl</f>
        <v>5.9493467041329615E-2</v>
      </c>
      <c r="P232" s="169">
        <f>(INDEX(Models!$BJ232:$BT232,,T232)*(1-R232)+INDEX(Models!$BJ232:$BT232,,T232+1)*R232-ERP_i)*Q232*Ramure*Pc/MaxiM</f>
        <v>4.0846314498990339E-3</v>
      </c>
      <c r="Q232" s="305">
        <f t="shared" si="78"/>
        <v>0.8</v>
      </c>
      <c r="R232" s="177">
        <f t="shared" si="79"/>
        <v>0.14750806793531179</v>
      </c>
      <c r="S232" s="809">
        <f t="shared" si="80"/>
        <v>1</v>
      </c>
      <c r="T232" s="176">
        <f t="shared" si="81"/>
        <v>7</v>
      </c>
      <c r="U232" s="251">
        <f t="shared" si="82"/>
        <v>1.1475080679353118</v>
      </c>
      <c r="V232" s="383">
        <f t="shared" si="83"/>
        <v>51.514690057851958</v>
      </c>
      <c r="W232" s="58"/>
      <c r="X232" s="157">
        <f t="shared" si="84"/>
        <v>43683</v>
      </c>
      <c r="Y232" s="385">
        <f t="shared" si="85"/>
        <v>36.878999999999998</v>
      </c>
      <c r="Z232" s="385">
        <f t="shared" si="86"/>
        <v>37.197919194348209</v>
      </c>
      <c r="AA232" s="386">
        <f t="shared" si="87"/>
        <v>39.55094184973921</v>
      </c>
      <c r="AB232" s="197">
        <f t="shared" si="88"/>
        <v>43683</v>
      </c>
      <c r="AC232" s="425">
        <f>IF(OR(t&lt;Tnet,NoTnet),'2018'!Resal_s+('2018'!Salim-'2018'!Resal_s)*(1-EXP(('2018'!Tnet_s-t)/'2018'!Tau_j)),Resal_s+(Salim-Resal_s)*(1-EXP((Tnet_s-t)/Tau_j)))*Salcycl</f>
        <v>5.9493467041329615E-2</v>
      </c>
      <c r="AD232" s="231">
        <f>(INDEX(Models!$BJ232:$BT232,,AH232)*(1-AF232)+INDEX(Models!$BJ232:$BT232,,AH232+1)*AF232-ERP_i)*AE232*Ramure*Pc/MaxiM</f>
        <v>4.0846314498990339E-3</v>
      </c>
      <c r="AE232" s="305">
        <f t="shared" si="89"/>
        <v>0.8</v>
      </c>
      <c r="AF232" s="177">
        <f t="shared" si="90"/>
        <v>0.14750806793531179</v>
      </c>
      <c r="AG232" s="176">
        <f t="shared" si="91"/>
        <v>1</v>
      </c>
      <c r="AH232" s="176">
        <f t="shared" si="92"/>
        <v>7</v>
      </c>
      <c r="AI232" s="225">
        <f t="shared" si="93"/>
        <v>1.1475080679353118</v>
      </c>
      <c r="AJ232" s="265" t="b">
        <f t="shared" si="94"/>
        <v>0</v>
      </c>
      <c r="AK232" s="265" t="b">
        <f t="shared" si="95"/>
        <v>1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6">
        <v>38.862000000000002</v>
      </c>
      <c r="C233" s="390"/>
      <c r="D233" s="393">
        <f t="shared" si="75"/>
        <v>39.198979836788745</v>
      </c>
      <c r="E233" s="385">
        <f t="shared" ref="E233:E296" si="97">Wh_pvt/(1-Psa)</f>
        <v>41.684289650289635</v>
      </c>
      <c r="F233" s="385">
        <f t="shared" si="76"/>
        <v>41.795070174599267</v>
      </c>
      <c r="G233" s="110">
        <f t="shared" ref="G233:G296" si="98">+Wh_hp/MaxiM</f>
        <v>0.75631703501754188</v>
      </c>
      <c r="H233" s="414" t="b">
        <f>Wh_hp&gt;='2018'!Maxi_hp</f>
        <v>1</v>
      </c>
      <c r="I233" s="390">
        <f>IF(H233,Wh_hp,'2018'!Maxi_hp)</f>
        <v>41.795070174599267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8.5966481319619259E-3</v>
      </c>
      <c r="M233" s="843"/>
      <c r="N233" s="843"/>
      <c r="O233" s="48">
        <f>IF(t&lt;Tnet,'2018'!Resal+('2018'!Salim-'2018'!Resal)*(1-EXP(('2018'!Tnet-t)/('2018'!Tau_j))),Resal+(Salim-Resal)*(1-EXP((Tnet-t)/(Tau_j))))*Salcycl</f>
        <v>5.9622218211018943E-2</v>
      </c>
      <c r="P233" s="169">
        <f>(INDEX(Models!$BJ233:$BT233,,T233)*(1-R233)+INDEX(Models!$BJ233:$BT233,,T233+1)*R233-ERP_i)*Q233*Ramure*Pc/MaxiM</f>
        <v>4.056530479841388E-3</v>
      </c>
      <c r="Q233" s="305">
        <f t="shared" si="78"/>
        <v>0.8</v>
      </c>
      <c r="R233" s="177">
        <f t="shared" si="79"/>
        <v>0.14945041659078795</v>
      </c>
      <c r="S233" s="809">
        <f t="shared" si="80"/>
        <v>1</v>
      </c>
      <c r="T233" s="176">
        <f t="shared" si="81"/>
        <v>7</v>
      </c>
      <c r="U233" s="251">
        <f t="shared" si="82"/>
        <v>1.1494504165907879</v>
      </c>
      <c r="V233" s="383">
        <f t="shared" si="83"/>
        <v>51.310778867244288</v>
      </c>
      <c r="W233" s="58"/>
      <c r="X233" s="157">
        <f t="shared" si="84"/>
        <v>43684</v>
      </c>
      <c r="Y233" s="385">
        <f t="shared" si="85"/>
        <v>38.862000000000002</v>
      </c>
      <c r="Z233" s="385">
        <f t="shared" si="86"/>
        <v>39.198979836788745</v>
      </c>
      <c r="AA233" s="386">
        <f t="shared" si="87"/>
        <v>41.684289650289635</v>
      </c>
      <c r="AB233" s="197">
        <f t="shared" si="88"/>
        <v>43684</v>
      </c>
      <c r="AC233" s="425">
        <f>IF(OR(t&lt;Tnet,NoTnet),'2018'!Resal_s+('2018'!Salim-'2018'!Resal_s)*(1-EXP(('2018'!Tnet_s-t)/'2018'!Tau_j)),Resal_s+(Salim-Resal_s)*(1-EXP((Tnet_s-t)/Tau_j)))*Salcycl</f>
        <v>5.9622218211018943E-2</v>
      </c>
      <c r="AD233" s="231">
        <f>(INDEX(Models!$BJ233:$BT233,,AH233)*(1-AF233)+INDEX(Models!$BJ233:$BT233,,AH233+1)*AF233-ERP_i)*AE233*Ramure*Pc/MaxiM</f>
        <v>4.056530479841388E-3</v>
      </c>
      <c r="AE233" s="305">
        <f t="shared" si="89"/>
        <v>0.8</v>
      </c>
      <c r="AF233" s="177">
        <f t="shared" si="90"/>
        <v>0.14945041659078795</v>
      </c>
      <c r="AG233" s="176">
        <f t="shared" si="91"/>
        <v>1</v>
      </c>
      <c r="AH233" s="176">
        <f t="shared" si="92"/>
        <v>7</v>
      </c>
      <c r="AI233" s="225">
        <f t="shared" si="93"/>
        <v>1.1494504165907879</v>
      </c>
      <c r="AJ233" s="265" t="b">
        <f t="shared" si="94"/>
        <v>0</v>
      </c>
      <c r="AK233" s="265" t="b">
        <f t="shared" si="95"/>
        <v>1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6">
        <v>48.76</v>
      </c>
      <c r="C234" s="390"/>
      <c r="D234" s="393">
        <f t="shared" si="75"/>
        <v>49.183951870813637</v>
      </c>
      <c r="E234" s="385">
        <f t="shared" si="97"/>
        <v>52.309479006195275</v>
      </c>
      <c r="F234" s="385">
        <f t="shared" si="76"/>
        <v>52.507741008384137</v>
      </c>
      <c r="G234" s="110">
        <f t="shared" si="98"/>
        <v>0.95390087149984037</v>
      </c>
      <c r="H234" s="414" t="b">
        <f>Wh_hp&gt;='2018'!Maxi_hp</f>
        <v>1</v>
      </c>
      <c r="I234" s="390">
        <f>IF(H234,Wh_hp,'2018'!Maxi_hp)</f>
        <v>52.507741008384137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8.6197195363070245E-3</v>
      </c>
      <c r="M234" s="843"/>
      <c r="N234" s="843"/>
      <c r="O234" s="48">
        <f>IF(t&lt;Tnet,'2018'!Resal+('2018'!Salim-'2018'!Resal)*(1-EXP(('2018'!Tnet-t)/('2018'!Tau_j))),Resal+(Salim-Resal)*(1-EXP((Tnet-t)/(Tau_j))))*Salcycl</f>
        <v>5.9750683714732966E-2</v>
      </c>
      <c r="P234" s="169">
        <f>(INDEX(Models!$BJ234:$BT234,,T234)*(1-R234)+INDEX(Models!$BJ234:$BT234,,T234+1)*R234-ERP_i)*Q234*Ramure*Pc/MaxiM</f>
        <v>4.0404894493930865E-3</v>
      </c>
      <c r="Q234" s="305">
        <f t="shared" si="78"/>
        <v>0.8</v>
      </c>
      <c r="R234" s="177">
        <f t="shared" si="79"/>
        <v>0.1513275453102938</v>
      </c>
      <c r="S234" s="809">
        <f t="shared" si="80"/>
        <v>1</v>
      </c>
      <c r="T234" s="176">
        <f t="shared" si="81"/>
        <v>7</v>
      </c>
      <c r="U234" s="251">
        <f t="shared" si="82"/>
        <v>1.1513275453102938</v>
      </c>
      <c r="V234" s="383">
        <f t="shared" si="83"/>
        <v>51.102844471038026</v>
      </c>
      <c r="W234" s="58"/>
      <c r="X234" s="157">
        <f t="shared" si="84"/>
        <v>43685</v>
      </c>
      <c r="Y234" s="385">
        <f t="shared" si="85"/>
        <v>48.76</v>
      </c>
      <c r="Z234" s="385">
        <f t="shared" si="86"/>
        <v>49.183951870813637</v>
      </c>
      <c r="AA234" s="386">
        <f t="shared" si="87"/>
        <v>52.309479006195275</v>
      </c>
      <c r="AB234" s="197">
        <f t="shared" si="88"/>
        <v>43685</v>
      </c>
      <c r="AC234" s="425">
        <f>IF(OR(t&lt;Tnet,NoTnet),'2018'!Resal_s+('2018'!Salim-'2018'!Resal_s)*(1-EXP(('2018'!Tnet_s-t)/'2018'!Tau_j)),Resal_s+(Salim-Resal_s)*(1-EXP((Tnet_s-t)/Tau_j)))*Salcycl</f>
        <v>5.9750683714732966E-2</v>
      </c>
      <c r="AD234" s="231">
        <f>(INDEX(Models!$BJ234:$BT234,,AH234)*(1-AF234)+INDEX(Models!$BJ234:$BT234,,AH234+1)*AF234-ERP_i)*AE234*Ramure*Pc/MaxiM</f>
        <v>4.0404894493930865E-3</v>
      </c>
      <c r="AE234" s="305">
        <f t="shared" si="89"/>
        <v>0.8</v>
      </c>
      <c r="AF234" s="177">
        <f t="shared" si="90"/>
        <v>0.1513275453102938</v>
      </c>
      <c r="AG234" s="176">
        <f t="shared" si="91"/>
        <v>1</v>
      </c>
      <c r="AH234" s="176">
        <f t="shared" si="92"/>
        <v>7</v>
      </c>
      <c r="AI234" s="225">
        <f t="shared" si="93"/>
        <v>1.1513275453102938</v>
      </c>
      <c r="AJ234" s="265" t="b">
        <f t="shared" si="94"/>
        <v>0</v>
      </c>
      <c r="AK234" s="265" t="b">
        <f t="shared" si="95"/>
        <v>1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6">
        <v>44.231000000000002</v>
      </c>
      <c r="C235" s="390"/>
      <c r="D235" s="393">
        <f t="shared" si="75"/>
        <v>44.616612026268321</v>
      </c>
      <c r="E235" s="385">
        <f t="shared" si="97"/>
        <v>47.458365007950562</v>
      </c>
      <c r="F235" s="385">
        <f t="shared" si="76"/>
        <v>47.614612624828325</v>
      </c>
      <c r="G235" s="110">
        <f t="shared" si="98"/>
        <v>0.86847724774299218</v>
      </c>
      <c r="H235" s="414" t="b">
        <f>Wh_hp&gt;='2018'!Maxi_hp</f>
        <v>1</v>
      </c>
      <c r="I235" s="390">
        <f>IF(H235,Wh_hp,'2018'!Maxi_hp)</f>
        <v>47.614612624828325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8.642790403746714E-3</v>
      </c>
      <c r="M235" s="843"/>
      <c r="N235" s="843"/>
      <c r="O235" s="48">
        <f>IF(t&lt;Tnet,'2018'!Resal+('2018'!Salim-'2018'!Resal)*(1-EXP(('2018'!Tnet-t)/('2018'!Tau_j))),Resal+(Salim-Resal)*(1-EXP((Tnet-t)/(Tau_j))))*Salcycl</f>
        <v>5.9878863951722178E-2</v>
      </c>
      <c r="P235" s="169">
        <f>(INDEX(Models!$BJ235:$BT235,,T235)*(1-R235)+INDEX(Models!$BJ235:$BT235,,T235+1)*R235-ERP_i)*Q235*Ramure*Pc/MaxiM</f>
        <v>4.0360425746584798E-3</v>
      </c>
      <c r="Q235" s="305">
        <f t="shared" si="78"/>
        <v>0.8</v>
      </c>
      <c r="R235" s="177">
        <f t="shared" si="79"/>
        <v>0.15314117835264773</v>
      </c>
      <c r="S235" s="809">
        <f t="shared" si="80"/>
        <v>1</v>
      </c>
      <c r="T235" s="176">
        <f t="shared" si="81"/>
        <v>7</v>
      </c>
      <c r="U235" s="251">
        <f t="shared" si="82"/>
        <v>1.1531411783526477</v>
      </c>
      <c r="V235" s="383">
        <f t="shared" si="83"/>
        <v>50.890816439501435</v>
      </c>
      <c r="W235" s="58"/>
      <c r="X235" s="157">
        <f t="shared" si="84"/>
        <v>43686</v>
      </c>
      <c r="Y235" s="385">
        <f t="shared" si="85"/>
        <v>44.231000000000002</v>
      </c>
      <c r="Z235" s="385">
        <f t="shared" si="86"/>
        <v>44.616612026268321</v>
      </c>
      <c r="AA235" s="386">
        <f t="shared" si="87"/>
        <v>47.458365007950562</v>
      </c>
      <c r="AB235" s="197">
        <f t="shared" si="88"/>
        <v>43686</v>
      </c>
      <c r="AC235" s="425">
        <f>IF(OR(t&lt;Tnet,NoTnet),'2018'!Resal_s+('2018'!Salim-'2018'!Resal_s)*(1-EXP(('2018'!Tnet_s-t)/'2018'!Tau_j)),Resal_s+(Salim-Resal_s)*(1-EXP((Tnet_s-t)/Tau_j)))*Salcycl</f>
        <v>5.9878863951722178E-2</v>
      </c>
      <c r="AD235" s="231">
        <f>(INDEX(Models!$BJ235:$BT235,,AH235)*(1-AF235)+INDEX(Models!$BJ235:$BT235,,AH235+1)*AF235-ERP_i)*AE235*Ramure*Pc/MaxiM</f>
        <v>4.0360425746584798E-3</v>
      </c>
      <c r="AE235" s="305">
        <f t="shared" si="89"/>
        <v>0.8</v>
      </c>
      <c r="AF235" s="177">
        <f t="shared" si="90"/>
        <v>0.15314117835264773</v>
      </c>
      <c r="AG235" s="176">
        <f t="shared" si="91"/>
        <v>1</v>
      </c>
      <c r="AH235" s="176">
        <f t="shared" si="92"/>
        <v>7</v>
      </c>
      <c r="AI235" s="225">
        <f t="shared" si="93"/>
        <v>1.1531411783526477</v>
      </c>
      <c r="AJ235" s="265" t="b">
        <f t="shared" si="94"/>
        <v>0</v>
      </c>
      <c r="AK235" s="265" t="b">
        <f t="shared" si="95"/>
        <v>1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6">
        <v>36.264000000000003</v>
      </c>
      <c r="C236" s="390"/>
      <c r="D236" s="393">
        <f t="shared" si="75"/>
        <v>36.581005902672942</v>
      </c>
      <c r="E236" s="385">
        <f t="shared" si="97"/>
        <v>38.916243521903809</v>
      </c>
      <c r="F236" s="385">
        <f t="shared" si="76"/>
        <v>39.00989747000034</v>
      </c>
      <c r="G236" s="110">
        <f t="shared" si="98"/>
        <v>0.71444659981520886</v>
      </c>
      <c r="H236" s="414" t="b">
        <f>Wh_hp&gt;='2018'!Maxi_hp</f>
        <v>1</v>
      </c>
      <c r="I236" s="390">
        <f>IF(H236,Wh_hp,'2018'!Maxi_hp)</f>
        <v>39.00989747000034</v>
      </c>
      <c r="J236" s="85">
        <f>IF(H236,An,'2018'!An_max)</f>
        <v>2019</v>
      </c>
      <c r="K236" s="197">
        <f t="shared" si="77"/>
        <v>43687</v>
      </c>
      <c r="L236" s="147">
        <f>IF(t&lt;Tvie,1-EXP((T0-t)*PertePVj)+'2018'!Pspv,1-EXP((T0-t)*PertePVj)+Pspv)</f>
        <v>8.6658607342937621E-3</v>
      </c>
      <c r="M236" s="843"/>
      <c r="N236" s="843"/>
      <c r="O236" s="48">
        <f>IF(t&lt;Tnet,'2018'!Resal+('2018'!Salim-'2018'!Resal)*(1-EXP(('2018'!Tnet-t)/('2018'!Tau_j))),Resal+(Salim-Resal)*(1-EXP((Tnet-t)/(Tau_j))))*Salcycl</f>
        <v>6.0006758306887675E-2</v>
      </c>
      <c r="P236" s="169">
        <f>(INDEX(Models!$BJ236:$BT236,,T236)*(1-R236)+INDEX(Models!$BJ236:$BT236,,T236+1)*R236-ERP_i)*Q236*Ramure*Pc/MaxiM</f>
        <v>4.0434094513504704E-3</v>
      </c>
      <c r="Q236" s="305">
        <f t="shared" si="78"/>
        <v>0.8</v>
      </c>
      <c r="R236" s="177">
        <f t="shared" si="79"/>
        <v>0.1548930289117243</v>
      </c>
      <c r="S236" s="809">
        <f t="shared" si="80"/>
        <v>1</v>
      </c>
      <c r="T236" s="176">
        <f t="shared" si="81"/>
        <v>7</v>
      </c>
      <c r="U236" s="251">
        <f t="shared" si="82"/>
        <v>1.1548930289117243</v>
      </c>
      <c r="V236" s="383">
        <f t="shared" si="83"/>
        <v>50.674589427794501</v>
      </c>
      <c r="W236" s="58"/>
      <c r="X236" s="157">
        <f t="shared" si="84"/>
        <v>43687</v>
      </c>
      <c r="Y236" s="385">
        <f t="shared" si="85"/>
        <v>36.264000000000003</v>
      </c>
      <c r="Z236" s="385">
        <f t="shared" si="86"/>
        <v>36.581005902672942</v>
      </c>
      <c r="AA236" s="386">
        <f t="shared" si="87"/>
        <v>38.916243521903809</v>
      </c>
      <c r="AB236" s="197">
        <f t="shared" si="88"/>
        <v>43687</v>
      </c>
      <c r="AC236" s="425">
        <f>IF(OR(t&lt;Tnet,NoTnet),'2018'!Resal_s+('2018'!Salim-'2018'!Resal_s)*(1-EXP(('2018'!Tnet_s-t)/'2018'!Tau_j)),Resal_s+(Salim-Resal_s)*(1-EXP((Tnet_s-t)/Tau_j)))*Salcycl</f>
        <v>6.0006758306887675E-2</v>
      </c>
      <c r="AD236" s="231">
        <f>(INDEX(Models!$BJ236:$BT236,,AH236)*(1-AF236)+INDEX(Models!$BJ236:$BT236,,AH236+1)*AF236-ERP_i)*AE236*Ramure*Pc/MaxiM</f>
        <v>4.0434094513504704E-3</v>
      </c>
      <c r="AE236" s="305">
        <f t="shared" si="89"/>
        <v>0.8</v>
      </c>
      <c r="AF236" s="177">
        <f t="shared" si="90"/>
        <v>0.1548930289117243</v>
      </c>
      <c r="AG236" s="176">
        <f t="shared" si="91"/>
        <v>1</v>
      </c>
      <c r="AH236" s="176">
        <f t="shared" si="92"/>
        <v>7</v>
      </c>
      <c r="AI236" s="225">
        <f t="shared" si="93"/>
        <v>1.1548930289117243</v>
      </c>
      <c r="AJ236" s="265" t="b">
        <f t="shared" si="94"/>
        <v>0</v>
      </c>
      <c r="AK236" s="265" t="b">
        <f t="shared" si="95"/>
        <v>1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6">
        <v>25.841000000000001</v>
      </c>
      <c r="C237" s="390"/>
      <c r="D237" s="393">
        <f t="shared" si="75"/>
        <v>26.067498685112643</v>
      </c>
      <c r="E237" s="385">
        <f t="shared" si="97"/>
        <v>27.735346117782935</v>
      </c>
      <c r="F237" s="385">
        <f t="shared" si="76"/>
        <v>27.769542411249891</v>
      </c>
      <c r="G237" s="110">
        <f t="shared" si="98"/>
        <v>0.51071697384506409</v>
      </c>
      <c r="H237" s="414" t="b">
        <f>Wh_hp&gt;='2018'!Maxi_hp</f>
        <v>1</v>
      </c>
      <c r="I237" s="390">
        <f>IF(H237,Wh_hp,'2018'!Maxi_hp)</f>
        <v>27.769542411249891</v>
      </c>
      <c r="J237" s="85">
        <f>IF(H237,An,'2018'!An_max)</f>
        <v>2019</v>
      </c>
      <c r="K237" s="197">
        <f t="shared" si="77"/>
        <v>43688</v>
      </c>
      <c r="L237" s="147">
        <f>IF(t&lt;Tvie,1-EXP((T0-t)*PertePVj)+'2018'!Pspv,1-EXP((T0-t)*PertePVj)+Pspv)</f>
        <v>8.6889305279603812E-3</v>
      </c>
      <c r="M237" s="843"/>
      <c r="N237" s="843"/>
      <c r="O237" s="48">
        <f>IF(t&lt;Tnet,'2018'!Resal+('2018'!Salim-'2018'!Resal)*(1-EXP(('2018'!Tnet-t)/('2018'!Tau_j))),Resal+(Salim-Resal)*(1-EXP((Tnet-t)/(Tau_j))))*Salcycl</f>
        <v>6.0134365209919903E-2</v>
      </c>
      <c r="P237" s="169">
        <f>(INDEX(Models!$BJ237:$BT237,,T237)*(1-R237)+INDEX(Models!$BJ237:$BT237,,T237+1)*R237-ERP_i)*Q237*Ramure*Pc/MaxiM</f>
        <v>4.0628109517858802E-3</v>
      </c>
      <c r="Q237" s="305">
        <f t="shared" si="78"/>
        <v>0.8</v>
      </c>
      <c r="R237" s="177">
        <f t="shared" si="79"/>
        <v>0.15658479623933541</v>
      </c>
      <c r="S237" s="809">
        <f t="shared" si="80"/>
        <v>1</v>
      </c>
      <c r="T237" s="176">
        <f t="shared" si="81"/>
        <v>7</v>
      </c>
      <c r="U237" s="251">
        <f t="shared" si="82"/>
        <v>1.1565847962393354</v>
      </c>
      <c r="V237" s="383">
        <f t="shared" si="83"/>
        <v>50.454058583337904</v>
      </c>
      <c r="W237" s="58"/>
      <c r="X237" s="157">
        <f t="shared" si="84"/>
        <v>43688</v>
      </c>
      <c r="Y237" s="385">
        <f t="shared" si="85"/>
        <v>25.841000000000001</v>
      </c>
      <c r="Z237" s="385">
        <f t="shared" si="86"/>
        <v>26.067498685112643</v>
      </c>
      <c r="AA237" s="386">
        <f t="shared" si="87"/>
        <v>27.735346117782935</v>
      </c>
      <c r="AB237" s="197">
        <f t="shared" si="88"/>
        <v>43688</v>
      </c>
      <c r="AC237" s="425">
        <f>IF(OR(t&lt;Tnet,NoTnet),'2018'!Resal_s+('2018'!Salim-'2018'!Resal_s)*(1-EXP(('2018'!Tnet_s-t)/'2018'!Tau_j)),Resal_s+(Salim-Resal_s)*(1-EXP((Tnet_s-t)/Tau_j)))*Salcycl</f>
        <v>6.0134365209919903E-2</v>
      </c>
      <c r="AD237" s="231">
        <f>(INDEX(Models!$BJ237:$BT237,,AH237)*(1-AF237)+INDEX(Models!$BJ237:$BT237,,AH237+1)*AF237-ERP_i)*AE237*Ramure*Pc/MaxiM</f>
        <v>4.0628109517858802E-3</v>
      </c>
      <c r="AE237" s="305">
        <f t="shared" si="89"/>
        <v>0.8</v>
      </c>
      <c r="AF237" s="177">
        <f t="shared" si="90"/>
        <v>0.15658479623933541</v>
      </c>
      <c r="AG237" s="176">
        <f t="shared" si="91"/>
        <v>1</v>
      </c>
      <c r="AH237" s="176">
        <f t="shared" si="92"/>
        <v>7</v>
      </c>
      <c r="AI237" s="225">
        <f t="shared" si="93"/>
        <v>1.1565847962393354</v>
      </c>
      <c r="AJ237" s="265" t="b">
        <f t="shared" si="94"/>
        <v>0</v>
      </c>
      <c r="AK237" s="265" t="b">
        <f t="shared" si="95"/>
        <v>1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6">
        <v>26.486999999999998</v>
      </c>
      <c r="C238" s="390"/>
      <c r="D238" s="393">
        <f t="shared" si="75"/>
        <v>26.719782741492697</v>
      </c>
      <c r="E238" s="385">
        <f t="shared" si="97"/>
        <v>28.433216178651474</v>
      </c>
      <c r="F238" s="385">
        <f t="shared" si="76"/>
        <v>28.471073336864819</v>
      </c>
      <c r="G238" s="110">
        <f t="shared" si="98"/>
        <v>0.5258637124308071</v>
      </c>
      <c r="H238" s="414" t="b">
        <f>Wh_hp&gt;='2018'!Maxi_hp</f>
        <v>1</v>
      </c>
      <c r="I238" s="390">
        <f>IF(H238,Wh_hp,'2018'!Maxi_hp)</f>
        <v>28.471073336864819</v>
      </c>
      <c r="J238" s="85">
        <f>IF(H238,An,'2018'!An_max)</f>
        <v>2019</v>
      </c>
      <c r="K238" s="197">
        <f t="shared" si="77"/>
        <v>43689</v>
      </c>
      <c r="L238" s="147">
        <f>IF(t&lt;Tvie,1-EXP((T0-t)*PertePVj)+'2018'!Pspv,1-EXP((T0-t)*PertePVj)+Pspv)</f>
        <v>8.7119997847592279E-3</v>
      </c>
      <c r="M238" s="843"/>
      <c r="N238" s="843"/>
      <c r="O238" s="48">
        <f>IF(t&lt;Tnet,'2018'!Resal+('2018'!Salim-'2018'!Resal)*(1-EXP(('2018'!Tnet-t)/('2018'!Tau_j))),Resal+(Salim-Resal)*(1-EXP((Tnet-t)/(Tau_j))))*Salcycl</f>
        <v>6.0261682195673509E-2</v>
      </c>
      <c r="P238" s="169">
        <f>(INDEX(Models!$BJ238:$BT238,,T238)*(1-R238)+INDEX(Models!$BJ238:$BT238,,T238+1)*R238-ERP_i)*Q238*Ramure*Pc/MaxiM</f>
        <v>4.0944699677620084E-3</v>
      </c>
      <c r="Q238" s="305">
        <f t="shared" si="78"/>
        <v>0.8</v>
      </c>
      <c r="R238" s="177">
        <f t="shared" si="79"/>
        <v>0.1582181630244146</v>
      </c>
      <c r="S238" s="809">
        <f t="shared" si="80"/>
        <v>1</v>
      </c>
      <c r="T238" s="176">
        <f t="shared" si="81"/>
        <v>7</v>
      </c>
      <c r="U238" s="251">
        <f t="shared" si="82"/>
        <v>1.1582181630244146</v>
      </c>
      <c r="V238" s="383">
        <f t="shared" si="83"/>
        <v>50.229119522961845</v>
      </c>
      <c r="W238" s="58"/>
      <c r="X238" s="157">
        <f t="shared" si="84"/>
        <v>43689</v>
      </c>
      <c r="Y238" s="385">
        <f t="shared" si="85"/>
        <v>26.486999999999998</v>
      </c>
      <c r="Z238" s="385">
        <f t="shared" si="86"/>
        <v>26.719782741492697</v>
      </c>
      <c r="AA238" s="386">
        <f t="shared" si="87"/>
        <v>28.433216178651474</v>
      </c>
      <c r="AB238" s="197">
        <f t="shared" si="88"/>
        <v>43689</v>
      </c>
      <c r="AC238" s="425">
        <f>IF(OR(t&lt;Tnet,NoTnet),'2018'!Resal_s+('2018'!Salim-'2018'!Resal_s)*(1-EXP(('2018'!Tnet_s-t)/'2018'!Tau_j)),Resal_s+(Salim-Resal_s)*(1-EXP((Tnet_s-t)/Tau_j)))*Salcycl</f>
        <v>6.0261682195673509E-2</v>
      </c>
      <c r="AD238" s="231">
        <f>(INDEX(Models!$BJ238:$BT238,,AH238)*(1-AF238)+INDEX(Models!$BJ238:$BT238,,AH238+1)*AF238-ERP_i)*AE238*Ramure*Pc/MaxiM</f>
        <v>4.0944699677620084E-3</v>
      </c>
      <c r="AE238" s="305">
        <f t="shared" si="89"/>
        <v>0.8</v>
      </c>
      <c r="AF238" s="177">
        <f t="shared" si="90"/>
        <v>0.1582181630244146</v>
      </c>
      <c r="AG238" s="176">
        <f t="shared" si="91"/>
        <v>1</v>
      </c>
      <c r="AH238" s="176">
        <f t="shared" si="92"/>
        <v>7</v>
      </c>
      <c r="AI238" s="225">
        <f t="shared" si="93"/>
        <v>1.1582181630244146</v>
      </c>
      <c r="AJ238" s="265" t="b">
        <f t="shared" si="94"/>
        <v>0</v>
      </c>
      <c r="AK238" s="265" t="b">
        <f t="shared" si="95"/>
        <v>1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6">
        <v>43.743000000000002</v>
      </c>
      <c r="C239" s="390"/>
      <c r="D239" s="393">
        <f t="shared" si="75"/>
        <v>44.128465166234456</v>
      </c>
      <c r="E239" s="385">
        <f t="shared" si="97"/>
        <v>46.964596366997213</v>
      </c>
      <c r="F239" s="385">
        <f t="shared" si="76"/>
        <v>47.124763109850662</v>
      </c>
      <c r="G239" s="110">
        <f t="shared" si="98"/>
        <v>0.87421634315406083</v>
      </c>
      <c r="H239" s="414" t="b">
        <f>Wh_hp&gt;='2018'!Maxi_hp</f>
        <v>1</v>
      </c>
      <c r="I239" s="390">
        <f>IF(H239,Wh_hp,'2018'!Maxi_hp)</f>
        <v>47.124763109850662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8.7350685047028476E-3</v>
      </c>
      <c r="M239" s="843"/>
      <c r="N239" s="843"/>
      <c r="O239" s="48">
        <f>IF(t&lt;Tnet,'2018'!Resal+('2018'!Salim-'2018'!Resal)*(1-EXP(('2018'!Tnet-t)/('2018'!Tau_j))),Resal+(Salim-Resal)*(1-EXP((Tnet-t)/(Tau_j))))*Salcycl</f>
        <v>6.0388705964813882E-2</v>
      </c>
      <c r="P239" s="169">
        <f>(INDEX(Models!$BJ239:$BT239,,T239)*(1-R239)+INDEX(Models!$BJ239:$BT239,,T239+1)*R239-ERP_i)*Q239*Ramure*Pc/MaxiM</f>
        <v>4.1386121533876054E-3</v>
      </c>
      <c r="Q239" s="305">
        <f t="shared" si="78"/>
        <v>0.8</v>
      </c>
      <c r="R239" s="177">
        <f t="shared" si="79"/>
        <v>0.15979479301770683</v>
      </c>
      <c r="S239" s="809">
        <f t="shared" si="80"/>
        <v>1</v>
      </c>
      <c r="T239" s="176">
        <f t="shared" si="81"/>
        <v>7</v>
      </c>
      <c r="U239" s="251">
        <f t="shared" si="82"/>
        <v>1.1597947930177068</v>
      </c>
      <c r="V239" s="383">
        <f t="shared" si="83"/>
        <v>49.999668313267236</v>
      </c>
      <c r="W239" s="58"/>
      <c r="X239" s="157">
        <f t="shared" si="84"/>
        <v>43690</v>
      </c>
      <c r="Y239" s="385">
        <f t="shared" si="85"/>
        <v>43.743000000000002</v>
      </c>
      <c r="Z239" s="385">
        <f t="shared" si="86"/>
        <v>44.128465166234456</v>
      </c>
      <c r="AA239" s="386">
        <f t="shared" si="87"/>
        <v>46.964596366997213</v>
      </c>
      <c r="AB239" s="197">
        <f t="shared" si="88"/>
        <v>43690</v>
      </c>
      <c r="AC239" s="425">
        <f>IF(OR(t&lt;Tnet,NoTnet),'2018'!Resal_s+('2018'!Salim-'2018'!Resal_s)*(1-EXP(('2018'!Tnet_s-t)/'2018'!Tau_j)),Resal_s+(Salim-Resal_s)*(1-EXP((Tnet_s-t)/Tau_j)))*Salcycl</f>
        <v>6.0388705964813882E-2</v>
      </c>
      <c r="AD239" s="231">
        <f>(INDEX(Models!$BJ239:$BT239,,AH239)*(1-AF239)+INDEX(Models!$BJ239:$BT239,,AH239+1)*AF239-ERP_i)*AE239*Ramure*Pc/MaxiM</f>
        <v>4.1386121533876054E-3</v>
      </c>
      <c r="AE239" s="305">
        <f t="shared" si="89"/>
        <v>0.8</v>
      </c>
      <c r="AF239" s="177">
        <f t="shared" si="90"/>
        <v>0.15979479301770683</v>
      </c>
      <c r="AG239" s="176">
        <f t="shared" si="91"/>
        <v>1</v>
      </c>
      <c r="AH239" s="176">
        <f t="shared" si="92"/>
        <v>7</v>
      </c>
      <c r="AI239" s="225">
        <f t="shared" si="93"/>
        <v>1.1597947930177068</v>
      </c>
      <c r="AJ239" s="265" t="b">
        <f t="shared" si="94"/>
        <v>0</v>
      </c>
      <c r="AK239" s="265" t="b">
        <f t="shared" si="95"/>
        <v>1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6">
        <v>49.786999999999999</v>
      </c>
      <c r="C240" s="390"/>
      <c r="D240" s="393">
        <f t="shared" si="75"/>
        <v>50.226894003082819</v>
      </c>
      <c r="E240" s="385">
        <f t="shared" si="97"/>
        <v>53.462181006052724</v>
      </c>
      <c r="F240" s="385">
        <f t="shared" si="76"/>
        <v>53.688303667232056</v>
      </c>
      <c r="G240" s="110">
        <f t="shared" si="98"/>
        <v>1.000446363621738</v>
      </c>
      <c r="H240" s="414" t="b">
        <f>Wh_hp&gt;='2018'!Maxi_hp</f>
        <v>1</v>
      </c>
      <c r="I240" s="390">
        <f>IF(H240,Wh_hp,'2018'!Maxi_hp)</f>
        <v>53.688303667232056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8.7581366878035638E-3</v>
      </c>
      <c r="M240" s="843"/>
      <c r="N240" s="843"/>
      <c r="O240" s="48">
        <f>IF(t&lt;Tnet,'2018'!Resal+('2018'!Salim-'2018'!Resal)*(1-EXP(('2018'!Tnet-t)/('2018'!Tau_j))),Resal+(Salim-Resal)*(1-EXP((Tnet-t)/(Tau_j))))*Salcycl</f>
        <v>6.0515432443798457E-2</v>
      </c>
      <c r="P240" s="169">
        <f>(INDEX(Models!$BJ240:$BT240,,T240)*(1-R240)+INDEX(Models!$BJ240:$BT240,,T240+1)*R240-ERP_i)*Q240*Ramure*Pc/MaxiM</f>
        <v>4.2117676613676932E-3</v>
      </c>
      <c r="Q240" s="305">
        <f t="shared" si="78"/>
        <v>0.8</v>
      </c>
      <c r="R240" s="177">
        <f t="shared" si="79"/>
        <v>0.16131632889084568</v>
      </c>
      <c r="S240" s="809">
        <f t="shared" si="80"/>
        <v>1</v>
      </c>
      <c r="T240" s="176">
        <f t="shared" si="81"/>
        <v>7</v>
      </c>
      <c r="U240" s="251">
        <f t="shared" si="82"/>
        <v>1.1613163288908457</v>
      </c>
      <c r="V240" s="383">
        <f t="shared" si="83"/>
        <v>49.764786809524672</v>
      </c>
      <c r="W240" s="58"/>
      <c r="X240" s="157">
        <f t="shared" si="84"/>
        <v>43691</v>
      </c>
      <c r="Y240" s="385">
        <f t="shared" si="85"/>
        <v>49.786999999999999</v>
      </c>
      <c r="Z240" s="385">
        <f t="shared" si="86"/>
        <v>50.226894003082819</v>
      </c>
      <c r="AA240" s="386">
        <f t="shared" si="87"/>
        <v>53.462181006052724</v>
      </c>
      <c r="AB240" s="197">
        <f t="shared" si="88"/>
        <v>43691</v>
      </c>
      <c r="AC240" s="425">
        <f>IF(OR(t&lt;Tnet,NoTnet),'2018'!Resal_s+('2018'!Salim-'2018'!Resal_s)*(1-EXP(('2018'!Tnet_s-t)/'2018'!Tau_j)),Resal_s+(Salim-Resal_s)*(1-EXP((Tnet_s-t)/Tau_j)))*Salcycl</f>
        <v>6.0515432443798457E-2</v>
      </c>
      <c r="AD240" s="231">
        <f>(INDEX(Models!$BJ240:$BT240,,AH240)*(1-AF240)+INDEX(Models!$BJ240:$BT240,,AH240+1)*AF240-ERP_i)*AE240*Ramure*Pc/MaxiM</f>
        <v>4.2117676613676932E-3</v>
      </c>
      <c r="AE240" s="305">
        <f t="shared" si="89"/>
        <v>0.8</v>
      </c>
      <c r="AF240" s="177">
        <f t="shared" si="90"/>
        <v>0.16131632889084568</v>
      </c>
      <c r="AG240" s="176">
        <f t="shared" si="91"/>
        <v>1</v>
      </c>
      <c r="AH240" s="176">
        <f t="shared" si="92"/>
        <v>7</v>
      </c>
      <c r="AI240" s="225">
        <f t="shared" si="93"/>
        <v>1.1613163288908457</v>
      </c>
      <c r="AJ240" s="265" t="b">
        <f t="shared" si="94"/>
        <v>0</v>
      </c>
      <c r="AK240" s="265" t="b">
        <f t="shared" si="95"/>
        <v>1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6">
        <v>28.033999999999999</v>
      </c>
      <c r="C241" s="390"/>
      <c r="D241" s="393">
        <f t="shared" si="75"/>
        <v>28.28235312181106</v>
      </c>
      <c r="E241" s="385">
        <f t="shared" si="97"/>
        <v>30.108168357138414</v>
      </c>
      <c r="F241" s="385">
        <f t="shared" si="76"/>
        <v>30.157593083796325</v>
      </c>
      <c r="G241" s="110">
        <f t="shared" si="98"/>
        <v>0.56454772144918264</v>
      </c>
      <c r="H241" s="414" t="b">
        <f>Wh_hp&gt;='2018'!Maxi_hp</f>
        <v>1</v>
      </c>
      <c r="I241" s="390">
        <f>IF(H241,Wh_hp,'2018'!Maxi_hp)</f>
        <v>30.157593083796325</v>
      </c>
      <c r="J241" s="85">
        <f>IF(H241,An,'2018'!An_max)</f>
        <v>2019</v>
      </c>
      <c r="K241" s="197">
        <f t="shared" si="77"/>
        <v>43692</v>
      </c>
      <c r="L241" s="147">
        <f>IF(t&lt;Tvie,1-EXP((T0-t)*PertePVj)+'2018'!Pspv,1-EXP((T0-t)*PertePVj)+Pspv)</f>
        <v>8.7812043340740331E-3</v>
      </c>
      <c r="M241" s="843"/>
      <c r="N241" s="843"/>
      <c r="O241" s="48">
        <f>IF(t&lt;Tnet,'2018'!Resal+('2018'!Salim-'2018'!Resal)*(1-EXP(('2018'!Tnet-t)/('2018'!Tau_j))),Resal+(Salim-Resal)*(1-EXP((Tnet-t)/(Tau_j))))*Salcycl</f>
        <v>6.0641856843293082E-2</v>
      </c>
      <c r="P241" s="169">
        <f>(INDEX(Models!$BJ241:$BT241,,T241)*(1-R241)+INDEX(Models!$BJ241:$BT241,,T241+1)*R241-ERP_i)*Q241*Ramure*Pc/MaxiM</f>
        <v>4.3118211087902879E-3</v>
      </c>
      <c r="Q241" s="305">
        <f t="shared" si="78"/>
        <v>0.8</v>
      </c>
      <c r="R241" s="177">
        <f t="shared" si="79"/>
        <v>0.16278439031849379</v>
      </c>
      <c r="S241" s="809">
        <f t="shared" si="80"/>
        <v>1</v>
      </c>
      <c r="T241" s="176">
        <f t="shared" si="81"/>
        <v>7</v>
      </c>
      <c r="U241" s="251">
        <f t="shared" si="82"/>
        <v>1.1627843903184938</v>
      </c>
      <c r="V241" s="383">
        <f t="shared" si="83"/>
        <v>49.524500313129138</v>
      </c>
      <c r="W241" s="58"/>
      <c r="X241" s="157">
        <f t="shared" si="84"/>
        <v>43692</v>
      </c>
      <c r="Y241" s="385">
        <f t="shared" si="85"/>
        <v>28.033999999999999</v>
      </c>
      <c r="Z241" s="385">
        <f t="shared" si="86"/>
        <v>28.28235312181106</v>
      </c>
      <c r="AA241" s="386">
        <f t="shared" si="87"/>
        <v>30.108168357138414</v>
      </c>
      <c r="AB241" s="197">
        <f t="shared" si="88"/>
        <v>43692</v>
      </c>
      <c r="AC241" s="425">
        <f>IF(OR(t&lt;Tnet,NoTnet),'2018'!Resal_s+('2018'!Salim-'2018'!Resal_s)*(1-EXP(('2018'!Tnet_s-t)/'2018'!Tau_j)),Resal_s+(Salim-Resal_s)*(1-EXP((Tnet_s-t)/Tau_j)))*Salcycl</f>
        <v>6.0641856843293082E-2</v>
      </c>
      <c r="AD241" s="231">
        <f>(INDEX(Models!$BJ241:$BT241,,AH241)*(1-AF241)+INDEX(Models!$BJ241:$BT241,,AH241+1)*AF241-ERP_i)*AE241*Ramure*Pc/MaxiM</f>
        <v>4.3118211087902879E-3</v>
      </c>
      <c r="AE241" s="305">
        <f t="shared" si="89"/>
        <v>0.8</v>
      </c>
      <c r="AF241" s="177">
        <f t="shared" si="90"/>
        <v>0.16278439031849379</v>
      </c>
      <c r="AG241" s="176">
        <f t="shared" si="91"/>
        <v>1</v>
      </c>
      <c r="AH241" s="176">
        <f t="shared" si="92"/>
        <v>7</v>
      </c>
      <c r="AI241" s="225">
        <f t="shared" si="93"/>
        <v>1.1627843903184938</v>
      </c>
      <c r="AJ241" s="265" t="b">
        <f t="shared" si="94"/>
        <v>0</v>
      </c>
      <c r="AK241" s="265" t="b">
        <f t="shared" si="95"/>
        <v>1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6">
        <v>48.49</v>
      </c>
      <c r="C242" s="390"/>
      <c r="D242" s="393">
        <f t="shared" si="75"/>
        <v>48.920711220798289</v>
      </c>
      <c r="E242" s="385">
        <f t="shared" si="97"/>
        <v>52.085863611629854</v>
      </c>
      <c r="F242" s="385">
        <f t="shared" si="76"/>
        <v>52.312778726424021</v>
      </c>
      <c r="G242" s="110">
        <f t="shared" si="98"/>
        <v>0.9838946236668028</v>
      </c>
      <c r="H242" s="414" t="b">
        <f>Wh_hp&gt;='2018'!Maxi_hp</f>
        <v>1</v>
      </c>
      <c r="I242" s="390">
        <f>IF(H242,Wh_hp,'2018'!Maxi_hp)</f>
        <v>52.312778726424021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8.80427144352669E-3</v>
      </c>
      <c r="M242" s="843"/>
      <c r="N242" s="843"/>
      <c r="O242" s="48">
        <f>IF(t&lt;Tnet,'2018'!Resal+('2018'!Salim-'2018'!Resal)*(1-EXP(('2018'!Tnet-t)/('2018'!Tau_j))),Resal+(Salim-Resal)*(1-EXP((Tnet-t)/(Tau_j))))*Salcycl</f>
        <v>6.0767973714173897E-2</v>
      </c>
      <c r="P242" s="169">
        <f>(INDEX(Models!$BJ242:$BT242,,T242)*(1-R242)+INDEX(Models!$BJ242:$BT242,,T242+1)*R242-ERP_i)*Q242*Ramure*Pc/MaxiM</f>
        <v>4.4391599274715152E-3</v>
      </c>
      <c r="Q242" s="305">
        <f t="shared" si="78"/>
        <v>0.8</v>
      </c>
      <c r="R242" s="177">
        <f t="shared" si="79"/>
        <v>0.16420057227211649</v>
      </c>
      <c r="S242" s="809">
        <f t="shared" si="80"/>
        <v>1</v>
      </c>
      <c r="T242" s="176">
        <f t="shared" si="81"/>
        <v>7</v>
      </c>
      <c r="U242" s="251">
        <f t="shared" si="82"/>
        <v>1.1642005722721165</v>
      </c>
      <c r="V242" s="383">
        <f t="shared" si="83"/>
        <v>49.278709043461141</v>
      </c>
      <c r="W242" s="58"/>
      <c r="X242" s="157">
        <f t="shared" si="84"/>
        <v>43693</v>
      </c>
      <c r="Y242" s="385">
        <f t="shared" si="85"/>
        <v>48.49</v>
      </c>
      <c r="Z242" s="385">
        <f t="shared" si="86"/>
        <v>48.920711220798289</v>
      </c>
      <c r="AA242" s="386">
        <f t="shared" si="87"/>
        <v>52.085863611629854</v>
      </c>
      <c r="AB242" s="197">
        <f t="shared" si="88"/>
        <v>43693</v>
      </c>
      <c r="AC242" s="425">
        <f>IF(OR(t&lt;Tnet,NoTnet),'2018'!Resal_s+('2018'!Salim-'2018'!Resal_s)*(1-EXP(('2018'!Tnet_s-t)/'2018'!Tau_j)),Resal_s+(Salim-Resal_s)*(1-EXP((Tnet_s-t)/Tau_j)))*Salcycl</f>
        <v>6.0767973714173897E-2</v>
      </c>
      <c r="AD242" s="231">
        <f>(INDEX(Models!$BJ242:$BT242,,AH242)*(1-AF242)+INDEX(Models!$BJ242:$BT242,,AH242+1)*AF242-ERP_i)*AE242*Ramure*Pc/MaxiM</f>
        <v>4.4391599274715152E-3</v>
      </c>
      <c r="AE242" s="305">
        <f t="shared" si="89"/>
        <v>0.8</v>
      </c>
      <c r="AF242" s="177">
        <f t="shared" si="90"/>
        <v>0.16420057227211649</v>
      </c>
      <c r="AG242" s="176">
        <f t="shared" si="91"/>
        <v>1</v>
      </c>
      <c r="AH242" s="176">
        <f t="shared" si="92"/>
        <v>7</v>
      </c>
      <c r="AI242" s="225">
        <f t="shared" si="93"/>
        <v>1.1642005722721165</v>
      </c>
      <c r="AJ242" s="265" t="b">
        <f t="shared" si="94"/>
        <v>0</v>
      </c>
      <c r="AK242" s="265" t="b">
        <f t="shared" si="95"/>
        <v>1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6">
        <v>47.905000000000001</v>
      </c>
      <c r="C243" s="390"/>
      <c r="D243" s="393">
        <f t="shared" si="75"/>
        <v>48.331639720690475</v>
      </c>
      <c r="E243" s="385">
        <f t="shared" si="97"/>
        <v>51.465572836170139</v>
      </c>
      <c r="F243" s="385">
        <f t="shared" si="76"/>
        <v>51.695304108145685</v>
      </c>
      <c r="G243" s="110">
        <f t="shared" si="98"/>
        <v>0.97696094553015012</v>
      </c>
      <c r="H243" s="414" t="b">
        <f>Wh_hp&gt;='2018'!Maxi_hp</f>
        <v>1</v>
      </c>
      <c r="I243" s="390">
        <f>IF(H243,Wh_hp,'2018'!Maxi_hp)</f>
        <v>51.695304108145685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8.827338016173969E-3</v>
      </c>
      <c r="M243" s="843"/>
      <c r="N243" s="843"/>
      <c r="O243" s="48">
        <f>IF(t&lt;Tnet,'2018'!Resal+('2018'!Salim-'2018'!Resal)*(1-EXP(('2018'!Tnet-t)/('2018'!Tau_j))),Resal+(Salim-Resal)*(1-EXP((Tnet-t)/(Tau_j))))*Salcycl</f>
        <v>6.089377700032373E-2</v>
      </c>
      <c r="P243" s="169">
        <f>(INDEX(Models!$BJ243:$BT243,,T243)*(1-R243)+INDEX(Models!$BJ243:$BT243,,T243+1)*R243-ERP_i)*Q243*Ramure*Pc/MaxiM</f>
        <v>4.5941890233425148E-3</v>
      </c>
      <c r="Q243" s="305">
        <f t="shared" si="78"/>
        <v>0.8</v>
      </c>
      <c r="R243" s="177">
        <f t="shared" si="79"/>
        <v>0.16556644351393945</v>
      </c>
      <c r="S243" s="809">
        <f t="shared" si="80"/>
        <v>1</v>
      </c>
      <c r="T243" s="176">
        <f t="shared" si="81"/>
        <v>7</v>
      </c>
      <c r="U243" s="251">
        <f t="shared" si="82"/>
        <v>1.1655664435139395</v>
      </c>
      <c r="V243" s="383">
        <f t="shared" si="83"/>
        <v>49.027313550686692</v>
      </c>
      <c r="W243" s="58"/>
      <c r="X243" s="157">
        <f t="shared" si="84"/>
        <v>43694</v>
      </c>
      <c r="Y243" s="385">
        <f t="shared" si="85"/>
        <v>47.905000000000001</v>
      </c>
      <c r="Z243" s="385">
        <f t="shared" si="86"/>
        <v>48.331639720690475</v>
      </c>
      <c r="AA243" s="386">
        <f t="shared" si="87"/>
        <v>51.465572836170139</v>
      </c>
      <c r="AB243" s="197">
        <f t="shared" si="88"/>
        <v>43694</v>
      </c>
      <c r="AC243" s="425">
        <f>IF(OR(t&lt;Tnet,NoTnet),'2018'!Resal_s+('2018'!Salim-'2018'!Resal_s)*(1-EXP(('2018'!Tnet_s-t)/'2018'!Tau_j)),Resal_s+(Salim-Resal_s)*(1-EXP((Tnet_s-t)/Tau_j)))*Salcycl</f>
        <v>6.089377700032373E-2</v>
      </c>
      <c r="AD243" s="231">
        <f>(INDEX(Models!$BJ243:$BT243,,AH243)*(1-AF243)+INDEX(Models!$BJ243:$BT243,,AH243+1)*AF243-ERP_i)*AE243*Ramure*Pc/MaxiM</f>
        <v>4.5941890233425148E-3</v>
      </c>
      <c r="AE243" s="305">
        <f t="shared" si="89"/>
        <v>0.8</v>
      </c>
      <c r="AF243" s="177">
        <f t="shared" si="90"/>
        <v>0.16556644351393945</v>
      </c>
      <c r="AG243" s="176">
        <f t="shared" si="91"/>
        <v>1</v>
      </c>
      <c r="AH243" s="176">
        <f t="shared" si="92"/>
        <v>7</v>
      </c>
      <c r="AI243" s="225">
        <f t="shared" si="93"/>
        <v>1.1655664435139395</v>
      </c>
      <c r="AJ243" s="265" t="b">
        <f t="shared" si="94"/>
        <v>0</v>
      </c>
      <c r="AK243" s="265" t="b">
        <f t="shared" si="95"/>
        <v>1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6">
        <v>30.277000000000001</v>
      </c>
      <c r="C244" s="390"/>
      <c r="D244" s="393">
        <f t="shared" si="75"/>
        <v>30.547356447279761</v>
      </c>
      <c r="E244" s="385">
        <f t="shared" si="97"/>
        <v>32.532463285803324</v>
      </c>
      <c r="F244" s="385">
        <f t="shared" si="76"/>
        <v>32.603847652118063</v>
      </c>
      <c r="G244" s="110">
        <f t="shared" si="98"/>
        <v>0.6191991327005304</v>
      </c>
      <c r="H244" s="414" t="b">
        <f>Wh_hp&gt;='2018'!Maxi_hp</f>
        <v>1</v>
      </c>
      <c r="I244" s="390">
        <f>IF(H244,Wh_hp,'2018'!Maxi_hp)</f>
        <v>32.603847652118063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8.8504040520283045E-3</v>
      </c>
      <c r="M244" s="843"/>
      <c r="N244" s="843"/>
      <c r="O244" s="48">
        <f>IF(t&lt;Tnet,'2018'!Resal+('2018'!Salim-'2018'!Resal)*(1-EXP(('2018'!Tnet-t)/('2018'!Tau_j))),Resal+(Salim-Resal)*(1-EXP((Tnet-t)/(Tau_j))))*Salcycl</f>
        <v>6.1019260087502553E-2</v>
      </c>
      <c r="P244" s="169">
        <f>(INDEX(Models!$BJ244:$BT244,,T244)*(1-R244)+INDEX(Models!$BJ244:$BT244,,T244+1)*R244-ERP_i)*Q244*Ramure*Pc/MaxiM</f>
        <v>4.7773319949814983E-3</v>
      </c>
      <c r="Q244" s="305">
        <f t="shared" si="78"/>
        <v>0.8</v>
      </c>
      <c r="R244" s="177">
        <f t="shared" si="79"/>
        <v>0.16688354527971594</v>
      </c>
      <c r="S244" s="809">
        <f t="shared" si="80"/>
        <v>1</v>
      </c>
      <c r="T244" s="176">
        <f t="shared" si="81"/>
        <v>7</v>
      </c>
      <c r="U244" s="251">
        <f t="shared" si="82"/>
        <v>1.1668835452797159</v>
      </c>
      <c r="V244" s="383">
        <f t="shared" si="83"/>
        <v>48.770214711570922</v>
      </c>
      <c r="W244" s="58"/>
      <c r="X244" s="157">
        <f t="shared" si="84"/>
        <v>43695</v>
      </c>
      <c r="Y244" s="385">
        <f t="shared" si="85"/>
        <v>30.277000000000001</v>
      </c>
      <c r="Z244" s="385">
        <f t="shared" si="86"/>
        <v>30.547356447279761</v>
      </c>
      <c r="AA244" s="386">
        <f t="shared" si="87"/>
        <v>32.532463285803324</v>
      </c>
      <c r="AB244" s="197">
        <f t="shared" si="88"/>
        <v>43695</v>
      </c>
      <c r="AC244" s="425">
        <f>IF(OR(t&lt;Tnet,NoTnet),'2018'!Resal_s+('2018'!Salim-'2018'!Resal_s)*(1-EXP(('2018'!Tnet_s-t)/'2018'!Tau_j)),Resal_s+(Salim-Resal_s)*(1-EXP((Tnet_s-t)/Tau_j)))*Salcycl</f>
        <v>6.1019260087502553E-2</v>
      </c>
      <c r="AD244" s="231">
        <f>(INDEX(Models!$BJ244:$BT244,,AH244)*(1-AF244)+INDEX(Models!$BJ244:$BT244,,AH244+1)*AF244-ERP_i)*AE244*Ramure*Pc/MaxiM</f>
        <v>4.7773319949814983E-3</v>
      </c>
      <c r="AE244" s="305">
        <f t="shared" si="89"/>
        <v>0.8</v>
      </c>
      <c r="AF244" s="177">
        <f t="shared" si="90"/>
        <v>0.16688354527971594</v>
      </c>
      <c r="AG244" s="176">
        <f t="shared" si="91"/>
        <v>1</v>
      </c>
      <c r="AH244" s="176">
        <f t="shared" si="92"/>
        <v>7</v>
      </c>
      <c r="AI244" s="225">
        <f t="shared" si="93"/>
        <v>1.1668835452797159</v>
      </c>
      <c r="AJ244" s="265" t="b">
        <f t="shared" si="94"/>
        <v>0</v>
      </c>
      <c r="AK244" s="265" t="b">
        <f t="shared" si="95"/>
        <v>1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6">
        <v>32.186999999999998</v>
      </c>
      <c r="C245" s="390"/>
      <c r="D245" s="393">
        <f t="shared" si="75"/>
        <v>32.475167409172244</v>
      </c>
      <c r="E245" s="385">
        <f t="shared" si="97"/>
        <v>34.590162701639095</v>
      </c>
      <c r="F245" s="385">
        <f t="shared" si="76"/>
        <v>34.680021602458531</v>
      </c>
      <c r="G245" s="110">
        <f t="shared" si="98"/>
        <v>0.66195413223555677</v>
      </c>
      <c r="H245" s="414" t="b">
        <f>Wh_hp&gt;='2018'!Maxi_hp</f>
        <v>1</v>
      </c>
      <c r="I245" s="390">
        <f>IF(H245,Wh_hp,'2018'!Maxi_hp)</f>
        <v>34.680021602458531</v>
      </c>
      <c r="J245" s="85">
        <f>IF(H245,An,'2018'!An_max)</f>
        <v>2019</v>
      </c>
      <c r="K245" s="197">
        <f t="shared" si="77"/>
        <v>43696</v>
      </c>
      <c r="L245" s="147">
        <f>IF(t&lt;Tvie,1-EXP((T0-t)*PertePVj)+'2018'!Pspv,1-EXP((T0-t)*PertePVj)+Pspv)</f>
        <v>8.8734695511024642E-3</v>
      </c>
      <c r="M245" s="843"/>
      <c r="N245" s="843"/>
      <c r="O245" s="48">
        <f>IF(t&lt;Tnet,'2018'!Resal+('2018'!Salim-'2018'!Resal)*(1-EXP(('2018'!Tnet-t)/('2018'!Tau_j))),Resal+(Salim-Resal)*(1-EXP((Tnet-t)/(Tau_j))))*Salcycl</f>
        <v>6.1144415847648688E-2</v>
      </c>
      <c r="P245" s="169">
        <f>(INDEX(Models!$BJ245:$BT245,,T245)*(1-R245)+INDEX(Models!$BJ245:$BT245,,T245+1)*R245-ERP_i)*Q245*Ramure*Pc/MaxiM</f>
        <v>4.9890323957310018E-3</v>
      </c>
      <c r="Q245" s="305">
        <f t="shared" si="78"/>
        <v>0.8</v>
      </c>
      <c r="R245" s="177">
        <f t="shared" si="79"/>
        <v>0.16815339013904307</v>
      </c>
      <c r="S245" s="809">
        <f t="shared" si="80"/>
        <v>1</v>
      </c>
      <c r="T245" s="176">
        <f t="shared" si="81"/>
        <v>7</v>
      </c>
      <c r="U245" s="251">
        <f t="shared" si="82"/>
        <v>1.1681533901390431</v>
      </c>
      <c r="V245" s="383">
        <f t="shared" si="83"/>
        <v>48.507313743937502</v>
      </c>
      <c r="W245" s="58"/>
      <c r="X245" s="157">
        <f t="shared" si="84"/>
        <v>43696</v>
      </c>
      <c r="Y245" s="385">
        <f t="shared" si="85"/>
        <v>32.186999999999998</v>
      </c>
      <c r="Z245" s="385">
        <f t="shared" si="86"/>
        <v>32.475167409172244</v>
      </c>
      <c r="AA245" s="386">
        <f t="shared" si="87"/>
        <v>34.590162701639095</v>
      </c>
      <c r="AB245" s="197">
        <f t="shared" si="88"/>
        <v>43696</v>
      </c>
      <c r="AC245" s="425">
        <f>IF(OR(t&lt;Tnet,NoTnet),'2018'!Resal_s+('2018'!Salim-'2018'!Resal_s)*(1-EXP(('2018'!Tnet_s-t)/'2018'!Tau_j)),Resal_s+(Salim-Resal_s)*(1-EXP((Tnet_s-t)/Tau_j)))*Salcycl</f>
        <v>6.1144415847648688E-2</v>
      </c>
      <c r="AD245" s="231">
        <f>(INDEX(Models!$BJ245:$BT245,,AH245)*(1-AF245)+INDEX(Models!$BJ245:$BT245,,AH245+1)*AF245-ERP_i)*AE245*Ramure*Pc/MaxiM</f>
        <v>4.9890323957310018E-3</v>
      </c>
      <c r="AE245" s="305">
        <f t="shared" si="89"/>
        <v>0.8</v>
      </c>
      <c r="AF245" s="177">
        <f t="shared" si="90"/>
        <v>0.16815339013904307</v>
      </c>
      <c r="AG245" s="176">
        <f t="shared" si="91"/>
        <v>1</v>
      </c>
      <c r="AH245" s="176">
        <f t="shared" si="92"/>
        <v>7</v>
      </c>
      <c r="AI245" s="225">
        <f t="shared" si="93"/>
        <v>1.1681533901390431</v>
      </c>
      <c r="AJ245" s="265" t="b">
        <f t="shared" si="94"/>
        <v>0</v>
      </c>
      <c r="AK245" s="265" t="b">
        <f t="shared" si="95"/>
        <v>1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6">
        <v>30.5</v>
      </c>
      <c r="C246" s="390"/>
      <c r="D246" s="393">
        <f t="shared" si="75"/>
        <v>30.773779995841046</v>
      </c>
      <c r="E246" s="385">
        <f t="shared" si="97"/>
        <v>32.782328222567223</v>
      </c>
      <c r="F246" s="385">
        <f t="shared" si="76"/>
        <v>32.863911299489757</v>
      </c>
      <c r="G246" s="110">
        <f t="shared" si="98"/>
        <v>0.63053351636369637</v>
      </c>
      <c r="H246" s="414" t="b">
        <f>Wh_hp&gt;='2018'!Maxi_hp</f>
        <v>1</v>
      </c>
      <c r="I246" s="390">
        <f>IF(H246,Wh_hp,'2018'!Maxi_hp)</f>
        <v>32.863911299489757</v>
      </c>
      <c r="J246" s="85">
        <f>IF(H246,An,'2018'!An_max)</f>
        <v>2019</v>
      </c>
      <c r="K246" s="197">
        <f t="shared" si="77"/>
        <v>43697</v>
      </c>
      <c r="L246" s="147">
        <f>IF(t&lt;Tvie,1-EXP((T0-t)*PertePVj)+'2018'!Pspv,1-EXP((T0-t)*PertePVj)+Pspv)</f>
        <v>8.8965345134086604E-3</v>
      </c>
      <c r="M246" s="843"/>
      <c r="N246" s="843"/>
      <c r="O246" s="48">
        <f>IF(t&lt;Tnet,'2018'!Resal+('2018'!Salim-'2018'!Resal)*(1-EXP(('2018'!Tnet-t)/('2018'!Tau_j))),Resal+(Salim-Resal)*(1-EXP((Tnet-t)/(Tau_j))))*Salcycl</f>
        <v>6.1269236678055602E-2</v>
      </c>
      <c r="P246" s="169">
        <f>(INDEX(Models!$BJ246:$BT246,,T246)*(1-R246)+INDEX(Models!$BJ246:$BT246,,T246+1)*R246-ERP_i)*Q246*Ramure*Pc/MaxiM</f>
        <v>5.2297550511263445E-3</v>
      </c>
      <c r="Q246" s="305">
        <f t="shared" si="78"/>
        <v>0.8</v>
      </c>
      <c r="R246" s="177">
        <f t="shared" si="79"/>
        <v>0.16937746102218543</v>
      </c>
      <c r="S246" s="809">
        <f t="shared" si="80"/>
        <v>1</v>
      </c>
      <c r="T246" s="176">
        <f t="shared" si="81"/>
        <v>7</v>
      </c>
      <c r="U246" s="251">
        <f t="shared" si="82"/>
        <v>1.1693774610221854</v>
      </c>
      <c r="V246" s="383">
        <f t="shared" si="83"/>
        <v>48.238512201863976</v>
      </c>
      <c r="W246" s="58"/>
      <c r="X246" s="157">
        <f t="shared" si="84"/>
        <v>43697</v>
      </c>
      <c r="Y246" s="385">
        <f t="shared" si="85"/>
        <v>30.500000000000004</v>
      </c>
      <c r="Z246" s="385">
        <f t="shared" si="86"/>
        <v>30.77377999584105</v>
      </c>
      <c r="AA246" s="386">
        <f t="shared" si="87"/>
        <v>32.782328222567223</v>
      </c>
      <c r="AB246" s="197">
        <f t="shared" si="88"/>
        <v>43697</v>
      </c>
      <c r="AC246" s="425">
        <f>IF(OR(t&lt;Tnet,NoTnet),'2018'!Resal_s+('2018'!Salim-'2018'!Resal_s)*(1-EXP(('2018'!Tnet_s-t)/'2018'!Tau_j)),Resal_s+(Salim-Resal_s)*(1-EXP((Tnet_s-t)/Tau_j)))*Salcycl</f>
        <v>6.1269236678055602E-2</v>
      </c>
      <c r="AD246" s="231">
        <f>(INDEX(Models!$BJ246:$BT246,,AH246)*(1-AF246)+INDEX(Models!$BJ246:$BT246,,AH246+1)*AF246-ERP_i)*AE246*Ramure*Pc/MaxiM</f>
        <v>5.2297550511263445E-3</v>
      </c>
      <c r="AE246" s="305">
        <f t="shared" si="89"/>
        <v>0.8</v>
      </c>
      <c r="AF246" s="177">
        <f t="shared" si="90"/>
        <v>0.16937746102218543</v>
      </c>
      <c r="AG246" s="176">
        <f t="shared" si="91"/>
        <v>1</v>
      </c>
      <c r="AH246" s="176">
        <f t="shared" si="92"/>
        <v>7</v>
      </c>
      <c r="AI246" s="225">
        <f t="shared" si="93"/>
        <v>1.1693774610221854</v>
      </c>
      <c r="AJ246" s="265" t="b">
        <f t="shared" si="94"/>
        <v>0</v>
      </c>
      <c r="AK246" s="265" t="b">
        <f t="shared" si="95"/>
        <v>1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6">
        <v>45.197000000000003</v>
      </c>
      <c r="C247" s="390"/>
      <c r="D247" s="393">
        <f t="shared" si="75"/>
        <v>45.603767314551426</v>
      </c>
      <c r="E247" s="385">
        <f t="shared" si="97"/>
        <v>48.58668434332585</v>
      </c>
      <c r="F247" s="385">
        <f t="shared" si="76"/>
        <v>48.833127388179392</v>
      </c>
      <c r="G247" s="110">
        <f t="shared" si="98"/>
        <v>0.94187777411354889</v>
      </c>
      <c r="H247" s="414" t="b">
        <f>Wh_hp&gt;='2018'!Maxi_hp</f>
        <v>1</v>
      </c>
      <c r="I247" s="390">
        <f>IF(H247,Wh_hp,'2018'!Maxi_hp)</f>
        <v>48.833127388179392</v>
      </c>
      <c r="J247" s="85">
        <f>IF(H247,An,'2018'!An_max)</f>
        <v>2019</v>
      </c>
      <c r="K247" s="197">
        <f t="shared" si="77"/>
        <v>43698</v>
      </c>
      <c r="L247" s="147">
        <f>IF(t&lt;Tvie,1-EXP((T0-t)*PertePVj)+'2018'!Pspv,1-EXP((T0-t)*PertePVj)+Pspv)</f>
        <v>8.9195989389594388E-3</v>
      </c>
      <c r="M247" s="843"/>
      <c r="N247" s="843"/>
      <c r="O247" s="48">
        <f>IF(t&lt;Tnet,'2018'!Resal+('2018'!Salim-'2018'!Resal)*(1-EXP(('2018'!Tnet-t)/('2018'!Tau_j))),Resal+(Salim-Resal)*(1-EXP((Tnet-t)/(Tau_j))))*Salcycl</f>
        <v>6.1393714534961383E-2</v>
      </c>
      <c r="P247" s="169">
        <f>(INDEX(Models!$BJ247:$BT247,,T247)*(1-R247)+INDEX(Models!$BJ247:$BT247,,T247+1)*R247-ERP_i)*Q247*Ramure*Pc/MaxiM</f>
        <v>5.4999324463900993E-3</v>
      </c>
      <c r="Q247" s="305">
        <f t="shared" si="78"/>
        <v>0.8</v>
      </c>
      <c r="R247" s="177">
        <f t="shared" si="79"/>
        <v>0.17055721040258254</v>
      </c>
      <c r="S247" s="809">
        <f t="shared" si="80"/>
        <v>1</v>
      </c>
      <c r="T247" s="176">
        <f t="shared" si="81"/>
        <v>7</v>
      </c>
      <c r="U247" s="251">
        <f t="shared" si="82"/>
        <v>1.1705572104025825</v>
      </c>
      <c r="V247" s="383">
        <f t="shared" si="83"/>
        <v>47.964194196301712</v>
      </c>
      <c r="W247" s="58"/>
      <c r="X247" s="157">
        <f t="shared" si="84"/>
        <v>43698</v>
      </c>
      <c r="Y247" s="385">
        <f t="shared" si="85"/>
        <v>45.197000000000003</v>
      </c>
      <c r="Z247" s="385">
        <f t="shared" si="86"/>
        <v>45.603767314551426</v>
      </c>
      <c r="AA247" s="386">
        <f t="shared" si="87"/>
        <v>48.58668434332585</v>
      </c>
      <c r="AB247" s="197">
        <f t="shared" si="88"/>
        <v>43698</v>
      </c>
      <c r="AC247" s="425">
        <f>IF(OR(t&lt;Tnet,NoTnet),'2018'!Resal_s+('2018'!Salim-'2018'!Resal_s)*(1-EXP(('2018'!Tnet_s-t)/'2018'!Tau_j)),Resal_s+(Salim-Resal_s)*(1-EXP((Tnet_s-t)/Tau_j)))*Salcycl</f>
        <v>6.1393714534961383E-2</v>
      </c>
      <c r="AD247" s="231">
        <f>(INDEX(Models!$BJ247:$BT247,,AH247)*(1-AF247)+INDEX(Models!$BJ247:$BT247,,AH247+1)*AF247-ERP_i)*AE247*Ramure*Pc/MaxiM</f>
        <v>5.4999324463900993E-3</v>
      </c>
      <c r="AE247" s="305">
        <f t="shared" si="89"/>
        <v>0.8</v>
      </c>
      <c r="AF247" s="177">
        <f t="shared" si="90"/>
        <v>0.17055721040258254</v>
      </c>
      <c r="AG247" s="176">
        <f t="shared" si="91"/>
        <v>1</v>
      </c>
      <c r="AH247" s="176">
        <f t="shared" si="92"/>
        <v>7</v>
      </c>
      <c r="AI247" s="225">
        <f t="shared" si="93"/>
        <v>1.1705572104025825</v>
      </c>
      <c r="AJ247" s="265" t="b">
        <f t="shared" si="94"/>
        <v>0</v>
      </c>
      <c r="AK247" s="265" t="b">
        <f t="shared" si="95"/>
        <v>1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6">
        <v>48.493000000000002</v>
      </c>
      <c r="C248" s="390"/>
      <c r="D248" s="393">
        <f t="shared" si="75"/>
        <v>48.930569585776212</v>
      </c>
      <c r="E248" s="385">
        <f t="shared" si="97"/>
        <v>52.137985911091427</v>
      </c>
      <c r="F248" s="385">
        <f t="shared" si="76"/>
        <v>52.442438256662555</v>
      </c>
      <c r="G248" s="110">
        <f t="shared" si="98"/>
        <v>1.0169555679529745</v>
      </c>
      <c r="H248" s="414" t="b">
        <f>Wh_hp&gt;='2018'!Maxi_hp</f>
        <v>1</v>
      </c>
      <c r="I248" s="390">
        <f>IF(H248,Wh_hp,'2018'!Maxi_hp)</f>
        <v>52.442438256662555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8.9426628277674558E-3</v>
      </c>
      <c r="M248" s="843"/>
      <c r="N248" s="843"/>
      <c r="O248" s="48">
        <f>IF(t&lt;Tnet,'2018'!Resal+('2018'!Salim-'2018'!Resal)*(1-EXP(('2018'!Tnet-t)/('2018'!Tau_j))),Resal+(Salim-Resal)*(1-EXP((Tnet-t)/(Tau_j))))*Salcycl</f>
        <v>6.151784096118857E-2</v>
      </c>
      <c r="P248" s="169">
        <f>(INDEX(Models!$BJ248:$BT248,,T248)*(1-R248)+INDEX(Models!$BJ248:$BT248,,T248+1)*R248-ERP_i)*Q248*Ramure*Pc/MaxiM</f>
        <v>5.805457482374877E-3</v>
      </c>
      <c r="Q248" s="305">
        <f t="shared" si="78"/>
        <v>0.8</v>
      </c>
      <c r="R248" s="177">
        <f t="shared" si="79"/>
        <v>0.17169405962452444</v>
      </c>
      <c r="S248" s="809">
        <f t="shared" si="80"/>
        <v>1</v>
      </c>
      <c r="T248" s="176">
        <f t="shared" si="81"/>
        <v>7</v>
      </c>
      <c r="U248" s="251">
        <f t="shared" si="82"/>
        <v>1.1716940596245244</v>
      </c>
      <c r="V248" s="383">
        <f t="shared" si="83"/>
        <v>47.684482516390908</v>
      </c>
      <c r="W248" s="58"/>
      <c r="X248" s="157">
        <f t="shared" si="84"/>
        <v>43699</v>
      </c>
      <c r="Y248" s="385">
        <f t="shared" si="85"/>
        <v>48.493000000000002</v>
      </c>
      <c r="Z248" s="385">
        <f t="shared" si="86"/>
        <v>48.930569585776212</v>
      </c>
      <c r="AA248" s="386">
        <f t="shared" si="87"/>
        <v>52.137985911091427</v>
      </c>
      <c r="AB248" s="197">
        <f t="shared" si="88"/>
        <v>43699</v>
      </c>
      <c r="AC248" s="425">
        <f>IF(OR(t&lt;Tnet,NoTnet),'2018'!Resal_s+('2018'!Salim-'2018'!Resal_s)*(1-EXP(('2018'!Tnet_s-t)/'2018'!Tau_j)),Resal_s+(Salim-Resal_s)*(1-EXP((Tnet_s-t)/Tau_j)))*Salcycl</f>
        <v>6.151784096118857E-2</v>
      </c>
      <c r="AD248" s="231">
        <f>(INDEX(Models!$BJ248:$BT248,,AH248)*(1-AF248)+INDEX(Models!$BJ248:$BT248,,AH248+1)*AF248-ERP_i)*AE248*Ramure*Pc/MaxiM</f>
        <v>5.805457482374877E-3</v>
      </c>
      <c r="AE248" s="305">
        <f t="shared" si="89"/>
        <v>0.8</v>
      </c>
      <c r="AF248" s="177">
        <f t="shared" si="90"/>
        <v>0.17169405962452444</v>
      </c>
      <c r="AG248" s="176">
        <f t="shared" si="91"/>
        <v>1</v>
      </c>
      <c r="AH248" s="176">
        <f t="shared" si="92"/>
        <v>7</v>
      </c>
      <c r="AI248" s="225">
        <f t="shared" si="93"/>
        <v>1.1716940596245244</v>
      </c>
      <c r="AJ248" s="265" t="b">
        <f t="shared" si="94"/>
        <v>0</v>
      </c>
      <c r="AK248" s="265" t="b">
        <f t="shared" si="95"/>
        <v>1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6">
        <v>46.073999999999998</v>
      </c>
      <c r="C249" s="390"/>
      <c r="D249" s="393">
        <f t="shared" si="75"/>
        <v>46.490823997840003</v>
      </c>
      <c r="E249" s="385">
        <f t="shared" si="97"/>
        <v>49.544848055906783</v>
      </c>
      <c r="F249" s="385">
        <f t="shared" si="76"/>
        <v>49.838510164075387</v>
      </c>
      <c r="G249" s="110">
        <f t="shared" si="98"/>
        <v>0.97179108410835302</v>
      </c>
      <c r="H249" s="414" t="b">
        <f>Wh_hp&gt;='2018'!Maxi_hp</f>
        <v>1</v>
      </c>
      <c r="I249" s="390">
        <f>IF(H249,Wh_hp,'2018'!Maxi_hp)</f>
        <v>49.838510164075387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8.9657261798450349E-3</v>
      </c>
      <c r="M249" s="843"/>
      <c r="N249" s="843"/>
      <c r="O249" s="48">
        <f>IF(t&lt;Tnet,'2018'!Resal+('2018'!Salim-'2018'!Resal)*(1-EXP(('2018'!Tnet-t)/('2018'!Tau_j))),Resal+(Salim-Resal)*(1-EXP((Tnet-t)/(Tau_j))))*Salcycl</f>
        <v>6.164160710757647E-2</v>
      </c>
      <c r="P249" s="169">
        <f>(INDEX(Models!$BJ249:$BT249,,T249)*(1-R249)+INDEX(Models!$BJ249:$BT249,,T249+1)*R249-ERP_i)*Q249*Ramure*Pc/MaxiM</f>
        <v>6.1375024632978267E-3</v>
      </c>
      <c r="Q249" s="305">
        <f t="shared" si="78"/>
        <v>0.8</v>
      </c>
      <c r="R249" s="177">
        <f t="shared" si="79"/>
        <v>0.17278939836578822</v>
      </c>
      <c r="S249" s="809">
        <f t="shared" si="80"/>
        <v>1</v>
      </c>
      <c r="T249" s="176">
        <f t="shared" si="81"/>
        <v>7</v>
      </c>
      <c r="U249" s="251">
        <f t="shared" si="82"/>
        <v>1.1727893983657882</v>
      </c>
      <c r="V249" s="383">
        <f t="shared" si="83"/>
        <v>47.3997293056796</v>
      </c>
      <c r="W249" s="58"/>
      <c r="X249" s="157">
        <f t="shared" si="84"/>
        <v>43700</v>
      </c>
      <c r="Y249" s="385">
        <f t="shared" si="85"/>
        <v>46.073999999999998</v>
      </c>
      <c r="Z249" s="385">
        <f t="shared" si="86"/>
        <v>46.490823997840003</v>
      </c>
      <c r="AA249" s="386">
        <f t="shared" si="87"/>
        <v>49.544848055906783</v>
      </c>
      <c r="AB249" s="197">
        <f t="shared" si="88"/>
        <v>43700</v>
      </c>
      <c r="AC249" s="425">
        <f>IF(OR(t&lt;Tnet,NoTnet),'2018'!Resal_s+('2018'!Salim-'2018'!Resal_s)*(1-EXP(('2018'!Tnet_s-t)/'2018'!Tau_j)),Resal_s+(Salim-Resal_s)*(1-EXP((Tnet_s-t)/Tau_j)))*Salcycl</f>
        <v>6.164160710757647E-2</v>
      </c>
      <c r="AD249" s="231">
        <f>(INDEX(Models!$BJ249:$BT249,,AH249)*(1-AF249)+INDEX(Models!$BJ249:$BT249,,AH249+1)*AF249-ERP_i)*AE249*Ramure*Pc/MaxiM</f>
        <v>6.1375024632978267E-3</v>
      </c>
      <c r="AE249" s="305">
        <f t="shared" si="89"/>
        <v>0.8</v>
      </c>
      <c r="AF249" s="177">
        <f t="shared" si="90"/>
        <v>0.17278939836578822</v>
      </c>
      <c r="AG249" s="176">
        <f t="shared" si="91"/>
        <v>1</v>
      </c>
      <c r="AH249" s="176">
        <f t="shared" si="92"/>
        <v>7</v>
      </c>
      <c r="AI249" s="225">
        <f t="shared" si="93"/>
        <v>1.1727893983657882</v>
      </c>
      <c r="AJ249" s="265" t="b">
        <f t="shared" si="94"/>
        <v>0</v>
      </c>
      <c r="AK249" s="265" t="b">
        <f t="shared" si="95"/>
        <v>1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6">
        <v>45.578000000000003</v>
      </c>
      <c r="C250" s="390"/>
      <c r="D250" s="393">
        <f t="shared" si="75"/>
        <v>45.991407053597356</v>
      </c>
      <c r="E250" s="385">
        <f t="shared" si="97"/>
        <v>49.01907010218504</v>
      </c>
      <c r="F250" s="385">
        <f t="shared" si="76"/>
        <v>49.324626465187585</v>
      </c>
      <c r="G250" s="110">
        <f t="shared" si="98"/>
        <v>0.96718996665651069</v>
      </c>
      <c r="H250" s="414" t="b">
        <f>Wh_hp&gt;='2018'!Maxi_hp</f>
        <v>1</v>
      </c>
      <c r="I250" s="390">
        <f>IF(H250,Wh_hp,'2018'!Maxi_hp)</f>
        <v>49.324626465187585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8.9887889952047217E-3</v>
      </c>
      <c r="M250" s="843"/>
      <c r="N250" s="843"/>
      <c r="O250" s="48">
        <f>IF(t&lt;Tnet,'2018'!Resal+('2018'!Salim-'2018'!Resal)*(1-EXP(('2018'!Tnet-t)/('2018'!Tau_j))),Resal+(Salim-Resal)*(1-EXP((Tnet-t)/(Tau_j))))*Salcycl</f>
        <v>6.1765003748056123E-2</v>
      </c>
      <c r="P250" s="169">
        <f>(INDEX(Models!$BJ250:$BT250,,T250)*(1-R250)+INDEX(Models!$BJ250:$BT250,,T250+1)*R250-ERP_i)*Q250*Ramure*Pc/MaxiM</f>
        <v>6.4965811656872681E-3</v>
      </c>
      <c r="Q250" s="305">
        <f t="shared" si="78"/>
        <v>0.8</v>
      </c>
      <c r="R250" s="177">
        <f t="shared" si="79"/>
        <v>0.17384458422538529</v>
      </c>
      <c r="S250" s="809">
        <f t="shared" si="80"/>
        <v>1</v>
      </c>
      <c r="T250" s="176">
        <f t="shared" si="81"/>
        <v>7</v>
      </c>
      <c r="U250" s="251">
        <f t="shared" si="82"/>
        <v>1.1738445842253853</v>
      </c>
      <c r="V250" s="383">
        <f t="shared" si="83"/>
        <v>47.109835095513517</v>
      </c>
      <c r="W250" s="58"/>
      <c r="X250" s="157">
        <f t="shared" si="84"/>
        <v>43701</v>
      </c>
      <c r="Y250" s="385">
        <f t="shared" si="85"/>
        <v>45.578000000000003</v>
      </c>
      <c r="Z250" s="385">
        <f t="shared" si="86"/>
        <v>45.991407053597356</v>
      </c>
      <c r="AA250" s="386">
        <f t="shared" si="87"/>
        <v>49.01907010218504</v>
      </c>
      <c r="AB250" s="197">
        <f t="shared" si="88"/>
        <v>43701</v>
      </c>
      <c r="AC250" s="425">
        <f>IF(OR(t&lt;Tnet,NoTnet),'2018'!Resal_s+('2018'!Salim-'2018'!Resal_s)*(1-EXP(('2018'!Tnet_s-t)/'2018'!Tau_j)),Resal_s+(Salim-Resal_s)*(1-EXP((Tnet_s-t)/Tau_j)))*Salcycl</f>
        <v>6.1765003748056123E-2</v>
      </c>
      <c r="AD250" s="231">
        <f>(INDEX(Models!$BJ250:$BT250,,AH250)*(1-AF250)+INDEX(Models!$BJ250:$BT250,,AH250+1)*AF250-ERP_i)*AE250*Ramure*Pc/MaxiM</f>
        <v>6.4965811656872681E-3</v>
      </c>
      <c r="AE250" s="305">
        <f t="shared" si="89"/>
        <v>0.8</v>
      </c>
      <c r="AF250" s="177">
        <f t="shared" si="90"/>
        <v>0.17384458422538529</v>
      </c>
      <c r="AG250" s="176">
        <f t="shared" si="91"/>
        <v>1</v>
      </c>
      <c r="AH250" s="176">
        <f t="shared" si="92"/>
        <v>7</v>
      </c>
      <c r="AI250" s="225">
        <f t="shared" si="93"/>
        <v>1.1738445842253853</v>
      </c>
      <c r="AJ250" s="265" t="b">
        <f t="shared" si="94"/>
        <v>0</v>
      </c>
      <c r="AK250" s="265" t="b">
        <f t="shared" si="95"/>
        <v>1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6">
        <v>41.762999999999998</v>
      </c>
      <c r="C251" s="390"/>
      <c r="D251" s="393">
        <f t="shared" si="75"/>
        <v>42.142784506236495</v>
      </c>
      <c r="E251" s="385">
        <f t="shared" si="97"/>
        <v>44.922978772866848</v>
      </c>
      <c r="F251" s="385">
        <f t="shared" si="76"/>
        <v>45.186058646331489</v>
      </c>
      <c r="G251" s="110">
        <f t="shared" si="98"/>
        <v>0.89113944530205602</v>
      </c>
      <c r="H251" s="414" t="b">
        <f>Wh_hp&gt;='2018'!Maxi_hp</f>
        <v>1</v>
      </c>
      <c r="I251" s="390">
        <f>IF(H251,Wh_hp,'2018'!Maxi_hp)</f>
        <v>45.186058646331489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9.0118512738590617E-3</v>
      </c>
      <c r="M251" s="843"/>
      <c r="N251" s="843"/>
      <c r="O251" s="48">
        <f>IF(t&lt;Tnet,'2018'!Resal+('2018'!Salim-'2018'!Resal)*(1-EXP(('2018'!Tnet-t)/('2018'!Tau_j))),Resal+(Salim-Resal)*(1-EXP((Tnet-t)/(Tau_j))))*Salcycl</f>
        <v>6.1888021288329396E-2</v>
      </c>
      <c r="P251" s="169">
        <f>(INDEX(Models!$BJ251:$BT251,,T251)*(1-R251)+INDEX(Models!$BJ251:$BT251,,T251+1)*R251-ERP_i)*Q251*Ramure*Pc/MaxiM</f>
        <v>6.8832306569673726E-3</v>
      </c>
      <c r="Q251" s="305">
        <f t="shared" si="78"/>
        <v>0.8</v>
      </c>
      <c r="R251" s="177">
        <f t="shared" si="79"/>
        <v>0.17486094242694272</v>
      </c>
      <c r="S251" s="809">
        <f t="shared" si="80"/>
        <v>1</v>
      </c>
      <c r="T251" s="176">
        <f t="shared" si="81"/>
        <v>7</v>
      </c>
      <c r="U251" s="251">
        <f t="shared" si="82"/>
        <v>1.1748609424269427</v>
      </c>
      <c r="V251" s="383">
        <f t="shared" si="83"/>
        <v>46.814700737627923</v>
      </c>
      <c r="W251" s="58"/>
      <c r="X251" s="157">
        <f t="shared" si="84"/>
        <v>43702</v>
      </c>
      <c r="Y251" s="385">
        <f t="shared" si="85"/>
        <v>41.762999999999998</v>
      </c>
      <c r="Z251" s="385">
        <f t="shared" si="86"/>
        <v>42.142784506236495</v>
      </c>
      <c r="AA251" s="386">
        <f t="shared" si="87"/>
        <v>44.922978772866848</v>
      </c>
      <c r="AB251" s="197">
        <f t="shared" si="88"/>
        <v>43702</v>
      </c>
      <c r="AC251" s="425">
        <f>IF(OR(t&lt;Tnet,NoTnet),'2018'!Resal_s+('2018'!Salim-'2018'!Resal_s)*(1-EXP(('2018'!Tnet_s-t)/'2018'!Tau_j)),Resal_s+(Salim-Resal_s)*(1-EXP((Tnet_s-t)/Tau_j)))*Salcycl</f>
        <v>6.1888021288329396E-2</v>
      </c>
      <c r="AD251" s="231">
        <f>(INDEX(Models!$BJ251:$BT251,,AH251)*(1-AF251)+INDEX(Models!$BJ251:$BT251,,AH251+1)*AF251-ERP_i)*AE251*Ramure*Pc/MaxiM</f>
        <v>6.8832306569673726E-3</v>
      </c>
      <c r="AE251" s="305">
        <f t="shared" si="89"/>
        <v>0.8</v>
      </c>
      <c r="AF251" s="177">
        <f t="shared" si="90"/>
        <v>0.17486094242694272</v>
      </c>
      <c r="AG251" s="176">
        <f t="shared" si="91"/>
        <v>1</v>
      </c>
      <c r="AH251" s="176">
        <f t="shared" si="92"/>
        <v>7</v>
      </c>
      <c r="AI251" s="225">
        <f t="shared" si="93"/>
        <v>1.1748609424269427</v>
      </c>
      <c r="AJ251" s="265" t="b">
        <f t="shared" si="94"/>
        <v>0</v>
      </c>
      <c r="AK251" s="265" t="b">
        <f t="shared" si="95"/>
        <v>1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6">
        <v>37.658999999999999</v>
      </c>
      <c r="C252" s="390"/>
      <c r="D252" s="393">
        <f t="shared" si="75"/>
        <v>38.002347907743406</v>
      </c>
      <c r="E252" s="385">
        <f t="shared" si="97"/>
        <v>40.514690170366109</v>
      </c>
      <c r="F252" s="385">
        <f t="shared" si="76"/>
        <v>40.73110230220135</v>
      </c>
      <c r="G252" s="110">
        <f t="shared" si="98"/>
        <v>0.80800770907098518</v>
      </c>
      <c r="H252" s="414" t="b">
        <f>Wh_hp&gt;='2018'!Maxi_hp</f>
        <v>1</v>
      </c>
      <c r="I252" s="390">
        <f>IF(H252,Wh_hp,'2018'!Maxi_hp)</f>
        <v>40.73110230220135</v>
      </c>
      <c r="J252" s="85">
        <f>IF(H252,An,'2018'!An_max)</f>
        <v>2019</v>
      </c>
      <c r="K252" s="197">
        <f t="shared" si="77"/>
        <v>43703</v>
      </c>
      <c r="L252" s="147">
        <f>IF(t&lt;Tvie,1-EXP((T0-t)*PertePVj)+'2018'!Pspv,1-EXP((T0-t)*PertePVj)+Pspv)</f>
        <v>9.0349130158203783E-3</v>
      </c>
      <c r="M252" s="843"/>
      <c r="N252" s="843"/>
      <c r="O252" s="48">
        <f>IF(t&lt;Tnet,'2018'!Resal+('2018'!Salim-'2018'!Resal)*(1-EXP(('2018'!Tnet-t)/('2018'!Tau_j))),Resal+(Salim-Resal)*(1-EXP((Tnet-t)/(Tau_j))))*Salcycl</f>
        <v>6.2010649768224596E-2</v>
      </c>
      <c r="P252" s="169">
        <f>(INDEX(Models!$BJ252:$BT252,,T252)*(1-R252)+INDEX(Models!$BJ252:$BT252,,T252+1)*R252-ERP_i)*Q252*Ramure*Pc/MaxiM</f>
        <v>7.2980065775914947E-3</v>
      </c>
      <c r="Q252" s="305">
        <f t="shared" si="78"/>
        <v>0.8</v>
      </c>
      <c r="R252" s="177">
        <f t="shared" si="79"/>
        <v>0.17583976562862702</v>
      </c>
      <c r="S252" s="809">
        <f t="shared" si="80"/>
        <v>1</v>
      </c>
      <c r="T252" s="176">
        <f t="shared" si="81"/>
        <v>7</v>
      </c>
      <c r="U252" s="251">
        <f t="shared" si="82"/>
        <v>1.175839765628627</v>
      </c>
      <c r="V252" s="383">
        <f t="shared" si="83"/>
        <v>46.514227712749218</v>
      </c>
      <c r="W252" s="58"/>
      <c r="X252" s="157">
        <f t="shared" si="84"/>
        <v>43703</v>
      </c>
      <c r="Y252" s="385">
        <f t="shared" si="85"/>
        <v>37.658999999999999</v>
      </c>
      <c r="Z252" s="385">
        <f t="shared" si="86"/>
        <v>38.002347907743406</v>
      </c>
      <c r="AA252" s="386">
        <f t="shared" si="87"/>
        <v>40.514690170366109</v>
      </c>
      <c r="AB252" s="197">
        <f t="shared" si="88"/>
        <v>43703</v>
      </c>
      <c r="AC252" s="425">
        <f>IF(OR(t&lt;Tnet,NoTnet),'2018'!Resal_s+('2018'!Salim-'2018'!Resal_s)*(1-EXP(('2018'!Tnet_s-t)/'2018'!Tau_j)),Resal_s+(Salim-Resal_s)*(1-EXP((Tnet_s-t)/Tau_j)))*Salcycl</f>
        <v>6.2010649768224596E-2</v>
      </c>
      <c r="AD252" s="231">
        <f>(INDEX(Models!$BJ252:$BT252,,AH252)*(1-AF252)+INDEX(Models!$BJ252:$BT252,,AH252+1)*AF252-ERP_i)*AE252*Ramure*Pc/MaxiM</f>
        <v>7.2980065775914947E-3</v>
      </c>
      <c r="AE252" s="305">
        <f t="shared" si="89"/>
        <v>0.8</v>
      </c>
      <c r="AF252" s="177">
        <f t="shared" si="90"/>
        <v>0.17583976562862702</v>
      </c>
      <c r="AG252" s="176">
        <f t="shared" si="91"/>
        <v>1</v>
      </c>
      <c r="AH252" s="176">
        <f t="shared" si="92"/>
        <v>7</v>
      </c>
      <c r="AI252" s="225">
        <f t="shared" si="93"/>
        <v>1.175839765628627</v>
      </c>
      <c r="AJ252" s="265" t="b">
        <f t="shared" si="94"/>
        <v>0</v>
      </c>
      <c r="AK252" s="265" t="b">
        <f t="shared" si="95"/>
        <v>1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6">
        <v>28.398</v>
      </c>
      <c r="C253" s="390"/>
      <c r="D253" s="393">
        <f t="shared" si="75"/>
        <v>28.657579617413692</v>
      </c>
      <c r="E253" s="385">
        <f t="shared" si="97"/>
        <v>30.55611927467503</v>
      </c>
      <c r="F253" s="385">
        <f t="shared" si="76"/>
        <v>30.662790692735022</v>
      </c>
      <c r="G253" s="110">
        <f t="shared" si="98"/>
        <v>0.61193586818381818</v>
      </c>
      <c r="H253" s="414" t="b">
        <f>Wh_hp&gt;='2018'!Maxi_hp</f>
        <v>1</v>
      </c>
      <c r="I253" s="390">
        <f>IF(H253,Wh_hp,'2018'!Maxi_hp)</f>
        <v>30.662790692735022</v>
      </c>
      <c r="J253" s="85">
        <f>IF(H253,An,'2018'!An_max)</f>
        <v>2019</v>
      </c>
      <c r="K253" s="197">
        <f t="shared" si="77"/>
        <v>43704</v>
      </c>
      <c r="L253" s="147">
        <f>IF(t&lt;Tvie,1-EXP((T0-t)*PertePVj)+'2018'!Pspv,1-EXP((T0-t)*PertePVj)+Pspv)</f>
        <v>9.0579742211013281E-3</v>
      </c>
      <c r="M253" s="843"/>
      <c r="N253" s="843"/>
      <c r="O253" s="48">
        <f>IF(t&lt;Tnet,'2018'!Resal+('2018'!Salim-'2018'!Resal)*(1-EXP(('2018'!Tnet-t)/('2018'!Tau_j))),Resal+(Salim-Resal)*(1-EXP((Tnet-t)/(Tau_j))))*Salcycl</f>
        <v>6.2132878857913437E-2</v>
      </c>
      <c r="P253" s="169">
        <f>(INDEX(Models!$BJ253:$BT253,,T253)*(1-R253)+INDEX(Models!$BJ253:$BT253,,T253+1)*R253-ERP_i)*Q253*Ramure*Pc/MaxiM</f>
        <v>7.7414885626298164E-3</v>
      </c>
      <c r="Q253" s="305">
        <f t="shared" si="78"/>
        <v>0.8</v>
      </c>
      <c r="R253" s="177">
        <f t="shared" si="79"/>
        <v>0.17678231383092369</v>
      </c>
      <c r="S253" s="809">
        <f t="shared" si="80"/>
        <v>1</v>
      </c>
      <c r="T253" s="176">
        <f t="shared" si="81"/>
        <v>7</v>
      </c>
      <c r="U253" s="251">
        <f t="shared" si="82"/>
        <v>1.1767823138309237</v>
      </c>
      <c r="V253" s="383">
        <f t="shared" si="83"/>
        <v>46.208317946395681</v>
      </c>
      <c r="W253" s="58"/>
      <c r="X253" s="157">
        <f t="shared" si="84"/>
        <v>43704</v>
      </c>
      <c r="Y253" s="385">
        <f t="shared" si="85"/>
        <v>28.398</v>
      </c>
      <c r="Z253" s="385">
        <f t="shared" si="86"/>
        <v>28.657579617413692</v>
      </c>
      <c r="AA253" s="386">
        <f t="shared" si="87"/>
        <v>30.55611927467503</v>
      </c>
      <c r="AB253" s="197">
        <f t="shared" si="88"/>
        <v>43704</v>
      </c>
      <c r="AC253" s="425">
        <f>IF(OR(t&lt;Tnet,NoTnet),'2018'!Resal_s+('2018'!Salim-'2018'!Resal_s)*(1-EXP(('2018'!Tnet_s-t)/'2018'!Tau_j)),Resal_s+(Salim-Resal_s)*(1-EXP((Tnet_s-t)/Tau_j)))*Salcycl</f>
        <v>6.2132878857913437E-2</v>
      </c>
      <c r="AD253" s="231">
        <f>(INDEX(Models!$BJ253:$BT253,,AH253)*(1-AF253)+INDEX(Models!$BJ253:$BT253,,AH253+1)*AF253-ERP_i)*AE253*Ramure*Pc/MaxiM</f>
        <v>7.7414885626298164E-3</v>
      </c>
      <c r="AE253" s="305">
        <f t="shared" si="89"/>
        <v>0.8</v>
      </c>
      <c r="AF253" s="177">
        <f t="shared" si="90"/>
        <v>0.17678231383092369</v>
      </c>
      <c r="AG253" s="176">
        <f t="shared" si="91"/>
        <v>1</v>
      </c>
      <c r="AH253" s="176">
        <f t="shared" si="92"/>
        <v>7</v>
      </c>
      <c r="AI253" s="225">
        <f t="shared" si="93"/>
        <v>1.1767823138309237</v>
      </c>
      <c r="AJ253" s="265" t="b">
        <f t="shared" si="94"/>
        <v>0</v>
      </c>
      <c r="AK253" s="265" t="b">
        <f t="shared" si="95"/>
        <v>1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6">
        <v>37.401000000000003</v>
      </c>
      <c r="C254" s="390"/>
      <c r="D254" s="393">
        <f t="shared" si="75"/>
        <v>37.743752331793758</v>
      </c>
      <c r="E254" s="385">
        <f t="shared" si="97"/>
        <v>40.249470986618981</v>
      </c>
      <c r="F254" s="385">
        <f t="shared" si="76"/>
        <v>40.494012060386481</v>
      </c>
      <c r="G254" s="110">
        <f t="shared" si="98"/>
        <v>0.81310866664870662</v>
      </c>
      <c r="H254" s="414" t="b">
        <f>Wh_hp&gt;='2018'!Maxi_hp</f>
        <v>1</v>
      </c>
      <c r="I254" s="390">
        <f>IF(H254,Wh_hp,'2018'!Maxi_hp)</f>
        <v>40.494012060386481</v>
      </c>
      <c r="J254" s="85">
        <f>IF(H254,An,'2018'!An_max)</f>
        <v>2019</v>
      </c>
      <c r="K254" s="197">
        <f t="shared" si="77"/>
        <v>43705</v>
      </c>
      <c r="L254" s="147">
        <f>IF(t&lt;Tvie,1-EXP((T0-t)*PertePVj)+'2018'!Pspv,1-EXP((T0-t)*PertePVj)+Pspv)</f>
        <v>9.0810348897143456E-3</v>
      </c>
      <c r="M254" s="843"/>
      <c r="N254" s="843"/>
      <c r="O254" s="48">
        <f>IF(t&lt;Tnet,'2018'!Resal+('2018'!Salim-'2018'!Resal)*(1-EXP(('2018'!Tnet-t)/('2018'!Tau_j))),Resal+(Salim-Resal)*(1-EXP((Tnet-t)/(Tau_j))))*Salcycl</f>
        <v>6.2254697848283642E-2</v>
      </c>
      <c r="P254" s="169">
        <f>(INDEX(Models!$BJ254:$BT254,,T254)*(1-R254)+INDEX(Models!$BJ254:$BT254,,T254+1)*R254-ERP_i)*Q254*Ramure*Pc/MaxiM</f>
        <v>8.210049016933672E-3</v>
      </c>
      <c r="Q254" s="305">
        <f t="shared" si="78"/>
        <v>0.8</v>
      </c>
      <c r="R254" s="177">
        <f t="shared" si="79"/>
        <v>0.17768981437399556</v>
      </c>
      <c r="S254" s="809">
        <f t="shared" si="80"/>
        <v>1</v>
      </c>
      <c r="T254" s="176">
        <f t="shared" si="81"/>
        <v>7</v>
      </c>
      <c r="U254" s="251">
        <f t="shared" si="82"/>
        <v>1.1776898143739956</v>
      </c>
      <c r="V254" s="383">
        <f t="shared" si="83"/>
        <v>45.897069707627274</v>
      </c>
      <c r="W254" s="58"/>
      <c r="X254" s="157">
        <f t="shared" si="84"/>
        <v>43705</v>
      </c>
      <c r="Y254" s="385">
        <f t="shared" si="85"/>
        <v>37.401000000000003</v>
      </c>
      <c r="Z254" s="385">
        <f t="shared" si="86"/>
        <v>37.743752331793758</v>
      </c>
      <c r="AA254" s="386">
        <f t="shared" si="87"/>
        <v>40.249470986618981</v>
      </c>
      <c r="AB254" s="197">
        <f t="shared" si="88"/>
        <v>43705</v>
      </c>
      <c r="AC254" s="425">
        <f>IF(OR(t&lt;Tnet,NoTnet),'2018'!Resal_s+('2018'!Salim-'2018'!Resal_s)*(1-EXP(('2018'!Tnet_s-t)/'2018'!Tau_j)),Resal_s+(Salim-Resal_s)*(1-EXP((Tnet_s-t)/Tau_j)))*Salcycl</f>
        <v>6.2254697848283642E-2</v>
      </c>
      <c r="AD254" s="231">
        <f>(INDEX(Models!$BJ254:$BT254,,AH254)*(1-AF254)+INDEX(Models!$BJ254:$BT254,,AH254+1)*AF254-ERP_i)*AE254*Ramure*Pc/MaxiM</f>
        <v>8.210049016933672E-3</v>
      </c>
      <c r="AE254" s="305">
        <f t="shared" si="89"/>
        <v>0.8</v>
      </c>
      <c r="AF254" s="177">
        <f t="shared" si="90"/>
        <v>0.17768981437399556</v>
      </c>
      <c r="AG254" s="176">
        <f t="shared" si="91"/>
        <v>1</v>
      </c>
      <c r="AH254" s="176">
        <f t="shared" si="92"/>
        <v>7</v>
      </c>
      <c r="AI254" s="225">
        <f t="shared" si="93"/>
        <v>1.1776898143739956</v>
      </c>
      <c r="AJ254" s="265" t="b">
        <f t="shared" si="94"/>
        <v>0</v>
      </c>
      <c r="AK254" s="265" t="b">
        <f t="shared" si="95"/>
        <v>1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6">
        <v>43.253999999999998</v>
      </c>
      <c r="C255" s="390"/>
      <c r="D255" s="393">
        <f t="shared" si="75"/>
        <v>43.651406553088947</v>
      </c>
      <c r="E255" s="385">
        <f t="shared" si="97"/>
        <v>46.555347351870303</v>
      </c>
      <c r="F255" s="385">
        <f t="shared" si="76"/>
        <v>46.933299145594731</v>
      </c>
      <c r="G255" s="110">
        <f t="shared" si="98"/>
        <v>0.94833775342400006</v>
      </c>
      <c r="H255" s="414" t="b">
        <f>Wh_hp&gt;='2018'!Maxi_hp</f>
        <v>1</v>
      </c>
      <c r="I255" s="390">
        <f>IF(H255,Wh_hp,'2018'!Maxi_hp)</f>
        <v>46.933299145594731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9.1040950216718652E-3</v>
      </c>
      <c r="M255" s="843"/>
      <c r="N255" s="843"/>
      <c r="O255" s="48">
        <f>IF(t&lt;Tnet,'2018'!Resal+('2018'!Salim-'2018'!Resal)*(1-EXP(('2018'!Tnet-t)/('2018'!Tau_j))),Resal+(Salim-Resal)*(1-EXP((Tnet-t)/(Tau_j))))*Salcycl</f>
        <v>6.2376095635868892E-2</v>
      </c>
      <c r="P255" s="169">
        <f>(INDEX(Models!$BJ255:$BT255,,T255)*(1-R255)+INDEX(Models!$BJ255:$BT255,,T255+1)*R255-ERP_i)*Q255*Ramure*Pc/MaxiM</f>
        <v>8.6865283245054718E-3</v>
      </c>
      <c r="Q255" s="305">
        <f t="shared" si="78"/>
        <v>0.8</v>
      </c>
      <c r="R255" s="177">
        <f t="shared" si="79"/>
        <v>0.17856346201674911</v>
      </c>
      <c r="S255" s="809">
        <f t="shared" si="80"/>
        <v>1</v>
      </c>
      <c r="T255" s="176">
        <f t="shared" si="81"/>
        <v>7</v>
      </c>
      <c r="U255" s="251">
        <f t="shared" si="82"/>
        <v>1.1785634620167491</v>
      </c>
      <c r="V255" s="383">
        <f t="shared" si="83"/>
        <v>45.581200187562693</v>
      </c>
      <c r="W255" s="58"/>
      <c r="X255" s="157">
        <f t="shared" si="84"/>
        <v>43706</v>
      </c>
      <c r="Y255" s="385">
        <f t="shared" si="85"/>
        <v>43.253999999999998</v>
      </c>
      <c r="Z255" s="385">
        <f t="shared" si="86"/>
        <v>43.651406553088947</v>
      </c>
      <c r="AA255" s="386">
        <f t="shared" si="87"/>
        <v>46.555347351870303</v>
      </c>
      <c r="AB255" s="197">
        <f t="shared" si="88"/>
        <v>43706</v>
      </c>
      <c r="AC255" s="425">
        <f>IF(OR(t&lt;Tnet,NoTnet),'2018'!Resal_s+('2018'!Salim-'2018'!Resal_s)*(1-EXP(('2018'!Tnet_s-t)/'2018'!Tau_j)),Resal_s+(Salim-Resal_s)*(1-EXP((Tnet_s-t)/Tau_j)))*Salcycl</f>
        <v>6.2376095635868892E-2</v>
      </c>
      <c r="AD255" s="231">
        <f>(INDEX(Models!$BJ255:$BT255,,AH255)*(1-AF255)+INDEX(Models!$BJ255:$BT255,,AH255+1)*AF255-ERP_i)*AE255*Ramure*Pc/MaxiM</f>
        <v>8.6865283245054718E-3</v>
      </c>
      <c r="AE255" s="305">
        <f t="shared" si="89"/>
        <v>0.8</v>
      </c>
      <c r="AF255" s="177">
        <f t="shared" si="90"/>
        <v>0.17856346201674911</v>
      </c>
      <c r="AG255" s="176">
        <f t="shared" si="91"/>
        <v>1</v>
      </c>
      <c r="AH255" s="176">
        <f t="shared" si="92"/>
        <v>7</v>
      </c>
      <c r="AI255" s="225">
        <f t="shared" si="93"/>
        <v>1.1785634620167491</v>
      </c>
      <c r="AJ255" s="265" t="b">
        <f t="shared" si="94"/>
        <v>0</v>
      </c>
      <c r="AK255" s="265" t="b">
        <f t="shared" si="95"/>
        <v>1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6">
        <v>42.47</v>
      </c>
      <c r="C256" s="390"/>
      <c r="D256" s="393">
        <f t="shared" si="75"/>
        <v>42.861200806833672</v>
      </c>
      <c r="E256" s="385">
        <f t="shared" si="97"/>
        <v>45.718470855106276</v>
      </c>
      <c r="F256" s="385">
        <f t="shared" si="76"/>
        <v>46.104055688239647</v>
      </c>
      <c r="G256" s="110">
        <f t="shared" si="98"/>
        <v>0.93757908281104885</v>
      </c>
      <c r="H256" s="414" t="b">
        <f>Wh_hp&gt;='2018'!Maxi_hp</f>
        <v>1</v>
      </c>
      <c r="I256" s="390">
        <f>IF(H256,Wh_hp,'2018'!Maxi_hp)</f>
        <v>46.104055688239647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9.1271546169864326E-3</v>
      </c>
      <c r="M256" s="843"/>
      <c r="N256" s="843"/>
      <c r="O256" s="48">
        <f>IF(t&lt;Tnet,'2018'!Resal+('2018'!Salim-'2018'!Resal)*(1-EXP(('2018'!Tnet-t)/('2018'!Tau_j))),Resal+(Salim-Resal)*(1-EXP((Tnet-t)/(Tau_j))))*Salcycl</f>
        <v>6.2497060702840147E-2</v>
      </c>
      <c r="P256" s="169">
        <f>(INDEX(Models!$BJ256:$BT256,,T256)*(1-R256)+INDEX(Models!$BJ256:$BT256,,T256+1)*R256-ERP_i)*Q256*Ramure*Pc/MaxiM</f>
        <v>9.1711633725727083E-3</v>
      </c>
      <c r="Q256" s="305">
        <f t="shared" si="78"/>
        <v>0.8</v>
      </c>
      <c r="R256" s="177">
        <f t="shared" si="79"/>
        <v>0.17940441909015892</v>
      </c>
      <c r="S256" s="809">
        <f t="shared" si="80"/>
        <v>1</v>
      </c>
      <c r="T256" s="176">
        <f t="shared" si="81"/>
        <v>7</v>
      </c>
      <c r="U256" s="251">
        <f t="shared" si="82"/>
        <v>1.1794044190901589</v>
      </c>
      <c r="V256" s="383">
        <f t="shared" si="83"/>
        <v>45.260612187602369</v>
      </c>
      <c r="W256" s="58"/>
      <c r="X256" s="157">
        <f t="shared" si="84"/>
        <v>43707</v>
      </c>
      <c r="Y256" s="385">
        <f t="shared" si="85"/>
        <v>42.47</v>
      </c>
      <c r="Z256" s="385">
        <f t="shared" si="86"/>
        <v>42.861200806833672</v>
      </c>
      <c r="AA256" s="386">
        <f t="shared" si="87"/>
        <v>45.718470855106276</v>
      </c>
      <c r="AB256" s="197">
        <f t="shared" si="88"/>
        <v>43707</v>
      </c>
      <c r="AC256" s="425">
        <f>IF(OR(t&lt;Tnet,NoTnet),'2018'!Resal_s+('2018'!Salim-'2018'!Resal_s)*(1-EXP(('2018'!Tnet_s-t)/'2018'!Tau_j)),Resal_s+(Salim-Resal_s)*(1-EXP((Tnet_s-t)/Tau_j)))*Salcycl</f>
        <v>6.2497060702840147E-2</v>
      </c>
      <c r="AD256" s="231">
        <f>(INDEX(Models!$BJ256:$BT256,,AH256)*(1-AF256)+INDEX(Models!$BJ256:$BT256,,AH256+1)*AF256-ERP_i)*AE256*Ramure*Pc/MaxiM</f>
        <v>9.1711633725727083E-3</v>
      </c>
      <c r="AE256" s="305">
        <f t="shared" si="89"/>
        <v>0.8</v>
      </c>
      <c r="AF256" s="177">
        <f t="shared" si="90"/>
        <v>0.17940441909015892</v>
      </c>
      <c r="AG256" s="176">
        <f t="shared" si="91"/>
        <v>1</v>
      </c>
      <c r="AH256" s="176">
        <f t="shared" si="92"/>
        <v>7</v>
      </c>
      <c r="AI256" s="225">
        <f t="shared" si="93"/>
        <v>1.1794044190901589</v>
      </c>
      <c r="AJ256" s="265" t="b">
        <f t="shared" si="94"/>
        <v>0</v>
      </c>
      <c r="AK256" s="265" t="b">
        <f t="shared" si="95"/>
        <v>1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6">
        <v>40.496000000000002</v>
      </c>
      <c r="C257" s="390"/>
      <c r="D257" s="393">
        <f t="shared" si="75"/>
        <v>40.869968948799539</v>
      </c>
      <c r="E257" s="385">
        <f t="shared" si="97"/>
        <v>43.600101862844475</v>
      </c>
      <c r="F257" s="385">
        <f t="shared" si="76"/>
        <v>43.965024372892131</v>
      </c>
      <c r="G257" s="110">
        <f t="shared" si="98"/>
        <v>0.89996921991213186</v>
      </c>
      <c r="H257" s="414" t="b">
        <f>Wh_hp&gt;='2018'!Maxi_hp</f>
        <v>1</v>
      </c>
      <c r="I257" s="390">
        <f>IF(H257,Wh_hp,'2018'!Maxi_hp)</f>
        <v>43.965024372892131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9.1502136756705932E-3</v>
      </c>
      <c r="M257" s="843"/>
      <c r="N257" s="843"/>
      <c r="O257" s="48">
        <f>IF(t&lt;Tnet,'2018'!Resal+('2018'!Salim-'2018'!Resal)*(1-EXP(('2018'!Tnet-t)/('2018'!Tau_j))),Resal+(Salim-Resal)*(1-EXP((Tnet-t)/(Tau_j))))*Salcycl</f>
        <v>6.261758109266094E-2</v>
      </c>
      <c r="P257" s="169">
        <f>(INDEX(Models!$BJ257:$BT257,,T257)*(1-R257)+INDEX(Models!$BJ257:$BT257,,T257+1)*R257-ERP_i)*Q257*Ramure*Pc/MaxiM</f>
        <v>9.6642050061505839E-3</v>
      </c>
      <c r="Q257" s="305">
        <f t="shared" si="78"/>
        <v>0.8</v>
      </c>
      <c r="R257" s="177">
        <f t="shared" si="79"/>
        <v>0.18021381571779904</v>
      </c>
      <c r="S257" s="809">
        <f t="shared" si="80"/>
        <v>1</v>
      </c>
      <c r="T257" s="176">
        <f t="shared" si="81"/>
        <v>7</v>
      </c>
      <c r="U257" s="251">
        <f t="shared" si="82"/>
        <v>1.180213815717799</v>
      </c>
      <c r="V257" s="383">
        <f t="shared" si="83"/>
        <v>44.935208637102697</v>
      </c>
      <c r="W257" s="58"/>
      <c r="X257" s="157">
        <f t="shared" si="84"/>
        <v>43708</v>
      </c>
      <c r="Y257" s="385">
        <f t="shared" si="85"/>
        <v>40.496000000000002</v>
      </c>
      <c r="Z257" s="385">
        <f t="shared" si="86"/>
        <v>40.869968948799539</v>
      </c>
      <c r="AA257" s="386">
        <f t="shared" si="87"/>
        <v>43.600101862844475</v>
      </c>
      <c r="AB257" s="197">
        <f t="shared" si="88"/>
        <v>43708</v>
      </c>
      <c r="AC257" s="425">
        <f>IF(OR(t&lt;Tnet,NoTnet),'2018'!Resal_s+('2018'!Salim-'2018'!Resal_s)*(1-EXP(('2018'!Tnet_s-t)/'2018'!Tau_j)),Resal_s+(Salim-Resal_s)*(1-EXP((Tnet_s-t)/Tau_j)))*Salcycl</f>
        <v>6.261758109266094E-2</v>
      </c>
      <c r="AD257" s="231">
        <f>(INDEX(Models!$BJ257:$BT257,,AH257)*(1-AF257)+INDEX(Models!$BJ257:$BT257,,AH257+1)*AF257-ERP_i)*AE257*Ramure*Pc/MaxiM</f>
        <v>9.6642050061505839E-3</v>
      </c>
      <c r="AE257" s="305">
        <f t="shared" si="89"/>
        <v>0.8</v>
      </c>
      <c r="AF257" s="177">
        <f t="shared" si="90"/>
        <v>0.18021381571779904</v>
      </c>
      <c r="AG257" s="176">
        <f t="shared" si="91"/>
        <v>1</v>
      </c>
      <c r="AH257" s="176">
        <f t="shared" si="92"/>
        <v>7</v>
      </c>
      <c r="AI257" s="225">
        <f t="shared" si="93"/>
        <v>1.180213815717799</v>
      </c>
      <c r="AJ257" s="265" t="b">
        <f t="shared" si="94"/>
        <v>0</v>
      </c>
      <c r="AK257" s="265" t="b">
        <f t="shared" si="95"/>
        <v>1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6">
        <v>16.472000000000001</v>
      </c>
      <c r="C258" s="390"/>
      <c r="D258" s="393">
        <f t="shared" si="75"/>
        <v>16.624501073498774</v>
      </c>
      <c r="E258" s="385">
        <f t="shared" si="97"/>
        <v>17.737297325399215</v>
      </c>
      <c r="F258" s="385">
        <f t="shared" si="76"/>
        <v>17.755163190061449</v>
      </c>
      <c r="G258" s="110">
        <f t="shared" si="98"/>
        <v>0.36590088587134506</v>
      </c>
      <c r="H258" s="414" t="b">
        <f>Wh_hp&gt;='2018'!Maxi_hp</f>
        <v>0</v>
      </c>
      <c r="I258" s="390">
        <f>IF(H258,Wh_hp,'2018'!Maxi_hp)</f>
        <v>47.663426724874789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9.1732721977367815E-3</v>
      </c>
      <c r="M258" s="843"/>
      <c r="N258" s="843"/>
      <c r="O258" s="48">
        <f>IF(t&lt;Tnet,'2018'!Resal+('2018'!Salim-'2018'!Resal)*(1-EXP(('2018'!Tnet-t)/('2018'!Tau_j))),Resal+(Salim-Resal)*(1-EXP((Tnet-t)/(Tau_j))))*Salcycl</f>
        <v>6.2737644382098445E-2</v>
      </c>
      <c r="P258" s="169">
        <f>(INDEX(Models!$BJ258:$BT258,,T258)*(1-R258)+INDEX(Models!$BJ258:$BT258,,T258+1)*R258-ERP_i)*Q258*Ramure*Pc/MaxiM</f>
        <v>1.016591873632996E-2</v>
      </c>
      <c r="Q258" s="305">
        <f t="shared" si="78"/>
        <v>0.8</v>
      </c>
      <c r="R258" s="177">
        <f t="shared" si="79"/>
        <v>0.18099275009694482</v>
      </c>
      <c r="S258" s="809">
        <f t="shared" si="80"/>
        <v>1</v>
      </c>
      <c r="T258" s="176">
        <f t="shared" si="81"/>
        <v>7</v>
      </c>
      <c r="U258" s="251">
        <f t="shared" si="82"/>
        <v>1.1809927500969448</v>
      </c>
      <c r="V258" s="383">
        <f t="shared" si="83"/>
        <v>44.604892597785501</v>
      </c>
      <c r="W258" s="58"/>
      <c r="X258" s="157">
        <f t="shared" si="84"/>
        <v>43709</v>
      </c>
      <c r="Y258" s="385">
        <f t="shared" si="85"/>
        <v>16.472000000000001</v>
      </c>
      <c r="Z258" s="385">
        <f t="shared" si="86"/>
        <v>16.624501073498774</v>
      </c>
      <c r="AA258" s="386">
        <f t="shared" si="87"/>
        <v>17.737297325399215</v>
      </c>
      <c r="AB258" s="197">
        <f t="shared" si="88"/>
        <v>43709</v>
      </c>
      <c r="AC258" s="425">
        <f>IF(OR(t&lt;Tnet,NoTnet),'2018'!Resal_s+('2018'!Salim-'2018'!Resal_s)*(1-EXP(('2018'!Tnet_s-t)/'2018'!Tau_j)),Resal_s+(Salim-Resal_s)*(1-EXP((Tnet_s-t)/Tau_j)))*Salcycl</f>
        <v>6.2737644382098445E-2</v>
      </c>
      <c r="AD258" s="231">
        <f>(INDEX(Models!$BJ258:$BT258,,AH258)*(1-AF258)+INDEX(Models!$BJ258:$BT258,,AH258+1)*AF258-ERP_i)*AE258*Ramure*Pc/MaxiM</f>
        <v>1.016591873632996E-2</v>
      </c>
      <c r="AE258" s="305">
        <f t="shared" si="89"/>
        <v>0.8</v>
      </c>
      <c r="AF258" s="177">
        <f t="shared" si="90"/>
        <v>0.18099275009694482</v>
      </c>
      <c r="AG258" s="176">
        <f t="shared" si="91"/>
        <v>1</v>
      </c>
      <c r="AH258" s="176">
        <f t="shared" si="92"/>
        <v>7</v>
      </c>
      <c r="AI258" s="225">
        <f t="shared" si="93"/>
        <v>1.1809927500969448</v>
      </c>
      <c r="AJ258" s="265" t="b">
        <f t="shared" si="94"/>
        <v>0</v>
      </c>
      <c r="AK258" s="265" t="b">
        <f t="shared" si="95"/>
        <v>1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6">
        <v>43.183999999999997</v>
      </c>
      <c r="C259" s="390"/>
      <c r="D259" s="393">
        <f t="shared" si="75"/>
        <v>43.584820399367942</v>
      </c>
      <c r="E259" s="385">
        <f t="shared" si="97"/>
        <v>46.508197203690415</v>
      </c>
      <c r="F259" s="385">
        <f t="shared" si="76"/>
        <v>46.992339221046215</v>
      </c>
      <c r="G259" s="110">
        <f t="shared" si="98"/>
        <v>0.97510961075976554</v>
      </c>
      <c r="H259" s="414" t="b">
        <f>Wh_hp&gt;='2018'!Maxi_hp</f>
        <v>1</v>
      </c>
      <c r="I259" s="390">
        <f>IF(H259,Wh_hp,'2018'!Maxi_hp)</f>
        <v>46.992339221046215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9.196330183197432E-3</v>
      </c>
      <c r="M259" s="843"/>
      <c r="N259" s="843"/>
      <c r="O259" s="48">
        <f>IF(t&lt;Tnet,'2018'!Resal+('2018'!Salim-'2018'!Resal)*(1-EXP(('2018'!Tnet-t)/('2018'!Tau_j))),Resal+(Salim-Resal)*(1-EXP((Tnet-t)/(Tau_j))))*Salcycl</f>
        <v>6.2857237650366327E-2</v>
      </c>
      <c r="P259" s="169">
        <f>(INDEX(Models!$BJ259:$BT259,,T259)*(1-R259)+INDEX(Models!$BJ259:$BT259,,T259+1)*R259-ERP_i)*Q259*Ramure*Pc/MaxiM</f>
        <v>1.067658549412677E-2</v>
      </c>
      <c r="Q259" s="305">
        <f t="shared" si="78"/>
        <v>0.8</v>
      </c>
      <c r="R259" s="177">
        <f t="shared" si="79"/>
        <v>0.18174228883399257</v>
      </c>
      <c r="S259" s="809">
        <f t="shared" si="80"/>
        <v>1</v>
      </c>
      <c r="T259" s="176">
        <f t="shared" si="81"/>
        <v>7</v>
      </c>
      <c r="U259" s="251">
        <f t="shared" si="82"/>
        <v>1.1817422888339926</v>
      </c>
      <c r="V259" s="383">
        <f t="shared" si="83"/>
        <v>44.269567284155642</v>
      </c>
      <c r="W259" s="58"/>
      <c r="X259" s="157">
        <f t="shared" si="84"/>
        <v>43710</v>
      </c>
      <c r="Y259" s="385">
        <f t="shared" si="85"/>
        <v>43.183999999999997</v>
      </c>
      <c r="Z259" s="385">
        <f t="shared" si="86"/>
        <v>43.584820399367942</v>
      </c>
      <c r="AA259" s="386">
        <f t="shared" si="87"/>
        <v>46.508197203690415</v>
      </c>
      <c r="AB259" s="197">
        <f t="shared" si="88"/>
        <v>43710</v>
      </c>
      <c r="AC259" s="425">
        <f>IF(OR(t&lt;Tnet,NoTnet),'2018'!Resal_s+('2018'!Salim-'2018'!Resal_s)*(1-EXP(('2018'!Tnet_s-t)/'2018'!Tau_j)),Resal_s+(Salim-Resal_s)*(1-EXP((Tnet_s-t)/Tau_j)))*Salcycl</f>
        <v>6.2857237650366327E-2</v>
      </c>
      <c r="AD259" s="231">
        <f>(INDEX(Models!$BJ259:$BT259,,AH259)*(1-AF259)+INDEX(Models!$BJ259:$BT259,,AH259+1)*AF259-ERP_i)*AE259*Ramure*Pc/MaxiM</f>
        <v>1.067658549412677E-2</v>
      </c>
      <c r="AE259" s="305">
        <f t="shared" si="89"/>
        <v>0.8</v>
      </c>
      <c r="AF259" s="177">
        <f t="shared" si="90"/>
        <v>0.18174228883399257</v>
      </c>
      <c r="AG259" s="176">
        <f t="shared" si="91"/>
        <v>1</v>
      </c>
      <c r="AH259" s="176">
        <f t="shared" si="92"/>
        <v>7</v>
      </c>
      <c r="AI259" s="225">
        <f t="shared" si="93"/>
        <v>1.1817422888339926</v>
      </c>
      <c r="AJ259" s="265" t="b">
        <f t="shared" si="94"/>
        <v>0</v>
      </c>
      <c r="AK259" s="265" t="b">
        <f t="shared" si="95"/>
        <v>1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6">
        <v>44.627000000000002</v>
      </c>
      <c r="C260" s="390"/>
      <c r="D260" s="393">
        <f t="shared" si="75"/>
        <v>45.042262073884203</v>
      </c>
      <c r="E260" s="385">
        <f t="shared" si="97"/>
        <v>48.069503849904564</v>
      </c>
      <c r="F260" s="385">
        <f t="shared" si="76"/>
        <v>48.613808475226271</v>
      </c>
      <c r="G260" s="110">
        <f t="shared" si="98"/>
        <v>1.0158861292489345</v>
      </c>
      <c r="H260" s="414" t="b">
        <f>Wh_hp&gt;='2018'!Maxi_hp</f>
        <v>1</v>
      </c>
      <c r="I260" s="390">
        <f>IF(H260,Wh_hp,'2018'!Maxi_hp)</f>
        <v>48.613808475226271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9.2193876320649792E-3</v>
      </c>
      <c r="M260" s="843"/>
      <c r="N260" s="843"/>
      <c r="O260" s="48">
        <f>IF(t&lt;Tnet,'2018'!Resal+('2018'!Salim-'2018'!Resal)*(1-EXP(('2018'!Tnet-t)/('2018'!Tau_j))),Resal+(Salim-Resal)*(1-EXP((Tnet-t)/(Tau_j))))*Salcycl</f>
        <v>6.2976347446248332E-2</v>
      </c>
      <c r="P260" s="169">
        <f>(INDEX(Models!$BJ260:$BT260,,T260)*(1-R260)+INDEX(Models!$BJ260:$BT260,,T260+1)*R260-ERP_i)*Q260*Ramure*Pc/MaxiM</f>
        <v>1.1196502442286158E-2</v>
      </c>
      <c r="Q260" s="305">
        <f t="shared" si="78"/>
        <v>0.8</v>
      </c>
      <c r="R260" s="177">
        <f t="shared" si="79"/>
        <v>0.1824634673283434</v>
      </c>
      <c r="S260" s="809">
        <f t="shared" si="80"/>
        <v>1</v>
      </c>
      <c r="T260" s="176">
        <f t="shared" si="81"/>
        <v>7</v>
      </c>
      <c r="U260" s="251">
        <f t="shared" si="82"/>
        <v>1.1824634673283434</v>
      </c>
      <c r="V260" s="383">
        <f t="shared" si="83"/>
        <v>43.929136066651154</v>
      </c>
      <c r="W260" s="58"/>
      <c r="X260" s="157">
        <f t="shared" si="84"/>
        <v>43711</v>
      </c>
      <c r="Y260" s="385">
        <f t="shared" si="85"/>
        <v>44.627000000000002</v>
      </c>
      <c r="Z260" s="385">
        <f t="shared" si="86"/>
        <v>45.042262073884203</v>
      </c>
      <c r="AA260" s="386">
        <f t="shared" si="87"/>
        <v>48.069503849904564</v>
      </c>
      <c r="AB260" s="197">
        <f t="shared" si="88"/>
        <v>43711</v>
      </c>
      <c r="AC260" s="425">
        <f>IF(OR(t&lt;Tnet,NoTnet),'2018'!Resal_s+('2018'!Salim-'2018'!Resal_s)*(1-EXP(('2018'!Tnet_s-t)/'2018'!Tau_j)),Resal_s+(Salim-Resal_s)*(1-EXP((Tnet_s-t)/Tau_j)))*Salcycl</f>
        <v>6.2976347446248332E-2</v>
      </c>
      <c r="AD260" s="231">
        <f>(INDEX(Models!$BJ260:$BT260,,AH260)*(1-AF260)+INDEX(Models!$BJ260:$BT260,,AH260+1)*AF260-ERP_i)*AE260*Ramure*Pc/MaxiM</f>
        <v>1.1196502442286158E-2</v>
      </c>
      <c r="AE260" s="305">
        <f t="shared" si="89"/>
        <v>0.8</v>
      </c>
      <c r="AF260" s="177">
        <f t="shared" si="90"/>
        <v>0.1824634673283434</v>
      </c>
      <c r="AG260" s="176">
        <f t="shared" si="91"/>
        <v>1</v>
      </c>
      <c r="AH260" s="176">
        <f t="shared" si="92"/>
        <v>7</v>
      </c>
      <c r="AI260" s="225">
        <f t="shared" si="93"/>
        <v>1.1824634673283434</v>
      </c>
      <c r="AJ260" s="265" t="b">
        <f t="shared" si="94"/>
        <v>0</v>
      </c>
      <c r="AK260" s="265" t="b">
        <f t="shared" si="95"/>
        <v>1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6">
        <v>44.03</v>
      </c>
      <c r="C261" s="390"/>
      <c r="D261" s="393">
        <f t="shared" si="75"/>
        <v>44.440741084987913</v>
      </c>
      <c r="E261" s="385">
        <f t="shared" si="97"/>
        <v>47.43355962022018</v>
      </c>
      <c r="F261" s="385">
        <f t="shared" si="76"/>
        <v>47.996366652785198</v>
      </c>
      <c r="G261" s="110">
        <f t="shared" si="98"/>
        <v>1.0102490270127951</v>
      </c>
      <c r="H261" s="414" t="b">
        <f>Wh_hp&gt;='2018'!Maxi_hp</f>
        <v>1</v>
      </c>
      <c r="I261" s="390">
        <f>IF(H261,Wh_hp,'2018'!Maxi_hp)</f>
        <v>47.996366652785198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9.2424445443521908E-3</v>
      </c>
      <c r="M261" s="843"/>
      <c r="N261" s="843"/>
      <c r="O261" s="48">
        <f>IF(t&lt;Tnet,'2018'!Resal+('2018'!Salim-'2018'!Resal)*(1-EXP(('2018'!Tnet-t)/('2018'!Tau_j))),Resal+(Salim-Resal)*(1-EXP((Tnet-t)/(Tau_j))))*Salcycl</f>
        <v>6.3094959754116275E-2</v>
      </c>
      <c r="P261" s="169">
        <f>(INDEX(Models!$BJ261:$BT261,,T261)*(1-R261)+INDEX(Models!$BJ261:$BT261,,T261+1)*R261-ERP_i)*Q261*Ramure*Pc/MaxiM</f>
        <v>1.1726034110799999E-2</v>
      </c>
      <c r="Q261" s="305">
        <f t="shared" si="78"/>
        <v>0.8</v>
      </c>
      <c r="R261" s="177">
        <f t="shared" si="79"/>
        <v>0.18315729019926041</v>
      </c>
      <c r="S261" s="809">
        <f t="shared" si="80"/>
        <v>1</v>
      </c>
      <c r="T261" s="176">
        <f t="shared" si="81"/>
        <v>7</v>
      </c>
      <c r="U261" s="251">
        <f t="shared" si="82"/>
        <v>1.1831572901992604</v>
      </c>
      <c r="V261" s="383">
        <f t="shared" si="83"/>
        <v>43.583313443213392</v>
      </c>
      <c r="W261" s="58"/>
      <c r="X261" s="157">
        <f t="shared" si="84"/>
        <v>43712</v>
      </c>
      <c r="Y261" s="385">
        <f t="shared" si="85"/>
        <v>44.03</v>
      </c>
      <c r="Z261" s="385">
        <f t="shared" si="86"/>
        <v>44.440741084987913</v>
      </c>
      <c r="AA261" s="386">
        <f t="shared" si="87"/>
        <v>47.43355962022018</v>
      </c>
      <c r="AB261" s="197">
        <f t="shared" si="88"/>
        <v>43712</v>
      </c>
      <c r="AC261" s="425">
        <f>IF(OR(t&lt;Tnet,NoTnet),'2018'!Resal_s+('2018'!Salim-'2018'!Resal_s)*(1-EXP(('2018'!Tnet_s-t)/'2018'!Tau_j)),Resal_s+(Salim-Resal_s)*(1-EXP((Tnet_s-t)/Tau_j)))*Salcycl</f>
        <v>6.3094959754116275E-2</v>
      </c>
      <c r="AD261" s="231">
        <f>(INDEX(Models!$BJ261:$BT261,,AH261)*(1-AF261)+INDEX(Models!$BJ261:$BT261,,AH261+1)*AF261-ERP_i)*AE261*Ramure*Pc/MaxiM</f>
        <v>1.1726034110799999E-2</v>
      </c>
      <c r="AE261" s="305">
        <f t="shared" si="89"/>
        <v>0.8</v>
      </c>
      <c r="AF261" s="177">
        <f t="shared" si="90"/>
        <v>0.18315729019926041</v>
      </c>
      <c r="AG261" s="176">
        <f t="shared" si="91"/>
        <v>1</v>
      </c>
      <c r="AH261" s="176">
        <f t="shared" si="92"/>
        <v>7</v>
      </c>
      <c r="AI261" s="225">
        <f t="shared" si="93"/>
        <v>1.1831572901992604</v>
      </c>
      <c r="AJ261" s="265" t="b">
        <f t="shared" si="94"/>
        <v>0</v>
      </c>
      <c r="AK261" s="265" t="b">
        <f t="shared" si="95"/>
        <v>1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6">
        <v>35.029000000000003</v>
      </c>
      <c r="C262" s="390"/>
      <c r="D262" s="393">
        <f t="shared" si="75"/>
        <v>35.356596578125206</v>
      </c>
      <c r="E262" s="385">
        <f t="shared" si="97"/>
        <v>37.742409791289667</v>
      </c>
      <c r="F262" s="385">
        <f t="shared" si="76"/>
        <v>38.082942238193311</v>
      </c>
      <c r="G262" s="110">
        <f t="shared" si="98"/>
        <v>0.8075386018830425</v>
      </c>
      <c r="H262" s="414" t="b">
        <f>Wh_hp&gt;='2018'!Maxi_hp</f>
        <v>0</v>
      </c>
      <c r="I262" s="390">
        <f>IF(H262,Wh_hp,'2018'!Maxi_hp)</f>
        <v>39.906469322720199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9.265500920071168E-3</v>
      </c>
      <c r="M262" s="843"/>
      <c r="N262" s="843"/>
      <c r="O262" s="48">
        <f>IF(t&lt;Tnet,'2018'!Resal+('2018'!Salim-'2018'!Resal)*(1-EXP(('2018'!Tnet-t)/('2018'!Tau_j))),Resal+(Salim-Resal)*(1-EXP((Tnet-t)/(Tau_j))))*Salcycl</f>
        <v>6.3213059959808499E-2</v>
      </c>
      <c r="P262" s="169">
        <f>(INDEX(Models!$BJ262:$BT262,,T262)*(1-R262)+INDEX(Models!$BJ262:$BT262,,T262+1)*R262-ERP_i)*Q262*Ramure*Pc/MaxiM</f>
        <v>1.2266961238582369E-2</v>
      </c>
      <c r="Q262" s="305">
        <f t="shared" si="78"/>
        <v>0.8</v>
      </c>
      <c r="R262" s="177">
        <f t="shared" si="79"/>
        <v>0.18382473175058678</v>
      </c>
      <c r="S262" s="809">
        <f t="shared" si="80"/>
        <v>1</v>
      </c>
      <c r="T262" s="176">
        <f t="shared" si="81"/>
        <v>7</v>
      </c>
      <c r="U262" s="251">
        <f t="shared" si="82"/>
        <v>1.1838247317505868</v>
      </c>
      <c r="V262" s="383">
        <f t="shared" si="83"/>
        <v>43.231957145161807</v>
      </c>
      <c r="W262" s="58"/>
      <c r="X262" s="157">
        <f t="shared" si="84"/>
        <v>43713</v>
      </c>
      <c r="Y262" s="385">
        <f t="shared" si="85"/>
        <v>35.029000000000003</v>
      </c>
      <c r="Z262" s="385">
        <f t="shared" si="86"/>
        <v>35.356596578125206</v>
      </c>
      <c r="AA262" s="386">
        <f t="shared" si="87"/>
        <v>37.742409791289667</v>
      </c>
      <c r="AB262" s="197">
        <f t="shared" si="88"/>
        <v>43713</v>
      </c>
      <c r="AC262" s="425">
        <f>IF(OR(t&lt;Tnet,NoTnet),'2018'!Resal_s+('2018'!Salim-'2018'!Resal_s)*(1-EXP(('2018'!Tnet_s-t)/'2018'!Tau_j)),Resal_s+(Salim-Resal_s)*(1-EXP((Tnet_s-t)/Tau_j)))*Salcycl</f>
        <v>6.3213059959808499E-2</v>
      </c>
      <c r="AD262" s="231">
        <f>(INDEX(Models!$BJ262:$BT262,,AH262)*(1-AF262)+INDEX(Models!$BJ262:$BT262,,AH262+1)*AF262-ERP_i)*AE262*Ramure*Pc/MaxiM</f>
        <v>1.2266961238582369E-2</v>
      </c>
      <c r="AE262" s="305">
        <f t="shared" si="89"/>
        <v>0.8</v>
      </c>
      <c r="AF262" s="177">
        <f t="shared" si="90"/>
        <v>0.18382473175058678</v>
      </c>
      <c r="AG262" s="176">
        <f t="shared" si="91"/>
        <v>1</v>
      </c>
      <c r="AH262" s="176">
        <f t="shared" si="92"/>
        <v>7</v>
      </c>
      <c r="AI262" s="225">
        <f t="shared" si="93"/>
        <v>1.1838247317505868</v>
      </c>
      <c r="AJ262" s="265" t="b">
        <f t="shared" si="94"/>
        <v>0</v>
      </c>
      <c r="AK262" s="265" t="b">
        <f t="shared" si="95"/>
        <v>1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6">
        <v>44.825000000000003</v>
      </c>
      <c r="C263" s="390"/>
      <c r="D263" s="393">
        <f t="shared" si="75"/>
        <v>45.24526319527584</v>
      </c>
      <c r="E263" s="385">
        <f t="shared" si="97"/>
        <v>48.304412186946607</v>
      </c>
      <c r="F263" s="385">
        <f t="shared" si="76"/>
        <v>48.931389708757251</v>
      </c>
      <c r="G263" s="110">
        <f t="shared" si="98"/>
        <v>1.0454676630373001</v>
      </c>
      <c r="H263" s="414" t="b">
        <f>Wh_hp&gt;='2018'!Maxi_hp</f>
        <v>1</v>
      </c>
      <c r="I263" s="390">
        <f>IF(H263,Wh_hp,'2018'!Maxi_hp)</f>
        <v>48.931389708757251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9.2885567592347895E-3</v>
      </c>
      <c r="M263" s="843"/>
      <c r="N263" s="843"/>
      <c r="O263" s="48">
        <f>IF(t&lt;Tnet,'2018'!Resal+('2018'!Salim-'2018'!Resal)*(1-EXP(('2018'!Tnet-t)/('2018'!Tau_j))),Resal+(Salim-Resal)*(1-EXP((Tnet-t)/(Tau_j))))*Salcycl</f>
        <v>6.3330632817377414E-2</v>
      </c>
      <c r="P263" s="169">
        <f>(INDEX(Models!$BJ263:$BT263,,T263)*(1-R263)+INDEX(Models!$BJ263:$BT263,,T263+1)*R263-ERP_i)*Q263*Ramure*Pc/MaxiM</f>
        <v>1.2813401081441911E-2</v>
      </c>
      <c r="Q263" s="305">
        <f t="shared" si="78"/>
        <v>0.8</v>
      </c>
      <c r="R263" s="177">
        <f t="shared" si="79"/>
        <v>0.18446673646854461</v>
      </c>
      <c r="S263" s="809">
        <f t="shared" si="80"/>
        <v>1</v>
      </c>
      <c r="T263" s="176">
        <f t="shared" si="81"/>
        <v>7</v>
      </c>
      <c r="U263" s="251">
        <f t="shared" si="82"/>
        <v>1.1844667364685446</v>
      </c>
      <c r="V263" s="383">
        <f t="shared" si="83"/>
        <v>42.875548986158108</v>
      </c>
      <c r="W263" s="58"/>
      <c r="X263" s="157">
        <f t="shared" si="84"/>
        <v>43714</v>
      </c>
      <c r="Y263" s="385">
        <f t="shared" si="85"/>
        <v>44.825000000000003</v>
      </c>
      <c r="Z263" s="385">
        <f t="shared" si="86"/>
        <v>45.24526319527584</v>
      </c>
      <c r="AA263" s="386">
        <f t="shared" si="87"/>
        <v>48.304412186946607</v>
      </c>
      <c r="AB263" s="197">
        <f t="shared" si="88"/>
        <v>43714</v>
      </c>
      <c r="AC263" s="425">
        <f>IF(OR(t&lt;Tnet,NoTnet),'2018'!Resal_s+('2018'!Salim-'2018'!Resal_s)*(1-EXP(('2018'!Tnet_s-t)/'2018'!Tau_j)),Resal_s+(Salim-Resal_s)*(1-EXP((Tnet_s-t)/Tau_j)))*Salcycl</f>
        <v>6.3330632817377414E-2</v>
      </c>
      <c r="AD263" s="231">
        <f>(INDEX(Models!$BJ263:$BT263,,AH263)*(1-AF263)+INDEX(Models!$BJ263:$BT263,,AH263+1)*AF263-ERP_i)*AE263*Ramure*Pc/MaxiM</f>
        <v>1.2813401081441911E-2</v>
      </c>
      <c r="AE263" s="305">
        <f t="shared" si="89"/>
        <v>0.8</v>
      </c>
      <c r="AF263" s="177">
        <f t="shared" si="90"/>
        <v>0.18446673646854461</v>
      </c>
      <c r="AG263" s="176">
        <f t="shared" si="91"/>
        <v>1</v>
      </c>
      <c r="AH263" s="176">
        <f t="shared" si="92"/>
        <v>7</v>
      </c>
      <c r="AI263" s="225">
        <f t="shared" si="93"/>
        <v>1.1844667364685446</v>
      </c>
      <c r="AJ263" s="265" t="b">
        <f t="shared" si="94"/>
        <v>0</v>
      </c>
      <c r="AK263" s="265" t="b">
        <f t="shared" si="95"/>
        <v>1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6">
        <v>40.637</v>
      </c>
      <c r="C264" s="390"/>
      <c r="D264" s="393">
        <f t="shared" si="75"/>
        <v>41.018952573548525</v>
      </c>
      <c r="E264" s="385">
        <f t="shared" si="97"/>
        <v>43.797821998331003</v>
      </c>
      <c r="F264" s="385">
        <f t="shared" si="76"/>
        <v>44.353228487080955</v>
      </c>
      <c r="G264" s="110">
        <f t="shared" si="98"/>
        <v>0.95502688932571045</v>
      </c>
      <c r="H264" s="414" t="b">
        <f>Wh_hp&gt;='2018'!Maxi_hp</f>
        <v>1</v>
      </c>
      <c r="I264" s="390">
        <f>IF(H264,Wh_hp,'2018'!Maxi_hp)</f>
        <v>44.353228487080955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9.3116120618552678E-3</v>
      </c>
      <c r="M264" s="843"/>
      <c r="N264" s="843"/>
      <c r="O264" s="48">
        <f>IF(t&lt;Tnet,'2018'!Resal+('2018'!Salim-'2018'!Resal)*(1-EXP(('2018'!Tnet-t)/('2018'!Tau_j))),Resal+(Salim-Resal)*(1-EXP((Tnet-t)/(Tau_j))))*Salcycl</f>
        <v>6.3447662417742412E-2</v>
      </c>
      <c r="P264" s="169">
        <f>(INDEX(Models!$BJ264:$BT264,,T264)*(1-R264)+INDEX(Models!$BJ264:$BT264,,T264+1)*R264-ERP_i)*Q264*Ramure*Pc/MaxiM</f>
        <v>1.3365458732444881E-2</v>
      </c>
      <c r="Q264" s="305">
        <f t="shared" si="78"/>
        <v>0.8</v>
      </c>
      <c r="R264" s="177">
        <f t="shared" si="79"/>
        <v>0.18508421954818965</v>
      </c>
      <c r="S264" s="809">
        <f t="shared" si="80"/>
        <v>1</v>
      </c>
      <c r="T264" s="176">
        <f t="shared" si="81"/>
        <v>7</v>
      </c>
      <c r="U264" s="251">
        <f t="shared" si="82"/>
        <v>1.1850842195481897</v>
      </c>
      <c r="V264" s="383">
        <f t="shared" si="83"/>
        <v>42.514304487209934</v>
      </c>
      <c r="W264" s="58"/>
      <c r="X264" s="157">
        <f t="shared" si="84"/>
        <v>43715</v>
      </c>
      <c r="Y264" s="385">
        <f t="shared" si="85"/>
        <v>40.637</v>
      </c>
      <c r="Z264" s="385">
        <f t="shared" si="86"/>
        <v>41.018952573548525</v>
      </c>
      <c r="AA264" s="386">
        <f t="shared" si="87"/>
        <v>43.797821998331003</v>
      </c>
      <c r="AB264" s="197">
        <f t="shared" si="88"/>
        <v>43715</v>
      </c>
      <c r="AC264" s="425">
        <f>IF(OR(t&lt;Tnet,NoTnet),'2018'!Resal_s+('2018'!Salim-'2018'!Resal_s)*(1-EXP(('2018'!Tnet_s-t)/'2018'!Tau_j)),Resal_s+(Salim-Resal_s)*(1-EXP((Tnet_s-t)/Tau_j)))*Salcycl</f>
        <v>6.3447662417742412E-2</v>
      </c>
      <c r="AD264" s="231">
        <f>(INDEX(Models!$BJ264:$BT264,,AH264)*(1-AF264)+INDEX(Models!$BJ264:$BT264,,AH264+1)*AF264-ERP_i)*AE264*Ramure*Pc/MaxiM</f>
        <v>1.3365458732444881E-2</v>
      </c>
      <c r="AE264" s="305">
        <f t="shared" si="89"/>
        <v>0.8</v>
      </c>
      <c r="AF264" s="177">
        <f t="shared" si="90"/>
        <v>0.18508421954818965</v>
      </c>
      <c r="AG264" s="176">
        <f t="shared" si="91"/>
        <v>1</v>
      </c>
      <c r="AH264" s="176">
        <f t="shared" si="92"/>
        <v>7</v>
      </c>
      <c r="AI264" s="225">
        <f t="shared" si="93"/>
        <v>1.1850842195481897</v>
      </c>
      <c r="AJ264" s="265" t="b">
        <f t="shared" si="94"/>
        <v>0</v>
      </c>
      <c r="AK264" s="265" t="b">
        <f t="shared" si="95"/>
        <v>1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6">
        <v>38.756</v>
      </c>
      <c r="C265" s="390"/>
      <c r="D265" s="393">
        <f t="shared" si="75"/>
        <v>39.121183211191472</v>
      </c>
      <c r="E265" s="385">
        <f t="shared" si="97"/>
        <v>41.776681729889063</v>
      </c>
      <c r="F265" s="385">
        <f t="shared" si="76"/>
        <v>42.297889326852022</v>
      </c>
      <c r="G265" s="110">
        <f t="shared" si="98"/>
        <v>0.91802166853362432</v>
      </c>
      <c r="H265" s="414" t="b">
        <f>Wh_hp&gt;='2018'!Maxi_hp</f>
        <v>0</v>
      </c>
      <c r="I265" s="390">
        <f>IF(H265,Wh_hp,'2018'!Maxi_hp)</f>
        <v>42.753480627950061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9.3346668279451483E-3</v>
      </c>
      <c r="M265" s="843"/>
      <c r="N265" s="843"/>
      <c r="O265" s="48">
        <f>IF(t&lt;Tnet,'2018'!Resal+('2018'!Salim-'2018'!Resal)*(1-EXP(('2018'!Tnet-t)/('2018'!Tau_j))),Resal+(Salim-Resal)*(1-EXP((Tnet-t)/(Tau_j))))*Salcycl</f>
        <v>6.3564132160303252E-2</v>
      </c>
      <c r="P265" s="169">
        <f>(INDEX(Models!$BJ265:$BT265,,T265)*(1-R265)+INDEX(Models!$BJ265:$BT265,,T265+1)*R265-ERP_i)*Q265*Ramure*Pc/MaxiM</f>
        <v>1.3923239071234363E-2</v>
      </c>
      <c r="Q265" s="305">
        <f t="shared" si="78"/>
        <v>0.8</v>
      </c>
      <c r="R265" s="177">
        <f t="shared" si="79"/>
        <v>0.18567806744440474</v>
      </c>
      <c r="S265" s="809">
        <f t="shared" si="80"/>
        <v>1</v>
      </c>
      <c r="T265" s="176">
        <f t="shared" si="81"/>
        <v>7</v>
      </c>
      <c r="U265" s="251">
        <f t="shared" si="82"/>
        <v>1.1856780674444047</v>
      </c>
      <c r="V265" s="383">
        <f t="shared" si="83"/>
        <v>42.148438904819507</v>
      </c>
      <c r="W265" s="58"/>
      <c r="X265" s="157">
        <f t="shared" si="84"/>
        <v>43716</v>
      </c>
      <c r="Y265" s="385">
        <f t="shared" si="85"/>
        <v>38.756</v>
      </c>
      <c r="Z265" s="385">
        <f t="shared" si="86"/>
        <v>39.121183211191472</v>
      </c>
      <c r="AA265" s="386">
        <f t="shared" si="87"/>
        <v>41.776681729889063</v>
      </c>
      <c r="AB265" s="197">
        <f t="shared" si="88"/>
        <v>43716</v>
      </c>
      <c r="AC265" s="425">
        <f>IF(OR(t&lt;Tnet,NoTnet),'2018'!Resal_s+('2018'!Salim-'2018'!Resal_s)*(1-EXP(('2018'!Tnet_s-t)/'2018'!Tau_j)),Resal_s+(Salim-Resal_s)*(1-EXP((Tnet_s-t)/Tau_j)))*Salcycl</f>
        <v>6.3564132160303252E-2</v>
      </c>
      <c r="AD265" s="231">
        <f>(INDEX(Models!$BJ265:$BT265,,AH265)*(1-AF265)+INDEX(Models!$BJ265:$BT265,,AH265+1)*AF265-ERP_i)*AE265*Ramure*Pc/MaxiM</f>
        <v>1.3923239071234363E-2</v>
      </c>
      <c r="AE265" s="305">
        <f t="shared" si="89"/>
        <v>0.8</v>
      </c>
      <c r="AF265" s="177">
        <f t="shared" si="90"/>
        <v>0.18567806744440474</v>
      </c>
      <c r="AG265" s="176">
        <f t="shared" si="91"/>
        <v>1</v>
      </c>
      <c r="AH265" s="176">
        <f t="shared" si="92"/>
        <v>7</v>
      </c>
      <c r="AI265" s="225">
        <f t="shared" si="93"/>
        <v>1.1856780674444047</v>
      </c>
      <c r="AJ265" s="265" t="b">
        <f t="shared" si="94"/>
        <v>0</v>
      </c>
      <c r="AK265" s="265" t="b">
        <f t="shared" si="95"/>
        <v>1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6">
        <v>33.19</v>
      </c>
      <c r="C266" s="390"/>
      <c r="D266" s="393">
        <f t="shared" si="75"/>
        <v>33.503516562437184</v>
      </c>
      <c r="E266" s="385">
        <f t="shared" si="97"/>
        <v>35.782123042632769</v>
      </c>
      <c r="F266" s="385">
        <f t="shared" si="76"/>
        <v>36.152050993458325</v>
      </c>
      <c r="G266" s="110">
        <f t="shared" si="98"/>
        <v>0.79101939058337312</v>
      </c>
      <c r="H266" s="414" t="b">
        <f>Wh_hp&gt;='2018'!Maxi_hp</f>
        <v>1</v>
      </c>
      <c r="I266" s="390">
        <f>IF(H266,Wh_hp,'2018'!Maxi_hp)</f>
        <v>36.152050993458325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9.3577210575169767E-3</v>
      </c>
      <c r="M266" s="843"/>
      <c r="N266" s="843"/>
      <c r="O266" s="48">
        <f>IF(t&lt;Tnet,'2018'!Resal+('2018'!Salim-'2018'!Resal)*(1-EXP(('2018'!Tnet-t)/('2018'!Tau_j))),Resal+(Salim-Resal)*(1-EXP((Tnet-t)/(Tau_j))))*Salcycl</f>
        <v>6.3680024728569762E-2</v>
      </c>
      <c r="P266" s="169">
        <f>(INDEX(Models!$BJ266:$BT266,,T266)*(1-R266)+INDEX(Models!$BJ266:$BT266,,T266+1)*R266-ERP_i)*Q266*Ramure*Pc/MaxiM</f>
        <v>1.448684605748346E-2</v>
      </c>
      <c r="Q266" s="305">
        <f t="shared" si="78"/>
        <v>0.8</v>
      </c>
      <c r="R266" s="177">
        <f t="shared" si="79"/>
        <v>0.18624913844363089</v>
      </c>
      <c r="S266" s="809">
        <f t="shared" si="80"/>
        <v>1</v>
      </c>
      <c r="T266" s="176">
        <f t="shared" si="81"/>
        <v>7</v>
      </c>
      <c r="U266" s="251">
        <f t="shared" si="82"/>
        <v>1.1862491384436309</v>
      </c>
      <c r="V266" s="383">
        <f t="shared" si="83"/>
        <v>41.77816725232141</v>
      </c>
      <c r="W266" s="58"/>
      <c r="X266" s="157">
        <f t="shared" si="84"/>
        <v>43717</v>
      </c>
      <c r="Y266" s="385">
        <f t="shared" si="85"/>
        <v>33.19</v>
      </c>
      <c r="Z266" s="385">
        <f t="shared" si="86"/>
        <v>33.503516562437184</v>
      </c>
      <c r="AA266" s="386">
        <f t="shared" si="87"/>
        <v>35.782123042632769</v>
      </c>
      <c r="AB266" s="197">
        <f t="shared" si="88"/>
        <v>43717</v>
      </c>
      <c r="AC266" s="425">
        <f>IF(OR(t&lt;Tnet,NoTnet),'2018'!Resal_s+('2018'!Salim-'2018'!Resal_s)*(1-EXP(('2018'!Tnet_s-t)/'2018'!Tau_j)),Resal_s+(Salim-Resal_s)*(1-EXP((Tnet_s-t)/Tau_j)))*Salcycl</f>
        <v>6.3680024728569762E-2</v>
      </c>
      <c r="AD266" s="231">
        <f>(INDEX(Models!$BJ266:$BT266,,AH266)*(1-AF266)+INDEX(Models!$BJ266:$BT266,,AH266+1)*AF266-ERP_i)*AE266*Ramure*Pc/MaxiM</f>
        <v>1.448684605748346E-2</v>
      </c>
      <c r="AE266" s="305">
        <f t="shared" si="89"/>
        <v>0.8</v>
      </c>
      <c r="AF266" s="177">
        <f t="shared" si="90"/>
        <v>0.18624913844363089</v>
      </c>
      <c r="AG266" s="176">
        <f t="shared" si="91"/>
        <v>1</v>
      </c>
      <c r="AH266" s="176">
        <f t="shared" si="92"/>
        <v>7</v>
      </c>
      <c r="AI266" s="225">
        <f t="shared" si="93"/>
        <v>1.1862491384436309</v>
      </c>
      <c r="AJ266" s="265" t="b">
        <f t="shared" si="94"/>
        <v>0</v>
      </c>
      <c r="AK266" s="265" t="b">
        <f t="shared" si="95"/>
        <v>1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6">
        <v>12.759</v>
      </c>
      <c r="C267" s="390"/>
      <c r="D267" s="393">
        <f t="shared" si="75"/>
        <v>12.879822715723648</v>
      </c>
      <c r="E267" s="385">
        <f t="shared" si="97"/>
        <v>13.757485963660654</v>
      </c>
      <c r="F267" s="385">
        <f t="shared" si="76"/>
        <v>13.759901270867401</v>
      </c>
      <c r="G267" s="110">
        <f t="shared" si="98"/>
        <v>0.30357433258334227</v>
      </c>
      <c r="H267" s="414" t="b">
        <f>Wh_hp&gt;='2018'!Maxi_hp</f>
        <v>0</v>
      </c>
      <c r="I267" s="390">
        <f>IF(H267,Wh_hp,'2018'!Maxi_hp)</f>
        <v>37.297162999432224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9.3807747505831873E-3</v>
      </c>
      <c r="M267" s="843"/>
      <c r="N267" s="843"/>
      <c r="O267" s="48">
        <f>IF(t&lt;Tnet,'2018'!Resal+('2018'!Salim-'2018'!Resal)*(1-EXP(('2018'!Tnet-t)/('2018'!Tau_j))),Resal+(Salim-Resal)*(1-EXP((Tnet-t)/(Tau_j))))*Salcycl</f>
        <v>6.3795322070855531E-2</v>
      </c>
      <c r="P267" s="169">
        <f>(INDEX(Models!$BJ267:$BT267,,T267)*(1-R267)+INDEX(Models!$BJ267:$BT267,,T267+1)*R267-ERP_i)*Q267*Ramure*Pc/MaxiM</f>
        <v>1.5056382002145281E-2</v>
      </c>
      <c r="Q267" s="305">
        <f t="shared" si="78"/>
        <v>0.8</v>
      </c>
      <c r="R267" s="177">
        <f t="shared" si="79"/>
        <v>0.18679826325282889</v>
      </c>
      <c r="S267" s="809">
        <f t="shared" si="80"/>
        <v>1</v>
      </c>
      <c r="T267" s="176">
        <f t="shared" si="81"/>
        <v>7</v>
      </c>
      <c r="U267" s="251">
        <f t="shared" si="82"/>
        <v>1.1867982632528289</v>
      </c>
      <c r="V267" s="383">
        <f t="shared" si="83"/>
        <v>41.403704320198266</v>
      </c>
      <c r="W267" s="58"/>
      <c r="X267" s="157">
        <f t="shared" si="84"/>
        <v>43718</v>
      </c>
      <c r="Y267" s="385">
        <f t="shared" si="85"/>
        <v>12.759</v>
      </c>
      <c r="Z267" s="385">
        <f t="shared" si="86"/>
        <v>12.879822715723648</v>
      </c>
      <c r="AA267" s="386">
        <f t="shared" si="87"/>
        <v>13.757485963660654</v>
      </c>
      <c r="AB267" s="197">
        <f t="shared" si="88"/>
        <v>43718</v>
      </c>
      <c r="AC267" s="425">
        <f>IF(OR(t&lt;Tnet,NoTnet),'2018'!Resal_s+('2018'!Salim-'2018'!Resal_s)*(1-EXP(('2018'!Tnet_s-t)/'2018'!Tau_j)),Resal_s+(Salim-Resal_s)*(1-EXP((Tnet_s-t)/Tau_j)))*Salcycl</f>
        <v>6.3795322070855531E-2</v>
      </c>
      <c r="AD267" s="231">
        <f>(INDEX(Models!$BJ267:$BT267,,AH267)*(1-AF267)+INDEX(Models!$BJ267:$BT267,,AH267+1)*AF267-ERP_i)*AE267*Ramure*Pc/MaxiM</f>
        <v>1.5056382002145281E-2</v>
      </c>
      <c r="AE267" s="305">
        <f t="shared" si="89"/>
        <v>0.8</v>
      </c>
      <c r="AF267" s="177">
        <f t="shared" si="90"/>
        <v>0.18679826325282889</v>
      </c>
      <c r="AG267" s="176">
        <f t="shared" si="91"/>
        <v>1</v>
      </c>
      <c r="AH267" s="176">
        <f t="shared" si="92"/>
        <v>7</v>
      </c>
      <c r="AI267" s="225">
        <f t="shared" si="93"/>
        <v>1.1867982632528289</v>
      </c>
      <c r="AJ267" s="265" t="b">
        <f t="shared" si="94"/>
        <v>0</v>
      </c>
      <c r="AK267" s="265" t="b">
        <f t="shared" si="95"/>
        <v>1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6">
        <v>40.008000000000003</v>
      </c>
      <c r="C268" s="390"/>
      <c r="D268" s="393">
        <f t="shared" si="75"/>
        <v>40.387799919996311</v>
      </c>
      <c r="E268" s="385">
        <f t="shared" si="97"/>
        <v>43.145210559264697</v>
      </c>
      <c r="F268" s="385">
        <f t="shared" si="76"/>
        <v>43.805127981597593</v>
      </c>
      <c r="G268" s="110">
        <f t="shared" si="98"/>
        <v>0.97464244576801529</v>
      </c>
      <c r="H268" s="414" t="b">
        <f>Wh_hp&gt;='2018'!Maxi_hp</f>
        <v>1</v>
      </c>
      <c r="I268" s="390">
        <f>IF(H268,Wh_hp,'2018'!Maxi_hp)</f>
        <v>43.805127981597593</v>
      </c>
      <c r="J268" s="85">
        <f>IF(H268,An,'2018'!An_max)</f>
        <v>2019</v>
      </c>
      <c r="K268" s="197">
        <f t="shared" si="77"/>
        <v>43719</v>
      </c>
      <c r="L268" s="147">
        <f>IF(t&lt;Tvie,1-EXP((T0-t)*PertePVj)+'2018'!Pspv,1-EXP((T0-t)*PertePVj)+Pspv)</f>
        <v>9.4038279071563258E-3</v>
      </c>
      <c r="M268" s="843"/>
      <c r="N268" s="843"/>
      <c r="O268" s="48">
        <f>IF(t&lt;Tnet,'2018'!Resal+('2018'!Salim-'2018'!Resal)*(1-EXP(('2018'!Tnet-t)/('2018'!Tau_j))),Resal+(Salim-Resal)*(1-EXP((Tnet-t)/(Tau_j))))*Salcycl</f>
        <v>6.3910005387058724E-2</v>
      </c>
      <c r="P268" s="169">
        <f>(INDEX(Models!$BJ268:$BT268,,T268)*(1-R268)+INDEX(Models!$BJ268:$BT268,,T268+1)*R268-ERP_i)*Q268*Ramure*Pc/MaxiM</f>
        <v>1.5618392978564105E-2</v>
      </c>
      <c r="Q268" s="305">
        <f t="shared" si="78"/>
        <v>0.8</v>
      </c>
      <c r="R268" s="177">
        <f t="shared" si="79"/>
        <v>0.18732624560243272</v>
      </c>
      <c r="S268" s="809">
        <f t="shared" si="80"/>
        <v>1</v>
      </c>
      <c r="T268" s="176">
        <f t="shared" si="81"/>
        <v>7</v>
      </c>
      <c r="U268" s="251">
        <f t="shared" si="82"/>
        <v>1.1873262456024327</v>
      </c>
      <c r="V268" s="383">
        <f t="shared" si="83"/>
        <v>41.025829578737842</v>
      </c>
      <c r="W268" s="58"/>
      <c r="X268" s="157">
        <f t="shared" si="84"/>
        <v>43719</v>
      </c>
      <c r="Y268" s="385">
        <f t="shared" si="85"/>
        <v>40.008000000000003</v>
      </c>
      <c r="Z268" s="385">
        <f t="shared" si="86"/>
        <v>40.387799919996311</v>
      </c>
      <c r="AA268" s="386">
        <f t="shared" si="87"/>
        <v>43.145210559264697</v>
      </c>
      <c r="AB268" s="197">
        <f t="shared" si="88"/>
        <v>43719</v>
      </c>
      <c r="AC268" s="425">
        <f>IF(OR(t&lt;Tnet,NoTnet),'2018'!Resal_s+('2018'!Salim-'2018'!Resal_s)*(1-EXP(('2018'!Tnet_s-t)/'2018'!Tau_j)),Resal_s+(Salim-Resal_s)*(1-EXP((Tnet_s-t)/Tau_j)))*Salcycl</f>
        <v>6.3910005387058724E-2</v>
      </c>
      <c r="AD268" s="231">
        <f>(INDEX(Models!$BJ268:$BT268,,AH268)*(1-AF268)+INDEX(Models!$BJ268:$BT268,,AH268+1)*AF268-ERP_i)*AE268*Ramure*Pc/MaxiM</f>
        <v>1.5618392978564105E-2</v>
      </c>
      <c r="AE268" s="305">
        <f t="shared" si="89"/>
        <v>0.8</v>
      </c>
      <c r="AF268" s="177">
        <f t="shared" si="90"/>
        <v>0.18732624560243272</v>
      </c>
      <c r="AG268" s="176">
        <f t="shared" si="91"/>
        <v>1</v>
      </c>
      <c r="AH268" s="176">
        <f t="shared" si="92"/>
        <v>7</v>
      </c>
      <c r="AI268" s="225">
        <f t="shared" si="93"/>
        <v>1.1873262456024327</v>
      </c>
      <c r="AJ268" s="265" t="b">
        <f t="shared" si="94"/>
        <v>0</v>
      </c>
      <c r="AK268" s="265" t="b">
        <f t="shared" si="95"/>
        <v>1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6">
        <v>40.646999999999998</v>
      </c>
      <c r="C269" s="390"/>
      <c r="D269" s="393">
        <f t="shared" si="75"/>
        <v>41.033820927459679</v>
      </c>
      <c r="E269" s="385">
        <f t="shared" si="97"/>
        <v>43.840678974747441</v>
      </c>
      <c r="F269" s="385">
        <f t="shared" si="76"/>
        <v>44.561569210056845</v>
      </c>
      <c r="G269" s="110">
        <f t="shared" si="98"/>
        <v>1.0000600338328656</v>
      </c>
      <c r="H269" s="414" t="b">
        <f>Wh_hp&gt;='2018'!Maxi_hp</f>
        <v>1</v>
      </c>
      <c r="I269" s="390">
        <f>IF(H269,Wh_hp,'2018'!Maxi_hp)</f>
        <v>44.561569210056845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9.4268805272487155E-3</v>
      </c>
      <c r="M269" s="843"/>
      <c r="N269" s="843"/>
      <c r="O269" s="48">
        <f>IF(t&lt;Tnet,'2018'!Resal+('2018'!Salim-'2018'!Resal)*(1-EXP(('2018'!Tnet-t)/('2018'!Tau_j))),Resal+(Salim-Resal)*(1-EXP((Tnet-t)/(Tau_j))))*Salcycl</f>
        <v>6.4024055122516105E-2</v>
      </c>
      <c r="P269" s="169">
        <f>(INDEX(Models!$BJ269:$BT269,,T269)*(1-R269)+INDEX(Models!$BJ269:$BT269,,T269+1)*R269-ERP_i)*Q269*Ramure*Pc/MaxiM</f>
        <v>1.6177397880923518E-2</v>
      </c>
      <c r="Q269" s="305">
        <f t="shared" si="78"/>
        <v>0.8</v>
      </c>
      <c r="R269" s="177">
        <f t="shared" si="79"/>
        <v>0.18783386286033732</v>
      </c>
      <c r="S269" s="809">
        <f t="shared" si="80"/>
        <v>1</v>
      </c>
      <c r="T269" s="176">
        <f t="shared" si="81"/>
        <v>7</v>
      </c>
      <c r="U269" s="251">
        <f t="shared" si="82"/>
        <v>1.1878338628603373</v>
      </c>
      <c r="V269" s="383">
        <f t="shared" si="83"/>
        <v>40.644559951280996</v>
      </c>
      <c r="W269" s="58"/>
      <c r="X269" s="157">
        <f t="shared" si="84"/>
        <v>43720</v>
      </c>
      <c r="Y269" s="385">
        <f t="shared" si="85"/>
        <v>40.646999999999998</v>
      </c>
      <c r="Z269" s="385">
        <f t="shared" si="86"/>
        <v>41.033820927459679</v>
      </c>
      <c r="AA269" s="386">
        <f t="shared" si="87"/>
        <v>43.840678974747441</v>
      </c>
      <c r="AB269" s="197">
        <f t="shared" si="88"/>
        <v>43720</v>
      </c>
      <c r="AC269" s="425">
        <f>IF(OR(t&lt;Tnet,NoTnet),'2018'!Resal_s+('2018'!Salim-'2018'!Resal_s)*(1-EXP(('2018'!Tnet_s-t)/'2018'!Tau_j)),Resal_s+(Salim-Resal_s)*(1-EXP((Tnet_s-t)/Tau_j)))*Salcycl</f>
        <v>6.4024055122516105E-2</v>
      </c>
      <c r="AD269" s="231">
        <f>(INDEX(Models!$BJ269:$BT269,,AH269)*(1-AF269)+INDEX(Models!$BJ269:$BT269,,AH269+1)*AF269-ERP_i)*AE269*Ramure*Pc/MaxiM</f>
        <v>1.6177397880923518E-2</v>
      </c>
      <c r="AE269" s="305">
        <f t="shared" si="89"/>
        <v>0.8</v>
      </c>
      <c r="AF269" s="177">
        <f t="shared" si="90"/>
        <v>0.18783386286033732</v>
      </c>
      <c r="AG269" s="176">
        <f t="shared" si="91"/>
        <v>1</v>
      </c>
      <c r="AH269" s="176">
        <f t="shared" si="92"/>
        <v>7</v>
      </c>
      <c r="AI269" s="225">
        <f t="shared" si="93"/>
        <v>1.1878338628603373</v>
      </c>
      <c r="AJ269" s="265" t="b">
        <f t="shared" si="94"/>
        <v>0</v>
      </c>
      <c r="AK269" s="265" t="b">
        <f t="shared" si="95"/>
        <v>1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6">
        <v>31.567</v>
      </c>
      <c r="C270" s="390"/>
      <c r="D270" s="393">
        <f t="shared" si="75"/>
        <v>31.86815188777252</v>
      </c>
      <c r="E270" s="385">
        <f t="shared" si="97"/>
        <v>34.052171358709209</v>
      </c>
      <c r="F270" s="385">
        <f t="shared" si="76"/>
        <v>34.450825044992712</v>
      </c>
      <c r="G270" s="110">
        <f t="shared" si="98"/>
        <v>0.77998191183508314</v>
      </c>
      <c r="H270" s="414" t="b">
        <f>Wh_hp&gt;='2018'!Maxi_hp</f>
        <v>1</v>
      </c>
      <c r="I270" s="390">
        <f>IF(H270,Wh_hp,'2018'!Maxi_hp)</f>
        <v>34.450825044992712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9.4499326108731241E-3</v>
      </c>
      <c r="M270" s="843"/>
      <c r="N270" s="843"/>
      <c r="O270" s="48">
        <f>IF(t&lt;Tnet,'2018'!Resal+('2018'!Salim-'2018'!Resal)*(1-EXP(('2018'!Tnet-t)/('2018'!Tau_j))),Resal+(Salim-Resal)*(1-EXP((Tnet-t)/(Tau_j))))*Salcycl</f>
        <v>6.4137450969865992E-2</v>
      </c>
      <c r="P270" s="169">
        <f>(INDEX(Models!$BJ270:$BT270,,T270)*(1-R270)+INDEX(Models!$BJ270:$BT270,,T270+1)*R270-ERP_i)*Q270*Ramure*Pc/MaxiM</f>
        <v>1.67332508130042E-2</v>
      </c>
      <c r="Q270" s="305">
        <f t="shared" si="78"/>
        <v>0.8</v>
      </c>
      <c r="R270" s="177">
        <f t="shared" si="79"/>
        <v>0.18832186665418948</v>
      </c>
      <c r="S270" s="809">
        <f t="shared" si="80"/>
        <v>1</v>
      </c>
      <c r="T270" s="176">
        <f t="shared" si="81"/>
        <v>7</v>
      </c>
      <c r="U270" s="251">
        <f t="shared" si="82"/>
        <v>1.1883218666541895</v>
      </c>
      <c r="V270" s="383">
        <f t="shared" si="83"/>
        <v>40.260109229367195</v>
      </c>
      <c r="W270" s="58"/>
      <c r="X270" s="157">
        <f t="shared" si="84"/>
        <v>43721</v>
      </c>
      <c r="Y270" s="385">
        <f t="shared" si="85"/>
        <v>31.567000000000004</v>
      </c>
      <c r="Z270" s="385">
        <f t="shared" si="86"/>
        <v>31.868151887772523</v>
      </c>
      <c r="AA270" s="386">
        <f t="shared" si="87"/>
        <v>34.052171358709209</v>
      </c>
      <c r="AB270" s="197">
        <f t="shared" si="88"/>
        <v>43721</v>
      </c>
      <c r="AC270" s="425">
        <f>IF(OR(t&lt;Tnet,NoTnet),'2018'!Resal_s+('2018'!Salim-'2018'!Resal_s)*(1-EXP(('2018'!Tnet_s-t)/'2018'!Tau_j)),Resal_s+(Salim-Resal_s)*(1-EXP((Tnet_s-t)/Tau_j)))*Salcycl</f>
        <v>6.4137450969865992E-2</v>
      </c>
      <c r="AD270" s="231">
        <f>(INDEX(Models!$BJ270:$BT270,,AH270)*(1-AF270)+INDEX(Models!$BJ270:$BT270,,AH270+1)*AF270-ERP_i)*AE270*Ramure*Pc/MaxiM</f>
        <v>1.67332508130042E-2</v>
      </c>
      <c r="AE270" s="305">
        <f t="shared" si="89"/>
        <v>0.8</v>
      </c>
      <c r="AF270" s="177">
        <f t="shared" si="90"/>
        <v>0.18832186665418948</v>
      </c>
      <c r="AG270" s="176">
        <f t="shared" si="91"/>
        <v>1</v>
      </c>
      <c r="AH270" s="176">
        <f t="shared" si="92"/>
        <v>7</v>
      </c>
      <c r="AI270" s="225">
        <f t="shared" si="93"/>
        <v>1.1883218666541895</v>
      </c>
      <c r="AJ270" s="265" t="b">
        <f t="shared" si="94"/>
        <v>0</v>
      </c>
      <c r="AK270" s="265" t="b">
        <f t="shared" si="95"/>
        <v>1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6">
        <v>35.555</v>
      </c>
      <c r="C271" s="390"/>
      <c r="D271" s="393">
        <f t="shared" ref="D271:D334" si="99">Wh/(1-Ppv)</f>
        <v>35.895033079716541</v>
      </c>
      <c r="E271" s="385">
        <f t="shared" si="97"/>
        <v>38.359646992214486</v>
      </c>
      <c r="F271" s="385">
        <f t="shared" ref="F271:F334" si="100">Wh_sa/(1-Pvg*MEDIAN((-Sdif+Wh/Env_an)/Csdif,0,1))</f>
        <v>38.928460210220983</v>
      </c>
      <c r="G271" s="110">
        <f t="shared" si="98"/>
        <v>0.88929325046523133</v>
      </c>
      <c r="H271" s="414" t="b">
        <f>Wh_hp&gt;='2018'!Maxi_hp</f>
        <v>1</v>
      </c>
      <c r="I271" s="390">
        <f>IF(H271,Wh_hp,'2018'!Maxi_hp)</f>
        <v>38.928460210220983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9.472984158041764E-3</v>
      </c>
      <c r="M271" s="843"/>
      <c r="N271" s="843"/>
      <c r="O271" s="48">
        <f>IF(t&lt;Tnet,'2018'!Resal+('2018'!Salim-'2018'!Resal)*(1-EXP(('2018'!Tnet-t)/('2018'!Tau_j))),Resal+(Salim-Resal)*(1-EXP((Tnet-t)/(Tau_j))))*Salcycl</f>
        <v>6.4250171879792525E-2</v>
      </c>
      <c r="P271" s="169">
        <f>(INDEX(Models!$BJ271:$BT271,,T271)*(1-R271)+INDEX(Models!$BJ271:$BT271,,T271+1)*R271-ERP_i)*Q271*Ramure*Pc/MaxiM</f>
        <v>1.7285793615532188E-2</v>
      </c>
      <c r="Q271" s="305">
        <f t="shared" ref="Q271:Q334" si="102">IF(OR(t&lt;Ttai,Notai),Dd+PousD*Croivg,Dens+PousD*(Croivg-Croi_tai))</f>
        <v>0.8</v>
      </c>
      <c r="R271" s="177">
        <f t="shared" ref="R271:R334" si="103">(Hp_vg-S271)/(INDEX(Echel_vg,T271+1)-S271)</f>
        <v>0.18879098349951207</v>
      </c>
      <c r="S271" s="809">
        <f t="shared" ref="S271:S334" si="104">INDEX(Echel_vg,T271)</f>
        <v>1</v>
      </c>
      <c r="T271" s="176">
        <f t="shared" ref="T271:T334" si="105">MIN(MATCH(Hp_vg,Echel_vg),10)</f>
        <v>7</v>
      </c>
      <c r="U271" s="251">
        <f t="shared" ref="U271:U334" si="106">IF(OR(t&lt;Ttai,Notai),Hdd+PousH*Croivg,Hdtf+PousH*(Croivg-Croi_tai))</f>
        <v>1.1887909834995121</v>
      </c>
      <c r="V271" s="383">
        <f t="shared" ref="V271:V334" si="107">MaxiM*(1-Ppv)*(1-Pvg)*(1-Psa)</f>
        <v>39.872690821814601</v>
      </c>
      <c r="W271" s="58"/>
      <c r="X271" s="157">
        <f t="shared" ref="X271:X334" si="108">t</f>
        <v>43722</v>
      </c>
      <c r="Y271" s="385">
        <f t="shared" ref="Y271:Y334" si="109">Wh_pvt_s*(1-Ppv)</f>
        <v>35.555</v>
      </c>
      <c r="Z271" s="385">
        <f t="shared" ref="Z271:Z334" si="110">Wh_sa_s*(1-Psa_s)</f>
        <v>35.895033079716541</v>
      </c>
      <c r="AA271" s="386">
        <f t="shared" ref="AA271:AA334" si="111">Wh_hp*(1-Pvg_s*MEDIAN((-Sdif+Wh/Env_an)/Csdif,0,1))</f>
        <v>38.359646992214486</v>
      </c>
      <c r="AB271" s="197">
        <f t="shared" ref="AB271:AB334" si="112">t</f>
        <v>43722</v>
      </c>
      <c r="AC271" s="425">
        <f>IF(OR(t&lt;Tnet,NoTnet),'2018'!Resal_s+('2018'!Salim-'2018'!Resal_s)*(1-EXP(('2018'!Tnet_s-t)/'2018'!Tau_j)),Resal_s+(Salim-Resal_s)*(1-EXP((Tnet_s-t)/Tau_j)))*Salcycl</f>
        <v>6.4250171879792525E-2</v>
      </c>
      <c r="AD271" s="231">
        <f>(INDEX(Models!$BJ271:$BT271,,AH271)*(1-AF271)+INDEX(Models!$BJ271:$BT271,,AH271+1)*AF271-ERP_i)*AE271*Ramure*Pc/MaxiM</f>
        <v>1.7285793615532188E-2</v>
      </c>
      <c r="AE271" s="305">
        <f t="shared" ref="AE271:AE334" si="113">IF(OR(t&lt;Ttai,Notai),Dd_s+PousD*Croivg,Dens_s+PousD*(Croivg-Croi_tai))</f>
        <v>0.8</v>
      </c>
      <c r="AF271" s="177">
        <f t="shared" ref="AF271:AF334" si="114">(Hp_vg_s-AG271)/(INDEX(Echel_vg,AH271+1)-AG271)</f>
        <v>0.18879098349951207</v>
      </c>
      <c r="AG271" s="176">
        <f t="shared" ref="AG271:AG334" si="115">INDEX(Echel_vg,AH271)</f>
        <v>1</v>
      </c>
      <c r="AH271" s="176">
        <f t="shared" ref="AH271:AH334" si="116">MIN(MATCH(Hp_vg_s,Echel_vg),10)</f>
        <v>7</v>
      </c>
      <c r="AI271" s="225">
        <f t="shared" ref="AI271:AI334" si="117">IF(OR(t&lt;Ttai,Notai),Hdd_s+PousH*Croivg,Hdtai_s+PousH*(Croivg-Croi_tai))</f>
        <v>1.1887909834995121</v>
      </c>
      <c r="AJ271" s="265" t="b">
        <f t="shared" ref="AJ271:AJ334" si="118">t&lt;Tnet</f>
        <v>0</v>
      </c>
      <c r="AK271" s="265" t="b">
        <f t="shared" ref="AK271:AK334" si="119">t&lt;Ttai</f>
        <v>1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6">
        <v>35.911000000000001</v>
      </c>
      <c r="C272" s="390"/>
      <c r="D272" s="393">
        <f t="shared" si="99"/>
        <v>36.255281427488988</v>
      </c>
      <c r="E272" s="385">
        <f t="shared" si="97"/>
        <v>38.749269509684147</v>
      </c>
      <c r="F272" s="385">
        <f t="shared" si="100"/>
        <v>39.360543788716555</v>
      </c>
      <c r="G272" s="110">
        <f t="shared" si="98"/>
        <v>0.90741247878323794</v>
      </c>
      <c r="H272" s="414" t="b">
        <f>Wh_hp&gt;='2018'!Maxi_hp</f>
        <v>1</v>
      </c>
      <c r="I272" s="390">
        <f>IF(H272,Wh_hp,'2018'!Maxi_hp)</f>
        <v>39.360543788716555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9.4960351687671807E-3</v>
      </c>
      <c r="M272" s="843"/>
      <c r="N272" s="843"/>
      <c r="O272" s="48">
        <f>IF(t&lt;Tnet,'2018'!Resal+('2018'!Salim-'2018'!Resal)*(1-EXP(('2018'!Tnet-t)/('2018'!Tau_j))),Resal+(Salim-Resal)*(1-EXP((Tnet-t)/(Tau_j))))*Salcycl</f>
        <v>6.4362196081447762E-2</v>
      </c>
      <c r="P272" s="169">
        <f>(INDEX(Models!$BJ272:$BT272,,T272)*(1-R272)+INDEX(Models!$BJ272:$BT272,,T272+1)*R272-ERP_i)*Q272*Ramure*Pc/MaxiM</f>
        <v>1.7834855052354805E-2</v>
      </c>
      <c r="Q272" s="305">
        <f t="shared" si="102"/>
        <v>0.8</v>
      </c>
      <c r="R272" s="177">
        <f t="shared" si="103"/>
        <v>0.1892419154313898</v>
      </c>
      <c r="S272" s="809">
        <f t="shared" si="104"/>
        <v>1</v>
      </c>
      <c r="T272" s="176">
        <f t="shared" si="105"/>
        <v>7</v>
      </c>
      <c r="U272" s="251">
        <f t="shared" si="106"/>
        <v>1.1892419154313898</v>
      </c>
      <c r="V272" s="383">
        <f t="shared" si="107"/>
        <v>39.482517765872608</v>
      </c>
      <c r="W272" s="58"/>
      <c r="X272" s="157">
        <f t="shared" si="108"/>
        <v>43723</v>
      </c>
      <c r="Y272" s="385">
        <f t="shared" si="109"/>
        <v>35.911000000000001</v>
      </c>
      <c r="Z272" s="385">
        <f t="shared" si="110"/>
        <v>36.255281427488988</v>
      </c>
      <c r="AA272" s="386">
        <f t="shared" si="111"/>
        <v>38.749269509684147</v>
      </c>
      <c r="AB272" s="197">
        <f t="shared" si="112"/>
        <v>43723</v>
      </c>
      <c r="AC272" s="425">
        <f>IF(OR(t&lt;Tnet,NoTnet),'2018'!Resal_s+('2018'!Salim-'2018'!Resal_s)*(1-EXP(('2018'!Tnet_s-t)/'2018'!Tau_j)),Resal_s+(Salim-Resal_s)*(1-EXP((Tnet_s-t)/Tau_j)))*Salcycl</f>
        <v>6.4362196081447762E-2</v>
      </c>
      <c r="AD272" s="231">
        <f>(INDEX(Models!$BJ272:$BT272,,AH272)*(1-AF272)+INDEX(Models!$BJ272:$BT272,,AH272+1)*AF272-ERP_i)*AE272*Ramure*Pc/MaxiM</f>
        <v>1.7834855052354805E-2</v>
      </c>
      <c r="AE272" s="305">
        <f t="shared" si="113"/>
        <v>0.8</v>
      </c>
      <c r="AF272" s="177">
        <f t="shared" si="114"/>
        <v>0.1892419154313898</v>
      </c>
      <c r="AG272" s="176">
        <f t="shared" si="115"/>
        <v>1</v>
      </c>
      <c r="AH272" s="176">
        <f t="shared" si="116"/>
        <v>7</v>
      </c>
      <c r="AI272" s="225">
        <f t="shared" si="117"/>
        <v>1.1892419154313898</v>
      </c>
      <c r="AJ272" s="265" t="b">
        <f t="shared" si="118"/>
        <v>0</v>
      </c>
      <c r="AK272" s="265" t="b">
        <f t="shared" si="119"/>
        <v>1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6">
        <v>35.534999999999997</v>
      </c>
      <c r="C273" s="390"/>
      <c r="D273" s="393">
        <f t="shared" si="99"/>
        <v>35.876511586364913</v>
      </c>
      <c r="E273" s="385">
        <f t="shared" si="97"/>
        <v>38.349006285826583</v>
      </c>
      <c r="F273" s="385">
        <f t="shared" si="100"/>
        <v>38.972266716704112</v>
      </c>
      <c r="G273" s="110">
        <f t="shared" si="98"/>
        <v>0.90685464123371518</v>
      </c>
      <c r="H273" s="414" t="b">
        <f>Wh_hp&gt;='2018'!Maxi_hp</f>
        <v>0</v>
      </c>
      <c r="I273" s="390">
        <f>IF(H273,Wh_hp,'2018'!Maxi_hp)</f>
        <v>39.509966115704373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9.5190856430620308E-3</v>
      </c>
      <c r="M273" s="843"/>
      <c r="N273" s="843"/>
      <c r="O273" s="48">
        <f>IF(t&lt;Tnet,'2018'!Resal+('2018'!Salim-'2018'!Resal)*(1-EXP(('2018'!Tnet-t)/('2018'!Tau_j))),Resal+(Salim-Resal)*(1-EXP((Tnet-t)/(Tau_j))))*Salcycl</f>
        <v>6.447350111326039E-2</v>
      </c>
      <c r="P273" s="169">
        <f>(INDEX(Models!$BJ273:$BT273,,T273)*(1-R273)+INDEX(Models!$BJ273:$BT273,,T273+1)*R273-ERP_i)*Q273*Ramure*Pc/MaxiM</f>
        <v>1.8380250026925785E-2</v>
      </c>
      <c r="Q273" s="305">
        <f t="shared" si="102"/>
        <v>0.8</v>
      </c>
      <c r="R273" s="177">
        <f t="shared" si="103"/>
        <v>0.18967534063766456</v>
      </c>
      <c r="S273" s="809">
        <f t="shared" si="104"/>
        <v>1</v>
      </c>
      <c r="T273" s="176">
        <f t="shared" si="105"/>
        <v>7</v>
      </c>
      <c r="U273" s="251">
        <f t="shared" si="106"/>
        <v>1.1896753406376646</v>
      </c>
      <c r="V273" s="383">
        <f t="shared" si="107"/>
        <v>39.089802729196187</v>
      </c>
      <c r="W273" s="58"/>
      <c r="X273" s="157">
        <f t="shared" si="108"/>
        <v>43724</v>
      </c>
      <c r="Y273" s="385">
        <f t="shared" si="109"/>
        <v>35.534999999999997</v>
      </c>
      <c r="Z273" s="385">
        <f t="shared" si="110"/>
        <v>35.876511586364913</v>
      </c>
      <c r="AA273" s="386">
        <f t="shared" si="111"/>
        <v>38.349006285826583</v>
      </c>
      <c r="AB273" s="197">
        <f t="shared" si="112"/>
        <v>43724</v>
      </c>
      <c r="AC273" s="425">
        <f>IF(OR(t&lt;Tnet,NoTnet),'2018'!Resal_s+('2018'!Salim-'2018'!Resal_s)*(1-EXP(('2018'!Tnet_s-t)/'2018'!Tau_j)),Resal_s+(Salim-Resal_s)*(1-EXP((Tnet_s-t)/Tau_j)))*Salcycl</f>
        <v>6.447350111326039E-2</v>
      </c>
      <c r="AD273" s="231">
        <f>(INDEX(Models!$BJ273:$BT273,,AH273)*(1-AF273)+INDEX(Models!$BJ273:$BT273,,AH273+1)*AF273-ERP_i)*AE273*Ramure*Pc/MaxiM</f>
        <v>1.8380250026925785E-2</v>
      </c>
      <c r="AE273" s="305">
        <f t="shared" si="113"/>
        <v>0.8</v>
      </c>
      <c r="AF273" s="177">
        <f t="shared" si="114"/>
        <v>0.18967534063766456</v>
      </c>
      <c r="AG273" s="176">
        <f t="shared" si="115"/>
        <v>1</v>
      </c>
      <c r="AH273" s="176">
        <f t="shared" si="116"/>
        <v>7</v>
      </c>
      <c r="AI273" s="225">
        <f t="shared" si="117"/>
        <v>1.1896753406376646</v>
      </c>
      <c r="AJ273" s="265" t="b">
        <f t="shared" si="118"/>
        <v>0</v>
      </c>
      <c r="AK273" s="265" t="b">
        <f t="shared" si="119"/>
        <v>1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6">
        <v>34.576000000000001</v>
      </c>
      <c r="C274" s="390"/>
      <c r="D274" s="393">
        <f t="shared" si="99"/>
        <v>34.909107436165442</v>
      </c>
      <c r="E274" s="385">
        <f t="shared" si="97"/>
        <v>37.319342217318905</v>
      </c>
      <c r="F274" s="385">
        <f t="shared" si="100"/>
        <v>37.927877016730129</v>
      </c>
      <c r="G274" s="110">
        <f t="shared" si="98"/>
        <v>0.89094481183483842</v>
      </c>
      <c r="H274" s="414" t="b">
        <f>Wh_hp&gt;='2018'!Maxi_hp</f>
        <v>0</v>
      </c>
      <c r="I274" s="390">
        <f>IF(H274,Wh_hp,'2018'!Maxi_hp)</f>
        <v>38.286123652516494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9.5421355809385267E-3</v>
      </c>
      <c r="M274" s="843"/>
      <c r="N274" s="843"/>
      <c r="O274" s="48">
        <f>IF(t&lt;Tnet,'2018'!Resal+('2018'!Salim-'2018'!Resal)*(1-EXP(('2018'!Tnet-t)/('2018'!Tau_j))),Resal+(Salim-Resal)*(1-EXP((Tnet-t)/(Tau_j))))*Salcycl</f>
        <v>6.4584063864741331E-2</v>
      </c>
      <c r="P274" s="169">
        <f>(INDEX(Models!$BJ274:$BT274,,T274)*(1-R274)+INDEX(Models!$BJ274:$BT274,,T274+1)*R274-ERP_i)*Q274*Ramure*Pc/MaxiM</f>
        <v>1.8921778830338343E-2</v>
      </c>
      <c r="Q274" s="305">
        <f t="shared" si="102"/>
        <v>0.8</v>
      </c>
      <c r="R274" s="177">
        <f t="shared" si="103"/>
        <v>0.1900919140917825</v>
      </c>
      <c r="S274" s="809">
        <f t="shared" si="104"/>
        <v>1</v>
      </c>
      <c r="T274" s="176">
        <f t="shared" si="105"/>
        <v>7</v>
      </c>
      <c r="U274" s="251">
        <f t="shared" si="106"/>
        <v>1.1900919140917825</v>
      </c>
      <c r="V274" s="383">
        <f t="shared" si="107"/>
        <v>38.694758014264281</v>
      </c>
      <c r="W274" s="58"/>
      <c r="X274" s="157">
        <f t="shared" si="108"/>
        <v>43725</v>
      </c>
      <c r="Y274" s="385">
        <f t="shared" si="109"/>
        <v>34.576000000000001</v>
      </c>
      <c r="Z274" s="385">
        <f t="shared" si="110"/>
        <v>34.909107436165442</v>
      </c>
      <c r="AA274" s="386">
        <f t="shared" si="111"/>
        <v>37.319342217318905</v>
      </c>
      <c r="AB274" s="197">
        <f t="shared" si="112"/>
        <v>43725</v>
      </c>
      <c r="AC274" s="425">
        <f>IF(OR(t&lt;Tnet,NoTnet),'2018'!Resal_s+('2018'!Salim-'2018'!Resal_s)*(1-EXP(('2018'!Tnet_s-t)/'2018'!Tau_j)),Resal_s+(Salim-Resal_s)*(1-EXP((Tnet_s-t)/Tau_j)))*Salcycl</f>
        <v>6.4584063864741331E-2</v>
      </c>
      <c r="AD274" s="231">
        <f>(INDEX(Models!$BJ274:$BT274,,AH274)*(1-AF274)+INDEX(Models!$BJ274:$BT274,,AH274+1)*AF274-ERP_i)*AE274*Ramure*Pc/MaxiM</f>
        <v>1.8921778830338343E-2</v>
      </c>
      <c r="AE274" s="305">
        <f t="shared" si="113"/>
        <v>0.8</v>
      </c>
      <c r="AF274" s="177">
        <f t="shared" si="114"/>
        <v>0.1900919140917825</v>
      </c>
      <c r="AG274" s="176">
        <f t="shared" si="115"/>
        <v>1</v>
      </c>
      <c r="AH274" s="176">
        <f t="shared" si="116"/>
        <v>7</v>
      </c>
      <c r="AI274" s="225">
        <f t="shared" si="117"/>
        <v>1.1900919140917825</v>
      </c>
      <c r="AJ274" s="265" t="b">
        <f t="shared" si="118"/>
        <v>0</v>
      </c>
      <c r="AK274" s="265" t="b">
        <f t="shared" si="119"/>
        <v>1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6">
        <v>24.2</v>
      </c>
      <c r="C275" s="390"/>
      <c r="D275" s="393">
        <f t="shared" si="99"/>
        <v>24.433712984503877</v>
      </c>
      <c r="E275" s="385">
        <f t="shared" si="97"/>
        <v>26.123759864290314</v>
      </c>
      <c r="F275" s="385">
        <f t="shared" si="100"/>
        <v>26.367092350948205</v>
      </c>
      <c r="G275" s="110">
        <f t="shared" si="98"/>
        <v>0.62542325015621925</v>
      </c>
      <c r="H275" s="414" t="b">
        <f>Wh_hp&gt;='2018'!Maxi_hp</f>
        <v>0</v>
      </c>
      <c r="I275" s="390">
        <f>IF(H275,Wh_hp,'2018'!Maxi_hp)</f>
        <v>36.250892834496568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9.5651849824094359E-3</v>
      </c>
      <c r="M275" s="843"/>
      <c r="N275" s="843"/>
      <c r="O275" s="48">
        <f>IF(t&lt;Tnet,'2018'!Resal+('2018'!Salim-'2018'!Resal)*(1-EXP(('2018'!Tnet-t)/('2018'!Tau_j))),Resal+(Salim-Resal)*(1-EXP((Tnet-t)/(Tau_j))))*Salcycl</f>
        <v>6.4693860629787506E-2</v>
      </c>
      <c r="P275" s="169">
        <f>(INDEX(Models!$BJ275:$BT275,,T275)*(1-R275)+INDEX(Models!$BJ275:$BT275,,T275+1)*R275-ERP_i)*Q275*Ramure*Pc/MaxiM</f>
        <v>1.9460926899716E-2</v>
      </c>
      <c r="Q275" s="305">
        <f t="shared" si="102"/>
        <v>0.8</v>
      </c>
      <c r="R275" s="177">
        <f t="shared" si="103"/>
        <v>0.19049226818361187</v>
      </c>
      <c r="S275" s="809">
        <f t="shared" si="104"/>
        <v>1</v>
      </c>
      <c r="T275" s="176">
        <f t="shared" si="105"/>
        <v>7</v>
      </c>
      <c r="U275" s="251">
        <f t="shared" si="106"/>
        <v>1.1904922681836119</v>
      </c>
      <c r="V275" s="383">
        <f t="shared" si="107"/>
        <v>38.294182753146679</v>
      </c>
      <c r="W275" s="58"/>
      <c r="X275" s="157">
        <f t="shared" si="108"/>
        <v>43726</v>
      </c>
      <c r="Y275" s="385">
        <f t="shared" si="109"/>
        <v>24.2</v>
      </c>
      <c r="Z275" s="385">
        <f t="shared" si="110"/>
        <v>24.433712984503877</v>
      </c>
      <c r="AA275" s="386">
        <f t="shared" si="111"/>
        <v>26.123759864290314</v>
      </c>
      <c r="AB275" s="197">
        <f t="shared" si="112"/>
        <v>43726</v>
      </c>
      <c r="AC275" s="425">
        <f>IF(OR(t&lt;Tnet,NoTnet),'2018'!Resal_s+('2018'!Salim-'2018'!Resal_s)*(1-EXP(('2018'!Tnet_s-t)/'2018'!Tau_j)),Resal_s+(Salim-Resal_s)*(1-EXP((Tnet_s-t)/Tau_j)))*Salcycl</f>
        <v>6.4693860629787506E-2</v>
      </c>
      <c r="AD275" s="231">
        <f>(INDEX(Models!$BJ275:$BT275,,AH275)*(1-AF275)+INDEX(Models!$BJ275:$BT275,,AH275+1)*AF275-ERP_i)*AE275*Ramure*Pc/MaxiM</f>
        <v>1.9460926899716E-2</v>
      </c>
      <c r="AE275" s="305">
        <f t="shared" si="113"/>
        <v>0.8</v>
      </c>
      <c r="AF275" s="177">
        <f t="shared" si="114"/>
        <v>0.19049226818361187</v>
      </c>
      <c r="AG275" s="176">
        <f t="shared" si="115"/>
        <v>1</v>
      </c>
      <c r="AH275" s="176">
        <f t="shared" si="116"/>
        <v>7</v>
      </c>
      <c r="AI275" s="225">
        <f t="shared" si="117"/>
        <v>1.1904922681836119</v>
      </c>
      <c r="AJ275" s="265" t="b">
        <f t="shared" si="118"/>
        <v>0</v>
      </c>
      <c r="AK275" s="265" t="b">
        <f t="shared" si="119"/>
        <v>1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6">
        <v>35.453000000000003</v>
      </c>
      <c r="C276" s="390"/>
      <c r="D276" s="393">
        <f t="shared" si="99"/>
        <v>35.796222552691901</v>
      </c>
      <c r="E276" s="385">
        <f t="shared" si="97"/>
        <v>38.276659857200833</v>
      </c>
      <c r="F276" s="385">
        <f t="shared" si="100"/>
        <v>38.983713423588227</v>
      </c>
      <c r="G276" s="110">
        <f t="shared" si="98"/>
        <v>0.9340156033241287</v>
      </c>
      <c r="H276" s="414" t="b">
        <f>Wh_hp&gt;='2018'!Maxi_hp</f>
        <v>1</v>
      </c>
      <c r="I276" s="390">
        <f>IF(H276,Wh_hp,'2018'!Maxi_hp)</f>
        <v>38.983713423588227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9.5882338474869711E-3</v>
      </c>
      <c r="M276" s="843"/>
      <c r="N276" s="843"/>
      <c r="O276" s="48">
        <f>IF(t&lt;Tnet,'2018'!Resal+('2018'!Salim-'2018'!Resal)*(1-EXP(('2018'!Tnet-t)/('2018'!Tau_j))),Resal+(Salim-Resal)*(1-EXP((Tnet-t)/(Tau_j))))*Salcycl</f>
        <v>6.4802867171867382E-2</v>
      </c>
      <c r="P276" s="169">
        <f>(INDEX(Models!$BJ276:$BT276,,T276)*(1-R276)+INDEX(Models!$BJ276:$BT276,,T276+1)*R276-ERP_i)*Q276*Ramure*Pc/MaxiM</f>
        <v>1.9969743332753538E-2</v>
      </c>
      <c r="Q276" s="305">
        <f t="shared" si="102"/>
        <v>0.8</v>
      </c>
      <c r="R276" s="177">
        <f t="shared" si="103"/>
        <v>0.19087701334672591</v>
      </c>
      <c r="S276" s="809">
        <f t="shared" si="104"/>
        <v>1</v>
      </c>
      <c r="T276" s="176">
        <f t="shared" si="105"/>
        <v>7</v>
      </c>
      <c r="U276" s="251">
        <f t="shared" si="106"/>
        <v>1.1908770133467259</v>
      </c>
      <c r="V276" s="383">
        <f t="shared" si="107"/>
        <v>37.886764298147042</v>
      </c>
      <c r="W276" s="58"/>
      <c r="X276" s="157">
        <f t="shared" si="108"/>
        <v>43727</v>
      </c>
      <c r="Y276" s="385">
        <f t="shared" si="109"/>
        <v>35.453000000000003</v>
      </c>
      <c r="Z276" s="385">
        <f t="shared" si="110"/>
        <v>35.796222552691901</v>
      </c>
      <c r="AA276" s="386">
        <f t="shared" si="111"/>
        <v>38.276659857200833</v>
      </c>
      <c r="AB276" s="197">
        <f t="shared" si="112"/>
        <v>43727</v>
      </c>
      <c r="AC276" s="425">
        <f>IF(OR(t&lt;Tnet,NoTnet),'2018'!Resal_s+('2018'!Salim-'2018'!Resal_s)*(1-EXP(('2018'!Tnet_s-t)/'2018'!Tau_j)),Resal_s+(Salim-Resal_s)*(1-EXP((Tnet_s-t)/Tau_j)))*Salcycl</f>
        <v>6.4802867171867382E-2</v>
      </c>
      <c r="AD276" s="231">
        <f>(INDEX(Models!$BJ276:$BT276,,AH276)*(1-AF276)+INDEX(Models!$BJ276:$BT276,,AH276+1)*AF276-ERP_i)*AE276*Ramure*Pc/MaxiM</f>
        <v>1.9969743332753538E-2</v>
      </c>
      <c r="AE276" s="305">
        <f t="shared" si="113"/>
        <v>0.8</v>
      </c>
      <c r="AF276" s="177">
        <f t="shared" si="114"/>
        <v>0.19087701334672591</v>
      </c>
      <c r="AG276" s="176">
        <f t="shared" si="115"/>
        <v>1</v>
      </c>
      <c r="AH276" s="176">
        <f t="shared" si="116"/>
        <v>7</v>
      </c>
      <c r="AI276" s="225">
        <f t="shared" si="117"/>
        <v>1.1908770133467259</v>
      </c>
      <c r="AJ276" s="265" t="b">
        <f t="shared" si="118"/>
        <v>0</v>
      </c>
      <c r="AK276" s="265" t="b">
        <f t="shared" si="119"/>
        <v>1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6">
        <v>34.643999999999998</v>
      </c>
      <c r="C277" s="390"/>
      <c r="D277" s="393">
        <f t="shared" si="99"/>
        <v>34.980204617156133</v>
      </c>
      <c r="E277" s="385">
        <f t="shared" si="97"/>
        <v>37.408425098383013</v>
      </c>
      <c r="F277" s="385">
        <f t="shared" si="100"/>
        <v>38.103425572787778</v>
      </c>
      <c r="G277" s="110">
        <f t="shared" si="98"/>
        <v>0.92240651834436271</v>
      </c>
      <c r="H277" s="414" t="b">
        <f>Wh_hp&gt;='2018'!Maxi_hp</f>
        <v>0</v>
      </c>
      <c r="I277" s="390">
        <f>IF(H277,Wh_hp,'2018'!Maxi_hp)</f>
        <v>38.230545259533059</v>
      </c>
      <c r="J277" s="85">
        <f>IF(H277,An,'2018'!An_max)</f>
        <v>2018</v>
      </c>
      <c r="K277" s="197">
        <f t="shared" si="101"/>
        <v>43728</v>
      </c>
      <c r="L277" s="147">
        <f>IF(t&lt;Tvie,1-EXP((T0-t)*PertePVj)+'2018'!Pspv,1-EXP((T0-t)*PertePVj)+Pspv)</f>
        <v>9.6112821761837886E-3</v>
      </c>
      <c r="M277" s="843"/>
      <c r="N277" s="843"/>
      <c r="O277" s="48">
        <f>IF(t&lt;Tnet,'2018'!Resal+('2018'!Salim-'2018'!Resal)*(1-EXP(('2018'!Tnet-t)/('2018'!Tau_j))),Resal+(Salim-Resal)*(1-EXP((Tnet-t)/(Tau_j))))*Salcycl</f>
        <v>6.4911058801345747E-2</v>
      </c>
      <c r="P277" s="169">
        <f>(INDEX(Models!$BJ277:$BT277,,T277)*(1-R277)+INDEX(Models!$BJ277:$BT277,,T277+1)*R277-ERP_i)*Q277*Ramure*Pc/MaxiM</f>
        <v>2.0445519112268822E-2</v>
      </c>
      <c r="Q277" s="305">
        <f t="shared" si="102"/>
        <v>0.8</v>
      </c>
      <c r="R277" s="177">
        <f t="shared" si="103"/>
        <v>0.19124673868079634</v>
      </c>
      <c r="S277" s="809">
        <f t="shared" si="104"/>
        <v>1</v>
      </c>
      <c r="T277" s="176">
        <f t="shared" si="105"/>
        <v>7</v>
      </c>
      <c r="U277" s="251">
        <f t="shared" si="106"/>
        <v>1.1912467386807963</v>
      </c>
      <c r="V277" s="383">
        <f t="shared" si="107"/>
        <v>37.473897009439575</v>
      </c>
      <c r="W277" s="58"/>
      <c r="X277" s="157">
        <f t="shared" si="108"/>
        <v>43728</v>
      </c>
      <c r="Y277" s="385">
        <f t="shared" si="109"/>
        <v>34.643999999999998</v>
      </c>
      <c r="Z277" s="385">
        <f t="shared" si="110"/>
        <v>34.980204617156133</v>
      </c>
      <c r="AA277" s="386">
        <f t="shared" si="111"/>
        <v>37.408425098383013</v>
      </c>
      <c r="AB277" s="197">
        <f t="shared" si="112"/>
        <v>43728</v>
      </c>
      <c r="AC277" s="425">
        <f>IF(OR(t&lt;Tnet,NoTnet),'2018'!Resal_s+('2018'!Salim-'2018'!Resal_s)*(1-EXP(('2018'!Tnet_s-t)/'2018'!Tau_j)),Resal_s+(Salim-Resal_s)*(1-EXP((Tnet_s-t)/Tau_j)))*Salcycl</f>
        <v>6.4911058801345747E-2</v>
      </c>
      <c r="AD277" s="231">
        <f>(INDEX(Models!$BJ277:$BT277,,AH277)*(1-AF277)+INDEX(Models!$BJ277:$BT277,,AH277+1)*AF277-ERP_i)*AE277*Ramure*Pc/MaxiM</f>
        <v>2.0445519112268822E-2</v>
      </c>
      <c r="AE277" s="305">
        <f t="shared" si="113"/>
        <v>0.8</v>
      </c>
      <c r="AF277" s="177">
        <f t="shared" si="114"/>
        <v>0.19124673868079634</v>
      </c>
      <c r="AG277" s="176">
        <f t="shared" si="115"/>
        <v>1</v>
      </c>
      <c r="AH277" s="176">
        <f t="shared" si="116"/>
        <v>7</v>
      </c>
      <c r="AI277" s="225">
        <f t="shared" si="117"/>
        <v>1.1912467386807963</v>
      </c>
      <c r="AJ277" s="265" t="b">
        <f t="shared" si="118"/>
        <v>0</v>
      </c>
      <c r="AK277" s="265" t="b">
        <f t="shared" si="119"/>
        <v>1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6">
        <v>28.843</v>
      </c>
      <c r="C278" s="390"/>
      <c r="D278" s="393">
        <f t="shared" si="99"/>
        <v>29.123586239699694</v>
      </c>
      <c r="E278" s="385">
        <f t="shared" si="97"/>
        <v>31.148833908254986</v>
      </c>
      <c r="F278" s="385">
        <f t="shared" si="100"/>
        <v>31.59985736837324</v>
      </c>
      <c r="G278" s="110">
        <f t="shared" si="98"/>
        <v>0.77312080733765176</v>
      </c>
      <c r="H278" s="414" t="b">
        <f>Wh_hp&gt;='2018'!Maxi_hp</f>
        <v>1</v>
      </c>
      <c r="I278" s="390">
        <f>IF(H278,Wh_hp,'2018'!Maxi_hp)</f>
        <v>31.59985736837324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9.634329968512434E-3</v>
      </c>
      <c r="M278" s="843"/>
      <c r="N278" s="843"/>
      <c r="O278" s="48">
        <f>IF(t&lt;Tnet,'2018'!Resal+('2018'!Salim-'2018'!Resal)*(1-EXP(('2018'!Tnet-t)/('2018'!Tau_j))),Resal+(Salim-Resal)*(1-EXP((Tnet-t)/(Tau_j))))*Salcycl</f>
        <v>6.5018410465072549E-2</v>
      </c>
      <c r="P278" s="169">
        <f>(INDEX(Models!$BJ278:$BT278,,T278)*(1-R278)+INDEX(Models!$BJ278:$BT278,,T278+1)*R278-ERP_i)*Q278*Ramure*Pc/MaxiM</f>
        <v>2.0886825635003773E-2</v>
      </c>
      <c r="Q278" s="305">
        <f t="shared" si="102"/>
        <v>0.8</v>
      </c>
      <c r="R278" s="177">
        <f t="shared" si="103"/>
        <v>0.19160201256790144</v>
      </c>
      <c r="S278" s="809">
        <f t="shared" si="104"/>
        <v>1</v>
      </c>
      <c r="T278" s="176">
        <f t="shared" si="105"/>
        <v>7</v>
      </c>
      <c r="U278" s="251">
        <f t="shared" si="106"/>
        <v>1.1916020125679014</v>
      </c>
      <c r="V278" s="383">
        <f t="shared" si="107"/>
        <v>37.056917595619169</v>
      </c>
      <c r="W278" s="58"/>
      <c r="X278" s="157">
        <f t="shared" si="108"/>
        <v>43729</v>
      </c>
      <c r="Y278" s="385">
        <f t="shared" si="109"/>
        <v>28.843</v>
      </c>
      <c r="Z278" s="385">
        <f t="shared" si="110"/>
        <v>29.123586239699694</v>
      </c>
      <c r="AA278" s="386">
        <f t="shared" si="111"/>
        <v>31.148833908254986</v>
      </c>
      <c r="AB278" s="197">
        <f t="shared" si="112"/>
        <v>43729</v>
      </c>
      <c r="AC278" s="425">
        <f>IF(OR(t&lt;Tnet,NoTnet),'2018'!Resal_s+('2018'!Salim-'2018'!Resal_s)*(1-EXP(('2018'!Tnet_s-t)/'2018'!Tau_j)),Resal_s+(Salim-Resal_s)*(1-EXP((Tnet_s-t)/Tau_j)))*Salcycl</f>
        <v>6.5018410465072549E-2</v>
      </c>
      <c r="AD278" s="231">
        <f>(INDEX(Models!$BJ278:$BT278,,AH278)*(1-AF278)+INDEX(Models!$BJ278:$BT278,,AH278+1)*AF278-ERP_i)*AE278*Ramure*Pc/MaxiM</f>
        <v>2.0886825635003773E-2</v>
      </c>
      <c r="AE278" s="305">
        <f t="shared" si="113"/>
        <v>0.8</v>
      </c>
      <c r="AF278" s="177">
        <f t="shared" si="114"/>
        <v>0.19160201256790144</v>
      </c>
      <c r="AG278" s="176">
        <f t="shared" si="115"/>
        <v>1</v>
      </c>
      <c r="AH278" s="176">
        <f t="shared" si="116"/>
        <v>7</v>
      </c>
      <c r="AI278" s="225">
        <f t="shared" si="117"/>
        <v>1.1916020125679014</v>
      </c>
      <c r="AJ278" s="265" t="b">
        <f t="shared" si="118"/>
        <v>0</v>
      </c>
      <c r="AK278" s="265" t="b">
        <f t="shared" si="119"/>
        <v>1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6">
        <v>8.0869999999999997</v>
      </c>
      <c r="C279" s="390"/>
      <c r="D279" s="393">
        <f t="shared" si="99"/>
        <v>8.1658607980897884</v>
      </c>
      <c r="E279" s="385">
        <f t="shared" si="97"/>
        <v>8.7347077385630882</v>
      </c>
      <c r="F279" s="385">
        <f t="shared" si="100"/>
        <v>8.7347077385630882</v>
      </c>
      <c r="G279" s="110">
        <f t="shared" si="98"/>
        <v>0.21603231719666441</v>
      </c>
      <c r="H279" s="414" t="b">
        <f>Wh_hp&gt;='2018'!Maxi_hp</f>
        <v>0</v>
      </c>
      <c r="I279" s="390">
        <f>IF(H279,Wh_hp,'2018'!Maxi_hp)</f>
        <v>37.190669523303903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9.6573772244851197E-3</v>
      </c>
      <c r="M279" s="843"/>
      <c r="N279" s="843"/>
      <c r="O279" s="48">
        <f>IF(t&lt;Tnet,'2018'!Resal+('2018'!Salim-'2018'!Resal)*(1-EXP(('2018'!Tnet-t)/('2018'!Tau_j))),Resal+(Salim-Resal)*(1-EXP((Tnet-t)/(Tau_j))))*Salcycl</f>
        <v>6.512489684822334E-2</v>
      </c>
      <c r="P279" s="169">
        <f>(INDEX(Models!$BJ279:$BT279,,T279)*(1-R279)+INDEX(Models!$BJ279:$BT279,,T279+1)*R279-ERP_i)*Q279*Ramure*Pc/MaxiM</f>
        <v>2.1292096785552241E-2</v>
      </c>
      <c r="Q279" s="305">
        <f t="shared" si="102"/>
        <v>0.8</v>
      </c>
      <c r="R279" s="177">
        <f t="shared" si="103"/>
        <v>0.19194338328167371</v>
      </c>
      <c r="S279" s="809">
        <f t="shared" si="104"/>
        <v>1</v>
      </c>
      <c r="T279" s="176">
        <f t="shared" si="105"/>
        <v>7</v>
      </c>
      <c r="U279" s="251">
        <f t="shared" si="106"/>
        <v>1.1919433832816737</v>
      </c>
      <c r="V279" s="383">
        <f t="shared" si="107"/>
        <v>36.637161124786779</v>
      </c>
      <c r="W279" s="58"/>
      <c r="X279" s="157">
        <f t="shared" si="108"/>
        <v>43730</v>
      </c>
      <c r="Y279" s="385">
        <f t="shared" si="109"/>
        <v>8.0869999999999997</v>
      </c>
      <c r="Z279" s="385">
        <f t="shared" si="110"/>
        <v>8.1658607980897884</v>
      </c>
      <c r="AA279" s="386">
        <f t="shared" si="111"/>
        <v>8.7347077385630882</v>
      </c>
      <c r="AB279" s="197">
        <f t="shared" si="112"/>
        <v>43730</v>
      </c>
      <c r="AC279" s="425">
        <f>IF(OR(t&lt;Tnet,NoTnet),'2018'!Resal_s+('2018'!Salim-'2018'!Resal_s)*(1-EXP(('2018'!Tnet_s-t)/'2018'!Tau_j)),Resal_s+(Salim-Resal_s)*(1-EXP((Tnet_s-t)/Tau_j)))*Salcycl</f>
        <v>6.512489684822334E-2</v>
      </c>
      <c r="AD279" s="231">
        <f>(INDEX(Models!$BJ279:$BT279,,AH279)*(1-AF279)+INDEX(Models!$BJ279:$BT279,,AH279+1)*AF279-ERP_i)*AE279*Ramure*Pc/MaxiM</f>
        <v>2.1292096785552241E-2</v>
      </c>
      <c r="AE279" s="305">
        <f t="shared" si="113"/>
        <v>0.8</v>
      </c>
      <c r="AF279" s="177">
        <f t="shared" si="114"/>
        <v>0.19194338328167371</v>
      </c>
      <c r="AG279" s="176">
        <f t="shared" si="115"/>
        <v>1</v>
      </c>
      <c r="AH279" s="176">
        <f t="shared" si="116"/>
        <v>7</v>
      </c>
      <c r="AI279" s="225">
        <f t="shared" si="117"/>
        <v>1.1919433832816737</v>
      </c>
      <c r="AJ279" s="265" t="b">
        <f t="shared" si="118"/>
        <v>0</v>
      </c>
      <c r="AK279" s="265" t="b">
        <f t="shared" si="119"/>
        <v>1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6">
        <v>34.137999999999998</v>
      </c>
      <c r="C280" s="390"/>
      <c r="D280" s="393">
        <f t="shared" si="99"/>
        <v>34.471700676624344</v>
      </c>
      <c r="E280" s="385">
        <f t="shared" si="97"/>
        <v>36.877219891760873</v>
      </c>
      <c r="F280" s="385">
        <f t="shared" si="100"/>
        <v>37.625376650076369</v>
      </c>
      <c r="G280" s="110">
        <f t="shared" si="98"/>
        <v>0.94091570341230291</v>
      </c>
      <c r="H280" s="414" t="b">
        <f>Wh_hp&gt;='2018'!Maxi_hp</f>
        <v>1</v>
      </c>
      <c r="I280" s="390">
        <f>IF(H280,Wh_hp,'2018'!Maxi_hp)</f>
        <v>37.625376650076369</v>
      </c>
      <c r="J280" s="85">
        <f>IF(H280,An,'2018'!An_max)</f>
        <v>2019</v>
      </c>
      <c r="K280" s="197">
        <f t="shared" si="101"/>
        <v>43731</v>
      </c>
      <c r="L280" s="147">
        <f>IF(t&lt;Tvie,1-EXP((T0-t)*PertePVj)+'2018'!Pspv,1-EXP((T0-t)*PertePVj)+Pspv)</f>
        <v>9.6804239441146134E-3</v>
      </c>
      <c r="M280" s="843"/>
      <c r="N280" s="843"/>
      <c r="O280" s="48">
        <f>IF(t&lt;Tnet,'2018'!Resal+('2018'!Salim-'2018'!Resal)*(1-EXP(('2018'!Tnet-t)/('2018'!Tau_j))),Resal+(Salim-Resal)*(1-EXP((Tnet-t)/(Tau_j))))*Salcycl</f>
        <v>6.5230492488235842E-2</v>
      </c>
      <c r="P280" s="169">
        <f>(INDEX(Models!$BJ280:$BT280,,T280)*(1-R280)+INDEX(Models!$BJ280:$BT280,,T280+1)*R280-ERP_i)*Q280*Ramure*Pc/MaxiM</f>
        <v>2.1659748315462562E-2</v>
      </c>
      <c r="Q280" s="305">
        <f t="shared" si="102"/>
        <v>0.8</v>
      </c>
      <c r="R280" s="177">
        <f t="shared" si="103"/>
        <v>0.19227137958835194</v>
      </c>
      <c r="S280" s="809">
        <f t="shared" si="104"/>
        <v>1</v>
      </c>
      <c r="T280" s="176">
        <f t="shared" si="105"/>
        <v>7</v>
      </c>
      <c r="U280" s="251">
        <f t="shared" si="106"/>
        <v>1.1922713795883519</v>
      </c>
      <c r="V280" s="383">
        <f t="shared" si="107"/>
        <v>36.215956723502956</v>
      </c>
      <c r="W280" s="58"/>
      <c r="X280" s="157">
        <f t="shared" si="108"/>
        <v>43731</v>
      </c>
      <c r="Y280" s="385">
        <f t="shared" si="109"/>
        <v>34.137999999999998</v>
      </c>
      <c r="Z280" s="385">
        <f t="shared" si="110"/>
        <v>34.471700676624344</v>
      </c>
      <c r="AA280" s="386">
        <f t="shared" si="111"/>
        <v>36.877219891760873</v>
      </c>
      <c r="AB280" s="197">
        <f t="shared" si="112"/>
        <v>43731</v>
      </c>
      <c r="AC280" s="425">
        <f>IF(OR(t&lt;Tnet,NoTnet),'2018'!Resal_s+('2018'!Salim-'2018'!Resal_s)*(1-EXP(('2018'!Tnet_s-t)/'2018'!Tau_j)),Resal_s+(Salim-Resal_s)*(1-EXP((Tnet_s-t)/Tau_j)))*Salcycl</f>
        <v>6.5230492488235842E-2</v>
      </c>
      <c r="AD280" s="231">
        <f>(INDEX(Models!$BJ280:$BT280,,AH280)*(1-AF280)+INDEX(Models!$BJ280:$BT280,,AH280+1)*AF280-ERP_i)*AE280*Ramure*Pc/MaxiM</f>
        <v>2.1659748315462562E-2</v>
      </c>
      <c r="AE280" s="305">
        <f t="shared" si="113"/>
        <v>0.8</v>
      </c>
      <c r="AF280" s="177">
        <f t="shared" si="114"/>
        <v>0.19227137958835194</v>
      </c>
      <c r="AG280" s="176">
        <f t="shared" si="115"/>
        <v>1</v>
      </c>
      <c r="AH280" s="176">
        <f t="shared" si="116"/>
        <v>7</v>
      </c>
      <c r="AI280" s="225">
        <f t="shared" si="117"/>
        <v>1.1922713795883519</v>
      </c>
      <c r="AJ280" s="265" t="b">
        <f t="shared" si="118"/>
        <v>0</v>
      </c>
      <c r="AK280" s="265" t="b">
        <f t="shared" si="119"/>
        <v>1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6">
        <v>22.684000000000001</v>
      </c>
      <c r="C281" s="390"/>
      <c r="D281" s="393">
        <f t="shared" si="99"/>
        <v>22.906270309680437</v>
      </c>
      <c r="E281" s="385">
        <f t="shared" si="97"/>
        <v>24.507470080218962</v>
      </c>
      <c r="F281" s="385">
        <f t="shared" si="100"/>
        <v>24.767099295598925</v>
      </c>
      <c r="G281" s="110">
        <f t="shared" si="98"/>
        <v>0.62635789268523012</v>
      </c>
      <c r="H281" s="414" t="b">
        <f>Wh_hp&gt;='2018'!Maxi_hp</f>
        <v>0</v>
      </c>
      <c r="I281" s="390">
        <f>IF(H281,Wh_hp,'2018'!Maxi_hp)</f>
        <v>36.227444973424483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9.7034701274132384E-3</v>
      </c>
      <c r="M281" s="843"/>
      <c r="N281" s="843"/>
      <c r="O281" s="48">
        <f>IF(t&lt;Tnet,'2018'!Resal+('2018'!Salim-'2018'!Resal)*(1-EXP(('2018'!Tnet-t)/('2018'!Tau_j))),Resal+(Salim-Resal)*(1-EXP((Tnet-t)/(Tau_j))))*Salcycl</f>
        <v>6.5335171900543207E-2</v>
      </c>
      <c r="P281" s="169">
        <f>(INDEX(Models!$BJ281:$BT281,,T281)*(1-R281)+INDEX(Models!$BJ281:$BT281,,T281+1)*R281-ERP_i)*Q281*Ramure*Pc/MaxiM</f>
        <v>2.1988016514538387E-2</v>
      </c>
      <c r="Q281" s="305">
        <f t="shared" si="102"/>
        <v>0.8</v>
      </c>
      <c r="R281" s="177">
        <f t="shared" si="103"/>
        <v>0.19258651133891513</v>
      </c>
      <c r="S281" s="809">
        <f t="shared" si="104"/>
        <v>1</v>
      </c>
      <c r="T281" s="176">
        <f t="shared" si="105"/>
        <v>7</v>
      </c>
      <c r="U281" s="251">
        <f t="shared" si="106"/>
        <v>1.1925865113389151</v>
      </c>
      <c r="V281" s="383">
        <f t="shared" si="107"/>
        <v>35.794633883910912</v>
      </c>
      <c r="W281" s="58"/>
      <c r="X281" s="157">
        <f t="shared" si="108"/>
        <v>43732</v>
      </c>
      <c r="Y281" s="385">
        <f t="shared" si="109"/>
        <v>22.684000000000001</v>
      </c>
      <c r="Z281" s="385">
        <f t="shared" si="110"/>
        <v>22.906270309680437</v>
      </c>
      <c r="AA281" s="386">
        <f t="shared" si="111"/>
        <v>24.507470080218962</v>
      </c>
      <c r="AB281" s="197">
        <f t="shared" si="112"/>
        <v>43732</v>
      </c>
      <c r="AC281" s="425">
        <f>IF(OR(t&lt;Tnet,NoTnet),'2018'!Resal_s+('2018'!Salim-'2018'!Resal_s)*(1-EXP(('2018'!Tnet_s-t)/'2018'!Tau_j)),Resal_s+(Salim-Resal_s)*(1-EXP((Tnet_s-t)/Tau_j)))*Salcycl</f>
        <v>6.5335171900543207E-2</v>
      </c>
      <c r="AD281" s="231">
        <f>(INDEX(Models!$BJ281:$BT281,,AH281)*(1-AF281)+INDEX(Models!$BJ281:$BT281,,AH281+1)*AF281-ERP_i)*AE281*Ramure*Pc/MaxiM</f>
        <v>2.1988016514538387E-2</v>
      </c>
      <c r="AE281" s="305">
        <f t="shared" si="113"/>
        <v>0.8</v>
      </c>
      <c r="AF281" s="177">
        <f t="shared" si="114"/>
        <v>0.19258651133891513</v>
      </c>
      <c r="AG281" s="176">
        <f t="shared" si="115"/>
        <v>1</v>
      </c>
      <c r="AH281" s="176">
        <f t="shared" si="116"/>
        <v>7</v>
      </c>
      <c r="AI281" s="225">
        <f t="shared" si="117"/>
        <v>1.1925865113389151</v>
      </c>
      <c r="AJ281" s="265" t="b">
        <f t="shared" si="118"/>
        <v>0</v>
      </c>
      <c r="AK281" s="265" t="b">
        <f t="shared" si="119"/>
        <v>1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6">
        <v>26.872</v>
      </c>
      <c r="C282" s="390"/>
      <c r="D282" s="393">
        <f t="shared" si="99"/>
        <v>27.135938130277104</v>
      </c>
      <c r="E282" s="385">
        <f t="shared" si="97"/>
        <v>29.036023875144426</v>
      </c>
      <c r="F282" s="385">
        <f t="shared" si="100"/>
        <v>29.466706030239276</v>
      </c>
      <c r="G282" s="110">
        <f t="shared" si="98"/>
        <v>0.75373830714861201</v>
      </c>
      <c r="H282" s="414" t="b">
        <f>Wh_hp&gt;='2018'!Maxi_hp</f>
        <v>0</v>
      </c>
      <c r="I282" s="390">
        <f>IF(H282,Wh_hp,'2018'!Maxi_hp)</f>
        <v>37.737616608562853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9.7265157743934294E-3</v>
      </c>
      <c r="M282" s="843"/>
      <c r="N282" s="843"/>
      <c r="O282" s="48">
        <f>IF(t&lt;Tnet,'2018'!Resal+('2018'!Salim-'2018'!Resal)*(1-EXP(('2018'!Tnet-t)/('2018'!Tau_j))),Resal+(Salim-Resal)*(1-EXP((Tnet-t)/(Tau_j))))*Salcycl</f>
        <v>6.5438909715659924E-2</v>
      </c>
      <c r="P282" s="169">
        <f>(INDEX(Models!$BJ282:$BT282,,T282)*(1-R282)+INDEX(Models!$BJ282:$BT282,,T282+1)*R282-ERP_i)*Q282*Ramure*Pc/MaxiM</f>
        <v>2.2259442960356195E-2</v>
      </c>
      <c r="Q282" s="305">
        <f t="shared" si="102"/>
        <v>0.8</v>
      </c>
      <c r="R282" s="177">
        <f t="shared" si="103"/>
        <v>0.19288927005157719</v>
      </c>
      <c r="S282" s="809">
        <f t="shared" si="104"/>
        <v>1</v>
      </c>
      <c r="T282" s="176">
        <f t="shared" si="105"/>
        <v>7</v>
      </c>
      <c r="U282" s="251">
        <f t="shared" si="106"/>
        <v>1.1928892700515772</v>
      </c>
      <c r="V282" s="383">
        <f t="shared" si="107"/>
        <v>35.375083917775584</v>
      </c>
      <c r="W282" s="58"/>
      <c r="X282" s="157">
        <f t="shared" si="108"/>
        <v>43733</v>
      </c>
      <c r="Y282" s="385">
        <f t="shared" si="109"/>
        <v>26.872</v>
      </c>
      <c r="Z282" s="385">
        <f t="shared" si="110"/>
        <v>27.135938130277104</v>
      </c>
      <c r="AA282" s="386">
        <f t="shared" si="111"/>
        <v>29.036023875144426</v>
      </c>
      <c r="AB282" s="197">
        <f t="shared" si="112"/>
        <v>43733</v>
      </c>
      <c r="AC282" s="425">
        <f>IF(OR(t&lt;Tnet,NoTnet),'2018'!Resal_s+('2018'!Salim-'2018'!Resal_s)*(1-EXP(('2018'!Tnet_s-t)/'2018'!Tau_j)),Resal_s+(Salim-Resal_s)*(1-EXP((Tnet_s-t)/Tau_j)))*Salcycl</f>
        <v>6.5438909715659924E-2</v>
      </c>
      <c r="AD282" s="231">
        <f>(INDEX(Models!$BJ282:$BT282,,AH282)*(1-AF282)+INDEX(Models!$BJ282:$BT282,,AH282+1)*AF282-ERP_i)*AE282*Ramure*Pc/MaxiM</f>
        <v>2.2259442960356195E-2</v>
      </c>
      <c r="AE282" s="305">
        <f t="shared" si="113"/>
        <v>0.8</v>
      </c>
      <c r="AF282" s="177">
        <f t="shared" si="114"/>
        <v>0.19288927005157719</v>
      </c>
      <c r="AG282" s="176">
        <f t="shared" si="115"/>
        <v>1</v>
      </c>
      <c r="AH282" s="176">
        <f t="shared" si="116"/>
        <v>7</v>
      </c>
      <c r="AI282" s="225">
        <f t="shared" si="117"/>
        <v>1.1928892700515772</v>
      </c>
      <c r="AJ282" s="265" t="b">
        <f t="shared" si="118"/>
        <v>0</v>
      </c>
      <c r="AK282" s="265" t="b">
        <f t="shared" si="119"/>
        <v>1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6">
        <v>28.228999999999999</v>
      </c>
      <c r="C283" s="390"/>
      <c r="D283" s="393">
        <f t="shared" si="99"/>
        <v>28.506930050170507</v>
      </c>
      <c r="E283" s="385">
        <f t="shared" si="97"/>
        <v>30.506368732850678</v>
      </c>
      <c r="F283" s="385">
        <f t="shared" si="100"/>
        <v>31.01197115722341</v>
      </c>
      <c r="G283" s="110">
        <f t="shared" si="98"/>
        <v>0.8024340392370497</v>
      </c>
      <c r="H283" s="414" t="b">
        <f>Wh_hp&gt;='2018'!Maxi_hp</f>
        <v>0</v>
      </c>
      <c r="I283" s="390">
        <f>IF(H283,Wh_hp,'2018'!Maxi_hp)</f>
        <v>38.347746104915672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9.7495608850678428E-3</v>
      </c>
      <c r="M283" s="843"/>
      <c r="N283" s="843"/>
      <c r="O283" s="48">
        <f>IF(t&lt;Tnet,'2018'!Resal+('2018'!Salim-'2018'!Resal)*(1-EXP(('2018'!Tnet-t)/('2018'!Tau_j))),Resal+(Salim-Resal)*(1-EXP((Tnet-t)/(Tau_j))))*Salcycl</f>
        <v>6.5541680827029491E-2</v>
      </c>
      <c r="P283" s="169">
        <f>(INDEX(Models!$BJ283:$BT283,,T283)*(1-R283)+INDEX(Models!$BJ283:$BT283,,T283+1)*R283-ERP_i)*Q283*Ramure*Pc/MaxiM</f>
        <v>2.2487081672293567E-2</v>
      </c>
      <c r="Q283" s="305">
        <f t="shared" si="102"/>
        <v>0.8</v>
      </c>
      <c r="R283" s="177">
        <f t="shared" si="103"/>
        <v>0.19318012948403074</v>
      </c>
      <c r="S283" s="809">
        <f t="shared" si="104"/>
        <v>1</v>
      </c>
      <c r="T283" s="176">
        <f t="shared" si="105"/>
        <v>7</v>
      </c>
      <c r="U283" s="251">
        <f t="shared" si="106"/>
        <v>1.1931801294840307</v>
      </c>
      <c r="V283" s="383">
        <f t="shared" si="107"/>
        <v>34.958075191800837</v>
      </c>
      <c r="W283" s="58"/>
      <c r="X283" s="157">
        <f t="shared" si="108"/>
        <v>43734</v>
      </c>
      <c r="Y283" s="385">
        <f t="shared" si="109"/>
        <v>28.228999999999999</v>
      </c>
      <c r="Z283" s="385">
        <f t="shared" si="110"/>
        <v>28.506930050170507</v>
      </c>
      <c r="AA283" s="386">
        <f t="shared" si="111"/>
        <v>30.506368732850678</v>
      </c>
      <c r="AB283" s="197">
        <f t="shared" si="112"/>
        <v>43734</v>
      </c>
      <c r="AC283" s="425">
        <f>IF(OR(t&lt;Tnet,NoTnet),'2018'!Resal_s+('2018'!Salim-'2018'!Resal_s)*(1-EXP(('2018'!Tnet_s-t)/'2018'!Tau_j)),Resal_s+(Salim-Resal_s)*(1-EXP((Tnet_s-t)/Tau_j)))*Salcycl</f>
        <v>6.5541680827029491E-2</v>
      </c>
      <c r="AD283" s="231">
        <f>(INDEX(Models!$BJ283:$BT283,,AH283)*(1-AF283)+INDEX(Models!$BJ283:$BT283,,AH283+1)*AF283-ERP_i)*AE283*Ramure*Pc/MaxiM</f>
        <v>2.2487081672293567E-2</v>
      </c>
      <c r="AE283" s="305">
        <f t="shared" si="113"/>
        <v>0.8</v>
      </c>
      <c r="AF283" s="177">
        <f t="shared" si="114"/>
        <v>0.19318012948403074</v>
      </c>
      <c r="AG283" s="176">
        <f t="shared" si="115"/>
        <v>1</v>
      </c>
      <c r="AH283" s="176">
        <f t="shared" si="116"/>
        <v>7</v>
      </c>
      <c r="AI283" s="225">
        <f t="shared" si="117"/>
        <v>1.1931801294840307</v>
      </c>
      <c r="AJ283" s="265" t="b">
        <f t="shared" si="118"/>
        <v>0</v>
      </c>
      <c r="AK283" s="265" t="b">
        <f t="shared" si="119"/>
        <v>1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6">
        <v>29.335000000000001</v>
      </c>
      <c r="C284" s="390"/>
      <c r="D284" s="393">
        <f t="shared" si="99"/>
        <v>29.624508634818113</v>
      </c>
      <c r="E284" s="385">
        <f t="shared" si="97"/>
        <v>31.705786157628335</v>
      </c>
      <c r="F284" s="385">
        <f t="shared" si="100"/>
        <v>32.279875414858495</v>
      </c>
      <c r="G284" s="110">
        <f t="shared" si="98"/>
        <v>0.84496131762702753</v>
      </c>
      <c r="H284" s="414" t="b">
        <f>Wh_hp&gt;='2018'!Maxi_hp</f>
        <v>0</v>
      </c>
      <c r="I284" s="390">
        <f>IF(H284,Wh_hp,'2018'!Maxi_hp)</f>
        <v>36.969576410748687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9.7726054594488021E-3</v>
      </c>
      <c r="M284" s="843"/>
      <c r="N284" s="843"/>
      <c r="O284" s="48">
        <f>IF(t&lt;Tnet,'2018'!Resal+('2018'!Salim-'2018'!Resal)*(1-EXP(('2018'!Tnet-t)/('2018'!Tau_j))),Resal+(Salim-Resal)*(1-EXP((Tnet-t)/(Tau_j))))*Salcycl</f>
        <v>6.5643460548902716E-2</v>
      </c>
      <c r="P284" s="169">
        <f>(INDEX(Models!$BJ284:$BT284,,T284)*(1-R284)+INDEX(Models!$BJ284:$BT284,,T284+1)*R284-ERP_i)*Q284*Ramure*Pc/MaxiM</f>
        <v>2.2668764721568972E-2</v>
      </c>
      <c r="Q284" s="305">
        <f t="shared" si="102"/>
        <v>0.8</v>
      </c>
      <c r="R284" s="177">
        <f t="shared" si="103"/>
        <v>0.19345954619491379</v>
      </c>
      <c r="S284" s="809">
        <f t="shared" si="104"/>
        <v>1</v>
      </c>
      <c r="T284" s="176">
        <f t="shared" si="105"/>
        <v>7</v>
      </c>
      <c r="U284" s="251">
        <f t="shared" si="106"/>
        <v>1.1934595461949138</v>
      </c>
      <c r="V284" s="383">
        <f t="shared" si="107"/>
        <v>34.544934044225762</v>
      </c>
      <c r="W284" s="58"/>
      <c r="X284" s="157">
        <f t="shared" si="108"/>
        <v>43735</v>
      </c>
      <c r="Y284" s="385">
        <f t="shared" si="109"/>
        <v>29.335000000000001</v>
      </c>
      <c r="Z284" s="385">
        <f t="shared" si="110"/>
        <v>29.624508634818113</v>
      </c>
      <c r="AA284" s="386">
        <f t="shared" si="111"/>
        <v>31.705786157628335</v>
      </c>
      <c r="AB284" s="197">
        <f t="shared" si="112"/>
        <v>43735</v>
      </c>
      <c r="AC284" s="425">
        <f>IF(OR(t&lt;Tnet,NoTnet),'2018'!Resal_s+('2018'!Salim-'2018'!Resal_s)*(1-EXP(('2018'!Tnet_s-t)/'2018'!Tau_j)),Resal_s+(Salim-Resal_s)*(1-EXP((Tnet_s-t)/Tau_j)))*Salcycl</f>
        <v>6.5643460548902716E-2</v>
      </c>
      <c r="AD284" s="231">
        <f>(INDEX(Models!$BJ284:$BT284,,AH284)*(1-AF284)+INDEX(Models!$BJ284:$BT284,,AH284+1)*AF284-ERP_i)*AE284*Ramure*Pc/MaxiM</f>
        <v>2.2668764721568972E-2</v>
      </c>
      <c r="AE284" s="305">
        <f t="shared" si="113"/>
        <v>0.8</v>
      </c>
      <c r="AF284" s="177">
        <f t="shared" si="114"/>
        <v>0.19345954619491379</v>
      </c>
      <c r="AG284" s="176">
        <f t="shared" si="115"/>
        <v>1</v>
      </c>
      <c r="AH284" s="176">
        <f t="shared" si="116"/>
        <v>7</v>
      </c>
      <c r="AI284" s="225">
        <f t="shared" si="117"/>
        <v>1.1934595461949138</v>
      </c>
      <c r="AJ284" s="265" t="b">
        <f t="shared" si="118"/>
        <v>0</v>
      </c>
      <c r="AK284" s="265" t="b">
        <f t="shared" si="119"/>
        <v>1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6">
        <v>27.445</v>
      </c>
      <c r="C285" s="390"/>
      <c r="D285" s="393">
        <f t="shared" si="99"/>
        <v>27.716501130371537</v>
      </c>
      <c r="E285" s="385">
        <f t="shared" si="97"/>
        <v>29.66693047623378</v>
      </c>
      <c r="F285" s="385">
        <f t="shared" si="100"/>
        <v>30.162087138402818</v>
      </c>
      <c r="G285" s="110">
        <f t="shared" si="98"/>
        <v>0.7987471369811836</v>
      </c>
      <c r="H285" s="414" t="b">
        <f>Wh_hp&gt;='2018'!Maxi_hp</f>
        <v>0</v>
      </c>
      <c r="I285" s="390">
        <f>IF(H285,Wh_hp,'2018'!Maxi_hp)</f>
        <v>35.211477825551697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9.7956494975488528E-3</v>
      </c>
      <c r="M285" s="843"/>
      <c r="N285" s="843"/>
      <c r="O285" s="48">
        <f>IF(t&lt;Tnet,'2018'!Resal+('2018'!Salim-'2018'!Resal)*(1-EXP(('2018'!Tnet-t)/('2018'!Tau_j))),Resal+(Salim-Resal)*(1-EXP((Tnet-t)/(Tau_j))))*Salcycl</f>
        <v>6.5744224783374008E-2</v>
      </c>
      <c r="P285" s="169">
        <f>(INDEX(Models!$BJ285:$BT285,,T285)*(1-R285)+INDEX(Models!$BJ285:$BT285,,T285+1)*R285-ERP_i)*Q285*Ramure*Pc/MaxiM</f>
        <v>2.2802234932535255E-2</v>
      </c>
      <c r="Q285" s="305">
        <f t="shared" si="102"/>
        <v>0.8</v>
      </c>
      <c r="R285" s="177">
        <f t="shared" si="103"/>
        <v>0.19372796009405779</v>
      </c>
      <c r="S285" s="809">
        <f t="shared" si="104"/>
        <v>1</v>
      </c>
      <c r="T285" s="176">
        <f t="shared" si="105"/>
        <v>7</v>
      </c>
      <c r="U285" s="251">
        <f t="shared" si="106"/>
        <v>1.1937279600940578</v>
      </c>
      <c r="V285" s="383">
        <f t="shared" si="107"/>
        <v>34.136985062197631</v>
      </c>
      <c r="W285" s="58"/>
      <c r="X285" s="157">
        <f t="shared" si="108"/>
        <v>43736</v>
      </c>
      <c r="Y285" s="385">
        <f t="shared" si="109"/>
        <v>27.445</v>
      </c>
      <c r="Z285" s="385">
        <f t="shared" si="110"/>
        <v>27.716501130371537</v>
      </c>
      <c r="AA285" s="386">
        <f t="shared" si="111"/>
        <v>29.66693047623378</v>
      </c>
      <c r="AB285" s="197">
        <f t="shared" si="112"/>
        <v>43736</v>
      </c>
      <c r="AC285" s="425">
        <f>IF(OR(t&lt;Tnet,NoTnet),'2018'!Resal_s+('2018'!Salim-'2018'!Resal_s)*(1-EXP(('2018'!Tnet_s-t)/'2018'!Tau_j)),Resal_s+(Salim-Resal_s)*(1-EXP((Tnet_s-t)/Tau_j)))*Salcycl</f>
        <v>6.5744224783374008E-2</v>
      </c>
      <c r="AD285" s="231">
        <f>(INDEX(Models!$BJ285:$BT285,,AH285)*(1-AF285)+INDEX(Models!$BJ285:$BT285,,AH285+1)*AF285-ERP_i)*AE285*Ramure*Pc/MaxiM</f>
        <v>2.2802234932535255E-2</v>
      </c>
      <c r="AE285" s="305">
        <f t="shared" si="113"/>
        <v>0.8</v>
      </c>
      <c r="AF285" s="177">
        <f t="shared" si="114"/>
        <v>0.19372796009405779</v>
      </c>
      <c r="AG285" s="176">
        <f t="shared" si="115"/>
        <v>1</v>
      </c>
      <c r="AH285" s="176">
        <f t="shared" si="116"/>
        <v>7</v>
      </c>
      <c r="AI285" s="225">
        <f t="shared" si="117"/>
        <v>1.1937279600940578</v>
      </c>
      <c r="AJ285" s="265" t="b">
        <f t="shared" si="118"/>
        <v>0</v>
      </c>
      <c r="AK285" s="265" t="b">
        <f t="shared" si="119"/>
        <v>1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6">
        <v>33.634</v>
      </c>
      <c r="C286" s="390"/>
      <c r="D286" s="393">
        <f t="shared" si="99"/>
        <v>33.967516617619765</v>
      </c>
      <c r="E286" s="385">
        <f t="shared" si="97"/>
        <v>36.361715609218699</v>
      </c>
      <c r="F286" s="385">
        <f t="shared" si="100"/>
        <v>37.209601495836544</v>
      </c>
      <c r="G286" s="110">
        <f t="shared" si="98"/>
        <v>0.99688938801153693</v>
      </c>
      <c r="H286" s="414" t="b">
        <f>Wh_hp&gt;='2018'!Maxi_hp</f>
        <v>1</v>
      </c>
      <c r="I286" s="390">
        <f>IF(H286,Wh_hp,'2018'!Maxi_hp)</f>
        <v>37.209601495836544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9.8186929993805405E-3</v>
      </c>
      <c r="M286" s="843"/>
      <c r="N286" s="843"/>
      <c r="O286" s="48">
        <f>IF(t&lt;Tnet,'2018'!Resal+('2018'!Salim-'2018'!Resal)*(1-EXP(('2018'!Tnet-t)/('2018'!Tau_j))),Resal+(Salim-Resal)*(1-EXP((Tnet-t)/(Tau_j))))*Salcycl</f>
        <v>6.5843950195571516E-2</v>
      </c>
      <c r="P286" s="169">
        <f>(INDEX(Models!$BJ286:$BT286,,T286)*(1-R286)+INDEX(Models!$BJ286:$BT286,,T286+1)*R286-ERP_i)*Q286*Ramure*Pc/MaxiM</f>
        <v>2.2885162972730154E-2</v>
      </c>
      <c r="Q286" s="305">
        <f t="shared" si="102"/>
        <v>0.8</v>
      </c>
      <c r="R286" s="177">
        <f t="shared" si="103"/>
        <v>0.19398579498115009</v>
      </c>
      <c r="S286" s="809">
        <f t="shared" si="104"/>
        <v>1</v>
      </c>
      <c r="T286" s="176">
        <f t="shared" si="105"/>
        <v>7</v>
      </c>
      <c r="U286" s="251">
        <f t="shared" si="106"/>
        <v>1.1939857949811501</v>
      </c>
      <c r="V286" s="383">
        <f t="shared" si="107"/>
        <v>33.735551003816802</v>
      </c>
      <c r="W286" s="58"/>
      <c r="X286" s="157">
        <f t="shared" si="108"/>
        <v>43737</v>
      </c>
      <c r="Y286" s="385">
        <f t="shared" si="109"/>
        <v>33.634</v>
      </c>
      <c r="Z286" s="385">
        <f t="shared" si="110"/>
        <v>33.967516617619765</v>
      </c>
      <c r="AA286" s="386">
        <f t="shared" si="111"/>
        <v>36.361715609218699</v>
      </c>
      <c r="AB286" s="197">
        <f t="shared" si="112"/>
        <v>43737</v>
      </c>
      <c r="AC286" s="425">
        <f>IF(OR(t&lt;Tnet,NoTnet),'2018'!Resal_s+('2018'!Salim-'2018'!Resal_s)*(1-EXP(('2018'!Tnet_s-t)/'2018'!Tau_j)),Resal_s+(Salim-Resal_s)*(1-EXP((Tnet_s-t)/Tau_j)))*Salcycl</f>
        <v>6.5843950195571516E-2</v>
      </c>
      <c r="AD286" s="231">
        <f>(INDEX(Models!$BJ286:$BT286,,AH286)*(1-AF286)+INDEX(Models!$BJ286:$BT286,,AH286+1)*AF286-ERP_i)*AE286*Ramure*Pc/MaxiM</f>
        <v>2.2885162972730154E-2</v>
      </c>
      <c r="AE286" s="305">
        <f t="shared" si="113"/>
        <v>0.8</v>
      </c>
      <c r="AF286" s="177">
        <f t="shared" si="114"/>
        <v>0.19398579498115009</v>
      </c>
      <c r="AG286" s="176">
        <f t="shared" si="115"/>
        <v>1</v>
      </c>
      <c r="AH286" s="176">
        <f t="shared" si="116"/>
        <v>7</v>
      </c>
      <c r="AI286" s="225">
        <f t="shared" si="117"/>
        <v>1.1939857949811501</v>
      </c>
      <c r="AJ286" s="265" t="b">
        <f t="shared" si="118"/>
        <v>0</v>
      </c>
      <c r="AK286" s="265" t="b">
        <f t="shared" si="119"/>
        <v>1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6">
        <v>26.047000000000001</v>
      </c>
      <c r="C287" s="390"/>
      <c r="D287" s="393">
        <f t="shared" si="99"/>
        <v>26.305895679600308</v>
      </c>
      <c r="E287" s="385">
        <f t="shared" si="97"/>
        <v>28.163040178292817</v>
      </c>
      <c r="F287" s="385">
        <f t="shared" si="100"/>
        <v>28.613787522832666</v>
      </c>
      <c r="G287" s="110">
        <f t="shared" si="98"/>
        <v>0.77552314462714622</v>
      </c>
      <c r="H287" s="414" t="b">
        <f>Wh_hp&gt;='2018'!Maxi_hp</f>
        <v>0</v>
      </c>
      <c r="I287" s="390">
        <f>IF(H287,Wh_hp,'2018'!Maxi_hp)</f>
        <v>35.36597547612849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9.8417359649561886E-3</v>
      </c>
      <c r="M287" s="843"/>
      <c r="N287" s="843"/>
      <c r="O287" s="48">
        <f>IF(t&lt;Tnet,'2018'!Resal+('2018'!Salim-'2018'!Resal)*(1-EXP(('2018'!Tnet-t)/('2018'!Tau_j))),Resal+(Salim-Resal)*(1-EXP((Tnet-t)/(Tau_j))))*Salcycl</f>
        <v>6.5942614395868321E-2</v>
      </c>
      <c r="P287" s="169">
        <f>(INDEX(Models!$BJ287:$BT287,,T287)*(1-R287)+INDEX(Models!$BJ287:$BT287,,T287+1)*R287-ERP_i)*Q287*Ramure*Pc/MaxiM</f>
        <v>2.2915167488899209E-2</v>
      </c>
      <c r="Q287" s="305">
        <f t="shared" si="102"/>
        <v>0.8</v>
      </c>
      <c r="R287" s="177">
        <f t="shared" si="103"/>
        <v>0.19423345907252099</v>
      </c>
      <c r="S287" s="809">
        <f t="shared" si="104"/>
        <v>1</v>
      </c>
      <c r="T287" s="176">
        <f t="shared" si="105"/>
        <v>7</v>
      </c>
      <c r="U287" s="251">
        <f t="shared" si="106"/>
        <v>1.194233459072521</v>
      </c>
      <c r="V287" s="383">
        <f t="shared" si="107"/>
        <v>33.341952732679083</v>
      </c>
      <c r="W287" s="58"/>
      <c r="X287" s="157">
        <f t="shared" si="108"/>
        <v>43738</v>
      </c>
      <c r="Y287" s="385">
        <f t="shared" si="109"/>
        <v>26.047000000000001</v>
      </c>
      <c r="Z287" s="385">
        <f t="shared" si="110"/>
        <v>26.305895679600308</v>
      </c>
      <c r="AA287" s="386">
        <f t="shared" si="111"/>
        <v>28.163040178292817</v>
      </c>
      <c r="AB287" s="197">
        <f t="shared" si="112"/>
        <v>43738</v>
      </c>
      <c r="AC287" s="425">
        <f>IF(OR(t&lt;Tnet,NoTnet),'2018'!Resal_s+('2018'!Salim-'2018'!Resal_s)*(1-EXP(('2018'!Tnet_s-t)/'2018'!Tau_j)),Resal_s+(Salim-Resal_s)*(1-EXP((Tnet_s-t)/Tau_j)))*Salcycl</f>
        <v>6.5942614395868321E-2</v>
      </c>
      <c r="AD287" s="231">
        <f>(INDEX(Models!$BJ287:$BT287,,AH287)*(1-AF287)+INDEX(Models!$BJ287:$BT287,,AH287+1)*AF287-ERP_i)*AE287*Ramure*Pc/MaxiM</f>
        <v>2.2915167488899209E-2</v>
      </c>
      <c r="AE287" s="305">
        <f t="shared" si="113"/>
        <v>0.8</v>
      </c>
      <c r="AF287" s="177">
        <f t="shared" si="114"/>
        <v>0.19423345907252099</v>
      </c>
      <c r="AG287" s="176">
        <f t="shared" si="115"/>
        <v>1</v>
      </c>
      <c r="AH287" s="176">
        <f t="shared" si="116"/>
        <v>7</v>
      </c>
      <c r="AI287" s="225">
        <f t="shared" si="117"/>
        <v>1.194233459072521</v>
      </c>
      <c r="AJ287" s="265" t="b">
        <f t="shared" si="118"/>
        <v>0</v>
      </c>
      <c r="AK287" s="265" t="b">
        <f t="shared" si="119"/>
        <v>1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6">
        <v>25.393000000000001</v>
      </c>
      <c r="C288" s="390"/>
      <c r="D288" s="393">
        <f t="shared" si="99"/>
        <v>25.645992028058487</v>
      </c>
      <c r="E288" s="385">
        <f t="shared" si="97"/>
        <v>27.459417334377662</v>
      </c>
      <c r="F288" s="385">
        <f t="shared" si="100"/>
        <v>27.888467083682411</v>
      </c>
      <c r="G288" s="110">
        <f t="shared" si="98"/>
        <v>0.76460386144138381</v>
      </c>
      <c r="H288" s="414" t="b">
        <f>Wh_hp&gt;='2018'!Maxi_hp</f>
        <v>1</v>
      </c>
      <c r="I288" s="390">
        <f>IF(H288,Wh_hp,'2018'!Maxi_hp)</f>
        <v>27.888467083682411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9.8647783942884537E-3</v>
      </c>
      <c r="M288" s="843"/>
      <c r="N288" s="843"/>
      <c r="O288" s="48">
        <f>IF(t&lt;Tnet,'2018'!Resal+('2018'!Salim-'2018'!Resal)*(1-EXP(('2018'!Tnet-t)/('2018'!Tau_j))),Resal+(Salim-Resal)*(1-EXP((Tnet-t)/(Tau_j))))*Salcycl</f>
        <v>6.6040196127864118E-2</v>
      </c>
      <c r="P288" s="169">
        <f>(INDEX(Models!$BJ288:$BT288,,T288)*(1-R288)+INDEX(Models!$BJ288:$BT288,,T288+1)*R288-ERP_i)*Q288*Ramure*Pc/MaxiM</f>
        <v>2.2889838562214652E-2</v>
      </c>
      <c r="Q288" s="305">
        <f t="shared" si="102"/>
        <v>0.8</v>
      </c>
      <c r="R288" s="177">
        <f t="shared" si="103"/>
        <v>0.19447134551581868</v>
      </c>
      <c r="S288" s="809">
        <f t="shared" si="104"/>
        <v>1</v>
      </c>
      <c r="T288" s="176">
        <f t="shared" si="105"/>
        <v>7</v>
      </c>
      <c r="U288" s="251">
        <f t="shared" si="106"/>
        <v>1.1944713455158187</v>
      </c>
      <c r="V288" s="383">
        <f t="shared" si="107"/>
        <v>32.957509148384183</v>
      </c>
      <c r="W288" s="58"/>
      <c r="X288" s="157">
        <f t="shared" si="108"/>
        <v>43739</v>
      </c>
      <c r="Y288" s="385">
        <f t="shared" si="109"/>
        <v>25.393000000000001</v>
      </c>
      <c r="Z288" s="385">
        <f t="shared" si="110"/>
        <v>25.645992028058487</v>
      </c>
      <c r="AA288" s="386">
        <f t="shared" si="111"/>
        <v>27.459417334377662</v>
      </c>
      <c r="AB288" s="197">
        <f t="shared" si="112"/>
        <v>43739</v>
      </c>
      <c r="AC288" s="425">
        <f>IF(OR(t&lt;Tnet,NoTnet),'2018'!Resal_s+('2018'!Salim-'2018'!Resal_s)*(1-EXP(('2018'!Tnet_s-t)/'2018'!Tau_j)),Resal_s+(Salim-Resal_s)*(1-EXP((Tnet_s-t)/Tau_j)))*Salcycl</f>
        <v>6.6040196127864118E-2</v>
      </c>
      <c r="AD288" s="231">
        <f>(INDEX(Models!$BJ288:$BT288,,AH288)*(1-AF288)+INDEX(Models!$BJ288:$BT288,,AH288+1)*AF288-ERP_i)*AE288*Ramure*Pc/MaxiM</f>
        <v>2.2889838562214652E-2</v>
      </c>
      <c r="AE288" s="305">
        <f t="shared" si="113"/>
        <v>0.8</v>
      </c>
      <c r="AF288" s="177">
        <f t="shared" si="114"/>
        <v>0.19447134551581868</v>
      </c>
      <c r="AG288" s="176">
        <f t="shared" si="115"/>
        <v>1</v>
      </c>
      <c r="AH288" s="176">
        <f t="shared" si="116"/>
        <v>7</v>
      </c>
      <c r="AI288" s="225">
        <f t="shared" si="117"/>
        <v>1.1944713455158187</v>
      </c>
      <c r="AJ288" s="265" t="b">
        <f t="shared" si="118"/>
        <v>0</v>
      </c>
      <c r="AK288" s="265" t="b">
        <f t="shared" si="119"/>
        <v>1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6">
        <v>20.038</v>
      </c>
      <c r="C289" s="390"/>
      <c r="D289" s="393">
        <f t="shared" si="99"/>
        <v>20.238110802572113</v>
      </c>
      <c r="E289" s="385">
        <f t="shared" si="97"/>
        <v>21.671384099549893</v>
      </c>
      <c r="F289" s="385">
        <f t="shared" si="100"/>
        <v>21.896153574398411</v>
      </c>
      <c r="G289" s="110">
        <f t="shared" si="98"/>
        <v>0.60724123582771439</v>
      </c>
      <c r="H289" s="414" t="b">
        <f>Wh_hp&gt;='2018'!Maxi_hp</f>
        <v>0</v>
      </c>
      <c r="I289" s="390">
        <f>IF(H289,Wh_hp,'2018'!Maxi_hp)</f>
        <v>36.768753531604595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9.8878202873896592E-3</v>
      </c>
      <c r="M289" s="843"/>
      <c r="N289" s="843"/>
      <c r="O289" s="48">
        <f>IF(t&lt;Tnet,'2018'!Resal+('2018'!Salim-'2018'!Resal)*(1-EXP(('2018'!Tnet-t)/('2018'!Tau_j))),Resal+(Salim-Resal)*(1-EXP((Tnet-t)/(Tau_j))))*Salcycl</f>
        <v>6.6136675460777269E-2</v>
      </c>
      <c r="P289" s="169">
        <f>(INDEX(Models!$BJ289:$BT289,,T289)*(1-R289)+INDEX(Models!$BJ289:$BT289,,T289+1)*R289-ERP_i)*Q289*Ramure*Pc/MaxiM</f>
        <v>2.2809048044066246E-2</v>
      </c>
      <c r="Q289" s="305">
        <f t="shared" si="102"/>
        <v>0.8</v>
      </c>
      <c r="R289" s="177">
        <f t="shared" si="103"/>
        <v>0.19469983289240655</v>
      </c>
      <c r="S289" s="809">
        <f t="shared" si="104"/>
        <v>1</v>
      </c>
      <c r="T289" s="176">
        <f t="shared" si="105"/>
        <v>7</v>
      </c>
      <c r="U289" s="251">
        <f t="shared" si="106"/>
        <v>1.1946998328924066</v>
      </c>
      <c r="V289" s="383">
        <f t="shared" si="107"/>
        <v>32.580199160780417</v>
      </c>
      <c r="W289" s="58"/>
      <c r="X289" s="157">
        <f t="shared" si="108"/>
        <v>43740</v>
      </c>
      <c r="Y289" s="385">
        <f t="shared" si="109"/>
        <v>20.038</v>
      </c>
      <c r="Z289" s="385">
        <f t="shared" si="110"/>
        <v>20.238110802572113</v>
      </c>
      <c r="AA289" s="386">
        <f t="shared" si="111"/>
        <v>21.671384099549893</v>
      </c>
      <c r="AB289" s="197">
        <f t="shared" si="112"/>
        <v>43740</v>
      </c>
      <c r="AC289" s="425">
        <f>IF(OR(t&lt;Tnet,NoTnet),'2018'!Resal_s+('2018'!Salim-'2018'!Resal_s)*(1-EXP(('2018'!Tnet_s-t)/'2018'!Tau_j)),Resal_s+(Salim-Resal_s)*(1-EXP((Tnet_s-t)/Tau_j)))*Salcycl</f>
        <v>6.6136675460777269E-2</v>
      </c>
      <c r="AD289" s="231">
        <f>(INDEX(Models!$BJ289:$BT289,,AH289)*(1-AF289)+INDEX(Models!$BJ289:$BT289,,AH289+1)*AF289-ERP_i)*AE289*Ramure*Pc/MaxiM</f>
        <v>2.2809048044066246E-2</v>
      </c>
      <c r="AE289" s="305">
        <f t="shared" si="113"/>
        <v>0.8</v>
      </c>
      <c r="AF289" s="177">
        <f t="shared" si="114"/>
        <v>0.19469983289240655</v>
      </c>
      <c r="AG289" s="176">
        <f t="shared" si="115"/>
        <v>1</v>
      </c>
      <c r="AH289" s="176">
        <f t="shared" si="116"/>
        <v>7</v>
      </c>
      <c r="AI289" s="225">
        <f t="shared" si="117"/>
        <v>1.1946998328924066</v>
      </c>
      <c r="AJ289" s="265" t="b">
        <f t="shared" si="118"/>
        <v>0</v>
      </c>
      <c r="AK289" s="265" t="b">
        <f t="shared" si="119"/>
        <v>1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6">
        <v>29.221</v>
      </c>
      <c r="C290" s="390"/>
      <c r="D290" s="393">
        <f t="shared" si="99"/>
        <v>29.513504257332063</v>
      </c>
      <c r="E290" s="385">
        <f t="shared" si="97"/>
        <v>31.606893073531818</v>
      </c>
      <c r="F290" s="385">
        <f t="shared" si="100"/>
        <v>32.241002083940657</v>
      </c>
      <c r="G290" s="110">
        <f t="shared" si="98"/>
        <v>0.90450248305763503</v>
      </c>
      <c r="H290" s="414" t="b">
        <f>Wh_hp&gt;='2018'!Maxi_hp</f>
        <v>0</v>
      </c>
      <c r="I290" s="390">
        <f>IF(H290,Wh_hp,'2018'!Maxi_hp)</f>
        <v>34.895336094635255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9.9108616442723507E-3</v>
      </c>
      <c r="M290" s="843"/>
      <c r="N290" s="843"/>
      <c r="O290" s="48">
        <f>IF(t&lt;Tnet,'2018'!Resal+('2018'!Salim-'2018'!Resal)*(1-EXP(('2018'!Tnet-t)/('2018'!Tau_j))),Resal+(Salim-Resal)*(1-EXP((Tnet-t)/(Tau_j))))*Salcycl</f>
        <v>6.6232033984789163E-2</v>
      </c>
      <c r="P290" s="169">
        <f>(INDEX(Models!$BJ290:$BT290,,T290)*(1-R290)+INDEX(Models!$BJ290:$BT290,,T290+1)*R290-ERP_i)*Q290*Ramure*Pc/MaxiM</f>
        <v>2.2670617011916382E-2</v>
      </c>
      <c r="Q290" s="305">
        <f t="shared" si="102"/>
        <v>0.8</v>
      </c>
      <c r="R290" s="177">
        <f t="shared" si="103"/>
        <v>0.19491928570735206</v>
      </c>
      <c r="S290" s="809">
        <f t="shared" si="104"/>
        <v>1</v>
      </c>
      <c r="T290" s="176">
        <f t="shared" si="105"/>
        <v>7</v>
      </c>
      <c r="U290" s="251">
        <f t="shared" si="106"/>
        <v>1.1949192857073521</v>
      </c>
      <c r="V290" s="383">
        <f t="shared" si="107"/>
        <v>32.207201554363685</v>
      </c>
      <c r="W290" s="58"/>
      <c r="X290" s="157">
        <f t="shared" si="108"/>
        <v>43741</v>
      </c>
      <c r="Y290" s="385">
        <f t="shared" si="109"/>
        <v>29.220999999999997</v>
      </c>
      <c r="Z290" s="385">
        <f t="shared" si="110"/>
        <v>29.513504257332059</v>
      </c>
      <c r="AA290" s="386">
        <f t="shared" si="111"/>
        <v>31.606893073531815</v>
      </c>
      <c r="AB290" s="197">
        <f t="shared" si="112"/>
        <v>43741</v>
      </c>
      <c r="AC290" s="425">
        <f>IF(OR(t&lt;Tnet,NoTnet),'2018'!Resal_s+('2018'!Salim-'2018'!Resal_s)*(1-EXP(('2018'!Tnet_s-t)/'2018'!Tau_j)),Resal_s+(Salim-Resal_s)*(1-EXP((Tnet_s-t)/Tau_j)))*Salcycl</f>
        <v>6.6232033984789163E-2</v>
      </c>
      <c r="AD290" s="231">
        <f>(INDEX(Models!$BJ290:$BT290,,AH290)*(1-AF290)+INDEX(Models!$BJ290:$BT290,,AH290+1)*AF290-ERP_i)*AE290*Ramure*Pc/MaxiM</f>
        <v>2.2670617011916382E-2</v>
      </c>
      <c r="AE290" s="305">
        <f t="shared" si="113"/>
        <v>0.8</v>
      </c>
      <c r="AF290" s="177">
        <f t="shared" si="114"/>
        <v>0.19491928570735206</v>
      </c>
      <c r="AG290" s="176">
        <f t="shared" si="115"/>
        <v>1</v>
      </c>
      <c r="AH290" s="176">
        <f t="shared" si="116"/>
        <v>7</v>
      </c>
      <c r="AI290" s="225">
        <f t="shared" si="117"/>
        <v>1.1949192857073521</v>
      </c>
      <c r="AJ290" s="265" t="b">
        <f t="shared" si="118"/>
        <v>0</v>
      </c>
      <c r="AK290" s="265" t="b">
        <f t="shared" si="119"/>
        <v>1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6">
        <v>9.66</v>
      </c>
      <c r="C291" s="390"/>
      <c r="D291" s="393">
        <f t="shared" si="99"/>
        <v>9.7569243346987857</v>
      </c>
      <c r="E291" s="385">
        <f t="shared" si="97"/>
        <v>10.45003609347531</v>
      </c>
      <c r="F291" s="385">
        <f t="shared" si="100"/>
        <v>10.451184211391467</v>
      </c>
      <c r="G291" s="110">
        <f t="shared" si="98"/>
        <v>0.29662039709675808</v>
      </c>
      <c r="H291" s="414" t="b">
        <f>Wh_hp&gt;='2018'!Maxi_hp</f>
        <v>0</v>
      </c>
      <c r="I291" s="390">
        <f>IF(H291,Wh_hp,'2018'!Maxi_hp)</f>
        <v>34.286238129352988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9.9339024649490737E-3</v>
      </c>
      <c r="M291" s="843"/>
      <c r="N291" s="843"/>
      <c r="O291" s="48">
        <f>IF(t&lt;Tnet,'2018'!Resal+('2018'!Salim-'2018'!Resal)*(1-EXP(('2018'!Tnet-t)/('2018'!Tau_j))),Resal+(Salim-Resal)*(1-EXP((Tnet-t)/(Tau_j))))*Salcycl</f>
        <v>6.6326255007796917E-2</v>
      </c>
      <c r="P291" s="169">
        <f>(INDEX(Models!$BJ291:$BT291,,T291)*(1-R291)+INDEX(Models!$BJ291:$BT291,,T291+1)*R291-ERP_i)*Q291*Ramure*Pc/MaxiM</f>
        <v>2.2506660965203613E-2</v>
      </c>
      <c r="Q291" s="305">
        <f t="shared" si="102"/>
        <v>0.8</v>
      </c>
      <c r="R291" s="177">
        <f t="shared" si="103"/>
        <v>0.19513005486694857</v>
      </c>
      <c r="S291" s="809">
        <f t="shared" si="104"/>
        <v>1</v>
      </c>
      <c r="T291" s="176">
        <f t="shared" si="105"/>
        <v>7</v>
      </c>
      <c r="U291" s="251">
        <f t="shared" si="106"/>
        <v>1.1951300548669486</v>
      </c>
      <c r="V291" s="383">
        <f t="shared" si="107"/>
        <v>31.837402887664666</v>
      </c>
      <c r="W291" s="58"/>
      <c r="X291" s="157">
        <f t="shared" si="108"/>
        <v>43742</v>
      </c>
      <c r="Y291" s="385">
        <f t="shared" si="109"/>
        <v>9.66</v>
      </c>
      <c r="Z291" s="385">
        <f t="shared" si="110"/>
        <v>9.7569243346987857</v>
      </c>
      <c r="AA291" s="386">
        <f t="shared" si="111"/>
        <v>10.45003609347531</v>
      </c>
      <c r="AB291" s="197">
        <f t="shared" si="112"/>
        <v>43742</v>
      </c>
      <c r="AC291" s="425">
        <f>IF(OR(t&lt;Tnet,NoTnet),'2018'!Resal_s+('2018'!Salim-'2018'!Resal_s)*(1-EXP(('2018'!Tnet_s-t)/'2018'!Tau_j)),Resal_s+(Salim-Resal_s)*(1-EXP((Tnet_s-t)/Tau_j)))*Salcycl</f>
        <v>6.6326255007796917E-2</v>
      </c>
      <c r="AD291" s="231">
        <f>(INDEX(Models!$BJ291:$BT291,,AH291)*(1-AF291)+INDEX(Models!$BJ291:$BT291,,AH291+1)*AF291-ERP_i)*AE291*Ramure*Pc/MaxiM</f>
        <v>2.2506660965203613E-2</v>
      </c>
      <c r="AE291" s="305">
        <f t="shared" si="113"/>
        <v>0.8</v>
      </c>
      <c r="AF291" s="177">
        <f t="shared" si="114"/>
        <v>0.19513005486694857</v>
      </c>
      <c r="AG291" s="176">
        <f t="shared" si="115"/>
        <v>1</v>
      </c>
      <c r="AH291" s="176">
        <f t="shared" si="116"/>
        <v>7</v>
      </c>
      <c r="AI291" s="225">
        <f t="shared" si="117"/>
        <v>1.1951300548669486</v>
      </c>
      <c r="AJ291" s="265" t="b">
        <f t="shared" si="118"/>
        <v>0</v>
      </c>
      <c r="AK291" s="265" t="b">
        <f t="shared" si="119"/>
        <v>1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6">
        <v>28.57</v>
      </c>
      <c r="C292" s="390"/>
      <c r="D292" s="393">
        <f t="shared" si="99"/>
        <v>28.857330790583262</v>
      </c>
      <c r="E292" s="385">
        <f t="shared" si="97"/>
        <v>30.910377136936567</v>
      </c>
      <c r="F292" s="385">
        <f t="shared" si="100"/>
        <v>31.521195188122601</v>
      </c>
      <c r="G292" s="110">
        <f t="shared" si="98"/>
        <v>0.90510545502502471</v>
      </c>
      <c r="H292" s="414" t="b">
        <f>Wh_hp&gt;='2018'!Maxi_hp</f>
        <v>0</v>
      </c>
      <c r="I292" s="390">
        <f>IF(H292,Wh_hp,'2018'!Maxi_hp)</f>
        <v>33.617234790020177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9.9569427494321516E-3</v>
      </c>
      <c r="M292" s="843"/>
      <c r="N292" s="843"/>
      <c r="O292" s="48">
        <f>IF(t&lt;Tnet,'2018'!Resal+('2018'!Salim-'2018'!Resal)*(1-EXP(('2018'!Tnet-t)/('2018'!Tau_j))),Resal+(Salim-Resal)*(1-EXP((Tnet-t)/(Tau_j))))*Salcycl</f>
        <v>6.6419323751957832E-2</v>
      </c>
      <c r="P292" s="169">
        <f>(INDEX(Models!$BJ292:$BT292,,T292)*(1-R292)+INDEX(Models!$BJ292:$BT292,,T292+1)*R292-ERP_i)*Q292*Ramure*Pc/MaxiM</f>
        <v>2.2316599806485888E-2</v>
      </c>
      <c r="Q292" s="305">
        <f t="shared" si="102"/>
        <v>0.8</v>
      </c>
      <c r="R292" s="177">
        <f t="shared" si="103"/>
        <v>0.19533247814372667</v>
      </c>
      <c r="S292" s="809">
        <f t="shared" si="104"/>
        <v>1</v>
      </c>
      <c r="T292" s="176">
        <f t="shared" si="105"/>
        <v>7</v>
      </c>
      <c r="U292" s="251">
        <f t="shared" si="106"/>
        <v>1.1953324781437267</v>
      </c>
      <c r="V292" s="383">
        <f t="shared" si="107"/>
        <v>31.470791945697055</v>
      </c>
      <c r="W292" s="58"/>
      <c r="X292" s="157">
        <f t="shared" si="108"/>
        <v>43743</v>
      </c>
      <c r="Y292" s="385">
        <f t="shared" si="109"/>
        <v>28.57</v>
      </c>
      <c r="Z292" s="385">
        <f t="shared" si="110"/>
        <v>28.857330790583262</v>
      </c>
      <c r="AA292" s="386">
        <f t="shared" si="111"/>
        <v>30.910377136936567</v>
      </c>
      <c r="AB292" s="197">
        <f t="shared" si="112"/>
        <v>43743</v>
      </c>
      <c r="AC292" s="425">
        <f>IF(OR(t&lt;Tnet,NoTnet),'2018'!Resal_s+('2018'!Salim-'2018'!Resal_s)*(1-EXP(('2018'!Tnet_s-t)/'2018'!Tau_j)),Resal_s+(Salim-Resal_s)*(1-EXP((Tnet_s-t)/Tau_j)))*Salcycl</f>
        <v>6.6419323751957832E-2</v>
      </c>
      <c r="AD292" s="231">
        <f>(INDEX(Models!$BJ292:$BT292,,AH292)*(1-AF292)+INDEX(Models!$BJ292:$BT292,,AH292+1)*AF292-ERP_i)*AE292*Ramure*Pc/MaxiM</f>
        <v>2.2316599806485888E-2</v>
      </c>
      <c r="AE292" s="305">
        <f t="shared" si="113"/>
        <v>0.8</v>
      </c>
      <c r="AF292" s="177">
        <f t="shared" si="114"/>
        <v>0.19533247814372667</v>
      </c>
      <c r="AG292" s="176">
        <f t="shared" si="115"/>
        <v>1</v>
      </c>
      <c r="AH292" s="176">
        <f t="shared" si="116"/>
        <v>7</v>
      </c>
      <c r="AI292" s="225">
        <f t="shared" si="117"/>
        <v>1.1953324781437267</v>
      </c>
      <c r="AJ292" s="265" t="b">
        <f t="shared" si="118"/>
        <v>0</v>
      </c>
      <c r="AK292" s="265" t="b">
        <f t="shared" si="119"/>
        <v>1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6">
        <v>16.873000000000001</v>
      </c>
      <c r="C293" s="390"/>
      <c r="D293" s="393">
        <f t="shared" si="99"/>
        <v>17.043089737285424</v>
      </c>
      <c r="E293" s="385">
        <f t="shared" si="97"/>
        <v>18.257412665526381</v>
      </c>
      <c r="F293" s="385">
        <f t="shared" si="100"/>
        <v>18.398218678067206</v>
      </c>
      <c r="G293" s="110">
        <f t="shared" si="98"/>
        <v>0.53451543389244149</v>
      </c>
      <c r="H293" s="414" t="b">
        <f>Wh_hp&gt;='2018'!Maxi_hp</f>
        <v>0</v>
      </c>
      <c r="I293" s="390">
        <f>IF(H293,Wh_hp,'2018'!Maxi_hp)</f>
        <v>31.212763298231373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9.9799824977342411E-3</v>
      </c>
      <c r="M293" s="843"/>
      <c r="N293" s="843"/>
      <c r="O293" s="48">
        <f>IF(t&lt;Tnet,'2018'!Resal+('2018'!Salim-'2018'!Resal)*(1-EXP(('2018'!Tnet-t)/('2018'!Tau_j))),Resal+(Salim-Resal)*(1-EXP((Tnet-t)/(Tau_j))))*Salcycl</f>
        <v>6.6511227548350274E-2</v>
      </c>
      <c r="P293" s="169">
        <f>(INDEX(Models!$BJ293:$BT293,,T293)*(1-R293)+INDEX(Models!$BJ293:$BT293,,T293+1)*R293-ERP_i)*Q293*Ramure*Pc/MaxiM</f>
        <v>2.2099861578077598E-2</v>
      </c>
      <c r="Q293" s="305">
        <f t="shared" si="102"/>
        <v>0.8</v>
      </c>
      <c r="R293" s="177">
        <f t="shared" si="103"/>
        <v>0.19552688062897361</v>
      </c>
      <c r="S293" s="809">
        <f t="shared" si="104"/>
        <v>1</v>
      </c>
      <c r="T293" s="176">
        <f t="shared" si="105"/>
        <v>7</v>
      </c>
      <c r="U293" s="251">
        <f t="shared" si="106"/>
        <v>1.1955268806289736</v>
      </c>
      <c r="V293" s="383">
        <f t="shared" si="107"/>
        <v>31.107356685690586</v>
      </c>
      <c r="W293" s="58"/>
      <c r="X293" s="157">
        <f t="shared" si="108"/>
        <v>43744</v>
      </c>
      <c r="Y293" s="385">
        <f t="shared" si="109"/>
        <v>16.873000000000001</v>
      </c>
      <c r="Z293" s="385">
        <f t="shared" si="110"/>
        <v>17.043089737285424</v>
      </c>
      <c r="AA293" s="386">
        <f t="shared" si="111"/>
        <v>18.257412665526381</v>
      </c>
      <c r="AB293" s="197">
        <f t="shared" si="112"/>
        <v>43744</v>
      </c>
      <c r="AC293" s="425">
        <f>IF(OR(t&lt;Tnet,NoTnet),'2018'!Resal_s+('2018'!Salim-'2018'!Resal_s)*(1-EXP(('2018'!Tnet_s-t)/'2018'!Tau_j)),Resal_s+(Salim-Resal_s)*(1-EXP((Tnet_s-t)/Tau_j)))*Salcycl</f>
        <v>6.6511227548350274E-2</v>
      </c>
      <c r="AD293" s="231">
        <f>(INDEX(Models!$BJ293:$BT293,,AH293)*(1-AF293)+INDEX(Models!$BJ293:$BT293,,AH293+1)*AF293-ERP_i)*AE293*Ramure*Pc/MaxiM</f>
        <v>2.2099861578077598E-2</v>
      </c>
      <c r="AE293" s="305">
        <f t="shared" si="113"/>
        <v>0.8</v>
      </c>
      <c r="AF293" s="177">
        <f t="shared" si="114"/>
        <v>0.19552688062897361</v>
      </c>
      <c r="AG293" s="176">
        <f t="shared" si="115"/>
        <v>1</v>
      </c>
      <c r="AH293" s="176">
        <f t="shared" si="116"/>
        <v>7</v>
      </c>
      <c r="AI293" s="225">
        <f t="shared" si="117"/>
        <v>1.1955268806289736</v>
      </c>
      <c r="AJ293" s="265" t="b">
        <f t="shared" si="118"/>
        <v>0</v>
      </c>
      <c r="AK293" s="265" t="b">
        <f t="shared" si="119"/>
        <v>1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6">
        <v>25.184999999999999</v>
      </c>
      <c r="C294" s="390"/>
      <c r="D294" s="393">
        <f t="shared" si="99"/>
        <v>25.439471586568001</v>
      </c>
      <c r="E294" s="385">
        <f t="shared" si="97"/>
        <v>27.254687055388818</v>
      </c>
      <c r="F294" s="385">
        <f t="shared" si="100"/>
        <v>27.703702103134923</v>
      </c>
      <c r="G294" s="110">
        <f t="shared" si="98"/>
        <v>0.81439945335038344</v>
      </c>
      <c r="H294" s="414" t="b">
        <f>Wh_hp&gt;='2018'!Maxi_hp</f>
        <v>1</v>
      </c>
      <c r="I294" s="390">
        <f>IF(H294,Wh_hp,'2018'!Maxi_hp)</f>
        <v>27.703702103134923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1.0003021709867665E-2</v>
      </c>
      <c r="M294" s="843"/>
      <c r="N294" s="843"/>
      <c r="O294" s="48">
        <f>IF(t&lt;Tnet,'2018'!Resal+('2018'!Salim-'2018'!Resal)*(1-EXP(('2018'!Tnet-t)/('2018'!Tau_j))),Resal+(Salim-Resal)*(1-EXP((Tnet-t)/(Tau_j))))*Salcycl</f>
        <v>6.6601956028033454E-2</v>
      </c>
      <c r="P294" s="169">
        <f>(INDEX(Models!$BJ294:$BT294,,T294)*(1-R294)+INDEX(Models!$BJ294:$BT294,,T294+1)*R294-ERP_i)*Q294*Ramure*Pc/MaxiM</f>
        <v>2.1855883917602591E-2</v>
      </c>
      <c r="Q294" s="305">
        <f t="shared" si="102"/>
        <v>0.8</v>
      </c>
      <c r="R294" s="177">
        <f t="shared" si="103"/>
        <v>0.19571357517280097</v>
      </c>
      <c r="S294" s="809">
        <f t="shared" si="104"/>
        <v>1</v>
      </c>
      <c r="T294" s="176">
        <f t="shared" si="105"/>
        <v>7</v>
      </c>
      <c r="U294" s="251">
        <f t="shared" si="106"/>
        <v>1.195713575172801</v>
      </c>
      <c r="V294" s="383">
        <f t="shared" si="107"/>
        <v>30.747084219053253</v>
      </c>
      <c r="W294" s="58"/>
      <c r="X294" s="157">
        <f t="shared" si="108"/>
        <v>43745</v>
      </c>
      <c r="Y294" s="385">
        <f t="shared" si="109"/>
        <v>25.184999999999999</v>
      </c>
      <c r="Z294" s="385">
        <f t="shared" si="110"/>
        <v>25.439471586568001</v>
      </c>
      <c r="AA294" s="386">
        <f t="shared" si="111"/>
        <v>27.254687055388818</v>
      </c>
      <c r="AB294" s="197">
        <f t="shared" si="112"/>
        <v>43745</v>
      </c>
      <c r="AC294" s="425">
        <f>IF(OR(t&lt;Tnet,NoTnet),'2018'!Resal_s+('2018'!Salim-'2018'!Resal_s)*(1-EXP(('2018'!Tnet_s-t)/'2018'!Tau_j)),Resal_s+(Salim-Resal_s)*(1-EXP((Tnet_s-t)/Tau_j)))*Salcycl</f>
        <v>6.6601956028033454E-2</v>
      </c>
      <c r="AD294" s="231">
        <f>(INDEX(Models!$BJ294:$BT294,,AH294)*(1-AF294)+INDEX(Models!$BJ294:$BT294,,AH294+1)*AF294-ERP_i)*AE294*Ramure*Pc/MaxiM</f>
        <v>2.1855883917602591E-2</v>
      </c>
      <c r="AE294" s="305">
        <f t="shared" si="113"/>
        <v>0.8</v>
      </c>
      <c r="AF294" s="177">
        <f t="shared" si="114"/>
        <v>0.19571357517280097</v>
      </c>
      <c r="AG294" s="176">
        <f t="shared" si="115"/>
        <v>1</v>
      </c>
      <c r="AH294" s="176">
        <f t="shared" si="116"/>
        <v>7</v>
      </c>
      <c r="AI294" s="225">
        <f t="shared" si="117"/>
        <v>1.195713575172801</v>
      </c>
      <c r="AJ294" s="265" t="b">
        <f t="shared" si="118"/>
        <v>0</v>
      </c>
      <c r="AK294" s="265" t="b">
        <f t="shared" si="119"/>
        <v>1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6">
        <v>29.823</v>
      </c>
      <c r="C295" s="390"/>
      <c r="D295" s="393">
        <f t="shared" si="99"/>
        <v>30.125035424289646</v>
      </c>
      <c r="E295" s="385">
        <f t="shared" si="97"/>
        <v>32.277682531018534</v>
      </c>
      <c r="F295" s="385">
        <f t="shared" si="100"/>
        <v>32.97035211319082</v>
      </c>
      <c r="G295" s="110">
        <f t="shared" si="98"/>
        <v>0.98076717701063576</v>
      </c>
      <c r="H295" s="414" t="b">
        <f>Wh_hp&gt;='2018'!Maxi_hp</f>
        <v>1</v>
      </c>
      <c r="I295" s="390">
        <f>IF(H295,Wh_hp,'2018'!Maxi_hp)</f>
        <v>32.97035211319082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1.002606038584497E-2</v>
      </c>
      <c r="M295" s="843"/>
      <c r="N295" s="843"/>
      <c r="O295" s="48">
        <f>IF(t&lt;Tnet,'2018'!Resal+('2018'!Salim-'2018'!Resal)*(1-EXP(('2018'!Tnet-t)/('2018'!Tau_j))),Resal+(Salim-Resal)*(1-EXP((Tnet-t)/(Tau_j))))*Salcycl</f>
        <v>6.6691501307760026E-2</v>
      </c>
      <c r="P295" s="169">
        <f>(INDEX(Models!$BJ295:$BT295,,T295)*(1-R295)+INDEX(Models!$BJ295:$BT295,,T295+1)*R295-ERP_i)*Q295*Ramure*Pc/MaxiM</f>
        <v>2.1584115422594082E-2</v>
      </c>
      <c r="Q295" s="305">
        <f t="shared" si="102"/>
        <v>0.8</v>
      </c>
      <c r="R295" s="177">
        <f t="shared" si="103"/>
        <v>0.1958928628118346</v>
      </c>
      <c r="S295" s="809">
        <f t="shared" si="104"/>
        <v>1</v>
      </c>
      <c r="T295" s="176">
        <f t="shared" si="105"/>
        <v>7</v>
      </c>
      <c r="U295" s="251">
        <f t="shared" si="106"/>
        <v>1.1958928628118346</v>
      </c>
      <c r="V295" s="383">
        <f t="shared" si="107"/>
        <v>30.389960800030607</v>
      </c>
      <c r="W295" s="58"/>
      <c r="X295" s="157">
        <f t="shared" si="108"/>
        <v>43746</v>
      </c>
      <c r="Y295" s="385">
        <f t="shared" si="109"/>
        <v>29.823000000000004</v>
      </c>
      <c r="Z295" s="385">
        <f t="shared" si="110"/>
        <v>30.125035424289649</v>
      </c>
      <c r="AA295" s="386">
        <f t="shared" si="111"/>
        <v>32.277682531018534</v>
      </c>
      <c r="AB295" s="197">
        <f t="shared" si="112"/>
        <v>43746</v>
      </c>
      <c r="AC295" s="425">
        <f>IF(OR(t&lt;Tnet,NoTnet),'2018'!Resal_s+('2018'!Salim-'2018'!Resal_s)*(1-EXP(('2018'!Tnet_s-t)/'2018'!Tau_j)),Resal_s+(Salim-Resal_s)*(1-EXP((Tnet_s-t)/Tau_j)))*Salcycl</f>
        <v>6.6691501307760026E-2</v>
      </c>
      <c r="AD295" s="231">
        <f>(INDEX(Models!$BJ295:$BT295,,AH295)*(1-AF295)+INDEX(Models!$BJ295:$BT295,,AH295+1)*AF295-ERP_i)*AE295*Ramure*Pc/MaxiM</f>
        <v>2.1584115422594082E-2</v>
      </c>
      <c r="AE295" s="305">
        <f t="shared" si="113"/>
        <v>0.8</v>
      </c>
      <c r="AF295" s="177">
        <f t="shared" si="114"/>
        <v>0.1958928628118346</v>
      </c>
      <c r="AG295" s="176">
        <f t="shared" si="115"/>
        <v>1</v>
      </c>
      <c r="AH295" s="176">
        <f t="shared" si="116"/>
        <v>7</v>
      </c>
      <c r="AI295" s="225">
        <f t="shared" si="117"/>
        <v>1.1958928628118346</v>
      </c>
      <c r="AJ295" s="265" t="b">
        <f t="shared" si="118"/>
        <v>0</v>
      </c>
      <c r="AK295" s="265" t="b">
        <f t="shared" si="119"/>
        <v>1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6">
        <v>9.3829999999999991</v>
      </c>
      <c r="C296" s="390"/>
      <c r="D296" s="393">
        <f t="shared" si="99"/>
        <v>9.4782478464598761</v>
      </c>
      <c r="E296" s="385">
        <f t="shared" si="97"/>
        <v>10.156497295331757</v>
      </c>
      <c r="F296" s="385">
        <f t="shared" si="100"/>
        <v>10.160326597477443</v>
      </c>
      <c r="G296" s="110">
        <f t="shared" si="98"/>
        <v>0.30585840537639014</v>
      </c>
      <c r="H296" s="414" t="b">
        <f>Wh_hp&gt;='2018'!Maxi_hp</f>
        <v>0</v>
      </c>
      <c r="I296" s="390">
        <f>IF(H296,Wh_hp,'2018'!Maxi_hp)</f>
        <v>31.01236389198138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1.0049098525678701E-2</v>
      </c>
      <c r="M296" s="843"/>
      <c r="N296" s="843"/>
      <c r="O296" s="48">
        <f>IF(t&lt;Tnet,'2018'!Resal+('2018'!Salim-'2018'!Resal)*(1-EXP(('2018'!Tnet-t)/('2018'!Tau_j))),Resal+(Salim-Resal)*(1-EXP((Tnet-t)/(Tau_j))))*Salcycl</f>
        <v>6.6779858168585865E-2</v>
      </c>
      <c r="P296" s="169">
        <f>(INDEX(Models!$BJ296:$BT296,,T296)*(1-R296)+INDEX(Models!$BJ296:$BT296,,T296+1)*R296-ERP_i)*Q296*Ramure*Pc/MaxiM</f>
        <v>2.1287558225880431E-2</v>
      </c>
      <c r="Q296" s="305">
        <f t="shared" si="102"/>
        <v>0.8</v>
      </c>
      <c r="R296" s="177">
        <f t="shared" si="103"/>
        <v>0.19606503318462964</v>
      </c>
      <c r="S296" s="809">
        <f t="shared" si="104"/>
        <v>1</v>
      </c>
      <c r="T296" s="176">
        <f t="shared" si="105"/>
        <v>7</v>
      </c>
      <c r="U296" s="251">
        <f t="shared" si="106"/>
        <v>1.1960650331846296</v>
      </c>
      <c r="V296" s="383">
        <f t="shared" si="107"/>
        <v>30.035863137739028</v>
      </c>
      <c r="W296" s="58"/>
      <c r="X296" s="157">
        <f t="shared" si="108"/>
        <v>43747</v>
      </c>
      <c r="Y296" s="385">
        <f t="shared" si="109"/>
        <v>9.3829999999999991</v>
      </c>
      <c r="Z296" s="385">
        <f t="shared" si="110"/>
        <v>9.4782478464598761</v>
      </c>
      <c r="AA296" s="386">
        <f t="shared" si="111"/>
        <v>10.156497295331757</v>
      </c>
      <c r="AB296" s="197">
        <f t="shared" si="112"/>
        <v>43747</v>
      </c>
      <c r="AC296" s="425">
        <f>IF(OR(t&lt;Tnet,NoTnet),'2018'!Resal_s+('2018'!Salim-'2018'!Resal_s)*(1-EXP(('2018'!Tnet_s-t)/'2018'!Tau_j)),Resal_s+(Salim-Resal_s)*(1-EXP((Tnet_s-t)/Tau_j)))*Salcycl</f>
        <v>6.6779858168585865E-2</v>
      </c>
      <c r="AD296" s="231">
        <f>(INDEX(Models!$BJ296:$BT296,,AH296)*(1-AF296)+INDEX(Models!$BJ296:$BT296,,AH296+1)*AF296-ERP_i)*AE296*Ramure*Pc/MaxiM</f>
        <v>2.1287558225880431E-2</v>
      </c>
      <c r="AE296" s="305">
        <f t="shared" si="113"/>
        <v>0.8</v>
      </c>
      <c r="AF296" s="177">
        <f t="shared" si="114"/>
        <v>0.19606503318462964</v>
      </c>
      <c r="AG296" s="176">
        <f t="shared" si="115"/>
        <v>1</v>
      </c>
      <c r="AH296" s="176">
        <f t="shared" si="116"/>
        <v>7</v>
      </c>
      <c r="AI296" s="225">
        <f t="shared" si="117"/>
        <v>1.1960650331846296</v>
      </c>
      <c r="AJ296" s="265" t="b">
        <f t="shared" si="118"/>
        <v>0</v>
      </c>
      <c r="AK296" s="265" t="b">
        <f t="shared" si="119"/>
        <v>1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6">
        <v>21.609000000000002</v>
      </c>
      <c r="C297" s="390"/>
      <c r="D297" s="393">
        <f t="shared" si="99"/>
        <v>21.828863282531309</v>
      </c>
      <c r="E297" s="385">
        <f t="shared" ref="E297:E360" si="121">Wh_pvt/(1-Psa)</f>
        <v>23.393089569486396</v>
      </c>
      <c r="F297" s="385">
        <f t="shared" si="100"/>
        <v>23.697092446987973</v>
      </c>
      <c r="G297" s="110">
        <f t="shared" ref="G297:G360" si="122">+Wh_hp/MaxiM</f>
        <v>0.7219485227182052</v>
      </c>
      <c r="H297" s="414" t="b">
        <f>Wh_hp&gt;='2018'!Maxi_hp</f>
        <v>1</v>
      </c>
      <c r="I297" s="390">
        <f>IF(H297,Wh_hp,'2018'!Maxi_hp)</f>
        <v>23.697092446987973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1.0072136129381182E-2</v>
      </c>
      <c r="M297" s="843"/>
      <c r="N297" s="843"/>
      <c r="O297" s="48">
        <f>IF(t&lt;Tnet,'2018'!Resal+('2018'!Salim-'2018'!Resal)*(1-EXP(('2018'!Tnet-t)/('2018'!Tau_j))),Resal+(Salim-Resal)*(1-EXP((Tnet-t)/(Tau_j))))*Salcycl</f>
        <v>6.6867024225626112E-2</v>
      </c>
      <c r="P297" s="169">
        <f>(INDEX(Models!$BJ297:$BT297,,T297)*(1-R297)+INDEX(Models!$BJ297:$BT297,,T297+1)*R297-ERP_i)*Q297*Ramure*Pc/MaxiM</f>
        <v>2.0983382492380458E-2</v>
      </c>
      <c r="Q297" s="305">
        <f t="shared" si="102"/>
        <v>0.8</v>
      </c>
      <c r="R297" s="177">
        <f t="shared" si="103"/>
        <v>0.19623036493493884</v>
      </c>
      <c r="S297" s="809">
        <f t="shared" si="104"/>
        <v>1</v>
      </c>
      <c r="T297" s="176">
        <f t="shared" si="105"/>
        <v>7</v>
      </c>
      <c r="U297" s="251">
        <f t="shared" si="106"/>
        <v>1.1962303649349388</v>
      </c>
      <c r="V297" s="383">
        <f t="shared" si="107"/>
        <v>29.684243127376487</v>
      </c>
      <c r="W297" s="58"/>
      <c r="X297" s="157">
        <f t="shared" si="108"/>
        <v>43748</v>
      </c>
      <c r="Y297" s="385">
        <f t="shared" si="109"/>
        <v>21.609000000000002</v>
      </c>
      <c r="Z297" s="385">
        <f t="shared" si="110"/>
        <v>21.828863282531309</v>
      </c>
      <c r="AA297" s="386">
        <f t="shared" si="111"/>
        <v>23.393089569486396</v>
      </c>
      <c r="AB297" s="197">
        <f t="shared" si="112"/>
        <v>43748</v>
      </c>
      <c r="AC297" s="425">
        <f>IF(OR(t&lt;Tnet,NoTnet),'2018'!Resal_s+('2018'!Salim-'2018'!Resal_s)*(1-EXP(('2018'!Tnet_s-t)/'2018'!Tau_j)),Resal_s+(Salim-Resal_s)*(1-EXP((Tnet_s-t)/Tau_j)))*Salcycl</f>
        <v>6.6867024225626112E-2</v>
      </c>
      <c r="AD297" s="231">
        <f>(INDEX(Models!$BJ297:$BT297,,AH297)*(1-AF297)+INDEX(Models!$BJ297:$BT297,,AH297+1)*AF297-ERP_i)*AE297*Ramure*Pc/MaxiM</f>
        <v>2.0983382492380458E-2</v>
      </c>
      <c r="AE297" s="305">
        <f t="shared" si="113"/>
        <v>0.8</v>
      </c>
      <c r="AF297" s="177">
        <f t="shared" si="114"/>
        <v>0.19623036493493884</v>
      </c>
      <c r="AG297" s="176">
        <f t="shared" si="115"/>
        <v>1</v>
      </c>
      <c r="AH297" s="176">
        <f t="shared" si="116"/>
        <v>7</v>
      </c>
      <c r="AI297" s="225">
        <f t="shared" si="117"/>
        <v>1.1962303649349388</v>
      </c>
      <c r="AJ297" s="265" t="b">
        <f t="shared" si="118"/>
        <v>0</v>
      </c>
      <c r="AK297" s="265" t="b">
        <f t="shared" si="119"/>
        <v>1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6">
        <v>30.163</v>
      </c>
      <c r="C298" s="390"/>
      <c r="D298" s="393">
        <f t="shared" si="99"/>
        <v>30.470606045445258</v>
      </c>
      <c r="E298" s="385">
        <f t="shared" si="121"/>
        <v>32.657096639605477</v>
      </c>
      <c r="F298" s="385">
        <f t="shared" si="100"/>
        <v>33.346419914552634</v>
      </c>
      <c r="G298" s="110">
        <f t="shared" si="122"/>
        <v>1.0282224235739188</v>
      </c>
      <c r="H298" s="414" t="b">
        <f>Wh_hp&gt;='2018'!Maxi_hp</f>
        <v>1</v>
      </c>
      <c r="I298" s="390">
        <f>IF(H298,Wh_hp,'2018'!Maxi_hp)</f>
        <v>33.346419914552634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1.0095173196964957E-2</v>
      </c>
      <c r="M298" s="843"/>
      <c r="N298" s="843"/>
      <c r="O298" s="48">
        <f>IF(t&lt;Tnet,'2018'!Resal+('2018'!Salim-'2018'!Resal)*(1-EXP(('2018'!Tnet-t)/('2018'!Tau_j))),Resal+(Salim-Resal)*(1-EXP((Tnet-t)/(Tau_j))))*Salcycl</f>
        <v>6.6953000087231082E-2</v>
      </c>
      <c r="P298" s="169">
        <f>(INDEX(Models!$BJ298:$BT298,,T298)*(1-R298)+INDEX(Models!$BJ298:$BT298,,T298+1)*R298-ERP_i)*Q298*Ramure*Pc/MaxiM</f>
        <v>2.0671582638060959E-2</v>
      </c>
      <c r="Q298" s="305">
        <f t="shared" si="102"/>
        <v>0.8</v>
      </c>
      <c r="R298" s="177">
        <f t="shared" si="103"/>
        <v>0.19638912610297843</v>
      </c>
      <c r="S298" s="809">
        <f t="shared" si="104"/>
        <v>1</v>
      </c>
      <c r="T298" s="176">
        <f t="shared" si="105"/>
        <v>7</v>
      </c>
      <c r="U298" s="251">
        <f t="shared" si="106"/>
        <v>1.1963891261029784</v>
      </c>
      <c r="V298" s="383">
        <f t="shared" si="107"/>
        <v>29.335092591307973</v>
      </c>
      <c r="W298" s="58"/>
      <c r="X298" s="157">
        <f t="shared" si="108"/>
        <v>43749</v>
      </c>
      <c r="Y298" s="385">
        <f t="shared" si="109"/>
        <v>30.163</v>
      </c>
      <c r="Z298" s="385">
        <f t="shared" si="110"/>
        <v>30.470606045445258</v>
      </c>
      <c r="AA298" s="386">
        <f t="shared" si="111"/>
        <v>32.657096639605477</v>
      </c>
      <c r="AB298" s="197">
        <f t="shared" si="112"/>
        <v>43749</v>
      </c>
      <c r="AC298" s="425">
        <f>IF(OR(t&lt;Tnet,NoTnet),'2018'!Resal_s+('2018'!Salim-'2018'!Resal_s)*(1-EXP(('2018'!Tnet_s-t)/'2018'!Tau_j)),Resal_s+(Salim-Resal_s)*(1-EXP((Tnet_s-t)/Tau_j)))*Salcycl</f>
        <v>6.6953000087231082E-2</v>
      </c>
      <c r="AD298" s="231">
        <f>(INDEX(Models!$BJ298:$BT298,,AH298)*(1-AF298)+INDEX(Models!$BJ298:$BT298,,AH298+1)*AF298-ERP_i)*AE298*Ramure*Pc/MaxiM</f>
        <v>2.0671582638060959E-2</v>
      </c>
      <c r="AE298" s="305">
        <f t="shared" si="113"/>
        <v>0.8</v>
      </c>
      <c r="AF298" s="177">
        <f t="shared" si="114"/>
        <v>0.19638912610297843</v>
      </c>
      <c r="AG298" s="176">
        <f t="shared" si="115"/>
        <v>1</v>
      </c>
      <c r="AH298" s="176">
        <f t="shared" si="116"/>
        <v>7</v>
      </c>
      <c r="AI298" s="225">
        <f t="shared" si="117"/>
        <v>1.1963891261029784</v>
      </c>
      <c r="AJ298" s="265" t="b">
        <f t="shared" si="118"/>
        <v>0</v>
      </c>
      <c r="AK298" s="265" t="b">
        <f t="shared" si="119"/>
        <v>1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6">
        <v>18.28</v>
      </c>
      <c r="C299" s="390"/>
      <c r="D299" s="393">
        <f t="shared" si="99"/>
        <v>18.466851476260807</v>
      </c>
      <c r="E299" s="385">
        <f t="shared" si="121"/>
        <v>19.793782929751689</v>
      </c>
      <c r="F299" s="385">
        <f t="shared" si="100"/>
        <v>19.98588625755432</v>
      </c>
      <c r="G299" s="110">
        <f t="shared" si="122"/>
        <v>0.62375852174011559</v>
      </c>
      <c r="H299" s="414" t="b">
        <f>Wh_hp&gt;='2018'!Maxi_hp</f>
        <v>0</v>
      </c>
      <c r="I299" s="390">
        <f>IF(H299,Wh_hp,'2018'!Maxi_hp)</f>
        <v>28.124270401966623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1.0118209728442573E-2</v>
      </c>
      <c r="M299" s="843"/>
      <c r="N299" s="843"/>
      <c r="O299" s="48">
        <f>IF(t&lt;Tnet,'2018'!Resal+('2018'!Salim-'2018'!Resal)*(1-EXP(('2018'!Tnet-t)/('2018'!Tau_j))),Resal+(Salim-Resal)*(1-EXP((Tnet-t)/(Tau_j))))*Salcycl</f>
        <v>6.7037789501894346E-2</v>
      </c>
      <c r="P299" s="169">
        <f>(INDEX(Models!$BJ299:$BT299,,T299)*(1-R299)+INDEX(Models!$BJ299:$BT299,,T299+1)*R299-ERP_i)*Q299*Ramure*Pc/MaxiM</f>
        <v>2.0352164676903196E-2</v>
      </c>
      <c r="Q299" s="305">
        <f t="shared" si="102"/>
        <v>0.8</v>
      </c>
      <c r="R299" s="177">
        <f t="shared" si="103"/>
        <v>0.19654157450486021</v>
      </c>
      <c r="S299" s="809">
        <f t="shared" si="104"/>
        <v>1</v>
      </c>
      <c r="T299" s="176">
        <f t="shared" si="105"/>
        <v>7</v>
      </c>
      <c r="U299" s="251">
        <f t="shared" si="106"/>
        <v>1.1965415745048602</v>
      </c>
      <c r="V299" s="383">
        <f t="shared" si="107"/>
        <v>28.988403035702003</v>
      </c>
      <c r="W299" s="58"/>
      <c r="X299" s="157">
        <f t="shared" si="108"/>
        <v>43750</v>
      </c>
      <c r="Y299" s="385">
        <f t="shared" si="109"/>
        <v>18.28</v>
      </c>
      <c r="Z299" s="385">
        <f t="shared" si="110"/>
        <v>18.466851476260807</v>
      </c>
      <c r="AA299" s="386">
        <f t="shared" si="111"/>
        <v>19.793782929751689</v>
      </c>
      <c r="AB299" s="197">
        <f t="shared" si="112"/>
        <v>43750</v>
      </c>
      <c r="AC299" s="425">
        <f>IF(OR(t&lt;Tnet,NoTnet),'2018'!Resal_s+('2018'!Salim-'2018'!Resal_s)*(1-EXP(('2018'!Tnet_s-t)/'2018'!Tau_j)),Resal_s+(Salim-Resal_s)*(1-EXP((Tnet_s-t)/Tau_j)))*Salcycl</f>
        <v>6.7037789501894346E-2</v>
      </c>
      <c r="AD299" s="231">
        <f>(INDEX(Models!$BJ299:$BT299,,AH299)*(1-AF299)+INDEX(Models!$BJ299:$BT299,,AH299+1)*AF299-ERP_i)*AE299*Ramure*Pc/MaxiM</f>
        <v>2.0352164676903196E-2</v>
      </c>
      <c r="AE299" s="305">
        <f t="shared" si="113"/>
        <v>0.8</v>
      </c>
      <c r="AF299" s="177">
        <f t="shared" si="114"/>
        <v>0.19654157450486021</v>
      </c>
      <c r="AG299" s="176">
        <f t="shared" si="115"/>
        <v>1</v>
      </c>
      <c r="AH299" s="176">
        <f t="shared" si="116"/>
        <v>7</v>
      </c>
      <c r="AI299" s="225">
        <f t="shared" si="117"/>
        <v>1.1965415745048602</v>
      </c>
      <c r="AJ299" s="265" t="b">
        <f t="shared" si="118"/>
        <v>0</v>
      </c>
      <c r="AK299" s="265" t="b">
        <f t="shared" si="119"/>
        <v>1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6">
        <v>28.51</v>
      </c>
      <c r="C300" s="390"/>
      <c r="D300" s="393">
        <f t="shared" si="99"/>
        <v>28.80208906254278</v>
      </c>
      <c r="E300" s="385">
        <f t="shared" si="121"/>
        <v>30.874423581842102</v>
      </c>
      <c r="F300" s="385">
        <f t="shared" si="100"/>
        <v>31.501015093356781</v>
      </c>
      <c r="G300" s="110">
        <f t="shared" si="122"/>
        <v>0.99518005347553007</v>
      </c>
      <c r="H300" s="414" t="b">
        <f>Wh_hp&gt;='2018'!Maxi_hp</f>
        <v>1</v>
      </c>
      <c r="I300" s="390">
        <f>IF(H300,Wh_hp,'2018'!Maxi_hp)</f>
        <v>31.501015093356781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1.0141245723826353E-2</v>
      </c>
      <c r="M300" s="843"/>
      <c r="N300" s="843"/>
      <c r="O300" s="48">
        <f>IF(t&lt;Tnet,'2018'!Resal+('2018'!Salim-'2018'!Resal)*(1-EXP(('2018'!Tnet-t)/('2018'!Tau_j))),Resal+(Salim-Resal)*(1-EXP((Tnet-t)/(Tau_j))))*Salcycl</f>
        <v>6.7121399491263806E-2</v>
      </c>
      <c r="P300" s="169">
        <f>(INDEX(Models!$BJ300:$BT300,,T300)*(1-R300)+INDEX(Models!$BJ300:$BT300,,T300+1)*R300-ERP_i)*Q300*Ramure*Pc/MaxiM</f>
        <v>2.0025146258941428E-2</v>
      </c>
      <c r="Q300" s="305">
        <f t="shared" si="102"/>
        <v>0.8</v>
      </c>
      <c r="R300" s="177">
        <f t="shared" si="103"/>
        <v>0.19668795810037309</v>
      </c>
      <c r="S300" s="809">
        <f t="shared" si="104"/>
        <v>1</v>
      </c>
      <c r="T300" s="176">
        <f t="shared" si="105"/>
        <v>7</v>
      </c>
      <c r="U300" s="251">
        <f t="shared" si="106"/>
        <v>1.1966879581003731</v>
      </c>
      <c r="V300" s="383">
        <f t="shared" si="107"/>
        <v>28.644165670253155</v>
      </c>
      <c r="W300" s="58"/>
      <c r="X300" s="157">
        <f t="shared" si="108"/>
        <v>43751</v>
      </c>
      <c r="Y300" s="385">
        <f t="shared" si="109"/>
        <v>28.51</v>
      </c>
      <c r="Z300" s="385">
        <f t="shared" si="110"/>
        <v>28.80208906254278</v>
      </c>
      <c r="AA300" s="386">
        <f t="shared" si="111"/>
        <v>30.874423581842102</v>
      </c>
      <c r="AB300" s="197">
        <f t="shared" si="112"/>
        <v>43751</v>
      </c>
      <c r="AC300" s="425">
        <f>IF(OR(t&lt;Tnet,NoTnet),'2018'!Resal_s+('2018'!Salim-'2018'!Resal_s)*(1-EXP(('2018'!Tnet_s-t)/'2018'!Tau_j)),Resal_s+(Salim-Resal_s)*(1-EXP((Tnet_s-t)/Tau_j)))*Salcycl</f>
        <v>6.7121399491263806E-2</v>
      </c>
      <c r="AD300" s="231">
        <f>(INDEX(Models!$BJ300:$BT300,,AH300)*(1-AF300)+INDEX(Models!$BJ300:$BT300,,AH300+1)*AF300-ERP_i)*AE300*Ramure*Pc/MaxiM</f>
        <v>2.0025146258941428E-2</v>
      </c>
      <c r="AE300" s="305">
        <f t="shared" si="113"/>
        <v>0.8</v>
      </c>
      <c r="AF300" s="177">
        <f t="shared" si="114"/>
        <v>0.19668795810037309</v>
      </c>
      <c r="AG300" s="176">
        <f t="shared" si="115"/>
        <v>1</v>
      </c>
      <c r="AH300" s="176">
        <f t="shared" si="116"/>
        <v>7</v>
      </c>
      <c r="AI300" s="225">
        <f t="shared" si="117"/>
        <v>1.1966879581003731</v>
      </c>
      <c r="AJ300" s="265" t="b">
        <f t="shared" si="118"/>
        <v>0</v>
      </c>
      <c r="AK300" s="265" t="b">
        <f t="shared" si="119"/>
        <v>1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6">
        <v>9.69</v>
      </c>
      <c r="C301" s="390"/>
      <c r="D301" s="393">
        <f t="shared" si="99"/>
        <v>9.7895032638165898</v>
      </c>
      <c r="E301" s="385">
        <f t="shared" si="121"/>
        <v>10.494793705759902</v>
      </c>
      <c r="F301" s="385">
        <f t="shared" si="100"/>
        <v>10.50731798368744</v>
      </c>
      <c r="G301" s="110">
        <f t="shared" si="122"/>
        <v>0.33603313713051786</v>
      </c>
      <c r="H301" s="414" t="b">
        <f>Wh_hp&gt;='2018'!Maxi_hp</f>
        <v>0</v>
      </c>
      <c r="I301" s="390">
        <f>IF(H301,Wh_hp,'2018'!Maxi_hp)</f>
        <v>27.239471377563756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1.0164281183128954E-2</v>
      </c>
      <c r="M301" s="843"/>
      <c r="N301" s="843"/>
      <c r="O301" s="48">
        <f>IF(t&lt;Tnet,'2018'!Resal+('2018'!Salim-'2018'!Resal)*(1-EXP(('2018'!Tnet-t)/('2018'!Tau_j))),Resal+(Salim-Resal)*(1-EXP((Tnet-t)/(Tau_j))))*Salcycl</f>
        <v>6.7203840467700088E-2</v>
      </c>
      <c r="P301" s="169">
        <f>(INDEX(Models!$BJ301:$BT301,,T301)*(1-R301)+INDEX(Models!$BJ301:$BT301,,T301+1)*R301-ERP_i)*Q301*Ramure*Pc/MaxiM</f>
        <v>1.9690556599215363E-2</v>
      </c>
      <c r="Q301" s="305">
        <f t="shared" si="102"/>
        <v>0.8</v>
      </c>
      <c r="R301" s="177">
        <f t="shared" si="103"/>
        <v>0.19682851534931012</v>
      </c>
      <c r="S301" s="809">
        <f t="shared" si="104"/>
        <v>1</v>
      </c>
      <c r="T301" s="176">
        <f t="shared" si="105"/>
        <v>7</v>
      </c>
      <c r="U301" s="251">
        <f t="shared" si="106"/>
        <v>1.1968285153493101</v>
      </c>
      <c r="V301" s="383">
        <f t="shared" si="107"/>
        <v>28.302371433362726</v>
      </c>
      <c r="W301" s="58"/>
      <c r="X301" s="157">
        <f t="shared" si="108"/>
        <v>43752</v>
      </c>
      <c r="Y301" s="385">
        <f t="shared" si="109"/>
        <v>9.69</v>
      </c>
      <c r="Z301" s="385">
        <f t="shared" si="110"/>
        <v>9.7895032638165898</v>
      </c>
      <c r="AA301" s="386">
        <f t="shared" si="111"/>
        <v>10.494793705759902</v>
      </c>
      <c r="AB301" s="197">
        <f t="shared" si="112"/>
        <v>43752</v>
      </c>
      <c r="AC301" s="425">
        <f>IF(OR(t&lt;Tnet,NoTnet),'2018'!Resal_s+('2018'!Salim-'2018'!Resal_s)*(1-EXP(('2018'!Tnet_s-t)/'2018'!Tau_j)),Resal_s+(Salim-Resal_s)*(1-EXP((Tnet_s-t)/Tau_j)))*Salcycl</f>
        <v>6.7203840467700088E-2</v>
      </c>
      <c r="AD301" s="231">
        <f>(INDEX(Models!$BJ301:$BT301,,AH301)*(1-AF301)+INDEX(Models!$BJ301:$BT301,,AH301+1)*AF301-ERP_i)*AE301*Ramure*Pc/MaxiM</f>
        <v>1.9690556599215363E-2</v>
      </c>
      <c r="AE301" s="305">
        <f t="shared" si="113"/>
        <v>0.8</v>
      </c>
      <c r="AF301" s="177">
        <f t="shared" si="114"/>
        <v>0.19682851534931012</v>
      </c>
      <c r="AG301" s="176">
        <f t="shared" si="115"/>
        <v>1</v>
      </c>
      <c r="AH301" s="176">
        <f t="shared" si="116"/>
        <v>7</v>
      </c>
      <c r="AI301" s="225">
        <f t="shared" si="117"/>
        <v>1.1968285153493101</v>
      </c>
      <c r="AJ301" s="265" t="b">
        <f t="shared" si="118"/>
        <v>0</v>
      </c>
      <c r="AK301" s="265" t="b">
        <f t="shared" si="119"/>
        <v>1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6">
        <v>24.274000000000001</v>
      </c>
      <c r="C302" s="390"/>
      <c r="D302" s="393">
        <f t="shared" si="99"/>
        <v>24.523832029018958</v>
      </c>
      <c r="E302" s="385">
        <f t="shared" si="121"/>
        <v>26.292956959776024</v>
      </c>
      <c r="F302" s="385">
        <f t="shared" si="100"/>
        <v>26.712393796380066</v>
      </c>
      <c r="G302" s="110">
        <f t="shared" si="122"/>
        <v>0.86485941371382036</v>
      </c>
      <c r="H302" s="414" t="b">
        <f>Wh_hp&gt;='2018'!Maxi_hp</f>
        <v>1</v>
      </c>
      <c r="I302" s="390">
        <f>IF(H302,Wh_hp,'2018'!Maxi_hp)</f>
        <v>26.712393796380066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1.0187316106362698E-2</v>
      </c>
      <c r="M302" s="843"/>
      <c r="N302" s="843"/>
      <c r="O302" s="48">
        <f>IF(t&lt;Tnet,'2018'!Resal+('2018'!Salim-'2018'!Resal)*(1-EXP(('2018'!Tnet-t)/('2018'!Tau_j))),Resal+(Salim-Resal)*(1-EXP((Tnet-t)/(Tau_j))))*Salcycl</f>
        <v>6.7285126334917067E-2</v>
      </c>
      <c r="P302" s="169">
        <f>(INDEX(Models!$BJ302:$BT302,,T302)*(1-R302)+INDEX(Models!$BJ302:$BT302,,T302+1)*R302-ERP_i)*Q302*Ramure*Pc/MaxiM</f>
        <v>1.9348436294073419E-2</v>
      </c>
      <c r="Q302" s="305">
        <f t="shared" si="102"/>
        <v>0.8</v>
      </c>
      <c r="R302" s="177">
        <f t="shared" si="103"/>
        <v>0.19696347555654947</v>
      </c>
      <c r="S302" s="809">
        <f t="shared" si="104"/>
        <v>1</v>
      </c>
      <c r="T302" s="176">
        <f t="shared" si="105"/>
        <v>7</v>
      </c>
      <c r="U302" s="251">
        <f t="shared" si="106"/>
        <v>1.1969634755565495</v>
      </c>
      <c r="V302" s="383">
        <f t="shared" si="107"/>
        <v>27.96301102024653</v>
      </c>
      <c r="W302" s="58"/>
      <c r="X302" s="157">
        <f t="shared" si="108"/>
        <v>43753</v>
      </c>
      <c r="Y302" s="385">
        <f t="shared" si="109"/>
        <v>24.274000000000001</v>
      </c>
      <c r="Z302" s="385">
        <f t="shared" si="110"/>
        <v>24.523832029018958</v>
      </c>
      <c r="AA302" s="386">
        <f t="shared" si="111"/>
        <v>26.292956959776024</v>
      </c>
      <c r="AB302" s="197">
        <f t="shared" si="112"/>
        <v>43753</v>
      </c>
      <c r="AC302" s="425">
        <f>IF(OR(t&lt;Tnet,NoTnet),'2018'!Resal_s+('2018'!Salim-'2018'!Resal_s)*(1-EXP(('2018'!Tnet_s-t)/'2018'!Tau_j)),Resal_s+(Salim-Resal_s)*(1-EXP((Tnet_s-t)/Tau_j)))*Salcycl</f>
        <v>6.7285126334917067E-2</v>
      </c>
      <c r="AD302" s="231">
        <f>(INDEX(Models!$BJ302:$BT302,,AH302)*(1-AF302)+INDEX(Models!$BJ302:$BT302,,AH302+1)*AF302-ERP_i)*AE302*Ramure*Pc/MaxiM</f>
        <v>1.9348436294073419E-2</v>
      </c>
      <c r="AE302" s="305">
        <f t="shared" si="113"/>
        <v>0.8</v>
      </c>
      <c r="AF302" s="177">
        <f t="shared" si="114"/>
        <v>0.19696347555654947</v>
      </c>
      <c r="AG302" s="176">
        <f t="shared" si="115"/>
        <v>1</v>
      </c>
      <c r="AH302" s="176">
        <f t="shared" si="116"/>
        <v>7</v>
      </c>
      <c r="AI302" s="225">
        <f t="shared" si="117"/>
        <v>1.1969634755565495</v>
      </c>
      <c r="AJ302" s="265" t="b">
        <f t="shared" si="118"/>
        <v>0</v>
      </c>
      <c r="AK302" s="265" t="b">
        <f t="shared" si="119"/>
        <v>1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6">
        <v>25.271999999999998</v>
      </c>
      <c r="C303" s="390"/>
      <c r="D303" s="393">
        <f t="shared" si="99"/>
        <v>25.532697793517453</v>
      </c>
      <c r="E303" s="385">
        <f t="shared" si="121"/>
        <v>27.376953803381927</v>
      </c>
      <c r="F303" s="385">
        <f t="shared" si="100"/>
        <v>27.841538379266765</v>
      </c>
      <c r="G303" s="110">
        <f t="shared" si="122"/>
        <v>0.9126513651204532</v>
      </c>
      <c r="H303" s="414" t="b">
        <f>Wh_hp&gt;='2018'!Maxi_hp</f>
        <v>1</v>
      </c>
      <c r="I303" s="390">
        <f>IF(H303,Wh_hp,'2018'!Maxi_hp)</f>
        <v>27.841538379266765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1.0210350493540243E-2</v>
      </c>
      <c r="M303" s="843"/>
      <c r="N303" s="843"/>
      <c r="O303" s="48">
        <f>IF(t&lt;Tnet,'2018'!Resal+('2018'!Salim-'2018'!Resal)*(1-EXP(('2018'!Tnet-t)/('2018'!Tau_j))),Resal+(Salim-Resal)*(1-EXP((Tnet-t)/(Tau_j))))*Salcycl</f>
        <v>6.7365274570344941E-2</v>
      </c>
      <c r="P303" s="169">
        <f>(INDEX(Models!$BJ303:$BT303,,T303)*(1-R303)+INDEX(Models!$BJ303:$BT303,,T303+1)*R303-ERP_i)*Q303*Ramure*Pc/MaxiM</f>
        <v>1.8999136792645876E-2</v>
      </c>
      <c r="Q303" s="305">
        <f t="shared" si="102"/>
        <v>0.8</v>
      </c>
      <c r="R303" s="177">
        <f t="shared" si="103"/>
        <v>0.19709305920610909</v>
      </c>
      <c r="S303" s="809">
        <f t="shared" si="104"/>
        <v>1</v>
      </c>
      <c r="T303" s="176">
        <f t="shared" si="105"/>
        <v>7</v>
      </c>
      <c r="U303" s="251">
        <f t="shared" si="106"/>
        <v>1.1970930592061091</v>
      </c>
      <c r="V303" s="383">
        <f t="shared" si="107"/>
        <v>27.625630583216324</v>
      </c>
      <c r="W303" s="58"/>
      <c r="X303" s="157">
        <f t="shared" si="108"/>
        <v>43754</v>
      </c>
      <c r="Y303" s="385">
        <f t="shared" si="109"/>
        <v>25.271999999999998</v>
      </c>
      <c r="Z303" s="385">
        <f t="shared" si="110"/>
        <v>25.532697793517453</v>
      </c>
      <c r="AA303" s="386">
        <f t="shared" si="111"/>
        <v>27.376953803381927</v>
      </c>
      <c r="AB303" s="197">
        <f t="shared" si="112"/>
        <v>43754</v>
      </c>
      <c r="AC303" s="425">
        <f>IF(OR(t&lt;Tnet,NoTnet),'2018'!Resal_s+('2018'!Salim-'2018'!Resal_s)*(1-EXP(('2018'!Tnet_s-t)/'2018'!Tau_j)),Resal_s+(Salim-Resal_s)*(1-EXP((Tnet_s-t)/Tau_j)))*Salcycl</f>
        <v>6.7365274570344941E-2</v>
      </c>
      <c r="AD303" s="231">
        <f>(INDEX(Models!$BJ303:$BT303,,AH303)*(1-AF303)+INDEX(Models!$BJ303:$BT303,,AH303+1)*AF303-ERP_i)*AE303*Ramure*Pc/MaxiM</f>
        <v>1.8999136792645876E-2</v>
      </c>
      <c r="AE303" s="305">
        <f t="shared" si="113"/>
        <v>0.8</v>
      </c>
      <c r="AF303" s="177">
        <f t="shared" si="114"/>
        <v>0.19709305920610909</v>
      </c>
      <c r="AG303" s="176">
        <f t="shared" si="115"/>
        <v>1</v>
      </c>
      <c r="AH303" s="176">
        <f t="shared" si="116"/>
        <v>7</v>
      </c>
      <c r="AI303" s="225">
        <f t="shared" si="117"/>
        <v>1.1970930592061091</v>
      </c>
      <c r="AJ303" s="265" t="b">
        <f t="shared" si="118"/>
        <v>0</v>
      </c>
      <c r="AK303" s="265" t="b">
        <f t="shared" si="119"/>
        <v>1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6">
        <v>17.78</v>
      </c>
      <c r="C304" s="390"/>
      <c r="D304" s="393">
        <f t="shared" si="99"/>
        <v>17.963830784722752</v>
      </c>
      <c r="E304" s="385">
        <f t="shared" si="121"/>
        <v>19.263011213001171</v>
      </c>
      <c r="F304" s="385">
        <f t="shared" si="100"/>
        <v>19.445154205243831</v>
      </c>
      <c r="G304" s="110">
        <f t="shared" si="122"/>
        <v>0.6454221703854981</v>
      </c>
      <c r="H304" s="414" t="b">
        <f>Wh_hp&gt;='2018'!Maxi_hp</f>
        <v>1</v>
      </c>
      <c r="I304" s="390">
        <f>IF(H304,Wh_hp,'2018'!Maxi_hp)</f>
        <v>19.445154205243831</v>
      </c>
      <c r="J304" s="85">
        <f>IF(H304,An,'2018'!An_max)</f>
        <v>2019</v>
      </c>
      <c r="K304" s="197">
        <f t="shared" si="101"/>
        <v>43755</v>
      </c>
      <c r="L304" s="147">
        <f>IF(t&lt;Tvie,1-EXP((T0-t)*PertePVj)+'2018'!Pspv,1-EXP((T0-t)*PertePVj)+Pspv)</f>
        <v>1.0233384344673802E-2</v>
      </c>
      <c r="M304" s="843"/>
      <c r="N304" s="843"/>
      <c r="O304" s="48">
        <f>IF(t&lt;Tnet,'2018'!Resal+('2018'!Salim-'2018'!Resal)*(1-EXP(('2018'!Tnet-t)/('2018'!Tau_j))),Resal+(Salim-Resal)*(1-EXP((Tnet-t)/(Tau_j))))*Salcycl</f>
        <v>6.7444306287978692E-2</v>
      </c>
      <c r="P304" s="169">
        <f>(INDEX(Models!$BJ304:$BT304,,T304)*(1-R304)+INDEX(Models!$BJ304:$BT304,,T304+1)*R304-ERP_i)*Q304*Ramure*Pc/MaxiM</f>
        <v>1.8652530468140496E-2</v>
      </c>
      <c r="Q304" s="305">
        <f t="shared" si="102"/>
        <v>0.8</v>
      </c>
      <c r="R304" s="177">
        <f t="shared" si="103"/>
        <v>0.19721747828440273</v>
      </c>
      <c r="S304" s="809">
        <f t="shared" si="104"/>
        <v>1</v>
      </c>
      <c r="T304" s="176">
        <f t="shared" si="105"/>
        <v>7</v>
      </c>
      <c r="U304" s="251">
        <f t="shared" si="106"/>
        <v>1.1972174782844027</v>
      </c>
      <c r="V304" s="383">
        <f t="shared" si="107"/>
        <v>27.289645762964561</v>
      </c>
      <c r="W304" s="58"/>
      <c r="X304" s="157">
        <f t="shared" si="108"/>
        <v>43755</v>
      </c>
      <c r="Y304" s="385">
        <f t="shared" si="109"/>
        <v>17.78</v>
      </c>
      <c r="Z304" s="385">
        <f t="shared" si="110"/>
        <v>17.963830784722752</v>
      </c>
      <c r="AA304" s="386">
        <f t="shared" si="111"/>
        <v>19.263011213001171</v>
      </c>
      <c r="AB304" s="197">
        <f t="shared" si="112"/>
        <v>43755</v>
      </c>
      <c r="AC304" s="425">
        <f>IF(OR(t&lt;Tnet,NoTnet),'2018'!Resal_s+('2018'!Salim-'2018'!Resal_s)*(1-EXP(('2018'!Tnet_s-t)/'2018'!Tau_j)),Resal_s+(Salim-Resal_s)*(1-EXP((Tnet_s-t)/Tau_j)))*Salcycl</f>
        <v>6.7444306287978692E-2</v>
      </c>
      <c r="AD304" s="231">
        <f>(INDEX(Models!$BJ304:$BT304,,AH304)*(1-AF304)+INDEX(Models!$BJ304:$BT304,,AH304+1)*AF304-ERP_i)*AE304*Ramure*Pc/MaxiM</f>
        <v>1.8652530468140496E-2</v>
      </c>
      <c r="AE304" s="305">
        <f t="shared" si="113"/>
        <v>0.8</v>
      </c>
      <c r="AF304" s="177">
        <f t="shared" si="114"/>
        <v>0.19721747828440273</v>
      </c>
      <c r="AG304" s="176">
        <f t="shared" si="115"/>
        <v>1</v>
      </c>
      <c r="AH304" s="176">
        <f t="shared" si="116"/>
        <v>7</v>
      </c>
      <c r="AI304" s="225">
        <f t="shared" si="117"/>
        <v>1.1972174782844027</v>
      </c>
      <c r="AJ304" s="265" t="b">
        <f t="shared" si="118"/>
        <v>0</v>
      </c>
      <c r="AK304" s="265" t="b">
        <f t="shared" si="119"/>
        <v>1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6">
        <v>13.965</v>
      </c>
      <c r="C305" s="390"/>
      <c r="D305" s="393">
        <f t="shared" si="99"/>
        <v>14.109715131448599</v>
      </c>
      <c r="E305" s="385">
        <f t="shared" si="121"/>
        <v>15.131422787480885</v>
      </c>
      <c r="F305" s="385">
        <f t="shared" si="100"/>
        <v>15.218242614532235</v>
      </c>
      <c r="G305" s="110">
        <f t="shared" si="122"/>
        <v>0.51151353573488556</v>
      </c>
      <c r="H305" s="414" t="b">
        <f>Wh_hp&gt;='2018'!Maxi_hp</f>
        <v>1</v>
      </c>
      <c r="I305" s="390">
        <f>IF(H305,Wh_hp,'2018'!Maxi_hp)</f>
        <v>15.218242614532235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1.025641765977614E-2</v>
      </c>
      <c r="M305" s="843"/>
      <c r="N305" s="843"/>
      <c r="O305" s="48">
        <f>IF(t&lt;Tnet,'2018'!Resal+('2018'!Salim-'2018'!Resal)*(1-EXP(('2018'!Tnet-t)/('2018'!Tau_j))),Resal+(Salim-Resal)*(1-EXP((Tnet-t)/(Tau_j))))*Salcycl</f>
        <v>6.7522246280607712E-2</v>
      </c>
      <c r="P305" s="169">
        <f>(INDEX(Models!$BJ305:$BT305,,T305)*(1-R305)+INDEX(Models!$BJ305:$BT305,,T305+1)*R305-ERP_i)*Q305*Ramure*Pc/MaxiM</f>
        <v>1.8311833831635222E-2</v>
      </c>
      <c r="Q305" s="305">
        <f t="shared" si="102"/>
        <v>0.8</v>
      </c>
      <c r="R305" s="177">
        <f t="shared" si="103"/>
        <v>0.19733693659293117</v>
      </c>
      <c r="S305" s="809">
        <f t="shared" si="104"/>
        <v>1</v>
      </c>
      <c r="T305" s="176">
        <f t="shared" si="105"/>
        <v>7</v>
      </c>
      <c r="U305" s="251">
        <f t="shared" si="106"/>
        <v>1.1973369365929312</v>
      </c>
      <c r="V305" s="383">
        <f t="shared" si="107"/>
        <v>26.955171708466874</v>
      </c>
      <c r="W305" s="58"/>
      <c r="X305" s="157">
        <f t="shared" si="108"/>
        <v>43756</v>
      </c>
      <c r="Y305" s="385">
        <f t="shared" si="109"/>
        <v>13.965</v>
      </c>
      <c r="Z305" s="385">
        <f t="shared" si="110"/>
        <v>14.109715131448599</v>
      </c>
      <c r="AA305" s="386">
        <f t="shared" si="111"/>
        <v>15.131422787480885</v>
      </c>
      <c r="AB305" s="197">
        <f t="shared" si="112"/>
        <v>43756</v>
      </c>
      <c r="AC305" s="425">
        <f>IF(OR(t&lt;Tnet,NoTnet),'2018'!Resal_s+('2018'!Salim-'2018'!Resal_s)*(1-EXP(('2018'!Tnet_s-t)/'2018'!Tau_j)),Resal_s+(Salim-Resal_s)*(1-EXP((Tnet_s-t)/Tau_j)))*Salcycl</f>
        <v>6.7522246280607712E-2</v>
      </c>
      <c r="AD305" s="231">
        <f>(INDEX(Models!$BJ305:$BT305,,AH305)*(1-AF305)+INDEX(Models!$BJ305:$BT305,,AH305+1)*AF305-ERP_i)*AE305*Ramure*Pc/MaxiM</f>
        <v>1.8311833831635222E-2</v>
      </c>
      <c r="AE305" s="305">
        <f t="shared" si="113"/>
        <v>0.8</v>
      </c>
      <c r="AF305" s="177">
        <f t="shared" si="114"/>
        <v>0.19733693659293117</v>
      </c>
      <c r="AG305" s="176">
        <f t="shared" si="115"/>
        <v>1</v>
      </c>
      <c r="AH305" s="176">
        <f t="shared" si="116"/>
        <v>7</v>
      </c>
      <c r="AI305" s="225">
        <f t="shared" si="117"/>
        <v>1.1973369365929312</v>
      </c>
      <c r="AJ305" s="265" t="b">
        <f t="shared" si="118"/>
        <v>0</v>
      </c>
      <c r="AK305" s="265" t="b">
        <f t="shared" si="119"/>
        <v>1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6">
        <v>25.241</v>
      </c>
      <c r="C306" s="390"/>
      <c r="D306" s="393">
        <f t="shared" si="99"/>
        <v>25.503158453355649</v>
      </c>
      <c r="E306" s="385">
        <f t="shared" si="121"/>
        <v>27.35213906760691</v>
      </c>
      <c r="F306" s="385">
        <f t="shared" si="100"/>
        <v>27.815112288520364</v>
      </c>
      <c r="G306" s="110">
        <f t="shared" si="122"/>
        <v>0.94682619003969648</v>
      </c>
      <c r="H306" s="414" t="b">
        <f>Wh_hp&gt;='2018'!Maxi_hp</f>
        <v>1</v>
      </c>
      <c r="I306" s="390">
        <f>IF(H306,Wh_hp,'2018'!Maxi_hp)</f>
        <v>27.815112288520364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1.0279450438859472E-2</v>
      </c>
      <c r="M306" s="843"/>
      <c r="N306" s="843"/>
      <c r="O306" s="48">
        <f>IF(t&lt;Tnet,'2018'!Resal+('2018'!Salim-'2018'!Resal)*(1-EXP(('2018'!Tnet-t)/('2018'!Tau_j))),Resal+(Salim-Resal)*(1-EXP((Tnet-t)/(Tau_j))))*Salcycl</f>
        <v>6.7599123040472039E-2</v>
      </c>
      <c r="P306" s="169">
        <f>(INDEX(Models!$BJ306:$BT306,,T306)*(1-R306)+INDEX(Models!$BJ306:$BT306,,T306+1)*R306-ERP_i)*Q306*Ramure*Pc/MaxiM</f>
        <v>1.7977267495295636E-2</v>
      </c>
      <c r="Q306" s="305">
        <f t="shared" si="102"/>
        <v>0.8</v>
      </c>
      <c r="R306" s="177">
        <f t="shared" si="103"/>
        <v>0.19745163005064748</v>
      </c>
      <c r="S306" s="809">
        <f t="shared" si="104"/>
        <v>1</v>
      </c>
      <c r="T306" s="176">
        <f t="shared" si="105"/>
        <v>7</v>
      </c>
      <c r="U306" s="251">
        <f t="shared" si="106"/>
        <v>1.1974516300506475</v>
      </c>
      <c r="V306" s="383">
        <f t="shared" si="107"/>
        <v>26.622409372314344</v>
      </c>
      <c r="W306" s="58"/>
      <c r="X306" s="157">
        <f t="shared" si="108"/>
        <v>43757</v>
      </c>
      <c r="Y306" s="385">
        <f t="shared" si="109"/>
        <v>25.241</v>
      </c>
      <c r="Z306" s="385">
        <f t="shared" si="110"/>
        <v>25.503158453355649</v>
      </c>
      <c r="AA306" s="386">
        <f t="shared" si="111"/>
        <v>27.35213906760691</v>
      </c>
      <c r="AB306" s="197">
        <f t="shared" si="112"/>
        <v>43757</v>
      </c>
      <c r="AC306" s="425">
        <f>IF(OR(t&lt;Tnet,NoTnet),'2018'!Resal_s+('2018'!Salim-'2018'!Resal_s)*(1-EXP(('2018'!Tnet_s-t)/'2018'!Tau_j)),Resal_s+(Salim-Resal_s)*(1-EXP((Tnet_s-t)/Tau_j)))*Salcycl</f>
        <v>6.7599123040472039E-2</v>
      </c>
      <c r="AD306" s="231">
        <f>(INDEX(Models!$BJ306:$BT306,,AH306)*(1-AF306)+INDEX(Models!$BJ306:$BT306,,AH306+1)*AF306-ERP_i)*AE306*Ramure*Pc/MaxiM</f>
        <v>1.7977267495295636E-2</v>
      </c>
      <c r="AE306" s="305">
        <f t="shared" si="113"/>
        <v>0.8</v>
      </c>
      <c r="AF306" s="177">
        <f t="shared" si="114"/>
        <v>0.19745163005064748</v>
      </c>
      <c r="AG306" s="176">
        <f t="shared" si="115"/>
        <v>1</v>
      </c>
      <c r="AH306" s="176">
        <f t="shared" si="116"/>
        <v>7</v>
      </c>
      <c r="AI306" s="225">
        <f t="shared" si="117"/>
        <v>1.1974516300506475</v>
      </c>
      <c r="AJ306" s="265" t="b">
        <f t="shared" si="118"/>
        <v>0</v>
      </c>
      <c r="AK306" s="265" t="b">
        <f t="shared" si="119"/>
        <v>1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6">
        <v>11.265000000000001</v>
      </c>
      <c r="C307" s="390"/>
      <c r="D307" s="393">
        <f t="shared" si="99"/>
        <v>11.382265594165087</v>
      </c>
      <c r="E307" s="385">
        <f t="shared" si="121"/>
        <v>12.208473668240634</v>
      </c>
      <c r="F307" s="385">
        <f t="shared" si="100"/>
        <v>12.248145022396077</v>
      </c>
      <c r="G307" s="110">
        <f t="shared" si="122"/>
        <v>0.42227022231821815</v>
      </c>
      <c r="H307" s="414" t="b">
        <f>Wh_hp&gt;='2018'!Maxi_hp</f>
        <v>1</v>
      </c>
      <c r="I307" s="390">
        <f>IF(H307,Wh_hp,'2018'!Maxi_hp)</f>
        <v>12.248145022396077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1.0302482681936453E-2</v>
      </c>
      <c r="M307" s="843"/>
      <c r="N307" s="843"/>
      <c r="O307" s="48">
        <f>IF(t&lt;Tnet,'2018'!Resal+('2018'!Salim-'2018'!Resal)*(1-EXP(('2018'!Tnet-t)/('2018'!Tau_j))),Resal+(Salim-Resal)*(1-EXP((Tnet-t)/(Tau_j))))*Salcycl</f>
        <v>6.7674968757549234E-2</v>
      </c>
      <c r="P307" s="169">
        <f>(INDEX(Models!$BJ307:$BT307,,T307)*(1-R307)+INDEX(Models!$BJ307:$BT307,,T307+1)*R307-ERP_i)*Q307*Ramure*Pc/MaxiM</f>
        <v>1.7649061582382143E-2</v>
      </c>
      <c r="Q307" s="305">
        <f t="shared" si="102"/>
        <v>0.8</v>
      </c>
      <c r="R307" s="177">
        <f t="shared" si="103"/>
        <v>0.19756174698623941</v>
      </c>
      <c r="S307" s="809">
        <f t="shared" si="104"/>
        <v>1</v>
      </c>
      <c r="T307" s="176">
        <f t="shared" si="105"/>
        <v>7</v>
      </c>
      <c r="U307" s="251">
        <f t="shared" si="106"/>
        <v>1.1975617469862394</v>
      </c>
      <c r="V307" s="383">
        <f t="shared" si="107"/>
        <v>26.291559820579881</v>
      </c>
      <c r="W307" s="58"/>
      <c r="X307" s="157">
        <f t="shared" si="108"/>
        <v>43758</v>
      </c>
      <c r="Y307" s="385">
        <f t="shared" si="109"/>
        <v>11.265000000000001</v>
      </c>
      <c r="Z307" s="385">
        <f t="shared" si="110"/>
        <v>11.382265594165087</v>
      </c>
      <c r="AA307" s="386">
        <f t="shared" si="111"/>
        <v>12.208473668240634</v>
      </c>
      <c r="AB307" s="197">
        <f t="shared" si="112"/>
        <v>43758</v>
      </c>
      <c r="AC307" s="425">
        <f>IF(OR(t&lt;Tnet,NoTnet),'2018'!Resal_s+('2018'!Salim-'2018'!Resal_s)*(1-EXP(('2018'!Tnet_s-t)/'2018'!Tau_j)),Resal_s+(Salim-Resal_s)*(1-EXP((Tnet_s-t)/Tau_j)))*Salcycl</f>
        <v>6.7674968757549234E-2</v>
      </c>
      <c r="AD307" s="231">
        <f>(INDEX(Models!$BJ307:$BT307,,AH307)*(1-AF307)+INDEX(Models!$BJ307:$BT307,,AH307+1)*AF307-ERP_i)*AE307*Ramure*Pc/MaxiM</f>
        <v>1.7649061582382143E-2</v>
      </c>
      <c r="AE307" s="305">
        <f t="shared" si="113"/>
        <v>0.8</v>
      </c>
      <c r="AF307" s="177">
        <f t="shared" si="114"/>
        <v>0.19756174698623941</v>
      </c>
      <c r="AG307" s="176">
        <f t="shared" si="115"/>
        <v>1</v>
      </c>
      <c r="AH307" s="176">
        <f t="shared" si="116"/>
        <v>7</v>
      </c>
      <c r="AI307" s="225">
        <f t="shared" si="117"/>
        <v>1.1975617469862394</v>
      </c>
      <c r="AJ307" s="265" t="b">
        <f t="shared" si="118"/>
        <v>0</v>
      </c>
      <c r="AK307" s="265" t="b">
        <f t="shared" si="119"/>
        <v>1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6">
        <v>20.745999999999999</v>
      </c>
      <c r="C308" s="390"/>
      <c r="D308" s="393">
        <f t="shared" si="99"/>
        <v>20.962448059062925</v>
      </c>
      <c r="E308" s="385">
        <f t="shared" si="121"/>
        <v>22.485861084206956</v>
      </c>
      <c r="F308" s="385">
        <f t="shared" si="100"/>
        <v>22.767117495614556</v>
      </c>
      <c r="G308" s="110">
        <f t="shared" si="122"/>
        <v>0.7950414800591411</v>
      </c>
      <c r="H308" s="414" t="b">
        <f>Wh_hp&gt;='2018'!Maxi_hp</f>
        <v>1</v>
      </c>
      <c r="I308" s="390">
        <f>IF(H308,Wh_hp,'2018'!Maxi_hp)</f>
        <v>22.767117495614556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1.0325514389019408E-2</v>
      </c>
      <c r="M308" s="843"/>
      <c r="N308" s="843"/>
      <c r="O308" s="48">
        <f>IF(t&lt;Tnet,'2018'!Resal+('2018'!Salim-'2018'!Resal)*(1-EXP(('2018'!Tnet-t)/('2018'!Tau_j))),Resal+(Salim-Resal)*(1-EXP((Tnet-t)/(Tau_j))))*Salcycl</f>
        <v>6.77498192948459E-2</v>
      </c>
      <c r="P308" s="169">
        <f>(INDEX(Models!$BJ308:$BT308,,T308)*(1-R308)+INDEX(Models!$BJ308:$BT308,,T308+1)*R308-ERP_i)*Q308*Ramure*Pc/MaxiM</f>
        <v>1.7327454948932532E-2</v>
      </c>
      <c r="Q308" s="305">
        <f t="shared" si="102"/>
        <v>0.8</v>
      </c>
      <c r="R308" s="177">
        <f t="shared" si="103"/>
        <v>0.19766746842058192</v>
      </c>
      <c r="S308" s="809">
        <f t="shared" si="104"/>
        <v>1</v>
      </c>
      <c r="T308" s="176">
        <f t="shared" si="105"/>
        <v>7</v>
      </c>
      <c r="U308" s="251">
        <f t="shared" si="106"/>
        <v>1.1976674684205819</v>
      </c>
      <c r="V308" s="383">
        <f t="shared" si="107"/>
        <v>25.962824259874633</v>
      </c>
      <c r="W308" s="58"/>
      <c r="X308" s="157">
        <f t="shared" si="108"/>
        <v>43759</v>
      </c>
      <c r="Y308" s="385">
        <f t="shared" si="109"/>
        <v>20.745999999999999</v>
      </c>
      <c r="Z308" s="385">
        <f t="shared" si="110"/>
        <v>20.962448059062925</v>
      </c>
      <c r="AA308" s="386">
        <f t="shared" si="111"/>
        <v>22.485861084206956</v>
      </c>
      <c r="AB308" s="197">
        <f t="shared" si="112"/>
        <v>43759</v>
      </c>
      <c r="AC308" s="425">
        <f>IF(OR(t&lt;Tnet,NoTnet),'2018'!Resal_s+('2018'!Salim-'2018'!Resal_s)*(1-EXP(('2018'!Tnet_s-t)/'2018'!Tau_j)),Resal_s+(Salim-Resal_s)*(1-EXP((Tnet_s-t)/Tau_j)))*Salcycl</f>
        <v>6.77498192948459E-2</v>
      </c>
      <c r="AD308" s="231">
        <f>(INDEX(Models!$BJ308:$BT308,,AH308)*(1-AF308)+INDEX(Models!$BJ308:$BT308,,AH308+1)*AF308-ERP_i)*AE308*Ramure*Pc/MaxiM</f>
        <v>1.7327454948932532E-2</v>
      </c>
      <c r="AE308" s="305">
        <f t="shared" si="113"/>
        <v>0.8</v>
      </c>
      <c r="AF308" s="177">
        <f t="shared" si="114"/>
        <v>0.19766746842058192</v>
      </c>
      <c r="AG308" s="176">
        <f t="shared" si="115"/>
        <v>1</v>
      </c>
      <c r="AH308" s="176">
        <f t="shared" si="116"/>
        <v>7</v>
      </c>
      <c r="AI308" s="225">
        <f t="shared" si="117"/>
        <v>1.1976674684205819</v>
      </c>
      <c r="AJ308" s="265" t="b">
        <f t="shared" si="118"/>
        <v>0</v>
      </c>
      <c r="AK308" s="265" t="b">
        <f t="shared" si="119"/>
        <v>1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6">
        <v>4.766</v>
      </c>
      <c r="C309" s="390"/>
      <c r="D309" s="393">
        <f t="shared" si="99"/>
        <v>4.8158369076489169</v>
      </c>
      <c r="E309" s="385">
        <f t="shared" si="121"/>
        <v>5.1662298008441985</v>
      </c>
      <c r="F309" s="385">
        <f t="shared" si="100"/>
        <v>5.1662298008441985</v>
      </c>
      <c r="G309" s="110">
        <f t="shared" si="122"/>
        <v>0.1827447206120788</v>
      </c>
      <c r="H309" s="414" t="b">
        <f>Wh_hp&gt;='2018'!Maxi_hp</f>
        <v>0</v>
      </c>
      <c r="I309" s="390">
        <f>IF(H309,Wh_hp,'2018'!Maxi_hp)</f>
        <v>20.551479373219394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1.0348545560120992E-2</v>
      </c>
      <c r="M309" s="843"/>
      <c r="N309" s="843"/>
      <c r="O309" s="48">
        <f>IF(t&lt;Tnet,'2018'!Resal+('2018'!Salim-'2018'!Resal)*(1-EXP(('2018'!Tnet-t)/('2018'!Tau_j))),Resal+(Salim-Resal)*(1-EXP((Tnet-t)/(Tau_j))))*Salcycl</f>
        <v>6.782371414024696E-2</v>
      </c>
      <c r="P309" s="169">
        <f>(INDEX(Models!$BJ309:$BT309,,T309)*(1-R309)+INDEX(Models!$BJ309:$BT309,,T309+1)*R309-ERP_i)*Q309*Ramure*Pc/MaxiM</f>
        <v>1.7012694357026448E-2</v>
      </c>
      <c r="Q309" s="305">
        <f t="shared" si="102"/>
        <v>0.8</v>
      </c>
      <c r="R309" s="177">
        <f t="shared" si="103"/>
        <v>0.1977689683395969</v>
      </c>
      <c r="S309" s="809">
        <f t="shared" si="104"/>
        <v>1</v>
      </c>
      <c r="T309" s="176">
        <f t="shared" si="105"/>
        <v>7</v>
      </c>
      <c r="U309" s="251">
        <f t="shared" si="106"/>
        <v>1.1977689683395969</v>
      </c>
      <c r="V309" s="383">
        <f t="shared" si="107"/>
        <v>25.636404066847522</v>
      </c>
      <c r="W309" s="58"/>
      <c r="X309" s="157">
        <f t="shared" si="108"/>
        <v>43760</v>
      </c>
      <c r="Y309" s="385">
        <f t="shared" si="109"/>
        <v>4.766</v>
      </c>
      <c r="Z309" s="385">
        <f t="shared" si="110"/>
        <v>4.8158369076489169</v>
      </c>
      <c r="AA309" s="386">
        <f t="shared" si="111"/>
        <v>5.1662298008441985</v>
      </c>
      <c r="AB309" s="197">
        <f t="shared" si="112"/>
        <v>43760</v>
      </c>
      <c r="AC309" s="425">
        <f>IF(OR(t&lt;Tnet,NoTnet),'2018'!Resal_s+('2018'!Salim-'2018'!Resal_s)*(1-EXP(('2018'!Tnet_s-t)/'2018'!Tau_j)),Resal_s+(Salim-Resal_s)*(1-EXP((Tnet_s-t)/Tau_j)))*Salcycl</f>
        <v>6.782371414024696E-2</v>
      </c>
      <c r="AD309" s="231">
        <f>(INDEX(Models!$BJ309:$BT309,,AH309)*(1-AF309)+INDEX(Models!$BJ309:$BT309,,AH309+1)*AF309-ERP_i)*AE309*Ramure*Pc/MaxiM</f>
        <v>1.7012694357026448E-2</v>
      </c>
      <c r="AE309" s="305">
        <f t="shared" si="113"/>
        <v>0.8</v>
      </c>
      <c r="AF309" s="177">
        <f t="shared" si="114"/>
        <v>0.1977689683395969</v>
      </c>
      <c r="AG309" s="176">
        <f t="shared" si="115"/>
        <v>1</v>
      </c>
      <c r="AH309" s="176">
        <f t="shared" si="116"/>
        <v>7</v>
      </c>
      <c r="AI309" s="225">
        <f t="shared" si="117"/>
        <v>1.1977689683395969</v>
      </c>
      <c r="AJ309" s="265" t="b">
        <f t="shared" si="118"/>
        <v>0</v>
      </c>
      <c r="AK309" s="265" t="b">
        <f t="shared" si="119"/>
        <v>1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6">
        <v>15.329000000000001</v>
      </c>
      <c r="C310" s="390"/>
      <c r="D310" s="393">
        <f t="shared" si="99"/>
        <v>15.489652107066409</v>
      </c>
      <c r="E310" s="385">
        <f t="shared" si="121"/>
        <v>16.617956449844097</v>
      </c>
      <c r="F310" s="385">
        <f t="shared" si="100"/>
        <v>16.740118678702512</v>
      </c>
      <c r="G310" s="110">
        <f t="shared" si="122"/>
        <v>0.5998511583651257</v>
      </c>
      <c r="H310" s="414" t="b">
        <f>Wh_hp&gt;='2018'!Maxi_hp</f>
        <v>0</v>
      </c>
      <c r="I310" s="390">
        <f>IF(H310,Wh_hp,'2018'!Maxi_hp)</f>
        <v>28.397562274413175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1.0371576195253529E-2</v>
      </c>
      <c r="M310" s="843"/>
      <c r="N310" s="843"/>
      <c r="O310" s="48">
        <f>IF(t&lt;Tnet,'2018'!Resal+('2018'!Salim-'2018'!Resal)*(1-EXP(('2018'!Tnet-t)/('2018'!Tau_j))),Resal+(Salim-Resal)*(1-EXP((Tnet-t)/(Tau_j))))*Salcycl</f>
        <v>6.7896696334661097E-2</v>
      </c>
      <c r="P310" s="169">
        <f>(INDEX(Models!$BJ310:$BT310,,T310)*(1-R310)+INDEX(Models!$BJ310:$BT310,,T310+1)*R310-ERP_i)*Q310*Ramure*Pc/MaxiM</f>
        <v>1.6715821562835041E-2</v>
      </c>
      <c r="Q310" s="305">
        <f t="shared" si="102"/>
        <v>0.8</v>
      </c>
      <c r="R310" s="177">
        <f t="shared" si="103"/>
        <v>0.19786641395778304</v>
      </c>
      <c r="S310" s="809">
        <f t="shared" si="104"/>
        <v>1</v>
      </c>
      <c r="T310" s="176">
        <f t="shared" si="105"/>
        <v>7</v>
      </c>
      <c r="U310" s="251">
        <f t="shared" si="106"/>
        <v>1.197866413957783</v>
      </c>
      <c r="V310" s="383">
        <f t="shared" si="107"/>
        <v>25.312223098961805</v>
      </c>
      <c r="W310" s="58"/>
      <c r="X310" s="157">
        <f t="shared" si="108"/>
        <v>43761</v>
      </c>
      <c r="Y310" s="385">
        <f t="shared" si="109"/>
        <v>15.329000000000002</v>
      </c>
      <c r="Z310" s="385">
        <f t="shared" si="110"/>
        <v>15.48965210706641</v>
      </c>
      <c r="AA310" s="386">
        <f t="shared" si="111"/>
        <v>16.617956449844097</v>
      </c>
      <c r="AB310" s="197">
        <f t="shared" si="112"/>
        <v>43761</v>
      </c>
      <c r="AC310" s="425">
        <f>IF(OR(t&lt;Tnet,NoTnet),'2018'!Resal_s+('2018'!Salim-'2018'!Resal_s)*(1-EXP(('2018'!Tnet_s-t)/'2018'!Tau_j)),Resal_s+(Salim-Resal_s)*(1-EXP((Tnet_s-t)/Tau_j)))*Salcycl</f>
        <v>6.7896696334661097E-2</v>
      </c>
      <c r="AD310" s="231">
        <f>(INDEX(Models!$BJ310:$BT310,,AH310)*(1-AF310)+INDEX(Models!$BJ310:$BT310,,AH310+1)*AF310-ERP_i)*AE310*Ramure*Pc/MaxiM</f>
        <v>1.6715821562835041E-2</v>
      </c>
      <c r="AE310" s="305">
        <f t="shared" si="113"/>
        <v>0.8</v>
      </c>
      <c r="AF310" s="177">
        <f t="shared" si="114"/>
        <v>0.19786641395778304</v>
      </c>
      <c r="AG310" s="176">
        <f t="shared" si="115"/>
        <v>1</v>
      </c>
      <c r="AH310" s="176">
        <f t="shared" si="116"/>
        <v>7</v>
      </c>
      <c r="AI310" s="225">
        <f t="shared" si="117"/>
        <v>1.197866413957783</v>
      </c>
      <c r="AJ310" s="265" t="b">
        <f t="shared" si="118"/>
        <v>0</v>
      </c>
      <c r="AK310" s="265" t="b">
        <f t="shared" si="119"/>
        <v>1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6">
        <v>15.103999999999999</v>
      </c>
      <c r="C311" s="390"/>
      <c r="D311" s="393">
        <f t="shared" si="99"/>
        <v>15.262649229753263</v>
      </c>
      <c r="E311" s="385">
        <f t="shared" si="121"/>
        <v>16.375685097693264</v>
      </c>
      <c r="F311" s="385">
        <f t="shared" si="100"/>
        <v>16.493547251211872</v>
      </c>
      <c r="G311" s="110">
        <f t="shared" si="122"/>
        <v>0.59873392628281552</v>
      </c>
      <c r="H311" s="414" t="b">
        <f>Wh_hp&gt;='2018'!Maxi_hp</f>
        <v>0</v>
      </c>
      <c r="I311" s="390">
        <f>IF(H311,Wh_hp,'2018'!Maxi_hp)</f>
        <v>28.410947539123171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1.0394606294429565E-2</v>
      </c>
      <c r="M311" s="843"/>
      <c r="N311" s="843"/>
      <c r="O311" s="48">
        <f>IF(t&lt;Tnet,'2018'!Resal+('2018'!Salim-'2018'!Resal)*(1-EXP(('2018'!Tnet-t)/('2018'!Tau_j))),Resal+(Salim-Resal)*(1-EXP((Tnet-t)/(Tau_j))))*Salcycl</f>
        <v>6.7968812376392601E-2</v>
      </c>
      <c r="P311" s="169">
        <f>(INDEX(Models!$BJ311:$BT311,,T311)*(1-R311)+INDEX(Models!$BJ311:$BT311,,T311+1)*R311-ERP_i)*Q311*Ramure*Pc/MaxiM</f>
        <v>1.6433548044766478E-2</v>
      </c>
      <c r="Q311" s="305">
        <f t="shared" si="102"/>
        <v>0.8</v>
      </c>
      <c r="R311" s="177">
        <f t="shared" si="103"/>
        <v>0.19795996597265431</v>
      </c>
      <c r="S311" s="809">
        <f t="shared" si="104"/>
        <v>1</v>
      </c>
      <c r="T311" s="176">
        <f t="shared" si="105"/>
        <v>7</v>
      </c>
      <c r="U311" s="251">
        <f t="shared" si="106"/>
        <v>1.1979599659726543</v>
      </c>
      <c r="V311" s="383">
        <f t="shared" si="107"/>
        <v>24.990584124623201</v>
      </c>
      <c r="W311" s="58"/>
      <c r="X311" s="157">
        <f t="shared" si="108"/>
        <v>43762</v>
      </c>
      <c r="Y311" s="385">
        <f t="shared" si="109"/>
        <v>15.103999999999997</v>
      </c>
      <c r="Z311" s="385">
        <f t="shared" si="110"/>
        <v>15.262649229753261</v>
      </c>
      <c r="AA311" s="386">
        <f t="shared" si="111"/>
        <v>16.375685097693264</v>
      </c>
      <c r="AB311" s="197">
        <f t="shared" si="112"/>
        <v>43762</v>
      </c>
      <c r="AC311" s="425">
        <f>IF(OR(t&lt;Tnet,NoTnet),'2018'!Resal_s+('2018'!Salim-'2018'!Resal_s)*(1-EXP(('2018'!Tnet_s-t)/'2018'!Tau_j)),Resal_s+(Salim-Resal_s)*(1-EXP((Tnet_s-t)/Tau_j)))*Salcycl</f>
        <v>6.7968812376392601E-2</v>
      </c>
      <c r="AD311" s="231">
        <f>(INDEX(Models!$BJ311:$BT311,,AH311)*(1-AF311)+INDEX(Models!$BJ311:$BT311,,AH311+1)*AF311-ERP_i)*AE311*Ramure*Pc/MaxiM</f>
        <v>1.6433548044766478E-2</v>
      </c>
      <c r="AE311" s="305">
        <f t="shared" si="113"/>
        <v>0.8</v>
      </c>
      <c r="AF311" s="177">
        <f t="shared" si="114"/>
        <v>0.19795996597265431</v>
      </c>
      <c r="AG311" s="176">
        <f t="shared" si="115"/>
        <v>1</v>
      </c>
      <c r="AH311" s="176">
        <f t="shared" si="116"/>
        <v>7</v>
      </c>
      <c r="AI311" s="225">
        <f t="shared" si="117"/>
        <v>1.1979599659726543</v>
      </c>
      <c r="AJ311" s="265" t="b">
        <f t="shared" si="118"/>
        <v>0</v>
      </c>
      <c r="AK311" s="265" t="b">
        <f t="shared" si="119"/>
        <v>1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6">
        <v>22.89</v>
      </c>
      <c r="C312" s="390"/>
      <c r="D312" s="393">
        <f t="shared" si="99"/>
        <v>23.130970022731297</v>
      </c>
      <c r="E312" s="385">
        <f t="shared" si="121"/>
        <v>24.819705572199013</v>
      </c>
      <c r="F312" s="385">
        <f t="shared" si="100"/>
        <v>25.184850389632494</v>
      </c>
      <c r="G312" s="110">
        <f t="shared" si="122"/>
        <v>0.92621391003529485</v>
      </c>
      <c r="H312" s="414" t="b">
        <f>Wh_hp&gt;='2018'!Maxi_hp</f>
        <v>0</v>
      </c>
      <c r="I312" s="390">
        <f>IF(H312,Wh_hp,'2018'!Maxi_hp)</f>
        <v>27.544324929727701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1.0417635857661423E-2</v>
      </c>
      <c r="M312" s="843"/>
      <c r="N312" s="843"/>
      <c r="O312" s="48">
        <f>IF(t&lt;Tnet,'2018'!Resal+('2018'!Salim-'2018'!Resal)*(1-EXP(('2018'!Tnet-t)/('2018'!Tau_j))),Resal+(Salim-Resal)*(1-EXP((Tnet-t)/(Tau_j))))*Salcycl</f>
        <v>6.8040112101865488E-2</v>
      </c>
      <c r="P312" s="169">
        <f>(INDEX(Models!$BJ312:$BT312,,T312)*(1-R312)+INDEX(Models!$BJ312:$BT312,,T312+1)*R312-ERP_i)*Q312*Ramure*Pc/MaxiM</f>
        <v>1.6166407754408477E-2</v>
      </c>
      <c r="Q312" s="305">
        <f t="shared" si="102"/>
        <v>0.8</v>
      </c>
      <c r="R312" s="177">
        <f t="shared" si="103"/>
        <v>0.19804977881034436</v>
      </c>
      <c r="S312" s="809">
        <f t="shared" si="104"/>
        <v>1</v>
      </c>
      <c r="T312" s="176">
        <f t="shared" si="105"/>
        <v>7</v>
      </c>
      <c r="U312" s="251">
        <f t="shared" si="106"/>
        <v>1.1980497788103444</v>
      </c>
      <c r="V312" s="383">
        <f t="shared" si="107"/>
        <v>24.671689504269558</v>
      </c>
      <c r="W312" s="58"/>
      <c r="X312" s="157">
        <f t="shared" si="108"/>
        <v>43763</v>
      </c>
      <c r="Y312" s="385">
        <f t="shared" si="109"/>
        <v>22.89</v>
      </c>
      <c r="Z312" s="385">
        <f t="shared" si="110"/>
        <v>23.130970022731297</v>
      </c>
      <c r="AA312" s="386">
        <f t="shared" si="111"/>
        <v>24.819705572199013</v>
      </c>
      <c r="AB312" s="197">
        <f t="shared" si="112"/>
        <v>43763</v>
      </c>
      <c r="AC312" s="425">
        <f>IF(OR(t&lt;Tnet,NoTnet),'2018'!Resal_s+('2018'!Salim-'2018'!Resal_s)*(1-EXP(('2018'!Tnet_s-t)/'2018'!Tau_j)),Resal_s+(Salim-Resal_s)*(1-EXP((Tnet_s-t)/Tau_j)))*Salcycl</f>
        <v>6.8040112101865488E-2</v>
      </c>
      <c r="AD312" s="231">
        <f>(INDEX(Models!$BJ312:$BT312,,AH312)*(1-AF312)+INDEX(Models!$BJ312:$BT312,,AH312+1)*AF312-ERP_i)*AE312*Ramure*Pc/MaxiM</f>
        <v>1.6166407754408477E-2</v>
      </c>
      <c r="AE312" s="305">
        <f t="shared" si="113"/>
        <v>0.8</v>
      </c>
      <c r="AF312" s="177">
        <f t="shared" si="114"/>
        <v>0.19804977881034436</v>
      </c>
      <c r="AG312" s="176">
        <f t="shared" si="115"/>
        <v>1</v>
      </c>
      <c r="AH312" s="176">
        <f t="shared" si="116"/>
        <v>7</v>
      </c>
      <c r="AI312" s="225">
        <f t="shared" si="117"/>
        <v>1.1980497788103444</v>
      </c>
      <c r="AJ312" s="265" t="b">
        <f t="shared" si="118"/>
        <v>0</v>
      </c>
      <c r="AK312" s="265" t="b">
        <f t="shared" si="119"/>
        <v>1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6">
        <v>25.134</v>
      </c>
      <c r="C313" s="390"/>
      <c r="D313" s="393">
        <f t="shared" si="99"/>
        <v>25.399184372383417</v>
      </c>
      <c r="E313" s="385">
        <f t="shared" si="121"/>
        <v>27.255579573554147</v>
      </c>
      <c r="F313" s="385">
        <f t="shared" si="100"/>
        <v>27.696361546697236</v>
      </c>
      <c r="G313" s="110">
        <f t="shared" si="122"/>
        <v>1.0319536286184481</v>
      </c>
      <c r="H313" s="414" t="b">
        <f>Wh_hp&gt;='2018'!Maxi_hp</f>
        <v>1</v>
      </c>
      <c r="I313" s="390">
        <f>IF(H313,Wh_hp,'2018'!Maxi_hp)</f>
        <v>27.696361546697236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1.044066488496187E-2</v>
      </c>
      <c r="M313" s="843"/>
      <c r="N313" s="843"/>
      <c r="O313" s="48">
        <f>IF(t&lt;Tnet,'2018'!Resal+('2018'!Salim-'2018'!Resal)*(1-EXP(('2018'!Tnet-t)/('2018'!Tau_j))),Resal+(Salim-Resal)*(1-EXP((Tnet-t)/(Tau_j))))*Salcycl</f>
        <v>6.8110648543022539E-2</v>
      </c>
      <c r="P313" s="169">
        <f>(INDEX(Models!$BJ313:$BT313,,T313)*(1-R313)+INDEX(Models!$BJ313:$BT313,,T313+1)*R313-ERP_i)*Q313*Ramure*Pc/MaxiM</f>
        <v>1.5914797053754186E-2</v>
      </c>
      <c r="Q313" s="305">
        <f t="shared" si="102"/>
        <v>0.8</v>
      </c>
      <c r="R313" s="177">
        <f t="shared" si="103"/>
        <v>0.19813600086261962</v>
      </c>
      <c r="S313" s="809">
        <f t="shared" si="104"/>
        <v>1</v>
      </c>
      <c r="T313" s="176">
        <f t="shared" si="105"/>
        <v>7</v>
      </c>
      <c r="U313" s="251">
        <f t="shared" si="106"/>
        <v>1.1981360008626196</v>
      </c>
      <c r="V313" s="383">
        <f t="shared" si="107"/>
        <v>24.355745551908885</v>
      </c>
      <c r="W313" s="58"/>
      <c r="X313" s="157">
        <f t="shared" si="108"/>
        <v>43764</v>
      </c>
      <c r="Y313" s="385">
        <f t="shared" si="109"/>
        <v>25.134</v>
      </c>
      <c r="Z313" s="385">
        <f t="shared" si="110"/>
        <v>25.399184372383417</v>
      </c>
      <c r="AA313" s="386">
        <f t="shared" si="111"/>
        <v>27.255579573554147</v>
      </c>
      <c r="AB313" s="197">
        <f t="shared" si="112"/>
        <v>43764</v>
      </c>
      <c r="AC313" s="425">
        <f>IF(OR(t&lt;Tnet,NoTnet),'2018'!Resal_s+('2018'!Salim-'2018'!Resal_s)*(1-EXP(('2018'!Tnet_s-t)/'2018'!Tau_j)),Resal_s+(Salim-Resal_s)*(1-EXP((Tnet_s-t)/Tau_j)))*Salcycl</f>
        <v>6.8110648543022539E-2</v>
      </c>
      <c r="AD313" s="231">
        <f>(INDEX(Models!$BJ313:$BT313,,AH313)*(1-AF313)+INDEX(Models!$BJ313:$BT313,,AH313+1)*AF313-ERP_i)*AE313*Ramure*Pc/MaxiM</f>
        <v>1.5914797053754186E-2</v>
      </c>
      <c r="AE313" s="305">
        <f t="shared" si="113"/>
        <v>0.8</v>
      </c>
      <c r="AF313" s="177">
        <f t="shared" si="114"/>
        <v>0.19813600086261962</v>
      </c>
      <c r="AG313" s="176">
        <f t="shared" si="115"/>
        <v>1</v>
      </c>
      <c r="AH313" s="176">
        <f t="shared" si="116"/>
        <v>7</v>
      </c>
      <c r="AI313" s="225">
        <f t="shared" si="117"/>
        <v>1.1981360008626196</v>
      </c>
      <c r="AJ313" s="265" t="b">
        <f t="shared" si="118"/>
        <v>0</v>
      </c>
      <c r="AK313" s="265" t="b">
        <f t="shared" si="119"/>
        <v>1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6">
        <v>18.352</v>
      </c>
      <c r="C314" s="390"/>
      <c r="D314" s="393">
        <f t="shared" si="99"/>
        <v>18.546060288194845</v>
      </c>
      <c r="E314" s="385">
        <f t="shared" si="121"/>
        <v>19.903060459229494</v>
      </c>
      <c r="F314" s="385">
        <f t="shared" si="100"/>
        <v>20.111767157034709</v>
      </c>
      <c r="G314" s="110">
        <f t="shared" si="122"/>
        <v>0.75921111471192237</v>
      </c>
      <c r="H314" s="414" t="b">
        <f>Wh_hp&gt;='2018'!Maxi_hp</f>
        <v>1</v>
      </c>
      <c r="I314" s="390">
        <f>IF(H314,Wh_hp,'2018'!Maxi_hp)</f>
        <v>20.111767157034709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1.0463693376343119E-2</v>
      </c>
      <c r="M314" s="843"/>
      <c r="N314" s="843"/>
      <c r="O314" s="48">
        <f>IF(t&lt;Tnet,'2018'!Resal+('2018'!Salim-'2018'!Resal)*(1-EXP(('2018'!Tnet-t)/('2018'!Tau_j))),Resal+(Salim-Resal)*(1-EXP((Tnet-t)/(Tau_j))))*Salcycl</f>
        <v>6.8180477761920183E-2</v>
      </c>
      <c r="P314" s="169">
        <f>(INDEX(Models!$BJ314:$BT314,,T314)*(1-R314)+INDEX(Models!$BJ314:$BT314,,T314+1)*R314-ERP_i)*Q314*Ramure*Pc/MaxiM</f>
        <v>1.5679114219479106E-2</v>
      </c>
      <c r="Q314" s="305">
        <f t="shared" si="102"/>
        <v>0.8</v>
      </c>
      <c r="R314" s="177">
        <f t="shared" si="103"/>
        <v>0.19821877471555238</v>
      </c>
      <c r="S314" s="809">
        <f t="shared" si="104"/>
        <v>1</v>
      </c>
      <c r="T314" s="176">
        <f t="shared" si="105"/>
        <v>7</v>
      </c>
      <c r="U314" s="251">
        <f t="shared" si="106"/>
        <v>1.1982187747155524</v>
      </c>
      <c r="V314" s="383">
        <f t="shared" si="107"/>
        <v>24.042958868205954</v>
      </c>
      <c r="W314" s="58"/>
      <c r="X314" s="157">
        <f t="shared" si="108"/>
        <v>43765</v>
      </c>
      <c r="Y314" s="385">
        <f t="shared" si="109"/>
        <v>18.352</v>
      </c>
      <c r="Z314" s="385">
        <f t="shared" si="110"/>
        <v>18.546060288194845</v>
      </c>
      <c r="AA314" s="386">
        <f t="shared" si="111"/>
        <v>19.903060459229494</v>
      </c>
      <c r="AB314" s="197">
        <f t="shared" si="112"/>
        <v>43765</v>
      </c>
      <c r="AC314" s="425">
        <f>IF(OR(t&lt;Tnet,NoTnet),'2018'!Resal_s+('2018'!Salim-'2018'!Resal_s)*(1-EXP(('2018'!Tnet_s-t)/'2018'!Tau_j)),Resal_s+(Salim-Resal_s)*(1-EXP((Tnet_s-t)/Tau_j)))*Salcycl</f>
        <v>6.8180477761920183E-2</v>
      </c>
      <c r="AD314" s="231">
        <f>(INDEX(Models!$BJ314:$BT314,,AH314)*(1-AF314)+INDEX(Models!$BJ314:$BT314,,AH314+1)*AF314-ERP_i)*AE314*Ramure*Pc/MaxiM</f>
        <v>1.5679114219479106E-2</v>
      </c>
      <c r="AE314" s="305">
        <f t="shared" si="113"/>
        <v>0.8</v>
      </c>
      <c r="AF314" s="177">
        <f t="shared" si="114"/>
        <v>0.19821877471555238</v>
      </c>
      <c r="AG314" s="176">
        <f t="shared" si="115"/>
        <v>1</v>
      </c>
      <c r="AH314" s="176">
        <f t="shared" si="116"/>
        <v>7</v>
      </c>
      <c r="AI314" s="225">
        <f t="shared" si="117"/>
        <v>1.1982187747155524</v>
      </c>
      <c r="AJ314" s="265" t="b">
        <f t="shared" si="118"/>
        <v>0</v>
      </c>
      <c r="AK314" s="265" t="b">
        <f t="shared" si="119"/>
        <v>1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6">
        <v>9.0380000000000003</v>
      </c>
      <c r="C315" s="390"/>
      <c r="D315" s="393">
        <f t="shared" si="99"/>
        <v>9.1337834416578367</v>
      </c>
      <c r="E315" s="385">
        <f t="shared" si="121"/>
        <v>9.8028227481556627</v>
      </c>
      <c r="F315" s="385">
        <f t="shared" si="100"/>
        <v>9.8203496019339269</v>
      </c>
      <c r="G315" s="110">
        <f t="shared" si="122"/>
        <v>0.37559443976770202</v>
      </c>
      <c r="H315" s="414" t="b">
        <f>Wh_hp&gt;='2018'!Maxi_hp</f>
        <v>1</v>
      </c>
      <c r="I315" s="390">
        <f>IF(H315,Wh_hp,'2018'!Maxi_hp)</f>
        <v>9.8203496019339269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1.0486721331817717E-2</v>
      </c>
      <c r="M315" s="843"/>
      <c r="N315" s="843"/>
      <c r="O315" s="48">
        <f>IF(t&lt;Tnet,'2018'!Resal+('2018'!Salim-'2018'!Resal)*(1-EXP(('2018'!Tnet-t)/('2018'!Tau_j))),Resal+(Salim-Resal)*(1-EXP((Tnet-t)/(Tau_j))))*Salcycl</f>
        <v>6.8249658663235638E-2</v>
      </c>
      <c r="P315" s="169">
        <f>(INDEX(Models!$BJ315:$BT315,,T315)*(1-R315)+INDEX(Models!$BJ315:$BT315,,T315+1)*R315-ERP_i)*Q315*Ramure*Pc/MaxiM</f>
        <v>1.5459758136150642E-2</v>
      </c>
      <c r="Q315" s="305">
        <f t="shared" si="102"/>
        <v>0.8</v>
      </c>
      <c r="R315" s="177">
        <f t="shared" si="103"/>
        <v>0.198298237370091</v>
      </c>
      <c r="S315" s="809">
        <f t="shared" si="104"/>
        <v>1</v>
      </c>
      <c r="T315" s="176">
        <f t="shared" si="105"/>
        <v>7</v>
      </c>
      <c r="U315" s="251">
        <f t="shared" si="106"/>
        <v>1.198298237370091</v>
      </c>
      <c r="V315" s="383">
        <f t="shared" si="107"/>
        <v>23.733536332708862</v>
      </c>
      <c r="W315" s="58"/>
      <c r="X315" s="157">
        <f t="shared" si="108"/>
        <v>43766</v>
      </c>
      <c r="Y315" s="385">
        <f t="shared" si="109"/>
        <v>9.0380000000000003</v>
      </c>
      <c r="Z315" s="385">
        <f t="shared" si="110"/>
        <v>9.1337834416578367</v>
      </c>
      <c r="AA315" s="386">
        <f t="shared" si="111"/>
        <v>9.8028227481556627</v>
      </c>
      <c r="AB315" s="197">
        <f t="shared" si="112"/>
        <v>43766</v>
      </c>
      <c r="AC315" s="425">
        <f>IF(OR(t&lt;Tnet,NoTnet),'2018'!Resal_s+('2018'!Salim-'2018'!Resal_s)*(1-EXP(('2018'!Tnet_s-t)/'2018'!Tau_j)),Resal_s+(Salim-Resal_s)*(1-EXP((Tnet_s-t)/Tau_j)))*Salcycl</f>
        <v>6.8249658663235638E-2</v>
      </c>
      <c r="AD315" s="231">
        <f>(INDEX(Models!$BJ315:$BT315,,AH315)*(1-AF315)+INDEX(Models!$BJ315:$BT315,,AH315+1)*AF315-ERP_i)*AE315*Ramure*Pc/MaxiM</f>
        <v>1.5459758136150642E-2</v>
      </c>
      <c r="AE315" s="305">
        <f t="shared" si="113"/>
        <v>0.8</v>
      </c>
      <c r="AF315" s="177">
        <f t="shared" si="114"/>
        <v>0.198298237370091</v>
      </c>
      <c r="AG315" s="176">
        <f t="shared" si="115"/>
        <v>1</v>
      </c>
      <c r="AH315" s="176">
        <f t="shared" si="116"/>
        <v>7</v>
      </c>
      <c r="AI315" s="225">
        <f t="shared" si="117"/>
        <v>1.198298237370091</v>
      </c>
      <c r="AJ315" s="265" t="b">
        <f t="shared" si="118"/>
        <v>0</v>
      </c>
      <c r="AK315" s="265" t="b">
        <f t="shared" si="119"/>
        <v>1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6">
        <v>22.175000000000001</v>
      </c>
      <c r="C316" s="390"/>
      <c r="D316" s="393">
        <f t="shared" si="99"/>
        <v>22.410529029485811</v>
      </c>
      <c r="E316" s="385">
        <f t="shared" si="121"/>
        <v>24.05384574345274</v>
      </c>
      <c r="F316" s="385">
        <f t="shared" si="100"/>
        <v>24.397649963595786</v>
      </c>
      <c r="G316" s="110">
        <f t="shared" si="122"/>
        <v>0.94541082687255917</v>
      </c>
      <c r="H316" s="414" t="b">
        <f>Wh_hp&gt;='2018'!Maxi_hp</f>
        <v>1</v>
      </c>
      <c r="I316" s="390">
        <f>IF(H316,Wh_hp,'2018'!Maxi_hp)</f>
        <v>24.397649963595786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1.0509748751398207E-2</v>
      </c>
      <c r="M316" s="843"/>
      <c r="N316" s="843"/>
      <c r="O316" s="48">
        <f>IF(t&lt;Tnet,'2018'!Resal+('2018'!Salim-'2018'!Resal)*(1-EXP(('2018'!Tnet-t)/('2018'!Tau_j))),Resal+(Salim-Resal)*(1-EXP((Tnet-t)/(Tau_j))))*Salcycl</f>
        <v>6.831825278559564E-2</v>
      </c>
      <c r="P316" s="169">
        <f>(INDEX(Models!$BJ316:$BT316,,T316)*(1-R316)+INDEX(Models!$BJ316:$BT316,,T316+1)*R316-ERP_i)*Q316*Ramure*Pc/MaxiM</f>
        <v>1.5257126950569792E-2</v>
      </c>
      <c r="Q316" s="305">
        <f t="shared" si="102"/>
        <v>0.8</v>
      </c>
      <c r="R316" s="177">
        <f t="shared" si="103"/>
        <v>0.19837452045477422</v>
      </c>
      <c r="S316" s="809">
        <f t="shared" si="104"/>
        <v>1</v>
      </c>
      <c r="T316" s="176">
        <f t="shared" si="105"/>
        <v>7</v>
      </c>
      <c r="U316" s="251">
        <f t="shared" si="106"/>
        <v>1.1983745204547742</v>
      </c>
      <c r="V316" s="383">
        <f t="shared" si="107"/>
        <v>23.427685101020185</v>
      </c>
      <c r="W316" s="58"/>
      <c r="X316" s="157">
        <f t="shared" si="108"/>
        <v>43767</v>
      </c>
      <c r="Y316" s="385">
        <f t="shared" si="109"/>
        <v>22.175000000000001</v>
      </c>
      <c r="Z316" s="385">
        <f t="shared" si="110"/>
        <v>22.410529029485811</v>
      </c>
      <c r="AA316" s="386">
        <f t="shared" si="111"/>
        <v>24.05384574345274</v>
      </c>
      <c r="AB316" s="197">
        <f t="shared" si="112"/>
        <v>43767</v>
      </c>
      <c r="AC316" s="425">
        <f>IF(OR(t&lt;Tnet,NoTnet),'2018'!Resal_s+('2018'!Salim-'2018'!Resal_s)*(1-EXP(('2018'!Tnet_s-t)/'2018'!Tau_j)),Resal_s+(Salim-Resal_s)*(1-EXP((Tnet_s-t)/Tau_j)))*Salcycl</f>
        <v>6.831825278559564E-2</v>
      </c>
      <c r="AD316" s="231">
        <f>(INDEX(Models!$BJ316:$BT316,,AH316)*(1-AF316)+INDEX(Models!$BJ316:$BT316,,AH316+1)*AF316-ERP_i)*AE316*Ramure*Pc/MaxiM</f>
        <v>1.5257126950569792E-2</v>
      </c>
      <c r="AE316" s="305">
        <f t="shared" si="113"/>
        <v>0.8</v>
      </c>
      <c r="AF316" s="177">
        <f t="shared" si="114"/>
        <v>0.19837452045477422</v>
      </c>
      <c r="AG316" s="176">
        <f t="shared" si="115"/>
        <v>1</v>
      </c>
      <c r="AH316" s="176">
        <f t="shared" si="116"/>
        <v>7</v>
      </c>
      <c r="AI316" s="225">
        <f t="shared" si="117"/>
        <v>1.1983745204547742</v>
      </c>
      <c r="AJ316" s="265" t="b">
        <f t="shared" si="118"/>
        <v>0</v>
      </c>
      <c r="AK316" s="265" t="b">
        <f t="shared" si="119"/>
        <v>1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6">
        <v>17.843</v>
      </c>
      <c r="C317" s="390"/>
      <c r="D317" s="393">
        <f t="shared" si="99"/>
        <v>18.032936878179733</v>
      </c>
      <c r="E317" s="385">
        <f t="shared" si="121"/>
        <v>19.35666826727579</v>
      </c>
      <c r="F317" s="385">
        <f t="shared" si="100"/>
        <v>19.555265032232853</v>
      </c>
      <c r="G317" s="110">
        <f t="shared" si="122"/>
        <v>0.76780436628387261</v>
      </c>
      <c r="H317" s="414" t="b">
        <f>Wh_hp&gt;='2018'!Maxi_hp</f>
        <v>0</v>
      </c>
      <c r="I317" s="390">
        <f>IF(H317,Wh_hp,'2018'!Maxi_hp)</f>
        <v>23.087963122403949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1.0532775635097025E-2</v>
      </c>
      <c r="M317" s="843"/>
      <c r="N317" s="843"/>
      <c r="O317" s="48">
        <f>IF(t&lt;Tnet,'2018'!Resal+('2018'!Salim-'2018'!Resal)*(1-EXP(('2018'!Tnet-t)/('2018'!Tau_j))),Resal+(Salim-Resal)*(1-EXP((Tnet-t)/(Tau_j))))*Salcycl</f>
        <v>6.8386324072823315E-2</v>
      </c>
      <c r="P317" s="169">
        <f>(INDEX(Models!$BJ317:$BT317,,T317)*(1-R317)+INDEX(Models!$BJ317:$BT317,,T317+1)*R317-ERP_i)*Q317*Ramure*Pc/MaxiM</f>
        <v>1.5072942289583236E-2</v>
      </c>
      <c r="Q317" s="305">
        <f t="shared" si="102"/>
        <v>0.8</v>
      </c>
      <c r="R317" s="177">
        <f t="shared" si="103"/>
        <v>0.19844775043082552</v>
      </c>
      <c r="S317" s="809">
        <f t="shared" si="104"/>
        <v>1</v>
      </c>
      <c r="T317" s="176">
        <f t="shared" si="105"/>
        <v>7</v>
      </c>
      <c r="U317" s="251">
        <f t="shared" si="106"/>
        <v>1.1984477504308255</v>
      </c>
      <c r="V317" s="383">
        <f t="shared" si="107"/>
        <v>23.123547679454109</v>
      </c>
      <c r="W317" s="58"/>
      <c r="X317" s="157">
        <f t="shared" si="108"/>
        <v>43768</v>
      </c>
      <c r="Y317" s="385">
        <f t="shared" si="109"/>
        <v>17.843</v>
      </c>
      <c r="Z317" s="385">
        <f t="shared" si="110"/>
        <v>18.032936878179733</v>
      </c>
      <c r="AA317" s="386">
        <f t="shared" si="111"/>
        <v>19.35666826727579</v>
      </c>
      <c r="AB317" s="197">
        <f t="shared" si="112"/>
        <v>43768</v>
      </c>
      <c r="AC317" s="425">
        <f>IF(OR(t&lt;Tnet,NoTnet),'2018'!Resal_s+('2018'!Salim-'2018'!Resal_s)*(1-EXP(('2018'!Tnet_s-t)/'2018'!Tau_j)),Resal_s+(Salim-Resal_s)*(1-EXP((Tnet_s-t)/Tau_j)))*Salcycl</f>
        <v>6.8386324072823315E-2</v>
      </c>
      <c r="AD317" s="231">
        <f>(INDEX(Models!$BJ317:$BT317,,AH317)*(1-AF317)+INDEX(Models!$BJ317:$BT317,,AH317+1)*AF317-ERP_i)*AE317*Ramure*Pc/MaxiM</f>
        <v>1.5072942289583236E-2</v>
      </c>
      <c r="AE317" s="305">
        <f t="shared" si="113"/>
        <v>0.8</v>
      </c>
      <c r="AF317" s="177">
        <f t="shared" si="114"/>
        <v>0.19844775043082552</v>
      </c>
      <c r="AG317" s="176">
        <f t="shared" si="115"/>
        <v>1</v>
      </c>
      <c r="AH317" s="176">
        <f t="shared" si="116"/>
        <v>7</v>
      </c>
      <c r="AI317" s="225">
        <f t="shared" si="117"/>
        <v>1.1984477504308255</v>
      </c>
      <c r="AJ317" s="265" t="b">
        <f t="shared" si="118"/>
        <v>0</v>
      </c>
      <c r="AK317" s="265" t="b">
        <f t="shared" si="119"/>
        <v>1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6">
        <v>14.340999999999999</v>
      </c>
      <c r="C318" s="390"/>
      <c r="D318" s="393">
        <f t="shared" si="99"/>
        <v>14.493995749068548</v>
      </c>
      <c r="E318" s="385">
        <f t="shared" si="121"/>
        <v>15.559075766684344</v>
      </c>
      <c r="F318" s="385">
        <f t="shared" si="100"/>
        <v>15.668801531490088</v>
      </c>
      <c r="G318" s="110">
        <f t="shared" si="122"/>
        <v>0.62344723110134181</v>
      </c>
      <c r="H318" s="414" t="b">
        <f>Wh_hp&gt;='2018'!Maxi_hp</f>
        <v>1</v>
      </c>
      <c r="I318" s="390">
        <f>IF(H318,Wh_hp,'2018'!Maxi_hp)</f>
        <v>15.668801531490088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1.0555801982926605E-2</v>
      </c>
      <c r="M318" s="843"/>
      <c r="N318" s="843"/>
      <c r="O318" s="48">
        <f>IF(t&lt;Tnet,'2018'!Resal+('2018'!Salim-'2018'!Resal)*(1-EXP(('2018'!Tnet-t)/('2018'!Tau_j))),Resal+(Salim-Resal)*(1-EXP((Tnet-t)/(Tau_j))))*Salcycl</f>
        <v>6.8453938626379371E-2</v>
      </c>
      <c r="P318" s="169">
        <f>(INDEX(Models!$BJ318:$BT318,,T318)*(1-R318)+INDEX(Models!$BJ318:$BT318,,T318+1)*R318-ERP_i)*Q318*Ramure*Pc/MaxiM</f>
        <v>1.4924083587539421E-2</v>
      </c>
      <c r="Q318" s="305">
        <f t="shared" si="102"/>
        <v>0.8</v>
      </c>
      <c r="R318" s="177">
        <f t="shared" si="103"/>
        <v>0.19851804878985857</v>
      </c>
      <c r="S318" s="809">
        <f t="shared" si="104"/>
        <v>1</v>
      </c>
      <c r="T318" s="176">
        <f t="shared" si="105"/>
        <v>7</v>
      </c>
      <c r="U318" s="251">
        <f t="shared" si="106"/>
        <v>1.1985180487898586</v>
      </c>
      <c r="V318" s="383">
        <f t="shared" si="107"/>
        <v>22.819252853536746</v>
      </c>
      <c r="W318" s="58"/>
      <c r="X318" s="157">
        <f t="shared" si="108"/>
        <v>43769</v>
      </c>
      <c r="Y318" s="385">
        <f t="shared" si="109"/>
        <v>14.340999999999999</v>
      </c>
      <c r="Z318" s="385">
        <f t="shared" si="110"/>
        <v>14.493995749068548</v>
      </c>
      <c r="AA318" s="386">
        <f t="shared" si="111"/>
        <v>15.559075766684344</v>
      </c>
      <c r="AB318" s="197">
        <f t="shared" si="112"/>
        <v>43769</v>
      </c>
      <c r="AC318" s="425">
        <f>IF(OR(t&lt;Tnet,NoTnet),'2018'!Resal_s+('2018'!Salim-'2018'!Resal_s)*(1-EXP(('2018'!Tnet_s-t)/'2018'!Tau_j)),Resal_s+(Salim-Resal_s)*(1-EXP((Tnet_s-t)/Tau_j)))*Salcycl</f>
        <v>6.8453938626379371E-2</v>
      </c>
      <c r="AD318" s="231">
        <f>(INDEX(Models!$BJ318:$BT318,,AH318)*(1-AF318)+INDEX(Models!$BJ318:$BT318,,AH318+1)*AF318-ERP_i)*AE318*Ramure*Pc/MaxiM</f>
        <v>1.4924083587539421E-2</v>
      </c>
      <c r="AE318" s="305">
        <f t="shared" si="113"/>
        <v>0.8</v>
      </c>
      <c r="AF318" s="177">
        <f t="shared" si="114"/>
        <v>0.19851804878985857</v>
      </c>
      <c r="AG318" s="176">
        <f t="shared" si="115"/>
        <v>1</v>
      </c>
      <c r="AH318" s="176">
        <f t="shared" si="116"/>
        <v>7</v>
      </c>
      <c r="AI318" s="225">
        <f t="shared" si="117"/>
        <v>1.1985180487898586</v>
      </c>
      <c r="AJ318" s="265" t="b">
        <f t="shared" si="118"/>
        <v>0</v>
      </c>
      <c r="AK318" s="265" t="b">
        <f t="shared" si="119"/>
        <v>1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6">
        <v>7.2130000000000001</v>
      </c>
      <c r="C319" s="390"/>
      <c r="D319" s="393">
        <f t="shared" si="99"/>
        <v>7.2901209339644009</v>
      </c>
      <c r="E319" s="385">
        <f t="shared" si="121"/>
        <v>7.8263946057186686</v>
      </c>
      <c r="F319" s="385">
        <f t="shared" si="100"/>
        <v>7.829764007584151</v>
      </c>
      <c r="G319" s="110">
        <f t="shared" si="122"/>
        <v>0.31574776926421749</v>
      </c>
      <c r="H319" s="414" t="b">
        <f>Wh_hp&gt;='2018'!Maxi_hp</f>
        <v>0</v>
      </c>
      <c r="I319" s="390">
        <f>IF(H319,Wh_hp,'2018'!Maxi_hp)</f>
        <v>18.800007990330968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1.0578827794899381E-2</v>
      </c>
      <c r="M319" s="843"/>
      <c r="N319" s="843"/>
      <c r="O319" s="48">
        <f>IF(t&lt;Tnet,'2018'!Resal+('2018'!Salim-'2018'!Resal)*(1-EXP(('2018'!Tnet-t)/('2018'!Tau_j))),Resal+(Salim-Resal)*(1-EXP((Tnet-t)/(Tau_j))))*Salcycl</f>
        <v>6.852116444044587E-2</v>
      </c>
      <c r="P319" s="169">
        <f>(INDEX(Models!$BJ319:$BT319,,T319)*(1-R319)+INDEX(Models!$BJ319:$BT319,,T319+1)*R319-ERP_i)*Q319*Ramure*Pc/MaxiM</f>
        <v>1.480026168347664E-2</v>
      </c>
      <c r="Q319" s="305">
        <f t="shared" si="102"/>
        <v>0.8</v>
      </c>
      <c r="R319" s="177">
        <f t="shared" si="103"/>
        <v>0.19858553224442854</v>
      </c>
      <c r="S319" s="809">
        <f t="shared" si="104"/>
        <v>1</v>
      </c>
      <c r="T319" s="176">
        <f t="shared" si="105"/>
        <v>7</v>
      </c>
      <c r="U319" s="251">
        <f t="shared" si="106"/>
        <v>1.1985855322444285</v>
      </c>
      <c r="V319" s="383">
        <f t="shared" si="107"/>
        <v>22.515772934902202</v>
      </c>
      <c r="W319" s="58"/>
      <c r="X319" s="157">
        <f t="shared" si="108"/>
        <v>43770</v>
      </c>
      <c r="Y319" s="385">
        <f t="shared" si="109"/>
        <v>7.2130000000000001</v>
      </c>
      <c r="Z319" s="385">
        <f t="shared" si="110"/>
        <v>7.2901209339644009</v>
      </c>
      <c r="AA319" s="386">
        <f t="shared" si="111"/>
        <v>7.8263946057186686</v>
      </c>
      <c r="AB319" s="197">
        <f t="shared" si="112"/>
        <v>43770</v>
      </c>
      <c r="AC319" s="425">
        <f>IF(OR(t&lt;Tnet,NoTnet),'2018'!Resal_s+('2018'!Salim-'2018'!Resal_s)*(1-EXP(('2018'!Tnet_s-t)/'2018'!Tau_j)),Resal_s+(Salim-Resal_s)*(1-EXP((Tnet_s-t)/Tau_j)))*Salcycl</f>
        <v>6.852116444044587E-2</v>
      </c>
      <c r="AD319" s="231">
        <f>(INDEX(Models!$BJ319:$BT319,,AH319)*(1-AF319)+INDEX(Models!$BJ319:$BT319,,AH319+1)*AF319-ERP_i)*AE319*Ramure*Pc/MaxiM</f>
        <v>1.480026168347664E-2</v>
      </c>
      <c r="AE319" s="305">
        <f t="shared" si="113"/>
        <v>0.8</v>
      </c>
      <c r="AF319" s="177">
        <f t="shared" si="114"/>
        <v>0.19858553224442854</v>
      </c>
      <c r="AG319" s="176">
        <f t="shared" si="115"/>
        <v>1</v>
      </c>
      <c r="AH319" s="176">
        <f t="shared" si="116"/>
        <v>7</v>
      </c>
      <c r="AI319" s="225">
        <f t="shared" si="117"/>
        <v>1.1985855322444285</v>
      </c>
      <c r="AJ319" s="265" t="b">
        <f t="shared" si="118"/>
        <v>0</v>
      </c>
      <c r="AK319" s="265" t="b">
        <f t="shared" si="119"/>
        <v>1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6">
        <v>4.6529999999999996</v>
      </c>
      <c r="C320" s="390"/>
      <c r="D320" s="393">
        <f t="shared" si="99"/>
        <v>4.702859020347482</v>
      </c>
      <c r="E320" s="385">
        <f t="shared" si="121"/>
        <v>5.0491719877465169</v>
      </c>
      <c r="F320" s="385">
        <f t="shared" si="100"/>
        <v>5.0491719877465169</v>
      </c>
      <c r="G320" s="110">
        <f t="shared" si="122"/>
        <v>0.20638462237134916</v>
      </c>
      <c r="H320" s="414" t="b">
        <f>Wh_hp&gt;='2018'!Maxi_hp</f>
        <v>0</v>
      </c>
      <c r="I320" s="390">
        <f>IF(H320,Wh_hp,'2018'!Maxi_hp)</f>
        <v>8.2055424010503764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1.06018530710279E-2</v>
      </c>
      <c r="M320" s="843"/>
      <c r="N320" s="843"/>
      <c r="O320" s="48">
        <f>IF(t&lt;Tnet,'2018'!Resal+('2018'!Salim-'2018'!Resal)*(1-EXP(('2018'!Tnet-t)/('2018'!Tau_j))),Resal+(Salim-Resal)*(1-EXP((Tnet-t)/(Tau_j))))*Salcycl</f>
        <v>6.8588071121260641E-2</v>
      </c>
      <c r="P320" s="169">
        <f>(INDEX(Models!$BJ320:$BT320,,T320)*(1-R320)+INDEX(Models!$BJ320:$BT320,,T320+1)*R320-ERP_i)*Q320*Ramure*Pc/MaxiM</f>
        <v>1.4701661963239378E-2</v>
      </c>
      <c r="Q320" s="305">
        <f t="shared" si="102"/>
        <v>0.8</v>
      </c>
      <c r="R320" s="177">
        <f t="shared" si="103"/>
        <v>0.19865031291165347</v>
      </c>
      <c r="S320" s="809">
        <f t="shared" si="104"/>
        <v>1</v>
      </c>
      <c r="T320" s="176">
        <f t="shared" si="105"/>
        <v>7</v>
      </c>
      <c r="U320" s="251">
        <f t="shared" si="106"/>
        <v>1.1986503129116535</v>
      </c>
      <c r="V320" s="383">
        <f t="shared" si="107"/>
        <v>22.213831215757729</v>
      </c>
      <c r="W320" s="58"/>
      <c r="X320" s="157">
        <f t="shared" si="108"/>
        <v>43771</v>
      </c>
      <c r="Y320" s="385">
        <f t="shared" si="109"/>
        <v>4.6529999999999996</v>
      </c>
      <c r="Z320" s="385">
        <f t="shared" si="110"/>
        <v>4.702859020347482</v>
      </c>
      <c r="AA320" s="386">
        <f t="shared" si="111"/>
        <v>5.0491719877465169</v>
      </c>
      <c r="AB320" s="197">
        <f t="shared" si="112"/>
        <v>43771</v>
      </c>
      <c r="AC320" s="425">
        <f>IF(OR(t&lt;Tnet,NoTnet),'2018'!Resal_s+('2018'!Salim-'2018'!Resal_s)*(1-EXP(('2018'!Tnet_s-t)/'2018'!Tau_j)),Resal_s+(Salim-Resal_s)*(1-EXP((Tnet_s-t)/Tau_j)))*Salcycl</f>
        <v>6.8588071121260641E-2</v>
      </c>
      <c r="AD320" s="231">
        <f>(INDEX(Models!$BJ320:$BT320,,AH320)*(1-AF320)+INDEX(Models!$BJ320:$BT320,,AH320+1)*AF320-ERP_i)*AE320*Ramure*Pc/MaxiM</f>
        <v>1.4701661963239378E-2</v>
      </c>
      <c r="AE320" s="305">
        <f t="shared" si="113"/>
        <v>0.8</v>
      </c>
      <c r="AF320" s="177">
        <f t="shared" si="114"/>
        <v>0.19865031291165347</v>
      </c>
      <c r="AG320" s="176">
        <f t="shared" si="115"/>
        <v>1</v>
      </c>
      <c r="AH320" s="176">
        <f t="shared" si="116"/>
        <v>7</v>
      </c>
      <c r="AI320" s="225">
        <f t="shared" si="117"/>
        <v>1.1986503129116535</v>
      </c>
      <c r="AJ320" s="265" t="b">
        <f t="shared" si="118"/>
        <v>0</v>
      </c>
      <c r="AK320" s="265" t="b">
        <f t="shared" si="119"/>
        <v>1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6">
        <v>10.831</v>
      </c>
      <c r="C321" s="390"/>
      <c r="D321" s="393">
        <f t="shared" si="99"/>
        <v>10.947313872254927</v>
      </c>
      <c r="E321" s="385">
        <f t="shared" si="121"/>
        <v>11.75430231955178</v>
      </c>
      <c r="F321" s="385">
        <f t="shared" si="100"/>
        <v>11.802211448506513</v>
      </c>
      <c r="G321" s="110">
        <f t="shared" si="122"/>
        <v>0.48900179246808995</v>
      </c>
      <c r="H321" s="414" t="b">
        <f>Wh_hp&gt;='2018'!Maxi_hp</f>
        <v>0</v>
      </c>
      <c r="I321" s="390">
        <f>IF(H321,Wh_hp,'2018'!Maxi_hp)</f>
        <v>24.561857270116509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1.0624877811324596E-2</v>
      </c>
      <c r="M321" s="843"/>
      <c r="N321" s="843"/>
      <c r="O321" s="48">
        <f>IF(t&lt;Tnet,'2018'!Resal+('2018'!Salim-'2018'!Resal)*(1-EXP(('2018'!Tnet-t)/('2018'!Tau_j))),Resal+(Salim-Resal)*(1-EXP((Tnet-t)/(Tau_j))))*Salcycl</f>
        <v>6.8654729592459968E-2</v>
      </c>
      <c r="P321" s="169">
        <f>(INDEX(Models!$BJ321:$BT321,,T321)*(1-R321)+INDEX(Models!$BJ321:$BT321,,T321+1)*R321-ERP_i)*Q321*Ramure*Pc/MaxiM</f>
        <v>1.4628471410442361E-2</v>
      </c>
      <c r="Q321" s="305">
        <f t="shared" si="102"/>
        <v>0.8</v>
      </c>
      <c r="R321" s="177">
        <f t="shared" si="103"/>
        <v>0.1987124984901254</v>
      </c>
      <c r="S321" s="809">
        <f t="shared" si="104"/>
        <v>1</v>
      </c>
      <c r="T321" s="176">
        <f t="shared" si="105"/>
        <v>7</v>
      </c>
      <c r="U321" s="251">
        <f t="shared" si="106"/>
        <v>1.1987124984901254</v>
      </c>
      <c r="V321" s="383">
        <f t="shared" si="107"/>
        <v>21.914150958161986</v>
      </c>
      <c r="W321" s="58"/>
      <c r="X321" s="157">
        <f t="shared" si="108"/>
        <v>43772</v>
      </c>
      <c r="Y321" s="385">
        <f t="shared" si="109"/>
        <v>10.831</v>
      </c>
      <c r="Z321" s="385">
        <f t="shared" si="110"/>
        <v>10.947313872254927</v>
      </c>
      <c r="AA321" s="386">
        <f t="shared" si="111"/>
        <v>11.75430231955178</v>
      </c>
      <c r="AB321" s="197">
        <f t="shared" si="112"/>
        <v>43772</v>
      </c>
      <c r="AC321" s="425">
        <f>IF(OR(t&lt;Tnet,NoTnet),'2018'!Resal_s+('2018'!Salim-'2018'!Resal_s)*(1-EXP(('2018'!Tnet_s-t)/'2018'!Tau_j)),Resal_s+(Salim-Resal_s)*(1-EXP((Tnet_s-t)/Tau_j)))*Salcycl</f>
        <v>6.8654729592459968E-2</v>
      </c>
      <c r="AD321" s="231">
        <f>(INDEX(Models!$BJ321:$BT321,,AH321)*(1-AF321)+INDEX(Models!$BJ321:$BT321,,AH321+1)*AF321-ERP_i)*AE321*Ramure*Pc/MaxiM</f>
        <v>1.4628471410442361E-2</v>
      </c>
      <c r="AE321" s="305">
        <f t="shared" si="113"/>
        <v>0.8</v>
      </c>
      <c r="AF321" s="177">
        <f t="shared" si="114"/>
        <v>0.1987124984901254</v>
      </c>
      <c r="AG321" s="176">
        <f t="shared" si="115"/>
        <v>1</v>
      </c>
      <c r="AH321" s="176">
        <f t="shared" si="116"/>
        <v>7</v>
      </c>
      <c r="AI321" s="225">
        <f t="shared" si="117"/>
        <v>1.1987124984901254</v>
      </c>
      <c r="AJ321" s="265" t="b">
        <f t="shared" si="118"/>
        <v>0</v>
      </c>
      <c r="AK321" s="265" t="b">
        <f t="shared" si="119"/>
        <v>1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6">
        <v>7.923</v>
      </c>
      <c r="C322" s="390"/>
      <c r="D322" s="393">
        <f t="shared" si="99"/>
        <v>8.0082712879904818</v>
      </c>
      <c r="E322" s="385">
        <f t="shared" si="121"/>
        <v>8.5992201147077036</v>
      </c>
      <c r="F322" s="385">
        <f t="shared" si="100"/>
        <v>8.6111498129048218</v>
      </c>
      <c r="G322" s="110">
        <f t="shared" si="122"/>
        <v>0.36166639079440999</v>
      </c>
      <c r="H322" s="414" t="b">
        <f>Wh_hp&gt;='2018'!Maxi_hp</f>
        <v>0</v>
      </c>
      <c r="I322" s="390">
        <f>IF(H322,Wh_hp,'2018'!Maxi_hp)</f>
        <v>20.723995905929119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1.0647902015801902E-2</v>
      </c>
      <c r="M322" s="843"/>
      <c r="N322" s="843"/>
      <c r="O322" s="48">
        <f>IF(t&lt;Tnet,'2018'!Resal+('2018'!Salim-'2018'!Resal)*(1-EXP(('2018'!Tnet-t)/('2018'!Tau_j))),Resal+(Salim-Resal)*(1-EXP((Tnet-t)/(Tau_j))))*Salcycl</f>
        <v>6.8721211788321399E-2</v>
      </c>
      <c r="P322" s="169">
        <f>(INDEX(Models!$BJ322:$BT322,,T322)*(1-R322)+INDEX(Models!$BJ322:$BT322,,T322+1)*R322-ERP_i)*Q322*Ramure*Pc/MaxiM</f>
        <v>1.4580872155656992E-2</v>
      </c>
      <c r="Q322" s="305">
        <f t="shared" si="102"/>
        <v>0.8</v>
      </c>
      <c r="R322" s="177">
        <f t="shared" si="103"/>
        <v>0.19877219243033206</v>
      </c>
      <c r="S322" s="809">
        <f t="shared" si="104"/>
        <v>1</v>
      </c>
      <c r="T322" s="176">
        <f t="shared" si="105"/>
        <v>7</v>
      </c>
      <c r="U322" s="251">
        <f t="shared" si="106"/>
        <v>1.1987721924303321</v>
      </c>
      <c r="V322" s="383">
        <f t="shared" si="107"/>
        <v>21.617455368095694</v>
      </c>
      <c r="W322" s="58"/>
      <c r="X322" s="157">
        <f t="shared" si="108"/>
        <v>43773</v>
      </c>
      <c r="Y322" s="385">
        <f t="shared" si="109"/>
        <v>7.9229999999999992</v>
      </c>
      <c r="Z322" s="385">
        <f t="shared" si="110"/>
        <v>8.0082712879904818</v>
      </c>
      <c r="AA322" s="386">
        <f t="shared" si="111"/>
        <v>8.5992201147077036</v>
      </c>
      <c r="AB322" s="197">
        <f t="shared" si="112"/>
        <v>43773</v>
      </c>
      <c r="AC322" s="425">
        <f>IF(OR(t&lt;Tnet,NoTnet),'2018'!Resal_s+('2018'!Salim-'2018'!Resal_s)*(1-EXP(('2018'!Tnet_s-t)/'2018'!Tau_j)),Resal_s+(Salim-Resal_s)*(1-EXP((Tnet_s-t)/Tau_j)))*Salcycl</f>
        <v>6.8721211788321399E-2</v>
      </c>
      <c r="AD322" s="231">
        <f>(INDEX(Models!$BJ322:$BT322,,AH322)*(1-AF322)+INDEX(Models!$BJ322:$BT322,,AH322+1)*AF322-ERP_i)*AE322*Ramure*Pc/MaxiM</f>
        <v>1.4580872155656992E-2</v>
      </c>
      <c r="AE322" s="305">
        <f t="shared" si="113"/>
        <v>0.8</v>
      </c>
      <c r="AF322" s="177">
        <f t="shared" si="114"/>
        <v>0.19877219243033206</v>
      </c>
      <c r="AG322" s="176">
        <f t="shared" si="115"/>
        <v>1</v>
      </c>
      <c r="AH322" s="176">
        <f t="shared" si="116"/>
        <v>7</v>
      </c>
      <c r="AI322" s="225">
        <f t="shared" si="117"/>
        <v>1.1987721924303321</v>
      </c>
      <c r="AJ322" s="265" t="b">
        <f t="shared" si="118"/>
        <v>0</v>
      </c>
      <c r="AK322" s="265" t="b">
        <f t="shared" si="119"/>
        <v>1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6">
        <v>10.67</v>
      </c>
      <c r="C323" s="390"/>
      <c r="D323" s="393">
        <f t="shared" si="99"/>
        <v>10.785086860387777</v>
      </c>
      <c r="E323" s="385">
        <f t="shared" si="121"/>
        <v>11.581768830045867</v>
      </c>
      <c r="F323" s="385">
        <f t="shared" si="100"/>
        <v>11.630235497048256</v>
      </c>
      <c r="G323" s="110">
        <f t="shared" si="122"/>
        <v>0.49514278158311037</v>
      </c>
      <c r="H323" s="414" t="b">
        <f>Wh_hp&gt;='2018'!Maxi_hp</f>
        <v>1</v>
      </c>
      <c r="I323" s="390">
        <f>IF(H323,Wh_hp,'2018'!Maxi_hp)</f>
        <v>11.630235497048256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1.0670925684472365E-2</v>
      </c>
      <c r="M323" s="843"/>
      <c r="N323" s="843"/>
      <c r="O323" s="48">
        <f>IF(t&lt;Tnet,'2018'!Resal+('2018'!Salim-'2018'!Resal)*(1-EXP(('2018'!Tnet-t)/('2018'!Tau_j))),Resal+(Salim-Resal)*(1-EXP((Tnet-t)/(Tau_j))))*Salcycl</f>
        <v>6.8787590336918683E-2</v>
      </c>
      <c r="P323" s="169">
        <f>(INDEX(Models!$BJ323:$BT323,,T323)*(1-R323)+INDEX(Models!$BJ323:$BT323,,T323+1)*R323-ERP_i)*Q323*Ramure*Pc/MaxiM</f>
        <v>1.4559034467231452E-2</v>
      </c>
      <c r="Q323" s="305">
        <f t="shared" si="102"/>
        <v>0.8</v>
      </c>
      <c r="R323" s="177">
        <f t="shared" si="103"/>
        <v>0.19882949409879958</v>
      </c>
      <c r="S323" s="809">
        <f t="shared" si="104"/>
        <v>1</v>
      </c>
      <c r="T323" s="176">
        <f t="shared" si="105"/>
        <v>7</v>
      </c>
      <c r="U323" s="251">
        <f t="shared" si="106"/>
        <v>1.1988294940987996</v>
      </c>
      <c r="V323" s="383">
        <f t="shared" si="107"/>
        <v>21.324467548966126</v>
      </c>
      <c r="W323" s="58"/>
      <c r="X323" s="157">
        <f t="shared" si="108"/>
        <v>43774</v>
      </c>
      <c r="Y323" s="385">
        <f t="shared" si="109"/>
        <v>10.67</v>
      </c>
      <c r="Z323" s="385">
        <f t="shared" si="110"/>
        <v>10.785086860387777</v>
      </c>
      <c r="AA323" s="386">
        <f t="shared" si="111"/>
        <v>11.581768830045867</v>
      </c>
      <c r="AB323" s="197">
        <f t="shared" si="112"/>
        <v>43774</v>
      </c>
      <c r="AC323" s="425">
        <f>IF(OR(t&lt;Tnet,NoTnet),'2018'!Resal_s+('2018'!Salim-'2018'!Resal_s)*(1-EXP(('2018'!Tnet_s-t)/'2018'!Tau_j)),Resal_s+(Salim-Resal_s)*(1-EXP((Tnet_s-t)/Tau_j)))*Salcycl</f>
        <v>6.8787590336918683E-2</v>
      </c>
      <c r="AD323" s="231">
        <f>(INDEX(Models!$BJ323:$BT323,,AH323)*(1-AF323)+INDEX(Models!$BJ323:$BT323,,AH323+1)*AF323-ERP_i)*AE323*Ramure*Pc/MaxiM</f>
        <v>1.4559034467231452E-2</v>
      </c>
      <c r="AE323" s="305">
        <f t="shared" si="113"/>
        <v>0.8</v>
      </c>
      <c r="AF323" s="177">
        <f t="shared" si="114"/>
        <v>0.19882949409879958</v>
      </c>
      <c r="AG323" s="176">
        <f t="shared" si="115"/>
        <v>1</v>
      </c>
      <c r="AH323" s="176">
        <f t="shared" si="116"/>
        <v>7</v>
      </c>
      <c r="AI323" s="225">
        <f t="shared" si="117"/>
        <v>1.1988294940987996</v>
      </c>
      <c r="AJ323" s="265" t="b">
        <f t="shared" si="118"/>
        <v>0</v>
      </c>
      <c r="AK323" s="265" t="b">
        <f t="shared" si="119"/>
        <v>1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6">
        <v>11.632</v>
      </c>
      <c r="C324" s="390"/>
      <c r="D324" s="393">
        <f t="shared" si="99"/>
        <v>11.757736633769394</v>
      </c>
      <c r="E324" s="385">
        <f t="shared" si="121"/>
        <v>12.627166796459733</v>
      </c>
      <c r="F324" s="385">
        <f t="shared" si="100"/>
        <v>12.694046227896306</v>
      </c>
      <c r="G324" s="110">
        <f t="shared" si="122"/>
        <v>0.54779246549460037</v>
      </c>
      <c r="H324" s="414" t="b">
        <f>Wh_hp&gt;='2018'!Maxi_hp</f>
        <v>0</v>
      </c>
      <c r="I324" s="390">
        <f>IF(H324,Wh_hp,'2018'!Maxi_hp)</f>
        <v>17.517952679499345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1.0693948817348531E-2</v>
      </c>
      <c r="M324" s="843"/>
      <c r="N324" s="843"/>
      <c r="O324" s="48">
        <f>IF(t&lt;Tnet,'2018'!Resal+('2018'!Salim-'2018'!Resal)*(1-EXP(('2018'!Tnet-t)/('2018'!Tau_j))),Resal+(Salim-Resal)*(1-EXP((Tnet-t)/(Tau_j))))*Salcycl</f>
        <v>6.8853938235305501E-2</v>
      </c>
      <c r="P324" s="169">
        <f>(INDEX(Models!$BJ324:$BT324,,T324)*(1-R324)+INDEX(Models!$BJ324:$BT324,,T324+1)*R324-ERP_i)*Q324*Ramure*Pc/MaxiM</f>
        <v>1.4578903462911574E-2</v>
      </c>
      <c r="Q324" s="305">
        <f t="shared" si="102"/>
        <v>0.8</v>
      </c>
      <c r="R324" s="177">
        <f t="shared" si="103"/>
        <v>0.19888449893616267</v>
      </c>
      <c r="S324" s="809">
        <f t="shared" si="104"/>
        <v>1</v>
      </c>
      <c r="T324" s="176">
        <f t="shared" si="105"/>
        <v>7</v>
      </c>
      <c r="U324" s="251">
        <f t="shared" si="106"/>
        <v>1.1988844989361627</v>
      </c>
      <c r="V324" s="383">
        <f t="shared" si="107"/>
        <v>21.035573313262237</v>
      </c>
      <c r="W324" s="58"/>
      <c r="X324" s="157">
        <f t="shared" si="108"/>
        <v>43775</v>
      </c>
      <c r="Y324" s="385">
        <f t="shared" si="109"/>
        <v>11.632</v>
      </c>
      <c r="Z324" s="385">
        <f t="shared" si="110"/>
        <v>11.757736633769394</v>
      </c>
      <c r="AA324" s="386">
        <f t="shared" si="111"/>
        <v>12.627166796459733</v>
      </c>
      <c r="AB324" s="197">
        <f t="shared" si="112"/>
        <v>43775</v>
      </c>
      <c r="AC324" s="425">
        <f>IF(OR(t&lt;Tnet,NoTnet),'2018'!Resal_s+('2018'!Salim-'2018'!Resal_s)*(1-EXP(('2018'!Tnet_s-t)/'2018'!Tau_j)),Resal_s+(Salim-Resal_s)*(1-EXP((Tnet_s-t)/Tau_j)))*Salcycl</f>
        <v>6.8853938235305501E-2</v>
      </c>
      <c r="AD324" s="231">
        <f>(INDEX(Models!$BJ324:$BT324,,AH324)*(1-AF324)+INDEX(Models!$BJ324:$BT324,,AH324+1)*AF324-ERP_i)*AE324*Ramure*Pc/MaxiM</f>
        <v>1.4578903462911574E-2</v>
      </c>
      <c r="AE324" s="305">
        <f t="shared" si="113"/>
        <v>0.8</v>
      </c>
      <c r="AF324" s="177">
        <f t="shared" si="114"/>
        <v>0.19888449893616267</v>
      </c>
      <c r="AG324" s="176">
        <f t="shared" si="115"/>
        <v>1</v>
      </c>
      <c r="AH324" s="176">
        <f t="shared" si="116"/>
        <v>7</v>
      </c>
      <c r="AI324" s="225">
        <f t="shared" si="117"/>
        <v>1.1988844989361627</v>
      </c>
      <c r="AJ324" s="265" t="b">
        <f t="shared" si="118"/>
        <v>0</v>
      </c>
      <c r="AK324" s="265" t="b">
        <f t="shared" si="119"/>
        <v>1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6">
        <v>4.0389999999999997</v>
      </c>
      <c r="C325" s="390"/>
      <c r="D325" s="393">
        <f t="shared" si="99"/>
        <v>4.0827547661206944</v>
      </c>
      <c r="E325" s="385">
        <f t="shared" si="121"/>
        <v>4.3849682161208046</v>
      </c>
      <c r="F325" s="385">
        <f t="shared" si="100"/>
        <v>4.3849682161208046</v>
      </c>
      <c r="G325" s="110">
        <f t="shared" si="122"/>
        <v>0.19178685256982375</v>
      </c>
      <c r="H325" s="414" t="b">
        <f>Wh_hp&gt;='2018'!Maxi_hp</f>
        <v>0</v>
      </c>
      <c r="I325" s="390">
        <f>IF(H325,Wh_hp,'2018'!Maxi_hp)</f>
        <v>8.9289740103048292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1.0716971414442611E-2</v>
      </c>
      <c r="M325" s="843"/>
      <c r="N325" s="843"/>
      <c r="O325" s="48">
        <f>IF(t&lt;Tnet,'2018'!Resal+('2018'!Salim-'2018'!Resal)*(1-EXP(('2018'!Tnet-t)/('2018'!Tau_j))),Resal+(Salim-Resal)*(1-EXP((Tnet-t)/(Tau_j))))*Salcycl</f>
        <v>6.8920328518929624E-2</v>
      </c>
      <c r="P325" s="169">
        <f>(INDEX(Models!$BJ325:$BT325,,T325)*(1-R325)+INDEX(Models!$BJ325:$BT325,,T325+1)*R325-ERP_i)*Q325*Ramure*Pc/MaxiM</f>
        <v>1.4628965588766975E-2</v>
      </c>
      <c r="Q325" s="305">
        <f t="shared" si="102"/>
        <v>0.8</v>
      </c>
      <c r="R325" s="177">
        <f t="shared" si="103"/>
        <v>0.19893729860936782</v>
      </c>
      <c r="S325" s="809">
        <f t="shared" si="104"/>
        <v>1</v>
      </c>
      <c r="T325" s="176">
        <f t="shared" si="105"/>
        <v>7</v>
      </c>
      <c r="U325" s="251">
        <f t="shared" si="106"/>
        <v>1.1989372986093678</v>
      </c>
      <c r="V325" s="383">
        <f t="shared" si="107"/>
        <v>20.751754120048474</v>
      </c>
      <c r="W325" s="58"/>
      <c r="X325" s="157">
        <f t="shared" si="108"/>
        <v>43776</v>
      </c>
      <c r="Y325" s="385">
        <f t="shared" si="109"/>
        <v>4.0389999999999997</v>
      </c>
      <c r="Z325" s="385">
        <f t="shared" si="110"/>
        <v>4.0827547661206944</v>
      </c>
      <c r="AA325" s="386">
        <f t="shared" si="111"/>
        <v>4.3849682161208046</v>
      </c>
      <c r="AB325" s="197">
        <f t="shared" si="112"/>
        <v>43776</v>
      </c>
      <c r="AC325" s="425">
        <f>IF(OR(t&lt;Tnet,NoTnet),'2018'!Resal_s+('2018'!Salim-'2018'!Resal_s)*(1-EXP(('2018'!Tnet_s-t)/'2018'!Tau_j)),Resal_s+(Salim-Resal_s)*(1-EXP((Tnet_s-t)/Tau_j)))*Salcycl</f>
        <v>6.8920328518929624E-2</v>
      </c>
      <c r="AD325" s="231">
        <f>(INDEX(Models!$BJ325:$BT325,,AH325)*(1-AF325)+INDEX(Models!$BJ325:$BT325,,AH325+1)*AF325-ERP_i)*AE325*Ramure*Pc/MaxiM</f>
        <v>1.4628965588766975E-2</v>
      </c>
      <c r="AE325" s="305">
        <f t="shared" si="113"/>
        <v>0.8</v>
      </c>
      <c r="AF325" s="177">
        <f t="shared" si="114"/>
        <v>0.19893729860936782</v>
      </c>
      <c r="AG325" s="176">
        <f t="shared" si="115"/>
        <v>1</v>
      </c>
      <c r="AH325" s="176">
        <f t="shared" si="116"/>
        <v>7</v>
      </c>
      <c r="AI325" s="225">
        <f t="shared" si="117"/>
        <v>1.1989372986093678</v>
      </c>
      <c r="AJ325" s="265" t="b">
        <f t="shared" si="118"/>
        <v>0</v>
      </c>
      <c r="AK325" s="265" t="b">
        <f t="shared" si="119"/>
        <v>1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6">
        <v>11.787000000000001</v>
      </c>
      <c r="C326" s="390"/>
      <c r="D326" s="393">
        <f t="shared" si="99"/>
        <v>11.9149666642379</v>
      </c>
      <c r="E326" s="385">
        <f t="shared" si="121"/>
        <v>12.797849803244011</v>
      </c>
      <c r="F326" s="385">
        <f t="shared" si="100"/>
        <v>12.87242838422341</v>
      </c>
      <c r="G326" s="110">
        <f t="shared" si="122"/>
        <v>0.57055044192700921</v>
      </c>
      <c r="H326" s="414" t="b">
        <f>Wh_hp&gt;='2018'!Maxi_hp</f>
        <v>0</v>
      </c>
      <c r="I326" s="390">
        <f>IF(H326,Wh_hp,'2018'!Maxi_hp)</f>
        <v>13.1579986577722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1.0739993475767262E-2</v>
      </c>
      <c r="M326" s="843"/>
      <c r="N326" s="843"/>
      <c r="O326" s="48">
        <f>IF(t&lt;Tnet,'2018'!Resal+('2018'!Salim-'2018'!Resal)*(1-EXP(('2018'!Tnet-t)/('2018'!Tau_j))),Resal+(Salim-Resal)*(1-EXP((Tnet-t)/(Tau_j))))*Salcycl</f>
        <v>6.8986833927549063E-2</v>
      </c>
      <c r="P326" s="169">
        <f>(INDEX(Models!$BJ326:$BT326,,T326)*(1-R326)+INDEX(Models!$BJ326:$BT326,,T326+1)*R326-ERP_i)*Q326*Ramure*Pc/MaxiM</f>
        <v>1.4709369202157102E-2</v>
      </c>
      <c r="Q326" s="305">
        <f t="shared" si="102"/>
        <v>0.8</v>
      </c>
      <c r="R326" s="177">
        <f t="shared" si="103"/>
        <v>0.19898798115820693</v>
      </c>
      <c r="S326" s="809">
        <f t="shared" si="104"/>
        <v>1</v>
      </c>
      <c r="T326" s="176">
        <f t="shared" si="105"/>
        <v>7</v>
      </c>
      <c r="U326" s="251">
        <f t="shared" si="106"/>
        <v>1.1989879811582069</v>
      </c>
      <c r="V326" s="383">
        <f t="shared" si="107"/>
        <v>20.473734440863172</v>
      </c>
      <c r="W326" s="58"/>
      <c r="X326" s="157">
        <f t="shared" si="108"/>
        <v>43777</v>
      </c>
      <c r="Y326" s="385">
        <f t="shared" si="109"/>
        <v>11.787000000000001</v>
      </c>
      <c r="Z326" s="385">
        <f t="shared" si="110"/>
        <v>11.9149666642379</v>
      </c>
      <c r="AA326" s="386">
        <f t="shared" si="111"/>
        <v>12.797849803244011</v>
      </c>
      <c r="AB326" s="197">
        <f t="shared" si="112"/>
        <v>43777</v>
      </c>
      <c r="AC326" s="425">
        <f>IF(OR(t&lt;Tnet,NoTnet),'2018'!Resal_s+('2018'!Salim-'2018'!Resal_s)*(1-EXP(('2018'!Tnet_s-t)/'2018'!Tau_j)),Resal_s+(Salim-Resal_s)*(1-EXP((Tnet_s-t)/Tau_j)))*Salcycl</f>
        <v>6.8986833927549063E-2</v>
      </c>
      <c r="AD326" s="231">
        <f>(INDEX(Models!$BJ326:$BT326,,AH326)*(1-AF326)+INDEX(Models!$BJ326:$BT326,,AH326+1)*AF326-ERP_i)*AE326*Ramure*Pc/MaxiM</f>
        <v>1.4709369202157102E-2</v>
      </c>
      <c r="AE326" s="305">
        <f t="shared" si="113"/>
        <v>0.8</v>
      </c>
      <c r="AF326" s="177">
        <f t="shared" si="114"/>
        <v>0.19898798115820693</v>
      </c>
      <c r="AG326" s="176">
        <f t="shared" si="115"/>
        <v>1</v>
      </c>
      <c r="AH326" s="176">
        <f t="shared" si="116"/>
        <v>7</v>
      </c>
      <c r="AI326" s="225">
        <f t="shared" si="117"/>
        <v>1.1989879811582069</v>
      </c>
      <c r="AJ326" s="265" t="b">
        <f t="shared" si="118"/>
        <v>0</v>
      </c>
      <c r="AK326" s="265" t="b">
        <f t="shared" si="119"/>
        <v>1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6">
        <v>13.933999999999999</v>
      </c>
      <c r="C327" s="390"/>
      <c r="D327" s="393">
        <f t="shared" si="99"/>
        <v>14.085603562445458</v>
      </c>
      <c r="E327" s="385">
        <f t="shared" si="121"/>
        <v>15.130411859822285</v>
      </c>
      <c r="F327" s="385">
        <f t="shared" si="100"/>
        <v>15.256294051094057</v>
      </c>
      <c r="G327" s="110">
        <f t="shared" si="122"/>
        <v>0.68515701401424345</v>
      </c>
      <c r="H327" s="414" t="b">
        <f>Wh_hp&gt;='2018'!Maxi_hp</f>
        <v>1</v>
      </c>
      <c r="I327" s="390">
        <f>IF(H327,Wh_hp,'2018'!Maxi_hp)</f>
        <v>15.256294051094057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1.076301500133503E-2</v>
      </c>
      <c r="M327" s="843"/>
      <c r="N327" s="843"/>
      <c r="O327" s="48">
        <f>IF(t&lt;Tnet,'2018'!Resal+('2018'!Salim-'2018'!Resal)*(1-EXP(('2018'!Tnet-t)/('2018'!Tau_j))),Resal+(Salim-Resal)*(1-EXP((Tnet-t)/(Tau_j))))*Salcycl</f>
        <v>6.9053526569970033E-2</v>
      </c>
      <c r="P327" s="169">
        <f>(INDEX(Models!$BJ327:$BT327,,T327)*(1-R327)+INDEX(Models!$BJ327:$BT327,,T327+1)*R327-ERP_i)*Q327*Ramure*Pc/MaxiM</f>
        <v>1.4820211635660486E-2</v>
      </c>
      <c r="Q327" s="305">
        <f t="shared" si="102"/>
        <v>0.8</v>
      </c>
      <c r="R327" s="177">
        <f t="shared" si="103"/>
        <v>0.19903663113637049</v>
      </c>
      <c r="S327" s="809">
        <f t="shared" si="104"/>
        <v>1</v>
      </c>
      <c r="T327" s="176">
        <f t="shared" si="105"/>
        <v>7</v>
      </c>
      <c r="U327" s="251">
        <f t="shared" si="106"/>
        <v>1.1990366311363705</v>
      </c>
      <c r="V327" s="383">
        <f t="shared" si="107"/>
        <v>20.202238428964598</v>
      </c>
      <c r="W327" s="58"/>
      <c r="X327" s="157">
        <f t="shared" si="108"/>
        <v>43778</v>
      </c>
      <c r="Y327" s="385">
        <f t="shared" si="109"/>
        <v>13.933999999999999</v>
      </c>
      <c r="Z327" s="385">
        <f t="shared" si="110"/>
        <v>14.085603562445458</v>
      </c>
      <c r="AA327" s="386">
        <f t="shared" si="111"/>
        <v>15.130411859822285</v>
      </c>
      <c r="AB327" s="197">
        <f t="shared" si="112"/>
        <v>43778</v>
      </c>
      <c r="AC327" s="425">
        <f>IF(OR(t&lt;Tnet,NoTnet),'2018'!Resal_s+('2018'!Salim-'2018'!Resal_s)*(1-EXP(('2018'!Tnet_s-t)/'2018'!Tau_j)),Resal_s+(Salim-Resal_s)*(1-EXP((Tnet_s-t)/Tau_j)))*Salcycl</f>
        <v>6.9053526569970033E-2</v>
      </c>
      <c r="AD327" s="231">
        <f>(INDEX(Models!$BJ327:$BT327,,AH327)*(1-AF327)+INDEX(Models!$BJ327:$BT327,,AH327+1)*AF327-ERP_i)*AE327*Ramure*Pc/MaxiM</f>
        <v>1.4820211635660486E-2</v>
      </c>
      <c r="AE327" s="305">
        <f t="shared" si="113"/>
        <v>0.8</v>
      </c>
      <c r="AF327" s="177">
        <f t="shared" si="114"/>
        <v>0.19903663113637049</v>
      </c>
      <c r="AG327" s="176">
        <f t="shared" si="115"/>
        <v>1</v>
      </c>
      <c r="AH327" s="176">
        <f t="shared" si="116"/>
        <v>7</v>
      </c>
      <c r="AI327" s="225">
        <f t="shared" si="117"/>
        <v>1.1990366311363705</v>
      </c>
      <c r="AJ327" s="265" t="b">
        <f t="shared" si="118"/>
        <v>0</v>
      </c>
      <c r="AK327" s="265" t="b">
        <f t="shared" si="119"/>
        <v>1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6">
        <v>13.53</v>
      </c>
      <c r="C328" s="390"/>
      <c r="D328" s="393">
        <f t="shared" si="99"/>
        <v>13.677526290843044</v>
      </c>
      <c r="E328" s="385">
        <f t="shared" si="121"/>
        <v>14.693121893402475</v>
      </c>
      <c r="F328" s="385">
        <f t="shared" si="100"/>
        <v>14.81299060897455</v>
      </c>
      <c r="G328" s="110">
        <f t="shared" si="122"/>
        <v>0.67390438936458696</v>
      </c>
      <c r="H328" s="414" t="b">
        <f>Wh_hp&gt;='2018'!Maxi_hp</f>
        <v>0</v>
      </c>
      <c r="I328" s="390">
        <f>IF(H328,Wh_hp,'2018'!Maxi_hp)</f>
        <v>15.743855645417897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1.0786035991158127E-2</v>
      </c>
      <c r="M328" s="843"/>
      <c r="N328" s="843"/>
      <c r="O328" s="48">
        <f>IF(t&lt;Tnet,'2018'!Resal+('2018'!Salim-'2018'!Resal)*(1-EXP(('2018'!Tnet-t)/('2018'!Tau_j))),Resal+(Salim-Resal)*(1-EXP((Tnet-t)/(Tau_j))))*Salcycl</f>
        <v>6.9120477589956847E-2</v>
      </c>
      <c r="P328" s="169">
        <f>(INDEX(Models!$BJ328:$BT328,,T328)*(1-R328)+INDEX(Models!$BJ328:$BT328,,T328+1)*R328-ERP_i)*Q328*Ramure*Pc/MaxiM</f>
        <v>1.4961527220403828E-2</v>
      </c>
      <c r="Q328" s="305">
        <f t="shared" si="102"/>
        <v>0.8</v>
      </c>
      <c r="R328" s="177">
        <f t="shared" si="103"/>
        <v>0.19908332974721255</v>
      </c>
      <c r="S328" s="809">
        <f t="shared" si="104"/>
        <v>1</v>
      </c>
      <c r="T328" s="176">
        <f t="shared" si="105"/>
        <v>7</v>
      </c>
      <c r="U328" s="251">
        <f t="shared" si="106"/>
        <v>1.1990833297472125</v>
      </c>
      <c r="V328" s="383">
        <f t="shared" si="107"/>
        <v>19.937989853415747</v>
      </c>
      <c r="W328" s="58"/>
      <c r="X328" s="157">
        <f t="shared" si="108"/>
        <v>43779</v>
      </c>
      <c r="Y328" s="385">
        <f t="shared" si="109"/>
        <v>13.53</v>
      </c>
      <c r="Z328" s="385">
        <f t="shared" si="110"/>
        <v>13.677526290843044</v>
      </c>
      <c r="AA328" s="386">
        <f t="shared" si="111"/>
        <v>14.693121893402475</v>
      </c>
      <c r="AB328" s="197">
        <f t="shared" si="112"/>
        <v>43779</v>
      </c>
      <c r="AC328" s="425">
        <f>IF(OR(t&lt;Tnet,NoTnet),'2018'!Resal_s+('2018'!Salim-'2018'!Resal_s)*(1-EXP(('2018'!Tnet_s-t)/'2018'!Tau_j)),Resal_s+(Salim-Resal_s)*(1-EXP((Tnet_s-t)/Tau_j)))*Salcycl</f>
        <v>6.9120477589956847E-2</v>
      </c>
      <c r="AD328" s="231">
        <f>(INDEX(Models!$BJ328:$BT328,,AH328)*(1-AF328)+INDEX(Models!$BJ328:$BT328,,AH328+1)*AF328-ERP_i)*AE328*Ramure*Pc/MaxiM</f>
        <v>1.4961527220403828E-2</v>
      </c>
      <c r="AE328" s="305">
        <f t="shared" si="113"/>
        <v>0.8</v>
      </c>
      <c r="AF328" s="177">
        <f t="shared" si="114"/>
        <v>0.19908332974721255</v>
      </c>
      <c r="AG328" s="176">
        <f t="shared" si="115"/>
        <v>1</v>
      </c>
      <c r="AH328" s="176">
        <f t="shared" si="116"/>
        <v>7</v>
      </c>
      <c r="AI328" s="225">
        <f t="shared" si="117"/>
        <v>1.1990833297472125</v>
      </c>
      <c r="AJ328" s="265" t="b">
        <f t="shared" si="118"/>
        <v>0</v>
      </c>
      <c r="AK328" s="265" t="b">
        <f t="shared" si="119"/>
        <v>1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6">
        <v>16.792000000000002</v>
      </c>
      <c r="C329" s="390"/>
      <c r="D329" s="393">
        <f t="shared" si="99"/>
        <v>16.975489018991993</v>
      </c>
      <c r="E329" s="385">
        <f t="shared" si="121"/>
        <v>18.237285922758449</v>
      </c>
      <c r="F329" s="385">
        <f t="shared" si="100"/>
        <v>18.458027895384895</v>
      </c>
      <c r="G329" s="110">
        <f t="shared" si="122"/>
        <v>0.85043692295683437</v>
      </c>
      <c r="H329" s="414" t="b">
        <f>Wh_hp&gt;='2018'!Maxi_hp</f>
        <v>0</v>
      </c>
      <c r="I329" s="390">
        <f>IF(H329,Wh_hp,'2018'!Maxi_hp)</f>
        <v>18.748346260015087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1.080905644524921E-2</v>
      </c>
      <c r="M329" s="843"/>
      <c r="N329" s="843"/>
      <c r="O329" s="48">
        <f>IF(t&lt;Tnet,'2018'!Resal+('2018'!Salim-'2018'!Resal)*(1-EXP(('2018'!Tnet-t)/('2018'!Tau_j))),Resal+(Salim-Resal)*(1-EXP((Tnet-t)/(Tau_j))))*Salcycl</f>
        <v>6.9187756835673145E-2</v>
      </c>
      <c r="P329" s="169">
        <f>(INDEX(Models!$BJ329:$BT329,,T329)*(1-R329)+INDEX(Models!$BJ329:$BT329,,T329+1)*R329-ERP_i)*Q329*Ramure*Pc/MaxiM</f>
        <v>1.5133274518279661E-2</v>
      </c>
      <c r="Q329" s="305">
        <f t="shared" si="102"/>
        <v>0.8</v>
      </c>
      <c r="R329" s="177">
        <f t="shared" si="103"/>
        <v>0.19912815497440928</v>
      </c>
      <c r="S329" s="809">
        <f t="shared" si="104"/>
        <v>1</v>
      </c>
      <c r="T329" s="176">
        <f t="shared" si="105"/>
        <v>7</v>
      </c>
      <c r="U329" s="251">
        <f t="shared" si="106"/>
        <v>1.1991281549744093</v>
      </c>
      <c r="V329" s="383">
        <f t="shared" si="107"/>
        <v>19.681712058493122</v>
      </c>
      <c r="W329" s="58"/>
      <c r="X329" s="157">
        <f t="shared" si="108"/>
        <v>43780</v>
      </c>
      <c r="Y329" s="385">
        <f t="shared" si="109"/>
        <v>16.792000000000002</v>
      </c>
      <c r="Z329" s="385">
        <f t="shared" si="110"/>
        <v>16.975489018991993</v>
      </c>
      <c r="AA329" s="386">
        <f t="shared" si="111"/>
        <v>18.237285922758449</v>
      </c>
      <c r="AB329" s="197">
        <f t="shared" si="112"/>
        <v>43780</v>
      </c>
      <c r="AC329" s="425">
        <f>IF(OR(t&lt;Tnet,NoTnet),'2018'!Resal_s+('2018'!Salim-'2018'!Resal_s)*(1-EXP(('2018'!Tnet_s-t)/'2018'!Tau_j)),Resal_s+(Salim-Resal_s)*(1-EXP((Tnet_s-t)/Tau_j)))*Salcycl</f>
        <v>6.9187756835673145E-2</v>
      </c>
      <c r="AD329" s="231">
        <f>(INDEX(Models!$BJ329:$BT329,,AH329)*(1-AF329)+INDEX(Models!$BJ329:$BT329,,AH329+1)*AF329-ERP_i)*AE329*Ramure*Pc/MaxiM</f>
        <v>1.5133274518279661E-2</v>
      </c>
      <c r="AE329" s="305">
        <f t="shared" si="113"/>
        <v>0.8</v>
      </c>
      <c r="AF329" s="177">
        <f t="shared" si="114"/>
        <v>0.19912815497440928</v>
      </c>
      <c r="AG329" s="176">
        <f t="shared" si="115"/>
        <v>1</v>
      </c>
      <c r="AH329" s="176">
        <f t="shared" si="116"/>
        <v>7</v>
      </c>
      <c r="AI329" s="225">
        <f t="shared" si="117"/>
        <v>1.1991281549744093</v>
      </c>
      <c r="AJ329" s="265" t="b">
        <f t="shared" si="118"/>
        <v>0</v>
      </c>
      <c r="AK329" s="265" t="b">
        <f t="shared" si="119"/>
        <v>1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6">
        <v>15.907</v>
      </c>
      <c r="C330" s="390"/>
      <c r="D330" s="393">
        <f t="shared" si="99"/>
        <v>16.081192707424929</v>
      </c>
      <c r="E330" s="385">
        <f t="shared" si="121"/>
        <v>17.277772301399679</v>
      </c>
      <c r="F330" s="385">
        <f t="shared" si="100"/>
        <v>17.476290380732689</v>
      </c>
      <c r="G330" s="110">
        <f t="shared" si="122"/>
        <v>0.81521673977345777</v>
      </c>
      <c r="H330" s="414" t="b">
        <f>Wh_hp&gt;='2018'!Maxi_hp</f>
        <v>0</v>
      </c>
      <c r="I330" s="390">
        <f>IF(H330,Wh_hp,'2018'!Maxi_hp)</f>
        <v>20.456822041646511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1.0832076363620713E-2</v>
      </c>
      <c r="M330" s="843"/>
      <c r="N330" s="843"/>
      <c r="O330" s="48">
        <f>IF(t&lt;Tnet,'2018'!Resal+('2018'!Salim-'2018'!Resal)*(1-EXP(('2018'!Tnet-t)/('2018'!Tau_j))),Resal+(Salim-Resal)*(1-EXP((Tnet-t)/(Tau_j))))*Salcycl</f>
        <v>6.9255432535004255E-2</v>
      </c>
      <c r="P330" s="169">
        <f>(INDEX(Models!$BJ330:$BT330,,T330)*(1-R330)+INDEX(Models!$BJ330:$BT330,,T330+1)*R330-ERP_i)*Q330*Ramure*Pc/MaxiM</f>
        <v>1.5335322875795731E-2</v>
      </c>
      <c r="Q330" s="305">
        <f t="shared" si="102"/>
        <v>0.8</v>
      </c>
      <c r="R330" s="177">
        <f t="shared" si="103"/>
        <v>0.19917118170768511</v>
      </c>
      <c r="S330" s="809">
        <f t="shared" si="104"/>
        <v>1</v>
      </c>
      <c r="T330" s="176">
        <f t="shared" si="105"/>
        <v>7</v>
      </c>
      <c r="U330" s="251">
        <f t="shared" si="106"/>
        <v>1.1991711817076851</v>
      </c>
      <c r="V330" s="383">
        <f t="shared" si="107"/>
        <v>19.434127909950671</v>
      </c>
      <c r="W330" s="58"/>
      <c r="X330" s="157">
        <f t="shared" si="108"/>
        <v>43781</v>
      </c>
      <c r="Y330" s="385">
        <f t="shared" si="109"/>
        <v>15.907000000000002</v>
      </c>
      <c r="Z330" s="385">
        <f t="shared" si="110"/>
        <v>16.081192707424929</v>
      </c>
      <c r="AA330" s="386">
        <f t="shared" si="111"/>
        <v>17.277772301399679</v>
      </c>
      <c r="AB330" s="197">
        <f t="shared" si="112"/>
        <v>43781</v>
      </c>
      <c r="AC330" s="425">
        <f>IF(OR(t&lt;Tnet,NoTnet),'2018'!Resal_s+('2018'!Salim-'2018'!Resal_s)*(1-EXP(('2018'!Tnet_s-t)/'2018'!Tau_j)),Resal_s+(Salim-Resal_s)*(1-EXP((Tnet_s-t)/Tau_j)))*Salcycl</f>
        <v>6.9255432535004255E-2</v>
      </c>
      <c r="AD330" s="231">
        <f>(INDEX(Models!$BJ330:$BT330,,AH330)*(1-AF330)+INDEX(Models!$BJ330:$BT330,,AH330+1)*AF330-ERP_i)*AE330*Ramure*Pc/MaxiM</f>
        <v>1.5335322875795731E-2</v>
      </c>
      <c r="AE330" s="305">
        <f t="shared" si="113"/>
        <v>0.8</v>
      </c>
      <c r="AF330" s="177">
        <f t="shared" si="114"/>
        <v>0.19917118170768511</v>
      </c>
      <c r="AG330" s="176">
        <f t="shared" si="115"/>
        <v>1</v>
      </c>
      <c r="AH330" s="176">
        <f t="shared" si="116"/>
        <v>7</v>
      </c>
      <c r="AI330" s="225">
        <f t="shared" si="117"/>
        <v>1.1991711817076851</v>
      </c>
      <c r="AJ330" s="265" t="b">
        <f t="shared" si="118"/>
        <v>0</v>
      </c>
      <c r="AK330" s="265" t="b">
        <f t="shared" si="119"/>
        <v>1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6">
        <v>15.058999999999999</v>
      </c>
      <c r="C331" s="390"/>
      <c r="D331" s="393">
        <f t="shared" si="99"/>
        <v>15.224260808745345</v>
      </c>
      <c r="E331" s="385">
        <f t="shared" si="121"/>
        <v>16.358274835391921</v>
      </c>
      <c r="F331" s="385">
        <f t="shared" si="100"/>
        <v>16.536497998127778</v>
      </c>
      <c r="G331" s="110">
        <f t="shared" si="122"/>
        <v>0.78076998179774493</v>
      </c>
      <c r="H331" s="414" t="b">
        <f>Wh_hp&gt;='2018'!Maxi_hp</f>
        <v>1</v>
      </c>
      <c r="I331" s="390">
        <f>IF(H331,Wh_hp,'2018'!Maxi_hp)</f>
        <v>16.536497998127778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1.0855095746285071E-2</v>
      </c>
      <c r="M331" s="843"/>
      <c r="N331" s="843"/>
      <c r="O331" s="48">
        <f>IF(t&lt;Tnet,'2018'!Resal+('2018'!Salim-'2018'!Resal)*(1-EXP(('2018'!Tnet-t)/('2018'!Tau_j))),Resal+(Salim-Resal)*(1-EXP((Tnet-t)/(Tau_j))))*Salcycl</f>
        <v>6.9323570979079138E-2</v>
      </c>
      <c r="P331" s="169">
        <f>(INDEX(Models!$BJ331:$BT331,,T331)*(1-R331)+INDEX(Models!$BJ331:$BT331,,T331+1)*R331-ERP_i)*Q331*Ramure*Pc/MaxiM</f>
        <v>1.5569044106527334E-2</v>
      </c>
      <c r="Q331" s="305">
        <f t="shared" si="102"/>
        <v>0.8</v>
      </c>
      <c r="R331" s="177">
        <f t="shared" si="103"/>
        <v>0.19921248186378593</v>
      </c>
      <c r="S331" s="809">
        <f t="shared" si="104"/>
        <v>1</v>
      </c>
      <c r="T331" s="176">
        <f t="shared" si="105"/>
        <v>7</v>
      </c>
      <c r="U331" s="251">
        <f t="shared" si="106"/>
        <v>1.1992124818637859</v>
      </c>
      <c r="V331" s="383">
        <f t="shared" si="107"/>
        <v>19.193948693387796</v>
      </c>
      <c r="W331" s="58"/>
      <c r="X331" s="157">
        <f t="shared" si="108"/>
        <v>43782</v>
      </c>
      <c r="Y331" s="385">
        <f t="shared" si="109"/>
        <v>15.058999999999997</v>
      </c>
      <c r="Z331" s="385">
        <f t="shared" si="110"/>
        <v>15.224260808745344</v>
      </c>
      <c r="AA331" s="386">
        <f t="shared" si="111"/>
        <v>16.358274835391921</v>
      </c>
      <c r="AB331" s="197">
        <f t="shared" si="112"/>
        <v>43782</v>
      </c>
      <c r="AC331" s="425">
        <f>IF(OR(t&lt;Tnet,NoTnet),'2018'!Resal_s+('2018'!Salim-'2018'!Resal_s)*(1-EXP(('2018'!Tnet_s-t)/'2018'!Tau_j)),Resal_s+(Salim-Resal_s)*(1-EXP((Tnet_s-t)/Tau_j)))*Salcycl</f>
        <v>6.9323570979079138E-2</v>
      </c>
      <c r="AD331" s="231">
        <f>(INDEX(Models!$BJ331:$BT331,,AH331)*(1-AF331)+INDEX(Models!$BJ331:$BT331,,AH331+1)*AF331-ERP_i)*AE331*Ramure*Pc/MaxiM</f>
        <v>1.5569044106527334E-2</v>
      </c>
      <c r="AE331" s="305">
        <f t="shared" si="113"/>
        <v>0.8</v>
      </c>
      <c r="AF331" s="177">
        <f t="shared" si="114"/>
        <v>0.19921248186378593</v>
      </c>
      <c r="AG331" s="176">
        <f t="shared" si="115"/>
        <v>1</v>
      </c>
      <c r="AH331" s="176">
        <f t="shared" si="116"/>
        <v>7</v>
      </c>
      <c r="AI331" s="225">
        <f t="shared" si="117"/>
        <v>1.1992124818637859</v>
      </c>
      <c r="AJ331" s="265" t="b">
        <f t="shared" si="118"/>
        <v>0</v>
      </c>
      <c r="AK331" s="265" t="b">
        <f t="shared" si="119"/>
        <v>1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6">
        <v>5.7370000000000001</v>
      </c>
      <c r="C332" s="390"/>
      <c r="D332" s="393">
        <f t="shared" si="99"/>
        <v>5.8000940881424734</v>
      </c>
      <c r="E332" s="385">
        <f t="shared" si="121"/>
        <v>6.2325872551932981</v>
      </c>
      <c r="F332" s="385">
        <f t="shared" si="100"/>
        <v>6.2329524080878738</v>
      </c>
      <c r="G332" s="110">
        <f t="shared" si="122"/>
        <v>0.29781826017317681</v>
      </c>
      <c r="H332" s="414" t="b">
        <f>Wh_hp&gt;='2018'!Maxi_hp</f>
        <v>0</v>
      </c>
      <c r="I332" s="390">
        <f>IF(H332,Wh_hp,'2018'!Maxi_hp)</f>
        <v>14.924693250001198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1.0878114593254717E-2</v>
      </c>
      <c r="M332" s="843"/>
      <c r="N332" s="843"/>
      <c r="O332" s="48">
        <f>IF(t&lt;Tnet,'2018'!Resal+('2018'!Salim-'2018'!Resal)*(1-EXP(('2018'!Tnet-t)/('2018'!Tau_j))),Resal+(Salim-Resal)*(1-EXP((Tnet-t)/(Tau_j))))*Salcycl</f>
        <v>6.9392236216259978E-2</v>
      </c>
      <c r="P332" s="169">
        <f>(INDEX(Models!$BJ332:$BT332,,T332)*(1-R332)+INDEX(Models!$BJ332:$BT332,,T332+1)*R332-ERP_i)*Q332*Ramure*Pc/MaxiM</f>
        <v>1.5829492280271942E-2</v>
      </c>
      <c r="Q332" s="305">
        <f t="shared" si="102"/>
        <v>0.8</v>
      </c>
      <c r="R332" s="177">
        <f t="shared" si="103"/>
        <v>0.19925212450286001</v>
      </c>
      <c r="S332" s="809">
        <f t="shared" si="104"/>
        <v>1</v>
      </c>
      <c r="T332" s="176">
        <f t="shared" si="105"/>
        <v>7</v>
      </c>
      <c r="U332" s="251">
        <f t="shared" si="106"/>
        <v>1.19925212450286</v>
      </c>
      <c r="V332" s="383">
        <f t="shared" si="107"/>
        <v>18.959606427476231</v>
      </c>
      <c r="W332" s="58"/>
      <c r="X332" s="157">
        <f t="shared" si="108"/>
        <v>43783</v>
      </c>
      <c r="Y332" s="385">
        <f t="shared" si="109"/>
        <v>5.7370000000000001</v>
      </c>
      <c r="Z332" s="385">
        <f t="shared" si="110"/>
        <v>5.8000940881424734</v>
      </c>
      <c r="AA332" s="386">
        <f t="shared" si="111"/>
        <v>6.2325872551932981</v>
      </c>
      <c r="AB332" s="197">
        <f t="shared" si="112"/>
        <v>43783</v>
      </c>
      <c r="AC332" s="425">
        <f>IF(OR(t&lt;Tnet,NoTnet),'2018'!Resal_s+('2018'!Salim-'2018'!Resal_s)*(1-EXP(('2018'!Tnet_s-t)/'2018'!Tau_j)),Resal_s+(Salim-Resal_s)*(1-EXP((Tnet_s-t)/Tau_j)))*Salcycl</f>
        <v>6.9392236216259978E-2</v>
      </c>
      <c r="AD332" s="231">
        <f>(INDEX(Models!$BJ332:$BT332,,AH332)*(1-AF332)+INDEX(Models!$BJ332:$BT332,,AH332+1)*AF332-ERP_i)*AE332*Ramure*Pc/MaxiM</f>
        <v>1.5829492280271942E-2</v>
      </c>
      <c r="AE332" s="305">
        <f t="shared" si="113"/>
        <v>0.8</v>
      </c>
      <c r="AF332" s="177">
        <f t="shared" si="114"/>
        <v>0.19925212450286001</v>
      </c>
      <c r="AG332" s="176">
        <f t="shared" si="115"/>
        <v>1</v>
      </c>
      <c r="AH332" s="176">
        <f t="shared" si="116"/>
        <v>7</v>
      </c>
      <c r="AI332" s="225">
        <f t="shared" si="117"/>
        <v>1.19925212450286</v>
      </c>
      <c r="AJ332" s="265" t="b">
        <f t="shared" si="118"/>
        <v>0</v>
      </c>
      <c r="AK332" s="265" t="b">
        <f t="shared" si="119"/>
        <v>1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6">
        <v>8.8119999999999994</v>
      </c>
      <c r="C333" s="390"/>
      <c r="D333" s="393">
        <f t="shared" si="99"/>
        <v>8.9091194956849087</v>
      </c>
      <c r="E333" s="385">
        <f t="shared" si="121"/>
        <v>9.5741545327077269</v>
      </c>
      <c r="F333" s="385">
        <f t="shared" si="100"/>
        <v>9.6118336638289623</v>
      </c>
      <c r="G333" s="110">
        <f t="shared" si="122"/>
        <v>0.46468430982847458</v>
      </c>
      <c r="H333" s="414" t="b">
        <f>Wh_hp&gt;='2018'!Maxi_hp</f>
        <v>0</v>
      </c>
      <c r="I333" s="390">
        <f>IF(H333,Wh_hp,'2018'!Maxi_hp)</f>
        <v>14.143618761063923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1.0901132904542199E-2</v>
      </c>
      <c r="M333" s="843"/>
      <c r="N333" s="843"/>
      <c r="O333" s="48">
        <f>IF(t&lt;Tnet,'2018'!Resal+('2018'!Salim-'2018'!Resal)*(1-EXP(('2018'!Tnet-t)/('2018'!Tau_j))),Resal+(Salim-Resal)*(1-EXP((Tnet-t)/(Tau_j))))*Salcycl</f>
        <v>6.9461489758797068E-2</v>
      </c>
      <c r="P333" s="169">
        <f>(INDEX(Models!$BJ333:$BT333,,T333)*(1-R333)+INDEX(Models!$BJ333:$BT333,,T333+1)*R333-ERP_i)*Q333*Ramure*Pc/MaxiM</f>
        <v>1.6100126646718855E-2</v>
      </c>
      <c r="Q333" s="305">
        <f t="shared" si="102"/>
        <v>0.8</v>
      </c>
      <c r="R333" s="177">
        <f t="shared" si="103"/>
        <v>0.1992901759404142</v>
      </c>
      <c r="S333" s="809">
        <f t="shared" si="104"/>
        <v>1</v>
      </c>
      <c r="T333" s="176">
        <f t="shared" si="105"/>
        <v>7</v>
      </c>
      <c r="U333" s="251">
        <f t="shared" si="106"/>
        <v>1.1992901759404142</v>
      </c>
      <c r="V333" s="383">
        <f t="shared" si="107"/>
        <v>18.731527665415769</v>
      </c>
      <c r="W333" s="58"/>
      <c r="X333" s="157">
        <f t="shared" si="108"/>
        <v>43784</v>
      </c>
      <c r="Y333" s="385">
        <f t="shared" si="109"/>
        <v>8.8119999999999994</v>
      </c>
      <c r="Z333" s="385">
        <f t="shared" si="110"/>
        <v>8.9091194956849087</v>
      </c>
      <c r="AA333" s="386">
        <f t="shared" si="111"/>
        <v>9.5741545327077269</v>
      </c>
      <c r="AB333" s="197">
        <f t="shared" si="112"/>
        <v>43784</v>
      </c>
      <c r="AC333" s="425">
        <f>IF(OR(t&lt;Tnet,NoTnet),'2018'!Resal_s+('2018'!Salim-'2018'!Resal_s)*(1-EXP(('2018'!Tnet_s-t)/'2018'!Tau_j)),Resal_s+(Salim-Resal_s)*(1-EXP((Tnet_s-t)/Tau_j)))*Salcycl</f>
        <v>6.9461489758797068E-2</v>
      </c>
      <c r="AD333" s="231">
        <f>(INDEX(Models!$BJ333:$BT333,,AH333)*(1-AF333)+INDEX(Models!$BJ333:$BT333,,AH333+1)*AF333-ERP_i)*AE333*Ramure*Pc/MaxiM</f>
        <v>1.6100126646718855E-2</v>
      </c>
      <c r="AE333" s="305">
        <f t="shared" si="113"/>
        <v>0.8</v>
      </c>
      <c r="AF333" s="177">
        <f t="shared" si="114"/>
        <v>0.1992901759404142</v>
      </c>
      <c r="AG333" s="176">
        <f t="shared" si="115"/>
        <v>1</v>
      </c>
      <c r="AH333" s="176">
        <f t="shared" si="116"/>
        <v>7</v>
      </c>
      <c r="AI333" s="225">
        <f t="shared" si="117"/>
        <v>1.1992901759404142</v>
      </c>
      <c r="AJ333" s="265" t="b">
        <f t="shared" si="118"/>
        <v>0</v>
      </c>
      <c r="AK333" s="265" t="b">
        <f t="shared" si="119"/>
        <v>1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6">
        <v>11.183999999999999</v>
      </c>
      <c r="C334" s="390"/>
      <c r="D334" s="393">
        <f t="shared" si="99"/>
        <v>11.307525108100583</v>
      </c>
      <c r="E334" s="385">
        <f t="shared" si="121"/>
        <v>12.152505726977804</v>
      </c>
      <c r="F334" s="385">
        <f t="shared" si="100"/>
        <v>12.239641734704312</v>
      </c>
      <c r="G334" s="110">
        <f t="shared" si="122"/>
        <v>0.59858379202349743</v>
      </c>
      <c r="H334" s="414" t="b">
        <f>Wh_hp&gt;='2018'!Maxi_hp</f>
        <v>0</v>
      </c>
      <c r="I334" s="390">
        <f>IF(H334,Wh_hp,'2018'!Maxi_hp)</f>
        <v>17.939762584806399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1.092415068015995E-2</v>
      </c>
      <c r="M334" s="843"/>
      <c r="N334" s="843"/>
      <c r="O334" s="48">
        <f>IF(t&lt;Tnet,'2018'!Resal+('2018'!Salim-'2018'!Resal)*(1-EXP(('2018'!Tnet-t)/('2018'!Tau_j))),Resal+(Salim-Resal)*(1-EXP((Tnet-t)/(Tau_j))))*Salcycl</f>
        <v>6.9531390304257729E-2</v>
      </c>
      <c r="P334" s="169">
        <f>(INDEX(Models!$BJ334:$BT334,,T334)*(1-R334)+INDEX(Models!$BJ334:$BT334,,T334+1)*R334-ERP_i)*Q334*Ramure*Pc/MaxiM</f>
        <v>1.6380951402761801E-2</v>
      </c>
      <c r="Q334" s="305">
        <f t="shared" si="102"/>
        <v>0.8</v>
      </c>
      <c r="R334" s="177">
        <f t="shared" si="103"/>
        <v>0.19932669985500162</v>
      </c>
      <c r="S334" s="809">
        <f t="shared" si="104"/>
        <v>1</v>
      </c>
      <c r="T334" s="176">
        <f t="shared" si="105"/>
        <v>7</v>
      </c>
      <c r="U334" s="251">
        <f t="shared" si="106"/>
        <v>1.1993266998550016</v>
      </c>
      <c r="V334" s="383">
        <f t="shared" si="107"/>
        <v>18.509811978278268</v>
      </c>
      <c r="W334" s="58"/>
      <c r="X334" s="157">
        <f t="shared" si="108"/>
        <v>43785</v>
      </c>
      <c r="Y334" s="385">
        <f t="shared" si="109"/>
        <v>11.183999999999999</v>
      </c>
      <c r="Z334" s="385">
        <f t="shared" si="110"/>
        <v>11.307525108100583</v>
      </c>
      <c r="AA334" s="386">
        <f t="shared" si="111"/>
        <v>12.152505726977804</v>
      </c>
      <c r="AB334" s="197">
        <f t="shared" si="112"/>
        <v>43785</v>
      </c>
      <c r="AC334" s="425">
        <f>IF(OR(t&lt;Tnet,NoTnet),'2018'!Resal_s+('2018'!Salim-'2018'!Resal_s)*(1-EXP(('2018'!Tnet_s-t)/'2018'!Tau_j)),Resal_s+(Salim-Resal_s)*(1-EXP((Tnet_s-t)/Tau_j)))*Salcycl</f>
        <v>6.9531390304257729E-2</v>
      </c>
      <c r="AD334" s="231">
        <f>(INDEX(Models!$BJ334:$BT334,,AH334)*(1-AF334)+INDEX(Models!$BJ334:$BT334,,AH334+1)*AF334-ERP_i)*AE334*Ramure*Pc/MaxiM</f>
        <v>1.6380951402761801E-2</v>
      </c>
      <c r="AE334" s="305">
        <f t="shared" si="113"/>
        <v>0.8</v>
      </c>
      <c r="AF334" s="177">
        <f t="shared" si="114"/>
        <v>0.19932669985500162</v>
      </c>
      <c r="AG334" s="176">
        <f t="shared" si="115"/>
        <v>1</v>
      </c>
      <c r="AH334" s="176">
        <f t="shared" si="116"/>
        <v>7</v>
      </c>
      <c r="AI334" s="225">
        <f t="shared" si="117"/>
        <v>1.1993266998550016</v>
      </c>
      <c r="AJ334" s="265" t="b">
        <f t="shared" si="118"/>
        <v>0</v>
      </c>
      <c r="AK334" s="265" t="b">
        <f t="shared" si="119"/>
        <v>1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6">
        <v>10.423999999999999</v>
      </c>
      <c r="C335" s="390"/>
      <c r="D335" s="393">
        <f t="shared" ref="D335:D379" si="123">Wh/(1-Ppv)</f>
        <v>10.539376322374373</v>
      </c>
      <c r="E335" s="385">
        <f t="shared" si="121"/>
        <v>11.327814815214543</v>
      </c>
      <c r="F335" s="385">
        <f t="shared" ref="F335:F379" si="124">Wh_sa/(1-Pvg*MEDIAN((-Sdif+Wh/Env_an)/Csdif,0,1))</f>
        <v>11.401072793049055</v>
      </c>
      <c r="G335" s="110">
        <f t="shared" si="122"/>
        <v>0.56391087058615996</v>
      </c>
      <c r="H335" s="414" t="b">
        <f>Wh_hp&gt;='2018'!Maxi_hp</f>
        <v>0</v>
      </c>
      <c r="I335" s="390">
        <f>IF(H335,Wh_hp,'2018'!Maxi_hp)</f>
        <v>19.633088626435899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1.0947167920120404E-2</v>
      </c>
      <c r="M335" s="843"/>
      <c r="N335" s="843"/>
      <c r="O335" s="48">
        <f>IF(t&lt;Tnet,'2018'!Resal+('2018'!Salim-'2018'!Resal)*(1-EXP(('2018'!Tnet-t)/('2018'!Tau_j))),Resal+(Salim-Resal)*(1-EXP((Tnet-t)/(Tau_j))))*Salcycl</f>
        <v>6.9601993473728793E-2</v>
      </c>
      <c r="P335" s="169">
        <f>(INDEX(Models!$BJ335:$BT335,,T335)*(1-R335)+INDEX(Models!$BJ335:$BT335,,T335+1)*R335-ERP_i)*Q335*Ramure*Pc/MaxiM</f>
        <v>1.6671949605675869E-2</v>
      </c>
      <c r="Q335" s="305">
        <f t="shared" ref="Q335:Q379" si="126">IF(OR(t&lt;Ttai,Notai),Dd+PousD*Croivg,Dens+PousD*(Croivg-Croi_tai))</f>
        <v>0.8</v>
      </c>
      <c r="R335" s="177">
        <f t="shared" ref="R335:R379" si="127">(Hp_vg-S335)/(INDEX(Echel_vg,T335+1)-S335)</f>
        <v>0.19936175739179474</v>
      </c>
      <c r="S335" s="809">
        <f t="shared" ref="S335:S379" si="128">INDEX(Echel_vg,T335)</f>
        <v>1</v>
      </c>
      <c r="T335" s="176">
        <f t="shared" ref="T335:T379" si="129">MIN(MATCH(Hp_vg,Echel_vg),10)</f>
        <v>7</v>
      </c>
      <c r="U335" s="251">
        <f t="shared" ref="U335:U379" si="130">IF(OR(t&lt;Ttai,Notai),Hdd+PousH*Croivg,Hdtf+PousH*(Croivg-Croi_tai))</f>
        <v>1.1993617573917947</v>
      </c>
      <c r="V335" s="383">
        <f t="shared" ref="V335:V379" si="131">MaxiM*(1-Ppv)*(1-Pvg)*(1-Psa)</f>
        <v>18.294558871221987</v>
      </c>
      <c r="W335" s="58"/>
      <c r="X335" s="157">
        <f t="shared" ref="X335:X379" si="132">t</f>
        <v>43786</v>
      </c>
      <c r="Y335" s="385">
        <f t="shared" ref="Y335:Y379" si="133">Wh_pvt_s*(1-Ppv)</f>
        <v>10.423999999999999</v>
      </c>
      <c r="Z335" s="385">
        <f t="shared" ref="Z335:Z379" si="134">Wh_sa_s*(1-Psa_s)</f>
        <v>10.539376322374373</v>
      </c>
      <c r="AA335" s="386">
        <f t="shared" ref="AA335:AA379" si="135">Wh_hp*(1-Pvg_s*MEDIAN((-Sdif+Wh/Env_an)/Csdif,0,1))</f>
        <v>11.327814815214543</v>
      </c>
      <c r="AB335" s="197">
        <f t="shared" ref="AB335:AB379" si="136">t</f>
        <v>43786</v>
      </c>
      <c r="AC335" s="425">
        <f>IF(OR(t&lt;Tnet,NoTnet),'2018'!Resal_s+('2018'!Salim-'2018'!Resal_s)*(1-EXP(('2018'!Tnet_s-t)/'2018'!Tau_j)),Resal_s+(Salim-Resal_s)*(1-EXP((Tnet_s-t)/Tau_j)))*Salcycl</f>
        <v>6.9601993473728793E-2</v>
      </c>
      <c r="AD335" s="231">
        <f>(INDEX(Models!$BJ335:$BT335,,AH335)*(1-AF335)+INDEX(Models!$BJ335:$BT335,,AH335+1)*AF335-ERP_i)*AE335*Ramure*Pc/MaxiM</f>
        <v>1.6671949605675869E-2</v>
      </c>
      <c r="AE335" s="305">
        <f t="shared" ref="AE335:AE379" si="137">IF(OR(t&lt;Ttai,Notai),Dd_s+PousD*Croivg,Dens_s+PousD*(Croivg-Croi_tai))</f>
        <v>0.8</v>
      </c>
      <c r="AF335" s="177">
        <f t="shared" ref="AF335:AF379" si="138">(Hp_vg_s-AG335)/(INDEX(Echel_vg,AH335+1)-AG335)</f>
        <v>0.19936175739179474</v>
      </c>
      <c r="AG335" s="176">
        <f t="shared" ref="AG335:AG379" si="139">INDEX(Echel_vg,AH335)</f>
        <v>1</v>
      </c>
      <c r="AH335" s="176">
        <f t="shared" ref="AH335:AH379" si="140">MIN(MATCH(Hp_vg_s,Echel_vg),10)</f>
        <v>7</v>
      </c>
      <c r="AI335" s="225">
        <f t="shared" ref="AI335:AI379" si="141">IF(OR(t&lt;Ttai,Notai),Hdd_s+PousH*Croivg,Hdtai_s+PousH*(Croivg-Croi_tai))</f>
        <v>1.1993617573917947</v>
      </c>
      <c r="AJ335" s="265" t="b">
        <f t="shared" ref="AJ335:AJ380" si="142">t&lt;Tnet</f>
        <v>0</v>
      </c>
      <c r="AK335" s="265" t="b">
        <f t="shared" ref="AK335:AK380" si="143">t&lt;Ttai</f>
        <v>1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6">
        <v>9.9909999999999997</v>
      </c>
      <c r="C336" s="390"/>
      <c r="D336" s="393">
        <f t="shared" si="123"/>
        <v>10.101818817470251</v>
      </c>
      <c r="E336" s="385">
        <f t="shared" si="121"/>
        <v>10.858356937859845</v>
      </c>
      <c r="F336" s="385">
        <f t="shared" si="124"/>
        <v>10.925224771464014</v>
      </c>
      <c r="G336" s="110">
        <f t="shared" si="122"/>
        <v>0.54638816627290787</v>
      </c>
      <c r="H336" s="414" t="b">
        <f>Wh_hp&gt;='2018'!Maxi_hp</f>
        <v>0</v>
      </c>
      <c r="I336" s="390">
        <f>IF(H336,Wh_hp,'2018'!Maxi_hp)</f>
        <v>17.189877633840634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1.0970184624436108E-2</v>
      </c>
      <c r="M336" s="843"/>
      <c r="N336" s="843"/>
      <c r="O336" s="48">
        <f>IF(t&lt;Tnet,'2018'!Resal+('2018'!Salim-'2018'!Resal)*(1-EXP(('2018'!Tnet-t)/('2018'!Tau_j))),Resal+(Salim-Resal)*(1-EXP((Tnet-t)/(Tau_j))))*Salcycl</f>
        <v>6.967335156866801E-2</v>
      </c>
      <c r="P336" s="169">
        <f>(INDEX(Models!$BJ336:$BT336,,T336)*(1-R336)+INDEX(Models!$BJ336:$BT336,,T336+1)*R336-ERP_i)*Q336*Ramure*Pc/MaxiM</f>
        <v>1.6973080947308684E-2</v>
      </c>
      <c r="Q336" s="305">
        <f t="shared" si="126"/>
        <v>0.8</v>
      </c>
      <c r="R336" s="177">
        <f t="shared" si="127"/>
        <v>0.19939540726219063</v>
      </c>
      <c r="S336" s="809">
        <f t="shared" si="128"/>
        <v>1</v>
      </c>
      <c r="T336" s="176">
        <f t="shared" si="129"/>
        <v>7</v>
      </c>
      <c r="U336" s="251">
        <f t="shared" si="130"/>
        <v>1.1993954072621906</v>
      </c>
      <c r="V336" s="383">
        <f t="shared" si="131"/>
        <v>18.085867792072836</v>
      </c>
      <c r="W336" s="58"/>
      <c r="X336" s="157">
        <f t="shared" si="132"/>
        <v>43787</v>
      </c>
      <c r="Y336" s="385">
        <f t="shared" si="133"/>
        <v>9.9909999999999997</v>
      </c>
      <c r="Z336" s="385">
        <f t="shared" si="134"/>
        <v>10.101818817470251</v>
      </c>
      <c r="AA336" s="386">
        <f t="shared" si="135"/>
        <v>10.858356937859845</v>
      </c>
      <c r="AB336" s="197">
        <f t="shared" si="136"/>
        <v>43787</v>
      </c>
      <c r="AC336" s="425">
        <f>IF(OR(t&lt;Tnet,NoTnet),'2018'!Resal_s+('2018'!Salim-'2018'!Resal_s)*(1-EXP(('2018'!Tnet_s-t)/'2018'!Tau_j)),Resal_s+(Salim-Resal_s)*(1-EXP((Tnet_s-t)/Tau_j)))*Salcycl</f>
        <v>6.967335156866801E-2</v>
      </c>
      <c r="AD336" s="231">
        <f>(INDEX(Models!$BJ336:$BT336,,AH336)*(1-AF336)+INDEX(Models!$BJ336:$BT336,,AH336+1)*AF336-ERP_i)*AE336*Ramure*Pc/MaxiM</f>
        <v>1.6973080947308684E-2</v>
      </c>
      <c r="AE336" s="305">
        <f t="shared" si="137"/>
        <v>0.8</v>
      </c>
      <c r="AF336" s="177">
        <f t="shared" si="138"/>
        <v>0.19939540726219063</v>
      </c>
      <c r="AG336" s="176">
        <f t="shared" si="139"/>
        <v>1</v>
      </c>
      <c r="AH336" s="176">
        <f t="shared" si="140"/>
        <v>7</v>
      </c>
      <c r="AI336" s="225">
        <f t="shared" si="141"/>
        <v>1.1993954072621906</v>
      </c>
      <c r="AJ336" s="265" t="b">
        <f t="shared" si="142"/>
        <v>0</v>
      </c>
      <c r="AK336" s="265" t="b">
        <f t="shared" si="143"/>
        <v>1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6">
        <v>15.286</v>
      </c>
      <c r="C337" s="390"/>
      <c r="D337" s="393">
        <f t="shared" si="123"/>
        <v>15.455909921204166</v>
      </c>
      <c r="E337" s="385">
        <f t="shared" si="121"/>
        <v>16.61471150419548</v>
      </c>
      <c r="F337" s="385">
        <f t="shared" si="124"/>
        <v>16.845452094647456</v>
      </c>
      <c r="G337" s="110">
        <f t="shared" si="122"/>
        <v>0.85162988808712115</v>
      </c>
      <c r="H337" s="414" t="b">
        <f>Wh_hp&gt;='2018'!Maxi_hp</f>
        <v>1</v>
      </c>
      <c r="I337" s="390">
        <f>IF(H337,Wh_hp,'2018'!Maxi_hp)</f>
        <v>16.845452094647456</v>
      </c>
      <c r="J337" s="85">
        <f>IF(H337,An,'2018'!An_max)</f>
        <v>2019</v>
      </c>
      <c r="K337" s="197">
        <f t="shared" si="125"/>
        <v>43788</v>
      </c>
      <c r="L337" s="147">
        <f>IF(t&lt;Tvie,1-EXP((T0-t)*PertePVj)+'2018'!Pspv,1-EXP((T0-t)*PertePVj)+Pspv)</f>
        <v>1.0993200793119495E-2</v>
      </c>
      <c r="M337" s="843"/>
      <c r="N337" s="843"/>
      <c r="O337" s="48">
        <f>IF(t&lt;Tnet,'2018'!Resal+('2018'!Salim-'2018'!Resal)*(1-EXP(('2018'!Tnet-t)/('2018'!Tau_j))),Resal+(Salim-Resal)*(1-EXP((Tnet-t)/(Tau_j))))*Salcycl</f>
        <v>6.974551334813732E-2</v>
      </c>
      <c r="P337" s="169">
        <f>(INDEX(Models!$BJ337:$BT337,,T337)*(1-R337)+INDEX(Models!$BJ337:$BT337,,T337+1)*R337-ERP_i)*Q337*Ramure*Pc/MaxiM</f>
        <v>1.7284279433315192E-2</v>
      </c>
      <c r="Q337" s="305">
        <f t="shared" si="126"/>
        <v>0.8</v>
      </c>
      <c r="R337" s="177">
        <f t="shared" si="127"/>
        <v>0.19942770583959524</v>
      </c>
      <c r="S337" s="809">
        <f t="shared" si="128"/>
        <v>1</v>
      </c>
      <c r="T337" s="176">
        <f t="shared" si="129"/>
        <v>7</v>
      </c>
      <c r="U337" s="251">
        <f t="shared" si="130"/>
        <v>1.1994277058395952</v>
      </c>
      <c r="V337" s="383">
        <f t="shared" si="131"/>
        <v>17.883838135140625</v>
      </c>
      <c r="W337" s="58"/>
      <c r="X337" s="157">
        <f t="shared" si="132"/>
        <v>43788</v>
      </c>
      <c r="Y337" s="385">
        <f t="shared" si="133"/>
        <v>15.285999999999998</v>
      </c>
      <c r="Z337" s="385">
        <f t="shared" si="134"/>
        <v>15.455909921204164</v>
      </c>
      <c r="AA337" s="386">
        <f t="shared" si="135"/>
        <v>16.61471150419548</v>
      </c>
      <c r="AB337" s="197">
        <f t="shared" si="136"/>
        <v>43788</v>
      </c>
      <c r="AC337" s="425">
        <f>IF(OR(t&lt;Tnet,NoTnet),'2018'!Resal_s+('2018'!Salim-'2018'!Resal_s)*(1-EXP(('2018'!Tnet_s-t)/'2018'!Tau_j)),Resal_s+(Salim-Resal_s)*(1-EXP((Tnet_s-t)/Tau_j)))*Salcycl</f>
        <v>6.974551334813732E-2</v>
      </c>
      <c r="AD337" s="231">
        <f>(INDEX(Models!$BJ337:$BT337,,AH337)*(1-AF337)+INDEX(Models!$BJ337:$BT337,,AH337+1)*AF337-ERP_i)*AE337*Ramure*Pc/MaxiM</f>
        <v>1.7284279433315192E-2</v>
      </c>
      <c r="AE337" s="305">
        <f t="shared" si="137"/>
        <v>0.8</v>
      </c>
      <c r="AF337" s="177">
        <f t="shared" si="138"/>
        <v>0.19942770583959524</v>
      </c>
      <c r="AG337" s="176">
        <f t="shared" si="139"/>
        <v>1</v>
      </c>
      <c r="AH337" s="176">
        <f t="shared" si="140"/>
        <v>7</v>
      </c>
      <c r="AI337" s="225">
        <f t="shared" si="141"/>
        <v>1.1994277058395952</v>
      </c>
      <c r="AJ337" s="265" t="b">
        <f t="shared" si="142"/>
        <v>0</v>
      </c>
      <c r="AK337" s="265" t="b">
        <f t="shared" si="143"/>
        <v>1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6">
        <v>18.343</v>
      </c>
      <c r="C338" s="390"/>
      <c r="D338" s="393">
        <f t="shared" si="123"/>
        <v>18.54732130562876</v>
      </c>
      <c r="E338" s="385">
        <f t="shared" si="121"/>
        <v>19.939465341706118</v>
      </c>
      <c r="F338" s="385">
        <f t="shared" si="124"/>
        <v>20.296414509075642</v>
      </c>
      <c r="G338" s="110">
        <f t="shared" si="122"/>
        <v>1.0369777041211301</v>
      </c>
      <c r="H338" s="414" t="b">
        <f>Wh_hp&gt;='2018'!Maxi_hp</f>
        <v>1</v>
      </c>
      <c r="I338" s="390">
        <f>IF(H338,Wh_hp,'2018'!Maxi_hp)</f>
        <v>20.296414509075642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1.1016216426183001E-2</v>
      </c>
      <c r="M338" s="843"/>
      <c r="N338" s="843"/>
      <c r="O338" s="48">
        <f>IF(t&lt;Tnet,'2018'!Resal+('2018'!Salim-'2018'!Resal)*(1-EXP(('2018'!Tnet-t)/('2018'!Tau_j))),Resal+(Salim-Resal)*(1-EXP((Tnet-t)/(Tau_j))))*Salcycl</f>
        <v>6.9818523827993445E-2</v>
      </c>
      <c r="P338" s="169">
        <f>(INDEX(Models!$BJ338:$BT338,,T338)*(1-R338)+INDEX(Models!$BJ338:$BT338,,T338+1)*R338-ERP_i)*Q338*Ramure*Pc/MaxiM</f>
        <v>1.7586809099208744E-2</v>
      </c>
      <c r="Q338" s="305">
        <f t="shared" si="126"/>
        <v>0.8</v>
      </c>
      <c r="R338" s="177">
        <f t="shared" si="127"/>
        <v>0.19945870725152215</v>
      </c>
      <c r="S338" s="809">
        <f t="shared" si="128"/>
        <v>1</v>
      </c>
      <c r="T338" s="176">
        <f t="shared" si="129"/>
        <v>7</v>
      </c>
      <c r="U338" s="251">
        <f t="shared" si="130"/>
        <v>1.1994587072515221</v>
      </c>
      <c r="V338" s="383">
        <f t="shared" si="131"/>
        <v>17.688904908082133</v>
      </c>
      <c r="W338" s="58"/>
      <c r="X338" s="157">
        <f t="shared" si="132"/>
        <v>43789</v>
      </c>
      <c r="Y338" s="385">
        <f t="shared" si="133"/>
        <v>18.343</v>
      </c>
      <c r="Z338" s="385">
        <f t="shared" si="134"/>
        <v>18.54732130562876</v>
      </c>
      <c r="AA338" s="386">
        <f t="shared" si="135"/>
        <v>19.939465341706118</v>
      </c>
      <c r="AB338" s="197">
        <f t="shared" si="136"/>
        <v>43789</v>
      </c>
      <c r="AC338" s="425">
        <f>IF(OR(t&lt;Tnet,NoTnet),'2018'!Resal_s+('2018'!Salim-'2018'!Resal_s)*(1-EXP(('2018'!Tnet_s-t)/'2018'!Tau_j)),Resal_s+(Salim-Resal_s)*(1-EXP((Tnet_s-t)/Tau_j)))*Salcycl</f>
        <v>6.9818523827993445E-2</v>
      </c>
      <c r="AD338" s="231">
        <f>(INDEX(Models!$BJ338:$BT338,,AH338)*(1-AF338)+INDEX(Models!$BJ338:$BT338,,AH338+1)*AF338-ERP_i)*AE338*Ramure*Pc/MaxiM</f>
        <v>1.7586809099208744E-2</v>
      </c>
      <c r="AE338" s="305">
        <f t="shared" si="137"/>
        <v>0.8</v>
      </c>
      <c r="AF338" s="177">
        <f t="shared" si="138"/>
        <v>0.19945870725152215</v>
      </c>
      <c r="AG338" s="176">
        <f t="shared" si="139"/>
        <v>1</v>
      </c>
      <c r="AH338" s="176">
        <f t="shared" si="140"/>
        <v>7</v>
      </c>
      <c r="AI338" s="225">
        <f t="shared" si="141"/>
        <v>1.1994587072515221</v>
      </c>
      <c r="AJ338" s="265" t="b">
        <f t="shared" si="142"/>
        <v>0</v>
      </c>
      <c r="AK338" s="265" t="b">
        <f t="shared" si="143"/>
        <v>1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6">
        <v>18.295999999999999</v>
      </c>
      <c r="C339" s="390"/>
      <c r="D339" s="393">
        <f t="shared" si="123"/>
        <v>18.50022830348232</v>
      </c>
      <c r="E339" s="385">
        <f t="shared" si="121"/>
        <v>19.890417821454026</v>
      </c>
      <c r="F339" s="385">
        <f t="shared" si="124"/>
        <v>20.252187824566644</v>
      </c>
      <c r="G339" s="110">
        <f t="shared" si="122"/>
        <v>1.0453981912331627</v>
      </c>
      <c r="H339" s="414" t="b">
        <f>Wh_hp&gt;='2018'!Maxi_hp</f>
        <v>1</v>
      </c>
      <c r="I339" s="390">
        <f>IF(H339,Wh_hp,'2018'!Maxi_hp)</f>
        <v>20.252187824566644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1.1039231523639059E-2</v>
      </c>
      <c r="M339" s="843"/>
      <c r="N339" s="843"/>
      <c r="O339" s="48">
        <f>IF(t&lt;Tnet,'2018'!Resal+('2018'!Salim-'2018'!Resal)*(1-EXP(('2018'!Tnet-t)/('2018'!Tau_j))),Resal+(Salim-Resal)*(1-EXP((Tnet-t)/(Tau_j))))*Salcycl</f>
        <v>6.9892424103440987E-2</v>
      </c>
      <c r="P339" s="169">
        <f>(INDEX(Models!$BJ339:$BT339,,T339)*(1-R339)+INDEX(Models!$BJ339:$BT339,,T339+1)*R339-ERP_i)*Q339*Ramure*Pc/MaxiM</f>
        <v>1.7863255379933718E-2</v>
      </c>
      <c r="Q339" s="305">
        <f t="shared" si="126"/>
        <v>0.8</v>
      </c>
      <c r="R339" s="177">
        <f t="shared" si="127"/>
        <v>0.19948846346814442</v>
      </c>
      <c r="S339" s="809">
        <f t="shared" si="128"/>
        <v>1</v>
      </c>
      <c r="T339" s="176">
        <f t="shared" si="129"/>
        <v>7</v>
      </c>
      <c r="U339" s="251">
        <f t="shared" si="130"/>
        <v>1.1994884634681444</v>
      </c>
      <c r="V339" s="383">
        <f t="shared" si="131"/>
        <v>17.501465138769607</v>
      </c>
      <c r="W339" s="58"/>
      <c r="X339" s="157">
        <f t="shared" si="132"/>
        <v>43790</v>
      </c>
      <c r="Y339" s="385">
        <f t="shared" si="133"/>
        <v>18.295999999999999</v>
      </c>
      <c r="Z339" s="385">
        <f t="shared" si="134"/>
        <v>18.50022830348232</v>
      </c>
      <c r="AA339" s="386">
        <f t="shared" si="135"/>
        <v>19.890417821454026</v>
      </c>
      <c r="AB339" s="197">
        <f t="shared" si="136"/>
        <v>43790</v>
      </c>
      <c r="AC339" s="425">
        <f>IF(OR(t&lt;Tnet,NoTnet),'2018'!Resal_s+('2018'!Salim-'2018'!Resal_s)*(1-EXP(('2018'!Tnet_s-t)/'2018'!Tau_j)),Resal_s+(Salim-Resal_s)*(1-EXP((Tnet_s-t)/Tau_j)))*Salcycl</f>
        <v>6.9892424103440987E-2</v>
      </c>
      <c r="AD339" s="231">
        <f>(INDEX(Models!$BJ339:$BT339,,AH339)*(1-AF339)+INDEX(Models!$BJ339:$BT339,,AH339+1)*AF339-ERP_i)*AE339*Ramure*Pc/MaxiM</f>
        <v>1.7863255379933718E-2</v>
      </c>
      <c r="AE339" s="305">
        <f t="shared" si="137"/>
        <v>0.8</v>
      </c>
      <c r="AF339" s="177">
        <f t="shared" si="138"/>
        <v>0.19948846346814442</v>
      </c>
      <c r="AG339" s="176">
        <f t="shared" si="139"/>
        <v>1</v>
      </c>
      <c r="AH339" s="176">
        <f t="shared" si="140"/>
        <v>7</v>
      </c>
      <c r="AI339" s="225">
        <f t="shared" si="141"/>
        <v>1.1994884634681444</v>
      </c>
      <c r="AJ339" s="265" t="b">
        <f t="shared" si="142"/>
        <v>0</v>
      </c>
      <c r="AK339" s="265" t="b">
        <f t="shared" si="143"/>
        <v>1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6">
        <v>9.952</v>
      </c>
      <c r="C340" s="390"/>
      <c r="D340" s="393">
        <f t="shared" si="123"/>
        <v>10.063322954965694</v>
      </c>
      <c r="E340" s="385">
        <f t="shared" si="121"/>
        <v>10.820396344009092</v>
      </c>
      <c r="F340" s="385">
        <f t="shared" si="124"/>
        <v>10.897814420018596</v>
      </c>
      <c r="G340" s="110">
        <f t="shared" si="122"/>
        <v>0.56817212891905078</v>
      </c>
      <c r="H340" s="414" t="b">
        <f>Wh_hp&gt;='2018'!Maxi_hp</f>
        <v>0</v>
      </c>
      <c r="I340" s="390">
        <f>IF(H340,Wh_hp,'2018'!Maxi_hp)</f>
        <v>15.34859142478483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1.1062246085500216E-2</v>
      </c>
      <c r="M340" s="843"/>
      <c r="N340" s="843"/>
      <c r="O340" s="48">
        <f>IF(t&lt;Tnet,'2018'!Resal+('2018'!Salim-'2018'!Resal)*(1-EXP(('2018'!Tnet-t)/('2018'!Tau_j))),Resal+(Salim-Resal)*(1-EXP((Tnet-t)/(Tau_j))))*Salcycl</f>
        <v>6.9967251196169533E-2</v>
      </c>
      <c r="P340" s="169">
        <f>(INDEX(Models!$BJ340:$BT340,,T340)*(1-R340)+INDEX(Models!$BJ340:$BT340,,T340+1)*R340-ERP_i)*Q340*Ramure*Pc/MaxiM</f>
        <v>1.8113040115033882E-2</v>
      </c>
      <c r="Q340" s="305">
        <f t="shared" si="126"/>
        <v>0.8</v>
      </c>
      <c r="R340" s="177">
        <f t="shared" si="127"/>
        <v>0.19951702438742647</v>
      </c>
      <c r="S340" s="809">
        <f t="shared" si="128"/>
        <v>1</v>
      </c>
      <c r="T340" s="176">
        <f t="shared" si="129"/>
        <v>7</v>
      </c>
      <c r="U340" s="251">
        <f t="shared" si="130"/>
        <v>1.1995170243874265</v>
      </c>
      <c r="V340" s="383">
        <f t="shared" si="131"/>
        <v>17.321606669856745</v>
      </c>
      <c r="W340" s="58"/>
      <c r="X340" s="157">
        <f t="shared" si="132"/>
        <v>43791</v>
      </c>
      <c r="Y340" s="385">
        <f t="shared" si="133"/>
        <v>9.952</v>
      </c>
      <c r="Z340" s="385">
        <f t="shared" si="134"/>
        <v>10.063322954965694</v>
      </c>
      <c r="AA340" s="386">
        <f t="shared" si="135"/>
        <v>10.820396344009092</v>
      </c>
      <c r="AB340" s="197">
        <f t="shared" si="136"/>
        <v>43791</v>
      </c>
      <c r="AC340" s="425">
        <f>IF(OR(t&lt;Tnet,NoTnet),'2018'!Resal_s+('2018'!Salim-'2018'!Resal_s)*(1-EXP(('2018'!Tnet_s-t)/'2018'!Tau_j)),Resal_s+(Salim-Resal_s)*(1-EXP((Tnet_s-t)/Tau_j)))*Salcycl</f>
        <v>6.9967251196169533E-2</v>
      </c>
      <c r="AD340" s="231">
        <f>(INDEX(Models!$BJ340:$BT340,,AH340)*(1-AF340)+INDEX(Models!$BJ340:$BT340,,AH340+1)*AF340-ERP_i)*AE340*Ramure*Pc/MaxiM</f>
        <v>1.8113040115033882E-2</v>
      </c>
      <c r="AE340" s="305">
        <f t="shared" si="137"/>
        <v>0.8</v>
      </c>
      <c r="AF340" s="177">
        <f t="shared" si="138"/>
        <v>0.19951702438742647</v>
      </c>
      <c r="AG340" s="176">
        <f t="shared" si="139"/>
        <v>1</v>
      </c>
      <c r="AH340" s="176">
        <f t="shared" si="140"/>
        <v>7</v>
      </c>
      <c r="AI340" s="225">
        <f t="shared" si="141"/>
        <v>1.1995170243874265</v>
      </c>
      <c r="AJ340" s="265" t="b">
        <f t="shared" si="142"/>
        <v>0</v>
      </c>
      <c r="AK340" s="265" t="b">
        <f t="shared" si="143"/>
        <v>1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6">
        <v>6.1050000000000004</v>
      </c>
      <c r="C341" s="390"/>
      <c r="D341" s="393">
        <f t="shared" si="123"/>
        <v>6.1734341230367953</v>
      </c>
      <c r="E341" s="385">
        <f t="shared" si="121"/>
        <v>6.638408415456186</v>
      </c>
      <c r="F341" s="385">
        <f t="shared" si="124"/>
        <v>6.6481582180993763</v>
      </c>
      <c r="G341" s="110">
        <f t="shared" si="122"/>
        <v>0.34997474798750061</v>
      </c>
      <c r="H341" s="414" t="b">
        <f>Wh_hp&gt;='2018'!Maxi_hp</f>
        <v>0</v>
      </c>
      <c r="I341" s="390">
        <f>IF(H341,Wh_hp,'2018'!Maxi_hp)</f>
        <v>10.734002460359944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1.1085260111778905E-2</v>
      </c>
      <c r="M341" s="843"/>
      <c r="N341" s="843"/>
      <c r="O341" s="48">
        <f>IF(t&lt;Tnet,'2018'!Resal+('2018'!Salim-'2018'!Resal)*(1-EXP(('2018'!Tnet-t)/('2018'!Tau_j))),Resal+(Salim-Resal)*(1-EXP((Tnet-t)/(Tau_j))))*Salcycl</f>
        <v>7.0043037927101981E-2</v>
      </c>
      <c r="P341" s="169">
        <f>(INDEX(Models!$BJ341:$BT341,,T341)*(1-R341)+INDEX(Models!$BJ341:$BT341,,T341+1)*R341-ERP_i)*Q341*Ramure*Pc/MaxiM</f>
        <v>1.8335468687781485E-2</v>
      </c>
      <c r="Q341" s="305">
        <f t="shared" si="126"/>
        <v>0.8</v>
      </c>
      <c r="R341" s="177">
        <f t="shared" si="127"/>
        <v>0.19954443791696619</v>
      </c>
      <c r="S341" s="809">
        <f t="shared" si="128"/>
        <v>1</v>
      </c>
      <c r="T341" s="176">
        <f t="shared" si="129"/>
        <v>7</v>
      </c>
      <c r="U341" s="251">
        <f t="shared" si="130"/>
        <v>1.1995444379169662</v>
      </c>
      <c r="V341" s="383">
        <f t="shared" si="131"/>
        <v>17.1494200172611</v>
      </c>
      <c r="W341" s="58"/>
      <c r="X341" s="157">
        <f t="shared" si="132"/>
        <v>43792</v>
      </c>
      <c r="Y341" s="385">
        <f t="shared" si="133"/>
        <v>6.1050000000000004</v>
      </c>
      <c r="Z341" s="385">
        <f t="shared" si="134"/>
        <v>6.1734341230367953</v>
      </c>
      <c r="AA341" s="386">
        <f t="shared" si="135"/>
        <v>6.638408415456186</v>
      </c>
      <c r="AB341" s="197">
        <f t="shared" si="136"/>
        <v>43792</v>
      </c>
      <c r="AC341" s="425">
        <f>IF(OR(t&lt;Tnet,NoTnet),'2018'!Resal_s+('2018'!Salim-'2018'!Resal_s)*(1-EXP(('2018'!Tnet_s-t)/'2018'!Tau_j)),Resal_s+(Salim-Resal_s)*(1-EXP((Tnet_s-t)/Tau_j)))*Salcycl</f>
        <v>7.0043037927101981E-2</v>
      </c>
      <c r="AD341" s="231">
        <f>(INDEX(Models!$BJ341:$BT341,,AH341)*(1-AF341)+INDEX(Models!$BJ341:$BT341,,AH341+1)*AF341-ERP_i)*AE341*Ramure*Pc/MaxiM</f>
        <v>1.8335468687781485E-2</v>
      </c>
      <c r="AE341" s="305">
        <f t="shared" si="137"/>
        <v>0.8</v>
      </c>
      <c r="AF341" s="177">
        <f t="shared" si="138"/>
        <v>0.19954443791696619</v>
      </c>
      <c r="AG341" s="176">
        <f t="shared" si="139"/>
        <v>1</v>
      </c>
      <c r="AH341" s="176">
        <f t="shared" si="140"/>
        <v>7</v>
      </c>
      <c r="AI341" s="225">
        <f t="shared" si="141"/>
        <v>1.1995444379169662</v>
      </c>
      <c r="AJ341" s="265" t="b">
        <f t="shared" si="142"/>
        <v>0</v>
      </c>
      <c r="AK341" s="265" t="b">
        <f t="shared" si="143"/>
        <v>1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6">
        <v>11.711</v>
      </c>
      <c r="C342" s="390"/>
      <c r="D342" s="393">
        <f t="shared" si="123"/>
        <v>11.842550288758751</v>
      </c>
      <c r="E342" s="385">
        <f t="shared" si="121"/>
        <v>12.735565777153228</v>
      </c>
      <c r="F342" s="385">
        <f t="shared" si="124"/>
        <v>12.868241666932786</v>
      </c>
      <c r="G342" s="110">
        <f t="shared" si="122"/>
        <v>0.6837645583883829</v>
      </c>
      <c r="H342" s="414" t="b">
        <f>Wh_hp&gt;='2018'!Maxi_hp</f>
        <v>0</v>
      </c>
      <c r="I342" s="390">
        <f>IF(H342,Wh_hp,'2018'!Maxi_hp)</f>
        <v>14.488953175986383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1.1108273602487562E-2</v>
      </c>
      <c r="M342" s="843"/>
      <c r="N342" s="843"/>
      <c r="O342" s="48">
        <f>IF(t&lt;Tnet,'2018'!Resal+('2018'!Salim-'2018'!Resal)*(1-EXP(('2018'!Tnet-t)/('2018'!Tau_j))),Resal+(Salim-Resal)*(1-EXP((Tnet-t)/(Tau_j))))*Salcycl</f>
        <v>7.0119812815578941E-2</v>
      </c>
      <c r="P342" s="169">
        <f>(INDEX(Models!$BJ342:$BT342,,T342)*(1-R342)+INDEX(Models!$BJ342:$BT342,,T342+1)*R342-ERP_i)*Q342*Ramure*Pc/MaxiM</f>
        <v>1.852991791519152E-2</v>
      </c>
      <c r="Q342" s="305">
        <f t="shared" si="126"/>
        <v>0.8</v>
      </c>
      <c r="R342" s="177">
        <f t="shared" si="127"/>
        <v>0.199570750052664</v>
      </c>
      <c r="S342" s="809">
        <f t="shared" si="128"/>
        <v>1</v>
      </c>
      <c r="T342" s="176">
        <f t="shared" si="129"/>
        <v>7</v>
      </c>
      <c r="U342" s="251">
        <f t="shared" si="130"/>
        <v>1.199570750052664</v>
      </c>
      <c r="V342" s="383">
        <f t="shared" si="131"/>
        <v>16.984995085446347</v>
      </c>
      <c r="W342" s="58"/>
      <c r="X342" s="157">
        <f t="shared" si="132"/>
        <v>43793</v>
      </c>
      <c r="Y342" s="385">
        <f t="shared" si="133"/>
        <v>11.711</v>
      </c>
      <c r="Z342" s="385">
        <f t="shared" si="134"/>
        <v>11.842550288758751</v>
      </c>
      <c r="AA342" s="386">
        <f t="shared" si="135"/>
        <v>12.735565777153228</v>
      </c>
      <c r="AB342" s="197">
        <f t="shared" si="136"/>
        <v>43793</v>
      </c>
      <c r="AC342" s="425">
        <f>IF(OR(t&lt;Tnet,NoTnet),'2018'!Resal_s+('2018'!Salim-'2018'!Resal_s)*(1-EXP(('2018'!Tnet_s-t)/'2018'!Tau_j)),Resal_s+(Salim-Resal_s)*(1-EXP((Tnet_s-t)/Tau_j)))*Salcycl</f>
        <v>7.0119812815578941E-2</v>
      </c>
      <c r="AD342" s="231">
        <f>(INDEX(Models!$BJ342:$BT342,,AH342)*(1-AF342)+INDEX(Models!$BJ342:$BT342,,AH342+1)*AF342-ERP_i)*AE342*Ramure*Pc/MaxiM</f>
        <v>1.852991791519152E-2</v>
      </c>
      <c r="AE342" s="305">
        <f t="shared" si="137"/>
        <v>0.8</v>
      </c>
      <c r="AF342" s="177">
        <f t="shared" si="138"/>
        <v>0.199570750052664</v>
      </c>
      <c r="AG342" s="176">
        <f t="shared" si="139"/>
        <v>1</v>
      </c>
      <c r="AH342" s="176">
        <f t="shared" si="140"/>
        <v>7</v>
      </c>
      <c r="AI342" s="225">
        <f t="shared" si="141"/>
        <v>1.199570750052664</v>
      </c>
      <c r="AJ342" s="265" t="b">
        <f t="shared" si="142"/>
        <v>0</v>
      </c>
      <c r="AK342" s="265" t="b">
        <f t="shared" si="143"/>
        <v>1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6">
        <v>10.265000000000001</v>
      </c>
      <c r="C343" s="390"/>
      <c r="D343" s="393">
        <f t="shared" si="123"/>
        <v>10.3805488640311</v>
      </c>
      <c r="E343" s="385">
        <f t="shared" si="121"/>
        <v>11.16425260258905</v>
      </c>
      <c r="F343" s="385">
        <f t="shared" si="124"/>
        <v>11.257453755600757</v>
      </c>
      <c r="G343" s="110">
        <f t="shared" si="122"/>
        <v>0.60357290660553686</v>
      </c>
      <c r="H343" s="414" t="b">
        <f>Wh_hp&gt;='2018'!Maxi_hp</f>
        <v>1</v>
      </c>
      <c r="I343" s="390">
        <f>IF(H343,Wh_hp,'2018'!Maxi_hp)</f>
        <v>11.257453755600757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1.113128655763862E-2</v>
      </c>
      <c r="M343" s="843"/>
      <c r="N343" s="843"/>
      <c r="O343" s="48">
        <f>IF(t&lt;Tnet,'2018'!Resal+('2018'!Salim-'2018'!Resal)*(1-EXP(('2018'!Tnet-t)/('2018'!Tau_j))),Resal+(Salim-Resal)*(1-EXP((Tnet-t)/(Tau_j))))*Salcycl</f>
        <v>7.0197600005593316E-2</v>
      </c>
      <c r="P343" s="169">
        <f>(INDEX(Models!$BJ343:$BT343,,T343)*(1-R343)+INDEX(Models!$BJ343:$BT343,,T343+1)*R343-ERP_i)*Q343*Ramure*Pc/MaxiM</f>
        <v>1.8695861933302853E-2</v>
      </c>
      <c r="Q343" s="305">
        <f t="shared" si="126"/>
        <v>0.8</v>
      </c>
      <c r="R343" s="177">
        <f t="shared" si="127"/>
        <v>0.1995960049543406</v>
      </c>
      <c r="S343" s="809">
        <f t="shared" si="128"/>
        <v>1</v>
      </c>
      <c r="T343" s="176">
        <f t="shared" si="129"/>
        <v>7</v>
      </c>
      <c r="U343" s="251">
        <f t="shared" si="130"/>
        <v>1.1995960049543406</v>
      </c>
      <c r="V343" s="383">
        <f t="shared" si="131"/>
        <v>16.828420851398668</v>
      </c>
      <c r="W343" s="58"/>
      <c r="X343" s="157">
        <f t="shared" si="132"/>
        <v>43794</v>
      </c>
      <c r="Y343" s="385">
        <f t="shared" si="133"/>
        <v>10.265000000000001</v>
      </c>
      <c r="Z343" s="385">
        <f t="shared" si="134"/>
        <v>10.3805488640311</v>
      </c>
      <c r="AA343" s="386">
        <f t="shared" si="135"/>
        <v>11.16425260258905</v>
      </c>
      <c r="AB343" s="197">
        <f t="shared" si="136"/>
        <v>43794</v>
      </c>
      <c r="AC343" s="425">
        <f>IF(OR(t&lt;Tnet,NoTnet),'2018'!Resal_s+('2018'!Salim-'2018'!Resal_s)*(1-EXP(('2018'!Tnet_s-t)/'2018'!Tau_j)),Resal_s+(Salim-Resal_s)*(1-EXP((Tnet_s-t)/Tau_j)))*Salcycl</f>
        <v>7.0197600005593316E-2</v>
      </c>
      <c r="AD343" s="231">
        <f>(INDEX(Models!$BJ343:$BT343,,AH343)*(1-AF343)+INDEX(Models!$BJ343:$BT343,,AH343+1)*AF343-ERP_i)*AE343*Ramure*Pc/MaxiM</f>
        <v>1.8695861933302853E-2</v>
      </c>
      <c r="AE343" s="305">
        <f t="shared" si="137"/>
        <v>0.8</v>
      </c>
      <c r="AF343" s="177">
        <f t="shared" si="138"/>
        <v>0.1995960049543406</v>
      </c>
      <c r="AG343" s="176">
        <f t="shared" si="139"/>
        <v>1</v>
      </c>
      <c r="AH343" s="176">
        <f t="shared" si="140"/>
        <v>7</v>
      </c>
      <c r="AI343" s="225">
        <f t="shared" si="141"/>
        <v>1.1995960049543406</v>
      </c>
      <c r="AJ343" s="265" t="b">
        <f t="shared" si="142"/>
        <v>0</v>
      </c>
      <c r="AK343" s="265" t="b">
        <f t="shared" si="143"/>
        <v>1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6">
        <v>13.254</v>
      </c>
      <c r="C344" s="390"/>
      <c r="D344" s="393">
        <f t="shared" si="123"/>
        <v>13.403506721313033</v>
      </c>
      <c r="E344" s="385">
        <f t="shared" si="121"/>
        <v>14.416657809260318</v>
      </c>
      <c r="F344" s="385">
        <f t="shared" si="124"/>
        <v>14.611088962149013</v>
      </c>
      <c r="G344" s="110">
        <f t="shared" si="122"/>
        <v>0.79016445455737516</v>
      </c>
      <c r="H344" s="414" t="b">
        <f>Wh_hp&gt;='2018'!Maxi_hp</f>
        <v>1</v>
      </c>
      <c r="I344" s="390">
        <f>IF(H344,Wh_hp,'2018'!Maxi_hp)</f>
        <v>14.611088962149013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1.1154298977244625E-2</v>
      </c>
      <c r="M344" s="843"/>
      <c r="N344" s="843"/>
      <c r="O344" s="48">
        <f>IF(t&lt;Tnet,'2018'!Resal+('2018'!Salim-'2018'!Resal)*(1-EXP(('2018'!Tnet-t)/('2018'!Tau_j))),Resal+(Salim-Resal)*(1-EXP((Tnet-t)/(Tau_j))))*Salcycl</f>
        <v>7.0276419219474251E-2</v>
      </c>
      <c r="P344" s="169">
        <f>(INDEX(Models!$BJ344:$BT344,,T344)*(1-R344)+INDEX(Models!$BJ344:$BT344,,T344+1)*R344-ERP_i)*Q344*Ramure*Pc/MaxiM</f>
        <v>1.8832782704228054E-2</v>
      </c>
      <c r="Q344" s="305">
        <f t="shared" si="126"/>
        <v>0.8</v>
      </c>
      <c r="R344" s="177">
        <f t="shared" si="127"/>
        <v>0.1996202450184188</v>
      </c>
      <c r="S344" s="809">
        <f t="shared" si="128"/>
        <v>1</v>
      </c>
      <c r="T344" s="176">
        <f t="shared" si="129"/>
        <v>7</v>
      </c>
      <c r="U344" s="251">
        <f t="shared" si="130"/>
        <v>1.1996202450184188</v>
      </c>
      <c r="V344" s="383">
        <f t="shared" si="131"/>
        <v>16.679787025619987</v>
      </c>
      <c r="W344" s="58"/>
      <c r="X344" s="157">
        <f t="shared" si="132"/>
        <v>43795</v>
      </c>
      <c r="Y344" s="385">
        <f t="shared" si="133"/>
        <v>13.254</v>
      </c>
      <c r="Z344" s="385">
        <f t="shared" si="134"/>
        <v>13.403506721313033</v>
      </c>
      <c r="AA344" s="386">
        <f t="shared" si="135"/>
        <v>14.416657809260318</v>
      </c>
      <c r="AB344" s="197">
        <f t="shared" si="136"/>
        <v>43795</v>
      </c>
      <c r="AC344" s="425">
        <f>IF(OR(t&lt;Tnet,NoTnet),'2018'!Resal_s+('2018'!Salim-'2018'!Resal_s)*(1-EXP(('2018'!Tnet_s-t)/'2018'!Tau_j)),Resal_s+(Salim-Resal_s)*(1-EXP((Tnet_s-t)/Tau_j)))*Salcycl</f>
        <v>7.0276419219474251E-2</v>
      </c>
      <c r="AD344" s="231">
        <f>(INDEX(Models!$BJ344:$BT344,,AH344)*(1-AF344)+INDEX(Models!$BJ344:$BT344,,AH344+1)*AF344-ERP_i)*AE344*Ramure*Pc/MaxiM</f>
        <v>1.8832782704228054E-2</v>
      </c>
      <c r="AE344" s="305">
        <f t="shared" si="137"/>
        <v>0.8</v>
      </c>
      <c r="AF344" s="177">
        <f t="shared" si="138"/>
        <v>0.1996202450184188</v>
      </c>
      <c r="AG344" s="176">
        <f t="shared" si="139"/>
        <v>1</v>
      </c>
      <c r="AH344" s="176">
        <f t="shared" si="140"/>
        <v>7</v>
      </c>
      <c r="AI344" s="225">
        <f t="shared" si="141"/>
        <v>1.1996202450184188</v>
      </c>
      <c r="AJ344" s="265" t="b">
        <f t="shared" si="142"/>
        <v>0</v>
      </c>
      <c r="AK344" s="265" t="b">
        <f t="shared" si="143"/>
        <v>1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6">
        <v>12.728999999999999</v>
      </c>
      <c r="C345" s="390"/>
      <c r="D345" s="393">
        <f t="shared" si="123"/>
        <v>12.872884228706004</v>
      </c>
      <c r="E345" s="385">
        <f t="shared" si="121"/>
        <v>13.847115869483174</v>
      </c>
      <c r="F345" s="385">
        <f t="shared" si="124"/>
        <v>14.025372990578253</v>
      </c>
      <c r="G345" s="110">
        <f t="shared" si="122"/>
        <v>0.76483167494309223</v>
      </c>
      <c r="H345" s="414" t="b">
        <f>Wh_hp&gt;='2018'!Maxi_hp</f>
        <v>0</v>
      </c>
      <c r="I345" s="390">
        <f>IF(H345,Wh_hp,'2018'!Maxi_hp)</f>
        <v>16.263070033899286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1.1177310861318013E-2</v>
      </c>
      <c r="M345" s="843"/>
      <c r="N345" s="843"/>
      <c r="O345" s="48">
        <f>IF(t&lt;Tnet,'2018'!Resal+('2018'!Salim-'2018'!Resal)*(1-EXP(('2018'!Tnet-t)/('2018'!Tau_j))),Resal+(Salim-Resal)*(1-EXP((Tnet-t)/(Tau_j))))*Salcycl</f>
        <v>7.0356285739200095E-2</v>
      </c>
      <c r="P345" s="169">
        <f>(INDEX(Models!$BJ345:$BT345,,T345)*(1-R345)+INDEX(Models!$BJ345:$BT345,,T345+1)*R345-ERP_i)*Q345*Ramure*Pc/MaxiM</f>
        <v>1.8941702438557698E-2</v>
      </c>
      <c r="Q345" s="305">
        <f t="shared" si="126"/>
        <v>0.8</v>
      </c>
      <c r="R345" s="177">
        <f t="shared" si="127"/>
        <v>0.19964351094777144</v>
      </c>
      <c r="S345" s="809">
        <f t="shared" si="128"/>
        <v>1</v>
      </c>
      <c r="T345" s="176">
        <f t="shared" si="129"/>
        <v>7</v>
      </c>
      <c r="U345" s="251">
        <f t="shared" si="130"/>
        <v>1.1996435109477714</v>
      </c>
      <c r="V345" s="383">
        <f t="shared" si="131"/>
        <v>16.537822622061359</v>
      </c>
      <c r="W345" s="58"/>
      <c r="X345" s="157">
        <f t="shared" si="132"/>
        <v>43796</v>
      </c>
      <c r="Y345" s="385">
        <f t="shared" si="133"/>
        <v>12.728999999999999</v>
      </c>
      <c r="Z345" s="385">
        <f t="shared" si="134"/>
        <v>12.872884228706004</v>
      </c>
      <c r="AA345" s="386">
        <f t="shared" si="135"/>
        <v>13.847115869483174</v>
      </c>
      <c r="AB345" s="197">
        <f t="shared" si="136"/>
        <v>43796</v>
      </c>
      <c r="AC345" s="425">
        <f>IF(OR(t&lt;Tnet,NoTnet),'2018'!Resal_s+('2018'!Salim-'2018'!Resal_s)*(1-EXP(('2018'!Tnet_s-t)/'2018'!Tau_j)),Resal_s+(Salim-Resal_s)*(1-EXP((Tnet_s-t)/Tau_j)))*Salcycl</f>
        <v>7.0356285739200095E-2</v>
      </c>
      <c r="AD345" s="231">
        <f>(INDEX(Models!$BJ345:$BT345,,AH345)*(1-AF345)+INDEX(Models!$BJ345:$BT345,,AH345+1)*AF345-ERP_i)*AE345*Ramure*Pc/MaxiM</f>
        <v>1.8941702438557698E-2</v>
      </c>
      <c r="AE345" s="305">
        <f t="shared" si="137"/>
        <v>0.8</v>
      </c>
      <c r="AF345" s="177">
        <f t="shared" si="138"/>
        <v>0.19964351094777144</v>
      </c>
      <c r="AG345" s="176">
        <f t="shared" si="139"/>
        <v>1</v>
      </c>
      <c r="AH345" s="176">
        <f t="shared" si="140"/>
        <v>7</v>
      </c>
      <c r="AI345" s="225">
        <f t="shared" si="141"/>
        <v>1.1996435109477714</v>
      </c>
      <c r="AJ345" s="265" t="b">
        <f t="shared" si="142"/>
        <v>0</v>
      </c>
      <c r="AK345" s="265" t="b">
        <f t="shared" si="143"/>
        <v>1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6">
        <v>8.9589999999999996</v>
      </c>
      <c r="C346" s="390"/>
      <c r="D346" s="393">
        <f t="shared" si="123"/>
        <v>9.0604802987218758</v>
      </c>
      <c r="E346" s="385">
        <f t="shared" si="121"/>
        <v>9.7470341974099792</v>
      </c>
      <c r="F346" s="385">
        <f t="shared" si="124"/>
        <v>9.8126842887298587</v>
      </c>
      <c r="G346" s="110">
        <f t="shared" si="122"/>
        <v>0.53944744547217138</v>
      </c>
      <c r="H346" s="414" t="b">
        <f>Wh_hp&gt;='2018'!Maxi_hp</f>
        <v>0</v>
      </c>
      <c r="I346" s="390">
        <f>IF(H346,Wh_hp,'2018'!Maxi_hp)</f>
        <v>12.704962668086491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1.1200322209871327E-2</v>
      </c>
      <c r="M346" s="843"/>
      <c r="N346" s="843"/>
      <c r="O346" s="48">
        <f>IF(t&lt;Tnet,'2018'!Resal+('2018'!Salim-'2018'!Resal)*(1-EXP(('2018'!Tnet-t)/('2018'!Tau_j))),Resal+(Salim-Resal)*(1-EXP((Tnet-t)/(Tau_j))))*Salcycl</f>
        <v>7.0437210415301266E-2</v>
      </c>
      <c r="P346" s="169">
        <f>(INDEX(Models!$BJ346:$BT346,,T346)*(1-R346)+INDEX(Models!$BJ346:$BT346,,T346+1)*R346-ERP_i)*Q346*Ramure*Pc/MaxiM</f>
        <v>1.9019927776012982E-2</v>
      </c>
      <c r="Q346" s="305">
        <f t="shared" si="126"/>
        <v>0.8</v>
      </c>
      <c r="R346" s="177">
        <f t="shared" si="127"/>
        <v>0.19966584181885305</v>
      </c>
      <c r="S346" s="809">
        <f t="shared" si="128"/>
        <v>1</v>
      </c>
      <c r="T346" s="176">
        <f t="shared" si="129"/>
        <v>7</v>
      </c>
      <c r="U346" s="251">
        <f t="shared" si="130"/>
        <v>1.1996658418188531</v>
      </c>
      <c r="V346" s="383">
        <f t="shared" si="131"/>
        <v>16.40158871125228</v>
      </c>
      <c r="W346" s="58"/>
      <c r="X346" s="157">
        <f t="shared" si="132"/>
        <v>43797</v>
      </c>
      <c r="Y346" s="385">
        <f t="shared" si="133"/>
        <v>8.9589999999999996</v>
      </c>
      <c r="Z346" s="385">
        <f t="shared" si="134"/>
        <v>9.0604802987218758</v>
      </c>
      <c r="AA346" s="386">
        <f t="shared" si="135"/>
        <v>9.7470341974099792</v>
      </c>
      <c r="AB346" s="197">
        <f t="shared" si="136"/>
        <v>43797</v>
      </c>
      <c r="AC346" s="425">
        <f>IF(OR(t&lt;Tnet,NoTnet),'2018'!Resal_s+('2018'!Salim-'2018'!Resal_s)*(1-EXP(('2018'!Tnet_s-t)/'2018'!Tau_j)),Resal_s+(Salim-Resal_s)*(1-EXP((Tnet_s-t)/Tau_j)))*Salcycl</f>
        <v>7.0437210415301266E-2</v>
      </c>
      <c r="AD346" s="231">
        <f>(INDEX(Models!$BJ346:$BT346,,AH346)*(1-AF346)+INDEX(Models!$BJ346:$BT346,,AH346+1)*AF346-ERP_i)*AE346*Ramure*Pc/MaxiM</f>
        <v>1.9019927776012982E-2</v>
      </c>
      <c r="AE346" s="305">
        <f t="shared" si="137"/>
        <v>0.8</v>
      </c>
      <c r="AF346" s="177">
        <f t="shared" si="138"/>
        <v>0.19966584181885305</v>
      </c>
      <c r="AG346" s="176">
        <f t="shared" si="139"/>
        <v>1</v>
      </c>
      <c r="AH346" s="176">
        <f t="shared" si="140"/>
        <v>7</v>
      </c>
      <c r="AI346" s="225">
        <f t="shared" si="141"/>
        <v>1.1996658418188531</v>
      </c>
      <c r="AJ346" s="265" t="b">
        <f t="shared" si="142"/>
        <v>0</v>
      </c>
      <c r="AK346" s="265" t="b">
        <f t="shared" si="143"/>
        <v>1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6">
        <v>14.045999999999999</v>
      </c>
      <c r="C347" s="390"/>
      <c r="D347" s="393">
        <f t="shared" si="123"/>
        <v>14.205432297408311</v>
      </c>
      <c r="E347" s="385">
        <f t="shared" si="121"/>
        <v>15.283190672546031</v>
      </c>
      <c r="F347" s="385">
        <f t="shared" si="124"/>
        <v>15.521396631440048</v>
      </c>
      <c r="G347" s="110">
        <f t="shared" si="122"/>
        <v>0.85996166833385257</v>
      </c>
      <c r="H347" s="414" t="b">
        <f>Wh_hp&gt;='2018'!Maxi_hp</f>
        <v>0</v>
      </c>
      <c r="I347" s="390">
        <f>IF(H347,Wh_hp,'2018'!Maxi_hp)</f>
        <v>18.062192612165116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1.1223333022916782E-2</v>
      </c>
      <c r="M347" s="843"/>
      <c r="N347" s="843"/>
      <c r="O347" s="48">
        <f>IF(t&lt;Tnet,'2018'!Resal+('2018'!Salim-'2018'!Resal)*(1-EXP(('2018'!Tnet-t)/('2018'!Tau_j))),Resal+(Salim-Resal)*(1-EXP((Tnet-t)/(Tau_j))))*Salcycl</f>
        <v>7.051919970309288E-2</v>
      </c>
      <c r="P347" s="169">
        <f>(INDEX(Models!$BJ347:$BT347,,T347)*(1-R347)+INDEX(Models!$BJ347:$BT347,,T347+1)*R347-ERP_i)*Q347*Ramure*Pc/MaxiM</f>
        <v>1.9073700867357938E-2</v>
      </c>
      <c r="Q347" s="305">
        <f t="shared" si="126"/>
        <v>0.8</v>
      </c>
      <c r="R347" s="177">
        <f t="shared" si="127"/>
        <v>0.19968727514620799</v>
      </c>
      <c r="S347" s="809">
        <f t="shared" si="128"/>
        <v>1</v>
      </c>
      <c r="T347" s="176">
        <f t="shared" si="129"/>
        <v>7</v>
      </c>
      <c r="U347" s="251">
        <f t="shared" si="130"/>
        <v>1.199687275146208</v>
      </c>
      <c r="V347" s="383">
        <f t="shared" si="131"/>
        <v>16.271467175192775</v>
      </c>
      <c r="W347" s="58"/>
      <c r="X347" s="157">
        <f t="shared" si="132"/>
        <v>43798</v>
      </c>
      <c r="Y347" s="385">
        <f t="shared" si="133"/>
        <v>14.045999999999999</v>
      </c>
      <c r="Z347" s="385">
        <f t="shared" si="134"/>
        <v>14.205432297408311</v>
      </c>
      <c r="AA347" s="386">
        <f t="shared" si="135"/>
        <v>15.283190672546031</v>
      </c>
      <c r="AB347" s="197">
        <f t="shared" si="136"/>
        <v>43798</v>
      </c>
      <c r="AC347" s="425">
        <f>IF(OR(t&lt;Tnet,NoTnet),'2018'!Resal_s+('2018'!Salim-'2018'!Resal_s)*(1-EXP(('2018'!Tnet_s-t)/'2018'!Tau_j)),Resal_s+(Salim-Resal_s)*(1-EXP((Tnet_s-t)/Tau_j)))*Salcycl</f>
        <v>7.051919970309288E-2</v>
      </c>
      <c r="AD347" s="231">
        <f>(INDEX(Models!$BJ347:$BT347,,AH347)*(1-AF347)+INDEX(Models!$BJ347:$BT347,,AH347+1)*AF347-ERP_i)*AE347*Ramure*Pc/MaxiM</f>
        <v>1.9073700867357938E-2</v>
      </c>
      <c r="AE347" s="305">
        <f t="shared" si="137"/>
        <v>0.8</v>
      </c>
      <c r="AF347" s="177">
        <f t="shared" si="138"/>
        <v>0.19968727514620799</v>
      </c>
      <c r="AG347" s="176">
        <f t="shared" si="139"/>
        <v>1</v>
      </c>
      <c r="AH347" s="176">
        <f t="shared" si="140"/>
        <v>7</v>
      </c>
      <c r="AI347" s="225">
        <f t="shared" si="141"/>
        <v>1.199687275146208</v>
      </c>
      <c r="AJ347" s="265" t="b">
        <f t="shared" si="142"/>
        <v>0</v>
      </c>
      <c r="AK347" s="265" t="b">
        <f t="shared" si="143"/>
        <v>1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6">
        <v>9.8569999999999993</v>
      </c>
      <c r="C348" s="390"/>
      <c r="D348" s="393">
        <f t="shared" si="123"/>
        <v>9.9691161020862769</v>
      </c>
      <c r="E348" s="385">
        <f t="shared" si="121"/>
        <v>10.726425971553336</v>
      </c>
      <c r="F348" s="385">
        <f t="shared" si="124"/>
        <v>10.818064998525713</v>
      </c>
      <c r="G348" s="110">
        <f t="shared" si="122"/>
        <v>0.60387270082039379</v>
      </c>
      <c r="H348" s="414" t="b">
        <f>Wh_hp&gt;='2018'!Maxi_hp</f>
        <v>1</v>
      </c>
      <c r="I348" s="390">
        <f>IF(H348,Wh_hp,'2018'!Maxi_hp)</f>
        <v>10.818064998525713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1.1246343300467143E-2</v>
      </c>
      <c r="M348" s="843"/>
      <c r="N348" s="843"/>
      <c r="O348" s="48">
        <f>IF(t&lt;Tnet,'2018'!Resal+('2018'!Salim-'2018'!Resal)*(1-EXP(('2018'!Tnet-t)/('2018'!Tau_j))),Resal+(Salim-Resal)*(1-EXP((Tnet-t)/(Tau_j))))*Salcycl</f>
        <v>7.0602255725761606E-2</v>
      </c>
      <c r="P348" s="169">
        <f>(INDEX(Models!$BJ348:$BT348,,T348)*(1-R348)+INDEX(Models!$BJ348:$BT348,,T348+1)*R348-ERP_i)*Q348*Ramure*Pc/MaxiM</f>
        <v>1.9102162462871213E-2</v>
      </c>
      <c r="Q348" s="305">
        <f t="shared" si="126"/>
        <v>0.8</v>
      </c>
      <c r="R348" s="177">
        <f t="shared" si="127"/>
        <v>0.19970784694445909</v>
      </c>
      <c r="S348" s="809">
        <f t="shared" si="128"/>
        <v>1</v>
      </c>
      <c r="T348" s="176">
        <f t="shared" si="129"/>
        <v>7</v>
      </c>
      <c r="U348" s="251">
        <f t="shared" si="130"/>
        <v>1.1997078469444591</v>
      </c>
      <c r="V348" s="383">
        <f t="shared" si="131"/>
        <v>16.147960684550007</v>
      </c>
      <c r="W348" s="58"/>
      <c r="X348" s="157">
        <f t="shared" si="132"/>
        <v>43799</v>
      </c>
      <c r="Y348" s="385">
        <f t="shared" si="133"/>
        <v>9.8569999999999993</v>
      </c>
      <c r="Z348" s="385">
        <f t="shared" si="134"/>
        <v>9.9691161020862769</v>
      </c>
      <c r="AA348" s="386">
        <f t="shared" si="135"/>
        <v>10.726425971553336</v>
      </c>
      <c r="AB348" s="197">
        <f t="shared" si="136"/>
        <v>43799</v>
      </c>
      <c r="AC348" s="425">
        <f>IF(OR(t&lt;Tnet,NoTnet),'2018'!Resal_s+('2018'!Salim-'2018'!Resal_s)*(1-EXP(('2018'!Tnet_s-t)/'2018'!Tau_j)),Resal_s+(Salim-Resal_s)*(1-EXP((Tnet_s-t)/Tau_j)))*Salcycl</f>
        <v>7.0602255725761606E-2</v>
      </c>
      <c r="AD348" s="231">
        <f>(INDEX(Models!$BJ348:$BT348,,AH348)*(1-AF348)+INDEX(Models!$BJ348:$BT348,,AH348+1)*AF348-ERP_i)*AE348*Ramure*Pc/MaxiM</f>
        <v>1.9102162462871213E-2</v>
      </c>
      <c r="AE348" s="305">
        <f t="shared" si="137"/>
        <v>0.8</v>
      </c>
      <c r="AF348" s="177">
        <f t="shared" si="138"/>
        <v>0.19970784694445909</v>
      </c>
      <c r="AG348" s="176">
        <f t="shared" si="139"/>
        <v>1</v>
      </c>
      <c r="AH348" s="176">
        <f t="shared" si="140"/>
        <v>7</v>
      </c>
      <c r="AI348" s="225">
        <f t="shared" si="141"/>
        <v>1.1997078469444591</v>
      </c>
      <c r="AJ348" s="265" t="b">
        <f t="shared" si="142"/>
        <v>0</v>
      </c>
      <c r="AK348" s="265" t="b">
        <f t="shared" si="143"/>
        <v>1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6">
        <v>6.83</v>
      </c>
      <c r="C349" s="390"/>
      <c r="D349" s="393">
        <f t="shared" si="123"/>
        <v>6.907846966226205</v>
      </c>
      <c r="E349" s="385">
        <f t="shared" si="121"/>
        <v>7.4332784869718829</v>
      </c>
      <c r="F349" s="385">
        <f t="shared" si="124"/>
        <v>7.4589352475510156</v>
      </c>
      <c r="G349" s="110">
        <f t="shared" si="122"/>
        <v>0.41933758075401367</v>
      </c>
      <c r="H349" s="414" t="b">
        <f>Wh_hp&gt;='2018'!Maxi_hp</f>
        <v>0</v>
      </c>
      <c r="I349" s="390">
        <f>IF(H349,Wh_hp,'2018'!Maxi_hp)</f>
        <v>14.460901933731215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1.1269353042534624E-2</v>
      </c>
      <c r="M349" s="843"/>
      <c r="N349" s="843"/>
      <c r="O349" s="48">
        <f>IF(t&lt;Tnet,'2018'!Resal+('2018'!Salim-'2018'!Resal)*(1-EXP(('2018'!Tnet-t)/('2018'!Tau_j))),Resal+(Salim-Resal)*(1-EXP((Tnet-t)/(Tau_j))))*Salcycl</f>
        <v>7.0686376363617714E-2</v>
      </c>
      <c r="P349" s="169">
        <f>(INDEX(Models!$BJ349:$BT349,,T349)*(1-R349)+INDEX(Models!$BJ349:$BT349,,T349+1)*R349-ERP_i)*Q349*Ramure*Pc/MaxiM</f>
        <v>1.9104435794989608E-2</v>
      </c>
      <c r="Q349" s="305">
        <f t="shared" si="126"/>
        <v>0.8</v>
      </c>
      <c r="R349" s="177">
        <f t="shared" si="127"/>
        <v>0.19972759178786959</v>
      </c>
      <c r="S349" s="809">
        <f t="shared" si="128"/>
        <v>1</v>
      </c>
      <c r="T349" s="176">
        <f t="shared" si="129"/>
        <v>7</v>
      </c>
      <c r="U349" s="251">
        <f t="shared" si="130"/>
        <v>1.1997275917878696</v>
      </c>
      <c r="V349" s="383">
        <f t="shared" si="131"/>
        <v>16.031572448758343</v>
      </c>
      <c r="W349" s="58"/>
      <c r="X349" s="157">
        <f t="shared" si="132"/>
        <v>43800</v>
      </c>
      <c r="Y349" s="385">
        <f t="shared" si="133"/>
        <v>6.83</v>
      </c>
      <c r="Z349" s="385">
        <f t="shared" si="134"/>
        <v>6.907846966226205</v>
      </c>
      <c r="AA349" s="386">
        <f t="shared" si="135"/>
        <v>7.4332784869718829</v>
      </c>
      <c r="AB349" s="197">
        <f t="shared" si="136"/>
        <v>43800</v>
      </c>
      <c r="AC349" s="425">
        <f>IF(OR(t&lt;Tnet,NoTnet),'2018'!Resal_s+('2018'!Salim-'2018'!Resal_s)*(1-EXP(('2018'!Tnet_s-t)/'2018'!Tau_j)),Resal_s+(Salim-Resal_s)*(1-EXP((Tnet_s-t)/Tau_j)))*Salcycl</f>
        <v>7.0686376363617714E-2</v>
      </c>
      <c r="AD349" s="231">
        <f>(INDEX(Models!$BJ349:$BT349,,AH349)*(1-AF349)+INDEX(Models!$BJ349:$BT349,,AH349+1)*AF349-ERP_i)*AE349*Ramure*Pc/MaxiM</f>
        <v>1.9104435794989608E-2</v>
      </c>
      <c r="AE349" s="305">
        <f t="shared" si="137"/>
        <v>0.8</v>
      </c>
      <c r="AF349" s="177">
        <f t="shared" si="138"/>
        <v>0.19972759178786959</v>
      </c>
      <c r="AG349" s="176">
        <f t="shared" si="139"/>
        <v>1</v>
      </c>
      <c r="AH349" s="176">
        <f t="shared" si="140"/>
        <v>7</v>
      </c>
      <c r="AI349" s="225">
        <f t="shared" si="141"/>
        <v>1.1997275917878696</v>
      </c>
      <c r="AJ349" s="265" t="b">
        <f t="shared" si="142"/>
        <v>0</v>
      </c>
      <c r="AK349" s="265" t="b">
        <f t="shared" si="143"/>
        <v>1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6">
        <v>3.8650000000000002</v>
      </c>
      <c r="C350" s="390"/>
      <c r="D350" s="393">
        <f t="shared" si="123"/>
        <v>3.9091434640802203</v>
      </c>
      <c r="E350" s="385">
        <f t="shared" si="121"/>
        <v>4.2068702122339277</v>
      </c>
      <c r="F350" s="385">
        <f t="shared" si="124"/>
        <v>4.2068702122339277</v>
      </c>
      <c r="G350" s="110">
        <f t="shared" si="122"/>
        <v>0.23810232674296297</v>
      </c>
      <c r="H350" s="414" t="b">
        <f>Wh_hp&gt;='2018'!Maxi_hp</f>
        <v>0</v>
      </c>
      <c r="I350" s="390">
        <f>IF(H350,Wh_hp,'2018'!Maxi_hp)</f>
        <v>6.48771593869815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1.1292362249131882E-2</v>
      </c>
      <c r="M350" s="843"/>
      <c r="N350" s="843"/>
      <c r="O350" s="48">
        <f>IF(t&lt;Tnet,'2018'!Resal+('2018'!Salim-'2018'!Resal)*(1-EXP(('2018'!Tnet-t)/('2018'!Tau_j))),Resal+(Salim-Resal)*(1-EXP((Tnet-t)/(Tau_j))))*Salcycl</f>
        <v>7.0771555368618955E-2</v>
      </c>
      <c r="P350" s="169">
        <f>(INDEX(Models!$BJ350:$BT350,,T350)*(1-R350)+INDEX(Models!$BJ350:$BT350,,T350+1)*R350-ERP_i)*Q350*Ramure*Pc/MaxiM</f>
        <v>1.9079638062659946E-2</v>
      </c>
      <c r="Q350" s="305">
        <f t="shared" si="126"/>
        <v>0.8</v>
      </c>
      <c r="R350" s="177">
        <f t="shared" si="127"/>
        <v>0.19974654286757598</v>
      </c>
      <c r="S350" s="809">
        <f t="shared" si="128"/>
        <v>1</v>
      </c>
      <c r="T350" s="176">
        <f t="shared" si="129"/>
        <v>7</v>
      </c>
      <c r="U350" s="251">
        <f t="shared" si="130"/>
        <v>1.199746542867576</v>
      </c>
      <c r="V350" s="383">
        <f t="shared" si="131"/>
        <v>15.922806176440979</v>
      </c>
      <c r="W350" s="58"/>
      <c r="X350" s="157">
        <f t="shared" si="132"/>
        <v>43801</v>
      </c>
      <c r="Y350" s="385">
        <f t="shared" si="133"/>
        <v>3.8650000000000002</v>
      </c>
      <c r="Z350" s="385">
        <f t="shared" si="134"/>
        <v>3.9091434640802203</v>
      </c>
      <c r="AA350" s="386">
        <f t="shared" si="135"/>
        <v>4.2068702122339277</v>
      </c>
      <c r="AB350" s="197">
        <f t="shared" si="136"/>
        <v>43801</v>
      </c>
      <c r="AC350" s="425">
        <f>IF(OR(t&lt;Tnet,NoTnet),'2018'!Resal_s+('2018'!Salim-'2018'!Resal_s)*(1-EXP(('2018'!Tnet_s-t)/'2018'!Tau_j)),Resal_s+(Salim-Resal_s)*(1-EXP((Tnet_s-t)/Tau_j)))*Salcycl</f>
        <v>7.0771555368618955E-2</v>
      </c>
      <c r="AD350" s="231">
        <f>(INDEX(Models!$BJ350:$BT350,,AH350)*(1-AF350)+INDEX(Models!$BJ350:$BT350,,AH350+1)*AF350-ERP_i)*AE350*Ramure*Pc/MaxiM</f>
        <v>1.9079638062659946E-2</v>
      </c>
      <c r="AE350" s="305">
        <f t="shared" si="137"/>
        <v>0.8</v>
      </c>
      <c r="AF350" s="177">
        <f t="shared" si="138"/>
        <v>0.19974654286757598</v>
      </c>
      <c r="AG350" s="176">
        <f t="shared" si="139"/>
        <v>1</v>
      </c>
      <c r="AH350" s="176">
        <f t="shared" si="140"/>
        <v>7</v>
      </c>
      <c r="AI350" s="225">
        <f t="shared" si="141"/>
        <v>1.199746542867576</v>
      </c>
      <c r="AJ350" s="265" t="b">
        <f t="shared" si="142"/>
        <v>0</v>
      </c>
      <c r="AK350" s="265" t="b">
        <f t="shared" si="143"/>
        <v>1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6">
        <v>4.4649999999999999</v>
      </c>
      <c r="C351" s="390"/>
      <c r="D351" s="393">
        <f t="shared" si="123"/>
        <v>4.5161013620248536</v>
      </c>
      <c r="E351" s="385">
        <f t="shared" si="121"/>
        <v>4.8605060420040527</v>
      </c>
      <c r="F351" s="385">
        <f t="shared" si="124"/>
        <v>4.8605060420040527</v>
      </c>
      <c r="G351" s="110">
        <f t="shared" si="122"/>
        <v>0.27682966450641749</v>
      </c>
      <c r="H351" s="414" t="b">
        <f>Wh_hp&gt;='2018'!Maxi_hp</f>
        <v>0</v>
      </c>
      <c r="I351" s="390">
        <f>IF(H351,Wh_hp,'2018'!Maxi_hp)</f>
        <v>7.0296101581186381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1.1315370920271239E-2</v>
      </c>
      <c r="M351" s="843"/>
      <c r="N351" s="843"/>
      <c r="O351" s="48">
        <f>IF(t&lt;Tnet,'2018'!Resal+('2018'!Salim-'2018'!Resal)*(1-EXP(('2018'!Tnet-t)/('2018'!Tau_j))),Resal+(Salim-Resal)*(1-EXP((Tnet-t)/(Tau_j))))*Salcycl</f>
        <v>7.0857782503073855E-2</v>
      </c>
      <c r="P351" s="169">
        <f>(INDEX(Models!$BJ351:$BT351,,T351)*(1-R351)+INDEX(Models!$BJ351:$BT351,,T351+1)*R351-ERP_i)*Q351*Ramure*Pc/MaxiM</f>
        <v>1.902689333070947E-2</v>
      </c>
      <c r="Q351" s="305">
        <f t="shared" si="126"/>
        <v>0.8</v>
      </c>
      <c r="R351" s="177">
        <f t="shared" si="127"/>
        <v>0.19976473204657097</v>
      </c>
      <c r="S351" s="809">
        <f t="shared" si="128"/>
        <v>1</v>
      </c>
      <c r="T351" s="176">
        <f t="shared" si="129"/>
        <v>7</v>
      </c>
      <c r="U351" s="251">
        <f t="shared" si="130"/>
        <v>1.199764732046571</v>
      </c>
      <c r="V351" s="383">
        <f t="shared" si="131"/>
        <v>15.822166056834719</v>
      </c>
      <c r="W351" s="58"/>
      <c r="X351" s="157">
        <f t="shared" si="132"/>
        <v>43802</v>
      </c>
      <c r="Y351" s="385">
        <f t="shared" si="133"/>
        <v>4.4649999999999999</v>
      </c>
      <c r="Z351" s="385">
        <f t="shared" si="134"/>
        <v>4.5161013620248536</v>
      </c>
      <c r="AA351" s="386">
        <f t="shared" si="135"/>
        <v>4.8605060420040527</v>
      </c>
      <c r="AB351" s="197">
        <f t="shared" si="136"/>
        <v>43802</v>
      </c>
      <c r="AC351" s="425">
        <f>IF(OR(t&lt;Tnet,NoTnet),'2018'!Resal_s+('2018'!Salim-'2018'!Resal_s)*(1-EXP(('2018'!Tnet_s-t)/'2018'!Tau_j)),Resal_s+(Salim-Resal_s)*(1-EXP((Tnet_s-t)/Tau_j)))*Salcycl</f>
        <v>7.0857782503073855E-2</v>
      </c>
      <c r="AD351" s="231">
        <f>(INDEX(Models!$BJ351:$BT351,,AH351)*(1-AF351)+INDEX(Models!$BJ351:$BT351,,AH351+1)*AF351-ERP_i)*AE351*Ramure*Pc/MaxiM</f>
        <v>1.902689333070947E-2</v>
      </c>
      <c r="AE351" s="305">
        <f t="shared" si="137"/>
        <v>0.8</v>
      </c>
      <c r="AF351" s="177">
        <f t="shared" si="138"/>
        <v>0.19976473204657097</v>
      </c>
      <c r="AG351" s="176">
        <f t="shared" si="139"/>
        <v>1</v>
      </c>
      <c r="AH351" s="176">
        <f t="shared" si="140"/>
        <v>7</v>
      </c>
      <c r="AI351" s="225">
        <f t="shared" si="141"/>
        <v>1.199764732046571</v>
      </c>
      <c r="AJ351" s="265" t="b">
        <f t="shared" si="142"/>
        <v>0</v>
      </c>
      <c r="AK351" s="265" t="b">
        <f t="shared" si="143"/>
        <v>1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6">
        <v>5.7030000000000003</v>
      </c>
      <c r="C352" s="390"/>
      <c r="D352" s="393">
        <f t="shared" si="123"/>
        <v>5.7684043551265045</v>
      </c>
      <c r="E352" s="385">
        <f t="shared" si="121"/>
        <v>6.208894657972821</v>
      </c>
      <c r="F352" s="385">
        <f t="shared" si="124"/>
        <v>6.2194268036515767</v>
      </c>
      <c r="G352" s="110">
        <f t="shared" si="122"/>
        <v>0.35628668542385056</v>
      </c>
      <c r="H352" s="414" t="b">
        <f>Wh_hp&gt;='2018'!Maxi_hp</f>
        <v>1</v>
      </c>
      <c r="I352" s="390">
        <f>IF(H352,Wh_hp,'2018'!Maxi_hp)</f>
        <v>6.2194268036515767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1.1338379055965131E-2</v>
      </c>
      <c r="M352" s="843"/>
      <c r="N352" s="843"/>
      <c r="O352" s="48">
        <f>IF(t&lt;Tnet,'2018'!Resal+('2018'!Salim-'2018'!Resal)*(1-EXP(('2018'!Tnet-t)/('2018'!Tau_j))),Resal+(Salim-Resal)*(1-EXP((Tnet-t)/(Tau_j))))*Salcycl</f>
        <v>7.0945043701246352E-2</v>
      </c>
      <c r="P352" s="169">
        <f>(INDEX(Models!$BJ352:$BT352,,T352)*(1-R352)+INDEX(Models!$BJ352:$BT352,,T352+1)*R352-ERP_i)*Q352*Ramure*Pc/MaxiM</f>
        <v>1.8950081981309215E-2</v>
      </c>
      <c r="Q352" s="305">
        <f t="shared" si="126"/>
        <v>0.8</v>
      </c>
      <c r="R352" s="177">
        <f t="shared" si="127"/>
        <v>0.19978218991253294</v>
      </c>
      <c r="S352" s="809">
        <f t="shared" si="128"/>
        <v>1</v>
      </c>
      <c r="T352" s="176">
        <f t="shared" si="129"/>
        <v>7</v>
      </c>
      <c r="U352" s="251">
        <f t="shared" si="130"/>
        <v>1.1997821899125329</v>
      </c>
      <c r="V352" s="383">
        <f t="shared" si="131"/>
        <v>15.730080818265613</v>
      </c>
      <c r="W352" s="58"/>
      <c r="X352" s="157">
        <f t="shared" si="132"/>
        <v>43803</v>
      </c>
      <c r="Y352" s="385">
        <f t="shared" si="133"/>
        <v>5.7030000000000003</v>
      </c>
      <c r="Z352" s="385">
        <f t="shared" si="134"/>
        <v>5.7684043551265045</v>
      </c>
      <c r="AA352" s="386">
        <f t="shared" si="135"/>
        <v>6.208894657972821</v>
      </c>
      <c r="AB352" s="197">
        <f t="shared" si="136"/>
        <v>43803</v>
      </c>
      <c r="AC352" s="425">
        <f>IF(OR(t&lt;Tnet,NoTnet),'2018'!Resal_s+('2018'!Salim-'2018'!Resal_s)*(1-EXP(('2018'!Tnet_s-t)/'2018'!Tau_j)),Resal_s+(Salim-Resal_s)*(1-EXP((Tnet_s-t)/Tau_j)))*Salcycl</f>
        <v>7.0945043701246352E-2</v>
      </c>
      <c r="AD352" s="231">
        <f>(INDEX(Models!$BJ352:$BT352,,AH352)*(1-AF352)+INDEX(Models!$BJ352:$BT352,,AH352+1)*AF352-ERP_i)*AE352*Ramure*Pc/MaxiM</f>
        <v>1.8950081981309215E-2</v>
      </c>
      <c r="AE352" s="305">
        <f t="shared" si="137"/>
        <v>0.8</v>
      </c>
      <c r="AF352" s="177">
        <f t="shared" si="138"/>
        <v>0.19978218991253294</v>
      </c>
      <c r="AG352" s="176">
        <f t="shared" si="139"/>
        <v>1</v>
      </c>
      <c r="AH352" s="176">
        <f t="shared" si="140"/>
        <v>7</v>
      </c>
      <c r="AI352" s="225">
        <f t="shared" si="141"/>
        <v>1.1997821899125329</v>
      </c>
      <c r="AJ352" s="265" t="b">
        <f t="shared" si="142"/>
        <v>0</v>
      </c>
      <c r="AK352" s="265" t="b">
        <f t="shared" si="143"/>
        <v>1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6">
        <v>7.1989999999999998</v>
      </c>
      <c r="C353" s="390"/>
      <c r="D353" s="393">
        <f t="shared" si="123"/>
        <v>7.281730556377461</v>
      </c>
      <c r="E353" s="385">
        <f t="shared" si="121"/>
        <v>7.8385271753713379</v>
      </c>
      <c r="F353" s="385">
        <f t="shared" si="124"/>
        <v>7.8724989214871091</v>
      </c>
      <c r="G353" s="110">
        <f t="shared" si="122"/>
        <v>0.45337104483308682</v>
      </c>
      <c r="H353" s="414" t="b">
        <f>Wh_hp&gt;='2018'!Maxi_hp</f>
        <v>0</v>
      </c>
      <c r="I353" s="390">
        <f>IF(H353,Wh_hp,'2018'!Maxi_hp)</f>
        <v>13.372447869111131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1.1361386656226213E-2</v>
      </c>
      <c r="M353" s="843"/>
      <c r="N353" s="843"/>
      <c r="O353" s="48">
        <f>IF(t&lt;Tnet,'2018'!Resal+('2018'!Salim-'2018'!Resal)*(1-EXP(('2018'!Tnet-t)/('2018'!Tau_j))),Resal+(Salim-Resal)*(1-EXP((Tnet-t)/(Tau_j))))*Salcycl</f>
        <v>7.1033321252407272E-2</v>
      </c>
      <c r="P353" s="169">
        <f>(INDEX(Models!$BJ353:$BT353,,T353)*(1-R353)+INDEX(Models!$BJ353:$BT353,,T353+1)*R353-ERP_i)*Q353*Ramure*Pc/MaxiM</f>
        <v>1.8867905224781548E-2</v>
      </c>
      <c r="Q353" s="305">
        <f t="shared" si="126"/>
        <v>0.8</v>
      </c>
      <c r="R353" s="177">
        <f t="shared" si="127"/>
        <v>0.19979894582857582</v>
      </c>
      <c r="S353" s="809">
        <f t="shared" si="128"/>
        <v>1</v>
      </c>
      <c r="T353" s="176">
        <f t="shared" si="129"/>
        <v>7</v>
      </c>
      <c r="U353" s="251">
        <f t="shared" si="130"/>
        <v>1.1997989458285758</v>
      </c>
      <c r="V353" s="383">
        <f t="shared" si="131"/>
        <v>15.646745467391224</v>
      </c>
      <c r="W353" s="58"/>
      <c r="X353" s="157">
        <f t="shared" si="132"/>
        <v>43804</v>
      </c>
      <c r="Y353" s="385">
        <f t="shared" si="133"/>
        <v>7.1989999999999998</v>
      </c>
      <c r="Z353" s="385">
        <f t="shared" si="134"/>
        <v>7.281730556377461</v>
      </c>
      <c r="AA353" s="386">
        <f t="shared" si="135"/>
        <v>7.8385271753713379</v>
      </c>
      <c r="AB353" s="197">
        <f t="shared" si="136"/>
        <v>43804</v>
      </c>
      <c r="AC353" s="425">
        <f>IF(OR(t&lt;Tnet,NoTnet),'2018'!Resal_s+('2018'!Salim-'2018'!Resal_s)*(1-EXP(('2018'!Tnet_s-t)/'2018'!Tau_j)),Resal_s+(Salim-Resal_s)*(1-EXP((Tnet_s-t)/Tau_j)))*Salcycl</f>
        <v>7.1033321252407272E-2</v>
      </c>
      <c r="AD353" s="231">
        <f>(INDEX(Models!$BJ353:$BT353,,AH353)*(1-AF353)+INDEX(Models!$BJ353:$BT353,,AH353+1)*AF353-ERP_i)*AE353*Ramure*Pc/MaxiM</f>
        <v>1.8867905224781548E-2</v>
      </c>
      <c r="AE353" s="305">
        <f t="shared" si="137"/>
        <v>0.8</v>
      </c>
      <c r="AF353" s="177">
        <f t="shared" si="138"/>
        <v>0.19979894582857582</v>
      </c>
      <c r="AG353" s="176">
        <f t="shared" si="139"/>
        <v>1</v>
      </c>
      <c r="AH353" s="176">
        <f t="shared" si="140"/>
        <v>7</v>
      </c>
      <c r="AI353" s="225">
        <f t="shared" si="141"/>
        <v>1.1997989458285758</v>
      </c>
      <c r="AJ353" s="265" t="b">
        <f t="shared" si="142"/>
        <v>0</v>
      </c>
      <c r="AK353" s="265" t="b">
        <f t="shared" si="143"/>
        <v>1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6">
        <v>6.952</v>
      </c>
      <c r="C354" s="390"/>
      <c r="D354" s="393">
        <f t="shared" si="123"/>
        <v>7.0320556906508376</v>
      </c>
      <c r="E354" s="385">
        <f t="shared" si="121"/>
        <v>7.5704884683985645</v>
      </c>
      <c r="F354" s="385">
        <f t="shared" si="124"/>
        <v>7.6003445717306271</v>
      </c>
      <c r="G354" s="110">
        <f t="shared" si="122"/>
        <v>0.43976696916030056</v>
      </c>
      <c r="H354" s="414" t="b">
        <f>Wh_hp&gt;='2018'!Maxi_hp</f>
        <v>0</v>
      </c>
      <c r="I354" s="390">
        <f>IF(H354,Wh_hp,'2018'!Maxi_hp)</f>
        <v>10.476282449963701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1.138439372106681E-2</v>
      </c>
      <c r="M354" s="843"/>
      <c r="N354" s="843"/>
      <c r="O354" s="48">
        <f>IF(t&lt;Tnet,'2018'!Resal+('2018'!Salim-'2018'!Resal)*(1-EXP(('2018'!Tnet-t)/('2018'!Tau_j))),Resal+(Salim-Resal)*(1-EXP((Tnet-t)/(Tau_j))))*Salcycl</f>
        <v>7.1122594003716219E-2</v>
      </c>
      <c r="P354" s="169">
        <f>(INDEX(Models!$BJ354:$BT354,,T354)*(1-R354)+INDEX(Models!$BJ354:$BT354,,T354+1)*R354-ERP_i)*Q354*Ramure*Pc/MaxiM</f>
        <v>1.8779679728897138E-2</v>
      </c>
      <c r="Q354" s="305">
        <f t="shared" si="126"/>
        <v>0.8</v>
      </c>
      <c r="R354" s="177">
        <f t="shared" si="127"/>
        <v>0.19981502798200323</v>
      </c>
      <c r="S354" s="809">
        <f t="shared" si="128"/>
        <v>1</v>
      </c>
      <c r="T354" s="176">
        <f t="shared" si="129"/>
        <v>7</v>
      </c>
      <c r="U354" s="251">
        <f t="shared" si="130"/>
        <v>1.1998150279820032</v>
      </c>
      <c r="V354" s="383">
        <f t="shared" si="131"/>
        <v>15.572669631239222</v>
      </c>
      <c r="W354" s="58"/>
      <c r="X354" s="157">
        <f t="shared" si="132"/>
        <v>43805</v>
      </c>
      <c r="Y354" s="385">
        <f t="shared" si="133"/>
        <v>6.952</v>
      </c>
      <c r="Z354" s="385">
        <f t="shared" si="134"/>
        <v>7.0320556906508376</v>
      </c>
      <c r="AA354" s="386">
        <f t="shared" si="135"/>
        <v>7.5704884683985645</v>
      </c>
      <c r="AB354" s="197">
        <f t="shared" si="136"/>
        <v>43805</v>
      </c>
      <c r="AC354" s="425">
        <f>IF(OR(t&lt;Tnet,NoTnet),'2018'!Resal_s+('2018'!Salim-'2018'!Resal_s)*(1-EXP(('2018'!Tnet_s-t)/'2018'!Tau_j)),Resal_s+(Salim-Resal_s)*(1-EXP((Tnet_s-t)/Tau_j)))*Salcycl</f>
        <v>7.1122594003716219E-2</v>
      </c>
      <c r="AD354" s="231">
        <f>(INDEX(Models!$BJ354:$BT354,,AH354)*(1-AF354)+INDEX(Models!$BJ354:$BT354,,AH354+1)*AF354-ERP_i)*AE354*Ramure*Pc/MaxiM</f>
        <v>1.8779679728897138E-2</v>
      </c>
      <c r="AE354" s="305">
        <f t="shared" si="137"/>
        <v>0.8</v>
      </c>
      <c r="AF354" s="177">
        <f t="shared" si="138"/>
        <v>0.19981502798200323</v>
      </c>
      <c r="AG354" s="176">
        <f t="shared" si="139"/>
        <v>1</v>
      </c>
      <c r="AH354" s="176">
        <f t="shared" si="140"/>
        <v>7</v>
      </c>
      <c r="AI354" s="225">
        <f t="shared" si="141"/>
        <v>1.1998150279820032</v>
      </c>
      <c r="AJ354" s="265" t="b">
        <f t="shared" si="142"/>
        <v>0</v>
      </c>
      <c r="AK354" s="265" t="b">
        <f t="shared" si="143"/>
        <v>1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6">
        <v>11.595000000000001</v>
      </c>
      <c r="C355" s="390"/>
      <c r="D355" s="393">
        <f t="shared" si="123"/>
        <v>11.728795059702103</v>
      </c>
      <c r="E355" s="385">
        <f t="shared" si="121"/>
        <v>12.628076199025987</v>
      </c>
      <c r="F355" s="385">
        <f t="shared" si="124"/>
        <v>12.780796278194753</v>
      </c>
      <c r="G355" s="110">
        <f t="shared" si="122"/>
        <v>0.74256431503787756</v>
      </c>
      <c r="H355" s="414" t="b">
        <f>Wh_hp&gt;='2018'!Maxi_hp</f>
        <v>0</v>
      </c>
      <c r="I355" s="390">
        <f>IF(H355,Wh_hp,'2018'!Maxi_hp)</f>
        <v>14.444482654849191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1.1407400250499355E-2</v>
      </c>
      <c r="M355" s="843"/>
      <c r="N355" s="843"/>
      <c r="O355" s="48">
        <f>IF(t&lt;Tnet,'2018'!Resal+('2018'!Salim-'2018'!Resal)*(1-EXP(('2018'!Tnet-t)/('2018'!Tau_j))),Resal+(Salim-Resal)*(1-EXP((Tnet-t)/(Tau_j))))*Salcycl</f>
        <v>7.1212837581170543E-2</v>
      </c>
      <c r="P355" s="169">
        <f>(INDEX(Models!$BJ355:$BT355,,T355)*(1-R355)+INDEX(Models!$BJ355:$BT355,,T355+1)*R355-ERP_i)*Q355*Ramure*Pc/MaxiM</f>
        <v>1.8684732532343103E-2</v>
      </c>
      <c r="Q355" s="305">
        <f t="shared" si="126"/>
        <v>0.8</v>
      </c>
      <c r="R355" s="177">
        <f t="shared" si="127"/>
        <v>0.19983046343114541</v>
      </c>
      <c r="S355" s="809">
        <f t="shared" si="128"/>
        <v>1</v>
      </c>
      <c r="T355" s="176">
        <f t="shared" si="129"/>
        <v>7</v>
      </c>
      <c r="U355" s="251">
        <f t="shared" si="130"/>
        <v>1.1998304634311454</v>
      </c>
      <c r="V355" s="383">
        <f t="shared" si="131"/>
        <v>15.508362808960623</v>
      </c>
      <c r="W355" s="58"/>
      <c r="X355" s="157">
        <f t="shared" si="132"/>
        <v>43806</v>
      </c>
      <c r="Y355" s="385">
        <f t="shared" si="133"/>
        <v>11.595000000000001</v>
      </c>
      <c r="Z355" s="385">
        <f t="shared" si="134"/>
        <v>11.728795059702103</v>
      </c>
      <c r="AA355" s="386">
        <f t="shared" si="135"/>
        <v>12.628076199025987</v>
      </c>
      <c r="AB355" s="197">
        <f t="shared" si="136"/>
        <v>43806</v>
      </c>
      <c r="AC355" s="425">
        <f>IF(OR(t&lt;Tnet,NoTnet),'2018'!Resal_s+('2018'!Salim-'2018'!Resal_s)*(1-EXP(('2018'!Tnet_s-t)/'2018'!Tau_j)),Resal_s+(Salim-Resal_s)*(1-EXP((Tnet_s-t)/Tau_j)))*Salcycl</f>
        <v>7.1212837581170543E-2</v>
      </c>
      <c r="AD355" s="231">
        <f>(INDEX(Models!$BJ355:$BT355,,AH355)*(1-AF355)+INDEX(Models!$BJ355:$BT355,,AH355+1)*AF355-ERP_i)*AE355*Ramure*Pc/MaxiM</f>
        <v>1.8684732532343103E-2</v>
      </c>
      <c r="AE355" s="305">
        <f t="shared" si="137"/>
        <v>0.8</v>
      </c>
      <c r="AF355" s="177">
        <f t="shared" si="138"/>
        <v>0.19983046343114541</v>
      </c>
      <c r="AG355" s="176">
        <f t="shared" si="139"/>
        <v>1</v>
      </c>
      <c r="AH355" s="176">
        <f t="shared" si="140"/>
        <v>7</v>
      </c>
      <c r="AI355" s="225">
        <f t="shared" si="141"/>
        <v>1.1998304634311454</v>
      </c>
      <c r="AJ355" s="265" t="b">
        <f t="shared" si="142"/>
        <v>0</v>
      </c>
      <c r="AK355" s="265" t="b">
        <f t="shared" si="143"/>
        <v>1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6">
        <v>11.933999999999999</v>
      </c>
      <c r="C356" s="390"/>
      <c r="D356" s="393">
        <f t="shared" si="123"/>
        <v>12.071987723862806</v>
      </c>
      <c r="E356" s="385">
        <f t="shared" si="121"/>
        <v>12.998858662018728</v>
      </c>
      <c r="F356" s="385">
        <f t="shared" si="124"/>
        <v>13.163873636421526</v>
      </c>
      <c r="G356" s="110">
        <f t="shared" si="122"/>
        <v>0.76748173890027271</v>
      </c>
      <c r="H356" s="414" t="b">
        <f>Wh_hp&gt;='2018'!Maxi_hp</f>
        <v>1</v>
      </c>
      <c r="I356" s="390">
        <f>IF(H356,Wh_hp,'2018'!Maxi_hp)</f>
        <v>13.163873636421526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1.1430406244536284E-2</v>
      </c>
      <c r="M356" s="843"/>
      <c r="N356" s="843"/>
      <c r="O356" s="48">
        <f>IF(t&lt;Tnet,'2018'!Resal+('2018'!Salim-'2018'!Resal)*(1-EXP(('2018'!Tnet-t)/('2018'!Tau_j))),Resal+(Salim-Resal)*(1-EXP((Tnet-t)/(Tau_j))))*Salcycl</f>
        <v>7.1304024626726567E-2</v>
      </c>
      <c r="P356" s="169">
        <f>(INDEX(Models!$BJ356:$BT356,,T356)*(1-R356)+INDEX(Models!$BJ356:$BT356,,T356+1)*R356-ERP_i)*Q356*Ramure*Pc/MaxiM</f>
        <v>1.8582408699400463E-2</v>
      </c>
      <c r="Q356" s="305">
        <f t="shared" si="126"/>
        <v>0.8</v>
      </c>
      <c r="R356" s="177">
        <f t="shared" si="127"/>
        <v>0.19984527815034614</v>
      </c>
      <c r="S356" s="809">
        <f t="shared" si="128"/>
        <v>1</v>
      </c>
      <c r="T356" s="176">
        <f t="shared" si="129"/>
        <v>7</v>
      </c>
      <c r="U356" s="251">
        <f t="shared" si="130"/>
        <v>1.1998452781503461</v>
      </c>
      <c r="V356" s="383">
        <f t="shared" si="131"/>
        <v>15.454334351653095</v>
      </c>
      <c r="W356" s="58"/>
      <c r="X356" s="157">
        <f t="shared" si="132"/>
        <v>43807</v>
      </c>
      <c r="Y356" s="385">
        <f t="shared" si="133"/>
        <v>11.933999999999999</v>
      </c>
      <c r="Z356" s="385">
        <f t="shared" si="134"/>
        <v>12.071987723862806</v>
      </c>
      <c r="AA356" s="386">
        <f t="shared" si="135"/>
        <v>12.998858662018728</v>
      </c>
      <c r="AB356" s="197">
        <f t="shared" si="136"/>
        <v>43807</v>
      </c>
      <c r="AC356" s="425">
        <f>IF(OR(t&lt;Tnet,NoTnet),'2018'!Resal_s+('2018'!Salim-'2018'!Resal_s)*(1-EXP(('2018'!Tnet_s-t)/'2018'!Tau_j)),Resal_s+(Salim-Resal_s)*(1-EXP((Tnet_s-t)/Tau_j)))*Salcycl</f>
        <v>7.1304024626726567E-2</v>
      </c>
      <c r="AD356" s="231">
        <f>(INDEX(Models!$BJ356:$BT356,,AH356)*(1-AF356)+INDEX(Models!$BJ356:$BT356,,AH356+1)*AF356-ERP_i)*AE356*Ramure*Pc/MaxiM</f>
        <v>1.8582408699400463E-2</v>
      </c>
      <c r="AE356" s="305">
        <f t="shared" si="137"/>
        <v>0.8</v>
      </c>
      <c r="AF356" s="177">
        <f t="shared" si="138"/>
        <v>0.19984527815034614</v>
      </c>
      <c r="AG356" s="176">
        <f t="shared" si="139"/>
        <v>1</v>
      </c>
      <c r="AH356" s="176">
        <f t="shared" si="140"/>
        <v>7</v>
      </c>
      <c r="AI356" s="225">
        <f t="shared" si="141"/>
        <v>1.1998452781503461</v>
      </c>
      <c r="AJ356" s="265" t="b">
        <f t="shared" si="142"/>
        <v>0</v>
      </c>
      <c r="AK356" s="265" t="b">
        <f t="shared" si="143"/>
        <v>1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6">
        <v>8.7260000000000009</v>
      </c>
      <c r="C357" s="390"/>
      <c r="D357" s="393">
        <f t="shared" si="123"/>
        <v>8.8271004152006967</v>
      </c>
      <c r="E357" s="385">
        <f t="shared" si="121"/>
        <v>9.5057759862051281</v>
      </c>
      <c r="F357" s="385">
        <f t="shared" si="124"/>
        <v>9.5730272396475531</v>
      </c>
      <c r="G357" s="110">
        <f t="shared" si="122"/>
        <v>0.55968817654575931</v>
      </c>
      <c r="H357" s="414" t="b">
        <f>Wh_hp&gt;='2018'!Maxi_hp</f>
        <v>1</v>
      </c>
      <c r="I357" s="390">
        <f>IF(H357,Wh_hp,'2018'!Maxi_hp)</f>
        <v>9.5730272396475531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1.1453411703190253E-2</v>
      </c>
      <c r="M357" s="843"/>
      <c r="N357" s="843"/>
      <c r="O357" s="48">
        <f>IF(t&lt;Tnet,'2018'!Resal+('2018'!Salim-'2018'!Resal)*(1-EXP(('2018'!Tnet-t)/('2018'!Tau_j))),Resal+(Salim-Resal)*(1-EXP((Tnet-t)/(Tau_j))))*Salcycl</f>
        <v>7.139612504958387E-2</v>
      </c>
      <c r="P357" s="169">
        <f>(INDEX(Models!$BJ357:$BT357,,T357)*(1-R357)+INDEX(Models!$BJ357:$BT357,,T357+1)*R357-ERP_i)*Q357*Ramure*Pc/MaxiM</f>
        <v>1.8472079443000534E-2</v>
      </c>
      <c r="Q357" s="305">
        <f t="shared" si="126"/>
        <v>0.8</v>
      </c>
      <c r="R357" s="177">
        <f t="shared" si="127"/>
        <v>0.19985949707317818</v>
      </c>
      <c r="S357" s="809">
        <f t="shared" si="128"/>
        <v>1</v>
      </c>
      <c r="T357" s="176">
        <f t="shared" si="129"/>
        <v>7</v>
      </c>
      <c r="U357" s="251">
        <f t="shared" si="130"/>
        <v>1.1998594970731782</v>
      </c>
      <c r="V357" s="383">
        <f t="shared" si="131"/>
        <v>15.411093432016626</v>
      </c>
      <c r="W357" s="58"/>
      <c r="X357" s="157">
        <f t="shared" si="132"/>
        <v>43808</v>
      </c>
      <c r="Y357" s="385">
        <f t="shared" si="133"/>
        <v>8.7260000000000009</v>
      </c>
      <c r="Z357" s="385">
        <f t="shared" si="134"/>
        <v>8.8271004152006967</v>
      </c>
      <c r="AA357" s="386">
        <f t="shared" si="135"/>
        <v>9.5057759862051281</v>
      </c>
      <c r="AB357" s="197">
        <f t="shared" si="136"/>
        <v>43808</v>
      </c>
      <c r="AC357" s="425">
        <f>IF(OR(t&lt;Tnet,NoTnet),'2018'!Resal_s+('2018'!Salim-'2018'!Resal_s)*(1-EXP(('2018'!Tnet_s-t)/'2018'!Tau_j)),Resal_s+(Salim-Resal_s)*(1-EXP((Tnet_s-t)/Tau_j)))*Salcycl</f>
        <v>7.139612504958387E-2</v>
      </c>
      <c r="AD357" s="231">
        <f>(INDEX(Models!$BJ357:$BT357,,AH357)*(1-AF357)+INDEX(Models!$BJ357:$BT357,,AH357+1)*AF357-ERP_i)*AE357*Ramure*Pc/MaxiM</f>
        <v>1.8472079443000534E-2</v>
      </c>
      <c r="AE357" s="305">
        <f t="shared" si="137"/>
        <v>0.8</v>
      </c>
      <c r="AF357" s="177">
        <f t="shared" si="138"/>
        <v>0.19985949707317818</v>
      </c>
      <c r="AG357" s="176">
        <f t="shared" si="139"/>
        <v>1</v>
      </c>
      <c r="AH357" s="176">
        <f t="shared" si="140"/>
        <v>7</v>
      </c>
      <c r="AI357" s="225">
        <f t="shared" si="141"/>
        <v>1.1998594970731782</v>
      </c>
      <c r="AJ357" s="265" t="b">
        <f t="shared" si="142"/>
        <v>0</v>
      </c>
      <c r="AK357" s="265" t="b">
        <f t="shared" si="143"/>
        <v>1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6">
        <v>14.042999999999999</v>
      </c>
      <c r="C358" s="390"/>
      <c r="D358" s="393">
        <f t="shared" si="123"/>
        <v>14.206034369028979</v>
      </c>
      <c r="E358" s="385">
        <f t="shared" si="121"/>
        <v>15.299803659017396</v>
      </c>
      <c r="F358" s="385">
        <f t="shared" si="124"/>
        <v>15.549770066457318</v>
      </c>
      <c r="G358" s="110">
        <f t="shared" si="122"/>
        <v>0.91100546410329108</v>
      </c>
      <c r="H358" s="414" t="b">
        <f>Wh_hp&gt;='2018'!Maxi_hp</f>
        <v>1</v>
      </c>
      <c r="I358" s="390">
        <f>IF(H358,Wh_hp,'2018'!Maxi_hp)</f>
        <v>15.549770066457318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1.1476416626473585E-2</v>
      </c>
      <c r="M358" s="843"/>
      <c r="N358" s="843"/>
      <c r="O358" s="48">
        <f>IF(t&lt;Tnet,'2018'!Resal+('2018'!Salim-'2018'!Resal)*(1-EXP(('2018'!Tnet-t)/('2018'!Tau_j))),Resal+(Salim-Resal)*(1-EXP((Tnet-t)/(Tau_j))))*Salcycl</f>
        <v>7.148910628952887E-2</v>
      </c>
      <c r="P358" s="169">
        <f>(INDEX(Models!$BJ358:$BT358,,T358)*(1-R358)+INDEX(Models!$BJ358:$BT358,,T358+1)*R358-ERP_i)*Q358*Ramure*Pc/MaxiM</f>
        <v>1.8353150572715259E-2</v>
      </c>
      <c r="Q358" s="305">
        <f t="shared" si="126"/>
        <v>0.8</v>
      </c>
      <c r="R358" s="177">
        <f t="shared" si="127"/>
        <v>0.19987314413395163</v>
      </c>
      <c r="S358" s="809">
        <f t="shared" si="128"/>
        <v>1</v>
      </c>
      <c r="T358" s="176">
        <f t="shared" si="129"/>
        <v>7</v>
      </c>
      <c r="U358" s="251">
        <f t="shared" si="130"/>
        <v>1.1998731441339516</v>
      </c>
      <c r="V358" s="383">
        <f t="shared" si="131"/>
        <v>15.379149014962726</v>
      </c>
      <c r="W358" s="58"/>
      <c r="X358" s="157">
        <f t="shared" si="132"/>
        <v>43809</v>
      </c>
      <c r="Y358" s="385">
        <f t="shared" si="133"/>
        <v>14.042999999999999</v>
      </c>
      <c r="Z358" s="385">
        <f t="shared" si="134"/>
        <v>14.206034369028979</v>
      </c>
      <c r="AA358" s="386">
        <f t="shared" si="135"/>
        <v>15.299803659017396</v>
      </c>
      <c r="AB358" s="197">
        <f t="shared" si="136"/>
        <v>43809</v>
      </c>
      <c r="AC358" s="425">
        <f>IF(OR(t&lt;Tnet,NoTnet),'2018'!Resal_s+('2018'!Salim-'2018'!Resal_s)*(1-EXP(('2018'!Tnet_s-t)/'2018'!Tau_j)),Resal_s+(Salim-Resal_s)*(1-EXP((Tnet_s-t)/Tau_j)))*Salcycl</f>
        <v>7.148910628952887E-2</v>
      </c>
      <c r="AD358" s="231">
        <f>(INDEX(Models!$BJ358:$BT358,,AH358)*(1-AF358)+INDEX(Models!$BJ358:$BT358,,AH358+1)*AF358-ERP_i)*AE358*Ramure*Pc/MaxiM</f>
        <v>1.8353150572715259E-2</v>
      </c>
      <c r="AE358" s="305">
        <f t="shared" si="137"/>
        <v>0.8</v>
      </c>
      <c r="AF358" s="177">
        <f t="shared" si="138"/>
        <v>0.19987314413395163</v>
      </c>
      <c r="AG358" s="176">
        <f t="shared" si="139"/>
        <v>1</v>
      </c>
      <c r="AH358" s="176">
        <f t="shared" si="140"/>
        <v>7</v>
      </c>
      <c r="AI358" s="225">
        <f t="shared" si="141"/>
        <v>1.1998731441339516</v>
      </c>
      <c r="AJ358" s="265" t="b">
        <f t="shared" si="142"/>
        <v>0</v>
      </c>
      <c r="AK358" s="265" t="b">
        <f t="shared" si="143"/>
        <v>1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6">
        <v>1.8540000000000001</v>
      </c>
      <c r="C359" s="390"/>
      <c r="D359" s="393">
        <f t="shared" si="123"/>
        <v>1.8755679454457919</v>
      </c>
      <c r="E359" s="385">
        <f t="shared" si="121"/>
        <v>2.0201782294874722</v>
      </c>
      <c r="F359" s="385">
        <f t="shared" si="124"/>
        <v>2.0201782294874722</v>
      </c>
      <c r="G359" s="110">
        <f t="shared" si="122"/>
        <v>0.11850608609945626</v>
      </c>
      <c r="H359" s="414" t="b">
        <f>Wh_hp&gt;='2018'!Maxi_hp</f>
        <v>0</v>
      </c>
      <c r="I359" s="390">
        <f>IF(H359,Wh_hp,'2018'!Maxi_hp)</f>
        <v>14.841331638958879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1.1499421014398603E-2</v>
      </c>
      <c r="M359" s="843"/>
      <c r="N359" s="843"/>
      <c r="O359" s="48">
        <f>IF(t&lt;Tnet,'2018'!Resal+('2018'!Salim-'2018'!Resal)*(1-EXP(('2018'!Tnet-t)/('2018'!Tau_j))),Resal+(Salim-Resal)*(1-EXP((Tnet-t)/(Tau_j))))*Salcycl</f>
        <v>7.1582933590155925E-2</v>
      </c>
      <c r="P359" s="169">
        <f>(INDEX(Models!$BJ359:$BT359,,T359)*(1-R359)+INDEX(Models!$BJ359:$BT359,,T359+1)*R359-ERP_i)*Q359*Ramure*Pc/MaxiM</f>
        <v>1.8224324403111392E-2</v>
      </c>
      <c r="Q359" s="305">
        <f t="shared" si="126"/>
        <v>0.8</v>
      </c>
      <c r="R359" s="177">
        <f t="shared" si="127"/>
        <v>0.19988624230758134</v>
      </c>
      <c r="S359" s="809">
        <f t="shared" si="128"/>
        <v>1</v>
      </c>
      <c r="T359" s="176">
        <f t="shared" si="129"/>
        <v>7</v>
      </c>
      <c r="U359" s="251">
        <f t="shared" si="130"/>
        <v>1.1998862423075813</v>
      </c>
      <c r="V359" s="383">
        <f t="shared" si="131"/>
        <v>15.359650820203598</v>
      </c>
      <c r="W359" s="58"/>
      <c r="X359" s="157">
        <f t="shared" si="132"/>
        <v>43810</v>
      </c>
      <c r="Y359" s="385">
        <f t="shared" si="133"/>
        <v>1.8540000000000001</v>
      </c>
      <c r="Z359" s="385">
        <f t="shared" si="134"/>
        <v>1.8755679454457919</v>
      </c>
      <c r="AA359" s="386">
        <f t="shared" si="135"/>
        <v>2.0201782294874722</v>
      </c>
      <c r="AB359" s="197">
        <f t="shared" si="136"/>
        <v>43810</v>
      </c>
      <c r="AC359" s="425">
        <f>IF(OR(t&lt;Tnet,NoTnet),'2018'!Resal_s+('2018'!Salim-'2018'!Resal_s)*(1-EXP(('2018'!Tnet_s-t)/'2018'!Tau_j)),Resal_s+(Salim-Resal_s)*(1-EXP((Tnet_s-t)/Tau_j)))*Salcycl</f>
        <v>7.1582933590155925E-2</v>
      </c>
      <c r="AD359" s="231">
        <f>(INDEX(Models!$BJ359:$BT359,,AH359)*(1-AF359)+INDEX(Models!$BJ359:$BT359,,AH359+1)*AF359-ERP_i)*AE359*Ramure*Pc/MaxiM</f>
        <v>1.8224324403111392E-2</v>
      </c>
      <c r="AE359" s="305">
        <f t="shared" si="137"/>
        <v>0.8</v>
      </c>
      <c r="AF359" s="177">
        <f t="shared" si="138"/>
        <v>0.19988624230758134</v>
      </c>
      <c r="AG359" s="176">
        <f t="shared" si="139"/>
        <v>1</v>
      </c>
      <c r="AH359" s="176">
        <f t="shared" si="140"/>
        <v>7</v>
      </c>
      <c r="AI359" s="225">
        <f t="shared" si="141"/>
        <v>1.1998862423075813</v>
      </c>
      <c r="AJ359" s="265" t="b">
        <f t="shared" si="142"/>
        <v>0</v>
      </c>
      <c r="AK359" s="265" t="b">
        <f t="shared" si="143"/>
        <v>1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6">
        <v>5.101</v>
      </c>
      <c r="C360" s="390"/>
      <c r="D360" s="393">
        <f t="shared" si="123"/>
        <v>5.1604610244329976</v>
      </c>
      <c r="E360" s="385">
        <f t="shared" si="121"/>
        <v>5.5589102010472571</v>
      </c>
      <c r="F360" s="385">
        <f t="shared" si="124"/>
        <v>5.5635461155822492</v>
      </c>
      <c r="G360" s="110">
        <f t="shared" si="122"/>
        <v>0.32651483848066798</v>
      </c>
      <c r="H360" s="414" t="b">
        <f>Wh_hp&gt;='2018'!Maxi_hp</f>
        <v>1</v>
      </c>
      <c r="I360" s="390">
        <f>IF(H360,Wh_hp,'2018'!Maxi_hp)</f>
        <v>5.5635461155822492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1.1522424866978076E-2</v>
      </c>
      <c r="M360" s="843"/>
      <c r="N360" s="843"/>
      <c r="O360" s="48">
        <f>IF(t&lt;Tnet,'2018'!Resal+('2018'!Salim-'2018'!Resal)*(1-EXP(('2018'!Tnet-t)/('2018'!Tau_j))),Resal+(Salim-Resal)*(1-EXP((Tnet-t)/(Tau_j))))*Salcycl</f>
        <v>7.1677570279727584E-2</v>
      </c>
      <c r="P360" s="169">
        <f>(INDEX(Models!$BJ360:$BT360,,T360)*(1-R360)+INDEX(Models!$BJ360:$BT360,,T360+1)*R360-ERP_i)*Q360*Ramure*Pc/MaxiM</f>
        <v>1.8085450940103203E-2</v>
      </c>
      <c r="Q360" s="305">
        <f t="shared" si="126"/>
        <v>0.8</v>
      </c>
      <c r="R360" s="177">
        <f t="shared" si="127"/>
        <v>0.19989881364787898</v>
      </c>
      <c r="S360" s="809">
        <f t="shared" si="128"/>
        <v>1</v>
      </c>
      <c r="T360" s="176">
        <f t="shared" si="129"/>
        <v>7</v>
      </c>
      <c r="U360" s="251">
        <f t="shared" si="130"/>
        <v>1.199898813647879</v>
      </c>
      <c r="V360" s="383">
        <f t="shared" si="131"/>
        <v>15.35281899346975</v>
      </c>
      <c r="W360" s="58"/>
      <c r="X360" s="157">
        <f t="shared" si="132"/>
        <v>43811</v>
      </c>
      <c r="Y360" s="385">
        <f t="shared" si="133"/>
        <v>5.101</v>
      </c>
      <c r="Z360" s="385">
        <f t="shared" si="134"/>
        <v>5.1604610244329976</v>
      </c>
      <c r="AA360" s="386">
        <f t="shared" si="135"/>
        <v>5.5589102010472571</v>
      </c>
      <c r="AB360" s="197">
        <f t="shared" si="136"/>
        <v>43811</v>
      </c>
      <c r="AC360" s="425">
        <f>IF(OR(t&lt;Tnet,NoTnet),'2018'!Resal_s+('2018'!Salim-'2018'!Resal_s)*(1-EXP(('2018'!Tnet_s-t)/'2018'!Tau_j)),Resal_s+(Salim-Resal_s)*(1-EXP((Tnet_s-t)/Tau_j)))*Salcycl</f>
        <v>7.1677570279727584E-2</v>
      </c>
      <c r="AD360" s="231">
        <f>(INDEX(Models!$BJ360:$BT360,,AH360)*(1-AF360)+INDEX(Models!$BJ360:$BT360,,AH360+1)*AF360-ERP_i)*AE360*Ramure*Pc/MaxiM</f>
        <v>1.8085450940103203E-2</v>
      </c>
      <c r="AE360" s="305">
        <f t="shared" si="137"/>
        <v>0.8</v>
      </c>
      <c r="AF360" s="177">
        <f t="shared" si="138"/>
        <v>0.19989881364787898</v>
      </c>
      <c r="AG360" s="176">
        <f t="shared" si="139"/>
        <v>1</v>
      </c>
      <c r="AH360" s="176">
        <f t="shared" si="140"/>
        <v>7</v>
      </c>
      <c r="AI360" s="225">
        <f t="shared" si="141"/>
        <v>1.199898813647879</v>
      </c>
      <c r="AJ360" s="265" t="b">
        <f t="shared" si="142"/>
        <v>0</v>
      </c>
      <c r="AK360" s="265" t="b">
        <f t="shared" si="143"/>
        <v>1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6">
        <v>2.3039999999999998</v>
      </c>
      <c r="C361" s="390"/>
      <c r="D361" s="393">
        <f t="shared" si="123"/>
        <v>2.3309113698240957</v>
      </c>
      <c r="E361" s="385">
        <f t="shared" ref="E361:E379" si="145">Wh_pvt/(1-Psa)</f>
        <v>2.5111436262068132</v>
      </c>
      <c r="F361" s="385">
        <f t="shared" si="124"/>
        <v>2.5111436262068132</v>
      </c>
      <c r="G361" s="110">
        <f t="shared" ref="G361:G379" si="146">+Wh_hp/MaxiM</f>
        <v>0.14733075074199686</v>
      </c>
      <c r="H361" s="414" t="b">
        <f>Wh_hp&gt;='2018'!Maxi_hp</f>
        <v>1</v>
      </c>
      <c r="I361" s="390">
        <f>IF(H361,Wh_hp,'2018'!Maxi_hp)</f>
        <v>2.5111436262068132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1.1545428184224216E-2</v>
      </c>
      <c r="M361" s="843"/>
      <c r="N361" s="843"/>
      <c r="O361" s="48">
        <f>IF(t&lt;Tnet,'2018'!Resal+('2018'!Salim-'2018'!Resal)*(1-EXP(('2018'!Tnet-t)/('2018'!Tau_j))),Resal+(Salim-Resal)*(1-EXP((Tnet-t)/(Tau_j))))*Salcycl</f>
        <v>7.1772978057398421E-2</v>
      </c>
      <c r="P361" s="169">
        <f>(INDEX(Models!$BJ361:$BT361,,T361)*(1-R361)+INDEX(Models!$BJ361:$BT361,,T361+1)*R361-ERP_i)*Q361*Ramure*Pc/MaxiM</f>
        <v>1.7946228784683885E-2</v>
      </c>
      <c r="Q361" s="305">
        <f t="shared" si="126"/>
        <v>0.8</v>
      </c>
      <c r="R361" s="177">
        <f t="shared" si="127"/>
        <v>0.19991087932433005</v>
      </c>
      <c r="S361" s="809">
        <f t="shared" si="128"/>
        <v>1</v>
      </c>
      <c r="T361" s="176">
        <f t="shared" si="129"/>
        <v>7</v>
      </c>
      <c r="U361" s="251">
        <f t="shared" si="130"/>
        <v>1.19991087932433</v>
      </c>
      <c r="V361" s="383">
        <f t="shared" si="131"/>
        <v>15.357634964084353</v>
      </c>
      <c r="W361" s="58"/>
      <c r="X361" s="157">
        <f t="shared" si="132"/>
        <v>43812</v>
      </c>
      <c r="Y361" s="385">
        <f t="shared" si="133"/>
        <v>2.3039999999999998</v>
      </c>
      <c r="Z361" s="385">
        <f t="shared" si="134"/>
        <v>2.3309113698240957</v>
      </c>
      <c r="AA361" s="386">
        <f t="shared" si="135"/>
        <v>2.5111436262068132</v>
      </c>
      <c r="AB361" s="197">
        <f t="shared" si="136"/>
        <v>43812</v>
      </c>
      <c r="AC361" s="425">
        <f>IF(OR(t&lt;Tnet,NoTnet),'2018'!Resal_s+('2018'!Salim-'2018'!Resal_s)*(1-EXP(('2018'!Tnet_s-t)/'2018'!Tau_j)),Resal_s+(Salim-Resal_s)*(1-EXP((Tnet_s-t)/Tau_j)))*Salcycl</f>
        <v>7.1772978057398421E-2</v>
      </c>
      <c r="AD361" s="231">
        <f>(INDEX(Models!$BJ361:$BT361,,AH361)*(1-AF361)+INDEX(Models!$BJ361:$BT361,,AH361+1)*AF361-ERP_i)*AE361*Ramure*Pc/MaxiM</f>
        <v>1.7946228784683885E-2</v>
      </c>
      <c r="AE361" s="305">
        <f t="shared" si="137"/>
        <v>0.8</v>
      </c>
      <c r="AF361" s="177">
        <f t="shared" si="138"/>
        <v>0.19991087932433005</v>
      </c>
      <c r="AG361" s="176">
        <f t="shared" si="139"/>
        <v>1</v>
      </c>
      <c r="AH361" s="176">
        <f t="shared" si="140"/>
        <v>7</v>
      </c>
      <c r="AI361" s="225">
        <f t="shared" si="141"/>
        <v>1.19991087932433</v>
      </c>
      <c r="AJ361" s="265" t="b">
        <f t="shared" si="142"/>
        <v>0</v>
      </c>
      <c r="AK361" s="265" t="b">
        <f t="shared" si="143"/>
        <v>1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6">
        <v>14.004</v>
      </c>
      <c r="C362" s="390"/>
      <c r="D362" s="393">
        <f t="shared" si="123"/>
        <v>14.167900377451836</v>
      </c>
      <c r="E362" s="385">
        <f t="shared" si="145"/>
        <v>15.264981094012743</v>
      </c>
      <c r="F362" s="385">
        <f t="shared" si="124"/>
        <v>15.505974615188814</v>
      </c>
      <c r="G362" s="110">
        <f t="shared" si="146"/>
        <v>0.90883847412152641</v>
      </c>
      <c r="H362" s="414" t="b">
        <f>Wh_hp&gt;='2018'!Maxi_hp</f>
        <v>1</v>
      </c>
      <c r="I362" s="390">
        <f>IF(H362,Wh_hp,'2018'!Maxi_hp)</f>
        <v>15.505974615188814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1.1568430966149568E-2</v>
      </c>
      <c r="M362" s="843"/>
      <c r="N362" s="843"/>
      <c r="O362" s="48">
        <f>IF(t&lt;Tnet,'2018'!Resal+('2018'!Salim-'2018'!Resal)*(1-EXP(('2018'!Tnet-t)/('2018'!Tau_j))),Resal+(Salim-Resal)*(1-EXP((Tnet-t)/(Tau_j))))*Salcycl</f>
        <v>7.1869117282510456E-2</v>
      </c>
      <c r="P362" s="169">
        <f>(INDEX(Models!$BJ362:$BT362,,T362)*(1-R362)+INDEX(Models!$BJ362:$BT362,,T362+1)*R362-ERP_i)*Q362*Ramure*Pc/MaxiM</f>
        <v>1.7807760432894323E-2</v>
      </c>
      <c r="Q362" s="305">
        <f t="shared" si="126"/>
        <v>0.8</v>
      </c>
      <c r="R362" s="177">
        <f t="shared" si="127"/>
        <v>0.1999224596574134</v>
      </c>
      <c r="S362" s="809">
        <f t="shared" si="128"/>
        <v>1</v>
      </c>
      <c r="T362" s="176">
        <f t="shared" si="129"/>
        <v>7</v>
      </c>
      <c r="U362" s="251">
        <f t="shared" si="130"/>
        <v>1.1999224596574134</v>
      </c>
      <c r="V362" s="383">
        <f t="shared" si="131"/>
        <v>15.373214770676098</v>
      </c>
      <c r="W362" s="58"/>
      <c r="X362" s="157">
        <f t="shared" si="132"/>
        <v>43813</v>
      </c>
      <c r="Y362" s="385">
        <f t="shared" si="133"/>
        <v>14.004</v>
      </c>
      <c r="Z362" s="385">
        <f t="shared" si="134"/>
        <v>14.167900377451836</v>
      </c>
      <c r="AA362" s="386">
        <f t="shared" si="135"/>
        <v>15.264981094012743</v>
      </c>
      <c r="AB362" s="197">
        <f t="shared" si="136"/>
        <v>43813</v>
      </c>
      <c r="AC362" s="425">
        <f>IF(OR(t&lt;Tnet,NoTnet),'2018'!Resal_s+('2018'!Salim-'2018'!Resal_s)*(1-EXP(('2018'!Tnet_s-t)/'2018'!Tau_j)),Resal_s+(Salim-Resal_s)*(1-EXP((Tnet_s-t)/Tau_j)))*Salcycl</f>
        <v>7.1869117282510456E-2</v>
      </c>
      <c r="AD362" s="231">
        <f>(INDEX(Models!$BJ362:$BT362,,AH362)*(1-AF362)+INDEX(Models!$BJ362:$BT362,,AH362+1)*AF362-ERP_i)*AE362*Ramure*Pc/MaxiM</f>
        <v>1.7807760432894323E-2</v>
      </c>
      <c r="AE362" s="305">
        <f t="shared" si="137"/>
        <v>0.8</v>
      </c>
      <c r="AF362" s="177">
        <f t="shared" si="138"/>
        <v>0.1999224596574134</v>
      </c>
      <c r="AG362" s="176">
        <f t="shared" si="139"/>
        <v>1</v>
      </c>
      <c r="AH362" s="176">
        <f t="shared" si="140"/>
        <v>7</v>
      </c>
      <c r="AI362" s="225">
        <f t="shared" si="141"/>
        <v>1.1999224596574134</v>
      </c>
      <c r="AJ362" s="265" t="b">
        <f t="shared" si="142"/>
        <v>0</v>
      </c>
      <c r="AK362" s="265" t="b">
        <f t="shared" si="143"/>
        <v>1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6">
        <v>15.157</v>
      </c>
      <c r="C363" s="390"/>
      <c r="D363" s="393">
        <f t="shared" si="123"/>
        <v>15.334751750753211</v>
      </c>
      <c r="E363" s="385">
        <f t="shared" si="145"/>
        <v>16.523910631894243</v>
      </c>
      <c r="F363" s="385">
        <f t="shared" si="124"/>
        <v>16.523910631894243</v>
      </c>
      <c r="G363" s="110">
        <f t="shared" si="146"/>
        <v>0.96691170448785935</v>
      </c>
      <c r="H363" s="414" t="b">
        <f>Wh_hp&gt;='2018'!Maxi_hp</f>
        <v>1</v>
      </c>
      <c r="I363" s="390">
        <f>IF(H363,Wh_hp,'2018'!Maxi_hp)</f>
        <v>16.523910631894243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1.1591433212766566E-2</v>
      </c>
      <c r="M363" s="843"/>
      <c r="N363" s="843"/>
      <c r="O363" s="48">
        <f>IF(t&lt;Tnet,'2018'!Resal+('2018'!Salim-'2018'!Resal)*(1-EXP(('2018'!Tnet-t)/('2018'!Tau_j))),Resal+(Salim-Resal)*(1-EXP((Tnet-t)/(Tau_j))))*Salcycl</f>
        <v>7.1965947264670566E-2</v>
      </c>
      <c r="P363" s="169">
        <f>(INDEX(Models!$BJ363:$BT363,,T363)*(1-R363)+INDEX(Models!$BJ363:$BT363,,T363+1)*R363-ERP_i)*Q363*Ramure*Pc/MaxiM</f>
        <v>0</v>
      </c>
      <c r="Q363" s="305">
        <f t="shared" si="126"/>
        <v>0.8</v>
      </c>
      <c r="R363" s="177">
        <f t="shared" si="127"/>
        <v>0</v>
      </c>
      <c r="S363" s="809">
        <f t="shared" si="128"/>
        <v>0</v>
      </c>
      <c r="T363" s="176">
        <f t="shared" si="129"/>
        <v>6</v>
      </c>
      <c r="U363" s="251">
        <f t="shared" si="130"/>
        <v>0</v>
      </c>
      <c r="V363" s="383">
        <f t="shared" si="131"/>
        <v>15.675681584626338</v>
      </c>
      <c r="W363" s="58"/>
      <c r="X363" s="157">
        <f t="shared" si="132"/>
        <v>43814</v>
      </c>
      <c r="Y363" s="385">
        <f t="shared" si="133"/>
        <v>14.901819408303833</v>
      </c>
      <c r="Z363" s="385">
        <f t="shared" si="134"/>
        <v>15.076578561779732</v>
      </c>
      <c r="AA363" s="386">
        <f t="shared" si="135"/>
        <v>16.245716972714895</v>
      </c>
      <c r="AB363" s="197">
        <f t="shared" si="136"/>
        <v>43814</v>
      </c>
      <c r="AC363" s="425">
        <f>IF(OR(t&lt;Tnet,NoTnet),'2018'!Resal_s+('2018'!Salim-'2018'!Resal_s)*(1-EXP(('2018'!Tnet_s-t)/'2018'!Tau_j)),Resal_s+(Salim-Resal_s)*(1-EXP((Tnet_s-t)/Tau_j)))*Salcycl</f>
        <v>7.1965947264670566E-2</v>
      </c>
      <c r="AD363" s="231">
        <f>(INDEX(Models!$BJ363:$BT363,,AH363)*(1-AF363)+INDEX(Models!$BJ363:$BT363,,AH363+1)*AF363-ERP_i)*AE363*Ramure*Pc/MaxiM</f>
        <v>1.7671120568335141E-2</v>
      </c>
      <c r="AE363" s="305">
        <f t="shared" si="137"/>
        <v>0.8</v>
      </c>
      <c r="AF363" s="177">
        <f t="shared" si="138"/>
        <v>0.19993357415252122</v>
      </c>
      <c r="AG363" s="176">
        <f t="shared" si="139"/>
        <v>1</v>
      </c>
      <c r="AH363" s="176">
        <f t="shared" si="140"/>
        <v>7</v>
      </c>
      <c r="AI363" s="225">
        <f t="shared" si="141"/>
        <v>1.1999335741525212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6">
        <v>11.097</v>
      </c>
      <c r="C364" s="390"/>
      <c r="D364" s="393">
        <f t="shared" si="123"/>
        <v>11.22739990556995</v>
      </c>
      <c r="E364" s="385">
        <f t="shared" si="145"/>
        <v>12.099318236650245</v>
      </c>
      <c r="F364" s="385">
        <f t="shared" si="124"/>
        <v>12.099319299060008</v>
      </c>
      <c r="G364" s="110">
        <f t="shared" si="146"/>
        <v>0.70642753538314984</v>
      </c>
      <c r="H364" s="414" t="b">
        <f>Wh_hp&gt;='2018'!Maxi_hp</f>
        <v>1</v>
      </c>
      <c r="I364" s="390">
        <f>IF(H364,Wh_hp,'2018'!Maxi_hp)</f>
        <v>12.099319299060008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1.1614434924087647E-2</v>
      </c>
      <c r="M364" s="843"/>
      <c r="N364" s="843"/>
      <c r="O364" s="48">
        <f>IF(t&lt;Tnet,'2018'!Resal+('2018'!Salim-'2018'!Resal)*(1-EXP(('2018'!Tnet-t)/('2018'!Tau_j))),Resal+(Salim-Resal)*(1-EXP((Tnet-t)/(Tau_j))))*Salcycl</f>
        <v>7.2063426552345142E-2</v>
      </c>
      <c r="P364" s="169">
        <f>(INDEX(Models!$BJ364:$BT364,,T364)*(1-R364)+INDEX(Models!$BJ364:$BT364,,T364+1)*R364-ERP_i)*Q364*Ramure*Pc/MaxiM</f>
        <v>1.5123279688558247E-7</v>
      </c>
      <c r="Q364" s="305">
        <f t="shared" si="126"/>
        <v>0.8</v>
      </c>
      <c r="R364" s="177">
        <f t="shared" si="127"/>
        <v>1.0667380014250937E-5</v>
      </c>
      <c r="S364" s="809">
        <f t="shared" si="128"/>
        <v>0</v>
      </c>
      <c r="T364" s="176">
        <f t="shared" si="129"/>
        <v>6</v>
      </c>
      <c r="U364" s="251">
        <f t="shared" si="130"/>
        <v>1.0667380014250937E-5</v>
      </c>
      <c r="V364" s="383">
        <f t="shared" si="131"/>
        <v>15.708616581811961</v>
      </c>
      <c r="W364" s="58"/>
      <c r="X364" s="157">
        <f t="shared" si="132"/>
        <v>43815</v>
      </c>
      <c r="Y364" s="385">
        <f t="shared" si="133"/>
        <v>10.984007144478918</v>
      </c>
      <c r="Z364" s="385">
        <f t="shared" si="134"/>
        <v>11.113079280589552</v>
      </c>
      <c r="AA364" s="386">
        <f t="shared" si="135"/>
        <v>11.976119487671475</v>
      </c>
      <c r="AB364" s="197">
        <f t="shared" si="136"/>
        <v>43815</v>
      </c>
      <c r="AC364" s="425">
        <f>IF(OR(t&lt;Tnet,NoTnet),'2018'!Resal_s+('2018'!Salim-'2018'!Resal_s)*(1-EXP(('2018'!Tnet_s-t)/'2018'!Tau_j)),Resal_s+(Salim-Resal_s)*(1-EXP((Tnet_s-t)/Tau_j)))*Salcycl</f>
        <v>7.2063426552345142E-2</v>
      </c>
      <c r="AD364" s="231">
        <f>(INDEX(Models!$BJ364:$BT364,,AH364)*(1-AF364)+INDEX(Models!$BJ364:$BT364,,AH364+1)*AF364-ERP_i)*AE364*Ramure*Pc/MaxiM</f>
        <v>1.7537350167829181E-2</v>
      </c>
      <c r="AE364" s="305">
        <f t="shared" si="137"/>
        <v>0.8</v>
      </c>
      <c r="AF364" s="177">
        <f t="shared" si="138"/>
        <v>0.19994424153253543</v>
      </c>
      <c r="AG364" s="176">
        <f t="shared" si="139"/>
        <v>1</v>
      </c>
      <c r="AH364" s="176">
        <f t="shared" si="140"/>
        <v>7</v>
      </c>
      <c r="AI364" s="225">
        <f t="shared" si="141"/>
        <v>1.1999442415325354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6">
        <v>8.7520000000000007</v>
      </c>
      <c r="C365" s="390"/>
      <c r="D365" s="393">
        <f t="shared" si="123"/>
        <v>8.8550500794631635</v>
      </c>
      <c r="E365" s="385">
        <f t="shared" si="145"/>
        <v>9.543740861809404</v>
      </c>
      <c r="F365" s="385">
        <f t="shared" si="124"/>
        <v>9.5437418876827174</v>
      </c>
      <c r="G365" s="110">
        <f t="shared" si="146"/>
        <v>0.55568730222160112</v>
      </c>
      <c r="H365" s="414" t="b">
        <f>Wh_hp&gt;='2018'!Maxi_hp</f>
        <v>0</v>
      </c>
      <c r="I365" s="390">
        <f>IF(H365,Wh_hp,'2018'!Maxi_hp)</f>
        <v>13.874025980325728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1.1637436100125353E-2</v>
      </c>
      <c r="M365" s="843"/>
      <c r="N365" s="843"/>
      <c r="O365" s="48">
        <f>IF(t&lt;Tnet,'2018'!Resal+('2018'!Salim-'2018'!Resal)*(1-EXP(('2018'!Tnet-t)/('2018'!Tau_j))),Resal+(Salim-Resal)*(1-EXP((Tnet-t)/(Tau_j))))*Salcycl</f>
        <v>7.216151321774994E-2</v>
      </c>
      <c r="P365" s="169">
        <f>(INDEX(Models!$BJ365:$BT365,,T365)*(1-R365)+INDEX(Models!$BJ365:$BT365,,T365+1)*R365-ERP_i)*Q365*Ramure*Pc/MaxiM</f>
        <v>2.9428203482419798E-7</v>
      </c>
      <c r="Q365" s="305">
        <f t="shared" si="126"/>
        <v>0.8</v>
      </c>
      <c r="R365" s="177">
        <f t="shared" si="127"/>
        <v>2.0905616589184106E-5</v>
      </c>
      <c r="S365" s="809">
        <f t="shared" si="128"/>
        <v>0</v>
      </c>
      <c r="T365" s="176">
        <f t="shared" si="129"/>
        <v>6</v>
      </c>
      <c r="U365" s="251">
        <f t="shared" si="130"/>
        <v>2.0905616589184106E-5</v>
      </c>
      <c r="V365" s="383">
        <f t="shared" si="131"/>
        <v>15.7498620721063</v>
      </c>
      <c r="W365" s="58"/>
      <c r="X365" s="157">
        <f t="shared" si="132"/>
        <v>43816</v>
      </c>
      <c r="Y365" s="385">
        <f t="shared" si="133"/>
        <v>8.6963523896522208</v>
      </c>
      <c r="Z365" s="385">
        <f t="shared" si="134"/>
        <v>8.7987472485180032</v>
      </c>
      <c r="AA365" s="386">
        <f t="shared" si="135"/>
        <v>9.4830591464599792</v>
      </c>
      <c r="AB365" s="197">
        <f t="shared" si="136"/>
        <v>43816</v>
      </c>
      <c r="AC365" s="425">
        <f>IF(OR(t&lt;Tnet,NoTnet),'2018'!Resal_s+('2018'!Salim-'2018'!Resal_s)*(1-EXP(('2018'!Tnet_s-t)/'2018'!Tau_j)),Resal_s+(Salim-Resal_s)*(1-EXP((Tnet_s-t)/Tau_j)))*Salcycl</f>
        <v>7.216151321774994E-2</v>
      </c>
      <c r="AD365" s="231">
        <f>(INDEX(Models!$BJ365:$BT365,,AH365)*(1-AF365)+INDEX(Models!$BJ365:$BT365,,AH365+1)*AF365-ERP_i)*AE365*Ramure*Pc/MaxiM</f>
        <v>1.7407452088244724E-2</v>
      </c>
      <c r="AE365" s="305">
        <f t="shared" si="137"/>
        <v>0.8</v>
      </c>
      <c r="AF365" s="177">
        <f t="shared" si="138"/>
        <v>0.1999544797691104</v>
      </c>
      <c r="AG365" s="176">
        <f t="shared" si="139"/>
        <v>1</v>
      </c>
      <c r="AH365" s="176">
        <f t="shared" si="140"/>
        <v>7</v>
      </c>
      <c r="AI365" s="225">
        <f t="shared" si="141"/>
        <v>1.1999544797691104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6">
        <v>12.788</v>
      </c>
      <c r="C366" s="390"/>
      <c r="D366" s="393">
        <f t="shared" si="123"/>
        <v>12.938872909054473</v>
      </c>
      <c r="E366" s="385">
        <f t="shared" si="145"/>
        <v>13.946660931024368</v>
      </c>
      <c r="F366" s="385">
        <f t="shared" si="124"/>
        <v>13.946665292693172</v>
      </c>
      <c r="G366" s="110">
        <f t="shared" si="146"/>
        <v>0.80944218607131857</v>
      </c>
      <c r="H366" s="414" t="b">
        <f>Wh_hp&gt;='2018'!Maxi_hp</f>
        <v>1</v>
      </c>
      <c r="I366" s="390">
        <f>IF(H366,Wh_hp,'2018'!Maxi_hp)</f>
        <v>13.946665292693172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1.1660436740892122E-2</v>
      </c>
      <c r="M366" s="843"/>
      <c r="N366" s="843"/>
      <c r="O366" s="48">
        <f>IF(t&lt;Tnet,'2018'!Resal+('2018'!Salim-'2018'!Resal)*(1-EXP(('2018'!Tnet-t)/('2018'!Tau_j))),Resal+(Salim-Resal)*(1-EXP((Tnet-t)/(Tau_j))))*Salcycl</f>
        <v>7.2260165135876242E-2</v>
      </c>
      <c r="P366" s="169">
        <f>(INDEX(Models!$BJ366:$BT366,,T366)*(1-R366)+INDEX(Models!$BJ366:$BT366,,T366+1)*R366-ERP_i)*Q366*Ramure*Pc/MaxiM</f>
        <v>4.2971979578006272E-7</v>
      </c>
      <c r="Q366" s="305">
        <f t="shared" si="126"/>
        <v>0.8</v>
      </c>
      <c r="R366" s="177">
        <f t="shared" si="127"/>
        <v>3.0731960192320606E-5</v>
      </c>
      <c r="S366" s="809">
        <f t="shared" si="128"/>
        <v>0</v>
      </c>
      <c r="T366" s="176">
        <f t="shared" si="129"/>
        <v>6</v>
      </c>
      <c r="U366" s="251">
        <f t="shared" si="130"/>
        <v>3.0731960192320606E-5</v>
      </c>
      <c r="V366" s="383">
        <f t="shared" si="131"/>
        <v>15.798532278282829</v>
      </c>
      <c r="W366" s="58"/>
      <c r="X366" s="157">
        <f t="shared" si="132"/>
        <v>43817</v>
      </c>
      <c r="Y366" s="385">
        <f t="shared" si="133"/>
        <v>12.627114969422285</v>
      </c>
      <c r="Z366" s="385">
        <f t="shared" si="134"/>
        <v>12.776089755815937</v>
      </c>
      <c r="AA366" s="386">
        <f t="shared" si="135"/>
        <v>13.771198859524143</v>
      </c>
      <c r="AB366" s="197">
        <f t="shared" si="136"/>
        <v>43817</v>
      </c>
      <c r="AC366" s="425">
        <f>IF(OR(t&lt;Tnet,NoTnet),'2018'!Resal_s+('2018'!Salim-'2018'!Resal_s)*(1-EXP(('2018'!Tnet_s-t)/'2018'!Tau_j)),Resal_s+(Salim-Resal_s)*(1-EXP((Tnet_s-t)/Tau_j)))*Salcycl</f>
        <v>7.2260165135876242E-2</v>
      </c>
      <c r="AD366" s="231">
        <f>(INDEX(Models!$BJ366:$BT366,,AH366)*(1-AF366)+INDEX(Models!$BJ366:$BT366,,AH366+1)*AF366-ERP_i)*AE366*Ramure*Pc/MaxiM</f>
        <v>1.7287282280826998E-2</v>
      </c>
      <c r="AE366" s="305">
        <f t="shared" si="137"/>
        <v>0.8</v>
      </c>
      <c r="AF366" s="177">
        <f t="shared" si="138"/>
        <v>0.19996430611271343</v>
      </c>
      <c r="AG366" s="176">
        <f t="shared" si="139"/>
        <v>1</v>
      </c>
      <c r="AH366" s="176">
        <f t="shared" si="140"/>
        <v>7</v>
      </c>
      <c r="AI366" s="225">
        <f t="shared" si="141"/>
        <v>1.1999643061127134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6">
        <v>7.5469999999999997</v>
      </c>
      <c r="C367" s="390"/>
      <c r="D367" s="393">
        <f t="shared" si="123"/>
        <v>7.6362172621274578</v>
      </c>
      <c r="E367" s="385">
        <f t="shared" si="145"/>
        <v>8.2318699400598945</v>
      </c>
      <c r="F367" s="385">
        <f t="shared" si="124"/>
        <v>8.2318710951834273</v>
      </c>
      <c r="G367" s="110">
        <f t="shared" si="146"/>
        <v>0.47603883733540264</v>
      </c>
      <c r="H367" s="414" t="b">
        <f>Wh_hp&gt;='2018'!Maxi_hp</f>
        <v>0</v>
      </c>
      <c r="I367" s="390">
        <f>IF(H367,Wh_hp,'2018'!Maxi_hp)</f>
        <v>16.044245688855455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1.1683436846400275E-2</v>
      </c>
      <c r="M367" s="843"/>
      <c r="N367" s="843"/>
      <c r="O367" s="48">
        <f>IF(t&lt;Tnet,'2018'!Resal+('2018'!Salim-'2018'!Resal)*(1-EXP(('2018'!Tnet-t)/('2018'!Tau_j))),Resal+(Salim-Resal)*(1-EXP((Tnet-t)/(Tau_j))))*Salcycl</f>
        <v>7.2359340255575361E-2</v>
      </c>
      <c r="P367" s="169">
        <f>(INDEX(Models!$BJ367:$BT367,,T367)*(1-R367)+INDEX(Models!$BJ367:$BT367,,T367+1)*R367-ERP_i)*Q367*Ramure*Pc/MaxiM</f>
        <v>5.5798038065635966E-7</v>
      </c>
      <c r="Q367" s="305">
        <f t="shared" si="126"/>
        <v>0.8</v>
      </c>
      <c r="R367" s="177">
        <f t="shared" si="127"/>
        <v>4.0162968951795718E-5</v>
      </c>
      <c r="S367" s="809">
        <f t="shared" si="128"/>
        <v>0</v>
      </c>
      <c r="T367" s="176">
        <f t="shared" si="129"/>
        <v>6</v>
      </c>
      <c r="U367" s="251">
        <f t="shared" si="130"/>
        <v>4.0162968951795718E-5</v>
      </c>
      <c r="V367" s="383">
        <f t="shared" si="131"/>
        <v>15.853741871536375</v>
      </c>
      <c r="W367" s="58"/>
      <c r="X367" s="157">
        <f t="shared" si="132"/>
        <v>43818</v>
      </c>
      <c r="Y367" s="385">
        <f t="shared" si="133"/>
        <v>7.5144073687062392</v>
      </c>
      <c r="Z367" s="385">
        <f t="shared" si="134"/>
        <v>7.6032393353083814</v>
      </c>
      <c r="AA367" s="386">
        <f t="shared" si="135"/>
        <v>8.1963196151871553</v>
      </c>
      <c r="AB367" s="197">
        <f t="shared" si="136"/>
        <v>43818</v>
      </c>
      <c r="AC367" s="425">
        <f>IF(OR(t&lt;Tnet,NoTnet),'2018'!Resal_s+('2018'!Salim-'2018'!Resal_s)*(1-EXP(('2018'!Tnet_s-t)/'2018'!Tau_j)),Resal_s+(Salim-Resal_s)*(1-EXP((Tnet_s-t)/Tau_j)))*Salcycl</f>
        <v>7.2359340255575361E-2</v>
      </c>
      <c r="AD367" s="231">
        <f>(INDEX(Models!$BJ367:$BT367,,AH367)*(1-AF367)+INDEX(Models!$BJ367:$BT367,,AH367+1)*AF367-ERP_i)*AE367*Ramure*Pc/MaxiM</f>
        <v>1.7173079556131836E-2</v>
      </c>
      <c r="AE367" s="305">
        <f t="shared" si="137"/>
        <v>0.8</v>
      </c>
      <c r="AF367" s="177">
        <f t="shared" si="138"/>
        <v>0.19997373712147293</v>
      </c>
      <c r="AG367" s="176">
        <f t="shared" si="139"/>
        <v>1</v>
      </c>
      <c r="AH367" s="176">
        <f t="shared" si="140"/>
        <v>7</v>
      </c>
      <c r="AI367" s="225">
        <f t="shared" si="141"/>
        <v>1.1999737371214729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6">
        <v>7.141</v>
      </c>
      <c r="C368" s="390"/>
      <c r="D368" s="393">
        <f t="shared" si="123"/>
        <v>7.2255858614603206</v>
      </c>
      <c r="E368" s="385">
        <f t="shared" si="145"/>
        <v>7.7900446848227869</v>
      </c>
      <c r="F368" s="385">
        <f t="shared" si="124"/>
        <v>7.7900458093943934</v>
      </c>
      <c r="G368" s="110">
        <f t="shared" si="146"/>
        <v>0.44870706807561817</v>
      </c>
      <c r="H368" s="414" t="b">
        <f>Wh_hp&gt;='2018'!Maxi_hp</f>
        <v>0</v>
      </c>
      <c r="I368" s="390">
        <f>IF(H368,Wh_hp,'2018'!Maxi_hp)</f>
        <v>8.813334191633313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1.1706436416662469E-2</v>
      </c>
      <c r="M368" s="843"/>
      <c r="N368" s="843"/>
      <c r="O368" s="48">
        <f>IF(t&lt;Tnet,'2018'!Resal+('2018'!Salim-'2018'!Resal)*(1-EXP(('2018'!Tnet-t)/('2018'!Tau_j))),Resal+(Salim-Resal)*(1-EXP((Tnet-t)/(Tau_j))))*Salcycl</f>
        <v>7.2458996860723018E-2</v>
      </c>
      <c r="P368" s="169">
        <f>(INDEX(Models!$BJ368:$BT368,,T368)*(1-R368)+INDEX(Models!$BJ368:$BT368,,T368+1)*R368-ERP_i)*Q368*Ramure*Pc/MaxiM</f>
        <v>6.7953656454840035E-7</v>
      </c>
      <c r="Q368" s="305">
        <f t="shared" si="126"/>
        <v>0.8</v>
      </c>
      <c r="R368" s="177">
        <f t="shared" si="127"/>
        <v>4.9214536357800039E-5</v>
      </c>
      <c r="S368" s="809">
        <f t="shared" si="128"/>
        <v>0</v>
      </c>
      <c r="T368" s="176">
        <f t="shared" si="129"/>
        <v>6</v>
      </c>
      <c r="U368" s="251">
        <f t="shared" si="130"/>
        <v>4.9214536357800039E-5</v>
      </c>
      <c r="V368" s="383">
        <f t="shared" si="131"/>
        <v>15.914605956464923</v>
      </c>
      <c r="W368" s="58"/>
      <c r="X368" s="157">
        <f t="shared" si="132"/>
        <v>43819</v>
      </c>
      <c r="Y368" s="385">
        <f t="shared" si="133"/>
        <v>7.1151118791965731</v>
      </c>
      <c r="Z368" s="385">
        <f t="shared" si="134"/>
        <v>7.1993910932686083</v>
      </c>
      <c r="AA368" s="386">
        <f t="shared" si="135"/>
        <v>7.7618035956385292</v>
      </c>
      <c r="AB368" s="197">
        <f t="shared" si="136"/>
        <v>43819</v>
      </c>
      <c r="AC368" s="425">
        <f>IF(OR(t&lt;Tnet,NoTnet),'2018'!Resal_s+('2018'!Salim-'2018'!Resal_s)*(1-EXP(('2018'!Tnet_s-t)/'2018'!Tau_j)),Resal_s+(Salim-Resal_s)*(1-EXP((Tnet_s-t)/Tau_j)))*Salcycl</f>
        <v>7.2458996860723018E-2</v>
      </c>
      <c r="AD368" s="231">
        <f>(INDEX(Models!$BJ368:$BT368,,AH368)*(1-AF368)+INDEX(Models!$BJ368:$BT368,,AH368+1)*AF368-ERP_i)*AE368*Ramure*Pc/MaxiM</f>
        <v>1.7065713553729284E-2</v>
      </c>
      <c r="AE368" s="305">
        <f t="shared" si="137"/>
        <v>0.8</v>
      </c>
      <c r="AF368" s="177">
        <f t="shared" si="138"/>
        <v>0.19998278868887898</v>
      </c>
      <c r="AG368" s="176">
        <f t="shared" si="139"/>
        <v>1</v>
      </c>
      <c r="AH368" s="176">
        <f t="shared" si="140"/>
        <v>7</v>
      </c>
      <c r="AI368" s="225">
        <f t="shared" si="141"/>
        <v>1.199982788688879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6">
        <v>12.435</v>
      </c>
      <c r="C369" s="390"/>
      <c r="D369" s="393">
        <f t="shared" si="123"/>
        <v>12.582586637783189</v>
      </c>
      <c r="E369" s="385">
        <f t="shared" si="145"/>
        <v>13.566995540021727</v>
      </c>
      <c r="F369" s="385">
        <f t="shared" si="124"/>
        <v>13.56700290615801</v>
      </c>
      <c r="G369" s="110">
        <f t="shared" si="146"/>
        <v>0.77814831328391376</v>
      </c>
      <c r="H369" s="414" t="b">
        <f>Wh_hp&gt;='2018'!Maxi_hp</f>
        <v>1</v>
      </c>
      <c r="I369" s="390">
        <f>IF(H369,Wh_hp,'2018'!Maxi_hp)</f>
        <v>13.56700290615801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1.1729435451691028E-2</v>
      </c>
      <c r="M369" s="843"/>
      <c r="N369" s="843"/>
      <c r="O369" s="48">
        <f>IF(t&lt;Tnet,'2018'!Resal+('2018'!Salim-'2018'!Resal)*(1-EXP(('2018'!Tnet-t)/('2018'!Tau_j))),Resal+(Salim-Resal)*(1-EXP((Tnet-t)/(Tau_j))))*Salcycl</f>
        <v>7.2559093819600559E-2</v>
      </c>
      <c r="P369" s="169">
        <f>(INDEX(Models!$BJ369:$BT369,,T369)*(1-R369)+INDEX(Models!$BJ369:$BT369,,T369+1)*R369-ERP_i)*Q369*Ramure*Pc/MaxiM</f>
        <v>7.9486077419885201E-7</v>
      </c>
      <c r="Q369" s="305">
        <f t="shared" si="126"/>
        <v>0.8</v>
      </c>
      <c r="R369" s="177">
        <f t="shared" si="127"/>
        <v>5.7901917862102079E-5</v>
      </c>
      <c r="S369" s="809">
        <f t="shared" si="128"/>
        <v>0</v>
      </c>
      <c r="T369" s="176">
        <f t="shared" si="129"/>
        <v>6</v>
      </c>
      <c r="U369" s="251">
        <f t="shared" si="130"/>
        <v>5.7901917862102079E-5</v>
      </c>
      <c r="V369" s="383">
        <f t="shared" si="131"/>
        <v>15.98024008424283</v>
      </c>
      <c r="W369" s="58"/>
      <c r="X369" s="157">
        <f t="shared" si="132"/>
        <v>43820</v>
      </c>
      <c r="Y369" s="385">
        <f t="shared" si="133"/>
        <v>12.29089792352387</v>
      </c>
      <c r="Z369" s="385">
        <f t="shared" si="134"/>
        <v>12.436774264486415</v>
      </c>
      <c r="AA369" s="386">
        <f t="shared" si="135"/>
        <v>13.409775417073634</v>
      </c>
      <c r="AB369" s="197">
        <f t="shared" si="136"/>
        <v>43820</v>
      </c>
      <c r="AC369" s="425">
        <f>IF(OR(t&lt;Tnet,NoTnet),'2018'!Resal_s+('2018'!Salim-'2018'!Resal_s)*(1-EXP(('2018'!Tnet_s-t)/'2018'!Tau_j)),Resal_s+(Salim-Resal_s)*(1-EXP((Tnet_s-t)/Tau_j)))*Salcycl</f>
        <v>7.2559093819600559E-2</v>
      </c>
      <c r="AD369" s="231">
        <f>(INDEX(Models!$BJ369:$BT369,,AH369)*(1-AF369)+INDEX(Models!$BJ369:$BT369,,AH369+1)*AF369-ERP_i)*AE369*Ramure*Pc/MaxiM</f>
        <v>1.696601296930356E-2</v>
      </c>
      <c r="AE369" s="305">
        <f t="shared" si="137"/>
        <v>0.8</v>
      </c>
      <c r="AF369" s="177">
        <f t="shared" si="138"/>
        <v>0.19999147607038337</v>
      </c>
      <c r="AG369" s="176">
        <f t="shared" si="139"/>
        <v>1</v>
      </c>
      <c r="AH369" s="176">
        <f t="shared" si="140"/>
        <v>7</v>
      </c>
      <c r="AI369" s="225">
        <f t="shared" si="141"/>
        <v>1.1999914760703834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6">
        <v>5.3970000000000002</v>
      </c>
      <c r="C370" s="390"/>
      <c r="D370" s="393">
        <f t="shared" si="123"/>
        <v>5.461182182901652</v>
      </c>
      <c r="E370" s="385">
        <f t="shared" si="145"/>
        <v>5.8890803515563181</v>
      </c>
      <c r="F370" s="385">
        <f t="shared" si="124"/>
        <v>5.889080627505404</v>
      </c>
      <c r="G370" s="110">
        <f t="shared" si="146"/>
        <v>0.33626641682198105</v>
      </c>
      <c r="H370" s="414" t="b">
        <f>Wh_hp&gt;='2018'!Maxi_hp</f>
        <v>0</v>
      </c>
      <c r="I370" s="390">
        <f>IF(H370,Wh_hp,'2018'!Maxi_hp)</f>
        <v>5.935572639030255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1.1752433951498387E-2</v>
      </c>
      <c r="M370" s="843"/>
      <c r="N370" s="843"/>
      <c r="O370" s="48">
        <f>IF(t&lt;Tnet,'2018'!Resal+('2018'!Salim-'2018'!Resal)*(1-EXP(('2018'!Tnet-t)/('2018'!Tau_j))),Resal+(Salim-Resal)*(1-EXP((Tnet-t)/(Tau_j))))*Salcycl</f>
        <v>7.2659590820761122E-2</v>
      </c>
      <c r="P370" s="169">
        <f>(INDEX(Models!$BJ370:$BT370,,T370)*(1-R370)+INDEX(Models!$BJ370:$BT370,,T370+1)*R370-ERP_i)*Q370*Ramure*Pc/MaxiM</f>
        <v>9.0442258119526506E-7</v>
      </c>
      <c r="Q370" s="305">
        <f t="shared" si="126"/>
        <v>0.8</v>
      </c>
      <c r="R370" s="177">
        <f t="shared" si="127"/>
        <v>6.6239756418817733E-5</v>
      </c>
      <c r="S370" s="809">
        <f t="shared" si="128"/>
        <v>0</v>
      </c>
      <c r="T370" s="176">
        <f t="shared" si="129"/>
        <v>6</v>
      </c>
      <c r="U370" s="251">
        <f t="shared" si="130"/>
        <v>6.6239756418817733E-5</v>
      </c>
      <c r="V370" s="383">
        <f t="shared" si="131"/>
        <v>16.049760254767179</v>
      </c>
      <c r="W370" s="58"/>
      <c r="X370" s="157">
        <f t="shared" si="132"/>
        <v>43821</v>
      </c>
      <c r="Y370" s="385">
        <f t="shared" si="133"/>
        <v>5.3922817925974016</v>
      </c>
      <c r="Z370" s="385">
        <f t="shared" si="134"/>
        <v>5.4564078656508999</v>
      </c>
      <c r="AA370" s="386">
        <f t="shared" si="135"/>
        <v>5.8839319538336552</v>
      </c>
      <c r="AB370" s="197">
        <f t="shared" si="136"/>
        <v>43821</v>
      </c>
      <c r="AC370" s="425">
        <f>IF(OR(t&lt;Tnet,NoTnet),'2018'!Resal_s+('2018'!Salim-'2018'!Resal_s)*(1-EXP(('2018'!Tnet_s-t)/'2018'!Tau_j)),Resal_s+(Salim-Resal_s)*(1-EXP((Tnet_s-t)/Tau_j)))*Salcycl</f>
        <v>7.2659590820761122E-2</v>
      </c>
      <c r="AD370" s="231">
        <f>(INDEX(Models!$BJ370:$BT370,,AH370)*(1-AF370)+INDEX(Models!$BJ370:$BT370,,AH370+1)*AF370-ERP_i)*AE370*Ramure*Pc/MaxiM</f>
        <v>1.6874767754438566E-2</v>
      </c>
      <c r="AE370" s="305">
        <f t="shared" si="137"/>
        <v>0.8</v>
      </c>
      <c r="AF370" s="177">
        <f t="shared" si="138"/>
        <v>0.19999981390894006</v>
      </c>
      <c r="AG370" s="176">
        <f t="shared" si="139"/>
        <v>1</v>
      </c>
      <c r="AH370" s="176">
        <f t="shared" si="140"/>
        <v>7</v>
      </c>
      <c r="AI370" s="225">
        <f t="shared" si="141"/>
        <v>1.1999998139089401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6">
        <v>5.3230000000000004</v>
      </c>
      <c r="C371" s="390"/>
      <c r="D371" s="393">
        <f t="shared" si="123"/>
        <v>5.3864275104199431</v>
      </c>
      <c r="E371" s="385">
        <f t="shared" si="145"/>
        <v>5.8091002505783473</v>
      </c>
      <c r="F371" s="385">
        <f t="shared" si="124"/>
        <v>5.8091004758603848</v>
      </c>
      <c r="G371" s="110">
        <f t="shared" si="146"/>
        <v>0.33016384002012455</v>
      </c>
      <c r="H371" s="414" t="b">
        <f>Wh_hp&gt;='2018'!Maxi_hp</f>
        <v>1</v>
      </c>
      <c r="I371" s="390">
        <f>IF(H371,Wh_hp,'2018'!Maxi_hp)</f>
        <v>5.8091004758603848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1.177543191609709E-2</v>
      </c>
      <c r="M371" s="843"/>
      <c r="N371" s="843"/>
      <c r="O371" s="48">
        <f>IF(t&lt;Tnet,'2018'!Resal+('2018'!Salim-'2018'!Resal)*(1-EXP(('2018'!Tnet-t)/('2018'!Tau_j))),Resal+(Salim-Resal)*(1-EXP((Tnet-t)/(Tau_j))))*Salcycl</f>
        <v>7.2760448593794477E-2</v>
      </c>
      <c r="P371" s="169">
        <f>(INDEX(Models!$BJ371:$BT371,,T371)*(1-R371)+INDEX(Models!$BJ371:$BT371,,T371+1)*R371-ERP_i)*Q371*Ramure*Pc/MaxiM</f>
        <v>8.9996370652240388E-7</v>
      </c>
      <c r="Q371" s="305">
        <f t="shared" si="126"/>
        <v>0.8</v>
      </c>
      <c r="R371" s="177">
        <f t="shared" si="127"/>
        <v>6.6239756418817733E-5</v>
      </c>
      <c r="S371" s="809">
        <f t="shared" si="128"/>
        <v>0</v>
      </c>
      <c r="T371" s="176">
        <f t="shared" si="129"/>
        <v>6</v>
      </c>
      <c r="U371" s="251">
        <f t="shared" si="130"/>
        <v>6.6239756418817733E-5</v>
      </c>
      <c r="V371" s="383">
        <f t="shared" si="131"/>
        <v>16.122284668118688</v>
      </c>
      <c r="W371" s="58"/>
      <c r="X371" s="157">
        <f t="shared" si="132"/>
        <v>43822</v>
      </c>
      <c r="Y371" s="385">
        <f t="shared" si="133"/>
        <v>5.3191483728720605</v>
      </c>
      <c r="Z371" s="385">
        <f t="shared" si="134"/>
        <v>5.3825299882854667</v>
      </c>
      <c r="AA371" s="386">
        <f t="shared" si="135"/>
        <v>5.8048968900459315</v>
      </c>
      <c r="AB371" s="197">
        <f t="shared" si="136"/>
        <v>43822</v>
      </c>
      <c r="AC371" s="425">
        <f>IF(OR(t&lt;Tnet,NoTnet),'2018'!Resal_s+('2018'!Salim-'2018'!Resal_s)*(1-EXP(('2018'!Tnet_s-t)/'2018'!Tau_j)),Resal_s+(Salim-Resal_s)*(1-EXP((Tnet_s-t)/Tau_j)))*Salcycl</f>
        <v>7.2760448593794477E-2</v>
      </c>
      <c r="AD371" s="231">
        <f>(INDEX(Models!$BJ371:$BT371,,AH371)*(1-AF371)+INDEX(Models!$BJ371:$BT371,,AH371+1)*AF371-ERP_i)*AE371*Ramure*Pc/MaxiM</f>
        <v>1.6792615616230095E-2</v>
      </c>
      <c r="AE371" s="305">
        <f t="shared" si="137"/>
        <v>0.8</v>
      </c>
      <c r="AF371" s="177">
        <f t="shared" si="138"/>
        <v>0.19999981390894006</v>
      </c>
      <c r="AG371" s="176">
        <f t="shared" si="139"/>
        <v>1</v>
      </c>
      <c r="AH371" s="176">
        <f t="shared" si="140"/>
        <v>7</v>
      </c>
      <c r="AI371" s="225">
        <f t="shared" si="141"/>
        <v>1.1999998139089401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6">
        <v>12.183999999999999</v>
      </c>
      <c r="C372" s="390"/>
      <c r="D372" s="393">
        <f t="shared" si="123"/>
        <v>12.329468361328708</v>
      </c>
      <c r="E372" s="385">
        <f t="shared" si="145"/>
        <v>13.298412349755822</v>
      </c>
      <c r="F372" s="385">
        <f t="shared" si="124"/>
        <v>13.298420047637212</v>
      </c>
      <c r="G372" s="110">
        <f t="shared" si="146"/>
        <v>0.75224115579572493</v>
      </c>
      <c r="H372" s="414" t="b">
        <f>Wh_hp&gt;='2018'!Maxi_hp</f>
        <v>1</v>
      </c>
      <c r="I372" s="390">
        <f>IF(H372,Wh_hp,'2018'!Maxi_hp)</f>
        <v>13.298420047637212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1.1798429345499573E-2</v>
      </c>
      <c r="M372" s="843"/>
      <c r="N372" s="843"/>
      <c r="O372" s="48">
        <f>IF(t&lt;Tnet,'2018'!Resal+('2018'!Salim-'2018'!Resal)*(1-EXP(('2018'!Tnet-t)/('2018'!Tau_j))),Resal+(Salim-Resal)*(1-EXP((Tnet-t)/(Tau_j))))*Salcycl</f>
        <v>7.2861629113561463E-2</v>
      </c>
      <c r="P372" s="169">
        <f>(INDEX(Models!$BJ372:$BT372,,T372)*(1-R372)+INDEX(Models!$BJ372:$BT372,,T372+1)*R372-ERP_i)*Q372*Ramure*Pc/MaxiM</f>
        <v>8.9598119996153101E-7</v>
      </c>
      <c r="Q372" s="305">
        <f t="shared" si="126"/>
        <v>0.8</v>
      </c>
      <c r="R372" s="177">
        <f t="shared" si="127"/>
        <v>6.6239756418817733E-5</v>
      </c>
      <c r="S372" s="809">
        <f t="shared" si="128"/>
        <v>0</v>
      </c>
      <c r="T372" s="176">
        <f t="shared" si="129"/>
        <v>6</v>
      </c>
      <c r="U372" s="251">
        <f t="shared" si="130"/>
        <v>6.6239756418817733E-5</v>
      </c>
      <c r="V372" s="383">
        <f t="shared" si="131"/>
        <v>16.196928394945697</v>
      </c>
      <c r="W372" s="58"/>
      <c r="X372" s="157">
        <f t="shared" si="132"/>
        <v>43823</v>
      </c>
      <c r="Y372" s="385">
        <f t="shared" si="133"/>
        <v>12.052391120900994</v>
      </c>
      <c r="Z372" s="385">
        <f t="shared" si="134"/>
        <v>12.196288165094211</v>
      </c>
      <c r="AA372" s="386">
        <f t="shared" si="135"/>
        <v>13.1547658343957</v>
      </c>
      <c r="AB372" s="197">
        <f t="shared" si="136"/>
        <v>43823</v>
      </c>
      <c r="AC372" s="425">
        <f>IF(OR(t&lt;Tnet,NoTnet),'2018'!Resal_s+('2018'!Salim-'2018'!Resal_s)*(1-EXP(('2018'!Tnet_s-t)/'2018'!Tau_j)),Resal_s+(Salim-Resal_s)*(1-EXP((Tnet_s-t)/Tau_j)))*Salcycl</f>
        <v>7.2861629113561463E-2</v>
      </c>
      <c r="AD372" s="231">
        <f>(INDEX(Models!$BJ372:$BT372,,AH372)*(1-AF372)+INDEX(Models!$BJ372:$BT372,,AH372+1)*AF372-ERP_i)*AE372*Ramure*Pc/MaxiM</f>
        <v>1.6720376404224083E-2</v>
      </c>
      <c r="AE372" s="305">
        <f t="shared" si="137"/>
        <v>0.8</v>
      </c>
      <c r="AF372" s="177">
        <f t="shared" si="138"/>
        <v>0.19999981390894006</v>
      </c>
      <c r="AG372" s="176">
        <f t="shared" si="139"/>
        <v>1</v>
      </c>
      <c r="AH372" s="176">
        <f t="shared" si="140"/>
        <v>7</v>
      </c>
      <c r="AI372" s="225">
        <f t="shared" si="141"/>
        <v>1.1999998139089401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6">
        <v>10.547000000000001</v>
      </c>
      <c r="C373" s="390"/>
      <c r="D373" s="393">
        <f t="shared" si="123"/>
        <v>10.673172116924038</v>
      </c>
      <c r="E373" s="385">
        <f t="shared" si="145"/>
        <v>11.513211683822634</v>
      </c>
      <c r="F373" s="385">
        <f t="shared" si="124"/>
        <v>11.513216792988704</v>
      </c>
      <c r="G373" s="110">
        <f t="shared" si="146"/>
        <v>0.6480783836202777</v>
      </c>
      <c r="H373" s="414" t="b">
        <f>Wh_hp&gt;='2018'!Maxi_hp</f>
        <v>0</v>
      </c>
      <c r="I373" s="390">
        <f>IF(H373,Wh_hp,'2018'!Maxi_hp)</f>
        <v>13.575447760552157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1.182142623971838E-2</v>
      </c>
      <c r="M373" s="843"/>
      <c r="N373" s="843"/>
      <c r="O373" s="48">
        <f>IF(t&lt;Tnet,'2018'!Resal+('2018'!Salim-'2018'!Resal)*(1-EXP(('2018'!Tnet-t)/('2018'!Tau_j))),Resal+(Salim-Resal)*(1-EXP((Tnet-t)/(Tau_j))))*Salcycl</f>
        <v>7.2963095786638552E-2</v>
      </c>
      <c r="P373" s="169">
        <f>(INDEX(Models!$BJ373:$BT373,,T373)*(1-R373)+INDEX(Models!$BJ373:$BT373,,T373+1)*R373-ERP_i)*Q373*Ramure*Pc/MaxiM</f>
        <v>8.9242958761968506E-7</v>
      </c>
      <c r="Q373" s="305">
        <f t="shared" si="126"/>
        <v>0.8</v>
      </c>
      <c r="R373" s="177">
        <f t="shared" si="127"/>
        <v>6.6239756418817733E-5</v>
      </c>
      <c r="S373" s="809">
        <f t="shared" si="128"/>
        <v>0</v>
      </c>
      <c r="T373" s="176">
        <f t="shared" si="129"/>
        <v>6</v>
      </c>
      <c r="U373" s="251">
        <f t="shared" si="130"/>
        <v>6.6239756418817733E-5</v>
      </c>
      <c r="V373" s="383">
        <f t="shared" si="131"/>
        <v>16.274258692317883</v>
      </c>
      <c r="W373" s="58"/>
      <c r="X373" s="157">
        <f t="shared" si="132"/>
        <v>43824</v>
      </c>
      <c r="Y373" s="385">
        <f t="shared" si="133"/>
        <v>10.459645185480348</v>
      </c>
      <c r="Z373" s="385">
        <f t="shared" si="134"/>
        <v>10.584772290375234</v>
      </c>
      <c r="AA373" s="386">
        <f t="shared" si="135"/>
        <v>11.417854286347918</v>
      </c>
      <c r="AB373" s="197">
        <f t="shared" si="136"/>
        <v>43824</v>
      </c>
      <c r="AC373" s="425">
        <f>IF(OR(t&lt;Tnet,NoTnet),'2018'!Resal_s+('2018'!Salim-'2018'!Resal_s)*(1-EXP(('2018'!Tnet_s-t)/'2018'!Tau_j)),Resal_s+(Salim-Resal_s)*(1-EXP((Tnet_s-t)/Tau_j)))*Salcycl</f>
        <v>7.2963095786638552E-2</v>
      </c>
      <c r="AD373" s="231">
        <f>(INDEX(Models!$BJ373:$BT373,,AH373)*(1-AF373)+INDEX(Models!$BJ373:$BT373,,AH373+1)*AF373-ERP_i)*AE373*Ramure*Pc/MaxiM</f>
        <v>1.6657184623096889E-2</v>
      </c>
      <c r="AE373" s="305">
        <f t="shared" si="137"/>
        <v>0.8</v>
      </c>
      <c r="AF373" s="177">
        <f t="shared" si="138"/>
        <v>0.19999981390894006</v>
      </c>
      <c r="AG373" s="176">
        <f t="shared" si="139"/>
        <v>1</v>
      </c>
      <c r="AH373" s="176">
        <f t="shared" si="140"/>
        <v>7</v>
      </c>
      <c r="AI373" s="225">
        <f t="shared" si="141"/>
        <v>1.1999998139089401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6">
        <v>7.7709999999999999</v>
      </c>
      <c r="C374" s="390"/>
      <c r="D374" s="393">
        <f t="shared" si="123"/>
        <v>7.8641462718219675</v>
      </c>
      <c r="E374" s="385">
        <f t="shared" si="145"/>
        <v>8.4840303695070123</v>
      </c>
      <c r="F374" s="385">
        <f t="shared" si="124"/>
        <v>8.4840322569149098</v>
      </c>
      <c r="G374" s="110">
        <f t="shared" si="146"/>
        <v>0.47512611385680503</v>
      </c>
      <c r="H374" s="414" t="b">
        <f>Wh_hp&gt;='2018'!Maxi_hp</f>
        <v>0</v>
      </c>
      <c r="I374" s="390">
        <f>IF(H374,Wh_hp,'2018'!Maxi_hp)</f>
        <v>16.123708137993617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1.1844422598765725E-2</v>
      </c>
      <c r="M374" s="843"/>
      <c r="N374" s="843"/>
      <c r="O374" s="48">
        <f>IF(t&lt;Tnet,'2018'!Resal+('2018'!Salim-'2018'!Resal)*(1-EXP(('2018'!Tnet-t)/('2018'!Tau_j))),Resal+(Salim-Resal)*(1-EXP((Tnet-t)/(Tau_j))))*Salcycl</f>
        <v>7.3064813618891333E-2</v>
      </c>
      <c r="P374" s="169">
        <f>(INDEX(Models!$BJ374:$BT374,,T374)*(1-R374)+INDEX(Models!$BJ374:$BT374,,T374+1)*R374-ERP_i)*Q374*Ramure*Pc/MaxiM</f>
        <v>8.8922118460191344E-7</v>
      </c>
      <c r="Q374" s="305">
        <f t="shared" si="126"/>
        <v>0.8</v>
      </c>
      <c r="R374" s="177">
        <f t="shared" si="127"/>
        <v>6.6239756418817733E-5</v>
      </c>
      <c r="S374" s="809">
        <f t="shared" si="128"/>
        <v>0</v>
      </c>
      <c r="T374" s="176">
        <f t="shared" si="129"/>
        <v>6</v>
      </c>
      <c r="U374" s="251">
        <f t="shared" si="130"/>
        <v>6.6239756418817733E-5</v>
      </c>
      <c r="V374" s="383">
        <f t="shared" si="131"/>
        <v>16.355646620984508</v>
      </c>
      <c r="W374" s="58"/>
      <c r="X374" s="157">
        <f t="shared" si="132"/>
        <v>43825</v>
      </c>
      <c r="Y374" s="385">
        <f t="shared" si="133"/>
        <v>7.7387260774835838</v>
      </c>
      <c r="Z374" s="385">
        <f t="shared" si="134"/>
        <v>7.8314855013375322</v>
      </c>
      <c r="AA374" s="386">
        <f t="shared" si="135"/>
        <v>8.4487951438253237</v>
      </c>
      <c r="AB374" s="197">
        <f t="shared" si="136"/>
        <v>43825</v>
      </c>
      <c r="AC374" s="425">
        <f>IF(OR(t&lt;Tnet,NoTnet),'2018'!Resal_s+('2018'!Salim-'2018'!Resal_s)*(1-EXP(('2018'!Tnet_s-t)/'2018'!Tau_j)),Resal_s+(Salim-Resal_s)*(1-EXP((Tnet_s-t)/Tau_j)))*Salcycl</f>
        <v>7.3064813618891333E-2</v>
      </c>
      <c r="AD374" s="231">
        <f>(INDEX(Models!$BJ374:$BT374,,AH374)*(1-AF374)+INDEX(Models!$BJ374:$BT374,,AH374+1)*AF374-ERP_i)*AE374*Ramure*Pc/MaxiM</f>
        <v>1.6601386212173701E-2</v>
      </c>
      <c r="AE374" s="305">
        <f t="shared" si="137"/>
        <v>0.8</v>
      </c>
      <c r="AF374" s="177">
        <f t="shared" si="138"/>
        <v>0.19999981390894006</v>
      </c>
      <c r="AG374" s="176">
        <f t="shared" si="139"/>
        <v>1</v>
      </c>
      <c r="AH374" s="176">
        <f t="shared" si="140"/>
        <v>7</v>
      </c>
      <c r="AI374" s="225">
        <f t="shared" si="141"/>
        <v>1.1999998139089401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6">
        <v>13.839</v>
      </c>
      <c r="C375" s="390"/>
      <c r="D375" s="393">
        <f t="shared" si="123"/>
        <v>14.005205635370254</v>
      </c>
      <c r="E375" s="385">
        <f t="shared" si="145"/>
        <v>15.110814837241666</v>
      </c>
      <c r="F375" s="385">
        <f t="shared" si="124"/>
        <v>15.110825204385916</v>
      </c>
      <c r="G375" s="110">
        <f t="shared" si="146"/>
        <v>0.84171570619400993</v>
      </c>
      <c r="H375" s="414" t="b">
        <f>Wh_hp&gt;='2018'!Maxi_hp</f>
        <v>0</v>
      </c>
      <c r="I375" s="390">
        <f>IF(H375,Wh_hp,'2018'!Maxi_hp)</f>
        <v>16.697654329104385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1.1867418422654263E-2</v>
      </c>
      <c r="M375" s="843"/>
      <c r="N375" s="843"/>
      <c r="O375" s="48">
        <f>IF(t&lt;Tnet,'2018'!Resal+('2018'!Salim-'2018'!Resal)*(1-EXP(('2018'!Tnet-t)/('2018'!Tau_j))),Resal+(Salim-Resal)*(1-EXP((Tnet-t)/(Tau_j))))*Salcycl</f>
        <v>7.3166749363281186E-2</v>
      </c>
      <c r="P375" s="169">
        <f>(INDEX(Models!$BJ375:$BT375,,T375)*(1-R375)+INDEX(Models!$BJ375:$BT375,,T375+1)*R375-ERP_i)*Q375*Ramure*Pc/MaxiM</f>
        <v>8.8653816568732802E-7</v>
      </c>
      <c r="Q375" s="305">
        <f t="shared" si="126"/>
        <v>0.8</v>
      </c>
      <c r="R375" s="177">
        <f t="shared" si="127"/>
        <v>6.6239756418817733E-5</v>
      </c>
      <c r="S375" s="809">
        <f t="shared" si="128"/>
        <v>0</v>
      </c>
      <c r="T375" s="176">
        <f t="shared" si="129"/>
        <v>6</v>
      </c>
      <c r="U375" s="251">
        <f t="shared" si="130"/>
        <v>6.6239756418817733E-5</v>
      </c>
      <c r="V375" s="383">
        <f t="shared" si="131"/>
        <v>16.441414986005586</v>
      </c>
      <c r="W375" s="58"/>
      <c r="X375" s="157">
        <f t="shared" si="132"/>
        <v>43826</v>
      </c>
      <c r="Y375" s="385">
        <f t="shared" si="133"/>
        <v>13.661690147414751</v>
      </c>
      <c r="Z375" s="385">
        <f t="shared" si="134"/>
        <v>13.825766301124023</v>
      </c>
      <c r="AA375" s="386">
        <f t="shared" si="135"/>
        <v>14.917210071634736</v>
      </c>
      <c r="AB375" s="197">
        <f t="shared" si="136"/>
        <v>43826</v>
      </c>
      <c r="AC375" s="425">
        <f>IF(OR(t&lt;Tnet,NoTnet),'2018'!Resal_s+('2018'!Salim-'2018'!Resal_s)*(1-EXP(('2018'!Tnet_s-t)/'2018'!Tau_j)),Resal_s+(Salim-Resal_s)*(1-EXP((Tnet_s-t)/Tau_j)))*Salcycl</f>
        <v>7.3166749363281186E-2</v>
      </c>
      <c r="AD375" s="231">
        <f>(INDEX(Models!$BJ375:$BT375,,AH375)*(1-AF375)+INDEX(Models!$BJ375:$BT375,,AH375+1)*AF375-ERP_i)*AE375*Ramure*Pc/MaxiM</f>
        <v>1.6556845405190083E-2</v>
      </c>
      <c r="AE375" s="305">
        <f t="shared" si="137"/>
        <v>0.8</v>
      </c>
      <c r="AF375" s="177">
        <f t="shared" si="138"/>
        <v>0.19999981390894006</v>
      </c>
      <c r="AG375" s="176">
        <f t="shared" si="139"/>
        <v>1</v>
      </c>
      <c r="AH375" s="176">
        <f t="shared" si="140"/>
        <v>7</v>
      </c>
      <c r="AI375" s="225">
        <f t="shared" si="141"/>
        <v>1.1999998139089401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6">
        <v>3.9980000000000002</v>
      </c>
      <c r="C376" s="390"/>
      <c r="D376" s="393">
        <f t="shared" si="123"/>
        <v>4.0461099208810607</v>
      </c>
      <c r="E376" s="385">
        <f t="shared" si="145"/>
        <v>4.3660019579494938</v>
      </c>
      <c r="F376" s="385">
        <f t="shared" si="124"/>
        <v>4.3660019579494938</v>
      </c>
      <c r="G376" s="110">
        <f t="shared" si="146"/>
        <v>0.24183546687449597</v>
      </c>
      <c r="H376" s="414" t="b">
        <f>Wh_hp&gt;='2018'!Maxi_hp</f>
        <v>1</v>
      </c>
      <c r="I376" s="390">
        <f>IF(H376,Wh_hp,'2018'!Maxi_hp)</f>
        <v>4.3660019579494938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1.1890413711396319E-2</v>
      </c>
      <c r="M376" s="843"/>
      <c r="N376" s="843"/>
      <c r="O376" s="48">
        <f>IF(t&lt;Tnet,'2018'!Resal+('2018'!Salim-'2018'!Resal)*(1-EXP(('2018'!Tnet-t)/('2018'!Tau_j))),Resal+(Salim-Resal)*(1-EXP((Tnet-t)/(Tau_j))))*Salcycl</f>
        <v>7.3268871647201708E-2</v>
      </c>
      <c r="P376" s="169">
        <f>(INDEX(Models!$BJ376:$BT376,,T376)*(1-R376)+INDEX(Models!$BJ376:$BT376,,T376+1)*R376-ERP_i)*Q376*Ramure*Pc/MaxiM</f>
        <v>8.8412800840607934E-7</v>
      </c>
      <c r="Q376" s="305">
        <f t="shared" si="126"/>
        <v>0.8</v>
      </c>
      <c r="R376" s="177">
        <f t="shared" si="127"/>
        <v>6.6239756418817733E-5</v>
      </c>
      <c r="S376" s="809">
        <f t="shared" si="128"/>
        <v>0</v>
      </c>
      <c r="T376" s="176">
        <f t="shared" si="129"/>
        <v>6</v>
      </c>
      <c r="U376" s="251">
        <f t="shared" si="130"/>
        <v>6.6239756418817733E-5</v>
      </c>
      <c r="V376" s="383">
        <f t="shared" si="131"/>
        <v>16.531886397502817</v>
      </c>
      <c r="W376" s="58"/>
      <c r="X376" s="157">
        <f t="shared" si="132"/>
        <v>43827</v>
      </c>
      <c r="Y376" s="385">
        <f t="shared" si="133"/>
        <v>3.9979999999999998</v>
      </c>
      <c r="Z376" s="385">
        <f t="shared" si="134"/>
        <v>4.0461099208810607</v>
      </c>
      <c r="AA376" s="386">
        <f t="shared" si="135"/>
        <v>4.3660019579494938</v>
      </c>
      <c r="AB376" s="197">
        <f t="shared" si="136"/>
        <v>43827</v>
      </c>
      <c r="AC376" s="425">
        <f>IF(OR(t&lt;Tnet,NoTnet),'2018'!Resal_s+('2018'!Salim-'2018'!Resal_s)*(1-EXP(('2018'!Tnet_s-t)/'2018'!Tau_j)),Resal_s+(Salim-Resal_s)*(1-EXP((Tnet_s-t)/Tau_j)))*Salcycl</f>
        <v>7.3268871647201708E-2</v>
      </c>
      <c r="AD376" s="231">
        <f>(INDEX(Models!$BJ376:$BT376,,AH376)*(1-AF376)+INDEX(Models!$BJ376:$BT376,,AH376+1)*AF376-ERP_i)*AE376*Ramure*Pc/MaxiM</f>
        <v>1.6518315573556621E-2</v>
      </c>
      <c r="AE376" s="305">
        <f t="shared" si="137"/>
        <v>0.8</v>
      </c>
      <c r="AF376" s="177">
        <f t="shared" si="138"/>
        <v>0.19999981390894006</v>
      </c>
      <c r="AG376" s="176">
        <f t="shared" si="139"/>
        <v>1</v>
      </c>
      <c r="AH376" s="176">
        <f t="shared" si="140"/>
        <v>7</v>
      </c>
      <c r="AI376" s="225">
        <f t="shared" si="141"/>
        <v>1.1999998139089401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6">
        <v>17.29</v>
      </c>
      <c r="C377" s="390"/>
      <c r="D377" s="393">
        <f t="shared" si="123"/>
        <v>17.498466377465896</v>
      </c>
      <c r="E377" s="385">
        <f t="shared" si="145"/>
        <v>18.884007764099575</v>
      </c>
      <c r="F377" s="385">
        <f t="shared" si="124"/>
        <v>18.884024419131489</v>
      </c>
      <c r="G377" s="110">
        <f t="shared" si="146"/>
        <v>1.0398509329417609</v>
      </c>
      <c r="H377" s="414" t="b">
        <f>Wh_hp&gt;='2018'!Maxi_hp</f>
        <v>1</v>
      </c>
      <c r="I377" s="390">
        <f>IF(H377,Wh_hp,'2018'!Maxi_hp)</f>
        <v>18.884024419131489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1.1913408465004438E-2</v>
      </c>
      <c r="M377" s="843"/>
      <c r="N377" s="843"/>
      <c r="O377" s="48">
        <f>IF(t&lt;Tnet,'2018'!Resal+('2018'!Salim-'2018'!Resal)*(1-EXP(('2018'!Tnet-t)/('2018'!Tau_j))),Resal+(Salim-Resal)*(1-EXP((Tnet-t)/(Tau_j))))*Salcycl</f>
        <v>7.3371151078836988E-2</v>
      </c>
      <c r="P377" s="169">
        <f>(INDEX(Models!$BJ377:$BT377,,T377)*(1-R377)+INDEX(Models!$BJ377:$BT377,,T377+1)*R377-ERP_i)*Q377*Ramure*Pc/MaxiM</f>
        <v>8.8196411653107043E-7</v>
      </c>
      <c r="Q377" s="305">
        <f t="shared" si="126"/>
        <v>0.8</v>
      </c>
      <c r="R377" s="177">
        <f t="shared" si="127"/>
        <v>6.6239756418817733E-5</v>
      </c>
      <c r="S377" s="809">
        <f t="shared" si="128"/>
        <v>0</v>
      </c>
      <c r="T377" s="176">
        <f t="shared" si="129"/>
        <v>6</v>
      </c>
      <c r="U377" s="251">
        <f t="shared" si="130"/>
        <v>6.6239756418817733E-5</v>
      </c>
      <c r="V377" s="383">
        <f t="shared" si="131"/>
        <v>16.627383264528319</v>
      </c>
      <c r="W377" s="58"/>
      <c r="X377" s="157">
        <f t="shared" si="132"/>
        <v>43828</v>
      </c>
      <c r="Y377" s="385">
        <f t="shared" si="133"/>
        <v>17.004984518182216</v>
      </c>
      <c r="Z377" s="385">
        <f t="shared" si="134"/>
        <v>17.210014450013858</v>
      </c>
      <c r="AA377" s="386">
        <f t="shared" si="135"/>
        <v>18.572716001720419</v>
      </c>
      <c r="AB377" s="197">
        <f t="shared" si="136"/>
        <v>43828</v>
      </c>
      <c r="AC377" s="425">
        <f>IF(OR(t&lt;Tnet,NoTnet),'2018'!Resal_s+('2018'!Salim-'2018'!Resal_s)*(1-EXP(('2018'!Tnet_s-t)/'2018'!Tau_j)),Resal_s+(Salim-Resal_s)*(1-EXP((Tnet_s-t)/Tau_j)))*Salcycl</f>
        <v>7.3371151078836988E-2</v>
      </c>
      <c r="AD377" s="231">
        <f>(INDEX(Models!$BJ377:$BT377,,AH377)*(1-AF377)+INDEX(Models!$BJ377:$BT377,,AH377+1)*AF377-ERP_i)*AE377*Ramure*Pc/MaxiM</f>
        <v>1.6485279329319324E-2</v>
      </c>
      <c r="AE377" s="305">
        <f t="shared" si="137"/>
        <v>0.8</v>
      </c>
      <c r="AF377" s="177">
        <f t="shared" si="138"/>
        <v>0.19999981390894006</v>
      </c>
      <c r="AG377" s="176">
        <f t="shared" si="139"/>
        <v>1</v>
      </c>
      <c r="AH377" s="176">
        <f t="shared" si="140"/>
        <v>7</v>
      </c>
      <c r="AI377" s="225">
        <f t="shared" si="141"/>
        <v>1.1999998139089401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6">
        <v>15.94</v>
      </c>
      <c r="C378" s="390"/>
      <c r="D378" s="393">
        <f t="shared" si="123"/>
        <v>16.132564789646732</v>
      </c>
      <c r="E378" s="385">
        <f t="shared" si="145"/>
        <v>17.411877415426488</v>
      </c>
      <c r="F378" s="385">
        <f t="shared" si="124"/>
        <v>17.411891706814348</v>
      </c>
      <c r="G378" s="110">
        <f t="shared" si="146"/>
        <v>0.95288032037842796</v>
      </c>
      <c r="H378" s="414" t="b">
        <f>Wh_hp&gt;='2018'!Maxi_hp</f>
        <v>1</v>
      </c>
      <c r="I378" s="390">
        <f>IF(H378,Wh_hp,'2018'!Maxi_hp)</f>
        <v>17.411891706814348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1.1936402683491054E-2</v>
      </c>
      <c r="M378" s="843"/>
      <c r="N378" s="843"/>
      <c r="O378" s="48">
        <f>IF(t&lt;Tnet,'2018'!Resal+('2018'!Salim-'2018'!Resal)*(1-EXP(('2018'!Tnet-t)/('2018'!Tau_j))),Resal+(Salim-Resal)*(1-EXP((Tnet-t)/(Tau_j))))*Salcycl</f>
        <v>7.3473560332231541E-2</v>
      </c>
      <c r="P378" s="169">
        <f>(INDEX(Models!$BJ378:$BT378,,T378)*(1-R378)+INDEX(Models!$BJ378:$BT378,,T378+1)*R378-ERP_i)*Q378*Ramure*Pc/MaxiM</f>
        <v>8.8002066989134522E-7</v>
      </c>
      <c r="Q378" s="305">
        <f t="shared" si="126"/>
        <v>0.8</v>
      </c>
      <c r="R378" s="177">
        <f t="shared" si="127"/>
        <v>6.6239756418817733E-5</v>
      </c>
      <c r="S378" s="809">
        <f t="shared" si="128"/>
        <v>0</v>
      </c>
      <c r="T378" s="176">
        <f t="shared" si="129"/>
        <v>6</v>
      </c>
      <c r="U378" s="251">
        <f t="shared" si="130"/>
        <v>6.6239756418817733E-5</v>
      </c>
      <c r="V378" s="383">
        <f t="shared" si="131"/>
        <v>16.728227789847963</v>
      </c>
      <c r="W378" s="58"/>
      <c r="X378" s="157">
        <f t="shared" si="132"/>
        <v>43829</v>
      </c>
      <c r="Y378" s="385">
        <f t="shared" si="133"/>
        <v>15.695342899639945</v>
      </c>
      <c r="Z378" s="385">
        <f t="shared" si="134"/>
        <v>15.884952084326425</v>
      </c>
      <c r="AA378" s="386">
        <f t="shared" si="135"/>
        <v>17.144629018921911</v>
      </c>
      <c r="AB378" s="197">
        <f t="shared" si="136"/>
        <v>43829</v>
      </c>
      <c r="AC378" s="425">
        <f>IF(OR(t&lt;Tnet,NoTnet),'2018'!Resal_s+('2018'!Salim-'2018'!Resal_s)*(1-EXP(('2018'!Tnet_s-t)/'2018'!Tau_j)),Resal_s+(Salim-Resal_s)*(1-EXP((Tnet_s-t)/Tau_j)))*Salcycl</f>
        <v>7.3473560332231541E-2</v>
      </c>
      <c r="AD378" s="231">
        <f>(INDEX(Models!$BJ378:$BT378,,AH378)*(1-AF378)+INDEX(Models!$BJ378:$BT378,,AH378+1)*AF378-ERP_i)*AE378*Ramure*Pc/MaxiM</f>
        <v>1.645723228239096E-2</v>
      </c>
      <c r="AE378" s="305">
        <f t="shared" si="137"/>
        <v>0.8</v>
      </c>
      <c r="AF378" s="177">
        <f t="shared" si="138"/>
        <v>0.19999981390894006</v>
      </c>
      <c r="AG378" s="176">
        <f t="shared" si="139"/>
        <v>1</v>
      </c>
      <c r="AH378" s="176">
        <f t="shared" si="140"/>
        <v>7</v>
      </c>
      <c r="AI378" s="225">
        <f t="shared" si="141"/>
        <v>1.1999998139089401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6">
        <v>9.8520000000000003</v>
      </c>
      <c r="C379" s="390"/>
      <c r="D379" s="393">
        <f t="shared" si="123"/>
        <v>9.9712501326090646</v>
      </c>
      <c r="E379" s="385">
        <f t="shared" si="145"/>
        <v>10.763161286142836</v>
      </c>
      <c r="F379" s="385">
        <f t="shared" si="124"/>
        <v>10.763165137810226</v>
      </c>
      <c r="G379" s="110">
        <f t="shared" si="146"/>
        <v>0.5852180502487524</v>
      </c>
      <c r="H379" s="414" t="b">
        <f>Wh_hp&gt;='2018'!Maxi_hp</f>
        <v>1</v>
      </c>
      <c r="I379" s="390">
        <f>IF(H379,Wh_hp,'2018'!Maxi_hp)</f>
        <v>10.763165137810226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1.1959396366868713E-2</v>
      </c>
      <c r="M379" s="843"/>
      <c r="N379" s="843"/>
      <c r="O379" s="48">
        <f>IF(t&lt;Tnet,'2018'!Resal+('2018'!Salim-'2018'!Resal)*(1-EXP(('2018'!Tnet-t)/('2018'!Tau_j))),Resal+(Salim-Resal)*(1-EXP((Tnet-t)/(Tau_j))))*Salcycl</f>
        <v>7.3576074210959477E-2</v>
      </c>
      <c r="P379" s="169">
        <f>(INDEX(Models!$BJ379:$BT379,,T379)*(1-R379)+INDEX(Models!$BJ379:$BT379,,T379+1)*R379-ERP_i)*Q379*Ramure*Pc/MaxiM</f>
        <v>8.7827261710115152E-7</v>
      </c>
      <c r="Q379" s="306">
        <f t="shared" si="126"/>
        <v>0.8</v>
      </c>
      <c r="R379" s="177">
        <f t="shared" si="127"/>
        <v>6.6239756418817733E-5</v>
      </c>
      <c r="S379" s="809">
        <f t="shared" si="128"/>
        <v>0</v>
      </c>
      <c r="T379" s="176">
        <f t="shared" si="129"/>
        <v>6</v>
      </c>
      <c r="U379" s="307">
        <f t="shared" si="130"/>
        <v>6.6239756418817733E-5</v>
      </c>
      <c r="V379" s="383">
        <f t="shared" si="131"/>
        <v>16.83474197125291</v>
      </c>
      <c r="W379" s="58"/>
      <c r="X379" s="157">
        <f t="shared" si="132"/>
        <v>43830</v>
      </c>
      <c r="Y379" s="385">
        <f t="shared" si="133"/>
        <v>9.7860346793335857</v>
      </c>
      <c r="Z379" s="385">
        <f t="shared" si="134"/>
        <v>9.9044863574930897</v>
      </c>
      <c r="AA379" s="386">
        <f t="shared" si="135"/>
        <v>10.691095169047347</v>
      </c>
      <c r="AB379" s="197">
        <f t="shared" si="136"/>
        <v>43830</v>
      </c>
      <c r="AC379" s="425">
        <f>IF(OR(t&lt;Tnet,NoTnet),'2018'!Resal_s+('2018'!Salim-'2018'!Resal_s)*(1-EXP(('2018'!Tnet_s-t)/'2018'!Tau_j)),Resal_s+(Salim-Resal_s)*(1-EXP((Tnet_s-t)/Tau_j)))*Salcycl</f>
        <v>7.3576074210959477E-2</v>
      </c>
      <c r="AD379" s="231">
        <f>(INDEX(Models!$BJ379:$BT379,,AH379)*(1-AF379)+INDEX(Models!$BJ379:$BT379,,AH379+1)*AF379-ERP_i)*AE379*Ramure*Pc/MaxiM</f>
        <v>1.6433682788115519E-2</v>
      </c>
      <c r="AE379" s="306">
        <f t="shared" si="137"/>
        <v>0.8</v>
      </c>
      <c r="AF379" s="177">
        <f t="shared" si="138"/>
        <v>0.19999981390894006</v>
      </c>
      <c r="AG379" s="176">
        <f t="shared" si="139"/>
        <v>1</v>
      </c>
      <c r="AH379" s="176">
        <f t="shared" si="140"/>
        <v>7</v>
      </c>
      <c r="AI379" s="222">
        <f t="shared" si="141"/>
        <v>1.1999998139089401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8"/>
      <c r="C380" s="851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48"/>
      <c r="N380" s="848"/>
      <c r="O380" s="215"/>
      <c r="P380" s="322"/>
      <c r="Q380" s="229"/>
      <c r="R380" s="229"/>
      <c r="S380" s="229"/>
      <c r="T380" s="229"/>
      <c r="U380" s="323"/>
      <c r="V380" s="383">
        <f>(V379+V15)/2</f>
        <v>17.329436932951452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1.6779999999999999</v>
      </c>
      <c r="C381" s="375"/>
      <c r="D381" s="373">
        <f>MIN(D15:D380)</f>
        <v>1.683985293984462</v>
      </c>
      <c r="E381" s="373">
        <f>MIN(E15:E380)</f>
        <v>1.7293950780195564</v>
      </c>
      <c r="F381" s="374">
        <f>MIN(F15:F380)</f>
        <v>1.7293950780195564</v>
      </c>
      <c r="G381" s="125">
        <f>+MIN(G15:G380)</f>
        <v>9.3394438062031626E-2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3.5542436183039205E-3</v>
      </c>
      <c r="M381" s="845"/>
      <c r="N381" s="845"/>
      <c r="O381" s="47">
        <f t="shared" si="147"/>
        <v>2.6257611469032348E-2</v>
      </c>
      <c r="P381" s="168">
        <f t="shared" si="147"/>
        <v>0</v>
      </c>
      <c r="Q381" s="310">
        <f t="shared" si="147"/>
        <v>0.8</v>
      </c>
      <c r="R381" s="311">
        <f t="shared" si="147"/>
        <v>0</v>
      </c>
      <c r="S381" s="809">
        <f t="shared" si="147"/>
        <v>0</v>
      </c>
      <c r="T381" s="176">
        <f t="shared" si="147"/>
        <v>6</v>
      </c>
      <c r="U381" s="252">
        <f>+MIN(U15:U380)</f>
        <v>0</v>
      </c>
      <c r="V381" s="373">
        <f>MIN(V15:V380)</f>
        <v>15.35281899346975</v>
      </c>
      <c r="W381" s="58"/>
      <c r="X381" s="112" t="s">
        <v>7</v>
      </c>
      <c r="Y381" s="373">
        <f>MIN(Y15:Y380)</f>
        <v>1.6779999999999999</v>
      </c>
      <c r="Z381" s="373">
        <f>MIN(Z15:Z380)</f>
        <v>1.683985293984462</v>
      </c>
      <c r="AA381" s="373">
        <f>MIN(AA15:AA380)</f>
        <v>1.7293950780195564</v>
      </c>
      <c r="AB381" s="200" t="s">
        <v>7</v>
      </c>
      <c r="AC381" s="47">
        <f t="shared" ref="AC381:AH381" si="148">MIN(AC15:AC380)</f>
        <v>2.6257611469032348E-2</v>
      </c>
      <c r="AD381" s="168">
        <f t="shared" si="148"/>
        <v>1.3726955105889801E-3</v>
      </c>
      <c r="AE381" s="310">
        <f t="shared" si="148"/>
        <v>0.8</v>
      </c>
      <c r="AF381" s="311">
        <f t="shared" si="148"/>
        <v>5.855599511725984E-4</v>
      </c>
      <c r="AG381" s="809">
        <f t="shared" si="148"/>
        <v>0</v>
      </c>
      <c r="AH381" s="176">
        <f t="shared" si="148"/>
        <v>6</v>
      </c>
      <c r="AI381" s="226">
        <f>MIN(AI15:AI380)</f>
        <v>0.60000134155234519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28.589301369863016</v>
      </c>
      <c r="C382" s="375"/>
      <c r="D382" s="375">
        <f>AVERAGE(D15:D380)</f>
        <v>28.806791346552743</v>
      </c>
      <c r="E382" s="375">
        <f>AVERAGE(E15:E380)</f>
        <v>30.394315094999826</v>
      </c>
      <c r="F382" s="376">
        <f>AVERAGE(F15:F380)</f>
        <v>30.5487109808284</v>
      </c>
      <c r="G382" s="126">
        <f>AVERAGE(G15:G380)</f>
        <v>0.7080073330493839</v>
      </c>
      <c r="H382" s="337"/>
      <c r="I382" s="376">
        <f>AVERAGE(I15:I380)</f>
        <v>31.690407773877148</v>
      </c>
      <c r="J382" s="59">
        <f>AVERAGE(J15:J380)</f>
        <v>2018.827868852459</v>
      </c>
      <c r="K382" s="200" t="s">
        <v>8</v>
      </c>
      <c r="L382" s="147">
        <f t="shared" ref="L382:V382" si="149">AVERAGE(L15:L380)</f>
        <v>7.7627369599123216E-3</v>
      </c>
      <c r="M382" s="843"/>
      <c r="N382" s="843"/>
      <c r="O382" s="48">
        <f t="shared" si="149"/>
        <v>5.2697603992376239E-2</v>
      </c>
      <c r="P382" s="169">
        <f t="shared" si="149"/>
        <v>8.164892286971856E-3</v>
      </c>
      <c r="Q382" s="312">
        <f t="shared" si="149"/>
        <v>0.80000000000000548</v>
      </c>
      <c r="R382" s="177">
        <f t="shared" si="149"/>
        <v>0.41148119011407697</v>
      </c>
      <c r="S382" s="809">
        <f t="shared" si="149"/>
        <v>0.46849315068493153</v>
      </c>
      <c r="T382" s="176">
        <f t="shared" si="149"/>
        <v>6.4684931506849317</v>
      </c>
      <c r="U382" s="251">
        <f t="shared" si="149"/>
        <v>0.87997434079900827</v>
      </c>
      <c r="V382" s="375">
        <f t="shared" si="149"/>
        <v>38.667141429263914</v>
      </c>
      <c r="X382" s="112" t="s">
        <v>8</v>
      </c>
      <c r="Y382" s="375">
        <f>AVERAGE(Y15:Y380)</f>
        <v>28.584314947608725</v>
      </c>
      <c r="Z382" s="375">
        <f>AVERAGE(Z15:Z380)</f>
        <v>28.801745469179497</v>
      </c>
      <c r="AA382" s="375">
        <f>AVERAGE(AA15:AA380)</f>
        <v>30.388873041108383</v>
      </c>
      <c r="AB382" s="200" t="s">
        <v>8</v>
      </c>
      <c r="AC382" s="48">
        <f t="shared" ref="AC382:AH382" si="150">AVERAGE(AC15:AC380)</f>
        <v>5.2697603992376239E-2</v>
      </c>
      <c r="AD382" s="169">
        <f t="shared" si="150"/>
        <v>8.9517248804484393E-3</v>
      </c>
      <c r="AE382" s="312">
        <f t="shared" si="150"/>
        <v>0.80000000000000548</v>
      </c>
      <c r="AF382" s="177">
        <f t="shared" si="150"/>
        <v>0.42079316480063239</v>
      </c>
      <c r="AG382" s="809">
        <f t="shared" si="150"/>
        <v>0.51506849315068493</v>
      </c>
      <c r="AH382" s="176">
        <f t="shared" si="150"/>
        <v>6.515068493150685</v>
      </c>
      <c r="AI382" s="225">
        <f>AVERAGE(AI15:AI380)</f>
        <v>0.93586165795131881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60.661999999999999</v>
      </c>
      <c r="C383" s="377"/>
      <c r="D383" s="377">
        <f>MAX(D15:D380)</f>
        <v>61.114011139988655</v>
      </c>
      <c r="E383" s="377">
        <f>MAX(E15:E380)</f>
        <v>64.482031283556239</v>
      </c>
      <c r="F383" s="378">
        <f>MAX(F15:F380)</f>
        <v>64.737412852018437</v>
      </c>
      <c r="G383" s="127">
        <f>+MAX(G15:G380)</f>
        <v>1.0454676630373001</v>
      </c>
      <c r="H383" s="337"/>
      <c r="I383" s="378">
        <f>MAX(I15:I380)</f>
        <v>64.737412852018437</v>
      </c>
      <c r="J383" s="60">
        <f>MAX(J15:J380)</f>
        <v>2019</v>
      </c>
      <c r="K383" s="200" t="s">
        <v>9</v>
      </c>
      <c r="L383" s="148">
        <f t="shared" ref="L383:T383" si="151">MAX(L15:L380)</f>
        <v>1.1959396366868713E-2</v>
      </c>
      <c r="M383" s="846"/>
      <c r="N383" s="846"/>
      <c r="O383" s="49">
        <f t="shared" si="151"/>
        <v>7.3576074210959477E-2</v>
      </c>
      <c r="P383" s="170">
        <f t="shared" si="151"/>
        <v>2.2915167488899209E-2</v>
      </c>
      <c r="Q383" s="313">
        <f t="shared" si="151"/>
        <v>0.8</v>
      </c>
      <c r="R383" s="314">
        <f t="shared" si="151"/>
        <v>0.99506944144991205</v>
      </c>
      <c r="S383" s="810">
        <f t="shared" si="151"/>
        <v>1</v>
      </c>
      <c r="T383" s="233">
        <f t="shared" si="151"/>
        <v>7</v>
      </c>
      <c r="U383" s="253">
        <f>+MAX(U15:U380)</f>
        <v>1.1999224596574134</v>
      </c>
      <c r="V383" s="377">
        <f>MAX(V15:V380)</f>
        <v>58.674845037639592</v>
      </c>
      <c r="X383" s="112" t="s">
        <v>9</v>
      </c>
      <c r="Y383" s="377">
        <f>MAX(Y15:Y380)</f>
        <v>60.661999999999992</v>
      </c>
      <c r="Z383" s="377">
        <f>MAX(Z15:Z380)</f>
        <v>61.114011139988648</v>
      </c>
      <c r="AA383" s="377">
        <f>MAX(AA15:AA380)</f>
        <v>64.482031283556239</v>
      </c>
      <c r="AB383" s="200" t="s">
        <v>9</v>
      </c>
      <c r="AC383" s="49">
        <f t="shared" ref="AC383:AH383" si="152">MAX(AC15:AC380)</f>
        <v>7.3576074210959477E-2</v>
      </c>
      <c r="AD383" s="170">
        <f t="shared" si="152"/>
        <v>2.2915167488899209E-2</v>
      </c>
      <c r="AE383" s="313">
        <f t="shared" si="152"/>
        <v>0.8</v>
      </c>
      <c r="AF383" s="314">
        <f t="shared" si="152"/>
        <v>0.99506944144991205</v>
      </c>
      <c r="AG383" s="810">
        <f t="shared" si="152"/>
        <v>1</v>
      </c>
      <c r="AH383" s="233">
        <f t="shared" si="152"/>
        <v>7</v>
      </c>
      <c r="AI383" s="227">
        <f>MAX(AI15:AI380)</f>
        <v>1.1999998139089401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0" priority="3" stopIfTrue="1" operator="lessThan">
      <formula>0.01</formula>
    </cfRule>
    <cfRule type="cellIs" dxfId="19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'2019'!An+1</f>
        <v>2020</v>
      </c>
      <c r="K1" s="1275"/>
      <c r="L1" s="113" t="str">
        <f>"Calcul pertes et enveloppes en "&amp;TEXT(An,0)</f>
        <v>Calcul pertes et enveloppes en 2020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471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/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-7.5739763569482648</v>
      </c>
      <c r="AK4" s="832">
        <f>AM12-AK12</f>
        <v>72.872014961241121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-7.5739763569482648</v>
      </c>
      <c r="AA5" s="237">
        <f>Wh_Pvg_s-Wh_Pvg</f>
        <v>72.872014961241121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9732.4080000000104</v>
      </c>
      <c r="AK6" s="515">
        <f>SUMIF(AK15:AK380,"FAUX",Wh)</f>
        <v>9732.4080000000104</v>
      </c>
      <c r="AL6" s="515">
        <f>SUMIF(AJ15:AJ380,"FAUX",Wh_s)</f>
        <v>9659.9089488718801</v>
      </c>
      <c r="AM6" s="515">
        <f>SUMIF(AK15:AK380,"FAUX",Wh_s)</f>
        <v>9659.9089488718801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9926.0546379014941</v>
      </c>
      <c r="AK8" s="515">
        <f>SUMIF(AK15:AK380,"FAUX",Wh_sa)</f>
        <v>10937.991592677658</v>
      </c>
      <c r="AL8" s="515">
        <f>SUMIF(AJ15:AJ380,"FAUX",Wh_pvt_s)</f>
        <v>9851.9054383323182</v>
      </c>
      <c r="AM8" s="515">
        <f>SUMIF(AK15:AK380,"FAUX",Wh_sa_s)</f>
        <v>10856.096553396101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9926.0546379014941</v>
      </c>
      <c r="E9" s="184">
        <f>SUM(E$15:E$380)</f>
        <v>10937.991592677658</v>
      </c>
      <c r="F9" s="184">
        <f>SUM(F$15:F$380)</f>
        <v>10956.955201205819</v>
      </c>
      <c r="H9" s="1276">
        <f>+SUM(Wh)</f>
        <v>9732.4080000000104</v>
      </c>
      <c r="I9" s="1277"/>
      <c r="J9" s="1278"/>
      <c r="K9" s="191"/>
      <c r="L9" s="232"/>
      <c r="M9" s="232"/>
      <c r="N9" s="232"/>
      <c r="O9" s="223">
        <f>Tnet_2020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9659.9089488718801</v>
      </c>
      <c r="Y9" s="1271"/>
      <c r="Z9" s="515">
        <f>SUM(Z$15:Z$380)</f>
        <v>9851.9054383323182</v>
      </c>
      <c r="AA9" s="515">
        <f>SUM(AA$15:AA$380)</f>
        <v>10856.096553396101</v>
      </c>
      <c r="AB9" s="515">
        <f>F9</f>
        <v>10956.955201205819</v>
      </c>
      <c r="AC9" s="325">
        <f>IF(An_Tnet,Tnet,'2019'!Tnet_s)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0</v>
      </c>
      <c r="P10" s="420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10937.991592677658</v>
      </c>
      <c r="AK10" s="515">
        <f>SUMIF(AK15:AK380,"FAUX",Wh_hp)</f>
        <v>10956.955201205819</v>
      </c>
      <c r="AL10" s="515">
        <f>SUMIF(AJ15:AJ380,"FAUX",Wh_sa_s)</f>
        <v>10856.096553396101</v>
      </c>
      <c r="AM10" s="515">
        <f>SUMIF(AK15:AK380,"FAUX",Wh_hp)</f>
        <v>10956.955201205819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193.6466379014837</v>
      </c>
      <c r="E11" s="51">
        <f>(E$9-D$9)*Prod_an/D$9</f>
        <v>992.19515441245949</v>
      </c>
      <c r="F11" s="186">
        <f>(F$9-E$9)*Prod_an/E$9</f>
        <v>16.873442787422082</v>
      </c>
      <c r="G11" s="185" t="s">
        <v>6</v>
      </c>
      <c r="K11" s="194"/>
      <c r="L11" s="211">
        <f>Tvie_2020</f>
        <v>44044</v>
      </c>
      <c r="M11" s="842"/>
      <c r="N11" s="842"/>
      <c r="O11" s="202">
        <f>IF(An_Tnet,Salim_2020,'2019'!Salim)</f>
        <v>0.17</v>
      </c>
      <c r="P11" s="256">
        <f>Ttai_2020</f>
        <v>43814</v>
      </c>
      <c r="Q11" s="272">
        <f>Dens_2020</f>
        <v>0.8</v>
      </c>
      <c r="R11" s="277"/>
      <c r="S11" s="230"/>
      <c r="T11" s="230"/>
      <c r="U11" s="266">
        <f>Htf_2020</f>
        <v>0.60006623975641882</v>
      </c>
      <c r="V11" s="427"/>
      <c r="W11" s="518"/>
      <c r="X11" s="525" t="s">
        <v>43</v>
      </c>
      <c r="Y11" s="50">
        <f>Z$9-Prod_an_s</f>
        <v>191.99648946043817</v>
      </c>
      <c r="Z11" s="51">
        <f>(AA$9-Z$9)*Prod_an_s/Z$9</f>
        <v>984.62117805551122</v>
      </c>
      <c r="AA11" s="186">
        <f>(AB$9-AA$9)*Prod_an_s/AA$9</f>
        <v>89.745457748663199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4.457527350254753E-2</v>
      </c>
      <c r="K12" s="191"/>
      <c r="L12" s="212">
        <f>Pspv_2020</f>
        <v>1.1111111111111112E-2</v>
      </c>
      <c r="M12" s="212"/>
      <c r="N12" s="212"/>
      <c r="O12" s="205">
        <f>IF(An_Tnet,Tau_2020*365,'2019'!Tau_j)</f>
        <v>912.5</v>
      </c>
      <c r="P12" s="456">
        <f>INDEX(Croivg,MIN(MAX(Ttai-$A$15,0)+1,366))</f>
        <v>2.3909964587625958E-6</v>
      </c>
      <c r="Q12" s="280">
        <f>'2019'!Df</f>
        <v>0.8</v>
      </c>
      <c r="R12" s="278"/>
      <c r="S12" s="279"/>
      <c r="T12" s="279"/>
      <c r="U12" s="267">
        <f>'2019'!Hdf</f>
        <v>6.6239756418817733E-5</v>
      </c>
      <c r="V12" s="517"/>
      <c r="W12" s="504"/>
      <c r="X12" s="505"/>
      <c r="Y12" s="504"/>
      <c r="Z12" s="427"/>
      <c r="AA12" s="427"/>
      <c r="AB12" s="531" t="s">
        <v>106</v>
      </c>
      <c r="AC12" s="318" t="b">
        <f>NOT(An_Tnet)</f>
        <v>1</v>
      </c>
      <c r="AD12" s="427"/>
      <c r="AE12" s="296">
        <f>'2019'!Df_s</f>
        <v>0.8</v>
      </c>
      <c r="AF12" s="203"/>
      <c r="AG12" s="203"/>
      <c r="AH12" s="203"/>
      <c r="AI12" s="297">
        <f>'2019'!Hdf_s</f>
        <v>1.1999998139089401</v>
      </c>
      <c r="AJ12" s="831">
        <f>IF($AJ8=0,0,($AJ10-$AJ8)*$AJ6/$AJ8)</f>
        <v>992.19515441245949</v>
      </c>
      <c r="AK12" s="832">
        <f>IF($AK8=0,0,($AK10-$AK8)*$AK6/$AK8)</f>
        <v>16.873442787422082</v>
      </c>
      <c r="AL12" s="831">
        <f>IF($AL8=0,0,($AL10-$AL8)*$AL6/$AL8)</f>
        <v>984.62117805551122</v>
      </c>
      <c r="AM12" s="832">
        <f>IF($AM8=0,0,($AM10-$AM8)*$AM6/$AM8)</f>
        <v>89.745457748663199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264" t="s">
        <v>41</v>
      </c>
      <c r="W13" s="850" t="s">
        <v>46</v>
      </c>
      <c r="X13" s="532"/>
      <c r="Y13" s="264" t="s">
        <v>100</v>
      </c>
      <c r="Z13" s="264" t="s">
        <v>101</v>
      </c>
      <c r="AA13" s="264" t="s">
        <v>74</v>
      </c>
      <c r="AB13" s="503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992.19515441245949</v>
      </c>
      <c r="AK13" s="73">
        <f>+AK11+AK12</f>
        <v>16.873442787422082</v>
      </c>
      <c r="AL13" s="73">
        <f>+AL11+AL12</f>
        <v>984.62117805551122</v>
      </c>
      <c r="AM13" s="73">
        <f>+AM11+AM12</f>
        <v>89.745457748663199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2020</v>
      </c>
      <c r="W14" s="836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5">
        <v>11.585000000000001</v>
      </c>
      <c r="C15" s="390"/>
      <c r="D15" s="393">
        <f t="shared" ref="D15:D78" si="0">Wh/(1-Ppv)</f>
        <v>11.725499502296207</v>
      </c>
      <c r="E15" s="385">
        <f>Wh_pvt/(1-Psa)</f>
        <v>12.65813397428539</v>
      </c>
      <c r="F15" s="385">
        <f t="shared" ref="F15:F78" si="1">Wh_sa/(1-Pvg*MEDIAN((-Sdif+Wh/Env_an)/Csdif,0,1))</f>
        <v>12.65814018720139</v>
      </c>
      <c r="G15" s="110">
        <f>+Wh_hp/MaxiM</f>
        <v>0.68359156604510996</v>
      </c>
      <c r="H15" s="414" t="b">
        <f>Wh_hp&gt;='2019'!Maxi_hp</f>
        <v>1</v>
      </c>
      <c r="I15" s="379">
        <f>IF(H15,Wh_hp,'2019'!Maxi_hp)</f>
        <v>12.65814018720139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1.1982389515149627E-2</v>
      </c>
      <c r="M15" s="845"/>
      <c r="N15" s="845"/>
      <c r="O15" s="47">
        <f>IF(t&lt;Tnet,'2019'!Resal+('2019'!Salim-'2019'!Resal)*(1-EXP(('2019'!Tnet-t)/('2019'!Tau_j))),Resal+(Salim-Resal)*(1-EXP((Tnet-t)/(Tau_j))))*Salcycl</f>
        <v>7.3678669690477289E-2</v>
      </c>
      <c r="P15" s="302">
        <f>(INDEX(Models!$BJ15:$BT15,,T15)*(1-R15)+INDEX(Models!$BJ15:$BT15,,T15+1)*R15-ERP_i)*Q15*Ramure*Pc/MaxiM</f>
        <v>8.9568284778069109E-7</v>
      </c>
      <c r="Q15" s="303">
        <f t="shared" ref="Q15:Q78" si="2">IF(OR(t&lt;Ttai,Notai),Dd+PousD*Croivg,Dens+PousD*(Croivg-Croi_tai))</f>
        <v>0.8</v>
      </c>
      <c r="R15" s="304">
        <f t="shared" ref="R15:R78" si="3">(Hp_vg-S15)/(INDEX(Echel_vg,T15+1)-S15)</f>
        <v>6.7674354294075295E-5</v>
      </c>
      <c r="S15" s="808">
        <f t="shared" ref="S15:S78" si="4">INDEX(Echel_vg,T15)</f>
        <v>0</v>
      </c>
      <c r="T15" s="249">
        <f t="shared" ref="T15:T78" si="5">MIN(MATCH(Hp_vg,Echel_vg),10)</f>
        <v>6</v>
      </c>
      <c r="U15" s="250">
        <f>IF(OR(t&lt;Ttai,Notai),Hdd+PousH*Croivg,Hdtf+PousH*(Croivg-Croi_tai))</f>
        <v>6.7674354294075295E-5</v>
      </c>
      <c r="V15" s="382">
        <f t="shared" ref="V15:V78" si="6">MaxiM*(1-Ppv)*(1-Pvg)*(1-Psa)</f>
        <v>16.94724728207181</v>
      </c>
      <c r="W15" s="402"/>
      <c r="X15" s="156">
        <f t="shared" ref="X15:X78" si="7">t</f>
        <v>43831</v>
      </c>
      <c r="Y15" s="385">
        <f t="shared" ref="Y15:Y78" si="8">Wh_pvt_s*(1-Ppv)</f>
        <v>11.48080115018249</v>
      </c>
      <c r="Z15" s="385">
        <f t="shared" ref="Z15:Z78" si="9">Wh_sa_s*(1-Psa_s)</f>
        <v>11.620036959208157</v>
      </c>
      <c r="AA15" s="386">
        <f t="shared" ref="AA15:AA78" si="10">Wh_hp*(1-Pvg_s*MEDIAN((-Sdif+Wh/Env_an)/Csdif,0,1))</f>
        <v>12.544283046278787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7.3678669690477289E-2</v>
      </c>
      <c r="AD15" s="231">
        <f>(INDEX(Models!$BJ15:$BT15,,AH15)*(1-AF15)+INDEX(Models!$BJ15:$BT15,,AH15+1)*AF15-ERP_i)*AE15*Ramure*Pc/MaxiM</f>
        <v>1.6414174635489418E-2</v>
      </c>
      <c r="AE15" s="303">
        <f t="shared" ref="AE15:AE78" si="12">IF(OR(t&lt;Ttai,Notai),Dd_s+PousD*Croivg,Dens_s+PousD*(Croivg-Croi_tai))</f>
        <v>0.8</v>
      </c>
      <c r="AF15" s="304">
        <f>(Hp_vg_s-AG15)/(INDEX(Echel_vg,AH15+1)-AG15)</f>
        <v>0.20000124850681522</v>
      </c>
      <c r="AG15" s="808">
        <f>INDEX(Echel_vg,AH15)</f>
        <v>1</v>
      </c>
      <c r="AH15" s="249">
        <f t="shared" ref="AH15:AH78" si="13">MIN(MATCH(Hp_vg_s,Echel_vg),10)</f>
        <v>7</v>
      </c>
      <c r="AI15" s="224">
        <f>IF(OR(t&lt;Ttai,Notai),Hdd_s+PousH*Croivg,Hdtai_s+PousH*(Croivg-Croi_tai))</f>
        <v>1.2000012485068152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6">
        <v>14.932</v>
      </c>
      <c r="C16" s="390"/>
      <c r="D16" s="393">
        <f t="shared" si="0"/>
        <v>15.113442654340206</v>
      </c>
      <c r="E16" s="385">
        <f t="shared" ref="E16:E79" si="17">Wh_pvt/(1-Psa)</f>
        <v>16.31735904015251</v>
      </c>
      <c r="F16" s="385">
        <f t="shared" si="1"/>
        <v>16.317377222864518</v>
      </c>
      <c r="G16" s="110">
        <f t="shared" ref="G16:G79" si="18">+Wh_hp/MaxiM</f>
        <v>0.87495286435811448</v>
      </c>
      <c r="H16" s="414" t="b">
        <f>Wh_hp&gt;='2019'!Maxi_hp</f>
        <v>1</v>
      </c>
      <c r="I16" s="380">
        <f>IF(H16,Wh_hp,'2019'!Maxi_hp)</f>
        <v>16.317377222864518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1.2005382128346453E-2</v>
      </c>
      <c r="M16" s="843"/>
      <c r="N16" s="843"/>
      <c r="O16" s="48">
        <f>IF(t&lt;Tnet,'2019'!Resal+('2019'!Salim-'2019'!Resal)*(1-EXP(('2019'!Tnet-t)/('2019'!Tau_j))),Resal+(Salim-Resal)*(1-EXP((Tnet-t)/(Tau_j))))*Salcycl</f>
        <v>7.3781325939436565E-2</v>
      </c>
      <c r="P16" s="169">
        <f>(INDEX(Models!$BJ16:$BT16,,T16)*(1-R16)+INDEX(Models!$BJ16:$BT16,,T16+1)*R16-ERP_i)*Q16*Ramure*Pc/MaxiM</f>
        <v>1.3566691342504273E-6</v>
      </c>
      <c r="Q16" s="305">
        <f t="shared" si="2"/>
        <v>0.8</v>
      </c>
      <c r="R16" s="177">
        <f t="shared" si="3"/>
        <v>1.0273189108716191E-4</v>
      </c>
      <c r="S16" s="809">
        <f t="shared" si="4"/>
        <v>0</v>
      </c>
      <c r="T16" s="176">
        <f t="shared" si="5"/>
        <v>6</v>
      </c>
      <c r="U16" s="251">
        <f t="shared" ref="U16:U78" si="20">IF(OR(t&lt;Ttai,Notai),Hdd+PousH*Croivg,Hdtf+PousH*(Croivg-Croi_tai))</f>
        <v>1.0273189108716191E-4</v>
      </c>
      <c r="V16" s="383">
        <f t="shared" si="6"/>
        <v>17.066058058031651</v>
      </c>
      <c r="W16" s="402"/>
      <c r="X16" s="157">
        <f t="shared" si="7"/>
        <v>43832</v>
      </c>
      <c r="Y16" s="385">
        <f t="shared" si="8"/>
        <v>14.730986657246143</v>
      </c>
      <c r="Z16" s="385">
        <f t="shared" si="9"/>
        <v>14.909986745656328</v>
      </c>
      <c r="AA16" s="386">
        <f t="shared" si="10"/>
        <v>16.097696109160282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7.3781325939436565E-2</v>
      </c>
      <c r="AD16" s="231">
        <f>(INDEX(Models!$BJ16:$BT16,,AH16)*(1-AF16)+INDEX(Models!$BJ16:$BT16,,AH16+1)*AF16-ERP_i)*AE16*Ramure*Pc/MaxiM</f>
        <v>1.6391096454014622E-2</v>
      </c>
      <c r="AE16" s="305">
        <f t="shared" si="12"/>
        <v>0.8</v>
      </c>
      <c r="AF16" s="177">
        <f t="shared" ref="AF16:AF78" si="21">(Hp_vg_s-AG16)/(INDEX(Echel_vg,AH16+1)-AG16)</f>
        <v>0.20003630604360834</v>
      </c>
      <c r="AG16" s="809">
        <f t="shared" ref="AG16:AG79" si="22">INDEX(Echel_vg,AH16)</f>
        <v>1</v>
      </c>
      <c r="AH16" s="176">
        <f t="shared" si="13"/>
        <v>7</v>
      </c>
      <c r="AI16" s="225">
        <f t="shared" ref="AI16:AI78" si="23">IF(OR(t&lt;Ttai,Notai),Hdd_s+PousH*Croivg,Hdtai_s+PousH*(Croivg-Croi_tai))</f>
        <v>1.2000363060436083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6">
        <v>7.3360000000000003</v>
      </c>
      <c r="C17" s="390"/>
      <c r="D17" s="393">
        <f t="shared" si="0"/>
        <v>7.4253144609368738</v>
      </c>
      <c r="E17" s="385">
        <f t="shared" si="17"/>
        <v>8.0176939561896816</v>
      </c>
      <c r="F17" s="385">
        <f t="shared" si="1"/>
        <v>8.0176966183717191</v>
      </c>
      <c r="G17" s="110">
        <f t="shared" si="18"/>
        <v>0.42672179633203899</v>
      </c>
      <c r="H17" s="414" t="b">
        <f>Wh_hp&gt;='2019'!Maxi_hp</f>
        <v>0</v>
      </c>
      <c r="I17" s="380">
        <f>IF(H17,Wh_hp,'2019'!Maxi_hp)</f>
        <v>18.506442360556616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1.2028374206471515E-2</v>
      </c>
      <c r="M17" s="843"/>
      <c r="N17" s="843"/>
      <c r="O17" s="48">
        <f>IF(t&lt;Tnet,'2019'!Resal+('2019'!Salim-'2019'!Resal)*(1-EXP(('2019'!Tnet-t)/('2019'!Tau_j))),Resal+(Salim-Resal)*(1-EXP((Tnet-t)/(Tau_j))))*Salcycl</f>
        <v>7.3884024320420572E-2</v>
      </c>
      <c r="P17" s="169">
        <f>(INDEX(Models!$BJ17:$BT17,,T17)*(1-R17)+INDEX(Models!$BJ17:$BT17,,T17+1)*R17-ERP_i)*Q17*Ramure*Pc/MaxiM</f>
        <v>1.8341407191629469E-6</v>
      </c>
      <c r="Q17" s="305">
        <f t="shared" si="2"/>
        <v>0.8</v>
      </c>
      <c r="R17" s="177">
        <f t="shared" si="3"/>
        <v>1.3925580567466109E-4</v>
      </c>
      <c r="S17" s="809">
        <f t="shared" si="4"/>
        <v>0</v>
      </c>
      <c r="T17" s="176">
        <f t="shared" si="5"/>
        <v>6</v>
      </c>
      <c r="U17" s="251">
        <f t="shared" si="20"/>
        <v>1.3925580567466109E-4</v>
      </c>
      <c r="V17" s="383">
        <f t="shared" si="6"/>
        <v>17.191502856499167</v>
      </c>
      <c r="W17" s="402"/>
      <c r="X17" s="157">
        <f t="shared" si="7"/>
        <v>43833</v>
      </c>
      <c r="Y17" s="385">
        <f t="shared" si="8"/>
        <v>7.3142706562709696</v>
      </c>
      <c r="Z17" s="385">
        <f t="shared" si="9"/>
        <v>7.4033205664142674</v>
      </c>
      <c r="AA17" s="386">
        <f t="shared" si="10"/>
        <v>7.9939454245800556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7.3884024320420572E-2</v>
      </c>
      <c r="AD17" s="231">
        <f>(INDEX(Models!$BJ17:$BT17,,AH17)*(1-AF17)+INDEX(Models!$BJ17:$BT17,,AH17+1)*AF17-ERP_i)*AE17*Ramure*Pc/MaxiM</f>
        <v>1.6363656219573672E-2</v>
      </c>
      <c r="AE17" s="305">
        <f t="shared" si="12"/>
        <v>0.8</v>
      </c>
      <c r="AF17" s="177">
        <f>(Hp_vg_s-AG17)/(INDEX(Echel_vg,AH17+1)-AG17)</f>
        <v>0.20007282995819597</v>
      </c>
      <c r="AG17" s="809">
        <f>INDEX(Echel_vg,AH17)</f>
        <v>1</v>
      </c>
      <c r="AH17" s="176">
        <f t="shared" si="13"/>
        <v>7</v>
      </c>
      <c r="AI17" s="225">
        <f t="shared" si="23"/>
        <v>1.200072829958196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6">
        <v>5.9660000000000002</v>
      </c>
      <c r="C18" s="390"/>
      <c r="D18" s="393">
        <f t="shared" si="0"/>
        <v>6.0387754921350627</v>
      </c>
      <c r="E18" s="385">
        <f t="shared" si="17"/>
        <v>6.5212624997647604</v>
      </c>
      <c r="F18" s="385">
        <f t="shared" si="1"/>
        <v>6.5212634623076715</v>
      </c>
      <c r="G18" s="110">
        <f t="shared" si="18"/>
        <v>0.34437892238866558</v>
      </c>
      <c r="H18" s="414" t="b">
        <f>Wh_hp&gt;='2019'!Maxi_hp</f>
        <v>0</v>
      </c>
      <c r="I18" s="380">
        <f>IF(H18,Wh_hp,'2019'!Maxi_hp)</f>
        <v>18.708529066845525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1.2051365749537468E-2</v>
      </c>
      <c r="M18" s="843"/>
      <c r="N18" s="843"/>
      <c r="O18" s="48">
        <f>IF(t&lt;Tnet,'2019'!Resal+('2019'!Salim-'2019'!Resal)*(1-EXP(('2019'!Tnet-t)/('2019'!Tau_j))),Resal+(Salim-Resal)*(1-EXP((Tnet-t)/(Tau_j))))*Salcycl</f>
        <v>7.3986748370749186E-2</v>
      </c>
      <c r="P18" s="169">
        <f>(INDEX(Models!$BJ18:$BT18,,T18)*(1-R18)+INDEX(Models!$BJ18:$BT18,,T18+1)*R18-ERP_i)*Q18*Ramure*Pc/MaxiM</f>
        <v>2.3281035476097634E-6</v>
      </c>
      <c r="Q18" s="305">
        <f t="shared" si="2"/>
        <v>0.8</v>
      </c>
      <c r="R18" s="177">
        <f t="shared" si="3"/>
        <v>1.7730724322880453E-4</v>
      </c>
      <c r="S18" s="809">
        <f t="shared" si="4"/>
        <v>0</v>
      </c>
      <c r="T18" s="176">
        <f t="shared" si="5"/>
        <v>6</v>
      </c>
      <c r="U18" s="251">
        <f t="shared" si="20"/>
        <v>1.7730724322880453E-4</v>
      </c>
      <c r="V18" s="383">
        <f t="shared" si="6"/>
        <v>17.323902838585333</v>
      </c>
      <c r="W18" s="402"/>
      <c r="X18" s="157">
        <f t="shared" si="7"/>
        <v>43834</v>
      </c>
      <c r="Y18" s="385">
        <f t="shared" si="8"/>
        <v>5.9598235896021396</v>
      </c>
      <c r="Z18" s="385">
        <f>Wh_sa_s*(1-Psa_s)</f>
        <v>6.0325237395805926</v>
      </c>
      <c r="AA18" s="386">
        <f t="shared" si="10"/>
        <v>6.5145112437287693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7.3986748370749186E-2</v>
      </c>
      <c r="AD18" s="231">
        <f>(INDEX(Models!$BJ18:$BT18,,AH18)*(1-AF18)+INDEX(Models!$BJ18:$BT18,,AH18+1)*AF18-ERP_i)*AE18*Ramure*Pc/MaxiM</f>
        <v>1.6331598153228905E-2</v>
      </c>
      <c r="AE18" s="305">
        <f t="shared" si="12"/>
        <v>0.8</v>
      </c>
      <c r="AF18" s="177">
        <f t="shared" si="21"/>
        <v>0.20011088139574995</v>
      </c>
      <c r="AG18" s="809">
        <f t="shared" si="22"/>
        <v>1</v>
      </c>
      <c r="AH18" s="176">
        <f t="shared" si="13"/>
        <v>7</v>
      </c>
      <c r="AI18" s="225">
        <f t="shared" si="23"/>
        <v>1.20011088139575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6">
        <v>12.186</v>
      </c>
      <c r="C19" s="390"/>
      <c r="D19" s="393">
        <f t="shared" si="0"/>
        <v>12.334936422952506</v>
      </c>
      <c r="E19" s="385">
        <f t="shared" si="17"/>
        <v>13.321953046930028</v>
      </c>
      <c r="F19" s="385">
        <f t="shared" si="1"/>
        <v>13.321974536198395</v>
      </c>
      <c r="G19" s="110">
        <f t="shared" si="18"/>
        <v>0.6977942550350239</v>
      </c>
      <c r="H19" s="414" t="b">
        <f>Wh_hp&gt;='2019'!Maxi_hp</f>
        <v>0</v>
      </c>
      <c r="I19" s="380">
        <f>IF(H19,Wh_hp,'2019'!Maxi_hp)</f>
        <v>18.453425057954192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1.2074356757556526E-2</v>
      </c>
      <c r="M19" s="843"/>
      <c r="N19" s="843"/>
      <c r="O19" s="48">
        <f>IF(t&lt;Tnet,'2019'!Resal+('2019'!Salim-'2019'!Resal)*(1-EXP(('2019'!Tnet-t)/('2019'!Tau_j))),Resal+(Salim-Resal)*(1-EXP((Tnet-t)/(Tau_j))))*Salcycl</f>
        <v>7.4089483764167324E-2</v>
      </c>
      <c r="P19" s="169">
        <f>(INDEX(Models!$BJ19:$BT19,,T19)*(1-R19)+INDEX(Models!$BJ19:$BT19,,T19+1)*R19-ERP_i)*Q19*Ramure*Pc/MaxiM</f>
        <v>2.8385178527302182E-6</v>
      </c>
      <c r="Q19" s="305">
        <f t="shared" si="2"/>
        <v>0.8</v>
      </c>
      <c r="R19" s="177">
        <f t="shared" si="3"/>
        <v>2.1694988230280474E-4</v>
      </c>
      <c r="S19" s="809">
        <f t="shared" si="4"/>
        <v>0</v>
      </c>
      <c r="T19" s="176">
        <f t="shared" si="5"/>
        <v>6</v>
      </c>
      <c r="U19" s="251">
        <f t="shared" si="20"/>
        <v>2.1694988230280474E-4</v>
      </c>
      <c r="V19" s="383">
        <f t="shared" si="6"/>
        <v>17.463578954298516</v>
      </c>
      <c r="W19" s="402"/>
      <c r="X19" s="157">
        <f t="shared" si="7"/>
        <v>43835</v>
      </c>
      <c r="Y19" s="385">
        <f t="shared" si="8"/>
        <v>12.073178004389785</v>
      </c>
      <c r="Z19" s="385">
        <f t="shared" si="9"/>
        <v>12.22073552495787</v>
      </c>
      <c r="AA19" s="386">
        <f t="shared" si="10"/>
        <v>13.19861402443042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7.4089483764167324E-2</v>
      </c>
      <c r="AD19" s="231">
        <f>(INDEX(Models!$BJ19:$BT19,,AH19)*(1-AF19)+INDEX(Models!$BJ19:$BT19,,AH19+1)*AF19-ERP_i)*AE19*Ramure*Pc/MaxiM</f>
        <v>1.6294692262803726E-2</v>
      </c>
      <c r="AE19" s="305">
        <f t="shared" si="12"/>
        <v>0.8</v>
      </c>
      <c r="AF19" s="177">
        <f t="shared" si="21"/>
        <v>0.20015052403482403</v>
      </c>
      <c r="AG19" s="809">
        <f t="shared" si="22"/>
        <v>1</v>
      </c>
      <c r="AH19" s="176">
        <f t="shared" si="13"/>
        <v>7</v>
      </c>
      <c r="AI19" s="225">
        <f t="shared" si="23"/>
        <v>1.200150524034824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6">
        <v>16.440999999999999</v>
      </c>
      <c r="C20" s="390"/>
      <c r="D20" s="393">
        <f t="shared" si="0"/>
        <v>16.642328020792085</v>
      </c>
      <c r="E20" s="385">
        <f t="shared" si="17"/>
        <v>17.976007924034793</v>
      </c>
      <c r="F20" s="385">
        <f t="shared" si="1"/>
        <v>17.976062678070381</v>
      </c>
      <c r="G20" s="110">
        <f t="shared" si="18"/>
        <v>0.93357179951483116</v>
      </c>
      <c r="H20" s="414" t="b">
        <f>Wh_hp&gt;='2019'!Maxi_hp</f>
        <v>1</v>
      </c>
      <c r="I20" s="380">
        <f>IF(H20,Wh_hp,'2019'!Maxi_hp)</f>
        <v>17.976062678070381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1.2097347230541233E-2</v>
      </c>
      <c r="M20" s="843"/>
      <c r="N20" s="843"/>
      <c r="O20" s="48">
        <f>IF(t&lt;Tnet,'2019'!Resal+('2019'!Salim-'2019'!Resal)*(1-EXP(('2019'!Tnet-t)/('2019'!Tau_j))),Resal+(Salim-Resal)*(1-EXP((Tnet-t)/(Tau_j))))*Salcycl</f>
        <v>7.419221825439419E-2</v>
      </c>
      <c r="P20" s="169">
        <f>(INDEX(Models!$BJ20:$BT20,,T20)*(1-R20)+INDEX(Models!$BJ20:$BT20,,T20+1)*R20-ERP_i)*Q20*Ramure*Pc/MaxiM</f>
        <v>3.3652982326201765E-6</v>
      </c>
      <c r="Q20" s="305">
        <f t="shared" si="2"/>
        <v>0.8</v>
      </c>
      <c r="R20" s="177">
        <f t="shared" si="3"/>
        <v>2.5825003840365869E-4</v>
      </c>
      <c r="S20" s="809">
        <f t="shared" si="4"/>
        <v>0</v>
      </c>
      <c r="T20" s="176">
        <f t="shared" si="5"/>
        <v>6</v>
      </c>
      <c r="U20" s="251">
        <f t="shared" si="20"/>
        <v>2.5825003840365869E-4</v>
      </c>
      <c r="V20" s="383">
        <f t="shared" si="6"/>
        <v>17.610851953737725</v>
      </c>
      <c r="W20" s="402"/>
      <c r="X20" s="157">
        <f t="shared" si="7"/>
        <v>43836</v>
      </c>
      <c r="Y20" s="385">
        <f t="shared" si="8"/>
        <v>16.199195668088795</v>
      </c>
      <c r="Z20" s="385">
        <f t="shared" si="9"/>
        <v>16.397562677533479</v>
      </c>
      <c r="AA20" s="386">
        <f t="shared" si="10"/>
        <v>17.711627619521579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7.419221825439419E-2</v>
      </c>
      <c r="AD20" s="231">
        <f>(INDEX(Models!$BJ20:$BT20,,AH20)*(1-AF20)+INDEX(Models!$BJ20:$BT20,,AH20+1)*AF20-ERP_i)*AE20*Ramure*Pc/MaxiM</f>
        <v>1.6252735084019355E-2</v>
      </c>
      <c r="AE20" s="305">
        <f t="shared" si="12"/>
        <v>0.8</v>
      </c>
      <c r="AF20" s="177">
        <f t="shared" si="21"/>
        <v>0.20019182419092485</v>
      </c>
      <c r="AG20" s="809">
        <f t="shared" si="22"/>
        <v>1</v>
      </c>
      <c r="AH20" s="176">
        <f t="shared" si="13"/>
        <v>7</v>
      </c>
      <c r="AI20" s="225">
        <f t="shared" si="23"/>
        <v>1.2001918241909248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6">
        <v>6.5979999999999999</v>
      </c>
      <c r="C21" s="390"/>
      <c r="D21" s="393">
        <f t="shared" si="0"/>
        <v>6.6789511397456813</v>
      </c>
      <c r="E21" s="385">
        <f t="shared" si="17"/>
        <v>7.2149882720762415</v>
      </c>
      <c r="F21" s="385">
        <f t="shared" si="1"/>
        <v>7.2149911476196085</v>
      </c>
      <c r="G21" s="110">
        <f t="shared" si="18"/>
        <v>0.37138135232670116</v>
      </c>
      <c r="H21" s="414" t="b">
        <f>Wh_hp&gt;='2019'!Maxi_hp</f>
        <v>1</v>
      </c>
      <c r="I21" s="380">
        <f>IF(H21,Wh_hp,'2019'!Maxi_hp)</f>
        <v>7.2149911476196085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1.2120337168504025E-2</v>
      </c>
      <c r="M21" s="843"/>
      <c r="N21" s="843"/>
      <c r="O21" s="48">
        <f>IF(t&lt;Tnet,'2019'!Resal+('2019'!Salim-'2019'!Resal)*(1-EXP(('2019'!Tnet-t)/('2019'!Tau_j))),Resal+(Salim-Resal)*(1-EXP((Tnet-t)/(Tau_j))))*Salcycl</f>
        <v>7.4294941601659184E-2</v>
      </c>
      <c r="P21" s="169">
        <f>(INDEX(Models!$BJ21:$BT21,,T21)*(1-R21)+INDEX(Models!$BJ21:$BT21,,T21+1)*R21-ERP_i)*Q21*Ramure*Pc/MaxiM</f>
        <v>3.908314079665127E-6</v>
      </c>
      <c r="Q21" s="305">
        <f t="shared" si="2"/>
        <v>0.8</v>
      </c>
      <c r="R21" s="177">
        <f t="shared" si="3"/>
        <v>3.0127677167947911E-4</v>
      </c>
      <c r="S21" s="809">
        <f t="shared" si="4"/>
        <v>0</v>
      </c>
      <c r="T21" s="176">
        <f t="shared" si="5"/>
        <v>6</v>
      </c>
      <c r="U21" s="251">
        <f t="shared" si="20"/>
        <v>3.0127677167947911E-4</v>
      </c>
      <c r="V21" s="383">
        <f t="shared" si="6"/>
        <v>17.766042374607686</v>
      </c>
      <c r="W21" s="402"/>
      <c r="X21" s="157">
        <f t="shared" si="7"/>
        <v>43837</v>
      </c>
      <c r="Y21" s="385">
        <f t="shared" si="8"/>
        <v>6.5870990040897945</v>
      </c>
      <c r="Z21" s="385">
        <f t="shared" si="9"/>
        <v>6.6679163990577717</v>
      </c>
      <c r="AA21" s="386">
        <f t="shared" si="10"/>
        <v>7.203067908686414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7.4294941601659184E-2</v>
      </c>
      <c r="AD21" s="231">
        <f>(INDEX(Models!$BJ21:$BT21,,AH21)*(1-AF21)+INDEX(Models!$BJ21:$BT21,,AH21+1)*AF21-ERP_i)*AE21*Ramure*Pc/MaxiM</f>
        <v>1.6205550277902263E-2</v>
      </c>
      <c r="AE21" s="305">
        <f t="shared" si="12"/>
        <v>0.8</v>
      </c>
      <c r="AF21" s="177">
        <f t="shared" si="21"/>
        <v>0.20023485092420068</v>
      </c>
      <c r="AG21" s="809">
        <f t="shared" si="22"/>
        <v>1</v>
      </c>
      <c r="AH21" s="176">
        <f t="shared" si="13"/>
        <v>7</v>
      </c>
      <c r="AI21" s="225">
        <f t="shared" si="23"/>
        <v>1.2002348509242007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6">
        <v>10.874000000000001</v>
      </c>
      <c r="C22" s="390"/>
      <c r="D22" s="393">
        <f t="shared" si="0"/>
        <v>11.007669728301511</v>
      </c>
      <c r="E22" s="385">
        <f t="shared" si="17"/>
        <v>11.892439204145454</v>
      </c>
      <c r="F22" s="385">
        <f t="shared" si="1"/>
        <v>11.892462465791075</v>
      </c>
      <c r="G22" s="110">
        <f t="shared" si="18"/>
        <v>0.60648598924054475</v>
      </c>
      <c r="H22" s="414" t="b">
        <f>Wh_hp&gt;='2019'!Maxi_hp</f>
        <v>1</v>
      </c>
      <c r="I22" s="380">
        <f>IF(H22,Wh_hp,'2019'!Maxi_hp)</f>
        <v>11.892462465791075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1.2143326571457447E-2</v>
      </c>
      <c r="M22" s="843"/>
      <c r="N22" s="843"/>
      <c r="O22" s="48">
        <f>IF(t&lt;Tnet,'2019'!Resal+('2019'!Salim-'2019'!Resal)*(1-EXP(('2019'!Tnet-t)/('2019'!Tau_j))),Resal+(Salim-Resal)*(1-EXP((Tnet-t)/(Tau_j))))*Salcycl</f>
        <v>7.4397645483487637E-2</v>
      </c>
      <c r="P22" s="169">
        <f>(INDEX(Models!$BJ22:$BT22,,T22)*(1-R22)+INDEX(Models!$BJ22:$BT22,,T22+1)*R22-ERP_i)*Q22*Ramure*Pc/MaxiM</f>
        <v>4.4673903486954911E-6</v>
      </c>
      <c r="Q22" s="305">
        <f t="shared" si="2"/>
        <v>0.8</v>
      </c>
      <c r="R22" s="177">
        <f t="shared" si="3"/>
        <v>3.4610199887606224E-4</v>
      </c>
      <c r="S22" s="809">
        <f t="shared" si="4"/>
        <v>0</v>
      </c>
      <c r="T22" s="176">
        <f t="shared" si="5"/>
        <v>6</v>
      </c>
      <c r="U22" s="251">
        <f t="shared" si="20"/>
        <v>3.4610199887606224E-4</v>
      </c>
      <c r="V22" s="383">
        <f t="shared" si="6"/>
        <v>17.929470563193949</v>
      </c>
      <c r="W22" s="402"/>
      <c r="X22" s="157">
        <f t="shared" si="7"/>
        <v>43838</v>
      </c>
      <c r="Y22" s="385">
        <f t="shared" si="8"/>
        <v>10.797115695187079</v>
      </c>
      <c r="Z22" s="385">
        <f t="shared" si="9"/>
        <v>10.929840315512227</v>
      </c>
      <c r="AA22" s="386">
        <f t="shared" si="10"/>
        <v>11.808354054178503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7.4397645483487637E-2</v>
      </c>
      <c r="AD22" s="231">
        <f>(INDEX(Models!$BJ22:$BT22,,AH22)*(1-AF22)+INDEX(Models!$BJ22:$BT22,,AH22+1)*AF22-ERP_i)*AE22*Ramure*Pc/MaxiM</f>
        <v>1.6152989019106247E-2</v>
      </c>
      <c r="AE22" s="305">
        <f t="shared" si="12"/>
        <v>0.8</v>
      </c>
      <c r="AF22" s="177">
        <f t="shared" si="21"/>
        <v>0.20027967615139741</v>
      </c>
      <c r="AG22" s="809">
        <f t="shared" si="22"/>
        <v>1</v>
      </c>
      <c r="AH22" s="176">
        <f t="shared" si="13"/>
        <v>7</v>
      </c>
      <c r="AI22" s="225">
        <f t="shared" si="23"/>
        <v>1.2002796761513974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6">
        <v>16.483000000000001</v>
      </c>
      <c r="C23" s="390"/>
      <c r="D23" s="393">
        <f t="shared" si="0"/>
        <v>16.686007227352306</v>
      </c>
      <c r="E23" s="385">
        <f t="shared" si="17"/>
        <v>18.029187528721209</v>
      </c>
      <c r="F23" s="385">
        <f t="shared" si="1"/>
        <v>18.029266819342844</v>
      </c>
      <c r="G23" s="110">
        <f t="shared" si="18"/>
        <v>0.91055788664337145</v>
      </c>
      <c r="H23" s="414" t="b">
        <f>Wh_hp&gt;='2019'!Maxi_hp</f>
        <v>1</v>
      </c>
      <c r="I23" s="380">
        <f>IF(H23,Wh_hp,'2019'!Maxi_hp)</f>
        <v>18.029266819342844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1.2166315439413822E-2</v>
      </c>
      <c r="M23" s="843"/>
      <c r="N23" s="843"/>
      <c r="O23" s="48">
        <f>IF(t&lt;Tnet,'2019'!Resal+('2019'!Salim-'2019'!Resal)*(1-EXP(('2019'!Tnet-t)/('2019'!Tau_j))),Resal+(Salim-Resal)*(1-EXP((Tnet-t)/(Tau_j))))*Salcycl</f>
        <v>7.4500323391121323E-2</v>
      </c>
      <c r="P23" s="169">
        <f>(INDEX(Models!$BJ23:$BT23,,T23)*(1-R23)+INDEX(Models!$BJ23:$BT23,,T23+1)*R23-ERP_i)*Q23*Ramure*Pc/MaxiM</f>
        <v>5.04213574932386E-6</v>
      </c>
      <c r="Q23" s="305">
        <f t="shared" si="2"/>
        <v>0.8</v>
      </c>
      <c r="R23" s="177">
        <f t="shared" si="3"/>
        <v>3.9280060971820215E-4</v>
      </c>
      <c r="S23" s="809">
        <f t="shared" si="4"/>
        <v>0</v>
      </c>
      <c r="T23" s="176">
        <f t="shared" si="5"/>
        <v>6</v>
      </c>
      <c r="U23" s="251">
        <f t="shared" si="20"/>
        <v>3.9280060971820215E-4</v>
      </c>
      <c r="V23" s="383">
        <f t="shared" si="6"/>
        <v>18.102077443435725</v>
      </c>
      <c r="W23" s="402"/>
      <c r="X23" s="157">
        <f t="shared" si="7"/>
        <v>43839</v>
      </c>
      <c r="Y23" s="385">
        <f t="shared" si="8"/>
        <v>16.251684083691824</v>
      </c>
      <c r="Z23" s="385">
        <f t="shared" si="9"/>
        <v>16.451842387740594</v>
      </c>
      <c r="AA23" s="386">
        <f t="shared" si="10"/>
        <v>17.776173026901269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7.4500323391121323E-2</v>
      </c>
      <c r="AD23" s="231">
        <f>(INDEX(Models!$BJ23:$BT23,,AH23)*(1-AF23)+INDEX(Models!$BJ23:$BT23,,AH23+1)*AF23-ERP_i)*AE23*Ramure*Pc/MaxiM</f>
        <v>1.6094378282193251E-2</v>
      </c>
      <c r="AE23" s="305">
        <f t="shared" si="12"/>
        <v>0.8</v>
      </c>
      <c r="AF23" s="177">
        <f t="shared" si="21"/>
        <v>0.20032637476223947</v>
      </c>
      <c r="AG23" s="809">
        <f t="shared" si="22"/>
        <v>1</v>
      </c>
      <c r="AH23" s="176">
        <f t="shared" si="13"/>
        <v>7</v>
      </c>
      <c r="AI23" s="225">
        <f t="shared" si="23"/>
        <v>1.2003263747622395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6">
        <v>8.0820000000000007</v>
      </c>
      <c r="C24" s="390"/>
      <c r="D24" s="393">
        <f t="shared" si="0"/>
        <v>8.1817295873234013</v>
      </c>
      <c r="E24" s="385">
        <f t="shared" si="17"/>
        <v>8.8413181873509785</v>
      </c>
      <c r="F24" s="385">
        <f t="shared" si="1"/>
        <v>8.8413282779592492</v>
      </c>
      <c r="G24" s="110">
        <f t="shared" si="18"/>
        <v>0.44202064816444447</v>
      </c>
      <c r="H24" s="414" t="b">
        <f>Wh_hp&gt;='2019'!Maxi_hp</f>
        <v>0</v>
      </c>
      <c r="I24" s="380">
        <f>IF(H24,Wh_hp,'2019'!Maxi_hp)</f>
        <v>8.9775811655834818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1.2189303772385696E-2</v>
      </c>
      <c r="M24" s="843"/>
      <c r="N24" s="843"/>
      <c r="O24" s="48">
        <f>IF(t&lt;Tnet,'2019'!Resal+('2019'!Salim-'2019'!Resal)*(1-EXP(('2019'!Tnet-t)/('2019'!Tau_j))),Resal+(Salim-Resal)*(1-EXP((Tnet-t)/(Tau_j))))*Salcycl</f>
        <v>7.4602970513065844E-2</v>
      </c>
      <c r="P24" s="169">
        <f>(INDEX(Models!$BJ24:$BT24,,T24)*(1-R24)+INDEX(Models!$BJ24:$BT24,,T24+1)*R24-ERP_i)*Q24*Ramure*Pc/MaxiM</f>
        <v>5.6252304534665714E-6</v>
      </c>
      <c r="Q24" s="305">
        <f t="shared" si="2"/>
        <v>0.8</v>
      </c>
      <c r="R24" s="177">
        <f t="shared" si="3"/>
        <v>4.4145058788167159E-4</v>
      </c>
      <c r="S24" s="809">
        <f t="shared" si="4"/>
        <v>0</v>
      </c>
      <c r="T24" s="176">
        <f t="shared" si="5"/>
        <v>6</v>
      </c>
      <c r="U24" s="251">
        <f t="shared" si="20"/>
        <v>4.4145058788167159E-4</v>
      </c>
      <c r="V24" s="383">
        <f t="shared" si="6"/>
        <v>18.284131735461987</v>
      </c>
      <c r="W24" s="402"/>
      <c r="X24" s="157">
        <f t="shared" si="7"/>
        <v>43840</v>
      </c>
      <c r="Y24" s="385">
        <f t="shared" si="8"/>
        <v>8.0557511288194839</v>
      </c>
      <c r="Z24" s="385">
        <f t="shared" si="9"/>
        <v>8.1551568125187153</v>
      </c>
      <c r="AA24" s="386">
        <f t="shared" si="10"/>
        <v>8.8126031883203275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7.4602970513065844E-2</v>
      </c>
      <c r="AD24" s="231">
        <f>(INDEX(Models!$BJ24:$BT24,,AH24)*(1-AF24)+INDEX(Models!$BJ24:$BT24,,AH24+1)*AF24-ERP_i)*AE24*Ramure*Pc/MaxiM</f>
        <v>1.6013429982150922E-2</v>
      </c>
      <c r="AE24" s="305">
        <f t="shared" si="12"/>
        <v>0.8</v>
      </c>
      <c r="AF24" s="177">
        <f t="shared" si="21"/>
        <v>0.20037502474040281</v>
      </c>
      <c r="AG24" s="809">
        <f t="shared" si="22"/>
        <v>1</v>
      </c>
      <c r="AH24" s="176">
        <f t="shared" si="13"/>
        <v>7</v>
      </c>
      <c r="AI24" s="225">
        <f t="shared" si="23"/>
        <v>1.2003750247404028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6">
        <v>18.120999999999999</v>
      </c>
      <c r="C25" s="390"/>
      <c r="D25" s="393">
        <f t="shared" si="0"/>
        <v>18.345034915253983</v>
      </c>
      <c r="E25" s="385">
        <f t="shared" si="17"/>
        <v>19.826159750075931</v>
      </c>
      <c r="F25" s="385">
        <f t="shared" si="1"/>
        <v>19.826279561395662</v>
      </c>
      <c r="G25" s="110">
        <f t="shared" si="18"/>
        <v>0.98084170090473533</v>
      </c>
      <c r="H25" s="414" t="b">
        <f>Wh_hp&gt;='2019'!Maxi_hp</f>
        <v>1</v>
      </c>
      <c r="I25" s="380">
        <f>IF(H25,Wh_hp,'2019'!Maxi_hp)</f>
        <v>19.826279561395662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1.2212291570385503E-2</v>
      </c>
      <c r="M25" s="843"/>
      <c r="N25" s="843"/>
      <c r="O25" s="48">
        <f>IF(t&lt;Tnet,'2019'!Resal+('2019'!Salim-'2019'!Resal)*(1-EXP(('2019'!Tnet-t)/('2019'!Tau_j))),Resal+(Salim-Resal)*(1-EXP((Tnet-t)/(Tau_j))))*Salcycl</f>
        <v>7.4705583607348719E-2</v>
      </c>
      <c r="P25" s="169">
        <f>(INDEX(Models!$BJ25:$BT25,,T25)*(1-R25)+INDEX(Models!$BJ25:$BT25,,T25+1)*R25-ERP_i)*Q25*Ramure*Pc/MaxiM</f>
        <v>6.2131009766633141E-6</v>
      </c>
      <c r="Q25" s="305">
        <f t="shared" si="2"/>
        <v>0.8</v>
      </c>
      <c r="R25" s="177">
        <f t="shared" si="3"/>
        <v>4.9213313672088815E-4</v>
      </c>
      <c r="S25" s="809">
        <f t="shared" si="4"/>
        <v>0</v>
      </c>
      <c r="T25" s="176">
        <f t="shared" si="5"/>
        <v>6</v>
      </c>
      <c r="U25" s="251">
        <f t="shared" si="20"/>
        <v>4.9213313672088815E-4</v>
      </c>
      <c r="V25" s="383">
        <f t="shared" si="6"/>
        <v>18.474945449284334</v>
      </c>
      <c r="W25" s="402"/>
      <c r="X25" s="157">
        <f t="shared" si="7"/>
        <v>43841</v>
      </c>
      <c r="Y25" s="385">
        <f t="shared" si="8"/>
        <v>17.840736268200732</v>
      </c>
      <c r="Z25" s="385">
        <f t="shared" si="9"/>
        <v>18.061306205727085</v>
      </c>
      <c r="AA25" s="386">
        <f t="shared" si="10"/>
        <v>19.519523608648601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7.4705583607348719E-2</v>
      </c>
      <c r="AD25" s="231">
        <f>(INDEX(Models!$BJ25:$BT25,,AH25)*(1-AF25)+INDEX(Models!$BJ25:$BT25,,AH25+1)*AF25-ERP_i)*AE25*Ramure*Pc/MaxiM</f>
        <v>1.590755960181818E-2</v>
      </c>
      <c r="AE25" s="305">
        <f t="shared" si="12"/>
        <v>0.8</v>
      </c>
      <c r="AF25" s="177">
        <f t="shared" si="21"/>
        <v>0.20042570728924214</v>
      </c>
      <c r="AG25" s="809">
        <f t="shared" si="22"/>
        <v>1</v>
      </c>
      <c r="AH25" s="176">
        <f t="shared" si="13"/>
        <v>7</v>
      </c>
      <c r="AI25" s="225">
        <f t="shared" si="23"/>
        <v>1.2004257072892421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6">
        <v>17.774999999999999</v>
      </c>
      <c r="C26" s="390"/>
      <c r="D26" s="393">
        <f t="shared" si="0"/>
        <v>17.995175995967223</v>
      </c>
      <c r="E26" s="385">
        <f t="shared" si="17"/>
        <v>19.450210469620039</v>
      </c>
      <c r="F26" s="385">
        <f t="shared" si="1"/>
        <v>19.450333694535168</v>
      </c>
      <c r="G26" s="110">
        <f t="shared" si="18"/>
        <v>0.95186637165424814</v>
      </c>
      <c r="H26" s="414" t="b">
        <f>Wh_hp&gt;='2019'!Maxi_hp</f>
        <v>1</v>
      </c>
      <c r="I26" s="380">
        <f>IF(H26,Wh_hp,'2019'!Maxi_hp)</f>
        <v>19.450333694535168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1.2235278833425567E-2</v>
      </c>
      <c r="M26" s="843"/>
      <c r="N26" s="843"/>
      <c r="O26" s="48">
        <f>IF(t&lt;Tnet,'2019'!Resal+('2019'!Salim-'2019'!Resal)*(1-EXP(('2019'!Tnet-t)/('2019'!Tau_j))),Resal+(Salim-Resal)*(1-EXP((Tnet-t)/(Tau_j))))*Salcycl</f>
        <v>7.4808160864145101E-2</v>
      </c>
      <c r="P26" s="169">
        <f>(INDEX(Models!$BJ26:$BT26,,T26)*(1-R26)+INDEX(Models!$BJ26:$BT26,,T26+1)*R26-ERP_i)*Q26*Ramure*Pc/MaxiM</f>
        <v>6.80315925000512E-6</v>
      </c>
      <c r="Q26" s="305">
        <f t="shared" si="2"/>
        <v>0.8</v>
      </c>
      <c r="R26" s="177">
        <f t="shared" si="3"/>
        <v>5.4493280992622551E-4</v>
      </c>
      <c r="S26" s="809">
        <f t="shared" si="4"/>
        <v>0</v>
      </c>
      <c r="T26" s="176">
        <f t="shared" si="5"/>
        <v>6</v>
      </c>
      <c r="U26" s="251">
        <f t="shared" si="20"/>
        <v>5.4493280992622551E-4</v>
      </c>
      <c r="V26" s="383">
        <f t="shared" si="6"/>
        <v>18.673830922264148</v>
      </c>
      <c r="W26" s="402"/>
      <c r="X26" s="157">
        <f t="shared" si="7"/>
        <v>43842</v>
      </c>
      <c r="Y26" s="385">
        <f t="shared" si="8"/>
        <v>17.513937833611536</v>
      </c>
      <c r="Z26" s="385">
        <f t="shared" si="9"/>
        <v>17.730880095542535</v>
      </c>
      <c r="AA26" s="386">
        <f t="shared" si="10"/>
        <v>19.16454441719188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7.4808160864145101E-2</v>
      </c>
      <c r="AD26" s="231">
        <f>(INDEX(Models!$BJ26:$BT26,,AH26)*(1-AF26)+INDEX(Models!$BJ26:$BT26,,AH26+1)*AF26-ERP_i)*AE26*Ramure*Pc/MaxiM</f>
        <v>1.5778221179303466E-2</v>
      </c>
      <c r="AE26" s="305">
        <f t="shared" si="12"/>
        <v>0.8</v>
      </c>
      <c r="AF26" s="177">
        <f t="shared" si="21"/>
        <v>0.20047850696244751</v>
      </c>
      <c r="AG26" s="809">
        <f t="shared" si="22"/>
        <v>1</v>
      </c>
      <c r="AH26" s="176">
        <f t="shared" si="13"/>
        <v>7</v>
      </c>
      <c r="AI26" s="225">
        <f t="shared" si="23"/>
        <v>1.2004785069624475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6">
        <v>12.752000000000001</v>
      </c>
      <c r="C27" s="390"/>
      <c r="D27" s="393">
        <f t="shared" si="0"/>
        <v>12.910257363225975</v>
      </c>
      <c r="E27" s="385">
        <f t="shared" si="17"/>
        <v>13.955687724195682</v>
      </c>
      <c r="F27" s="385">
        <f t="shared" si="1"/>
        <v>13.955743056810109</v>
      </c>
      <c r="G27" s="110">
        <f t="shared" si="18"/>
        <v>0.67541780598965806</v>
      </c>
      <c r="H27" s="414" t="b">
        <f>Wh_hp&gt;='2019'!Maxi_hp</f>
        <v>1</v>
      </c>
      <c r="I27" s="380">
        <f>IF(H27,Wh_hp,'2019'!Maxi_hp)</f>
        <v>13.955743056810109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1.2258265561518544E-2</v>
      </c>
      <c r="M27" s="843"/>
      <c r="N27" s="843"/>
      <c r="O27" s="48">
        <f>IF(t&lt;Tnet,'2019'!Resal+('2019'!Salim-'2019'!Resal)*(1-EXP(('2019'!Tnet-t)/('2019'!Tau_j))),Resal+(Salim-Resal)*(1-EXP((Tnet-t)/(Tau_j))))*Salcycl</f>
        <v>7.4910701760486656E-2</v>
      </c>
      <c r="P27" s="169">
        <f>(INDEX(Models!$BJ27:$BT27,,T27)*(1-R27)+INDEX(Models!$BJ27:$BT27,,T27+1)*R27-ERP_i)*Q27*Ramure*Pc/MaxiM</f>
        <v>7.3927959653088785E-6</v>
      </c>
      <c r="Q27" s="305">
        <f t="shared" si="2"/>
        <v>0.8</v>
      </c>
      <c r="R27" s="177">
        <f t="shared" si="3"/>
        <v>5.9993764728916859E-4</v>
      </c>
      <c r="S27" s="809">
        <f t="shared" si="4"/>
        <v>0</v>
      </c>
      <c r="T27" s="176">
        <f t="shared" si="5"/>
        <v>6</v>
      </c>
      <c r="U27" s="251">
        <f t="shared" si="20"/>
        <v>5.9993764728916859E-4</v>
      </c>
      <c r="V27" s="383">
        <f t="shared" si="6"/>
        <v>18.880100840908934</v>
      </c>
      <c r="W27" s="402"/>
      <c r="X27" s="157">
        <f t="shared" si="7"/>
        <v>43843</v>
      </c>
      <c r="Y27" s="385">
        <f t="shared" si="8"/>
        <v>12.64517679330622</v>
      </c>
      <c r="Z27" s="385">
        <f t="shared" si="9"/>
        <v>12.802108438290137</v>
      </c>
      <c r="AA27" s="386">
        <f t="shared" si="10"/>
        <v>13.838781253499663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7.4910701760486656E-2</v>
      </c>
      <c r="AD27" s="231">
        <f>(INDEX(Models!$BJ27:$BT27,,AH27)*(1-AF27)+INDEX(Models!$BJ27:$BT27,,AH27+1)*AF27-ERP_i)*AE27*Ramure*Pc/MaxiM</f>
        <v>1.5626855093735913E-2</v>
      </c>
      <c r="AE27" s="305">
        <f t="shared" si="12"/>
        <v>0.8</v>
      </c>
      <c r="AF27" s="177">
        <f t="shared" si="21"/>
        <v>0.20053351179981038</v>
      </c>
      <c r="AG27" s="809">
        <f t="shared" si="22"/>
        <v>1</v>
      </c>
      <c r="AH27" s="176">
        <f t="shared" si="13"/>
        <v>7</v>
      </c>
      <c r="AI27" s="225">
        <f t="shared" si="23"/>
        <v>1.2005335117998104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6">
        <v>17.795999999999999</v>
      </c>
      <c r="C28" s="390"/>
      <c r="D28" s="393">
        <f t="shared" si="0"/>
        <v>18.017274686356306</v>
      </c>
      <c r="E28" s="385">
        <f t="shared" si="17"/>
        <v>19.478412903761345</v>
      </c>
      <c r="F28" s="385">
        <f t="shared" si="1"/>
        <v>19.478553246550526</v>
      </c>
      <c r="G28" s="110">
        <f t="shared" si="18"/>
        <v>0.93206529171308483</v>
      </c>
      <c r="H28" s="414" t="b">
        <f>Wh_hp&gt;='2019'!Maxi_hp</f>
        <v>1</v>
      </c>
      <c r="I28" s="380">
        <f>IF(H28,Wh_hp,'2019'!Maxi_hp)</f>
        <v>19.478553246550526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1.2281251754676759E-2</v>
      </c>
      <c r="M28" s="843"/>
      <c r="N28" s="843"/>
      <c r="O28" s="48">
        <f>IF(t&lt;Tnet,'2019'!Resal+('2019'!Salim-'2019'!Resal)*(1-EXP(('2019'!Tnet-t)/('2019'!Tau_j))),Resal+(Salim-Resal)*(1-EXP((Tnet-t)/(Tau_j))))*Salcycl</f>
        <v>7.5013206908807736E-2</v>
      </c>
      <c r="P28" s="169">
        <f>(INDEX(Models!$BJ28:$BT28,,T28)*(1-R28)+INDEX(Models!$BJ28:$BT28,,T28+1)*R28-ERP_i)*Q28*Ramure*Pc/MaxiM</f>
        <v>7.9793774280112885E-6</v>
      </c>
      <c r="Q28" s="305">
        <f t="shared" si="2"/>
        <v>0.8</v>
      </c>
      <c r="R28" s="177">
        <f t="shared" si="3"/>
        <v>6.5723931575654548E-4</v>
      </c>
      <c r="S28" s="809">
        <f t="shared" si="4"/>
        <v>0</v>
      </c>
      <c r="T28" s="176">
        <f t="shared" si="5"/>
        <v>6</v>
      </c>
      <c r="U28" s="251">
        <f t="shared" si="20"/>
        <v>6.5723931575654548E-4</v>
      </c>
      <c r="V28" s="383">
        <f t="shared" si="6"/>
        <v>19.093068240102728</v>
      </c>
      <c r="W28" s="402"/>
      <c r="X28" s="157">
        <f t="shared" si="7"/>
        <v>43844</v>
      </c>
      <c r="Y28" s="385">
        <f t="shared" si="8"/>
        <v>17.547783222301167</v>
      </c>
      <c r="Z28" s="385">
        <f t="shared" si="9"/>
        <v>17.765971592090061</v>
      </c>
      <c r="AA28" s="386">
        <f t="shared" si="10"/>
        <v>19.206730003915371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7.5013206908807736E-2</v>
      </c>
      <c r="AD28" s="231">
        <f>(INDEX(Models!$BJ28:$BT28,,AH28)*(1-AF28)+INDEX(Models!$BJ28:$BT28,,AH28+1)*AF28-ERP_i)*AE28*Ramure*Pc/MaxiM</f>
        <v>1.5454874877353914E-2</v>
      </c>
      <c r="AE28" s="305">
        <f t="shared" si="12"/>
        <v>0.8</v>
      </c>
      <c r="AF28" s="177">
        <f t="shared" si="21"/>
        <v>0.2005908134682779</v>
      </c>
      <c r="AG28" s="809">
        <f t="shared" si="22"/>
        <v>1</v>
      </c>
      <c r="AH28" s="176">
        <f t="shared" si="13"/>
        <v>7</v>
      </c>
      <c r="AI28" s="225">
        <f t="shared" si="23"/>
        <v>1.2005908134682779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6">
        <v>15.872</v>
      </c>
      <c r="C29" s="390"/>
      <c r="D29" s="393">
        <f t="shared" si="0"/>
        <v>16.06972572042449</v>
      </c>
      <c r="E29" s="385">
        <f t="shared" si="17"/>
        <v>17.374849304350306</v>
      </c>
      <c r="F29" s="385">
        <f t="shared" si="1"/>
        <v>17.3749601897606</v>
      </c>
      <c r="G29" s="110">
        <f t="shared" si="18"/>
        <v>0.82186864109158531</v>
      </c>
      <c r="H29" s="414" t="b">
        <f>Wh_hp&gt;='2019'!Maxi_hp</f>
        <v>0</v>
      </c>
      <c r="I29" s="380">
        <f>IF(H29,Wh_hp,'2019'!Maxi_hp)</f>
        <v>20.589721557964918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1.2304237412912644E-2</v>
      </c>
      <c r="M29" s="843"/>
      <c r="N29" s="843"/>
      <c r="O29" s="48">
        <f>IF(t&lt;Tnet,'2019'!Resal+('2019'!Salim-'2019'!Resal)*(1-EXP(('2019'!Tnet-t)/('2019'!Tau_j))),Resal+(Salim-Resal)*(1-EXP((Tnet-t)/(Tau_j))))*Salcycl</f>
        <v>7.5115677901104919E-2</v>
      </c>
      <c r="P29" s="169">
        <f>(INDEX(Models!$BJ29:$BT29,,T29)*(1-R29)+INDEX(Models!$BJ29:$BT29,,T29+1)*R29-ERP_i)*Q29*Ramure*Pc/MaxiM</f>
        <v>8.5602399545588652E-6</v>
      </c>
      <c r="Q29" s="305">
        <f t="shared" si="2"/>
        <v>0.8</v>
      </c>
      <c r="R29" s="177">
        <f t="shared" si="3"/>
        <v>7.1693325596331044E-4</v>
      </c>
      <c r="S29" s="809">
        <f t="shared" si="4"/>
        <v>0</v>
      </c>
      <c r="T29" s="176">
        <f t="shared" si="5"/>
        <v>6</v>
      </c>
      <c r="U29" s="251">
        <f t="shared" si="20"/>
        <v>7.1693325596331044E-4</v>
      </c>
      <c r="V29" s="383">
        <f t="shared" si="6"/>
        <v>19.312046514179645</v>
      </c>
      <c r="W29" s="402"/>
      <c r="X29" s="157">
        <f t="shared" si="7"/>
        <v>43845</v>
      </c>
      <c r="Y29" s="385">
        <f t="shared" si="8"/>
        <v>15.691484701404018</v>
      </c>
      <c r="Z29" s="385">
        <f t="shared" si="9"/>
        <v>15.886961649306929</v>
      </c>
      <c r="AA29" s="386">
        <f t="shared" si="10"/>
        <v>17.177241812526027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7.5115677901104919E-2</v>
      </c>
      <c r="AD29" s="231">
        <f>(INDEX(Models!$BJ29:$BT29,,AH29)*(1-AF29)+INDEX(Models!$BJ29:$BT29,,AH29+1)*AF29-ERP_i)*AE29*Ramure*Pc/MaxiM</f>
        <v>1.5263655949642203E-2</v>
      </c>
      <c r="AE29" s="305">
        <f t="shared" si="12"/>
        <v>0.8</v>
      </c>
      <c r="AF29" s="177">
        <f t="shared" si="21"/>
        <v>0.20065050740848456</v>
      </c>
      <c r="AG29" s="809">
        <f t="shared" si="22"/>
        <v>1</v>
      </c>
      <c r="AH29" s="176">
        <f t="shared" si="13"/>
        <v>7</v>
      </c>
      <c r="AI29" s="225">
        <f t="shared" si="23"/>
        <v>1.2006505074084846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6">
        <v>17.292000000000002</v>
      </c>
      <c r="C30" s="390"/>
      <c r="D30" s="393">
        <f t="shared" si="0"/>
        <v>17.507822828127367</v>
      </c>
      <c r="E30" s="385">
        <f t="shared" si="17"/>
        <v>18.931840202341466</v>
      </c>
      <c r="F30" s="385">
        <f t="shared" si="1"/>
        <v>18.931984690529109</v>
      </c>
      <c r="G30" s="110">
        <f t="shared" si="18"/>
        <v>0.88511797640622925</v>
      </c>
      <c r="H30" s="414" t="b">
        <f>Wh_hp&gt;='2019'!Maxi_hp</f>
        <v>0</v>
      </c>
      <c r="I30" s="380">
        <f>IF(H30,Wh_hp,'2019'!Maxi_hp)</f>
        <v>20.060195797271877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1.2327222536238636E-2</v>
      </c>
      <c r="M30" s="843"/>
      <c r="N30" s="843"/>
      <c r="O30" s="48">
        <f>IF(t&lt;Tnet,'2019'!Resal+('2019'!Salim-'2019'!Resal)*(1-EXP(('2019'!Tnet-t)/('2019'!Tau_j))),Resal+(Salim-Resal)*(1-EXP((Tnet-t)/(Tau_j))))*Salcycl</f>
        <v>7.5218117150491037E-2</v>
      </c>
      <c r="P30" s="169">
        <f>(INDEX(Models!$BJ30:$BT30,,T30)*(1-R30)+INDEX(Models!$BJ30:$BT30,,T30+1)*R30-ERP_i)*Q30*Ramure*Pc/MaxiM</f>
        <v>9.1304001962999328E-6</v>
      </c>
      <c r="Q30" s="305">
        <f t="shared" si="2"/>
        <v>0.8</v>
      </c>
      <c r="R30" s="177">
        <f t="shared" si="3"/>
        <v>7.7911883443525654E-4</v>
      </c>
      <c r="S30" s="809">
        <f t="shared" si="4"/>
        <v>0</v>
      </c>
      <c r="T30" s="176">
        <f t="shared" si="5"/>
        <v>6</v>
      </c>
      <c r="U30" s="251">
        <f t="shared" si="20"/>
        <v>7.7911883443525654E-4</v>
      </c>
      <c r="V30" s="383">
        <f t="shared" si="6"/>
        <v>19.536349446904275</v>
      </c>
      <c r="W30" s="402"/>
      <c r="X30" s="157">
        <f t="shared" si="7"/>
        <v>43846</v>
      </c>
      <c r="Y30" s="385">
        <f t="shared" si="8"/>
        <v>17.074612226178182</v>
      </c>
      <c r="Z30" s="385">
        <f t="shared" si="9"/>
        <v>17.287721820200382</v>
      </c>
      <c r="AA30" s="386">
        <f t="shared" si="10"/>
        <v>18.693837045046909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7.5218117150491037E-2</v>
      </c>
      <c r="AD30" s="231">
        <f>(INDEX(Models!$BJ30:$BT30,,AH30)*(1-AF30)+INDEX(Models!$BJ30:$BT30,,AH30+1)*AF30-ERP_i)*AE30*Ramure*Pc/MaxiM</f>
        <v>1.5048865547522085E-2</v>
      </c>
      <c r="AE30" s="305">
        <f t="shared" si="12"/>
        <v>0.8</v>
      </c>
      <c r="AF30" s="177">
        <f t="shared" si="21"/>
        <v>0.20071269298695649</v>
      </c>
      <c r="AG30" s="809">
        <f t="shared" si="22"/>
        <v>1</v>
      </c>
      <c r="AH30" s="176">
        <f t="shared" si="13"/>
        <v>7</v>
      </c>
      <c r="AI30" s="225">
        <f t="shared" si="23"/>
        <v>1.2007126929869565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6">
        <v>4.5190000000000001</v>
      </c>
      <c r="C31" s="390"/>
      <c r="D31" s="393">
        <f t="shared" si="0"/>
        <v>4.575508477396518</v>
      </c>
      <c r="E31" s="385">
        <f t="shared" si="17"/>
        <v>4.948210287585959</v>
      </c>
      <c r="F31" s="385">
        <f t="shared" si="1"/>
        <v>4.948210287585959</v>
      </c>
      <c r="G31" s="110">
        <f t="shared" si="18"/>
        <v>0.22863089601231137</v>
      </c>
      <c r="H31" s="414" t="b">
        <f>Wh_hp&gt;='2019'!Maxi_hp</f>
        <v>0</v>
      </c>
      <c r="I31" s="380">
        <f>IF(H31,Wh_hp,'2019'!Maxi_hp)</f>
        <v>9.7288381419914938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1.2350207124667278E-2</v>
      </c>
      <c r="M31" s="843"/>
      <c r="N31" s="843"/>
      <c r="O31" s="48">
        <f>IF(t&lt;Tnet,'2019'!Resal+('2019'!Salim-'2019'!Resal)*(1-EXP(('2019'!Tnet-t)/('2019'!Tau_j))),Resal+(Salim-Resal)*(1-EXP((Tnet-t)/(Tau_j))))*Salcycl</f>
        <v>7.5320527731910156E-2</v>
      </c>
      <c r="P31" s="169">
        <f>(INDEX(Models!$BJ31:$BT31,,T31)*(1-R31)+INDEX(Models!$BJ31:$BT31,,T31+1)*R31-ERP_i)*Q31*Ramure*Pc/MaxiM</f>
        <v>9.6898714604145002E-6</v>
      </c>
      <c r="Q31" s="305">
        <f t="shared" si="2"/>
        <v>0.8</v>
      </c>
      <c r="R31" s="177">
        <f t="shared" si="3"/>
        <v>8.4389950166020465E-4</v>
      </c>
      <c r="S31" s="809">
        <f t="shared" si="4"/>
        <v>0</v>
      </c>
      <c r="T31" s="176">
        <f t="shared" si="5"/>
        <v>6</v>
      </c>
      <c r="U31" s="251">
        <f t="shared" si="20"/>
        <v>8.4389950166020465E-4</v>
      </c>
      <c r="V31" s="383">
        <f t="shared" si="6"/>
        <v>19.765291088338</v>
      </c>
      <c r="W31" s="402"/>
      <c r="X31" s="157">
        <f t="shared" si="7"/>
        <v>43847</v>
      </c>
      <c r="Y31" s="385">
        <f t="shared" si="8"/>
        <v>4.5190000000000001</v>
      </c>
      <c r="Z31" s="385">
        <f t="shared" si="9"/>
        <v>4.575508477396518</v>
      </c>
      <c r="AA31" s="386">
        <f t="shared" si="10"/>
        <v>4.948210287585959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7.5320527731910156E-2</v>
      </c>
      <c r="AD31" s="231">
        <f>(INDEX(Models!$BJ31:$BT31,,AH31)*(1-AF31)+INDEX(Models!$BJ31:$BT31,,AH31+1)*AF31-ERP_i)*AE31*Ramure*Pc/MaxiM</f>
        <v>1.4814705555951362E-2</v>
      </c>
      <c r="AE31" s="305">
        <f t="shared" si="12"/>
        <v>0.8</v>
      </c>
      <c r="AF31" s="177">
        <f t="shared" si="21"/>
        <v>0.20077747365418142</v>
      </c>
      <c r="AG31" s="809">
        <f t="shared" si="22"/>
        <v>1</v>
      </c>
      <c r="AH31" s="176">
        <f t="shared" si="13"/>
        <v>7</v>
      </c>
      <c r="AI31" s="225">
        <f t="shared" si="23"/>
        <v>1.2007774736541814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6">
        <v>15.493</v>
      </c>
      <c r="C32" s="390"/>
      <c r="D32" s="393">
        <f t="shared" si="0"/>
        <v>15.6870994809089</v>
      </c>
      <c r="E32" s="385">
        <f t="shared" si="17"/>
        <v>16.966783738504247</v>
      </c>
      <c r="F32" s="385">
        <f t="shared" si="1"/>
        <v>16.966901518726328</v>
      </c>
      <c r="G32" s="110">
        <f t="shared" si="18"/>
        <v>0.77471771916821452</v>
      </c>
      <c r="H32" s="414" t="b">
        <f>Wh_hp&gt;='2019'!Maxi_hp</f>
        <v>1</v>
      </c>
      <c r="I32" s="380">
        <f>IF(H32,Wh_hp,'2019'!Maxi_hp)</f>
        <v>16.966901518726328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1.2373191178211007E-2</v>
      </c>
      <c r="M32" s="843"/>
      <c r="N32" s="843"/>
      <c r="O32" s="48">
        <f>IF(t&lt;Tnet,'2019'!Resal+('2019'!Salim-'2019'!Resal)*(1-EXP(('2019'!Tnet-t)/('2019'!Tau_j))),Resal+(Salim-Resal)*(1-EXP((Tnet-t)/(Tau_j))))*Salcycl</f>
        <v>7.5422913223750512E-2</v>
      </c>
      <c r="P32" s="169">
        <f>(INDEX(Models!$BJ32:$BT32,,T32)*(1-R32)+INDEX(Models!$BJ32:$BT32,,T32+1)*R32-ERP_i)*Q32*Ramure*Pc/MaxiM</f>
        <v>1.0235995649950289E-5</v>
      </c>
      <c r="Q32" s="305">
        <f t="shared" si="2"/>
        <v>0.8</v>
      </c>
      <c r="R32" s="177">
        <f t="shared" si="3"/>
        <v>9.1138295623022475E-4</v>
      </c>
      <c r="S32" s="809">
        <f t="shared" si="4"/>
        <v>0</v>
      </c>
      <c r="T32" s="176">
        <f t="shared" si="5"/>
        <v>6</v>
      </c>
      <c r="U32" s="251">
        <f t="shared" si="20"/>
        <v>9.1138295623022475E-4</v>
      </c>
      <c r="V32" s="383">
        <f t="shared" si="6"/>
        <v>19.998185892463169</v>
      </c>
      <c r="W32" s="402"/>
      <c r="X32" s="157">
        <f t="shared" si="7"/>
        <v>43848</v>
      </c>
      <c r="Y32" s="385">
        <f t="shared" si="8"/>
        <v>15.34009969688533</v>
      </c>
      <c r="Z32" s="385">
        <f t="shared" si="9"/>
        <v>15.532283611443919</v>
      </c>
      <c r="AA32" s="386">
        <f t="shared" si="10"/>
        <v>16.799338674507709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7.5422913223750512E-2</v>
      </c>
      <c r="AD32" s="231">
        <f>(INDEX(Models!$BJ32:$BT32,,AH32)*(1-AF32)+INDEX(Models!$BJ32:$BT32,,AH32+1)*AF32-ERP_i)*AE32*Ramure*Pc/MaxiM</f>
        <v>1.4562483532676503E-2</v>
      </c>
      <c r="AE32" s="305">
        <f t="shared" si="12"/>
        <v>0.8</v>
      </c>
      <c r="AF32" s="177">
        <f t="shared" si="21"/>
        <v>0.20084495710875139</v>
      </c>
      <c r="AG32" s="809">
        <f t="shared" si="22"/>
        <v>1</v>
      </c>
      <c r="AH32" s="176">
        <f t="shared" si="13"/>
        <v>7</v>
      </c>
      <c r="AI32" s="225">
        <f t="shared" si="23"/>
        <v>1.2008449571087514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6">
        <v>20.818999999999999</v>
      </c>
      <c r="C33" s="390"/>
      <c r="D33" s="393">
        <f t="shared" si="0"/>
        <v>21.080315270761712</v>
      </c>
      <c r="E33" s="385">
        <f t="shared" si="17"/>
        <v>22.802478811905509</v>
      </c>
      <c r="F33" s="385">
        <f t="shared" si="1"/>
        <v>22.802724307103638</v>
      </c>
      <c r="G33" s="110">
        <f t="shared" si="18"/>
        <v>1.0288940024745465</v>
      </c>
      <c r="H33" s="414" t="b">
        <f>Wh_hp&gt;='2019'!Maxi_hp</f>
        <v>1</v>
      </c>
      <c r="I33" s="380">
        <f>IF(H33,Wh_hp,'2019'!Maxi_hp)</f>
        <v>22.802724307103638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1.2396174696882145E-2</v>
      </c>
      <c r="M33" s="843"/>
      <c r="N33" s="843"/>
      <c r="O33" s="48">
        <f>IF(t&lt;Tnet,'2019'!Resal+('2019'!Salim-'2019'!Resal)*(1-EXP(('2019'!Tnet-t)/('2019'!Tau_j))),Resal+(Salim-Resal)*(1-EXP((Tnet-t)/(Tau_j))))*Salcycl</f>
        <v>7.5525277552045259E-2</v>
      </c>
      <c r="P33" s="169">
        <f>(INDEX(Models!$BJ33:$BT33,,T33)*(1-R33)+INDEX(Models!$BJ33:$BT33,,T33+1)*R33-ERP_i)*Q33*Ramure*Pc/MaxiM</f>
        <v>1.0766046846864412E-5</v>
      </c>
      <c r="Q33" s="305">
        <f t="shared" si="2"/>
        <v>0.8</v>
      </c>
      <c r="R33" s="177">
        <f t="shared" si="3"/>
        <v>9.816813152632815E-4</v>
      </c>
      <c r="S33" s="809">
        <f t="shared" si="4"/>
        <v>0</v>
      </c>
      <c r="T33" s="176">
        <f t="shared" si="5"/>
        <v>6</v>
      </c>
      <c r="U33" s="251">
        <f t="shared" si="20"/>
        <v>9.816813152632815E-4</v>
      </c>
      <c r="V33" s="383">
        <f t="shared" si="6"/>
        <v>20.234348679192571</v>
      </c>
      <c r="W33" s="402"/>
      <c r="X33" s="157">
        <f t="shared" si="7"/>
        <v>43849</v>
      </c>
      <c r="Y33" s="385">
        <f t="shared" si="8"/>
        <v>20.521645839117014</v>
      </c>
      <c r="Z33" s="385">
        <f t="shared" si="9"/>
        <v>20.779228789255104</v>
      </c>
      <c r="AA33" s="386">
        <f t="shared" si="10"/>
        <v>22.476794967668699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7.5525277552045259E-2</v>
      </c>
      <c r="AD33" s="231">
        <f>(INDEX(Models!$BJ33:$BT33,,AH33)*(1-AF33)+INDEX(Models!$BJ33:$BT33,,AH33+1)*AF33-ERP_i)*AE33*Ramure*Pc/MaxiM</f>
        <v>1.4293438584152253E-2</v>
      </c>
      <c r="AE33" s="305">
        <f t="shared" si="12"/>
        <v>0.8</v>
      </c>
      <c r="AF33" s="177">
        <f t="shared" si="21"/>
        <v>0.20091525546778444</v>
      </c>
      <c r="AG33" s="809">
        <f t="shared" si="22"/>
        <v>1</v>
      </c>
      <c r="AH33" s="176">
        <f t="shared" si="13"/>
        <v>7</v>
      </c>
      <c r="AI33" s="225">
        <f t="shared" si="23"/>
        <v>1.2009152554677844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6">
        <v>10.153</v>
      </c>
      <c r="C34" s="390"/>
      <c r="D34" s="393">
        <f t="shared" si="0"/>
        <v>10.28067735311264</v>
      </c>
      <c r="E34" s="385">
        <f t="shared" si="17"/>
        <v>11.121792071426606</v>
      </c>
      <c r="F34" s="385">
        <f t="shared" si="1"/>
        <v>11.121827175647727</v>
      </c>
      <c r="G34" s="110">
        <f t="shared" si="18"/>
        <v>0.49591513797170755</v>
      </c>
      <c r="H34" s="414" t="b">
        <f>Wh_hp&gt;='2019'!Maxi_hp</f>
        <v>1</v>
      </c>
      <c r="I34" s="380">
        <f>IF(H34,Wh_hp,'2019'!Maxi_hp)</f>
        <v>11.121827175647727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1.2419157680693349E-2</v>
      </c>
      <c r="M34" s="843"/>
      <c r="N34" s="843"/>
      <c r="O34" s="48">
        <f>IF(t&lt;Tnet,'2019'!Resal+('2019'!Salim-'2019'!Resal)*(1-EXP(('2019'!Tnet-t)/('2019'!Tau_j))),Resal+(Salim-Resal)*(1-EXP((Tnet-t)/(Tau_j))))*Salcycl</f>
        <v>7.5627624838887617E-2</v>
      </c>
      <c r="P34" s="169">
        <f>(INDEX(Models!$BJ34:$BT34,,T34)*(1-R34)+INDEX(Models!$BJ34:$BT34,,T34+1)*R34-ERP_i)*Q34*Ramure*Pc/MaxiM</f>
        <v>1.1277278803581122E-5</v>
      </c>
      <c r="Q34" s="305">
        <f t="shared" si="2"/>
        <v>0.8</v>
      </c>
      <c r="R34" s="177">
        <f t="shared" si="3"/>
        <v>1.0549112913144612E-3</v>
      </c>
      <c r="S34" s="809">
        <f t="shared" si="4"/>
        <v>0</v>
      </c>
      <c r="T34" s="176">
        <f t="shared" si="5"/>
        <v>6</v>
      </c>
      <c r="U34" s="251">
        <f t="shared" si="20"/>
        <v>1.0549112913144612E-3</v>
      </c>
      <c r="V34" s="383">
        <f t="shared" si="6"/>
        <v>20.473094629316456</v>
      </c>
      <c r="W34" s="402"/>
      <c r="X34" s="157">
        <f t="shared" si="7"/>
        <v>43850</v>
      </c>
      <c r="Y34" s="385">
        <f t="shared" si="8"/>
        <v>10.113223524733304</v>
      </c>
      <c r="Z34" s="385">
        <f t="shared" si="9"/>
        <v>10.24040067543501</v>
      </c>
      <c r="AA34" s="386">
        <f t="shared" si="10"/>
        <v>11.078220153052683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7.5627624838887617E-2</v>
      </c>
      <c r="AD34" s="231">
        <f>(INDEX(Models!$BJ34:$BT34,,AH34)*(1-AF34)+INDEX(Models!$BJ34:$BT34,,AH34+1)*AF34-ERP_i)*AE34*Ramure*Pc/MaxiM</f>
        <v>1.4008815347526085E-2</v>
      </c>
      <c r="AE34" s="305">
        <f t="shared" si="12"/>
        <v>0.8</v>
      </c>
      <c r="AF34" s="177">
        <f t="shared" si="21"/>
        <v>0.20098848544383574</v>
      </c>
      <c r="AG34" s="809">
        <f t="shared" si="22"/>
        <v>1</v>
      </c>
      <c r="AH34" s="176">
        <f t="shared" si="13"/>
        <v>7</v>
      </c>
      <c r="AI34" s="225">
        <f t="shared" si="23"/>
        <v>1.2009884854438357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6">
        <v>3.2309999999999999</v>
      </c>
      <c r="C35" s="390"/>
      <c r="D35" s="393">
        <f t="shared" si="0"/>
        <v>3.2717070374227988</v>
      </c>
      <c r="E35" s="385">
        <f t="shared" si="17"/>
        <v>3.5397739764358955</v>
      </c>
      <c r="F35" s="385">
        <f t="shared" si="1"/>
        <v>3.5397739764358955</v>
      </c>
      <c r="G35" s="110">
        <f t="shared" si="18"/>
        <v>0.15598158961338848</v>
      </c>
      <c r="H35" s="414" t="b">
        <f>Wh_hp&gt;='2019'!Maxi_hp</f>
        <v>0</v>
      </c>
      <c r="I35" s="380">
        <f>IF(H35,Wh_hp,'2019'!Maxi_hp)</f>
        <v>6.2891831883477716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1.2442140129656831E-2</v>
      </c>
      <c r="M35" s="843"/>
      <c r="N35" s="843"/>
      <c r="O35" s="48">
        <f>IF(t&lt;Tnet,'2019'!Resal+('2019'!Salim-'2019'!Resal)*(1-EXP(('2019'!Tnet-t)/('2019'!Tau_j))),Resal+(Salim-Resal)*(1-EXP((Tnet-t)/(Tau_j))))*Salcycl</f>
        <v>7.5729959256609358E-2</v>
      </c>
      <c r="P35" s="169">
        <f>(INDEX(Models!$BJ35:$BT35,,T35)*(1-R35)+INDEX(Models!$BJ35:$BT35,,T35+1)*R35-ERP_i)*Q35*Ramure*Pc/MaxiM</f>
        <v>1.1766885515177913E-5</v>
      </c>
      <c r="Q35" s="305">
        <f t="shared" si="2"/>
        <v>0.8</v>
      </c>
      <c r="R35" s="177">
        <f t="shared" si="3"/>
        <v>1.1311943759978902E-3</v>
      </c>
      <c r="S35" s="809">
        <f t="shared" si="4"/>
        <v>0</v>
      </c>
      <c r="T35" s="176">
        <f t="shared" si="5"/>
        <v>6</v>
      </c>
      <c r="U35" s="251">
        <f t="shared" si="20"/>
        <v>1.1311943759978902E-3</v>
      </c>
      <c r="V35" s="383">
        <f t="shared" si="6"/>
        <v>20.713739289367869</v>
      </c>
      <c r="W35" s="402"/>
      <c r="X35" s="157">
        <f t="shared" si="7"/>
        <v>43851</v>
      </c>
      <c r="Y35" s="385">
        <f t="shared" si="8"/>
        <v>3.2309999999999999</v>
      </c>
      <c r="Z35" s="385">
        <f t="shared" si="9"/>
        <v>3.2717070374227988</v>
      </c>
      <c r="AA35" s="386">
        <f t="shared" si="10"/>
        <v>3.5397739764358955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7.5729959256609358E-2</v>
      </c>
      <c r="AD35" s="231">
        <f>(INDEX(Models!$BJ35:$BT35,,AH35)*(1-AF35)+INDEX(Models!$BJ35:$BT35,,AH35+1)*AF35-ERP_i)*AE35*Ramure*Pc/MaxiM</f>
        <v>1.3709810831990601E-2</v>
      </c>
      <c r="AE35" s="305">
        <f t="shared" si="12"/>
        <v>0.8</v>
      </c>
      <c r="AF35" s="177">
        <f t="shared" si="21"/>
        <v>0.20106476852851918</v>
      </c>
      <c r="AG35" s="809">
        <f t="shared" si="22"/>
        <v>1</v>
      </c>
      <c r="AH35" s="176">
        <f t="shared" si="13"/>
        <v>7</v>
      </c>
      <c r="AI35" s="225">
        <f t="shared" si="23"/>
        <v>1.2010647685285192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6">
        <v>1.2190000000000001</v>
      </c>
      <c r="C36" s="390"/>
      <c r="D36" s="393">
        <f t="shared" si="0"/>
        <v>1.2343867818854373</v>
      </c>
      <c r="E36" s="385">
        <f t="shared" si="17"/>
        <v>1.33567399261228</v>
      </c>
      <c r="F36" s="385">
        <f t="shared" si="1"/>
        <v>1.33567399261228</v>
      </c>
      <c r="G36" s="110">
        <f t="shared" si="18"/>
        <v>5.8169900731294702E-2</v>
      </c>
      <c r="H36" s="414" t="b">
        <f>Wh_hp&gt;='2019'!Maxi_hp</f>
        <v>0</v>
      </c>
      <c r="I36" s="380">
        <f>IF(H36,Wh_hp,'2019'!Maxi_hp)</f>
        <v>9.3865830332541673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1.2465122043785137E-2</v>
      </c>
      <c r="M36" s="843"/>
      <c r="N36" s="843"/>
      <c r="O36" s="48">
        <f>IF(t&lt;Tnet,'2019'!Resal+('2019'!Salim-'2019'!Resal)*(1-EXP(('2019'!Tnet-t)/('2019'!Tau_j))),Resal+(Salim-Resal)*(1-EXP((Tnet-t)/(Tau_j))))*Salcycl</f>
        <v>7.5832284889179771E-2</v>
      </c>
      <c r="P36" s="169">
        <f>(INDEX(Models!$BJ36:$BT36,,T36)*(1-R36)+INDEX(Models!$BJ36:$BT36,,T36+1)*R36-ERP_i)*Q36*Ramure*Pc/MaxiM</f>
        <v>1.2231903333453177E-5</v>
      </c>
      <c r="Q36" s="305">
        <f t="shared" si="2"/>
        <v>0.8</v>
      </c>
      <c r="R36" s="177">
        <f t="shared" si="3"/>
        <v>1.2106570305364048E-3</v>
      </c>
      <c r="S36" s="809">
        <f t="shared" si="4"/>
        <v>0</v>
      </c>
      <c r="T36" s="176">
        <f t="shared" si="5"/>
        <v>6</v>
      </c>
      <c r="U36" s="251">
        <f t="shared" si="20"/>
        <v>1.2106570305364048E-3</v>
      </c>
      <c r="V36" s="383">
        <f t="shared" si="6"/>
        <v>20.955598582516362</v>
      </c>
      <c r="W36" s="402"/>
      <c r="X36" s="157">
        <f t="shared" si="7"/>
        <v>43852</v>
      </c>
      <c r="Y36" s="385">
        <f t="shared" si="8"/>
        <v>1.2190000000000001</v>
      </c>
      <c r="Z36" s="385">
        <f t="shared" si="9"/>
        <v>1.2343867818854373</v>
      </c>
      <c r="AA36" s="386">
        <f t="shared" si="10"/>
        <v>1.33567399261228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7.5832284889179771E-2</v>
      </c>
      <c r="AD36" s="231">
        <f>(INDEX(Models!$BJ36:$BT36,,AH36)*(1-AF36)+INDEX(Models!$BJ36:$BT36,,AH36+1)*AF36-ERP_i)*AE36*Ramure*Pc/MaxiM</f>
        <v>1.3397476345990653E-2</v>
      </c>
      <c r="AE36" s="305">
        <f t="shared" si="12"/>
        <v>0.8</v>
      </c>
      <c r="AF36" s="177">
        <f t="shared" si="21"/>
        <v>0.20114423118305758</v>
      </c>
      <c r="AG36" s="809">
        <f t="shared" si="22"/>
        <v>1</v>
      </c>
      <c r="AH36" s="176">
        <f t="shared" si="13"/>
        <v>7</v>
      </c>
      <c r="AI36" s="225">
        <f t="shared" si="23"/>
        <v>1.2011442311830576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6">
        <v>11.114000000000001</v>
      </c>
      <c r="C37" s="390"/>
      <c r="D37" s="393">
        <f t="shared" si="0"/>
        <v>11.254547958890765</v>
      </c>
      <c r="E37" s="385">
        <f t="shared" si="17"/>
        <v>12.179384735238253</v>
      </c>
      <c r="F37" s="385">
        <f t="shared" si="1"/>
        <v>12.179434160869439</v>
      </c>
      <c r="G37" s="110">
        <f t="shared" si="18"/>
        <v>0.52423740513943407</v>
      </c>
      <c r="H37" s="414" t="b">
        <f>Wh_hp&gt;='2019'!Maxi_hp</f>
        <v>1</v>
      </c>
      <c r="I37" s="380">
        <f>IF(H37,Wh_hp,'2019'!Maxi_hp)</f>
        <v>12.179434160869439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1.2488103423090813E-2</v>
      </c>
      <c r="M37" s="843"/>
      <c r="N37" s="843"/>
      <c r="O37" s="48">
        <f>IF(t&lt;Tnet,'2019'!Resal+('2019'!Salim-'2019'!Resal)*(1-EXP(('2019'!Tnet-t)/('2019'!Tau_j))),Resal+(Salim-Resal)*(1-EXP((Tnet-t)/(Tau_j))))*Salcycl</f>
        <v>7.5934605602176852E-2</v>
      </c>
      <c r="P37" s="169">
        <f>(INDEX(Models!$BJ37:$BT37,,T37)*(1-R37)+INDEX(Models!$BJ37:$BT37,,T37+1)*R37-ERP_i)*Q37*Ramure*Pc/MaxiM</f>
        <v>1.2667950309185365E-5</v>
      </c>
      <c r="Q37" s="305">
        <f t="shared" si="2"/>
        <v>0.8</v>
      </c>
      <c r="R37" s="177">
        <f t="shared" si="3"/>
        <v>1.2934308834691571E-3</v>
      </c>
      <c r="S37" s="809">
        <f t="shared" si="4"/>
        <v>0</v>
      </c>
      <c r="T37" s="176">
        <f t="shared" si="5"/>
        <v>6</v>
      </c>
      <c r="U37" s="251">
        <f t="shared" si="20"/>
        <v>1.2934308834691571E-3</v>
      </c>
      <c r="V37" s="383">
        <f t="shared" si="6"/>
        <v>21.200136047188717</v>
      </c>
      <c r="W37" s="402"/>
      <c r="X37" s="157">
        <f t="shared" si="7"/>
        <v>43853</v>
      </c>
      <c r="Y37" s="385">
        <f t="shared" si="8"/>
        <v>11.067506337312981</v>
      </c>
      <c r="Z37" s="385">
        <f t="shared" si="9"/>
        <v>11.207466336028109</v>
      </c>
      <c r="AA37" s="386">
        <f t="shared" si="10"/>
        <v>12.128434203871004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7.5934605602176852E-2</v>
      </c>
      <c r="AD37" s="231">
        <f>(INDEX(Models!$BJ37:$BT37,,AH37)*(1-AF37)+INDEX(Models!$BJ37:$BT37,,AH37+1)*AF37-ERP_i)*AE37*Ramure*Pc/MaxiM</f>
        <v>1.3071455144414891E-2</v>
      </c>
      <c r="AE37" s="305">
        <f t="shared" si="12"/>
        <v>0.8</v>
      </c>
      <c r="AF37" s="177">
        <f t="shared" si="21"/>
        <v>0.20122700503599034</v>
      </c>
      <c r="AG37" s="809">
        <f t="shared" si="22"/>
        <v>1</v>
      </c>
      <c r="AH37" s="176">
        <f t="shared" si="13"/>
        <v>7</v>
      </c>
      <c r="AI37" s="225">
        <f t="shared" si="23"/>
        <v>1.2012270050359903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6">
        <v>14.2</v>
      </c>
      <c r="C38" s="390"/>
      <c r="D38" s="393">
        <f t="shared" si="0"/>
        <v>14.379908243798317</v>
      </c>
      <c r="E38" s="385">
        <f t="shared" si="17"/>
        <v>15.56329320042709</v>
      </c>
      <c r="F38" s="385">
        <f t="shared" si="1"/>
        <v>15.563398582789198</v>
      </c>
      <c r="G38" s="110">
        <f t="shared" si="18"/>
        <v>0.66202719742465665</v>
      </c>
      <c r="H38" s="414" t="b">
        <f>Wh_hp&gt;='2019'!Maxi_hp</f>
        <v>1</v>
      </c>
      <c r="I38" s="380">
        <f>IF(H38,Wh_hp,'2019'!Maxi_hp)</f>
        <v>15.563398582789198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1.2511084267586181E-2</v>
      </c>
      <c r="M38" s="843"/>
      <c r="N38" s="843"/>
      <c r="O38" s="48">
        <f>IF(t&lt;Tnet,'2019'!Resal+('2019'!Salim-'2019'!Resal)*(1-EXP(('2019'!Tnet-t)/('2019'!Tau_j))),Resal+(Salim-Resal)*(1-EXP((Tnet-t)/(Tau_j))))*Salcycl</f>
        <v>7.6036924922567084E-2</v>
      </c>
      <c r="P38" s="169">
        <f>(INDEX(Models!$BJ38:$BT38,,T38)*(1-R38)+INDEX(Models!$BJ38:$BT38,,T38+1)*R38-ERP_i)*Q38*Ramure*Pc/MaxiM</f>
        <v>1.309228077357959E-5</v>
      </c>
      <c r="Q38" s="305">
        <f t="shared" si="2"/>
        <v>0.8</v>
      </c>
      <c r="R38" s="177">
        <f t="shared" si="3"/>
        <v>1.3796529357445293E-3</v>
      </c>
      <c r="S38" s="809">
        <f t="shared" si="4"/>
        <v>0</v>
      </c>
      <c r="T38" s="176">
        <f t="shared" si="5"/>
        <v>6</v>
      </c>
      <c r="U38" s="251">
        <f t="shared" si="20"/>
        <v>1.3796529357445293E-3</v>
      </c>
      <c r="V38" s="383">
        <f t="shared" si="6"/>
        <v>21.449134257334894</v>
      </c>
      <c r="W38" s="402"/>
      <c r="X38" s="157">
        <f t="shared" si="7"/>
        <v>43854</v>
      </c>
      <c r="Y38" s="385">
        <f t="shared" si="8"/>
        <v>14.106503528580792</v>
      </c>
      <c r="Z38" s="385">
        <f t="shared" si="9"/>
        <v>14.285227209986548</v>
      </c>
      <c r="AA38" s="386">
        <f t="shared" si="10"/>
        <v>15.460820454095931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7.6036924922567084E-2</v>
      </c>
      <c r="AD38" s="231">
        <f>(INDEX(Models!$BJ38:$BT38,,AH38)*(1-AF38)+INDEX(Models!$BJ38:$BT38,,AH38+1)*AF38-ERP_i)*AE38*Ramure*Pc/MaxiM</f>
        <v>1.2743894093861705E-2</v>
      </c>
      <c r="AE38" s="305">
        <f t="shared" si="12"/>
        <v>0.8</v>
      </c>
      <c r="AF38" s="177">
        <f t="shared" si="21"/>
        <v>0.20131322708826582</v>
      </c>
      <c r="AG38" s="809">
        <f t="shared" si="22"/>
        <v>1</v>
      </c>
      <c r="AH38" s="176">
        <f t="shared" si="13"/>
        <v>7</v>
      </c>
      <c r="AI38" s="225">
        <f t="shared" si="23"/>
        <v>1.2013132270882658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6">
        <v>12.512</v>
      </c>
      <c r="C39" s="390"/>
      <c r="D39" s="393">
        <f t="shared" si="0"/>
        <v>12.670816836475316</v>
      </c>
      <c r="E39" s="385">
        <f t="shared" si="17"/>
        <v>13.715072082721091</v>
      </c>
      <c r="F39" s="385">
        <f t="shared" si="1"/>
        <v>13.715145356651767</v>
      </c>
      <c r="G39" s="110">
        <f t="shared" si="18"/>
        <v>0.57652169393476871</v>
      </c>
      <c r="H39" s="414" t="b">
        <f>Wh_hp&gt;='2019'!Maxi_hp</f>
        <v>1</v>
      </c>
      <c r="I39" s="380">
        <f>IF(H39,Wh_hp,'2019'!Maxi_hp)</f>
        <v>13.715145356651767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1.2534064577283788E-2</v>
      </c>
      <c r="M39" s="843"/>
      <c r="N39" s="843"/>
      <c r="O39" s="48">
        <f>IF(t&lt;Tnet,'2019'!Resal+('2019'!Salim-'2019'!Resal)*(1-EXP(('2019'!Tnet-t)/('2019'!Tau_j))),Resal+(Salim-Resal)*(1-EXP((Tnet-t)/(Tau_j))))*Salcycl</f>
        <v>7.6139245929401952E-2</v>
      </c>
      <c r="P39" s="169">
        <f>(INDEX(Models!$BJ39:$BT39,,T39)*(1-R39)+INDEX(Models!$BJ39:$BT39,,T39+1)*R39-ERP_i)*Q39*Ramure*Pc/MaxiM</f>
        <v>1.3524166153491366E-5</v>
      </c>
      <c r="Q39" s="305">
        <f t="shared" si="2"/>
        <v>0.8</v>
      </c>
      <c r="R39" s="177">
        <f t="shared" si="3"/>
        <v>1.4694657734344091E-3</v>
      </c>
      <c r="S39" s="809">
        <f t="shared" si="4"/>
        <v>0</v>
      </c>
      <c r="T39" s="176">
        <f t="shared" si="5"/>
        <v>6</v>
      </c>
      <c r="U39" s="251">
        <f t="shared" si="20"/>
        <v>1.4694657734344091E-3</v>
      </c>
      <c r="V39" s="383">
        <f t="shared" si="6"/>
        <v>21.702388241024646</v>
      </c>
      <c r="W39" s="402"/>
      <c r="X39" s="157">
        <f t="shared" si="7"/>
        <v>43855</v>
      </c>
      <c r="Y39" s="385">
        <f t="shared" si="8"/>
        <v>12.450634211338141</v>
      </c>
      <c r="Z39" s="385">
        <f t="shared" si="9"/>
        <v>12.608672121948441</v>
      </c>
      <c r="AA39" s="386">
        <f t="shared" si="10"/>
        <v>13.647805761196922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7.6139245929401952E-2</v>
      </c>
      <c r="AD39" s="231">
        <f>(INDEX(Models!$BJ39:$BT39,,AH39)*(1-AF39)+INDEX(Models!$BJ39:$BT39,,AH39+1)*AF39-ERP_i)*AE39*Ramure*Pc/MaxiM</f>
        <v>1.2428866163454776E-2</v>
      </c>
      <c r="AE39" s="305">
        <f t="shared" si="12"/>
        <v>0.8</v>
      </c>
      <c r="AF39" s="177">
        <f t="shared" si="21"/>
        <v>0.20140303992595565</v>
      </c>
      <c r="AG39" s="809">
        <f t="shared" si="22"/>
        <v>1</v>
      </c>
      <c r="AH39" s="176">
        <f t="shared" si="13"/>
        <v>7</v>
      </c>
      <c r="AI39" s="225">
        <f t="shared" si="23"/>
        <v>1.2014030399259557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6">
        <v>6.87</v>
      </c>
      <c r="C40" s="390"/>
      <c r="D40" s="393">
        <f t="shared" si="0"/>
        <v>6.9573639274108663</v>
      </c>
      <c r="E40" s="385">
        <f t="shared" si="17"/>
        <v>7.5315837021594767</v>
      </c>
      <c r="F40" s="385">
        <f t="shared" si="1"/>
        <v>7.5315856324904296</v>
      </c>
      <c r="G40" s="110">
        <f t="shared" si="18"/>
        <v>0.31284160746415557</v>
      </c>
      <c r="H40" s="414" t="b">
        <f>Wh_hp&gt;='2019'!Maxi_hp</f>
        <v>0</v>
      </c>
      <c r="I40" s="380">
        <f>IF(H40,Wh_hp,'2019'!Maxi_hp)</f>
        <v>11.93283885569476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1.2557044352195956E-2</v>
      </c>
      <c r="M40" s="843"/>
      <c r="N40" s="843"/>
      <c r="O40" s="48">
        <f>IF(t&lt;Tnet,'2019'!Resal+('2019'!Salim-'2019'!Resal)*(1-EXP(('2019'!Tnet-t)/('2019'!Tau_j))),Resal+(Salim-Resal)*(1-EXP((Tnet-t)/(Tau_j))))*Salcycl</f>
        <v>7.62415711564048E-2</v>
      </c>
      <c r="P40" s="169">
        <f>(INDEX(Models!$BJ40:$BT40,,T40)*(1-R40)+INDEX(Models!$BJ40:$BT40,,T40+1)*R40-ERP_i)*Q40*Ramure*Pc/MaxiM</f>
        <v>1.3966223117932734E-5</v>
      </c>
      <c r="Q40" s="305">
        <f t="shared" si="2"/>
        <v>0.8</v>
      </c>
      <c r="R40" s="177">
        <f t="shared" si="3"/>
        <v>1.5630177883056114E-3</v>
      </c>
      <c r="S40" s="809">
        <f t="shared" si="4"/>
        <v>0</v>
      </c>
      <c r="T40" s="176">
        <f t="shared" si="5"/>
        <v>6</v>
      </c>
      <c r="U40" s="251">
        <f t="shared" si="20"/>
        <v>1.5630177883056114E-3</v>
      </c>
      <c r="V40" s="383">
        <f t="shared" si="6"/>
        <v>21.959693496262307</v>
      </c>
      <c r="W40" s="402"/>
      <c r="X40" s="157">
        <f t="shared" si="7"/>
        <v>43856</v>
      </c>
      <c r="Y40" s="385">
        <f t="shared" si="8"/>
        <v>6.8684729646776317</v>
      </c>
      <c r="Z40" s="385">
        <f t="shared" si="9"/>
        <v>6.9558174731943119</v>
      </c>
      <c r="AA40" s="386">
        <f t="shared" si="10"/>
        <v>7.5299096127349392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7.62415711564048E-2</v>
      </c>
      <c r="AD40" s="231">
        <f>(INDEX(Models!$BJ40:$BT40,,AH40)*(1-AF40)+INDEX(Models!$BJ40:$BT40,,AH40+1)*AF40-ERP_i)*AE40*Ramure*Pc/MaxiM</f>
        <v>1.2126244890013177E-2</v>
      </c>
      <c r="AE40" s="305">
        <f t="shared" si="12"/>
        <v>0.8</v>
      </c>
      <c r="AF40" s="177">
        <f t="shared" si="21"/>
        <v>0.20149659194082692</v>
      </c>
      <c r="AG40" s="809">
        <f t="shared" si="22"/>
        <v>1</v>
      </c>
      <c r="AH40" s="176">
        <f t="shared" si="13"/>
        <v>7</v>
      </c>
      <c r="AI40" s="225">
        <f t="shared" si="23"/>
        <v>1.2014965919408269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6">
        <v>9.8620000000000001</v>
      </c>
      <c r="C41" s="390"/>
      <c r="D41" s="393">
        <f t="shared" si="0"/>
        <v>9.9876448073077952</v>
      </c>
      <c r="E41" s="385">
        <f t="shared" si="17"/>
        <v>10.813163941015935</v>
      </c>
      <c r="F41" s="385">
        <f t="shared" si="1"/>
        <v>10.81319597928765</v>
      </c>
      <c r="G41" s="110">
        <f t="shared" si="18"/>
        <v>0.4438124075351555</v>
      </c>
      <c r="H41" s="414" t="b">
        <f>Wh_hp&gt;='2019'!Maxi_hp</f>
        <v>0</v>
      </c>
      <c r="I41" s="380">
        <f>IF(H41,Wh_hp,'2019'!Maxi_hp)</f>
        <v>12.936592620258565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1.2580023592335121E-2</v>
      </c>
      <c r="M41" s="843"/>
      <c r="N41" s="843"/>
      <c r="O41" s="48">
        <f>IF(t&lt;Tnet,'2019'!Resal+('2019'!Salim-'2019'!Resal)*(1-EXP(('2019'!Tnet-t)/('2019'!Tau_j))),Resal+(Salim-Resal)*(1-EXP((Tnet-t)/(Tau_j))))*Salcycl</f>
        <v>7.6343902507278419E-2</v>
      </c>
      <c r="P41" s="169">
        <f>(INDEX(Models!$BJ41:$BT41,,T41)*(1-R41)+INDEX(Models!$BJ41:$BT41,,T41+1)*R41-ERP_i)*Q41*Ramure*Pc/MaxiM</f>
        <v>1.4421197755044873E-5</v>
      </c>
      <c r="Q41" s="305">
        <f t="shared" si="2"/>
        <v>0.8</v>
      </c>
      <c r="R41" s="177">
        <f t="shared" si="3"/>
        <v>1.6604634064917021E-3</v>
      </c>
      <c r="S41" s="809">
        <f t="shared" si="4"/>
        <v>0</v>
      </c>
      <c r="T41" s="176">
        <f t="shared" si="5"/>
        <v>6</v>
      </c>
      <c r="U41" s="251">
        <f t="shared" si="20"/>
        <v>1.6604634064917021E-3</v>
      </c>
      <c r="V41" s="383">
        <f t="shared" si="6"/>
        <v>22.220845632887791</v>
      </c>
      <c r="W41" s="402"/>
      <c r="X41" s="157">
        <f t="shared" si="7"/>
        <v>43857</v>
      </c>
      <c r="Y41" s="385">
        <f t="shared" si="8"/>
        <v>9.8380474863034983</v>
      </c>
      <c r="Z41" s="385">
        <f t="shared" si="9"/>
        <v>9.963387131477047</v>
      </c>
      <c r="AA41" s="386">
        <f t="shared" si="10"/>
        <v>10.786901270421763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7.6343902507278419E-2</v>
      </c>
      <c r="AD41" s="231">
        <f>(INDEX(Models!$BJ41:$BT41,,AH41)*(1-AF41)+INDEX(Models!$BJ41:$BT41,,AH41+1)*AF41-ERP_i)*AE41*Ramure*Pc/MaxiM</f>
        <v>1.1835881779918801E-2</v>
      </c>
      <c r="AE41" s="305">
        <f t="shared" si="12"/>
        <v>0.8</v>
      </c>
      <c r="AF41" s="177">
        <f t="shared" si="21"/>
        <v>0.20159403755901284</v>
      </c>
      <c r="AG41" s="809">
        <f t="shared" si="22"/>
        <v>1</v>
      </c>
      <c r="AH41" s="176">
        <f t="shared" si="13"/>
        <v>7</v>
      </c>
      <c r="AI41" s="225">
        <f t="shared" si="23"/>
        <v>1.2015940375590128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6">
        <v>15.164999999999999</v>
      </c>
      <c r="C42" s="390"/>
      <c r="D42" s="393">
        <f t="shared" si="0"/>
        <v>15.358564017603442</v>
      </c>
      <c r="E42" s="385">
        <f t="shared" si="17"/>
        <v>16.629853834713508</v>
      </c>
      <c r="F42" s="385">
        <f t="shared" si="1"/>
        <v>16.629986304600674</v>
      </c>
      <c r="G42" s="110">
        <f t="shared" si="18"/>
        <v>0.67442575381224856</v>
      </c>
      <c r="H42" s="414" t="b">
        <f>Wh_hp&gt;='2019'!Maxi_hp</f>
        <v>1</v>
      </c>
      <c r="I42" s="380">
        <f>IF(H42,Wh_hp,'2019'!Maxi_hp)</f>
        <v>16.629986304600674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1.2603002297713939E-2</v>
      </c>
      <c r="M42" s="843"/>
      <c r="N42" s="843"/>
      <c r="O42" s="48">
        <f>IF(t&lt;Tnet,'2019'!Resal+('2019'!Salim-'2019'!Resal)*(1-EXP(('2019'!Tnet-t)/('2019'!Tau_j))),Resal+(Salim-Resal)*(1-EXP((Tnet-t)/(Tau_j))))*Salcycl</f>
        <v>7.6446241184414343E-2</v>
      </c>
      <c r="P42" s="169">
        <f>(INDEX(Models!$BJ42:$BT42,,T42)*(1-R42)+INDEX(Models!$BJ42:$BT42,,T42+1)*R42-ERP_i)*Q42*Ramure*Pc/MaxiM</f>
        <v>1.4891971069427807E-5</v>
      </c>
      <c r="Q42" s="305">
        <f t="shared" si="2"/>
        <v>0.8</v>
      </c>
      <c r="R42" s="177">
        <f t="shared" si="3"/>
        <v>1.7619633255068449E-3</v>
      </c>
      <c r="S42" s="809">
        <f t="shared" si="4"/>
        <v>0</v>
      </c>
      <c r="T42" s="176">
        <f t="shared" si="5"/>
        <v>6</v>
      </c>
      <c r="U42" s="251">
        <f t="shared" si="20"/>
        <v>1.7619633255068449E-3</v>
      </c>
      <c r="V42" s="383">
        <f t="shared" si="6"/>
        <v>22.485640379109547</v>
      </c>
      <c r="W42" s="402"/>
      <c r="X42" s="157">
        <f t="shared" si="7"/>
        <v>43858</v>
      </c>
      <c r="Y42" s="385">
        <f t="shared" si="8"/>
        <v>15.071367415056976</v>
      </c>
      <c r="Z42" s="385">
        <f t="shared" si="9"/>
        <v>15.263736318956484</v>
      </c>
      <c r="AA42" s="386">
        <f t="shared" si="10"/>
        <v>16.527176867897229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7.6446241184414343E-2</v>
      </c>
      <c r="AD42" s="231">
        <f>(INDEX(Models!$BJ42:$BT42,,AH42)*(1-AF42)+INDEX(Models!$BJ42:$BT42,,AH42+1)*AF42-ERP_i)*AE42*Ramure*Pc/MaxiM</f>
        <v>1.1557608976747834E-2</v>
      </c>
      <c r="AE42" s="305">
        <f t="shared" si="12"/>
        <v>0.8</v>
      </c>
      <c r="AF42" s="177">
        <f t="shared" si="21"/>
        <v>0.20169553747802804</v>
      </c>
      <c r="AG42" s="809">
        <f t="shared" si="22"/>
        <v>1</v>
      </c>
      <c r="AH42" s="176">
        <f t="shared" si="13"/>
        <v>7</v>
      </c>
      <c r="AI42" s="225">
        <f t="shared" si="23"/>
        <v>1.201695537478028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6">
        <v>14.151999999999999</v>
      </c>
      <c r="C43" s="390"/>
      <c r="D43" s="393">
        <f t="shared" si="0"/>
        <v>14.332967771131722</v>
      </c>
      <c r="E43" s="385">
        <f t="shared" si="17"/>
        <v>15.521084898631042</v>
      </c>
      <c r="F43" s="385">
        <f t="shared" si="1"/>
        <v>15.521194705525005</v>
      </c>
      <c r="G43" s="110">
        <f t="shared" si="18"/>
        <v>0.62195486789122201</v>
      </c>
      <c r="H43" s="414" t="b">
        <f>Wh_hp&gt;='2019'!Maxi_hp</f>
        <v>1</v>
      </c>
      <c r="I43" s="380">
        <f>IF(H43,Wh_hp,'2019'!Maxi_hp)</f>
        <v>15.521194705525005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1.2625980468344622E-2</v>
      </c>
      <c r="M43" s="843"/>
      <c r="N43" s="843"/>
      <c r="O43" s="48">
        <f>IF(t&lt;Tnet,'2019'!Resal+('2019'!Salim-'2019'!Resal)*(1-EXP(('2019'!Tnet-t)/('2019'!Tau_j))),Resal+(Salim-Resal)*(1-EXP((Tnet-t)/(Tau_j))))*Salcycl</f>
        <v>7.65485876315328E-2</v>
      </c>
      <c r="P43" s="169">
        <f>(INDEX(Models!$BJ43:$BT43,,T43)*(1-R43)+INDEX(Models!$BJ43:$BT43,,T43+1)*R43-ERP_i)*Q43*Ramure*Pc/MaxiM</f>
        <v>1.5381565348337864E-5</v>
      </c>
      <c r="Q43" s="305">
        <f t="shared" si="2"/>
        <v>0.8</v>
      </c>
      <c r="R43" s="177">
        <f t="shared" si="3"/>
        <v>1.8676847598491724E-3</v>
      </c>
      <c r="S43" s="809">
        <f t="shared" si="4"/>
        <v>0</v>
      </c>
      <c r="T43" s="176">
        <f t="shared" si="5"/>
        <v>6</v>
      </c>
      <c r="U43" s="251">
        <f t="shared" si="20"/>
        <v>1.8676847598491724E-3</v>
      </c>
      <c r="V43" s="383">
        <f t="shared" si="6"/>
        <v>22.753873585024156</v>
      </c>
      <c r="W43" s="402"/>
      <c r="X43" s="157">
        <f t="shared" si="7"/>
        <v>43859</v>
      </c>
      <c r="Y43" s="385">
        <f t="shared" si="8"/>
        <v>14.078603643505586</v>
      </c>
      <c r="Z43" s="385">
        <f t="shared" si="9"/>
        <v>14.258632863546014</v>
      </c>
      <c r="AA43" s="386">
        <f t="shared" si="10"/>
        <v>15.440588072712442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7.65485876315328E-2</v>
      </c>
      <c r="AD43" s="231">
        <f>(INDEX(Models!$BJ43:$BT43,,AH43)*(1-AF43)+INDEX(Models!$BJ43:$BT43,,AH43+1)*AF43-ERP_i)*AE43*Ramure*Pc/MaxiM</f>
        <v>1.1291241791471682E-2</v>
      </c>
      <c r="AE43" s="305">
        <f t="shared" si="12"/>
        <v>0.8</v>
      </c>
      <c r="AF43" s="177">
        <f t="shared" si="21"/>
        <v>0.20180125891237033</v>
      </c>
      <c r="AG43" s="809">
        <f t="shared" si="22"/>
        <v>1</v>
      </c>
      <c r="AH43" s="176">
        <f t="shared" si="13"/>
        <v>7</v>
      </c>
      <c r="AI43" s="225">
        <f t="shared" si="23"/>
        <v>1.2018012589123703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6">
        <v>10.333</v>
      </c>
      <c r="C44" s="390"/>
      <c r="D44" s="393">
        <f t="shared" si="0"/>
        <v>10.465376103883129</v>
      </c>
      <c r="E44" s="385">
        <f t="shared" si="17"/>
        <v>11.334149320277756</v>
      </c>
      <c r="F44" s="385">
        <f t="shared" si="1"/>
        <v>11.334187659797209</v>
      </c>
      <c r="G44" s="110">
        <f t="shared" si="18"/>
        <v>0.4487608079312142</v>
      </c>
      <c r="H44" s="414" t="b">
        <f>Wh_hp&gt;='2019'!Maxi_hp</f>
        <v>1</v>
      </c>
      <c r="I44" s="380">
        <f>IF(H44,Wh_hp,'2019'!Maxi_hp)</f>
        <v>11.334187659797209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1.2648958104239716E-2</v>
      </c>
      <c r="M44" s="843"/>
      <c r="N44" s="843"/>
      <c r="O44" s="48">
        <f>IF(t&lt;Tnet,'2019'!Resal+('2019'!Salim-'2019'!Resal)*(1-EXP(('2019'!Tnet-t)/('2019'!Tau_j))),Resal+(Salim-Resal)*(1-EXP((Tnet-t)/(Tau_j))))*Salcycl</f>
        <v>7.6650941490625873E-2</v>
      </c>
      <c r="P44" s="169">
        <f>(INDEX(Models!$BJ44:$BT44,,T44)*(1-R44)+INDEX(Models!$BJ44:$BT44,,T44+1)*R44-ERP_i)*Q44*Ramure*Pc/MaxiM</f>
        <v>1.5916565357592279E-5</v>
      </c>
      <c r="Q44" s="305">
        <f t="shared" si="2"/>
        <v>0.8</v>
      </c>
      <c r="R44" s="177">
        <f t="shared" si="3"/>
        <v>1.9778016954413381E-3</v>
      </c>
      <c r="S44" s="809">
        <f t="shared" si="4"/>
        <v>0</v>
      </c>
      <c r="T44" s="176">
        <f t="shared" si="5"/>
        <v>6</v>
      </c>
      <c r="U44" s="251">
        <f t="shared" si="20"/>
        <v>1.9778016954413381E-3</v>
      </c>
      <c r="V44" s="383">
        <f t="shared" si="6"/>
        <v>23.025340680227391</v>
      </c>
      <c r="W44" s="402"/>
      <c r="X44" s="157">
        <f t="shared" si="7"/>
        <v>43860</v>
      </c>
      <c r="Y44" s="385">
        <f t="shared" si="8"/>
        <v>10.308772371513676</v>
      </c>
      <c r="Z44" s="385">
        <f t="shared" si="9"/>
        <v>10.44083809515241</v>
      </c>
      <c r="AA44" s="386">
        <f t="shared" si="10"/>
        <v>11.30757431215425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7.6650941490625873E-2</v>
      </c>
      <c r="AD44" s="231">
        <f>(INDEX(Models!$BJ44:$BT44,,AH44)*(1-AF44)+INDEX(Models!$BJ44:$BT44,,AH44+1)*AF44-ERP_i)*AE44*Ramure*Pc/MaxiM</f>
        <v>1.1048471477795124E-2</v>
      </c>
      <c r="AE44" s="305">
        <f t="shared" si="12"/>
        <v>0.8</v>
      </c>
      <c r="AF44" s="177">
        <f t="shared" si="21"/>
        <v>0.20191137584796248</v>
      </c>
      <c r="AG44" s="809">
        <f t="shared" si="22"/>
        <v>1</v>
      </c>
      <c r="AH44" s="176">
        <f t="shared" si="13"/>
        <v>7</v>
      </c>
      <c r="AI44" s="225">
        <f t="shared" si="23"/>
        <v>1.2019113758479625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6">
        <v>17.905999999999999</v>
      </c>
      <c r="C45" s="390"/>
      <c r="D45" s="393">
        <f t="shared" si="0"/>
        <v>18.135815883776491</v>
      </c>
      <c r="E45" s="385">
        <f t="shared" si="17"/>
        <v>19.643520972979392</v>
      </c>
      <c r="F45" s="385">
        <f t="shared" si="1"/>
        <v>19.643738017718885</v>
      </c>
      <c r="G45" s="110">
        <f t="shared" si="18"/>
        <v>0.76849901657547237</v>
      </c>
      <c r="H45" s="414" t="b">
        <f>Wh_hp&gt;='2019'!Maxi_hp</f>
        <v>1</v>
      </c>
      <c r="I45" s="380">
        <f>IF(H45,Wh_hp,'2019'!Maxi_hp)</f>
        <v>19.643738017718885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1.2671935205411655E-2</v>
      </c>
      <c r="M45" s="843"/>
      <c r="N45" s="843"/>
      <c r="O45" s="48">
        <f>IF(t&lt;Tnet,'2019'!Resal+('2019'!Salim-'2019'!Resal)*(1-EXP(('2019'!Tnet-t)/('2019'!Tau_j))),Resal+(Salim-Resal)*(1-EXP((Tnet-t)/(Tau_j))))*Salcycl</f>
        <v>7.6753301573420599E-2</v>
      </c>
      <c r="P45" s="169">
        <f>(INDEX(Models!$BJ45:$BT45,,T45)*(1-R45)+INDEX(Models!$BJ45:$BT45,,T45+1)*R45-ERP_i)*Q45*Ramure*Pc/MaxiM</f>
        <v>1.6508613422118966E-5</v>
      </c>
      <c r="Q45" s="305">
        <f t="shared" si="2"/>
        <v>0.8</v>
      </c>
      <c r="R45" s="177">
        <f t="shared" si="3"/>
        <v>2.092495153157411E-3</v>
      </c>
      <c r="S45" s="809">
        <f t="shared" si="4"/>
        <v>0</v>
      </c>
      <c r="T45" s="176">
        <f t="shared" si="5"/>
        <v>6</v>
      </c>
      <c r="U45" s="251">
        <f t="shared" si="20"/>
        <v>2.092495153157411E-3</v>
      </c>
      <c r="V45" s="383">
        <f t="shared" si="6"/>
        <v>23.299837545473519</v>
      </c>
      <c r="W45" s="402"/>
      <c r="X45" s="157">
        <f t="shared" si="7"/>
        <v>43861</v>
      </c>
      <c r="Y45" s="385">
        <f t="shared" si="8"/>
        <v>17.776365413454251</v>
      </c>
      <c r="Z45" s="385">
        <f t="shared" si="9"/>
        <v>18.004517492524219</v>
      </c>
      <c r="AA45" s="386">
        <f t="shared" si="10"/>
        <v>19.50130720554753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7.6753301573420599E-2</v>
      </c>
      <c r="AD45" s="231">
        <f>(INDEX(Models!$BJ45:$BT45,,AH45)*(1-AF45)+INDEX(Models!$BJ45:$BT45,,AH45+1)*AF45-ERP_i)*AE45*Ramure*Pc/MaxiM</f>
        <v>1.0833412609042305E-2</v>
      </c>
      <c r="AE45" s="305">
        <f t="shared" si="12"/>
        <v>0.8</v>
      </c>
      <c r="AF45" s="177">
        <f t="shared" si="21"/>
        <v>0.20202606930567857</v>
      </c>
      <c r="AG45" s="809">
        <f t="shared" si="22"/>
        <v>1</v>
      </c>
      <c r="AH45" s="176">
        <f t="shared" si="13"/>
        <v>7</v>
      </c>
      <c r="AI45" s="225">
        <f t="shared" si="23"/>
        <v>1.2020260693056786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6">
        <v>12.917</v>
      </c>
      <c r="C46" s="390"/>
      <c r="D46" s="393">
        <f t="shared" si="0"/>
        <v>13.083088656193974</v>
      </c>
      <c r="E46" s="385">
        <f t="shared" si="17"/>
        <v>14.172311059249374</v>
      </c>
      <c r="F46" s="385">
        <f t="shared" si="1"/>
        <v>14.172397198840834</v>
      </c>
      <c r="G46" s="110">
        <f t="shared" si="18"/>
        <v>0.54785464551173924</v>
      </c>
      <c r="H46" s="414" t="b">
        <f>Wh_hp&gt;='2019'!Maxi_hp</f>
        <v>0</v>
      </c>
      <c r="I46" s="380">
        <f>IF(H46,Wh_hp,'2019'!Maxi_hp)</f>
        <v>19.85137426834298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1.2694911771872874E-2</v>
      </c>
      <c r="M46" s="843"/>
      <c r="N46" s="843"/>
      <c r="O46" s="48">
        <f>IF(t&lt;Tnet,'2019'!Resal+('2019'!Salim-'2019'!Resal)*(1-EXP(('2019'!Tnet-t)/('2019'!Tau_j))),Resal+(Salim-Resal)*(1-EXP((Tnet-t)/(Tau_j))))*Salcycl</f>
        <v>7.6855665847422386E-2</v>
      </c>
      <c r="P46" s="169">
        <f>(INDEX(Models!$BJ46:$BT46,,T46)*(1-R46)+INDEX(Models!$BJ46:$BT46,,T46+1)*R46-ERP_i)*Q46*Ramure*Pc/MaxiM</f>
        <v>1.71652378501519E-5</v>
      </c>
      <c r="Q46" s="305">
        <f t="shared" si="2"/>
        <v>0.8</v>
      </c>
      <c r="R46" s="177">
        <f t="shared" si="3"/>
        <v>2.2119534616859803E-3</v>
      </c>
      <c r="S46" s="809">
        <f t="shared" si="4"/>
        <v>0</v>
      </c>
      <c r="T46" s="176">
        <f t="shared" si="5"/>
        <v>6</v>
      </c>
      <c r="U46" s="251">
        <f t="shared" si="20"/>
        <v>2.2119534616859803E-3</v>
      </c>
      <c r="V46" s="383">
        <f t="shared" si="6"/>
        <v>23.577160275779548</v>
      </c>
      <c r="W46" s="402"/>
      <c r="X46" s="157">
        <f t="shared" si="7"/>
        <v>43862</v>
      </c>
      <c r="Y46" s="385">
        <f t="shared" si="8"/>
        <v>12.86838955488691</v>
      </c>
      <c r="Z46" s="385">
        <f t="shared" si="9"/>
        <v>13.033853170939533</v>
      </c>
      <c r="AA46" s="386">
        <f t="shared" si="10"/>
        <v>14.118976511841208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7.6855665847422386E-2</v>
      </c>
      <c r="AD46" s="231">
        <f>(INDEX(Models!$BJ46:$BT46,,AH46)*(1-AF46)+INDEX(Models!$BJ46:$BT46,,AH46+1)*AF46-ERP_i)*AE46*Ramure*Pc/MaxiM</f>
        <v>1.0645265236740175E-2</v>
      </c>
      <c r="AE46" s="305">
        <f t="shared" si="12"/>
        <v>0.8</v>
      </c>
      <c r="AF46" s="177">
        <f t="shared" si="21"/>
        <v>0.20214552761420723</v>
      </c>
      <c r="AG46" s="809">
        <f t="shared" si="22"/>
        <v>1</v>
      </c>
      <c r="AH46" s="176">
        <f t="shared" si="13"/>
        <v>7</v>
      </c>
      <c r="AI46" s="225">
        <f t="shared" si="23"/>
        <v>1.2021455276142072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6">
        <v>21.202000000000002</v>
      </c>
      <c r="C47" s="390"/>
      <c r="D47" s="393">
        <f t="shared" si="0"/>
        <v>21.475118143113953</v>
      </c>
      <c r="E47" s="385">
        <f t="shared" si="17"/>
        <v>23.265592328953069</v>
      </c>
      <c r="F47" s="385">
        <f t="shared" si="1"/>
        <v>23.265942466374241</v>
      </c>
      <c r="G47" s="110">
        <f t="shared" si="18"/>
        <v>0.88870546562636454</v>
      </c>
      <c r="H47" s="414" t="b">
        <f>Wh_hp&gt;='2019'!Maxi_hp</f>
        <v>1</v>
      </c>
      <c r="I47" s="380">
        <f>IF(H47,Wh_hp,'2019'!Maxi_hp)</f>
        <v>23.265942466374241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1.2717887803635919E-2</v>
      </c>
      <c r="M47" s="843"/>
      <c r="N47" s="843"/>
      <c r="O47" s="48">
        <f>IF(t&lt;Tnet,'2019'!Resal+('2019'!Salim-'2019'!Resal)*(1-EXP(('2019'!Tnet-t)/('2019'!Tau_j))),Resal+(Salim-Resal)*(1-EXP((Tnet-t)/(Tau_j))))*Salcycl</f>
        <v>7.6958031436446458E-2</v>
      </c>
      <c r="P47" s="169">
        <f>(INDEX(Models!$BJ47:$BT47,,T47)*(1-R47)+INDEX(Models!$BJ47:$BT47,,T47+1)*R47-ERP_i)*Q47*Ramure*Pc/MaxiM</f>
        <v>1.7894352401722795E-5</v>
      </c>
      <c r="Q47" s="305">
        <f t="shared" si="2"/>
        <v>0.8</v>
      </c>
      <c r="R47" s="177">
        <f t="shared" si="3"/>
        <v>2.3363725399798371E-3</v>
      </c>
      <c r="S47" s="809">
        <f t="shared" si="4"/>
        <v>0</v>
      </c>
      <c r="T47" s="176">
        <f t="shared" si="5"/>
        <v>6</v>
      </c>
      <c r="U47" s="251">
        <f t="shared" si="20"/>
        <v>2.3363725399798371E-3</v>
      </c>
      <c r="V47" s="383">
        <f t="shared" si="6"/>
        <v>23.857105080937266</v>
      </c>
      <c r="W47" s="402"/>
      <c r="X47" s="157">
        <f t="shared" si="7"/>
        <v>43863</v>
      </c>
      <c r="Y47" s="385">
        <f t="shared" si="8"/>
        <v>21.015388327534744</v>
      </c>
      <c r="Z47" s="385">
        <f t="shared" si="9"/>
        <v>21.286102592077469</v>
      </c>
      <c r="AA47" s="386">
        <f t="shared" si="10"/>
        <v>23.060817727717296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7.6958031436446458E-2</v>
      </c>
      <c r="AD47" s="231">
        <f>(INDEX(Models!$BJ47:$BT47,,AH47)*(1-AF47)+INDEX(Models!$BJ47:$BT47,,AH47+1)*AF47-ERP_i)*AE47*Ramure*Pc/MaxiM</f>
        <v>1.0483239259485615E-2</v>
      </c>
      <c r="AE47" s="305">
        <f t="shared" si="12"/>
        <v>0.8</v>
      </c>
      <c r="AF47" s="177">
        <f t="shared" si="21"/>
        <v>0.20226994669250109</v>
      </c>
      <c r="AG47" s="809">
        <f t="shared" si="22"/>
        <v>1</v>
      </c>
      <c r="AH47" s="176">
        <f t="shared" si="13"/>
        <v>7</v>
      </c>
      <c r="AI47" s="225">
        <f t="shared" si="23"/>
        <v>1.2022699466925011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6">
        <v>19.891999999999999</v>
      </c>
      <c r="C48" s="390"/>
      <c r="D48" s="393">
        <f t="shared" si="0"/>
        <v>20.148711985087438</v>
      </c>
      <c r="E48" s="385">
        <f t="shared" si="17"/>
        <v>21.831018918218081</v>
      </c>
      <c r="F48" s="385">
        <f t="shared" si="1"/>
        <v>21.831324615372054</v>
      </c>
      <c r="G48" s="110">
        <f t="shared" si="18"/>
        <v>0.82404078824748805</v>
      </c>
      <c r="H48" s="414" t="b">
        <f>Wh_hp&gt;='2019'!Maxi_hp</f>
        <v>1</v>
      </c>
      <c r="I48" s="380">
        <f>IF(H48,Wh_hp,'2019'!Maxi_hp)</f>
        <v>21.831324615372054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1.2740863300713001E-2</v>
      </c>
      <c r="M48" s="843"/>
      <c r="N48" s="843"/>
      <c r="O48" s="48">
        <f>IF(t&lt;Tnet,'2019'!Resal+('2019'!Salim-'2019'!Resal)*(1-EXP(('2019'!Tnet-t)/('2019'!Tau_j))),Resal+(Salim-Resal)*(1-EXP((Tnet-t)/(Tau_j))))*Salcycl</f>
        <v>7.7060394635394228E-2</v>
      </c>
      <c r="P48" s="169">
        <f>(INDEX(Models!$BJ48:$BT48,,T48)*(1-R48)+INDEX(Models!$BJ48:$BT48,,T48+1)*R48-ERP_i)*Q48*Ramure*Pc/MaxiM</f>
        <v>1.8704282192939134E-5</v>
      </c>
      <c r="Q48" s="305">
        <f t="shared" si="2"/>
        <v>0.8</v>
      </c>
      <c r="R48" s="177">
        <f t="shared" si="3"/>
        <v>2.4659561895394172E-3</v>
      </c>
      <c r="S48" s="809">
        <f t="shared" si="4"/>
        <v>0</v>
      </c>
      <c r="T48" s="176">
        <f t="shared" si="5"/>
        <v>6</v>
      </c>
      <c r="U48" s="251">
        <f t="shared" si="20"/>
        <v>2.4659561895394172E-3</v>
      </c>
      <c r="V48" s="383">
        <f t="shared" si="6"/>
        <v>24.139468286292811</v>
      </c>
      <c r="W48" s="402"/>
      <c r="X48" s="157">
        <f t="shared" si="7"/>
        <v>43864</v>
      </c>
      <c r="Y48" s="385">
        <f t="shared" si="8"/>
        <v>19.738196988961551</v>
      </c>
      <c r="Z48" s="385">
        <f t="shared" si="9"/>
        <v>19.992924101925716</v>
      </c>
      <c r="AA48" s="386">
        <f t="shared" si="10"/>
        <v>21.662223601323888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7.7060394635394228E-2</v>
      </c>
      <c r="AD48" s="231">
        <f>(INDEX(Models!$BJ48:$BT48,,AH48)*(1-AF48)+INDEX(Models!$BJ48:$BT48,,AH48+1)*AF48-ERP_i)*AE48*Ramure*Pc/MaxiM</f>
        <v>1.0346557188302043E-2</v>
      </c>
      <c r="AE48" s="305">
        <f t="shared" si="12"/>
        <v>0.8</v>
      </c>
      <c r="AF48" s="177">
        <f t="shared" si="21"/>
        <v>0.20239953034206071</v>
      </c>
      <c r="AG48" s="809">
        <f t="shared" si="22"/>
        <v>1</v>
      </c>
      <c r="AH48" s="176">
        <f t="shared" si="13"/>
        <v>7</v>
      </c>
      <c r="AI48" s="225">
        <f t="shared" si="23"/>
        <v>1.2023995303420607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6">
        <v>14.071</v>
      </c>
      <c r="C49" s="390"/>
      <c r="D49" s="393">
        <f t="shared" si="0"/>
        <v>14.252921991070849</v>
      </c>
      <c r="E49" s="385">
        <f t="shared" si="17"/>
        <v>15.444675651716134</v>
      </c>
      <c r="F49" s="385">
        <f t="shared" si="1"/>
        <v>15.444795080871078</v>
      </c>
      <c r="G49" s="110">
        <f t="shared" si="18"/>
        <v>0.5761057267158417</v>
      </c>
      <c r="H49" s="414" t="b">
        <f>Wh_hp&gt;='2019'!Maxi_hp</f>
        <v>0</v>
      </c>
      <c r="I49" s="380">
        <f>IF(H49,Wh_hp,'2019'!Maxi_hp)</f>
        <v>19.89663781404116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1.2763838263116778E-2</v>
      </c>
      <c r="M49" s="843"/>
      <c r="N49" s="843"/>
      <c r="O49" s="48">
        <f>IF(t&lt;Tnet,'2019'!Resal+('2019'!Salim-'2019'!Resal)*(1-EXP(('2019'!Tnet-t)/('2019'!Tau_j))),Resal+(Salim-Resal)*(1-EXP((Tnet-t)/(Tau_j))))*Salcycl</f>
        <v>7.7162750938888316E-2</v>
      </c>
      <c r="P49" s="169">
        <f>(INDEX(Models!$BJ49:$BT49,,T49)*(1-R49)+INDEX(Models!$BJ49:$BT49,,T49+1)*R49-ERP_i)*Q49*Ramure*Pc/MaxiM</f>
        <v>1.960379159737382E-5</v>
      </c>
      <c r="Q49" s="305">
        <f t="shared" si="2"/>
        <v>0.8</v>
      </c>
      <c r="R49" s="177">
        <f t="shared" si="3"/>
        <v>2.6009163967785783E-3</v>
      </c>
      <c r="S49" s="809">
        <f t="shared" si="4"/>
        <v>0</v>
      </c>
      <c r="T49" s="176">
        <f t="shared" si="5"/>
        <v>6</v>
      </c>
      <c r="U49" s="251">
        <f t="shared" si="20"/>
        <v>2.6009163967785783E-3</v>
      </c>
      <c r="V49" s="383">
        <f t="shared" si="6"/>
        <v>24.424046329223547</v>
      </c>
      <c r="W49" s="402"/>
      <c r="X49" s="157">
        <f t="shared" si="7"/>
        <v>43865</v>
      </c>
      <c r="Y49" s="385">
        <f t="shared" si="8"/>
        <v>14.014304503377936</v>
      </c>
      <c r="Z49" s="385">
        <f t="shared" si="9"/>
        <v>14.195493486302226</v>
      </c>
      <c r="AA49" s="386">
        <f t="shared" si="10"/>
        <v>15.382445280296851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7.7162750938888316E-2</v>
      </c>
      <c r="AD49" s="231">
        <f>(INDEX(Models!$BJ49:$BT49,,AH49)*(1-AF49)+INDEX(Models!$BJ49:$BT49,,AH49+1)*AF49-ERP_i)*AE49*Ramure*Pc/MaxiM</f>
        <v>1.0234456545872787E-2</v>
      </c>
      <c r="AE49" s="305">
        <f t="shared" si="12"/>
        <v>0.8</v>
      </c>
      <c r="AF49" s="177">
        <f t="shared" si="21"/>
        <v>0.20253449054929984</v>
      </c>
      <c r="AG49" s="809">
        <f t="shared" si="22"/>
        <v>1</v>
      </c>
      <c r="AH49" s="176">
        <f t="shared" si="13"/>
        <v>7</v>
      </c>
      <c r="AI49" s="225">
        <f t="shared" si="23"/>
        <v>1.2025344905492998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6">
        <v>24.663</v>
      </c>
      <c r="C50" s="390"/>
      <c r="D50" s="393">
        <f t="shared" si="0"/>
        <v>24.982445855716591</v>
      </c>
      <c r="E50" s="385">
        <f t="shared" si="17"/>
        <v>27.074347922245668</v>
      </c>
      <c r="F50" s="385">
        <f t="shared" si="1"/>
        <v>27.074904186376749</v>
      </c>
      <c r="G50" s="110">
        <f t="shared" si="18"/>
        <v>0.99807220008024544</v>
      </c>
      <c r="H50" s="414" t="b">
        <f>Wh_hp&gt;='2019'!Maxi_hp</f>
        <v>1</v>
      </c>
      <c r="I50" s="380">
        <f>IF(H50,Wh_hp,'2019'!Maxi_hp)</f>
        <v>27.074904186376749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1.2786812690859684E-2</v>
      </c>
      <c r="M50" s="843"/>
      <c r="N50" s="843"/>
      <c r="O50" s="48">
        <f>IF(t&lt;Tnet,'2019'!Resal+('2019'!Salim-'2019'!Resal)*(1-EXP(('2019'!Tnet-t)/('2019'!Tau_j))),Resal+(Salim-Resal)*(1-EXP((Tnet-t)/(Tau_j))))*Salcycl</f>
        <v>7.7265095083241683E-2</v>
      </c>
      <c r="P50" s="169">
        <f>(INDEX(Models!$BJ50:$BT50,,T50)*(1-R50)+INDEX(Models!$BJ50:$BT50,,T50+1)*R50-ERP_i)*Q50*Ramure*Pc/MaxiM</f>
        <v>2.0602114193667746E-5</v>
      </c>
      <c r="Q50" s="305">
        <f t="shared" si="2"/>
        <v>0.8</v>
      </c>
      <c r="R50" s="177">
        <f t="shared" si="3"/>
        <v>2.7414736457155977E-3</v>
      </c>
      <c r="S50" s="809">
        <f t="shared" si="4"/>
        <v>0</v>
      </c>
      <c r="T50" s="176">
        <f t="shared" si="5"/>
        <v>6</v>
      </c>
      <c r="U50" s="251">
        <f t="shared" si="20"/>
        <v>2.7414736457155977E-3</v>
      </c>
      <c r="V50" s="383">
        <f t="shared" si="6"/>
        <v>24.71063576231731</v>
      </c>
      <c r="W50" s="402"/>
      <c r="X50" s="157">
        <f t="shared" si="7"/>
        <v>43866</v>
      </c>
      <c r="Y50" s="385">
        <f t="shared" si="8"/>
        <v>24.413955190891045</v>
      </c>
      <c r="Z50" s="385">
        <f t="shared" si="9"/>
        <v>24.730175310397218</v>
      </c>
      <c r="AA50" s="386">
        <f t="shared" si="10"/>
        <v>26.800953533483352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7.7265095083241683E-2</v>
      </c>
      <c r="AD50" s="231">
        <f>(INDEX(Models!$BJ50:$BT50,,AH50)*(1-AF50)+INDEX(Models!$BJ50:$BT50,,AH50+1)*AF50-ERP_i)*AE50*Ramure*Pc/MaxiM</f>
        <v>1.0146191923911125E-2</v>
      </c>
      <c r="AE50" s="305">
        <f t="shared" si="12"/>
        <v>0.8</v>
      </c>
      <c r="AF50" s="177">
        <f t="shared" si="21"/>
        <v>0.20267504779823686</v>
      </c>
      <c r="AG50" s="809">
        <f t="shared" si="22"/>
        <v>1</v>
      </c>
      <c r="AH50" s="176">
        <f t="shared" si="13"/>
        <v>7</v>
      </c>
      <c r="AI50" s="225">
        <f t="shared" si="23"/>
        <v>1.2026750477982369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6">
        <v>25.277000000000001</v>
      </c>
      <c r="C51" s="390"/>
      <c r="D51" s="393">
        <f t="shared" si="0"/>
        <v>25.604994515223321</v>
      </c>
      <c r="E51" s="385">
        <f t="shared" si="17"/>
        <v>27.752103167418337</v>
      </c>
      <c r="F51" s="385">
        <f t="shared" si="1"/>
        <v>27.752705659425114</v>
      </c>
      <c r="G51" s="110">
        <f t="shared" si="18"/>
        <v>1.0111341044850648</v>
      </c>
      <c r="H51" s="414" t="b">
        <f>Wh_hp&gt;='2019'!Maxi_hp</f>
        <v>1</v>
      </c>
      <c r="I51" s="380">
        <f>IF(H51,Wh_hp,'2019'!Maxi_hp)</f>
        <v>27.752705659425114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1.280978658395393E-2</v>
      </c>
      <c r="M51" s="843"/>
      <c r="N51" s="843"/>
      <c r="O51" s="48">
        <f>IF(t&lt;Tnet,'2019'!Resal+('2019'!Salim-'2019'!Resal)*(1-EXP(('2019'!Tnet-t)/('2019'!Tau_j))),Resal+(Salim-Resal)*(1-EXP((Tnet-t)/(Tau_j))))*Salcycl</f>
        <v>7.7367421101106892E-2</v>
      </c>
      <c r="P51" s="169">
        <f>(INDEX(Models!$BJ51:$BT51,,T51)*(1-R51)+INDEX(Models!$BJ51:$BT51,,T51+1)*R51-ERP_i)*Q51*Ramure*Pc/MaxiM</f>
        <v>2.1709306983334361E-5</v>
      </c>
      <c r="Q51" s="305">
        <f t="shared" si="2"/>
        <v>0.8</v>
      </c>
      <c r="R51" s="177">
        <f t="shared" si="3"/>
        <v>2.8878572412285772E-3</v>
      </c>
      <c r="S51" s="809">
        <f t="shared" si="4"/>
        <v>0</v>
      </c>
      <c r="T51" s="176">
        <f t="shared" si="5"/>
        <v>6</v>
      </c>
      <c r="U51" s="251">
        <f t="shared" si="20"/>
        <v>2.8878572412285772E-3</v>
      </c>
      <c r="V51" s="383">
        <f t="shared" si="6"/>
        <v>24.998662282163544</v>
      </c>
      <c r="W51" s="402"/>
      <c r="X51" s="157">
        <f t="shared" si="7"/>
        <v>43867</v>
      </c>
      <c r="Y51" s="385">
        <f t="shared" si="8"/>
        <v>25.022721079110763</v>
      </c>
      <c r="Z51" s="385">
        <f t="shared" si="9"/>
        <v>25.347416069414649</v>
      </c>
      <c r="AA51" s="386">
        <f t="shared" si="10"/>
        <v>27.472925462555501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7.7367421101106892E-2</v>
      </c>
      <c r="AD51" s="231">
        <f>(INDEX(Models!$BJ51:$BT51,,AH51)*(1-AF51)+INDEX(Models!$BJ51:$BT51,,AH51+1)*AF51-ERP_i)*AE51*Ramure*Pc/MaxiM</f>
        <v>1.0081186328389391E-2</v>
      </c>
      <c r="AE51" s="305">
        <f t="shared" si="12"/>
        <v>0.8</v>
      </c>
      <c r="AF51" s="177">
        <f t="shared" si="21"/>
        <v>0.20282143139374975</v>
      </c>
      <c r="AG51" s="809">
        <f t="shared" si="22"/>
        <v>1</v>
      </c>
      <c r="AH51" s="176">
        <f t="shared" si="13"/>
        <v>7</v>
      </c>
      <c r="AI51" s="225">
        <f t="shared" si="23"/>
        <v>1.2028214313937498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6">
        <v>17.792999999999999</v>
      </c>
      <c r="C52" s="390"/>
      <c r="D52" s="393">
        <f t="shared" si="0"/>
        <v>18.024301534724774</v>
      </c>
      <c r="E52" s="385">
        <f t="shared" si="17"/>
        <v>19.537896990635232</v>
      </c>
      <c r="F52" s="385">
        <f t="shared" si="1"/>
        <v>19.538155508149512</v>
      </c>
      <c r="G52" s="110">
        <f t="shared" si="18"/>
        <v>0.70360874391495476</v>
      </c>
      <c r="H52" s="414" t="b">
        <f>Wh_hp&gt;='2019'!Maxi_hp</f>
        <v>1</v>
      </c>
      <c r="I52" s="380">
        <f>IF(H52,Wh_hp,'2019'!Maxi_hp)</f>
        <v>19.538155508149512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1.2832759942412175E-2</v>
      </c>
      <c r="M52" s="843"/>
      <c r="N52" s="843"/>
      <c r="O52" s="48">
        <f>IF(t&lt;Tnet,'2019'!Resal+('2019'!Salim-'2019'!Resal)*(1-EXP(('2019'!Tnet-t)/('2019'!Tau_j))),Resal+(Salim-Resal)*(1-EXP((Tnet-t)/(Tau_j))))*Salcycl</f>
        <v>7.7469722388030959E-2</v>
      </c>
      <c r="P52" s="169">
        <f>(INDEX(Models!$BJ52:$BT52,,T52)*(1-R52)+INDEX(Models!$BJ52:$BT52,,T52+1)*R52-ERP_i)*Q52*Ramure*Pc/MaxiM</f>
        <v>2.2947560678412083E-5</v>
      </c>
      <c r="Q52" s="305">
        <f t="shared" si="2"/>
        <v>0.8</v>
      </c>
      <c r="R52" s="177">
        <f t="shared" si="3"/>
        <v>3.0403056431103376E-3</v>
      </c>
      <c r="S52" s="809">
        <f t="shared" si="4"/>
        <v>0</v>
      </c>
      <c r="T52" s="176">
        <f t="shared" si="5"/>
        <v>6</v>
      </c>
      <c r="U52" s="251">
        <f t="shared" si="20"/>
        <v>3.0403056431103376E-3</v>
      </c>
      <c r="V52" s="383">
        <f t="shared" si="6"/>
        <v>25.287956228905568</v>
      </c>
      <c r="W52" s="402"/>
      <c r="X52" s="157">
        <f t="shared" si="7"/>
        <v>43868</v>
      </c>
      <c r="Y52" s="385">
        <f t="shared" si="8"/>
        <v>17.690160396641069</v>
      </c>
      <c r="Z52" s="385">
        <f t="shared" si="9"/>
        <v>17.920125059669818</v>
      </c>
      <c r="AA52" s="386">
        <f t="shared" si="10"/>
        <v>19.424972268722989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7.7469722388030959E-2</v>
      </c>
      <c r="AD52" s="231">
        <f>(INDEX(Models!$BJ52:$BT52,,AH52)*(1-AF52)+INDEX(Models!$BJ52:$BT52,,AH52+1)*AF52-ERP_i)*AE52*Ramure*Pc/MaxiM</f>
        <v>1.0046821244501925E-2</v>
      </c>
      <c r="AE52" s="305">
        <f t="shared" si="12"/>
        <v>0.8</v>
      </c>
      <c r="AF52" s="177">
        <f t="shared" si="21"/>
        <v>0.20297387979563153</v>
      </c>
      <c r="AG52" s="809">
        <f t="shared" si="22"/>
        <v>1</v>
      </c>
      <c r="AH52" s="176">
        <f t="shared" si="13"/>
        <v>7</v>
      </c>
      <c r="AI52" s="225">
        <f t="shared" si="23"/>
        <v>1.2029738797956315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6">
        <v>20.099</v>
      </c>
      <c r="C53" s="390"/>
      <c r="D53" s="393">
        <f t="shared" si="0"/>
        <v>20.360752391666992</v>
      </c>
      <c r="E53" s="385">
        <f t="shared" si="17"/>
        <v>22.072998879292097</v>
      </c>
      <c r="F53" s="385">
        <f t="shared" si="1"/>
        <v>22.073370883245147</v>
      </c>
      <c r="G53" s="110">
        <f t="shared" si="18"/>
        <v>0.78575829697161736</v>
      </c>
      <c r="H53" s="414" t="b">
        <f>Wh_hp&gt;='2019'!Maxi_hp</f>
        <v>0</v>
      </c>
      <c r="I53" s="380">
        <f>IF(H53,Wh_hp,'2019'!Maxi_hp)</f>
        <v>23.3052638935118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1.2855732766246852E-2</v>
      </c>
      <c r="M53" s="843"/>
      <c r="N53" s="843"/>
      <c r="O53" s="48">
        <f>IF(t&lt;Tnet,'2019'!Resal+('2019'!Salim-'2019'!Resal)*(1-EXP(('2019'!Tnet-t)/('2019'!Tau_j))),Resal+(Salim-Resal)*(1-EXP((Tnet-t)/(Tau_j))))*Salcycl</f>
        <v>7.7571991780032143E-2</v>
      </c>
      <c r="P53" s="169">
        <f>(INDEX(Models!$BJ53:$BT53,,T53)*(1-R53)+INDEX(Models!$BJ53:$BT53,,T53+1)*R53-ERP_i)*Q53*Ramure*Pc/MaxiM</f>
        <v>2.4285748068009209E-5</v>
      </c>
      <c r="Q53" s="305">
        <f t="shared" si="2"/>
        <v>0.8</v>
      </c>
      <c r="R53" s="177">
        <f t="shared" si="3"/>
        <v>3.1990668111498521E-3</v>
      </c>
      <c r="S53" s="809">
        <f t="shared" si="4"/>
        <v>0</v>
      </c>
      <c r="T53" s="176">
        <f t="shared" si="5"/>
        <v>6</v>
      </c>
      <c r="U53" s="251">
        <f t="shared" si="20"/>
        <v>3.1990668111498521E-3</v>
      </c>
      <c r="V53" s="383">
        <f t="shared" si="6"/>
        <v>25.578922533108415</v>
      </c>
      <c r="W53" s="402"/>
      <c r="X53" s="157">
        <f t="shared" si="7"/>
        <v>43869</v>
      </c>
      <c r="Y53" s="385">
        <f t="shared" si="8"/>
        <v>19.959421701570353</v>
      </c>
      <c r="Z53" s="385">
        <f t="shared" si="9"/>
        <v>20.219356343426966</v>
      </c>
      <c r="AA53" s="386">
        <f t="shared" si="10"/>
        <v>21.919712067768582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7.7571991780032143E-2</v>
      </c>
      <c r="AD53" s="231">
        <f>(INDEX(Models!$BJ53:$BT53,,AH53)*(1-AF53)+INDEX(Models!$BJ53:$BT53,,AH53+1)*AF53-ERP_i)*AE53*Ramure*Pc/MaxiM</f>
        <v>1.0031396845352198E-2</v>
      </c>
      <c r="AE53" s="305">
        <f t="shared" si="12"/>
        <v>0.8</v>
      </c>
      <c r="AF53" s="177">
        <f t="shared" si="21"/>
        <v>0.20313264096367112</v>
      </c>
      <c r="AG53" s="809">
        <f t="shared" si="22"/>
        <v>1</v>
      </c>
      <c r="AH53" s="176">
        <f t="shared" si="13"/>
        <v>7</v>
      </c>
      <c r="AI53" s="225">
        <f t="shared" si="23"/>
        <v>1.2031326409636711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6">
        <v>21.15</v>
      </c>
      <c r="C54" s="390"/>
      <c r="D54" s="393">
        <f t="shared" si="0"/>
        <v>21.425938340423002</v>
      </c>
      <c r="E54" s="385">
        <f t="shared" si="17"/>
        <v>23.230336658863617</v>
      </c>
      <c r="F54" s="385">
        <f t="shared" si="1"/>
        <v>23.230778558493949</v>
      </c>
      <c r="G54" s="110">
        <f t="shared" si="18"/>
        <v>0.8174817074988695</v>
      </c>
      <c r="H54" s="414" t="b">
        <f>Wh_hp&gt;='2019'!Maxi_hp</f>
        <v>0</v>
      </c>
      <c r="I54" s="380">
        <f>IF(H54,Wh_hp,'2019'!Maxi_hp)</f>
        <v>25.049785639672507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1.2878705055470396E-2</v>
      </c>
      <c r="M54" s="843"/>
      <c r="N54" s="843"/>
      <c r="O54" s="48">
        <f>IF(t&lt;Tnet,'2019'!Resal+('2019'!Salim-'2019'!Resal)*(1-EXP(('2019'!Tnet-t)/('2019'!Tau_j))),Resal+(Salim-Resal)*(1-EXP((Tnet-t)/(Tau_j))))*Salcycl</f>
        <v>7.7674221641214972E-2</v>
      </c>
      <c r="P54" s="169">
        <f>(INDEX(Models!$BJ54:$BT54,,T54)*(1-R54)+INDEX(Models!$BJ54:$BT54,,T54+1)*R54-ERP_i)*Q54*Ramure*Pc/MaxiM</f>
        <v>2.5731097348500773E-5</v>
      </c>
      <c r="Q54" s="305">
        <f t="shared" si="2"/>
        <v>0.8</v>
      </c>
      <c r="R54" s="177">
        <f t="shared" si="3"/>
        <v>3.3643985614592114E-3</v>
      </c>
      <c r="S54" s="809">
        <f t="shared" si="4"/>
        <v>0</v>
      </c>
      <c r="T54" s="176">
        <f t="shared" si="5"/>
        <v>6</v>
      </c>
      <c r="U54" s="251">
        <f t="shared" si="20"/>
        <v>3.3643985614592114E-3</v>
      </c>
      <c r="V54" s="383">
        <f t="shared" si="6"/>
        <v>25.871964974023477</v>
      </c>
      <c r="W54" s="402"/>
      <c r="X54" s="157">
        <f t="shared" si="7"/>
        <v>43870</v>
      </c>
      <c r="Y54" s="385">
        <f t="shared" si="8"/>
        <v>20.99351067338009</v>
      </c>
      <c r="Z54" s="385">
        <f t="shared" si="9"/>
        <v>21.26740733980397</v>
      </c>
      <c r="AA54" s="386">
        <f t="shared" si="10"/>
        <v>23.058454874423926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7.7674221641214972E-2</v>
      </c>
      <c r="AD54" s="231">
        <f>(INDEX(Models!$BJ54:$BT54,,AH54)*(1-AF54)+INDEX(Models!$BJ54:$BT54,,AH54+1)*AF54-ERP_i)*AE54*Ramure*Pc/MaxiM</f>
        <v>1.0034128082274326E-2</v>
      </c>
      <c r="AE54" s="305">
        <f t="shared" si="12"/>
        <v>0.8</v>
      </c>
      <c r="AF54" s="177">
        <f t="shared" si="21"/>
        <v>0.20329797271398053</v>
      </c>
      <c r="AG54" s="809">
        <f t="shared" si="22"/>
        <v>1</v>
      </c>
      <c r="AH54" s="176">
        <f t="shared" si="13"/>
        <v>7</v>
      </c>
      <c r="AI54" s="225">
        <f t="shared" si="23"/>
        <v>1.2032979727139805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6">
        <v>8.1739999999999995</v>
      </c>
      <c r="C55" s="390"/>
      <c r="D55" s="393">
        <f t="shared" si="0"/>
        <v>8.2808366785437535</v>
      </c>
      <c r="E55" s="385">
        <f t="shared" si="17"/>
        <v>8.9792071186473628</v>
      </c>
      <c r="F55" s="385">
        <f t="shared" si="1"/>
        <v>8.9792114499152635</v>
      </c>
      <c r="G55" s="110">
        <f t="shared" si="18"/>
        <v>0.31236399696842765</v>
      </c>
      <c r="H55" s="414" t="b">
        <f>Wh_hp&gt;='2019'!Maxi_hp</f>
        <v>1</v>
      </c>
      <c r="I55" s="380">
        <f>IF(H55,Wh_hp,'2019'!Maxi_hp)</f>
        <v>8.9792114499152635</v>
      </c>
      <c r="J55" s="85">
        <f>IF(H55,An,'2019'!An_max)</f>
        <v>2020</v>
      </c>
      <c r="K55" s="197">
        <f t="shared" si="19"/>
        <v>43871</v>
      </c>
      <c r="L55" s="147">
        <f>IF(t&lt;Tvie,1-EXP((T0-t)*PertePVj)+'2019'!Pspv,1-EXP((T0-t)*PertePVj)+Pspv)</f>
        <v>1.2901676810095131E-2</v>
      </c>
      <c r="M55" s="843"/>
      <c r="N55" s="843"/>
      <c r="O55" s="48">
        <f>IF(t&lt;Tnet,'2019'!Resal+('2019'!Salim-'2019'!Resal)*(1-EXP(('2019'!Tnet-t)/('2019'!Tau_j))),Resal+(Salim-Resal)*(1-EXP((Tnet-t)/(Tau_j))))*Salcycl</f>
        <v>7.7776403960354706E-2</v>
      </c>
      <c r="P55" s="169">
        <f>(INDEX(Models!$BJ55:$BT55,,T55)*(1-R55)+INDEX(Models!$BJ55:$BT55,,T55+1)*R55-ERP_i)*Q55*Ramure*Pc/MaxiM</f>
        <v>2.7291156717190955E-5</v>
      </c>
      <c r="Q55" s="305">
        <f t="shared" si="2"/>
        <v>0.8</v>
      </c>
      <c r="R55" s="177">
        <f t="shared" si="3"/>
        <v>3.5365689342542199E-3</v>
      </c>
      <c r="S55" s="809">
        <f t="shared" si="4"/>
        <v>0</v>
      </c>
      <c r="T55" s="176">
        <f t="shared" si="5"/>
        <v>6</v>
      </c>
      <c r="U55" s="251">
        <f t="shared" si="20"/>
        <v>3.5365689342542199E-3</v>
      </c>
      <c r="V55" s="383">
        <f t="shared" si="6"/>
        <v>26.16748711173199</v>
      </c>
      <c r="W55" s="402"/>
      <c r="X55" s="157">
        <f t="shared" si="7"/>
        <v>43871</v>
      </c>
      <c r="Y55" s="385">
        <f t="shared" si="8"/>
        <v>8.1725513638243275</v>
      </c>
      <c r="Z55" s="385">
        <f t="shared" si="9"/>
        <v>8.2793691082504601</v>
      </c>
      <c r="AA55" s="386">
        <f t="shared" si="10"/>
        <v>8.9776157797360678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7.7776403960354706E-2</v>
      </c>
      <c r="AD55" s="231">
        <f>(INDEX(Models!$BJ55:$BT55,,AH55)*(1-AF55)+INDEX(Models!$BJ55:$BT55,,AH55+1)*AF55-ERP_i)*AE55*Ramure*Pc/MaxiM</f>
        <v>1.0054257995363663E-2</v>
      </c>
      <c r="AE55" s="305">
        <f t="shared" si="12"/>
        <v>0.8</v>
      </c>
      <c r="AF55" s="177">
        <f t="shared" si="21"/>
        <v>0.20347014308677536</v>
      </c>
      <c r="AG55" s="809">
        <f t="shared" si="22"/>
        <v>1</v>
      </c>
      <c r="AH55" s="176">
        <f t="shared" si="13"/>
        <v>7</v>
      </c>
      <c r="AI55" s="225">
        <f t="shared" si="23"/>
        <v>1.2034701430867754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6">
        <v>8.6969999999999992</v>
      </c>
      <c r="C56" s="390"/>
      <c r="D56" s="393">
        <f t="shared" si="0"/>
        <v>8.8108774904000473</v>
      </c>
      <c r="E56" s="385">
        <f t="shared" si="17"/>
        <v>9.5550074273300645</v>
      </c>
      <c r="F56" s="385">
        <f t="shared" si="1"/>
        <v>9.5550187430341964</v>
      </c>
      <c r="G56" s="110">
        <f t="shared" si="18"/>
        <v>0.32860249783898626</v>
      </c>
      <c r="H56" s="414" t="b">
        <f>Wh_hp&gt;='2019'!Maxi_hp</f>
        <v>0</v>
      </c>
      <c r="I56" s="380">
        <f>IF(H56,Wh_hp,'2019'!Maxi_hp)</f>
        <v>19.067069199690724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1.2924648030133601E-2</v>
      </c>
      <c r="M56" s="843"/>
      <c r="N56" s="843"/>
      <c r="O56" s="48">
        <f>IF(t&lt;Tnet,'2019'!Resal+('2019'!Salim-'2019'!Resal)*(1-EXP(('2019'!Tnet-t)/('2019'!Tau_j))),Resal+(Salim-Resal)*(1-EXP((Tnet-t)/(Tau_j))))*Salcycl</f>
        <v>7.7878530455307932E-2</v>
      </c>
      <c r="P56" s="169">
        <f>(INDEX(Models!$BJ56:$BT56,,T56)*(1-R56)+INDEX(Models!$BJ56:$BT56,,T56+1)*R56-ERP_i)*Q56*Ramure*Pc/MaxiM</f>
        <v>2.8973801664186428E-5</v>
      </c>
      <c r="Q56" s="305">
        <f t="shared" si="2"/>
        <v>0.8</v>
      </c>
      <c r="R56" s="177">
        <f t="shared" si="3"/>
        <v>3.7158565732876661E-3</v>
      </c>
      <c r="S56" s="809">
        <f t="shared" si="4"/>
        <v>0</v>
      </c>
      <c r="T56" s="176">
        <f t="shared" si="5"/>
        <v>6</v>
      </c>
      <c r="U56" s="251">
        <f t="shared" si="20"/>
        <v>3.7158565732876661E-3</v>
      </c>
      <c r="V56" s="383">
        <f t="shared" si="6"/>
        <v>26.465892290331769</v>
      </c>
      <c r="W56" s="402"/>
      <c r="X56" s="157">
        <f t="shared" si="7"/>
        <v>43872</v>
      </c>
      <c r="Y56" s="385">
        <f t="shared" si="8"/>
        <v>8.6934231368233608</v>
      </c>
      <c r="Z56" s="385">
        <f t="shared" si="9"/>
        <v>8.8072537921995995</v>
      </c>
      <c r="AA56" s="386">
        <f t="shared" si="10"/>
        <v>9.5510776867046392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7.7878530455307932E-2</v>
      </c>
      <c r="AD56" s="231">
        <f>(INDEX(Models!$BJ56:$BT56,,AH56)*(1-AF56)+INDEX(Models!$BJ56:$BT56,,AH56+1)*AF56-ERP_i)*AE56*Ramure*Pc/MaxiM</f>
        <v>1.0091054265376488E-2</v>
      </c>
      <c r="AE56" s="305">
        <f t="shared" si="12"/>
        <v>0.8</v>
      </c>
      <c r="AF56" s="177">
        <f t="shared" si="21"/>
        <v>0.20364943072580899</v>
      </c>
      <c r="AG56" s="809">
        <f t="shared" si="22"/>
        <v>1</v>
      </c>
      <c r="AH56" s="176">
        <f t="shared" si="13"/>
        <v>7</v>
      </c>
      <c r="AI56" s="225">
        <f t="shared" si="23"/>
        <v>1.203649430725809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6">
        <v>17.02</v>
      </c>
      <c r="C57" s="390"/>
      <c r="D57" s="393">
        <f t="shared" si="0"/>
        <v>17.243259144821401</v>
      </c>
      <c r="E57" s="385">
        <f t="shared" si="17"/>
        <v>18.701622772797606</v>
      </c>
      <c r="F57" s="385">
        <f t="shared" si="1"/>
        <v>18.701899018598507</v>
      </c>
      <c r="G57" s="110">
        <f t="shared" si="18"/>
        <v>0.63583353794919006</v>
      </c>
      <c r="H57" s="414" t="b">
        <f>Wh_hp&gt;='2019'!Maxi_hp</f>
        <v>0</v>
      </c>
      <c r="I57" s="380">
        <f>IF(H57,Wh_hp,'2019'!Maxi_hp)</f>
        <v>29.947194156112754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1.2947618715598241E-2</v>
      </c>
      <c r="M57" s="843"/>
      <c r="N57" s="843"/>
      <c r="O57" s="48">
        <f>IF(t&lt;Tnet,'2019'!Resal+('2019'!Salim-'2019'!Resal)*(1-EXP(('2019'!Tnet-t)/('2019'!Tau_j))),Resal+(Salim-Resal)*(1-EXP((Tnet-t)/(Tau_j))))*Salcycl</f>
        <v>7.7980592684045766E-2</v>
      </c>
      <c r="P57" s="169">
        <f>(INDEX(Models!$BJ57:$BT57,,T57)*(1-R57)+INDEX(Models!$BJ57:$BT57,,T57+1)*R57-ERP_i)*Q57*Ramure*Pc/MaxiM</f>
        <v>3.0787241848332053E-5</v>
      </c>
      <c r="Q57" s="305">
        <f t="shared" si="2"/>
        <v>0.8</v>
      </c>
      <c r="R57" s="177">
        <f t="shared" si="3"/>
        <v>3.9025511171150761E-3</v>
      </c>
      <c r="S57" s="809">
        <f t="shared" si="4"/>
        <v>0</v>
      </c>
      <c r="T57" s="176">
        <f t="shared" si="5"/>
        <v>6</v>
      </c>
      <c r="U57" s="251">
        <f t="shared" si="20"/>
        <v>3.9025511171150761E-3</v>
      </c>
      <c r="V57" s="383">
        <f t="shared" si="6"/>
        <v>26.767583626491835</v>
      </c>
      <c r="W57" s="402"/>
      <c r="X57" s="157">
        <f t="shared" si="7"/>
        <v>43873</v>
      </c>
      <c r="Y57" s="385">
        <f t="shared" si="8"/>
        <v>16.937417887787365</v>
      </c>
      <c r="Z57" s="385">
        <f t="shared" si="9"/>
        <v>17.159593765173387</v>
      </c>
      <c r="AA57" s="386">
        <f t="shared" si="10"/>
        <v>18.610881320953801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7.7980592684045766E-2</v>
      </c>
      <c r="AD57" s="231">
        <f>(INDEX(Models!$BJ57:$BT57,,AH57)*(1-AF57)+INDEX(Models!$BJ57:$BT57,,AH57+1)*AF57-ERP_i)*AE57*Ramure*Pc/MaxiM</f>
        <v>1.0143806207044961E-2</v>
      </c>
      <c r="AE57" s="305">
        <f t="shared" si="12"/>
        <v>0.8</v>
      </c>
      <c r="AF57" s="177">
        <f t="shared" si="21"/>
        <v>0.20383612526963635</v>
      </c>
      <c r="AG57" s="809">
        <f t="shared" si="22"/>
        <v>1</v>
      </c>
      <c r="AH57" s="176">
        <f t="shared" si="13"/>
        <v>7</v>
      </c>
      <c r="AI57" s="225">
        <f t="shared" si="23"/>
        <v>1.2038361252696363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6">
        <v>15.786</v>
      </c>
      <c r="C58" s="390"/>
      <c r="D58" s="393">
        <f t="shared" si="0"/>
        <v>15.993444391764836</v>
      </c>
      <c r="E58" s="385">
        <f t="shared" si="17"/>
        <v>17.348022808002654</v>
      </c>
      <c r="F58" s="385">
        <f t="shared" si="1"/>
        <v>17.348252615885215</v>
      </c>
      <c r="G58" s="110">
        <f t="shared" si="18"/>
        <v>0.58307957219387629</v>
      </c>
      <c r="H58" s="414" t="b">
        <f>Wh_hp&gt;='2019'!Maxi_hp</f>
        <v>0</v>
      </c>
      <c r="I58" s="380">
        <f>IF(H58,Wh_hp,'2019'!Maxi_hp)</f>
        <v>30.793710907907265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1.2970588866501487E-2</v>
      </c>
      <c r="M58" s="843"/>
      <c r="N58" s="843"/>
      <c r="O58" s="48">
        <f>IF(t&lt;Tnet,'2019'!Resal+('2019'!Salim-'2019'!Resal)*(1-EXP(('2019'!Tnet-t)/('2019'!Tau_j))),Resal+(Salim-Resal)*(1-EXP((Tnet-t)/(Tau_j))))*Salcycl</f>
        <v>7.8082582161060496E-2</v>
      </c>
      <c r="P58" s="169">
        <f>(INDEX(Models!$BJ58:$BT58,,T58)*(1-R58)+INDEX(Models!$BJ58:$BT58,,T58+1)*R58-ERP_i)*Q58*Ramure*Pc/MaxiM</f>
        <v>3.2755274369714611E-5</v>
      </c>
      <c r="Q58" s="305">
        <f t="shared" si="2"/>
        <v>0.8</v>
      </c>
      <c r="R58" s="177">
        <f t="shared" si="3"/>
        <v>4.0969536023620946E-3</v>
      </c>
      <c r="S58" s="809">
        <f t="shared" si="4"/>
        <v>0</v>
      </c>
      <c r="T58" s="176">
        <f t="shared" si="5"/>
        <v>6</v>
      </c>
      <c r="U58" s="251">
        <f t="shared" si="20"/>
        <v>4.0969536023620946E-3</v>
      </c>
      <c r="V58" s="383">
        <f t="shared" si="6"/>
        <v>27.072963600636356</v>
      </c>
      <c r="W58" s="402"/>
      <c r="X58" s="157">
        <f t="shared" si="7"/>
        <v>43874</v>
      </c>
      <c r="Y58" s="385">
        <f t="shared" si="8"/>
        <v>15.720969826653475</v>
      </c>
      <c r="Z58" s="385">
        <f t="shared" si="9"/>
        <v>15.927559654579705</v>
      </c>
      <c r="AA58" s="386">
        <f t="shared" si="10"/>
        <v>17.276557906797542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7.8082582161060496E-2</v>
      </c>
      <c r="AD58" s="231">
        <f>(INDEX(Models!$BJ58:$BT58,,AH58)*(1-AF58)+INDEX(Models!$BJ58:$BT58,,AH58+1)*AF58-ERP_i)*AE58*Ramure*Pc/MaxiM</f>
        <v>1.0218883011511699E-2</v>
      </c>
      <c r="AE58" s="305">
        <f t="shared" si="12"/>
        <v>0.8</v>
      </c>
      <c r="AF58" s="177">
        <f t="shared" si="21"/>
        <v>0.20403052775488328</v>
      </c>
      <c r="AG58" s="809">
        <f t="shared" si="22"/>
        <v>1</v>
      </c>
      <c r="AH58" s="176">
        <f t="shared" si="13"/>
        <v>7</v>
      </c>
      <c r="AI58" s="225">
        <f t="shared" si="23"/>
        <v>1.2040305277548833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6">
        <v>22.802</v>
      </c>
      <c r="C59" s="390"/>
      <c r="D59" s="393">
        <f t="shared" si="0"/>
        <v>23.102179520683428</v>
      </c>
      <c r="E59" s="385">
        <f t="shared" si="17"/>
        <v>25.061608621294983</v>
      </c>
      <c r="F59" s="385">
        <f t="shared" si="1"/>
        <v>25.06227324267449</v>
      </c>
      <c r="G59" s="110">
        <f t="shared" si="18"/>
        <v>0.83271664140635382</v>
      </c>
      <c r="H59" s="414" t="b">
        <f>Wh_hp&gt;='2019'!Maxi_hp</f>
        <v>0</v>
      </c>
      <c r="I59" s="380">
        <f>IF(H59,Wh_hp,'2019'!Maxi_hp)</f>
        <v>30.902600245057862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1.2993558482855661E-2</v>
      </c>
      <c r="M59" s="843"/>
      <c r="N59" s="843"/>
      <c r="O59" s="48">
        <f>IF(t&lt;Tnet,'2019'!Resal+('2019'!Salim-'2019'!Resal)*(1-EXP(('2019'!Tnet-t)/('2019'!Tau_j))),Resal+(Salim-Resal)*(1-EXP((Tnet-t)/(Tau_j))))*Salcycl</f>
        <v>7.8184490477862481E-2</v>
      </c>
      <c r="P59" s="169">
        <f>(INDEX(Models!$BJ59:$BT59,,T59)*(1-R59)+INDEX(Models!$BJ59:$BT59,,T59+1)*R59-ERP_i)*Q59*Ramure*Pc/MaxiM</f>
        <v>3.4845762324439992E-5</v>
      </c>
      <c r="Q59" s="305">
        <f t="shared" si="2"/>
        <v>0.8</v>
      </c>
      <c r="R59" s="177">
        <f t="shared" si="3"/>
        <v>4.299376879140138E-3</v>
      </c>
      <c r="S59" s="809">
        <f t="shared" si="4"/>
        <v>0</v>
      </c>
      <c r="T59" s="176">
        <f t="shared" si="5"/>
        <v>6</v>
      </c>
      <c r="U59" s="251">
        <f t="shared" si="20"/>
        <v>4.299376879140138E-3</v>
      </c>
      <c r="V59" s="383">
        <f t="shared" si="6"/>
        <v>27.382435980901171</v>
      </c>
      <c r="W59" s="402"/>
      <c r="X59" s="157">
        <f t="shared" si="7"/>
        <v>43875</v>
      </c>
      <c r="Y59" s="385">
        <f t="shared" si="8"/>
        <v>22.623769555497894</v>
      </c>
      <c r="Z59" s="385">
        <f t="shared" si="9"/>
        <v>22.921602741236942</v>
      </c>
      <c r="AA59" s="386">
        <f t="shared" si="10"/>
        <v>24.865716083600432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7.8184490477862481E-2</v>
      </c>
      <c r="AD59" s="231">
        <f>(INDEX(Models!$BJ59:$BT59,,AH59)*(1-AF59)+INDEX(Models!$BJ59:$BT59,,AH59+1)*AF59-ERP_i)*AE59*Ramure*Pc/MaxiM</f>
        <v>1.030539230224025E-2</v>
      </c>
      <c r="AE59" s="305">
        <f t="shared" si="12"/>
        <v>0.8</v>
      </c>
      <c r="AF59" s="177">
        <f t="shared" si="21"/>
        <v>0.20423295103166139</v>
      </c>
      <c r="AG59" s="809">
        <f t="shared" si="22"/>
        <v>1</v>
      </c>
      <c r="AH59" s="176">
        <f t="shared" si="13"/>
        <v>7</v>
      </c>
      <c r="AI59" s="225">
        <f t="shared" si="23"/>
        <v>1.2042329510316614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6">
        <v>26.616</v>
      </c>
      <c r="C60" s="390"/>
      <c r="D60" s="393">
        <f t="shared" si="0"/>
        <v>26.967016919064012</v>
      </c>
      <c r="E60" s="385">
        <f t="shared" si="17"/>
        <v>29.257476800933773</v>
      </c>
      <c r="F60" s="385">
        <f t="shared" si="1"/>
        <v>29.258500833391352</v>
      </c>
      <c r="G60" s="110">
        <f t="shared" si="18"/>
        <v>0.9609892207736539</v>
      </c>
      <c r="H60" s="414" t="b">
        <f>Wh_hp&gt;='2019'!Maxi_hp</f>
        <v>0</v>
      </c>
      <c r="I60" s="380">
        <f>IF(H60,Wh_hp,'2019'!Maxi_hp)</f>
        <v>31.193309368180032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1.3016527564673419E-2</v>
      </c>
      <c r="M60" s="843"/>
      <c r="N60" s="843"/>
      <c r="O60" s="48">
        <f>IF(t&lt;Tnet,'2019'!Resal+('2019'!Salim-'2019'!Resal)*(1-EXP(('2019'!Tnet-t)/('2019'!Tau_j))),Resal+(Salim-Resal)*(1-EXP((Tnet-t)/(Tau_j))))*Salcycl</f>
        <v>7.8286309426268116E-2</v>
      </c>
      <c r="P60" s="169">
        <f>(INDEX(Models!$BJ60:$BT60,,T60)*(1-R60)+INDEX(Models!$BJ60:$BT60,,T60+1)*R60-ERP_i)*Q60*Ramure*Pc/MaxiM</f>
        <v>3.706500056697769E-5</v>
      </c>
      <c r="Q60" s="305">
        <f t="shared" si="2"/>
        <v>0.8</v>
      </c>
      <c r="R60" s="177">
        <f t="shared" si="3"/>
        <v>4.5101460387366663E-3</v>
      </c>
      <c r="S60" s="809">
        <f t="shared" si="4"/>
        <v>0</v>
      </c>
      <c r="T60" s="176">
        <f t="shared" si="5"/>
        <v>6</v>
      </c>
      <c r="U60" s="251">
        <f t="shared" si="20"/>
        <v>4.5101460387366663E-3</v>
      </c>
      <c r="V60" s="383">
        <f t="shared" si="6"/>
        <v>27.696403296680998</v>
      </c>
      <c r="W60" s="402"/>
      <c r="X60" s="157">
        <f t="shared" si="7"/>
        <v>43876</v>
      </c>
      <c r="Y60" s="385">
        <f t="shared" si="8"/>
        <v>26.355471491020435</v>
      </c>
      <c r="Z60" s="385">
        <f t="shared" si="9"/>
        <v>26.703052510078798</v>
      </c>
      <c r="AA60" s="386">
        <f t="shared" si="10"/>
        <v>28.971092415321682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7.8286309426268116E-2</v>
      </c>
      <c r="AD60" s="231">
        <f>(INDEX(Models!$BJ60:$BT60,,AH60)*(1-AF60)+INDEX(Models!$BJ60:$BT60,,AH60+1)*AF60-ERP_i)*AE60*Ramure*Pc/MaxiM</f>
        <v>1.0402788602891238E-2</v>
      </c>
      <c r="AE60" s="305">
        <f t="shared" si="12"/>
        <v>0.8</v>
      </c>
      <c r="AF60" s="177">
        <f t="shared" si="21"/>
        <v>0.20444372019125789</v>
      </c>
      <c r="AG60" s="809">
        <f t="shared" si="22"/>
        <v>1</v>
      </c>
      <c r="AH60" s="176">
        <f t="shared" si="13"/>
        <v>7</v>
      </c>
      <c r="AI60" s="225">
        <f t="shared" si="23"/>
        <v>1.2044437201912579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6">
        <v>16.387</v>
      </c>
      <c r="C61" s="390"/>
      <c r="D61" s="393">
        <f t="shared" si="0"/>
        <v>16.603501290522811</v>
      </c>
      <c r="E61" s="385">
        <f t="shared" si="17"/>
        <v>18.015717949884671</v>
      </c>
      <c r="F61" s="385">
        <f t="shared" si="1"/>
        <v>18.016007025361485</v>
      </c>
      <c r="G61" s="110">
        <f t="shared" si="18"/>
        <v>0.58491737629320384</v>
      </c>
      <c r="H61" s="414" t="b">
        <f>Wh_hp&gt;='2019'!Maxi_hp</f>
        <v>0</v>
      </c>
      <c r="I61" s="380">
        <f>IF(H61,Wh_hp,'2019'!Maxi_hp)</f>
        <v>31.828917483030121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1.3039496111966975E-2</v>
      </c>
      <c r="M61" s="843"/>
      <c r="N61" s="843"/>
      <c r="O61" s="48">
        <f>IF(t&lt;Tnet,'2019'!Resal+('2019'!Salim-'2019'!Resal)*(1-EXP(('2019'!Tnet-t)/('2019'!Tau_j))),Resal+(Salim-Resal)*(1-EXP((Tnet-t)/(Tau_j))))*Salcycl</f>
        <v>7.838803112317265E-2</v>
      </c>
      <c r="P61" s="169">
        <f>(INDEX(Models!$BJ61:$BT61,,T61)*(1-R61)+INDEX(Models!$BJ61:$BT61,,T61+1)*R61-ERP_i)*Q61*Ramure*Pc/MaxiM</f>
        <v>3.9419487317953023E-5</v>
      </c>
      <c r="Q61" s="305">
        <f t="shared" si="2"/>
        <v>0.8</v>
      </c>
      <c r="R61" s="177">
        <f t="shared" si="3"/>
        <v>4.7295988536823607E-3</v>
      </c>
      <c r="S61" s="809">
        <f t="shared" si="4"/>
        <v>0</v>
      </c>
      <c r="T61" s="176">
        <f t="shared" si="5"/>
        <v>6</v>
      </c>
      <c r="U61" s="251">
        <f t="shared" si="20"/>
        <v>4.7295988536823607E-3</v>
      </c>
      <c r="V61" s="383">
        <f t="shared" si="6"/>
        <v>28.015267844904361</v>
      </c>
      <c r="W61" s="402"/>
      <c r="X61" s="157">
        <f t="shared" si="7"/>
        <v>43877</v>
      </c>
      <c r="Y61" s="385">
        <f t="shared" si="8"/>
        <v>16.317154048136057</v>
      </c>
      <c r="Z61" s="385">
        <f t="shared" si="9"/>
        <v>16.532732549941205</v>
      </c>
      <c r="AA61" s="386">
        <f t="shared" si="10"/>
        <v>17.938929949108321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7.838803112317265E-2</v>
      </c>
      <c r="AD61" s="231">
        <f>(INDEX(Models!$BJ61:$BT61,,AH61)*(1-AF61)+INDEX(Models!$BJ61:$BT61,,AH61+1)*AF61-ERP_i)*AE61*Ramure*Pc/MaxiM</f>
        <v>1.0510538158868253E-2</v>
      </c>
      <c r="AE61" s="305">
        <f t="shared" si="12"/>
        <v>0.8</v>
      </c>
      <c r="AF61" s="177">
        <f t="shared" si="21"/>
        <v>0.20466317300620362</v>
      </c>
      <c r="AG61" s="809">
        <f t="shared" si="22"/>
        <v>1</v>
      </c>
      <c r="AH61" s="176">
        <f t="shared" si="13"/>
        <v>7</v>
      </c>
      <c r="AI61" s="225">
        <f t="shared" si="23"/>
        <v>1.2046631730062036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6">
        <v>5.14</v>
      </c>
      <c r="C62" s="390"/>
      <c r="D62" s="393">
        <f t="shared" si="0"/>
        <v>5.2080297011316592</v>
      </c>
      <c r="E62" s="385">
        <f t="shared" si="17"/>
        <v>5.6516236530542319</v>
      </c>
      <c r="F62" s="385">
        <f t="shared" si="1"/>
        <v>5.6516236530542319</v>
      </c>
      <c r="G62" s="110">
        <f t="shared" si="18"/>
        <v>0.18136512438743291</v>
      </c>
      <c r="H62" s="414" t="b">
        <f>Wh_hp&gt;='2019'!Maxi_hp</f>
        <v>0</v>
      </c>
      <c r="I62" s="380">
        <f>IF(H62,Wh_hp,'2019'!Maxi_hp)</f>
        <v>32.141014438582829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1.3062464124748985E-2</v>
      </c>
      <c r="M62" s="843"/>
      <c r="N62" s="843"/>
      <c r="O62" s="48">
        <f>IF(t&lt;Tnet,'2019'!Resal+('2019'!Salim-'2019'!Resal)*(1-EXP(('2019'!Tnet-t)/('2019'!Tau_j))),Resal+(Salim-Resal)*(1-EXP((Tnet-t)/(Tau_j))))*Salcycl</f>
        <v>7.8489648135513623E-2</v>
      </c>
      <c r="P62" s="169">
        <f>(INDEX(Models!$BJ62:$BT62,,T62)*(1-R62)+INDEX(Models!$BJ62:$BT62,,T62+1)*R62-ERP_i)*Q62*Ramure*Pc/MaxiM</f>
        <v>4.1915926290021148E-5</v>
      </c>
      <c r="Q62" s="305">
        <f t="shared" si="2"/>
        <v>0.8</v>
      </c>
      <c r="R62" s="177">
        <f t="shared" si="3"/>
        <v>4.9580862302699624E-3</v>
      </c>
      <c r="S62" s="809">
        <f t="shared" si="4"/>
        <v>0</v>
      </c>
      <c r="T62" s="176">
        <f t="shared" si="5"/>
        <v>6</v>
      </c>
      <c r="U62" s="251">
        <f t="shared" si="20"/>
        <v>4.9580862302699624E-3</v>
      </c>
      <c r="V62" s="383">
        <f t="shared" si="6"/>
        <v>28.339431682351677</v>
      </c>
      <c r="W62" s="402"/>
      <c r="X62" s="157">
        <f t="shared" si="7"/>
        <v>43878</v>
      </c>
      <c r="Y62" s="385">
        <f t="shared" si="8"/>
        <v>5.14</v>
      </c>
      <c r="Z62" s="385">
        <f t="shared" si="9"/>
        <v>5.2080297011316592</v>
      </c>
      <c r="AA62" s="386">
        <f t="shared" si="10"/>
        <v>5.6516236530542319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7.8489648135513623E-2</v>
      </c>
      <c r="AD62" s="231">
        <f>(INDEX(Models!$BJ62:$BT62,,AH62)*(1-AF62)+INDEX(Models!$BJ62:$BT62,,AH62+1)*AF62-ERP_i)*AE62*Ramure*Pc/MaxiM</f>
        <v>1.0628118063140859E-2</v>
      </c>
      <c r="AE62" s="305">
        <f t="shared" si="12"/>
        <v>0.8</v>
      </c>
      <c r="AF62" s="177">
        <f t="shared" si="21"/>
        <v>0.20489166038279127</v>
      </c>
      <c r="AG62" s="809">
        <f t="shared" si="22"/>
        <v>1</v>
      </c>
      <c r="AH62" s="176">
        <f t="shared" si="13"/>
        <v>7</v>
      </c>
      <c r="AI62" s="225">
        <f t="shared" si="23"/>
        <v>1.2048916603827913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6">
        <v>22.847999999999999</v>
      </c>
      <c r="C63" s="390"/>
      <c r="D63" s="393">
        <f t="shared" si="0"/>
        <v>23.15094004247165</v>
      </c>
      <c r="E63" s="385">
        <f t="shared" si="17"/>
        <v>25.125589072677233</v>
      </c>
      <c r="F63" s="385">
        <f t="shared" si="1"/>
        <v>25.126383953336276</v>
      </c>
      <c r="G63" s="110">
        <f t="shared" si="18"/>
        <v>0.79693983964886483</v>
      </c>
      <c r="H63" s="414" t="b">
        <f>Wh_hp&gt;='2019'!Maxi_hp</f>
        <v>0</v>
      </c>
      <c r="I63" s="380">
        <f>IF(H63,Wh_hp,'2019'!Maxi_hp)</f>
        <v>31.856589753625187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1.3085431603031772E-2</v>
      </c>
      <c r="M63" s="843"/>
      <c r="N63" s="843"/>
      <c r="O63" s="48">
        <f>IF(t&lt;Tnet,'2019'!Resal+('2019'!Salim-'2019'!Resal)*(1-EXP(('2019'!Tnet-t)/('2019'!Tau_j))),Resal+(Salim-Resal)*(1-EXP((Tnet-t)/(Tau_j))))*Salcycl</f>
        <v>7.8591153604152197E-2</v>
      </c>
      <c r="P63" s="169">
        <f>(INDEX(Models!$BJ63:$BT63,,T63)*(1-R63)+INDEX(Models!$BJ63:$BT63,,T63+1)*R63-ERP_i)*Q63*Ramure*Pc/MaxiM</f>
        <v>4.4561228940498208E-5</v>
      </c>
      <c r="Q63" s="305">
        <f t="shared" si="2"/>
        <v>0.8</v>
      </c>
      <c r="R63" s="177">
        <f t="shared" si="3"/>
        <v>5.1959726735678882E-3</v>
      </c>
      <c r="S63" s="809">
        <f t="shared" si="4"/>
        <v>0</v>
      </c>
      <c r="T63" s="176">
        <f t="shared" si="5"/>
        <v>6</v>
      </c>
      <c r="U63" s="251">
        <f t="shared" si="20"/>
        <v>5.1959726735678882E-3</v>
      </c>
      <c r="V63" s="383">
        <f t="shared" si="6"/>
        <v>28.669296629802222</v>
      </c>
      <c r="W63" s="402"/>
      <c r="X63" s="157">
        <f t="shared" si="7"/>
        <v>43879</v>
      </c>
      <c r="Y63" s="385">
        <f t="shared" si="8"/>
        <v>22.674266086228958</v>
      </c>
      <c r="Z63" s="385">
        <f t="shared" si="9"/>
        <v>22.974902602824535</v>
      </c>
      <c r="AA63" s="386">
        <f t="shared" si="10"/>
        <v>24.934536598701431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7.8591153604152197E-2</v>
      </c>
      <c r="AD63" s="231">
        <f>(INDEX(Models!$BJ63:$BT63,,AH63)*(1-AF63)+INDEX(Models!$BJ63:$BT63,,AH63+1)*AF63-ERP_i)*AE63*Ramure*Pc/MaxiM</f>
        <v>1.0755015604243289E-2</v>
      </c>
      <c r="AE63" s="305">
        <f t="shared" si="12"/>
        <v>0.8</v>
      </c>
      <c r="AF63" s="177">
        <f t="shared" si="21"/>
        <v>0.20512954682608919</v>
      </c>
      <c r="AG63" s="809">
        <f t="shared" si="22"/>
        <v>1</v>
      </c>
      <c r="AH63" s="176">
        <f t="shared" si="13"/>
        <v>7</v>
      </c>
      <c r="AI63" s="225">
        <f t="shared" si="23"/>
        <v>1.2051295468260892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6">
        <v>21.151</v>
      </c>
      <c r="C64" s="390"/>
      <c r="D64" s="393">
        <f t="shared" si="0"/>
        <v>21.431938390047804</v>
      </c>
      <c r="E64" s="385">
        <f t="shared" si="17"/>
        <v>23.262525652197908</v>
      </c>
      <c r="F64" s="385">
        <f t="shared" si="1"/>
        <v>23.263201234912309</v>
      </c>
      <c r="G64" s="110">
        <f t="shared" si="18"/>
        <v>0.72919909582430942</v>
      </c>
      <c r="H64" s="414" t="b">
        <f>Wh_hp&gt;='2019'!Maxi_hp</f>
        <v>0</v>
      </c>
      <c r="I64" s="380">
        <f>IF(H64,Wh_hp,'2019'!Maxi_hp)</f>
        <v>28.843886803091166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1.3108398546827771E-2</v>
      </c>
      <c r="M64" s="843"/>
      <c r="N64" s="843"/>
      <c r="O64" s="48">
        <f>IF(t&lt;Tnet,'2019'!Resal+('2019'!Salim-'2019'!Resal)*(1-EXP(('2019'!Tnet-t)/('2019'!Tau_j))),Resal+(Salim-Resal)*(1-EXP((Tnet-t)/(Tau_j))))*Salcycl</f>
        <v>7.8692541365436131E-2</v>
      </c>
      <c r="P64" s="169">
        <f>(INDEX(Models!$BJ64:$BT64,,T64)*(1-R64)+INDEX(Models!$BJ64:$BT64,,T64+1)*R64-ERP_i)*Q64*Ramure*Pc/MaxiM</f>
        <v>4.7362516984538571E-5</v>
      </c>
      <c r="Q64" s="305">
        <f t="shared" si="2"/>
        <v>0.8</v>
      </c>
      <c r="R64" s="177">
        <f t="shared" si="3"/>
        <v>5.4436367649386462E-3</v>
      </c>
      <c r="S64" s="809">
        <f t="shared" si="4"/>
        <v>0</v>
      </c>
      <c r="T64" s="176">
        <f t="shared" si="5"/>
        <v>6</v>
      </c>
      <c r="U64" s="251">
        <f t="shared" si="20"/>
        <v>5.4436367649386462E-3</v>
      </c>
      <c r="V64" s="383">
        <f t="shared" si="6"/>
        <v>29.00526425210834</v>
      </c>
      <c r="W64" s="402"/>
      <c r="X64" s="157">
        <f t="shared" si="7"/>
        <v>43880</v>
      </c>
      <c r="Y64" s="385">
        <f t="shared" si="8"/>
        <v>21.010368734521549</v>
      </c>
      <c r="Z64" s="385">
        <f t="shared" si="9"/>
        <v>21.289439188239445</v>
      </c>
      <c r="AA64" s="386">
        <f t="shared" si="10"/>
        <v>23.107855025717196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7.8692541365436131E-2</v>
      </c>
      <c r="AD64" s="231">
        <f>(INDEX(Models!$BJ64:$BT64,,AH64)*(1-AF64)+INDEX(Models!$BJ64:$BT64,,AH64+1)*AF64-ERP_i)*AE64*Ramure*Pc/MaxiM</f>
        <v>1.0890727833364134E-2</v>
      </c>
      <c r="AE64" s="305">
        <f t="shared" si="12"/>
        <v>0.8</v>
      </c>
      <c r="AF64" s="177">
        <f t="shared" si="21"/>
        <v>0.20537721091745986</v>
      </c>
      <c r="AG64" s="809">
        <f t="shared" si="22"/>
        <v>1</v>
      </c>
      <c r="AH64" s="176">
        <f t="shared" si="13"/>
        <v>7</v>
      </c>
      <c r="AI64" s="225">
        <f t="shared" si="23"/>
        <v>1.2053772109174599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6">
        <v>29.963999999999999</v>
      </c>
      <c r="C65" s="390"/>
      <c r="D65" s="393">
        <f t="shared" si="0"/>
        <v>30.362703743916814</v>
      </c>
      <c r="E65" s="385">
        <f t="shared" si="17"/>
        <v>32.959726002666748</v>
      </c>
      <c r="F65" s="385">
        <f t="shared" si="1"/>
        <v>32.961384862018924</v>
      </c>
      <c r="G65" s="110">
        <f t="shared" si="18"/>
        <v>1.0210033784788162</v>
      </c>
      <c r="H65" s="414" t="b">
        <f>Wh_hp&gt;='2019'!Maxi_hp</f>
        <v>1</v>
      </c>
      <c r="I65" s="380">
        <f>IF(H65,Wh_hp,'2019'!Maxi_hp)</f>
        <v>32.961384862018924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1.3131364956149416E-2</v>
      </c>
      <c r="M65" s="843"/>
      <c r="N65" s="843"/>
      <c r="O65" s="48">
        <f>IF(t&lt;Tnet,'2019'!Resal+('2019'!Salim-'2019'!Resal)*(1-EXP(('2019'!Tnet-t)/('2019'!Tau_j))),Resal+(Salim-Resal)*(1-EXP((Tnet-t)/(Tau_j))))*Salcycl</f>
        <v>7.8793806069255942E-2</v>
      </c>
      <c r="P65" s="169">
        <f>(INDEX(Models!$BJ65:$BT65,,T65)*(1-R65)+INDEX(Models!$BJ65:$BT65,,T65+1)*R65-ERP_i)*Q65*Ramure*Pc/MaxiM</f>
        <v>5.0327356059942707E-5</v>
      </c>
      <c r="Q65" s="305">
        <f t="shared" si="2"/>
        <v>0.8</v>
      </c>
      <c r="R65" s="177">
        <f t="shared" si="3"/>
        <v>5.7014716520309887E-3</v>
      </c>
      <c r="S65" s="809">
        <f t="shared" si="4"/>
        <v>0</v>
      </c>
      <c r="T65" s="176">
        <f t="shared" si="5"/>
        <v>6</v>
      </c>
      <c r="U65" s="251">
        <f t="shared" si="20"/>
        <v>5.7014716520309887E-3</v>
      </c>
      <c r="V65" s="383">
        <f t="shared" si="6"/>
        <v>29.347601224045988</v>
      </c>
      <c r="W65" s="402"/>
      <c r="X65" s="157">
        <f t="shared" si="7"/>
        <v>43881</v>
      </c>
      <c r="Y65" s="385">
        <f t="shared" si="8"/>
        <v>29.63484433846088</v>
      </c>
      <c r="Z65" s="385">
        <f t="shared" si="9"/>
        <v>30.029168306827465</v>
      </c>
      <c r="AA65" s="386">
        <f t="shared" si="10"/>
        <v>32.59766217885965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7.8793806069255942E-2</v>
      </c>
      <c r="AD65" s="231">
        <f>(INDEX(Models!$BJ65:$BT65,,AH65)*(1-AF65)+INDEX(Models!$BJ65:$BT65,,AH65+1)*AF65-ERP_i)*AE65*Ramure*Pc/MaxiM</f>
        <v>1.1034811937722653E-2</v>
      </c>
      <c r="AE65" s="305">
        <f t="shared" si="12"/>
        <v>0.8</v>
      </c>
      <c r="AF65" s="177">
        <f t="shared" si="21"/>
        <v>0.20563504580455216</v>
      </c>
      <c r="AG65" s="809">
        <f t="shared" si="22"/>
        <v>1</v>
      </c>
      <c r="AH65" s="176">
        <f t="shared" si="13"/>
        <v>7</v>
      </c>
      <c r="AI65" s="225">
        <f t="shared" si="23"/>
        <v>1.2056350458045522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6">
        <v>12.497</v>
      </c>
      <c r="C66" s="390"/>
      <c r="D66" s="393">
        <f t="shared" si="0"/>
        <v>12.663580933099247</v>
      </c>
      <c r="E66" s="385">
        <f t="shared" si="17"/>
        <v>13.748248194798638</v>
      </c>
      <c r="F66" s="385">
        <f t="shared" si="1"/>
        <v>13.748375091862403</v>
      </c>
      <c r="G66" s="110">
        <f t="shared" si="18"/>
        <v>0.42081196948821514</v>
      </c>
      <c r="H66" s="414" t="b">
        <f>Wh_hp&gt;='2019'!Maxi_hp</f>
        <v>0</v>
      </c>
      <c r="I66" s="380">
        <f>IF(H66,Wh_hp,'2019'!Maxi_hp)</f>
        <v>32.315694426247191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1.3154330831009142E-2</v>
      </c>
      <c r="M66" s="843"/>
      <c r="N66" s="843"/>
      <c r="O66" s="48">
        <f>IF(t&lt;Tnet,'2019'!Resal+('2019'!Salim-'2019'!Resal)*(1-EXP(('2019'!Tnet-t)/('2019'!Tau_j))),Resal+(Salim-Resal)*(1-EXP((Tnet-t)/(Tau_j))))*Salcycl</f>
        <v>7.889494329246631E-2</v>
      </c>
      <c r="P66" s="169">
        <f>(INDEX(Models!$BJ66:$BT66,,T66)*(1-R66)+INDEX(Models!$BJ66:$BT66,,T66+1)*R66-ERP_i)*Q66*Ramure*Pc/MaxiM</f>
        <v>5.3471375087856835E-5</v>
      </c>
      <c r="Q66" s="305">
        <f t="shared" si="2"/>
        <v>0.8</v>
      </c>
      <c r="R66" s="177">
        <f t="shared" si="3"/>
        <v>5.969885551174935E-3</v>
      </c>
      <c r="S66" s="809">
        <f t="shared" si="4"/>
        <v>0</v>
      </c>
      <c r="T66" s="176">
        <f t="shared" si="5"/>
        <v>6</v>
      </c>
      <c r="U66" s="251">
        <f t="shared" si="20"/>
        <v>5.969885551174935E-3</v>
      </c>
      <c r="V66" s="383">
        <f t="shared" si="6"/>
        <v>29.696035322455099</v>
      </c>
      <c r="W66" s="402"/>
      <c r="X66" s="157">
        <f t="shared" si="7"/>
        <v>43882</v>
      </c>
      <c r="Y66" s="385">
        <f t="shared" si="8"/>
        <v>12.472977269021117</v>
      </c>
      <c r="Z66" s="385">
        <f t="shared" si="9"/>
        <v>12.63923798695336</v>
      </c>
      <c r="AA66" s="386">
        <f t="shared" si="10"/>
        <v>13.721820214658239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7.889494329246631E-2</v>
      </c>
      <c r="AD66" s="231">
        <f>(INDEX(Models!$BJ66:$BT66,,AH66)*(1-AF66)+INDEX(Models!$BJ66:$BT66,,AH66+1)*AF66-ERP_i)*AE66*Ramure*Pc/MaxiM</f>
        <v>1.1189587507186452E-2</v>
      </c>
      <c r="AE66" s="305">
        <f t="shared" si="12"/>
        <v>0.8</v>
      </c>
      <c r="AF66" s="177">
        <f t="shared" si="21"/>
        <v>0.20590345970369617</v>
      </c>
      <c r="AG66" s="809">
        <f t="shared" si="22"/>
        <v>1</v>
      </c>
      <c r="AH66" s="176">
        <f t="shared" si="13"/>
        <v>7</v>
      </c>
      <c r="AI66" s="225">
        <f t="shared" si="23"/>
        <v>1.2059034597036962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6">
        <v>29.198</v>
      </c>
      <c r="C67" s="390"/>
      <c r="D67" s="393">
        <f t="shared" si="0"/>
        <v>29.587888368113529</v>
      </c>
      <c r="E67" s="385">
        <f t="shared" si="17"/>
        <v>32.125687565392084</v>
      </c>
      <c r="F67" s="385">
        <f t="shared" si="1"/>
        <v>32.127437980490285</v>
      </c>
      <c r="G67" s="110">
        <f t="shared" si="18"/>
        <v>0.97163982600614096</v>
      </c>
      <c r="H67" s="414" t="b">
        <f>Wh_hp&gt;='2019'!Maxi_hp</f>
        <v>0</v>
      </c>
      <c r="I67" s="380">
        <f>IF(H67,Wh_hp,'2019'!Maxi_hp)</f>
        <v>32.908275792453587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1.3177296171419384E-2</v>
      </c>
      <c r="M67" s="843"/>
      <c r="N67" s="843"/>
      <c r="O67" s="48">
        <f>IF(t&lt;Tnet,'2019'!Resal+('2019'!Salim-'2019'!Resal)*(1-EXP(('2019'!Tnet-t)/('2019'!Tau_j))),Resal+(Salim-Resal)*(1-EXP((Tnet-t)/(Tau_j))))*Salcycl</f>
        <v>7.8995949646613633E-2</v>
      </c>
      <c r="P67" s="169">
        <f>(INDEX(Models!$BJ67:$BT67,,T67)*(1-R67)+INDEX(Models!$BJ67:$BT67,,T67+1)*R67-ERP_i)*Q67*Ramure*Pc/MaxiM</f>
        <v>5.6783886114249829E-5</v>
      </c>
      <c r="Q67" s="305">
        <f t="shared" si="2"/>
        <v>0.8</v>
      </c>
      <c r="R67" s="177">
        <f t="shared" si="3"/>
        <v>6.2493022620580818E-3</v>
      </c>
      <c r="S67" s="809">
        <f t="shared" si="4"/>
        <v>0</v>
      </c>
      <c r="T67" s="176">
        <f t="shared" si="5"/>
        <v>6</v>
      </c>
      <c r="U67" s="251">
        <f t="shared" si="20"/>
        <v>6.2493022620580818E-3</v>
      </c>
      <c r="V67" s="383">
        <f t="shared" si="6"/>
        <v>30.050160613042248</v>
      </c>
      <c r="W67" s="402"/>
      <c r="X67" s="157">
        <f t="shared" si="7"/>
        <v>43883</v>
      </c>
      <c r="Y67" s="385">
        <f t="shared" si="8"/>
        <v>28.881661522341936</v>
      </c>
      <c r="Z67" s="385">
        <f t="shared" si="9"/>
        <v>29.26732574178687</v>
      </c>
      <c r="AA67" s="386">
        <f t="shared" si="10"/>
        <v>31.777629784100395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7.8995949646613633E-2</v>
      </c>
      <c r="AD67" s="231">
        <f>(INDEX(Models!$BJ67:$BT67,,AH67)*(1-AF67)+INDEX(Models!$BJ67:$BT67,,AH67+1)*AF67-ERP_i)*AE67*Ramure*Pc/MaxiM</f>
        <v>1.1347861890630589E-2</v>
      </c>
      <c r="AE67" s="305">
        <f t="shared" si="12"/>
        <v>0.8</v>
      </c>
      <c r="AF67" s="177">
        <f t="shared" si="21"/>
        <v>0.20618287641457922</v>
      </c>
      <c r="AG67" s="809">
        <f t="shared" si="22"/>
        <v>1</v>
      </c>
      <c r="AH67" s="176">
        <f t="shared" si="13"/>
        <v>7</v>
      </c>
      <c r="AI67" s="225">
        <f t="shared" si="23"/>
        <v>1.2061828764145792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6">
        <v>30.805</v>
      </c>
      <c r="C68" s="390"/>
      <c r="D68" s="393">
        <f t="shared" si="0"/>
        <v>31.217073517379866</v>
      </c>
      <c r="E68" s="385">
        <f t="shared" si="17"/>
        <v>33.898323182001484</v>
      </c>
      <c r="F68" s="385">
        <f t="shared" si="1"/>
        <v>33.900366462796477</v>
      </c>
      <c r="G68" s="110">
        <f t="shared" si="18"/>
        <v>1.0130034458992843</v>
      </c>
      <c r="H68" s="414" t="b">
        <f>Wh_hp&gt;='2019'!Maxi_hp</f>
        <v>1</v>
      </c>
      <c r="I68" s="380">
        <f>IF(H68,Wh_hp,'2019'!Maxi_hp)</f>
        <v>33.900366462796477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1.3200260977392686E-2</v>
      </c>
      <c r="M68" s="843"/>
      <c r="N68" s="843"/>
      <c r="O68" s="48">
        <f>IF(t&lt;Tnet,'2019'!Resal+('2019'!Salim-'2019'!Resal)*(1-EXP(('2019'!Tnet-t)/('2019'!Tau_j))),Resal+(Salim-Resal)*(1-EXP((Tnet-t)/(Tau_j))))*Salcycl</f>
        <v>7.9096822878992487E-2</v>
      </c>
      <c r="P68" s="169">
        <f>(INDEX(Models!$BJ68:$BT68,,T68)*(1-R68)+INDEX(Models!$BJ68:$BT68,,T68+1)*R68-ERP_i)*Q68*Ramure*Pc/MaxiM</f>
        <v>6.0273118204678932E-5</v>
      </c>
      <c r="Q68" s="305">
        <f t="shared" si="2"/>
        <v>0.8</v>
      </c>
      <c r="R68" s="177">
        <f t="shared" si="3"/>
        <v>6.5401616945115204E-3</v>
      </c>
      <c r="S68" s="809">
        <f t="shared" si="4"/>
        <v>0</v>
      </c>
      <c r="T68" s="176">
        <f t="shared" si="5"/>
        <v>6</v>
      </c>
      <c r="U68" s="251">
        <f t="shared" si="20"/>
        <v>6.5401616945115204E-3</v>
      </c>
      <c r="V68" s="383">
        <f t="shared" si="6"/>
        <v>30.409570791393662</v>
      </c>
      <c r="W68" s="402"/>
      <c r="X68" s="157">
        <f t="shared" si="7"/>
        <v>43884</v>
      </c>
      <c r="Y68" s="385">
        <f t="shared" si="8"/>
        <v>30.452283824109315</v>
      </c>
      <c r="Z68" s="385">
        <f t="shared" si="9"/>
        <v>30.859639114083372</v>
      </c>
      <c r="AA68" s="386">
        <f t="shared" si="10"/>
        <v>33.510188563534932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7.9096822878992487E-2</v>
      </c>
      <c r="AD68" s="231">
        <f>(INDEX(Models!$BJ68:$BT68,,AH68)*(1-AF68)+INDEX(Models!$BJ68:$BT68,,AH68+1)*AF68-ERP_i)*AE68*Ramure*Pc/MaxiM</f>
        <v>1.1509548125084186E-2</v>
      </c>
      <c r="AE68" s="305">
        <f t="shared" si="12"/>
        <v>0.8</v>
      </c>
      <c r="AF68" s="177">
        <f t="shared" si="21"/>
        <v>0.20647373584703277</v>
      </c>
      <c r="AG68" s="809">
        <f t="shared" si="22"/>
        <v>1</v>
      </c>
      <c r="AH68" s="176">
        <f t="shared" si="13"/>
        <v>7</v>
      </c>
      <c r="AI68" s="225">
        <f t="shared" si="23"/>
        <v>1.2064737358470328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6">
        <v>31.751000000000001</v>
      </c>
      <c r="C69" s="390"/>
      <c r="D69" s="393">
        <f t="shared" si="0"/>
        <v>32.176476800449684</v>
      </c>
      <c r="E69" s="385">
        <f t="shared" si="17"/>
        <v>34.943952656287919</v>
      </c>
      <c r="F69" s="385">
        <f t="shared" si="1"/>
        <v>34.946187395768554</v>
      </c>
      <c r="G69" s="110">
        <f t="shared" si="18"/>
        <v>1.0317522830892667</v>
      </c>
      <c r="H69" s="414" t="b">
        <f>Wh_hp&gt;='2019'!Maxi_hp</f>
        <v>1</v>
      </c>
      <c r="I69" s="380">
        <f>IF(H69,Wh_hp,'2019'!Maxi_hp)</f>
        <v>34.946187395768554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1.3223225248941373E-2</v>
      </c>
      <c r="M69" s="843"/>
      <c r="N69" s="843"/>
      <c r="O69" s="48">
        <f>IF(t&lt;Tnet,'2019'!Resal+('2019'!Salim-'2019'!Resal)*(1-EXP(('2019'!Tnet-t)/('2019'!Tau_j))),Resal+(Salim-Resal)*(1-EXP((Tnet-t)/(Tau_j))))*Salcycl</f>
        <v>7.9197561966140209E-2</v>
      </c>
      <c r="P69" s="169">
        <f>(INDEX(Models!$BJ69:$BT69,,T69)*(1-R69)+INDEX(Models!$BJ69:$BT69,,T69+1)*R69-ERP_i)*Q69*Ramure*Pc/MaxiM</f>
        <v>6.3948019717386135E-5</v>
      </c>
      <c r="Q69" s="305">
        <f t="shared" si="2"/>
        <v>0.8</v>
      </c>
      <c r="R69" s="177">
        <f t="shared" si="3"/>
        <v>6.8429204071734639E-3</v>
      </c>
      <c r="S69" s="809">
        <f t="shared" si="4"/>
        <v>0</v>
      </c>
      <c r="T69" s="176">
        <f t="shared" si="5"/>
        <v>6</v>
      </c>
      <c r="U69" s="251">
        <f t="shared" si="20"/>
        <v>6.8429204071734639E-3</v>
      </c>
      <c r="V69" s="383">
        <f t="shared" si="6"/>
        <v>30.773859695208376</v>
      </c>
      <c r="W69" s="402"/>
      <c r="X69" s="157">
        <f t="shared" si="7"/>
        <v>43885</v>
      </c>
      <c r="Y69" s="385">
        <f t="shared" si="8"/>
        <v>31.38232585518637</v>
      </c>
      <c r="Z69" s="385">
        <f t="shared" si="9"/>
        <v>31.802862266497321</v>
      </c>
      <c r="AA69" s="386">
        <f t="shared" si="10"/>
        <v>34.538203802331665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7.9197561966140209E-2</v>
      </c>
      <c r="AD69" s="231">
        <f>(INDEX(Models!$BJ69:$BT69,,AH69)*(1-AF69)+INDEX(Models!$BJ69:$BT69,,AH69+1)*AF69-ERP_i)*AE69*Ramure*Pc/MaxiM</f>
        <v>1.167462386716017E-2</v>
      </c>
      <c r="AE69" s="305">
        <f t="shared" si="12"/>
        <v>0.8</v>
      </c>
      <c r="AF69" s="177">
        <f t="shared" si="21"/>
        <v>0.2067764945596946</v>
      </c>
      <c r="AG69" s="809">
        <f t="shared" si="22"/>
        <v>1</v>
      </c>
      <c r="AH69" s="176">
        <f t="shared" si="13"/>
        <v>7</v>
      </c>
      <c r="AI69" s="225">
        <f t="shared" si="23"/>
        <v>1.2067764945596946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6">
        <v>16.227</v>
      </c>
      <c r="C70" s="390"/>
      <c r="D70" s="393">
        <f t="shared" si="0"/>
        <v>16.444831343824479</v>
      </c>
      <c r="E70" s="385">
        <f t="shared" si="17"/>
        <v>17.861191058776168</v>
      </c>
      <c r="F70" s="385">
        <f t="shared" si="1"/>
        <v>17.861573589281221</v>
      </c>
      <c r="G70" s="110">
        <f t="shared" si="18"/>
        <v>0.52103022605606075</v>
      </c>
      <c r="H70" s="414" t="b">
        <f>Wh_hp&gt;='2019'!Maxi_hp</f>
        <v>0</v>
      </c>
      <c r="I70" s="380">
        <f>IF(H70,Wh_hp,'2019'!Maxi_hp)</f>
        <v>34.047177423693249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1.3246188986077989E-2</v>
      </c>
      <c r="M70" s="843"/>
      <c r="N70" s="843"/>
      <c r="O70" s="48">
        <f>IF(t&lt;Tnet,'2019'!Resal+('2019'!Salim-'2019'!Resal)*(1-EXP(('2019'!Tnet-t)/('2019'!Tau_j))),Resal+(Salim-Resal)*(1-EXP((Tnet-t)/(Tau_j))))*Salcycl</f>
        <v>7.9298167198976116E-2</v>
      </c>
      <c r="P70" s="169">
        <f>(INDEX(Models!$BJ70:$BT70,,T70)*(1-R70)+INDEX(Models!$BJ70:$BT70,,T70+1)*R70-ERP_i)*Q70*Ramure*Pc/MaxiM</f>
        <v>6.7818038467967181E-5</v>
      </c>
      <c r="Q70" s="305">
        <f t="shared" si="2"/>
        <v>0.8</v>
      </c>
      <c r="R70" s="177">
        <f t="shared" si="3"/>
        <v>7.1580521577367263E-3</v>
      </c>
      <c r="S70" s="809">
        <f t="shared" si="4"/>
        <v>0</v>
      </c>
      <c r="T70" s="176">
        <f t="shared" si="5"/>
        <v>6</v>
      </c>
      <c r="U70" s="251">
        <f t="shared" si="20"/>
        <v>7.1580521577367263E-3</v>
      </c>
      <c r="V70" s="383">
        <f t="shared" si="6"/>
        <v>31.142621316273168</v>
      </c>
      <c r="W70" s="402"/>
      <c r="X70" s="157">
        <f t="shared" si="7"/>
        <v>43886</v>
      </c>
      <c r="Y70" s="385">
        <f t="shared" si="8"/>
        <v>16.166658077722616</v>
      </c>
      <c r="Z70" s="385">
        <f t="shared" si="9"/>
        <v>16.383679391226107</v>
      </c>
      <c r="AA70" s="386">
        <f t="shared" si="10"/>
        <v>17.794772213478193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7.9298167198976116E-2</v>
      </c>
      <c r="AD70" s="231">
        <f>(INDEX(Models!$BJ70:$BT70,,AH70)*(1-AF70)+INDEX(Models!$BJ70:$BT70,,AH70+1)*AF70-ERP_i)*AE70*Ramure*Pc/MaxiM</f>
        <v>1.1843077124768531E-2</v>
      </c>
      <c r="AE70" s="305">
        <f t="shared" si="12"/>
        <v>0.8</v>
      </c>
      <c r="AF70" s="177">
        <f t="shared" si="21"/>
        <v>0.20709162631025801</v>
      </c>
      <c r="AG70" s="809">
        <f t="shared" si="22"/>
        <v>1</v>
      </c>
      <c r="AH70" s="176">
        <f t="shared" si="13"/>
        <v>7</v>
      </c>
      <c r="AI70" s="225">
        <f t="shared" si="23"/>
        <v>1.207091626310258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6">
        <v>16.337</v>
      </c>
      <c r="C71" s="390"/>
      <c r="D71" s="393">
        <f t="shared" si="0"/>
        <v>16.556693282914519</v>
      </c>
      <c r="E71" s="385">
        <f t="shared" si="17"/>
        <v>17.98465004176251</v>
      </c>
      <c r="F71" s="385">
        <f t="shared" si="1"/>
        <v>17.985053422746869</v>
      </c>
      <c r="G71" s="110">
        <f t="shared" si="18"/>
        <v>0.518355028835079</v>
      </c>
      <c r="H71" s="414" t="b">
        <f>Wh_hp&gt;='2019'!Maxi_hp</f>
        <v>0</v>
      </c>
      <c r="I71" s="380">
        <f>IF(H71,Wh_hp,'2019'!Maxi_hp)</f>
        <v>30.798434522266472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1.3269152188814748E-2</v>
      </c>
      <c r="M71" s="843"/>
      <c r="N71" s="843"/>
      <c r="O71" s="48">
        <f>IF(t&lt;Tnet,'2019'!Resal+('2019'!Salim-'2019'!Resal)*(1-EXP(('2019'!Tnet-t)/('2019'!Tau_j))),Resal+(Salim-Resal)*(1-EXP((Tnet-t)/(Tau_j))))*Salcycl</f>
        <v>7.9398640258893163E-2</v>
      </c>
      <c r="P71" s="169">
        <f>(INDEX(Models!$BJ71:$BT71,,T71)*(1-R71)+INDEX(Models!$BJ71:$BT71,,T71+1)*R71-ERP_i)*Q71*Ramure*Pc/MaxiM</f>
        <v>7.1893153453445464E-5</v>
      </c>
      <c r="Q71" s="305">
        <f t="shared" si="2"/>
        <v>0.8</v>
      </c>
      <c r="R71" s="177">
        <f t="shared" si="3"/>
        <v>7.4860484644150866E-3</v>
      </c>
      <c r="S71" s="809">
        <f t="shared" si="4"/>
        <v>0</v>
      </c>
      <c r="T71" s="176">
        <f t="shared" si="5"/>
        <v>6</v>
      </c>
      <c r="U71" s="251">
        <f t="shared" si="20"/>
        <v>7.4860484644150866E-3</v>
      </c>
      <c r="V71" s="383">
        <f t="shared" si="6"/>
        <v>31.515449782485334</v>
      </c>
      <c r="W71" s="402"/>
      <c r="X71" s="157">
        <f t="shared" si="7"/>
        <v>43887</v>
      </c>
      <c r="Y71" s="385">
        <f t="shared" si="8"/>
        <v>16.276128762726501</v>
      </c>
      <c r="Z71" s="385">
        <f t="shared" si="9"/>
        <v>16.495003474180429</v>
      </c>
      <c r="AA71" s="386">
        <f t="shared" si="10"/>
        <v>17.917639703268723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7.9398640258893163E-2</v>
      </c>
      <c r="AD71" s="231">
        <f>(INDEX(Models!$BJ71:$BT71,,AH71)*(1-AF71)+INDEX(Models!$BJ71:$BT71,,AH71+1)*AF71-ERP_i)*AE71*Ramure*Pc/MaxiM</f>
        <v>1.2014906669455483E-2</v>
      </c>
      <c r="AE71" s="305">
        <f t="shared" si="12"/>
        <v>0.8</v>
      </c>
      <c r="AF71" s="177">
        <f t="shared" si="21"/>
        <v>0.20741962261693625</v>
      </c>
      <c r="AG71" s="809">
        <f t="shared" si="22"/>
        <v>1</v>
      </c>
      <c r="AH71" s="176">
        <f t="shared" si="13"/>
        <v>7</v>
      </c>
      <c r="AI71" s="225">
        <f t="shared" si="23"/>
        <v>1.2074196226169363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6">
        <v>7.319</v>
      </c>
      <c r="C72" s="390"/>
      <c r="D72" s="393">
        <f t="shared" si="0"/>
        <v>7.4175955317723066</v>
      </c>
      <c r="E72" s="385">
        <f t="shared" si="17"/>
        <v>8.0582154773662786</v>
      </c>
      <c r="F72" s="385">
        <f t="shared" si="1"/>
        <v>8.0582154773662786</v>
      </c>
      <c r="G72" s="110">
        <f t="shared" si="18"/>
        <v>0.22947624251776194</v>
      </c>
      <c r="H72" s="414" t="b">
        <f>Wh_hp&gt;='2019'!Maxi_hp</f>
        <v>0</v>
      </c>
      <c r="I72" s="380">
        <f>IF(H72,Wh_hp,'2019'!Maxi_hp)</f>
        <v>34.954686101605937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1.3292114857164306E-2</v>
      </c>
      <c r="M72" s="843"/>
      <c r="N72" s="843"/>
      <c r="O72" s="48">
        <f>IF(t&lt;Tnet,'2019'!Resal+('2019'!Salim-'2019'!Resal)*(1-EXP(('2019'!Tnet-t)/('2019'!Tau_j))),Resal+(Salim-Resal)*(1-EXP((Tnet-t)/(Tau_j))))*Salcycl</f>
        <v>7.9498984284216548E-2</v>
      </c>
      <c r="P72" s="169">
        <f>(INDEX(Models!$BJ72:$BT72,,T72)*(1-R72)+INDEX(Models!$BJ72:$BT72,,T72+1)*R72-ERP_i)*Q72*Ramure*Pc/MaxiM</f>
        <v>7.6164892001997613E-5</v>
      </c>
      <c r="Q72" s="305">
        <f t="shared" si="2"/>
        <v>0.8</v>
      </c>
      <c r="R72" s="177">
        <f t="shared" si="3"/>
        <v>7.8274191781872449E-3</v>
      </c>
      <c r="S72" s="809">
        <f t="shared" si="4"/>
        <v>0</v>
      </c>
      <c r="T72" s="176">
        <f t="shared" si="5"/>
        <v>6</v>
      </c>
      <c r="U72" s="251">
        <f t="shared" si="20"/>
        <v>7.8274191781872449E-3</v>
      </c>
      <c r="V72" s="383">
        <f t="shared" si="6"/>
        <v>31.891939962320823</v>
      </c>
      <c r="W72" s="402"/>
      <c r="X72" s="157">
        <f t="shared" si="7"/>
        <v>43888</v>
      </c>
      <c r="Y72" s="385">
        <f t="shared" si="8"/>
        <v>7.319</v>
      </c>
      <c r="Z72" s="385">
        <f t="shared" si="9"/>
        <v>7.4175955317723066</v>
      </c>
      <c r="AA72" s="386">
        <f t="shared" si="10"/>
        <v>8.0582154773662786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7.9498984284216548E-2</v>
      </c>
      <c r="AD72" s="231">
        <f>(INDEX(Models!$BJ72:$BT72,,AH72)*(1-AF72)+INDEX(Models!$BJ72:$BT72,,AH72+1)*AF72-ERP_i)*AE72*Ramure*Pc/MaxiM</f>
        <v>1.2188279057494736E-2</v>
      </c>
      <c r="AE72" s="305">
        <f t="shared" si="12"/>
        <v>0.8</v>
      </c>
      <c r="AF72" s="177">
        <f t="shared" si="21"/>
        <v>0.20776099333070852</v>
      </c>
      <c r="AG72" s="809">
        <f t="shared" si="22"/>
        <v>1</v>
      </c>
      <c r="AH72" s="176">
        <f t="shared" si="13"/>
        <v>7</v>
      </c>
      <c r="AI72" s="225">
        <f t="shared" si="23"/>
        <v>1.2077609933307085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6">
        <v>16.908000000000001</v>
      </c>
      <c r="C73" s="390"/>
      <c r="D73" s="393">
        <f t="shared" si="0"/>
        <v>17.136169415095196</v>
      </c>
      <c r="E73" s="385">
        <f t="shared" si="17"/>
        <v>18.618160140886907</v>
      </c>
      <c r="F73" s="385">
        <f t="shared" si="1"/>
        <v>18.618640296774938</v>
      </c>
      <c r="G73" s="110">
        <f t="shared" si="18"/>
        <v>0.52389801826445492</v>
      </c>
      <c r="H73" s="414" t="b">
        <f>Wh_hp&gt;='2019'!Maxi_hp</f>
        <v>0</v>
      </c>
      <c r="I73" s="380">
        <f>IF(H73,Wh_hp,'2019'!Maxi_hp)</f>
        <v>27.665139057919827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1.3315076991139096E-2</v>
      </c>
      <c r="M73" s="843"/>
      <c r="N73" s="843"/>
      <c r="O73" s="48">
        <f>IF(t&lt;Tnet,'2019'!Resal+('2019'!Salim-'2019'!Resal)*(1-EXP(('2019'!Tnet-t)/('2019'!Tau_j))),Resal+(Salim-Resal)*(1-EXP((Tnet-t)/(Tau_j))))*Salcycl</f>
        <v>7.9599203926554729E-2</v>
      </c>
      <c r="P73" s="169">
        <f>(INDEX(Models!$BJ73:$BT73,,T73)*(1-R73)+INDEX(Models!$BJ73:$BT73,,T73+1)*R73-ERP_i)*Q73*Ramure*Pc/MaxiM</f>
        <v>8.0616951289190408E-5</v>
      </c>
      <c r="Q73" s="305">
        <f t="shared" si="2"/>
        <v>0.8</v>
      </c>
      <c r="R73" s="177">
        <f t="shared" si="3"/>
        <v>8.1826930652924342E-3</v>
      </c>
      <c r="S73" s="809">
        <f t="shared" si="4"/>
        <v>0</v>
      </c>
      <c r="T73" s="176">
        <f t="shared" si="5"/>
        <v>6</v>
      </c>
      <c r="U73" s="251">
        <f t="shared" si="20"/>
        <v>8.1826930652924342E-3</v>
      </c>
      <c r="V73" s="383">
        <f t="shared" si="6"/>
        <v>32.271687151814383</v>
      </c>
      <c r="W73" s="402"/>
      <c r="X73" s="157">
        <f t="shared" si="7"/>
        <v>43889</v>
      </c>
      <c r="Y73" s="385">
        <f t="shared" si="8"/>
        <v>16.841596273188706</v>
      </c>
      <c r="Z73" s="385">
        <f t="shared" si="9"/>
        <v>17.068869585876364</v>
      </c>
      <c r="AA73" s="386">
        <f t="shared" si="10"/>
        <v>18.545040007238672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7.9599203926554729E-2</v>
      </c>
      <c r="AD73" s="231">
        <f>(INDEX(Models!$BJ73:$BT73,,AH73)*(1-AF73)+INDEX(Models!$BJ73:$BT73,,AH73+1)*AF73-ERP_i)*AE73*Ramure*Pc/MaxiM</f>
        <v>1.2357301252188802E-2</v>
      </c>
      <c r="AE73" s="305">
        <f t="shared" si="12"/>
        <v>0.8</v>
      </c>
      <c r="AF73" s="177">
        <f t="shared" si="21"/>
        <v>0.20811626721781362</v>
      </c>
      <c r="AG73" s="809">
        <f t="shared" si="22"/>
        <v>1</v>
      </c>
      <c r="AH73" s="176">
        <f t="shared" si="13"/>
        <v>7</v>
      </c>
      <c r="AI73" s="225">
        <f t="shared" si="23"/>
        <v>1.2081162672178136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6">
        <v>12.946999999999999</v>
      </c>
      <c r="C74" s="390"/>
      <c r="D74" s="393">
        <f t="shared" si="0"/>
        <v>13.122022036308978</v>
      </c>
      <c r="E74" s="385">
        <f t="shared" si="17"/>
        <v>14.258407185017937</v>
      </c>
      <c r="F74" s="385">
        <f t="shared" si="1"/>
        <v>14.258574746755485</v>
      </c>
      <c r="G74" s="110">
        <f t="shared" si="18"/>
        <v>0.3964578584643399</v>
      </c>
      <c r="H74" s="414" t="b">
        <f>Wh_hp&gt;='2019'!Maxi_hp</f>
        <v>0</v>
      </c>
      <c r="I74" s="380">
        <f>IF(H74,Wh_hp,'2019'!Maxi_hp)</f>
        <v>14.831448871305009</v>
      </c>
      <c r="J74" s="85">
        <f>IF(H74,An,'2019'!An_max)</f>
        <v>2019</v>
      </c>
      <c r="K74" s="197">
        <f t="shared" si="19"/>
        <v>43890</v>
      </c>
      <c r="L74" s="147">
        <f>IF(t&lt;Tvie,1-EXP((T0-t)*PertePVj)+'2019'!Pspv,1-EXP((T0-t)*PertePVj)+Pspv)</f>
        <v>1.3338038590751333E-2</v>
      </c>
      <c r="M74" s="843"/>
      <c r="N74" s="843"/>
      <c r="O74" s="48">
        <f>IF(t&lt;Tnet,'2019'!Resal+('2019'!Salim-'2019'!Resal)*(1-EXP(('2019'!Tnet-t)/('2019'!Tau_j))),Resal+(Salim-Resal)*(1-EXP((Tnet-t)/(Tau_j))))*Salcycl</f>
        <v>7.969930539667984E-2</v>
      </c>
      <c r="P74" s="169">
        <f>(INDEX(Models!$BJ74:$BT74,,T74)*(1-R74)+INDEX(Models!$BJ74:$BT74,,T74+1)*R74-ERP_i)*Q74*Ramure*Pc/MaxiM</f>
        <v>8.5256591056477929E-5</v>
      </c>
      <c r="Q74" s="305">
        <f t="shared" si="2"/>
        <v>0.8</v>
      </c>
      <c r="R74" s="177">
        <f t="shared" si="3"/>
        <v>8.5524183993629741E-3</v>
      </c>
      <c r="S74" s="809">
        <f t="shared" si="4"/>
        <v>0</v>
      </c>
      <c r="T74" s="176">
        <f t="shared" si="5"/>
        <v>6</v>
      </c>
      <c r="U74" s="251">
        <f t="shared" si="20"/>
        <v>8.5524183993629741E-3</v>
      </c>
      <c r="V74" s="383">
        <f t="shared" si="6"/>
        <v>32.65428605817462</v>
      </c>
      <c r="W74" s="402"/>
      <c r="X74" s="157">
        <f t="shared" si="7"/>
        <v>43890</v>
      </c>
      <c r="Y74" s="385">
        <f t="shared" si="8"/>
        <v>12.924804699772098</v>
      </c>
      <c r="Z74" s="385">
        <f t="shared" si="9"/>
        <v>13.09952669231477</v>
      </c>
      <c r="AA74" s="386">
        <f t="shared" si="10"/>
        <v>14.233963713306872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7.969930539667984E-2</v>
      </c>
      <c r="AD74" s="231">
        <f>(INDEX(Models!$BJ74:$BT74,,AH74)*(1-AF74)+INDEX(Models!$BJ74:$BT74,,AH74+1)*AF74-ERP_i)*AE74*Ramure*Pc/MaxiM</f>
        <v>1.2522266985970231E-2</v>
      </c>
      <c r="AE74" s="305">
        <f t="shared" si="12"/>
        <v>0.8</v>
      </c>
      <c r="AF74" s="177">
        <f t="shared" si="21"/>
        <v>0.20848599255188427</v>
      </c>
      <c r="AG74" s="809">
        <f t="shared" si="22"/>
        <v>1</v>
      </c>
      <c r="AH74" s="176">
        <f t="shared" si="13"/>
        <v>7</v>
      </c>
      <c r="AI74" s="225">
        <f t="shared" si="23"/>
        <v>1.2084859925518843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6">
        <v>22.061</v>
      </c>
      <c r="C75" s="390"/>
      <c r="D75" s="393">
        <f t="shared" si="0"/>
        <v>22.359748593263141</v>
      </c>
      <c r="E75" s="385">
        <f t="shared" si="17"/>
        <v>24.298773635153601</v>
      </c>
      <c r="F75" s="385">
        <f t="shared" si="1"/>
        <v>24.299923659656329</v>
      </c>
      <c r="G75" s="110">
        <f t="shared" si="18"/>
        <v>0.66769076429608853</v>
      </c>
      <c r="H75" s="414" t="b">
        <f>Wh_hp&gt;='2019'!Maxi_hp</f>
        <v>1</v>
      </c>
      <c r="I75" s="380">
        <f>IF(H75,Wh_hp,'2019'!Maxi_hp)</f>
        <v>24.299923659656329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1.3360999656013672E-2</v>
      </c>
      <c r="M75" s="843"/>
      <c r="N75" s="843"/>
      <c r="O75" s="48">
        <f>IF(t&lt;Tnet,'2019'!Resal+('2019'!Salim-'2019'!Resal)*(1-EXP(('2019'!Tnet-t)/('2019'!Tau_j))),Resal+(Salim-Resal)*(1-EXP((Tnet-t)/(Tau_j))))*Salcycl</f>
        <v>7.9799296499689393E-2</v>
      </c>
      <c r="P75" s="169">
        <f>(INDEX(Models!$BJ75:$BT75,,T75)*(1-R75)+INDEX(Models!$BJ75:$BT75,,T75+1)*R75-ERP_i)*Q75*Ramure*Pc/MaxiM</f>
        <v>9.0091491135194595E-5</v>
      </c>
      <c r="Q75" s="305">
        <f t="shared" si="2"/>
        <v>0.8</v>
      </c>
      <c r="R75" s="177">
        <f t="shared" si="3"/>
        <v>8.9371635624768374E-3</v>
      </c>
      <c r="S75" s="809">
        <f t="shared" si="4"/>
        <v>0</v>
      </c>
      <c r="T75" s="176">
        <f t="shared" si="5"/>
        <v>6</v>
      </c>
      <c r="U75" s="251">
        <f t="shared" si="20"/>
        <v>8.9371635624768374E-3</v>
      </c>
      <c r="V75" s="383">
        <f t="shared" si="6"/>
        <v>33.039331515748557</v>
      </c>
      <c r="W75" s="402"/>
      <c r="X75" s="157">
        <f t="shared" si="7"/>
        <v>43891</v>
      </c>
      <c r="Y75" s="385">
        <f t="shared" si="8"/>
        <v>21.915049192812507</v>
      </c>
      <c r="Z75" s="385">
        <f t="shared" si="9"/>
        <v>22.211821329961559</v>
      </c>
      <c r="AA75" s="386">
        <f t="shared" si="10"/>
        <v>24.138018201323906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7.9799296499689393E-2</v>
      </c>
      <c r="AD75" s="231">
        <f>(INDEX(Models!$BJ75:$BT75,,AH75)*(1-AF75)+INDEX(Models!$BJ75:$BT75,,AH75+1)*AF75-ERP_i)*AE75*Ramure*Pc/MaxiM</f>
        <v>1.2683472508180825E-2</v>
      </c>
      <c r="AE75" s="305">
        <f t="shared" si="12"/>
        <v>0.8</v>
      </c>
      <c r="AF75" s="177">
        <f t="shared" si="21"/>
        <v>0.20887073771499809</v>
      </c>
      <c r="AG75" s="809">
        <f t="shared" si="22"/>
        <v>1</v>
      </c>
      <c r="AH75" s="176">
        <f t="shared" si="13"/>
        <v>7</v>
      </c>
      <c r="AI75" s="225">
        <f t="shared" si="23"/>
        <v>1.2088707377149981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6">
        <v>20.381</v>
      </c>
      <c r="C76" s="390"/>
      <c r="D76" s="393">
        <f t="shared" si="0"/>
        <v>20.657478874823159</v>
      </c>
      <c r="E76" s="385">
        <f t="shared" si="17"/>
        <v>22.451321176231016</v>
      </c>
      <c r="F76" s="385">
        <f t="shared" si="1"/>
        <v>22.452266233460534</v>
      </c>
      <c r="G76" s="110">
        <f t="shared" si="18"/>
        <v>0.60969496327954043</v>
      </c>
      <c r="H76" s="414" t="b">
        <f>Wh_hp&gt;='2019'!Maxi_hp</f>
        <v>0</v>
      </c>
      <c r="I76" s="380">
        <f>IF(H76,Wh_hp,'2019'!Maxi_hp)</f>
        <v>32.941895220548325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1.3383960186938548E-2</v>
      </c>
      <c r="M76" s="843"/>
      <c r="N76" s="843"/>
      <c r="O76" s="48">
        <f>IF(t&lt;Tnet,'2019'!Resal+('2019'!Salim-'2019'!Resal)*(1-EXP(('2019'!Tnet-t)/('2019'!Tau_j))),Resal+(Salim-Resal)*(1-EXP((Tnet-t)/(Tau_j))))*Salcycl</f>
        <v>7.9899186659312449E-2</v>
      </c>
      <c r="P76" s="169">
        <f>(INDEX(Models!$BJ76:$BT76,,T76)*(1-R76)+INDEX(Models!$BJ76:$BT76,,T76+1)*R76-ERP_i)*Q76*Ramure*Pc/MaxiM</f>
        <v>9.5129775996704072E-5</v>
      </c>
      <c r="Q76" s="305">
        <f t="shared" si="2"/>
        <v>0.8</v>
      </c>
      <c r="R76" s="177">
        <f t="shared" si="3"/>
        <v>9.3375176543062967E-3</v>
      </c>
      <c r="S76" s="809">
        <f t="shared" si="4"/>
        <v>0</v>
      </c>
      <c r="T76" s="176">
        <f t="shared" si="5"/>
        <v>6</v>
      </c>
      <c r="U76" s="251">
        <f t="shared" si="20"/>
        <v>9.3375176543062967E-3</v>
      </c>
      <c r="V76" s="383">
        <f t="shared" si="6"/>
        <v>33.426418481022154</v>
      </c>
      <c r="W76" s="402"/>
      <c r="X76" s="157">
        <f t="shared" si="7"/>
        <v>43892</v>
      </c>
      <c r="Y76" s="385">
        <f t="shared" si="8"/>
        <v>20.26605182474227</v>
      </c>
      <c r="Z76" s="385">
        <f t="shared" si="9"/>
        <v>20.540971367729</v>
      </c>
      <c r="AA76" s="386">
        <f t="shared" si="10"/>
        <v>22.324696457064483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7.9899186659312449E-2</v>
      </c>
      <c r="AD76" s="231">
        <f>(INDEX(Models!$BJ76:$BT76,,AH76)*(1-AF76)+INDEX(Models!$BJ76:$BT76,,AH76+1)*AF76-ERP_i)*AE76*Ramure*Pc/MaxiM</f>
        <v>1.2841216249602827E-2</v>
      </c>
      <c r="AE76" s="305">
        <f t="shared" si="12"/>
        <v>0.8</v>
      </c>
      <c r="AF76" s="177">
        <f t="shared" si="21"/>
        <v>0.20927109180682746</v>
      </c>
      <c r="AG76" s="809">
        <f t="shared" si="22"/>
        <v>1</v>
      </c>
      <c r="AH76" s="176">
        <f t="shared" si="13"/>
        <v>7</v>
      </c>
      <c r="AI76" s="225">
        <f t="shared" si="23"/>
        <v>1.2092710918068275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6">
        <v>5.101</v>
      </c>
      <c r="C77" s="390"/>
      <c r="D77" s="393">
        <f t="shared" si="0"/>
        <v>5.1703180413032612</v>
      </c>
      <c r="E77" s="385">
        <f t="shared" si="17"/>
        <v>5.6199047260368351</v>
      </c>
      <c r="F77" s="385">
        <f t="shared" si="1"/>
        <v>5.6199047260368351</v>
      </c>
      <c r="G77" s="110">
        <f t="shared" si="18"/>
        <v>0.1508344385482768</v>
      </c>
      <c r="H77" s="414" t="b">
        <f>Wh_hp&gt;='2019'!Maxi_hp</f>
        <v>0</v>
      </c>
      <c r="I77" s="380">
        <f>IF(H77,Wh_hp,'2019'!Maxi_hp)</f>
        <v>13.785017756441286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1.3406920183538285E-2</v>
      </c>
      <c r="M77" s="843"/>
      <c r="N77" s="843"/>
      <c r="O77" s="48">
        <f>IF(t&lt;Tnet,'2019'!Resal+('2019'!Salim-'2019'!Resal)*(1-EXP(('2019'!Tnet-t)/('2019'!Tau_j))),Resal+(Salim-Resal)*(1-EXP((Tnet-t)/(Tau_j))))*Salcycl</f>
        <v>7.9998986931335891E-2</v>
      </c>
      <c r="P77" s="169">
        <f>(INDEX(Models!$BJ77:$BT77,,T77)*(1-R77)+INDEX(Models!$BJ77:$BT77,,T77+1)*R77-ERP_i)*Q77*Ramure*Pc/MaxiM</f>
        <v>1.003800409065441E-4</v>
      </c>
      <c r="Q77" s="305">
        <f t="shared" si="2"/>
        <v>0.8</v>
      </c>
      <c r="R77" s="177">
        <f t="shared" si="3"/>
        <v>9.7540911084242395E-3</v>
      </c>
      <c r="S77" s="809">
        <f t="shared" si="4"/>
        <v>0</v>
      </c>
      <c r="T77" s="176">
        <f t="shared" si="5"/>
        <v>6</v>
      </c>
      <c r="U77" s="251">
        <f t="shared" si="20"/>
        <v>9.7540911084242395E-3</v>
      </c>
      <c r="V77" s="383">
        <f t="shared" si="6"/>
        <v>33.815142022614744</v>
      </c>
      <c r="W77" s="402"/>
      <c r="X77" s="157">
        <f t="shared" si="7"/>
        <v>43893</v>
      </c>
      <c r="Y77" s="385">
        <f t="shared" si="8"/>
        <v>5.101</v>
      </c>
      <c r="Z77" s="385">
        <f t="shared" si="9"/>
        <v>5.1703180413032612</v>
      </c>
      <c r="AA77" s="386">
        <f t="shared" si="10"/>
        <v>5.6199047260368351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7.9998986931335891E-2</v>
      </c>
      <c r="AD77" s="231">
        <f>(INDEX(Models!$BJ77:$BT77,,AH77)*(1-AF77)+INDEX(Models!$BJ77:$BT77,,AH77+1)*AF77-ERP_i)*AE77*Ramure*Pc/MaxiM</f>
        <v>1.2995798569772727E-2</v>
      </c>
      <c r="AE77" s="305">
        <f t="shared" si="12"/>
        <v>0.8</v>
      </c>
      <c r="AF77" s="177">
        <f t="shared" si="21"/>
        <v>0.2096876652609454</v>
      </c>
      <c r="AG77" s="809">
        <f t="shared" si="22"/>
        <v>1</v>
      </c>
      <c r="AH77" s="176">
        <f t="shared" si="13"/>
        <v>7</v>
      </c>
      <c r="AI77" s="225">
        <f t="shared" si="23"/>
        <v>1.2096876652609454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6">
        <v>8.5850000000000009</v>
      </c>
      <c r="C78" s="390"/>
      <c r="D78" s="393">
        <f t="shared" si="0"/>
        <v>8.701864999639378</v>
      </c>
      <c r="E78" s="385">
        <f t="shared" si="17"/>
        <v>9.4595638622252078</v>
      </c>
      <c r="F78" s="385">
        <f t="shared" si="1"/>
        <v>9.4595638622252078</v>
      </c>
      <c r="G78" s="110">
        <f t="shared" si="18"/>
        <v>0.25095941651371839</v>
      </c>
      <c r="H78" s="414" t="b">
        <f>Wh_hp&gt;='2019'!Maxi_hp</f>
        <v>0</v>
      </c>
      <c r="I78" s="380">
        <f>IF(H78,Wh_hp,'2019'!Maxi_hp)</f>
        <v>37.277702445333496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1.3429879645825316E-2</v>
      </c>
      <c r="M78" s="843"/>
      <c r="N78" s="843"/>
      <c r="O78" s="48">
        <f>IF(t&lt;Tnet,'2019'!Resal+('2019'!Salim-'2019'!Resal)*(1-EXP(('2019'!Tnet-t)/('2019'!Tau_j))),Resal+(Salim-Resal)*(1-EXP((Tnet-t)/(Tau_j))))*Salcycl</f>
        <v>8.0098710006234114E-2</v>
      </c>
      <c r="P78" s="169">
        <f>(INDEX(Models!$BJ78:$BT78,,T78)*(1-R78)+INDEX(Models!$BJ78:$BT78,,T78+1)*R78-ERP_i)*Q78*Ramure*Pc/MaxiM</f>
        <v>1.0585137973691243E-4</v>
      </c>
      <c r="Q78" s="305">
        <f t="shared" si="2"/>
        <v>0.8</v>
      </c>
      <c r="R78" s="177">
        <f t="shared" si="3"/>
        <v>1.0187516314699011E-2</v>
      </c>
      <c r="S78" s="809">
        <f t="shared" si="4"/>
        <v>0</v>
      </c>
      <c r="T78" s="176">
        <f t="shared" si="5"/>
        <v>6</v>
      </c>
      <c r="U78" s="251">
        <f t="shared" si="20"/>
        <v>1.0187516314699011E-2</v>
      </c>
      <c r="V78" s="383">
        <f t="shared" si="6"/>
        <v>34.205097322720789</v>
      </c>
      <c r="W78" s="402"/>
      <c r="X78" s="157">
        <f t="shared" si="7"/>
        <v>43894</v>
      </c>
      <c r="Y78" s="385">
        <f t="shared" si="8"/>
        <v>8.5850000000000009</v>
      </c>
      <c r="Z78" s="385">
        <f t="shared" si="9"/>
        <v>8.701864999639378</v>
      </c>
      <c r="AA78" s="386">
        <f t="shared" si="10"/>
        <v>9.4595638622252078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8.0098710006234114E-2</v>
      </c>
      <c r="AD78" s="231">
        <f>(INDEX(Models!$BJ78:$BT78,,AH78)*(1-AF78)+INDEX(Models!$BJ78:$BT78,,AH78+1)*AF78-ERP_i)*AE78*Ramure*Pc/MaxiM</f>
        <v>1.3147521572696011E-2</v>
      </c>
      <c r="AE78" s="305">
        <f t="shared" si="12"/>
        <v>0.8</v>
      </c>
      <c r="AF78" s="177">
        <f t="shared" si="21"/>
        <v>0.21012109046722016</v>
      </c>
      <c r="AG78" s="809">
        <f t="shared" si="22"/>
        <v>1</v>
      </c>
      <c r="AH78" s="176">
        <f t="shared" si="13"/>
        <v>7</v>
      </c>
      <c r="AI78" s="225">
        <f t="shared" si="23"/>
        <v>1.2101210904672202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6">
        <v>9.83</v>
      </c>
      <c r="C79" s="390"/>
      <c r="D79" s="393">
        <f t="shared" ref="D79:D142" si="24">Wh/(1-Ppv)</f>
        <v>9.964044684685323</v>
      </c>
      <c r="E79" s="385">
        <f t="shared" si="17"/>
        <v>10.832819123037185</v>
      </c>
      <c r="F79" s="385">
        <f t="shared" ref="F79:F142" si="25">Wh_sa/(1-Pvg*MEDIAN((-Sdif+Wh/Env_an)/Csdif,0,1))</f>
        <v>10.832819123037185</v>
      </c>
      <c r="G79" s="110">
        <f t="shared" si="18"/>
        <v>0.28408356534843116</v>
      </c>
      <c r="H79" s="414" t="b">
        <f>Wh_hp&gt;='2019'!Maxi_hp</f>
        <v>0</v>
      </c>
      <c r="I79" s="380">
        <f>IF(H79,Wh_hp,'2019'!Maxi_hp)</f>
        <v>22.684826096802258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1.3452838573812187E-2</v>
      </c>
      <c r="M79" s="843"/>
      <c r="N79" s="843"/>
      <c r="O79" s="48">
        <f>IF(t&lt;Tnet,'2019'!Resal+('2019'!Salim-'2019'!Resal)*(1-EXP(('2019'!Tnet-t)/('2019'!Tau_j))),Resal+(Salim-Resal)*(1-EXP((Tnet-t)/(Tau_j))))*Salcycl</f>
        <v>8.0198370201189598E-2</v>
      </c>
      <c r="P79" s="169">
        <f>(INDEX(Models!$BJ79:$BT79,,T79)*(1-R79)+INDEX(Models!$BJ79:$BT79,,T79+1)*R79-ERP_i)*Q79*Ramure*Pc/MaxiM</f>
        <v>1.1154453260193692E-4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1.0638448246576759E-2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1.0638448246576759E-2</v>
      </c>
      <c r="V79" s="383">
        <f t="shared" ref="V79:V142" si="32">MaxiM*(1-Ppv)*(1-Pvg)*(1-Psa)</f>
        <v>34.598634754493027</v>
      </c>
      <c r="W79" s="402"/>
      <c r="X79" s="157">
        <f t="shared" ref="X79:X142" si="33">t</f>
        <v>43895</v>
      </c>
      <c r="Y79" s="385">
        <f t="shared" ref="Y79:Y142" si="34">Wh_pvt_s*(1-Ppv)</f>
        <v>9.83</v>
      </c>
      <c r="Z79" s="385">
        <f t="shared" ref="Z79:Z142" si="35">Wh_sa_s*(1-Psa_s)</f>
        <v>9.964044684685323</v>
      </c>
      <c r="AA79" s="386">
        <f t="shared" ref="AA79:AA142" si="36">Wh_hp*(1-Pvg_s*MEDIAN((-Sdif+Wh/Env_an)/Csdif,0,1))</f>
        <v>10.832819123037185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8.0198370201189598E-2</v>
      </c>
      <c r="AD79" s="231">
        <f>(INDEX(Models!$BJ79:$BT79,,AH79)*(1-AF79)+INDEX(Models!$BJ79:$BT79,,AH79+1)*AF79-ERP_i)*AE79*Ramure*Pc/MaxiM</f>
        <v>1.3295630295772432E-2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0.21057202239909811</v>
      </c>
      <c r="AG79" s="809">
        <f t="shared" si="22"/>
        <v>1</v>
      </c>
      <c r="AH79" s="176">
        <f t="shared" ref="AH79:AH142" si="40">MIN(MATCH(Hp_vg_s,Echel_vg),10)</f>
        <v>7</v>
      </c>
      <c r="AI79" s="225">
        <f t="shared" ref="AI79:AI142" si="41">IF(OR(t&lt;Ttai,Notai),Hdd_s+PousH*Croivg,Hdtai_s+PousH*(Croivg-Croi_tai))</f>
        <v>1.2105720223990981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6">
        <v>19.79</v>
      </c>
      <c r="C80" s="390"/>
      <c r="D80" s="393">
        <f t="shared" si="24"/>
        <v>20.060328919622322</v>
      </c>
      <c r="E80" s="385">
        <f t="shared" ref="E80:E143" si="45">Wh_pvt/(1-Psa)</f>
        <v>21.811770071673713</v>
      </c>
      <c r="F80" s="385">
        <f t="shared" si="25"/>
        <v>21.812740757153975</v>
      </c>
      <c r="G80" s="110">
        <f t="shared" ref="G80:G143" si="46">+Wh_hp/MaxiM</f>
        <v>0.56542229832000268</v>
      </c>
      <c r="H80" s="414" t="b">
        <f>Wh_hp&gt;='2019'!Maxi_hp</f>
        <v>0</v>
      </c>
      <c r="I80" s="380">
        <f>IF(H80,Wh_hp,'2019'!Maxi_hp)</f>
        <v>36.795227645060514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1.3475796967511111E-2</v>
      </c>
      <c r="M80" s="843"/>
      <c r="N80" s="843"/>
      <c r="O80" s="48">
        <f>IF(t&lt;Tnet,'2019'!Resal+('2019'!Salim-'2019'!Resal)*(1-EXP(('2019'!Tnet-t)/('2019'!Tau_j))),Resal+(Salim-Resal)*(1-EXP((Tnet-t)/(Tau_j))))*Salcycl</f>
        <v>8.0297983441790288E-2</v>
      </c>
      <c r="P80" s="169">
        <f>(INDEX(Models!$BJ80:$BT80,,T80)*(1-R80)+INDEX(Models!$BJ80:$BT80,,T80+1)*R80-ERP_i)*Q80*Ramure*Pc/MaxiM</f>
        <v>1.1734417480590432E-4</v>
      </c>
      <c r="Q80" s="305">
        <f t="shared" si="27"/>
        <v>0.8</v>
      </c>
      <c r="R80" s="177">
        <f t="shared" si="28"/>
        <v>1.1107565091899441E-2</v>
      </c>
      <c r="S80" s="809">
        <f t="shared" si="29"/>
        <v>0</v>
      </c>
      <c r="T80" s="176">
        <f t="shared" si="30"/>
        <v>6</v>
      </c>
      <c r="U80" s="251">
        <f t="shared" si="31"/>
        <v>1.1107565091899441E-2</v>
      </c>
      <c r="V80" s="383">
        <f t="shared" si="32"/>
        <v>34.997838651256657</v>
      </c>
      <c r="W80" s="402"/>
      <c r="X80" s="157">
        <f t="shared" si="33"/>
        <v>43896</v>
      </c>
      <c r="Y80" s="385">
        <f t="shared" si="34"/>
        <v>19.690090515800499</v>
      </c>
      <c r="Z80" s="385">
        <f t="shared" si="35"/>
        <v>19.9590546843908</v>
      </c>
      <c r="AA80" s="386">
        <f t="shared" si="36"/>
        <v>21.701653715062342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8.0297983441790288E-2</v>
      </c>
      <c r="AD80" s="231">
        <f>(INDEX(Models!$BJ80:$BT80,,AH80)*(1-AF80)+INDEX(Models!$BJ80:$BT80,,AH80+1)*AF80-ERP_i)*AE80*Ramure*Pc/MaxiM</f>
        <v>1.342908444695717E-2</v>
      </c>
      <c r="AE80" s="305">
        <f t="shared" si="38"/>
        <v>0.8</v>
      </c>
      <c r="AF80" s="177">
        <f t="shared" si="39"/>
        <v>0.21104113924442069</v>
      </c>
      <c r="AG80" s="809">
        <f t="shared" ref="AG80:AG143" si="47">INDEX(Echel_vg,AH80)</f>
        <v>1</v>
      </c>
      <c r="AH80" s="176">
        <f t="shared" si="40"/>
        <v>7</v>
      </c>
      <c r="AI80" s="225">
        <f t="shared" si="41"/>
        <v>1.2110411392444207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6">
        <v>23.718</v>
      </c>
      <c r="C81" s="390"/>
      <c r="D81" s="393">
        <f t="shared" si="24"/>
        <v>24.042544412439209</v>
      </c>
      <c r="E81" s="385">
        <f t="shared" si="45"/>
        <v>26.144498487371138</v>
      </c>
      <c r="F81" s="385">
        <f t="shared" si="25"/>
        <v>26.146201487705554</v>
      </c>
      <c r="G81" s="110">
        <f t="shared" si="46"/>
        <v>0.6699251059028678</v>
      </c>
      <c r="H81" s="414" t="b">
        <f>Wh_hp&gt;='2019'!Maxi_hp</f>
        <v>1</v>
      </c>
      <c r="I81" s="380">
        <f>IF(H81,Wh_hp,'2019'!Maxi_hp)</f>
        <v>26.146201487705554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1.3498754826934856E-2</v>
      </c>
      <c r="M81" s="843"/>
      <c r="N81" s="843"/>
      <c r="O81" s="48">
        <f>IF(t&lt;Tnet,'2019'!Resal+('2019'!Salim-'2019'!Resal)*(1-EXP(('2019'!Tnet-t)/('2019'!Tau_j))),Resal+(Salim-Resal)*(1-EXP((Tnet-t)/(Tau_j))))*Salcycl</f>
        <v>8.03975672337819E-2</v>
      </c>
      <c r="P81" s="169">
        <f>(INDEX(Models!$BJ81:$BT81,,T81)*(1-R81)+INDEX(Models!$BJ81:$BT81,,T81+1)*R81-ERP_i)*Q81*Ramure*Pc/MaxiM</f>
        <v>1.2323800544346782E-4</v>
      </c>
      <c r="Q81" s="305">
        <f t="shared" si="27"/>
        <v>0.8</v>
      </c>
      <c r="R81" s="177">
        <f t="shared" si="28"/>
        <v>1.1595568885751539E-2</v>
      </c>
      <c r="S81" s="809">
        <f t="shared" si="29"/>
        <v>0</v>
      </c>
      <c r="T81" s="176">
        <f t="shared" si="30"/>
        <v>6</v>
      </c>
      <c r="U81" s="251">
        <f t="shared" si="31"/>
        <v>1.1595568885751539E-2</v>
      </c>
      <c r="V81" s="383">
        <f t="shared" si="32"/>
        <v>35.401900279143362</v>
      </c>
      <c r="W81" s="402"/>
      <c r="X81" s="157">
        <f t="shared" si="33"/>
        <v>43897</v>
      </c>
      <c r="Y81" s="385">
        <f t="shared" si="34"/>
        <v>23.54972214598795</v>
      </c>
      <c r="Z81" s="385">
        <f t="shared" si="35"/>
        <v>23.871963934375515</v>
      </c>
      <c r="AA81" s="386">
        <f t="shared" si="36"/>
        <v>25.959004765317164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8.03975672337819E-2</v>
      </c>
      <c r="AD81" s="231">
        <f>(INDEX(Models!$BJ81:$BT81,,AH81)*(1-AF81)+INDEX(Models!$BJ81:$BT81,,AH81+1)*AF81-ERP_i)*AE81*Ramure*Pc/MaxiM</f>
        <v>1.3546533272170777E-2</v>
      </c>
      <c r="AE81" s="305">
        <f t="shared" si="38"/>
        <v>0.8</v>
      </c>
      <c r="AF81" s="177">
        <f t="shared" si="39"/>
        <v>0.21152914303827286</v>
      </c>
      <c r="AG81" s="809">
        <f t="shared" si="47"/>
        <v>1</v>
      </c>
      <c r="AH81" s="176">
        <f t="shared" si="40"/>
        <v>7</v>
      </c>
      <c r="AI81" s="225">
        <f t="shared" si="41"/>
        <v>1.2115291430382729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6">
        <v>26.114000000000001</v>
      </c>
      <c r="C82" s="390"/>
      <c r="D82" s="393">
        <f t="shared" si="24"/>
        <v>26.471946034382732</v>
      </c>
      <c r="E82" s="385">
        <f t="shared" si="45"/>
        <v>28.78941132644859</v>
      </c>
      <c r="F82" s="385">
        <f t="shared" si="25"/>
        <v>28.7916927691961</v>
      </c>
      <c r="G82" s="110">
        <f t="shared" si="46"/>
        <v>0.72920096759121145</v>
      </c>
      <c r="H82" s="414" t="b">
        <f>Wh_hp&gt;='2019'!Maxi_hp</f>
        <v>1</v>
      </c>
      <c r="I82" s="380">
        <f>IF(H82,Wh_hp,'2019'!Maxi_hp)</f>
        <v>28.7916927691961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1.3521712152095522E-2</v>
      </c>
      <c r="M82" s="843"/>
      <c r="N82" s="843"/>
      <c r="O82" s="48">
        <f>IF(t&lt;Tnet,'2019'!Resal+('2019'!Salim-'2019'!Resal)*(1-EXP(('2019'!Tnet-t)/('2019'!Tau_j))),Resal+(Salim-Resal)*(1-EXP((Tnet-t)/(Tau_j))))*Salcycl</f>
        <v>8.0497140625338914E-2</v>
      </c>
      <c r="P82" s="169">
        <f>(INDEX(Models!$BJ82:$BT82,,T82)*(1-R82)+INDEX(Models!$BJ82:$BT82,,T82+1)*R82-ERP_i)*Q82*Ramure*Pc/MaxiM</f>
        <v>1.292238983974436E-4</v>
      </c>
      <c r="Q82" s="305">
        <f t="shared" si="27"/>
        <v>0.8</v>
      </c>
      <c r="R82" s="177">
        <f t="shared" si="28"/>
        <v>1.2103186143655848E-2</v>
      </c>
      <c r="S82" s="809">
        <f t="shared" si="29"/>
        <v>0</v>
      </c>
      <c r="T82" s="176">
        <f t="shared" si="30"/>
        <v>6</v>
      </c>
      <c r="U82" s="251">
        <f t="shared" si="31"/>
        <v>1.2103186143655848E-2</v>
      </c>
      <c r="V82" s="383">
        <f t="shared" si="32"/>
        <v>35.810010912809808</v>
      </c>
      <c r="W82" s="402"/>
      <c r="X82" s="157">
        <f t="shared" si="33"/>
        <v>43898</v>
      </c>
      <c r="Y82" s="385">
        <f t="shared" si="34"/>
        <v>25.89749284142799</v>
      </c>
      <c r="Z82" s="385">
        <f t="shared" si="35"/>
        <v>26.252471200279345</v>
      </c>
      <c r="AA82" s="386">
        <f t="shared" si="36"/>
        <v>28.550722743954516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8.0497140625338914E-2</v>
      </c>
      <c r="AD82" s="231">
        <f>(INDEX(Models!$BJ82:$BT82,,AH82)*(1-AF82)+INDEX(Models!$BJ82:$BT82,,AH82+1)*AF82-ERP_i)*AE82*Ramure*Pc/MaxiM</f>
        <v>1.3648857107044315E-2</v>
      </c>
      <c r="AE82" s="305">
        <f t="shared" si="38"/>
        <v>0.8</v>
      </c>
      <c r="AF82" s="177">
        <f t="shared" si="39"/>
        <v>0.21203676029617702</v>
      </c>
      <c r="AG82" s="809">
        <f t="shared" si="47"/>
        <v>1</v>
      </c>
      <c r="AH82" s="176">
        <f t="shared" si="40"/>
        <v>7</v>
      </c>
      <c r="AI82" s="225">
        <f t="shared" si="41"/>
        <v>1.212036760296177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6">
        <v>23</v>
      </c>
      <c r="C83" s="390"/>
      <c r="D83" s="393">
        <f t="shared" si="24"/>
        <v>23.315804857940531</v>
      </c>
      <c r="E83" s="385">
        <f t="shared" si="45"/>
        <v>25.359714796152257</v>
      </c>
      <c r="F83" s="385">
        <f t="shared" si="25"/>
        <v>25.361356882617759</v>
      </c>
      <c r="G83" s="110">
        <f t="shared" si="46"/>
        <v>0.6349395995453595</v>
      </c>
      <c r="H83" s="414" t="b">
        <f>Wh_hp&gt;='2019'!Maxi_hp</f>
        <v>1</v>
      </c>
      <c r="I83" s="380">
        <f>IF(H83,Wh_hp,'2019'!Maxi_hp)</f>
        <v>25.361356882617759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1.3544668943005767E-2</v>
      </c>
      <c r="M83" s="843"/>
      <c r="N83" s="843"/>
      <c r="O83" s="48">
        <f>IF(t&lt;Tnet,'2019'!Resal+('2019'!Salim-'2019'!Resal)*(1-EXP(('2019'!Tnet-t)/('2019'!Tau_j))),Resal+(Salim-Resal)*(1-EXP((Tnet-t)/(Tau_j))))*Salcycl</f>
        <v>8.0596724160393235E-2</v>
      </c>
      <c r="P83" s="169">
        <f>(INDEX(Models!$BJ83:$BT83,,T83)*(1-R83)+INDEX(Models!$BJ83:$BT83,,T83+1)*R83-ERP_i)*Q83*Ramure*Pc/MaxiM</f>
        <v>1.3529974897812076E-4</v>
      </c>
      <c r="Q83" s="305">
        <f t="shared" si="27"/>
        <v>0.8</v>
      </c>
      <c r="R83" s="177">
        <f t="shared" si="28"/>
        <v>1.2631168493259959E-2</v>
      </c>
      <c r="S83" s="809">
        <f t="shared" si="29"/>
        <v>0</v>
      </c>
      <c r="T83" s="176">
        <f t="shared" si="30"/>
        <v>6</v>
      </c>
      <c r="U83" s="251">
        <f t="shared" si="31"/>
        <v>1.2631168493259959E-2</v>
      </c>
      <c r="V83" s="383">
        <f t="shared" si="32"/>
        <v>36.221362176011759</v>
      </c>
      <c r="W83" s="402"/>
      <c r="X83" s="157">
        <f t="shared" si="33"/>
        <v>43899</v>
      </c>
      <c r="Y83" s="385">
        <f t="shared" si="34"/>
        <v>22.85028226199498</v>
      </c>
      <c r="Z83" s="385">
        <f t="shared" si="35"/>
        <v>23.16403139867543</v>
      </c>
      <c r="AA83" s="386">
        <f t="shared" si="36"/>
        <v>25.194636572859544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8.0596724160393235E-2</v>
      </c>
      <c r="AD83" s="231">
        <f>(INDEX(Models!$BJ83:$BT83,,AH83)*(1-AF83)+INDEX(Models!$BJ83:$BT83,,AH83+1)*AF83-ERP_i)*AE83*Ramure*Pc/MaxiM</f>
        <v>1.3736923440858509E-2</v>
      </c>
      <c r="AE83" s="305">
        <f t="shared" si="38"/>
        <v>0.8</v>
      </c>
      <c r="AF83" s="177">
        <f t="shared" si="39"/>
        <v>0.21256474264578129</v>
      </c>
      <c r="AG83" s="809">
        <f t="shared" si="47"/>
        <v>1</v>
      </c>
      <c r="AH83" s="176">
        <f t="shared" si="40"/>
        <v>7</v>
      </c>
      <c r="AI83" s="225">
        <f t="shared" si="41"/>
        <v>1.2125647426457813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6">
        <v>29.63</v>
      </c>
      <c r="C84" s="390"/>
      <c r="D84" s="393">
        <f t="shared" si="24"/>
        <v>30.037538058296025</v>
      </c>
      <c r="E84" s="385">
        <f t="shared" si="45"/>
        <v>32.674228722784846</v>
      </c>
      <c r="F84" s="385">
        <f t="shared" si="25"/>
        <v>32.677588662609999</v>
      </c>
      <c r="G84" s="110">
        <f t="shared" si="46"/>
        <v>0.80875492807143001</v>
      </c>
      <c r="H84" s="414" t="b">
        <f>Wh_hp&gt;='2019'!Maxi_hp</f>
        <v>1</v>
      </c>
      <c r="I84" s="380">
        <f>IF(H84,Wh_hp,'2019'!Maxi_hp)</f>
        <v>32.677588662609999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1.3567625199678024E-2</v>
      </c>
      <c r="M84" s="843"/>
      <c r="N84" s="843"/>
      <c r="O84" s="48">
        <f>IF(t&lt;Tnet,'2019'!Resal+('2019'!Salim-'2019'!Resal)*(1-EXP(('2019'!Tnet-t)/('2019'!Tau_j))),Resal+(Salim-Resal)*(1-EXP((Tnet-t)/(Tau_j))))*Salcycl</f>
        <v>8.0696339823628907E-2</v>
      </c>
      <c r="P84" s="169">
        <f>(INDEX(Models!$BJ84:$BT84,,T84)*(1-R84)+INDEX(Models!$BJ84:$BT84,,T84+1)*R84-ERP_i)*Q84*Ramure*Pc/MaxiM</f>
        <v>1.414634441587102E-4</v>
      </c>
      <c r="Q84" s="305">
        <f t="shared" si="27"/>
        <v>0.8</v>
      </c>
      <c r="R84" s="177">
        <f t="shared" si="28"/>
        <v>1.3180293302457777E-2</v>
      </c>
      <c r="S84" s="809">
        <f t="shared" si="29"/>
        <v>0</v>
      </c>
      <c r="T84" s="176">
        <f t="shared" si="30"/>
        <v>6</v>
      </c>
      <c r="U84" s="251">
        <f t="shared" si="31"/>
        <v>1.3180293302457777E-2</v>
      </c>
      <c r="V84" s="383">
        <f t="shared" si="32"/>
        <v>36.635146044809161</v>
      </c>
      <c r="W84" s="402"/>
      <c r="X84" s="157">
        <f t="shared" si="33"/>
        <v>43900</v>
      </c>
      <c r="Y84" s="385">
        <f t="shared" si="34"/>
        <v>29.335567392635621</v>
      </c>
      <c r="Z84" s="385">
        <f t="shared" si="35"/>
        <v>29.739055754910577</v>
      </c>
      <c r="AA84" s="386">
        <f t="shared" si="36"/>
        <v>32.349545686791949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8.0696339823628907E-2</v>
      </c>
      <c r="AD84" s="231">
        <f>(INDEX(Models!$BJ84:$BT84,,AH84)*(1-AF84)+INDEX(Models!$BJ84:$BT84,,AH84+1)*AF84-ERP_i)*AE84*Ramure*Pc/MaxiM</f>
        <v>1.3811583422976474E-2</v>
      </c>
      <c r="AE84" s="305">
        <f t="shared" si="38"/>
        <v>0.8</v>
      </c>
      <c r="AF84" s="177">
        <f t="shared" si="39"/>
        <v>0.21311386745497907</v>
      </c>
      <c r="AG84" s="809">
        <f t="shared" si="47"/>
        <v>1</v>
      </c>
      <c r="AH84" s="176">
        <f t="shared" si="40"/>
        <v>7</v>
      </c>
      <c r="AI84" s="225">
        <f t="shared" si="41"/>
        <v>1.2131138674549791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6">
        <v>35.841000000000001</v>
      </c>
      <c r="C85" s="390"/>
      <c r="D85" s="393">
        <f t="shared" si="24"/>
        <v>36.33481119179217</v>
      </c>
      <c r="E85" s="385">
        <f t="shared" si="45"/>
        <v>39.528561261405663</v>
      </c>
      <c r="F85" s="385">
        <f t="shared" si="25"/>
        <v>39.534128612030948</v>
      </c>
      <c r="G85" s="110">
        <f t="shared" si="46"/>
        <v>0.96734726935630522</v>
      </c>
      <c r="H85" s="414" t="b">
        <f>Wh_hp&gt;='2019'!Maxi_hp</f>
        <v>1</v>
      </c>
      <c r="I85" s="380">
        <f>IF(H85,Wh_hp,'2019'!Maxi_hp)</f>
        <v>39.534128612030948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1.3590580922124507E-2</v>
      </c>
      <c r="M85" s="843"/>
      <c r="N85" s="843"/>
      <c r="O85" s="48">
        <f>IF(t&lt;Tnet,'2019'!Resal+('2019'!Salim-'2019'!Resal)*(1-EXP(('2019'!Tnet-t)/('2019'!Tau_j))),Resal+(Salim-Resal)*(1-EXP((Tnet-t)/(Tau_j))))*Salcycl</f>
        <v>8.0796010977808197E-2</v>
      </c>
      <c r="P85" s="169">
        <f>(INDEX(Models!$BJ85:$BT85,,T85)*(1-R85)+INDEX(Models!$BJ85:$BT85,,T85+1)*R85-ERP_i)*Q85*Ramure*Pc/MaxiM</f>
        <v>1.4771282960524885E-4</v>
      </c>
      <c r="Q85" s="305">
        <f t="shared" si="27"/>
        <v>0.8</v>
      </c>
      <c r="R85" s="177">
        <f t="shared" si="28"/>
        <v>1.3751364301684069E-2</v>
      </c>
      <c r="S85" s="809">
        <f t="shared" si="29"/>
        <v>0</v>
      </c>
      <c r="T85" s="176">
        <f t="shared" si="30"/>
        <v>6</v>
      </c>
      <c r="U85" s="251">
        <f t="shared" si="31"/>
        <v>1.3751364301684069E-2</v>
      </c>
      <c r="V85" s="383">
        <f t="shared" si="32"/>
        <v>37.050554847130591</v>
      </c>
      <c r="W85" s="402"/>
      <c r="X85" s="157">
        <f t="shared" si="33"/>
        <v>43901</v>
      </c>
      <c r="Y85" s="385">
        <f t="shared" si="34"/>
        <v>35.371925231694284</v>
      </c>
      <c r="Z85" s="385">
        <f t="shared" si="35"/>
        <v>35.859273591244694</v>
      </c>
      <c r="AA85" s="386">
        <f t="shared" si="36"/>
        <v>39.011224950612096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8.0796010977808197E-2</v>
      </c>
      <c r="AD85" s="231">
        <f>(INDEX(Models!$BJ85:$BT85,,AH85)*(1-AF85)+INDEX(Models!$BJ85:$BT85,,AH85+1)*AF85-ERP_i)*AE85*Ramure*Pc/MaxiM</f>
        <v>1.3873668938386995E-2</v>
      </c>
      <c r="AE85" s="305">
        <f t="shared" si="38"/>
        <v>0.8</v>
      </c>
      <c r="AF85" s="177">
        <f t="shared" si="39"/>
        <v>0.21368493845420522</v>
      </c>
      <c r="AG85" s="809">
        <f t="shared" si="47"/>
        <v>1</v>
      </c>
      <c r="AH85" s="176">
        <f t="shared" si="40"/>
        <v>7</v>
      </c>
      <c r="AI85" s="225">
        <f t="shared" si="41"/>
        <v>1.2136849384542052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6">
        <v>14.461</v>
      </c>
      <c r="C86" s="390"/>
      <c r="D86" s="393">
        <f t="shared" si="24"/>
        <v>14.66058236745827</v>
      </c>
      <c r="E86" s="385">
        <f t="shared" si="45"/>
        <v>15.950946330148605</v>
      </c>
      <c r="F86" s="385">
        <f t="shared" si="25"/>
        <v>15.951247636877035</v>
      </c>
      <c r="G86" s="110">
        <f t="shared" si="46"/>
        <v>0.38591640322125625</v>
      </c>
      <c r="H86" s="414" t="b">
        <f>Wh_hp&gt;='2019'!Maxi_hp</f>
        <v>0</v>
      </c>
      <c r="I86" s="380">
        <f>IF(H86,Wh_hp,'2019'!Maxi_hp)</f>
        <v>25.697118110582807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1.3613536110357871E-2</v>
      </c>
      <c r="M86" s="843"/>
      <c r="N86" s="843"/>
      <c r="O86" s="48">
        <f>IF(t&lt;Tnet,'2019'!Resal+('2019'!Salim-'2019'!Resal)*(1-EXP(('2019'!Tnet-t)/('2019'!Tau_j))),Resal+(Salim-Resal)*(1-EXP((Tnet-t)/(Tau_j))))*Salcycl</f>
        <v>8.0895762294143095E-2</v>
      </c>
      <c r="P86" s="169">
        <f>(INDEX(Models!$BJ86:$BT86,,T86)*(1-R86)+INDEX(Models!$BJ86:$BT86,,T86+1)*R86-ERP_i)*Q86*Ramure*Pc/MaxiM</f>
        <v>1.5380589304964931E-4</v>
      </c>
      <c r="Q86" s="305">
        <f t="shared" si="27"/>
        <v>0.8</v>
      </c>
      <c r="R86" s="177">
        <f t="shared" si="28"/>
        <v>1.4345212197899007E-2</v>
      </c>
      <c r="S86" s="809">
        <f t="shared" si="29"/>
        <v>0</v>
      </c>
      <c r="T86" s="176">
        <f t="shared" si="30"/>
        <v>6</v>
      </c>
      <c r="U86" s="251">
        <f t="shared" si="31"/>
        <v>1.4345212197899007E-2</v>
      </c>
      <c r="V86" s="383">
        <f t="shared" si="32"/>
        <v>37.466790249234599</v>
      </c>
      <c r="W86" s="402"/>
      <c r="X86" s="157">
        <f t="shared" si="33"/>
        <v>43902</v>
      </c>
      <c r="Y86" s="385">
        <f t="shared" si="34"/>
        <v>14.436578911755149</v>
      </c>
      <c r="Z86" s="385">
        <f t="shared" si="35"/>
        <v>14.635824233462237</v>
      </c>
      <c r="AA86" s="386">
        <f t="shared" si="36"/>
        <v>15.924009087363357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8.0895762294143095E-2</v>
      </c>
      <c r="AD86" s="231">
        <f>(INDEX(Models!$BJ86:$BT86,,AH86)*(1-AF86)+INDEX(Models!$BJ86:$BT86,,AH86+1)*AF86-ERP_i)*AE86*Ramure*Pc/MaxiM</f>
        <v>1.390426777116776E-2</v>
      </c>
      <c r="AE86" s="305">
        <f t="shared" si="38"/>
        <v>0.8</v>
      </c>
      <c r="AF86" s="177">
        <f t="shared" si="39"/>
        <v>0.2142787863504203</v>
      </c>
      <c r="AG86" s="809">
        <f t="shared" si="47"/>
        <v>1</v>
      </c>
      <c r="AH86" s="176">
        <f t="shared" si="40"/>
        <v>7</v>
      </c>
      <c r="AI86" s="225">
        <f t="shared" si="41"/>
        <v>1.2142787863504203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6">
        <v>34.045000000000002</v>
      </c>
      <c r="C87" s="390"/>
      <c r="D87" s="393">
        <f t="shared" si="24"/>
        <v>34.515672651336679</v>
      </c>
      <c r="E87" s="385">
        <f t="shared" si="45"/>
        <v>37.557680235632183</v>
      </c>
      <c r="F87" s="385">
        <f t="shared" si="25"/>
        <v>37.562812339887081</v>
      </c>
      <c r="G87" s="110">
        <f t="shared" si="46"/>
        <v>0.898666210184354</v>
      </c>
      <c r="H87" s="414" t="b">
        <f>Wh_hp&gt;='2019'!Maxi_hp</f>
        <v>1</v>
      </c>
      <c r="I87" s="380">
        <f>IF(H87,Wh_hp,'2019'!Maxi_hp)</f>
        <v>37.562812339887081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1.3636490764390552E-2</v>
      </c>
      <c r="M87" s="843"/>
      <c r="N87" s="843"/>
      <c r="O87" s="48">
        <f>IF(t&lt;Tnet,'2019'!Resal+('2019'!Salim-'2019'!Resal)*(1-EXP(('2019'!Tnet-t)/('2019'!Tau_j))),Resal+(Salim-Resal)*(1-EXP((Tnet-t)/(Tau_j))))*Salcycl</f>
        <v>8.0995619676463709E-2</v>
      </c>
      <c r="P87" s="169">
        <f>(INDEX(Models!$BJ87:$BT87,,T87)*(1-R87)+INDEX(Models!$BJ87:$BT87,,T87+1)*R87-ERP_i)*Q87*Ramure*Pc/MaxiM</f>
        <v>1.5974805824013475E-4</v>
      </c>
      <c r="Q87" s="305">
        <f t="shared" si="27"/>
        <v>0.8</v>
      </c>
      <c r="R87" s="177">
        <f t="shared" si="28"/>
        <v>1.4962695277544168E-2</v>
      </c>
      <c r="S87" s="809">
        <f t="shared" si="29"/>
        <v>0</v>
      </c>
      <c r="T87" s="176">
        <f t="shared" si="30"/>
        <v>6</v>
      </c>
      <c r="U87" s="251">
        <f t="shared" si="31"/>
        <v>1.4962695277544168E-2</v>
      </c>
      <c r="V87" s="383">
        <f t="shared" si="32"/>
        <v>37.883045294419865</v>
      </c>
      <c r="W87" s="402"/>
      <c r="X87" s="157">
        <f t="shared" si="33"/>
        <v>43903</v>
      </c>
      <c r="Y87" s="385">
        <f t="shared" si="34"/>
        <v>33.644678657876639</v>
      </c>
      <c r="Z87" s="385">
        <f t="shared" si="35"/>
        <v>34.109816860469486</v>
      </c>
      <c r="AA87" s="386">
        <f t="shared" si="36"/>
        <v>37.11605471179702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8.0995619676463709E-2</v>
      </c>
      <c r="AD87" s="231">
        <f>(INDEX(Models!$BJ87:$BT87,,AH87)*(1-AF87)+INDEX(Models!$BJ87:$BT87,,AH87+1)*AF87-ERP_i)*AE87*Ramure*Pc/MaxiM</f>
        <v>1.390631601516228E-2</v>
      </c>
      <c r="AE87" s="305">
        <f t="shared" si="38"/>
        <v>0.8</v>
      </c>
      <c r="AF87" s="177">
        <f t="shared" si="39"/>
        <v>0.21489626943006535</v>
      </c>
      <c r="AG87" s="809">
        <f t="shared" si="47"/>
        <v>1</v>
      </c>
      <c r="AH87" s="176">
        <f t="shared" si="40"/>
        <v>7</v>
      </c>
      <c r="AI87" s="225">
        <f t="shared" si="41"/>
        <v>1.2148962694300653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6">
        <v>27.16</v>
      </c>
      <c r="C88" s="390"/>
      <c r="D88" s="393">
        <f t="shared" si="24"/>
        <v>27.536128225825891</v>
      </c>
      <c r="E88" s="385">
        <f t="shared" si="45"/>
        <v>29.966260397579219</v>
      </c>
      <c r="F88" s="385">
        <f t="shared" si="25"/>
        <v>29.969159838266769</v>
      </c>
      <c r="G88" s="110">
        <f t="shared" si="46"/>
        <v>0.70911711447067494</v>
      </c>
      <c r="H88" s="414" t="b">
        <f>Wh_hp&gt;='2019'!Maxi_hp</f>
        <v>1</v>
      </c>
      <c r="I88" s="380">
        <f>IF(H88,Wh_hp,'2019'!Maxi_hp)</f>
        <v>29.969159838266769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1.3659444884234762E-2</v>
      </c>
      <c r="M88" s="843"/>
      <c r="N88" s="843"/>
      <c r="O88" s="48">
        <f>IF(t&lt;Tnet,'2019'!Resal+('2019'!Salim-'2019'!Resal)*(1-EXP(('2019'!Tnet-t)/('2019'!Tau_j))),Resal+(Salim-Resal)*(1-EXP((Tnet-t)/(Tau_j))))*Salcycl</f>
        <v>8.1095610179962321E-2</v>
      </c>
      <c r="P88" s="169">
        <f>(INDEX(Models!$BJ88:$BT88,,T88)*(1-R88)+INDEX(Models!$BJ88:$BT88,,T88+1)*R88-ERP_i)*Q88*Ramure*Pc/MaxiM</f>
        <v>1.6551535219118629E-4</v>
      </c>
      <c r="Q88" s="305">
        <f t="shared" si="27"/>
        <v>0.8</v>
      </c>
      <c r="R88" s="177">
        <f t="shared" si="28"/>
        <v>1.5604699995502088E-2</v>
      </c>
      <c r="S88" s="809">
        <f t="shared" si="29"/>
        <v>0</v>
      </c>
      <c r="T88" s="176">
        <f t="shared" si="30"/>
        <v>6</v>
      </c>
      <c r="U88" s="251">
        <f t="shared" si="31"/>
        <v>1.5604699995502088E-2</v>
      </c>
      <c r="V88" s="383">
        <f t="shared" si="32"/>
        <v>38.298514490294565</v>
      </c>
      <c r="W88" s="402"/>
      <c r="X88" s="157">
        <f t="shared" si="33"/>
        <v>43904</v>
      </c>
      <c r="Y88" s="385">
        <f t="shared" si="34"/>
        <v>26.942235307467534</v>
      </c>
      <c r="Z88" s="385">
        <f t="shared" si="35"/>
        <v>27.315347795169355</v>
      </c>
      <c r="AA88" s="386">
        <f t="shared" si="36"/>
        <v>29.725995541841861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8.1095610179962321E-2</v>
      </c>
      <c r="AD88" s="231">
        <f>(INDEX(Models!$BJ88:$BT88,,AH88)*(1-AF88)+INDEX(Models!$BJ88:$BT88,,AH88+1)*AF88-ERP_i)*AE88*Ramure*Pc/MaxiM</f>
        <v>1.3881099322321899E-2</v>
      </c>
      <c r="AE88" s="305">
        <f t="shared" si="38"/>
        <v>0.8</v>
      </c>
      <c r="AF88" s="177">
        <f t="shared" si="39"/>
        <v>0.2155382741480234</v>
      </c>
      <c r="AG88" s="809">
        <f t="shared" si="47"/>
        <v>1</v>
      </c>
      <c r="AH88" s="176">
        <f t="shared" si="40"/>
        <v>7</v>
      </c>
      <c r="AI88" s="225">
        <f t="shared" si="41"/>
        <v>1.2155382741480234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6">
        <v>38.869</v>
      </c>
      <c r="C89" s="390"/>
      <c r="D89" s="393">
        <f t="shared" si="24"/>
        <v>39.408198677283707</v>
      </c>
      <c r="E89" s="385">
        <f t="shared" si="45"/>
        <v>42.89074543219521</v>
      </c>
      <c r="F89" s="385">
        <f t="shared" si="25"/>
        <v>42.898084527524084</v>
      </c>
      <c r="G89" s="110">
        <f t="shared" si="46"/>
        <v>1.0040454022172012</v>
      </c>
      <c r="H89" s="414" t="b">
        <f>Wh_hp&gt;='2019'!Maxi_hp</f>
        <v>1</v>
      </c>
      <c r="I89" s="380">
        <f>IF(H89,Wh_hp,'2019'!Maxi_hp)</f>
        <v>42.898084527524084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1.3682398469903156E-2</v>
      </c>
      <c r="M89" s="843"/>
      <c r="N89" s="843"/>
      <c r="O89" s="48">
        <f>IF(t&lt;Tnet,'2019'!Resal+('2019'!Salim-'2019'!Resal)*(1-EXP(('2019'!Tnet-t)/('2019'!Tau_j))),Resal+(Salim-Resal)*(1-EXP((Tnet-t)/(Tau_j))))*Salcycl</f>
        <v>8.1195761925307711E-2</v>
      </c>
      <c r="P89" s="169">
        <f>(INDEX(Models!$BJ89:$BT89,,T89)*(1-R89)+INDEX(Models!$BJ89:$BT89,,T89+1)*R89-ERP_i)*Q89*Ramure*Pc/MaxiM</f>
        <v>1.7108212195742146E-4</v>
      </c>
      <c r="Q89" s="305">
        <f t="shared" si="27"/>
        <v>0.8</v>
      </c>
      <c r="R89" s="177">
        <f t="shared" si="28"/>
        <v>1.6272141546828402E-2</v>
      </c>
      <c r="S89" s="809">
        <f t="shared" si="29"/>
        <v>0</v>
      </c>
      <c r="T89" s="176">
        <f t="shared" si="30"/>
        <v>6</v>
      </c>
      <c r="U89" s="251">
        <f t="shared" si="31"/>
        <v>1.6272141546828402E-2</v>
      </c>
      <c r="V89" s="383">
        <f t="shared" si="32"/>
        <v>38.712392800332374</v>
      </c>
      <c r="W89" s="402"/>
      <c r="X89" s="157">
        <f t="shared" si="33"/>
        <v>43905</v>
      </c>
      <c r="Y89" s="385">
        <f t="shared" si="34"/>
        <v>38.338006825299999</v>
      </c>
      <c r="Z89" s="385">
        <f t="shared" si="35"/>
        <v>38.869839457214773</v>
      </c>
      <c r="AA89" s="386">
        <f t="shared" si="36"/>
        <v>42.304810803511913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8.1195761925307711E-2</v>
      </c>
      <c r="AD89" s="231">
        <f>(INDEX(Models!$BJ89:$BT89,,AH89)*(1-AF89)+INDEX(Models!$BJ89:$BT89,,AH89+1)*AF89-ERP_i)*AE89*Ramure*Pc/MaxiM</f>
        <v>1.3829841834348482E-2</v>
      </c>
      <c r="AE89" s="305">
        <f t="shared" si="38"/>
        <v>0.8</v>
      </c>
      <c r="AF89" s="177">
        <f t="shared" si="39"/>
        <v>0.21620571569934954</v>
      </c>
      <c r="AG89" s="809">
        <f t="shared" si="47"/>
        <v>1</v>
      </c>
      <c r="AH89" s="176">
        <f t="shared" si="40"/>
        <v>7</v>
      </c>
      <c r="AI89" s="225">
        <f t="shared" si="41"/>
        <v>1.2162057156993495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6">
        <v>8.7010000000000005</v>
      </c>
      <c r="C90" s="390"/>
      <c r="D90" s="393">
        <f t="shared" si="24"/>
        <v>8.8219073412004416</v>
      </c>
      <c r="E90" s="385">
        <f t="shared" si="45"/>
        <v>9.6025578858394205</v>
      </c>
      <c r="F90" s="385">
        <f t="shared" si="25"/>
        <v>9.6025578858394205</v>
      </c>
      <c r="G90" s="110">
        <f t="shared" si="46"/>
        <v>0.22235693209713886</v>
      </c>
      <c r="H90" s="414" t="b">
        <f>Wh_hp&gt;='2019'!Maxi_hp</f>
        <v>0</v>
      </c>
      <c r="I90" s="380">
        <f>IF(H90,Wh_hp,'2019'!Maxi_hp)</f>
        <v>16.533381517841846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1.3705351521407949E-2</v>
      </c>
      <c r="M90" s="843"/>
      <c r="N90" s="843"/>
      <c r="O90" s="48">
        <f>IF(t&lt;Tnet,'2019'!Resal+('2019'!Salim-'2019'!Resal)*(1-EXP(('2019'!Tnet-t)/('2019'!Tau_j))),Resal+(Salim-Resal)*(1-EXP((Tnet-t)/(Tau_j))))*Salcycl</f>
        <v>8.1296104008930753E-2</v>
      </c>
      <c r="P90" s="169">
        <f>(INDEX(Models!$BJ90:$BT90,,T90)*(1-R90)+INDEX(Models!$BJ90:$BT90,,T90+1)*R90-ERP_i)*Q90*Ramure*Pc/MaxiM</f>
        <v>1.7642083914665122E-4</v>
      </c>
      <c r="Q90" s="305">
        <f t="shared" si="27"/>
        <v>0.8</v>
      </c>
      <c r="R90" s="177">
        <f t="shared" si="28"/>
        <v>1.6965964417745501E-2</v>
      </c>
      <c r="S90" s="809">
        <f t="shared" si="29"/>
        <v>0</v>
      </c>
      <c r="T90" s="176">
        <f t="shared" si="30"/>
        <v>6</v>
      </c>
      <c r="U90" s="251">
        <f t="shared" si="31"/>
        <v>1.6965964417745501E-2</v>
      </c>
      <c r="V90" s="383">
        <f t="shared" si="32"/>
        <v>39.123875654473125</v>
      </c>
      <c r="W90" s="402"/>
      <c r="X90" s="157">
        <f t="shared" si="33"/>
        <v>43906</v>
      </c>
      <c r="Y90" s="385">
        <f t="shared" si="34"/>
        <v>8.7010000000000005</v>
      </c>
      <c r="Z90" s="385">
        <f t="shared" si="35"/>
        <v>8.8219073412004416</v>
      </c>
      <c r="AA90" s="386">
        <f t="shared" si="36"/>
        <v>9.6025578858394205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8.1296104008930753E-2</v>
      </c>
      <c r="AD90" s="231">
        <f>(INDEX(Models!$BJ90:$BT90,,AH90)*(1-AF90)+INDEX(Models!$BJ90:$BT90,,AH90+1)*AF90-ERP_i)*AE90*Ramure*Pc/MaxiM</f>
        <v>1.3753703033111103E-2</v>
      </c>
      <c r="AE90" s="305">
        <f t="shared" si="38"/>
        <v>0.8</v>
      </c>
      <c r="AF90" s="177">
        <f t="shared" si="39"/>
        <v>0.21689953857026678</v>
      </c>
      <c r="AG90" s="809">
        <f t="shared" si="47"/>
        <v>1</v>
      </c>
      <c r="AH90" s="176">
        <f t="shared" si="40"/>
        <v>7</v>
      </c>
      <c r="AI90" s="225">
        <f t="shared" si="41"/>
        <v>1.2168995385702668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6">
        <v>12.792999999999999</v>
      </c>
      <c r="C91" s="390"/>
      <c r="D91" s="393">
        <f t="shared" si="24"/>
        <v>12.971070803701521</v>
      </c>
      <c r="E91" s="385">
        <f t="shared" si="45"/>
        <v>14.120426444582007</v>
      </c>
      <c r="F91" s="385">
        <f t="shared" si="25"/>
        <v>14.120512887347161</v>
      </c>
      <c r="G91" s="110">
        <f t="shared" si="46"/>
        <v>0.32355319527257231</v>
      </c>
      <c r="H91" s="414" t="b">
        <f>Wh_hp&gt;='2019'!Maxi_hp</f>
        <v>0</v>
      </c>
      <c r="I91" s="380">
        <f>IF(H91,Wh_hp,'2019'!Maxi_hp)</f>
        <v>31.721839412381989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1.3728304038761796E-2</v>
      </c>
      <c r="M91" s="843"/>
      <c r="N91" s="843"/>
      <c r="O91" s="48">
        <f>IF(t&lt;Tnet,'2019'!Resal+('2019'!Salim-'2019'!Resal)*(1-EXP(('2019'!Tnet-t)/('2019'!Tau_j))),Resal+(Salim-Resal)*(1-EXP((Tnet-t)/(Tau_j))))*Salcycl</f>
        <v>8.1396666410276292E-2</v>
      </c>
      <c r="P91" s="169">
        <f>(INDEX(Models!$BJ91:$BT91,,T91)*(1-R91)+INDEX(Models!$BJ91:$BT91,,T91+1)*R91-ERP_i)*Q91*Ramure*Pc/MaxiM</f>
        <v>1.8150188725455971E-4</v>
      </c>
      <c r="Q91" s="305">
        <f t="shared" si="27"/>
        <v>0.8</v>
      </c>
      <c r="R91" s="177">
        <f t="shared" si="28"/>
        <v>1.7687142912096016E-2</v>
      </c>
      <c r="S91" s="809">
        <f t="shared" si="29"/>
        <v>0</v>
      </c>
      <c r="T91" s="176">
        <f t="shared" si="30"/>
        <v>6</v>
      </c>
      <c r="U91" s="251">
        <f t="shared" si="31"/>
        <v>1.7687142912096016E-2</v>
      </c>
      <c r="V91" s="383">
        <f t="shared" si="32"/>
        <v>39.532158963414069</v>
      </c>
      <c r="W91" s="402"/>
      <c r="X91" s="157">
        <f t="shared" si="33"/>
        <v>43907</v>
      </c>
      <c r="Y91" s="385">
        <f t="shared" si="34"/>
        <v>12.787186830634013</v>
      </c>
      <c r="Z91" s="385">
        <f t="shared" si="35"/>
        <v>12.965176718542439</v>
      </c>
      <c r="AA91" s="386">
        <f t="shared" si="36"/>
        <v>14.11401008950952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8.1396666410276292E-2</v>
      </c>
      <c r="AD91" s="231">
        <f>(INDEX(Models!$BJ91:$BT91,,AH91)*(1-AF91)+INDEX(Models!$BJ91:$BT91,,AH91+1)*AF91-ERP_i)*AE91*Ramure*Pc/MaxiM</f>
        <v>1.3653775163993178E-2</v>
      </c>
      <c r="AE91" s="305">
        <f t="shared" si="38"/>
        <v>0.8</v>
      </c>
      <c r="AF91" s="177">
        <f t="shared" si="39"/>
        <v>0.21762071706461716</v>
      </c>
      <c r="AG91" s="809">
        <f t="shared" si="47"/>
        <v>1</v>
      </c>
      <c r="AH91" s="176">
        <f t="shared" si="40"/>
        <v>7</v>
      </c>
      <c r="AI91" s="225">
        <f t="shared" si="41"/>
        <v>1.2176207170646172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6">
        <v>37.295000000000002</v>
      </c>
      <c r="C92" s="390"/>
      <c r="D92" s="393">
        <f t="shared" si="24"/>
        <v>37.815003798708076</v>
      </c>
      <c r="E92" s="385">
        <f t="shared" si="45"/>
        <v>41.170277675949528</v>
      </c>
      <c r="F92" s="385">
        <f t="shared" si="25"/>
        <v>41.177223902410979</v>
      </c>
      <c r="G92" s="110">
        <f t="shared" si="46"/>
        <v>0.9338424811857845</v>
      </c>
      <c r="H92" s="414" t="b">
        <f>Wh_hp&gt;='2019'!Maxi_hp</f>
        <v>1</v>
      </c>
      <c r="I92" s="380">
        <f>IF(H92,Wh_hp,'2019'!Maxi_hp)</f>
        <v>41.177223902410979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1.3751256021977132E-2</v>
      </c>
      <c r="M92" s="843"/>
      <c r="N92" s="843"/>
      <c r="O92" s="48">
        <f>IF(t&lt;Tnet,'2019'!Resal+('2019'!Salim-'2019'!Resal)*(1-EXP(('2019'!Tnet-t)/('2019'!Tau_j))),Resal+(Salim-Resal)*(1-EXP((Tnet-t)/(Tau_j))))*Salcycl</f>
        <v>8.1497479896802033E-2</v>
      </c>
      <c r="P92" s="169">
        <f>(INDEX(Models!$BJ92:$BT92,,T92)*(1-R92)+INDEX(Models!$BJ92:$BT92,,T92+1)*R92-ERP_i)*Q92*Ramure*Pc/MaxiM</f>
        <v>1.8629333029715519E-4</v>
      </c>
      <c r="Q92" s="305">
        <f t="shared" si="27"/>
        <v>0.8</v>
      </c>
      <c r="R92" s="177">
        <f t="shared" si="28"/>
        <v>1.8436681649143919E-2</v>
      </c>
      <c r="S92" s="809">
        <f t="shared" si="29"/>
        <v>0</v>
      </c>
      <c r="T92" s="176">
        <f t="shared" si="30"/>
        <v>6</v>
      </c>
      <c r="U92" s="251">
        <f t="shared" si="31"/>
        <v>1.8436681649143919E-2</v>
      </c>
      <c r="V92" s="383">
        <f t="shared" si="32"/>
        <v>39.936439133093302</v>
      </c>
      <c r="W92" s="402"/>
      <c r="X92" s="157">
        <f t="shared" si="33"/>
        <v>43908</v>
      </c>
      <c r="Y92" s="385">
        <f t="shared" si="34"/>
        <v>36.844255828114534</v>
      </c>
      <c r="Z92" s="385">
        <f t="shared" si="35"/>
        <v>37.357974905502701</v>
      </c>
      <c r="AA92" s="386">
        <f t="shared" si="36"/>
        <v>40.672697230384692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8.1497479896802033E-2</v>
      </c>
      <c r="AD92" s="231">
        <f>(INDEX(Models!$BJ92:$BT92,,AH92)*(1-AF92)+INDEX(Models!$BJ92:$BT92,,AH92+1)*AF92-ERP_i)*AE92*Ramure*Pc/MaxiM</f>
        <v>1.3531081152794442E-2</v>
      </c>
      <c r="AE92" s="305">
        <f t="shared" si="38"/>
        <v>0.8</v>
      </c>
      <c r="AF92" s="177">
        <f t="shared" si="39"/>
        <v>0.21837025580166514</v>
      </c>
      <c r="AG92" s="809">
        <f t="shared" si="47"/>
        <v>1</v>
      </c>
      <c r="AH92" s="176">
        <f t="shared" si="40"/>
        <v>7</v>
      </c>
      <c r="AI92" s="225">
        <f t="shared" si="41"/>
        <v>1.2183702558016651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6">
        <v>37.843000000000004</v>
      </c>
      <c r="C93" s="390"/>
      <c r="D93" s="393">
        <f t="shared" si="24"/>
        <v>38.371537518767305</v>
      </c>
      <c r="E93" s="385">
        <f t="shared" si="45"/>
        <v>41.780790526885511</v>
      </c>
      <c r="F93" s="385">
        <f t="shared" si="25"/>
        <v>41.788056267655897</v>
      </c>
      <c r="G93" s="110">
        <f t="shared" si="46"/>
        <v>0.93807779869809094</v>
      </c>
      <c r="H93" s="414" t="b">
        <f>Wh_hp&gt;='2019'!Maxi_hp</f>
        <v>0</v>
      </c>
      <c r="I93" s="380">
        <f>IF(H93,Wh_hp,'2019'!Maxi_hp)</f>
        <v>44.675068559280305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1.3774207471066169E-2</v>
      </c>
      <c r="M93" s="843"/>
      <c r="N93" s="843"/>
      <c r="O93" s="48">
        <f>IF(t&lt;Tnet,'2019'!Resal+('2019'!Salim-'2019'!Resal)*(1-EXP(('2019'!Tnet-t)/('2019'!Tau_j))),Resal+(Salim-Resal)*(1-EXP((Tnet-t)/(Tau_j))))*Salcycl</f>
        <v>8.1598575927480085E-2</v>
      </c>
      <c r="P93" s="169">
        <f>(INDEX(Models!$BJ93:$BT93,,T93)*(1-R93)+INDEX(Models!$BJ93:$BT93,,T93+1)*R93-ERP_i)*Q93*Ramure*Pc/MaxiM</f>
        <v>1.9073981709244017E-4</v>
      </c>
      <c r="Q93" s="305">
        <f t="shared" si="27"/>
        <v>0.8</v>
      </c>
      <c r="R93" s="177">
        <f t="shared" si="28"/>
        <v>1.9215616028289691E-2</v>
      </c>
      <c r="S93" s="809">
        <f t="shared" si="29"/>
        <v>0</v>
      </c>
      <c r="T93" s="176">
        <f t="shared" si="30"/>
        <v>6</v>
      </c>
      <c r="U93" s="251">
        <f t="shared" si="31"/>
        <v>1.9215616028289691E-2</v>
      </c>
      <c r="V93" s="383">
        <f t="shared" si="32"/>
        <v>40.340323141206312</v>
      </c>
      <c r="W93" s="402"/>
      <c r="X93" s="157">
        <f t="shared" si="33"/>
        <v>43909</v>
      </c>
      <c r="Y93" s="385">
        <f t="shared" si="34"/>
        <v>37.387764508277755</v>
      </c>
      <c r="Z93" s="385">
        <f t="shared" si="35"/>
        <v>37.909943941342291</v>
      </c>
      <c r="AA93" s="386">
        <f t="shared" si="36"/>
        <v>41.278185059030136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8.1598575927480085E-2</v>
      </c>
      <c r="AD93" s="231">
        <f>(INDEX(Models!$BJ93:$BT93,,AH93)*(1-AF93)+INDEX(Models!$BJ93:$BT93,,AH93+1)*AF93-ERP_i)*AE93*Ramure*Pc/MaxiM</f>
        <v>1.3385110224467105E-2</v>
      </c>
      <c r="AE93" s="305">
        <f t="shared" si="38"/>
        <v>0.8</v>
      </c>
      <c r="AF93" s="177">
        <f t="shared" si="39"/>
        <v>0.21914919018081092</v>
      </c>
      <c r="AG93" s="809">
        <f t="shared" si="47"/>
        <v>1</v>
      </c>
      <c r="AH93" s="176">
        <f t="shared" si="40"/>
        <v>7</v>
      </c>
      <c r="AI93" s="225">
        <f t="shared" si="41"/>
        <v>1.2191491901808109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6">
        <v>41.676000000000002</v>
      </c>
      <c r="C94" s="390"/>
      <c r="D94" s="393">
        <f t="shared" si="24"/>
        <v>42.259054873331777</v>
      </c>
      <c r="E94" s="385">
        <f t="shared" si="45"/>
        <v>46.018789344041359</v>
      </c>
      <c r="F94" s="385">
        <f t="shared" si="25"/>
        <v>46.027750309068139</v>
      </c>
      <c r="G94" s="110">
        <f t="shared" si="46"/>
        <v>1.0227937298254355</v>
      </c>
      <c r="H94" s="414" t="b">
        <f>Wh_hp&gt;='2019'!Maxi_hp</f>
        <v>1</v>
      </c>
      <c r="I94" s="380">
        <f>IF(H94,Wh_hp,'2019'!Maxi_hp)</f>
        <v>46.027750309068139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1.3797158386041453E-2</v>
      </c>
      <c r="M94" s="843"/>
      <c r="N94" s="843"/>
      <c r="O94" s="48">
        <f>IF(t&lt;Tnet,'2019'!Resal+('2019'!Salim-'2019'!Resal)*(1-EXP(('2019'!Tnet-t)/('2019'!Tau_j))),Resal+(Salim-Resal)*(1-EXP((Tnet-t)/(Tau_j))))*Salcycl</f>
        <v>8.1699986555522075E-2</v>
      </c>
      <c r="P94" s="169">
        <f>(INDEX(Models!$BJ94:$BT94,,T94)*(1-R94)+INDEX(Models!$BJ94:$BT94,,T94+1)*R94-ERP_i)*Q94*Ramure*Pc/MaxiM</f>
        <v>1.946861397007455E-4</v>
      </c>
      <c r="Q94" s="305">
        <f t="shared" si="27"/>
        <v>0.8</v>
      </c>
      <c r="R94" s="177">
        <f t="shared" si="28"/>
        <v>2.0025012655929941E-2</v>
      </c>
      <c r="S94" s="809">
        <f t="shared" si="29"/>
        <v>0</v>
      </c>
      <c r="T94" s="176">
        <f t="shared" si="30"/>
        <v>6</v>
      </c>
      <c r="U94" s="251">
        <f t="shared" si="31"/>
        <v>2.0025012655929941E-2</v>
      </c>
      <c r="V94" s="383">
        <f t="shared" si="32"/>
        <v>40.747218901227541</v>
      </c>
      <c r="W94" s="402"/>
      <c r="X94" s="157">
        <f t="shared" si="33"/>
        <v>43910</v>
      </c>
      <c r="Y94" s="385">
        <f t="shared" si="34"/>
        <v>41.133633424823152</v>
      </c>
      <c r="Z94" s="385">
        <f t="shared" si="35"/>
        <v>41.709100490428916</v>
      </c>
      <c r="AA94" s="386">
        <f t="shared" si="36"/>
        <v>45.419906217774141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8.1699986555522075E-2</v>
      </c>
      <c r="AD94" s="231">
        <f>(INDEX(Models!$BJ94:$BT94,,AH94)*(1-AF94)+INDEX(Models!$BJ94:$BT94,,AH94+1)*AF94-ERP_i)*AE94*Ramure*Pc/MaxiM</f>
        <v>1.3206035211637157E-2</v>
      </c>
      <c r="AE94" s="305">
        <f t="shared" si="38"/>
        <v>0.8</v>
      </c>
      <c r="AF94" s="177">
        <f t="shared" si="39"/>
        <v>0.21995858680845126</v>
      </c>
      <c r="AG94" s="809">
        <f t="shared" si="47"/>
        <v>1</v>
      </c>
      <c r="AH94" s="176">
        <f t="shared" si="40"/>
        <v>7</v>
      </c>
      <c r="AI94" s="225">
        <f t="shared" si="41"/>
        <v>1.2199585868084513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6">
        <v>39.69</v>
      </c>
      <c r="C95" s="390"/>
      <c r="D95" s="393">
        <f t="shared" si="24"/>
        <v>40.246206957609957</v>
      </c>
      <c r="E95" s="385">
        <f t="shared" si="45"/>
        <v>43.831717942316118</v>
      </c>
      <c r="F95" s="385">
        <f t="shared" si="25"/>
        <v>43.839967759684342</v>
      </c>
      <c r="G95" s="110">
        <f t="shared" si="46"/>
        <v>0.96436942091749711</v>
      </c>
      <c r="H95" s="414" t="b">
        <f>Wh_hp&gt;='2019'!Maxi_hp</f>
        <v>0</v>
      </c>
      <c r="I95" s="380">
        <f>IF(H95,Wh_hp,'2019'!Maxi_hp)</f>
        <v>44.110203483465384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1.3820108766915418E-2</v>
      </c>
      <c r="M95" s="843"/>
      <c r="N95" s="843"/>
      <c r="O95" s="48">
        <f>IF(t&lt;Tnet,'2019'!Resal+('2019'!Salim-'2019'!Resal)*(1-EXP(('2019'!Tnet-t)/('2019'!Tau_j))),Resal+(Salim-Resal)*(1-EXP((Tnet-t)/(Tau_j))))*Salcycl</f>
        <v>8.1801744331007065E-2</v>
      </c>
      <c r="P95" s="169">
        <f>(INDEX(Models!$BJ95:$BT95,,T95)*(1-R95)+INDEX(Models!$BJ95:$BT95,,T95+1)*R95-ERP_i)*Q95*Ramure*Pc/MaxiM</f>
        <v>1.9826960979794583E-4</v>
      </c>
      <c r="Q95" s="305">
        <f t="shared" si="27"/>
        <v>0.8</v>
      </c>
      <c r="R95" s="177">
        <f t="shared" si="28"/>
        <v>2.086596972933959E-2</v>
      </c>
      <c r="S95" s="809">
        <f t="shared" si="29"/>
        <v>0</v>
      </c>
      <c r="T95" s="176">
        <f t="shared" si="30"/>
        <v>6</v>
      </c>
      <c r="U95" s="251">
        <f t="shared" si="31"/>
        <v>2.086596972933959E-2</v>
      </c>
      <c r="V95" s="383">
        <f t="shared" si="32"/>
        <v>41.156012020096476</v>
      </c>
      <c r="W95" s="402"/>
      <c r="X95" s="157">
        <f t="shared" si="33"/>
        <v>43911</v>
      </c>
      <c r="Y95" s="385">
        <f t="shared" si="34"/>
        <v>39.207510430885485</v>
      </c>
      <c r="Z95" s="385">
        <f t="shared" si="35"/>
        <v>39.756955885464059</v>
      </c>
      <c r="AA95" s="386">
        <f t="shared" si="36"/>
        <v>43.298879778961698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8.1801744331007065E-2</v>
      </c>
      <c r="AD95" s="231">
        <f>(INDEX(Models!$BJ95:$BT95,,AH95)*(1-AF95)+INDEX(Models!$BJ95:$BT95,,AH95+1)*AF95-ERP_i)*AE95*Ramure*Pc/MaxiM</f>
        <v>1.3004082153075379E-2</v>
      </c>
      <c r="AE95" s="305">
        <f t="shared" si="38"/>
        <v>0.8</v>
      </c>
      <c r="AF95" s="177">
        <f t="shared" si="39"/>
        <v>0.22079954388186085</v>
      </c>
      <c r="AG95" s="809">
        <f t="shared" si="47"/>
        <v>1</v>
      </c>
      <c r="AH95" s="176">
        <f t="shared" si="40"/>
        <v>7</v>
      </c>
      <c r="AI95" s="225">
        <f t="shared" si="41"/>
        <v>1.2207995438818608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6">
        <v>37.046999999999997</v>
      </c>
      <c r="C96" s="390"/>
      <c r="D96" s="393">
        <f t="shared" si="24"/>
        <v>37.567042775078804</v>
      </c>
      <c r="E96" s="385">
        <f t="shared" si="45"/>
        <v>40.918420246961311</v>
      </c>
      <c r="F96" s="385">
        <f t="shared" si="25"/>
        <v>40.925384495594372</v>
      </c>
      <c r="G96" s="110">
        <f t="shared" si="46"/>
        <v>0.89126211819993895</v>
      </c>
      <c r="H96" s="414" t="b">
        <f>Wh_hp&gt;='2019'!Maxi_hp</f>
        <v>0</v>
      </c>
      <c r="I96" s="380">
        <f>IF(H96,Wh_hp,'2019'!Maxi_hp)</f>
        <v>41.92308435506223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1.3843058613700499E-2</v>
      </c>
      <c r="M96" s="843"/>
      <c r="N96" s="843"/>
      <c r="O96" s="48">
        <f>IF(t&lt;Tnet,'2019'!Resal+('2019'!Salim-'2019'!Resal)*(1-EXP(('2019'!Tnet-t)/('2019'!Tau_j))),Resal+(Salim-Resal)*(1-EXP((Tnet-t)/(Tau_j))))*Salcycl</f>
        <v>8.1903882204039713E-2</v>
      </c>
      <c r="P96" s="169">
        <f>(INDEX(Models!$BJ96:$BT96,,T96)*(1-R96)+INDEX(Models!$BJ96:$BT96,,T96+1)*R96-ERP_i)*Q96*Ramure*Pc/MaxiM</f>
        <v>2.0145543999577705E-4</v>
      </c>
      <c r="Q96" s="305">
        <f t="shared" si="27"/>
        <v>0.8</v>
      </c>
      <c r="R96" s="177">
        <f t="shared" si="28"/>
        <v>2.1739617372093161E-2</v>
      </c>
      <c r="S96" s="809">
        <f t="shared" si="29"/>
        <v>0</v>
      </c>
      <c r="T96" s="176">
        <f t="shared" si="30"/>
        <v>6</v>
      </c>
      <c r="U96" s="251">
        <f t="shared" si="31"/>
        <v>2.1739617372093161E-2</v>
      </c>
      <c r="V96" s="383">
        <f t="shared" si="32"/>
        <v>41.565595566979027</v>
      </c>
      <c r="W96" s="402"/>
      <c r="X96" s="157">
        <f t="shared" si="33"/>
        <v>43912</v>
      </c>
      <c r="Y96" s="385">
        <f t="shared" si="34"/>
        <v>36.653297556587674</v>
      </c>
      <c r="Z96" s="385">
        <f t="shared" si="35"/>
        <v>37.167813781305391</v>
      </c>
      <c r="AA96" s="386">
        <f t="shared" si="36"/>
        <v>40.483575805257516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8.1903882204039713E-2</v>
      </c>
      <c r="AD96" s="231">
        <f>(INDEX(Models!$BJ96:$BT96,,AH96)*(1-AF96)+INDEX(Models!$BJ96:$BT96,,AH96+1)*AF96-ERP_i)*AE96*Ramure*Pc/MaxiM</f>
        <v>1.2780239304393747E-2</v>
      </c>
      <c r="AE96" s="305">
        <f t="shared" si="38"/>
        <v>0.8</v>
      </c>
      <c r="AF96" s="177">
        <f t="shared" si="39"/>
        <v>0.2216731915246144</v>
      </c>
      <c r="AG96" s="809">
        <f t="shared" si="47"/>
        <v>1</v>
      </c>
      <c r="AH96" s="176">
        <f t="shared" si="40"/>
        <v>7</v>
      </c>
      <c r="AI96" s="225">
        <f t="shared" si="41"/>
        <v>1.2216731915246144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6">
        <v>30.608000000000001</v>
      </c>
      <c r="C97" s="390"/>
      <c r="D97" s="393">
        <f t="shared" si="24"/>
        <v>31.038378400930185</v>
      </c>
      <c r="E97" s="385">
        <f t="shared" si="45"/>
        <v>33.811106669155443</v>
      </c>
      <c r="F97" s="385">
        <f t="shared" si="25"/>
        <v>33.815340589533989</v>
      </c>
      <c r="G97" s="110">
        <f t="shared" si="46"/>
        <v>0.72914071124096269</v>
      </c>
      <c r="H97" s="414" t="b">
        <f>Wh_hp&gt;='2019'!Maxi_hp</f>
        <v>0</v>
      </c>
      <c r="I97" s="380">
        <f>IF(H97,Wh_hp,'2019'!Maxi_hp)</f>
        <v>45.631773645613265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1.386600792640913E-2</v>
      </c>
      <c r="M97" s="843"/>
      <c r="N97" s="843"/>
      <c r="O97" s="48">
        <f>IF(t&lt;Tnet,'2019'!Resal+('2019'!Salim-'2019'!Resal)*(1-EXP(('2019'!Tnet-t)/('2019'!Tau_j))),Resal+(Salim-Resal)*(1-EXP((Tnet-t)/(Tau_j))))*Salcycl</f>
        <v>8.2006433429010317E-2</v>
      </c>
      <c r="P97" s="169">
        <f>(INDEX(Models!$BJ97:$BT97,,T97)*(1-R97)+INDEX(Models!$BJ97:$BT97,,T97+1)*R97-ERP_i)*Q97*Ramure*Pc/MaxiM</f>
        <v>2.042062089028992E-4</v>
      </c>
      <c r="Q97" s="305">
        <f t="shared" si="27"/>
        <v>0.8</v>
      </c>
      <c r="R97" s="177">
        <f t="shared" si="28"/>
        <v>2.2647117915164942E-2</v>
      </c>
      <c r="S97" s="809">
        <f t="shared" si="29"/>
        <v>0</v>
      </c>
      <c r="T97" s="176">
        <f t="shared" si="30"/>
        <v>6</v>
      </c>
      <c r="U97" s="251">
        <f t="shared" si="31"/>
        <v>2.2647117915164942E-2</v>
      </c>
      <c r="V97" s="383">
        <f t="shared" si="32"/>
        <v>41.974863315583349</v>
      </c>
      <c r="W97" s="402"/>
      <c r="X97" s="157">
        <f t="shared" si="33"/>
        <v>43913</v>
      </c>
      <c r="Y97" s="385">
        <f t="shared" si="34"/>
        <v>30.37655113727633</v>
      </c>
      <c r="Z97" s="385">
        <f t="shared" si="35"/>
        <v>30.803675140943181</v>
      </c>
      <c r="AA97" s="386">
        <f t="shared" si="36"/>
        <v>33.555436838196066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8.2006433429010317E-2</v>
      </c>
      <c r="AD97" s="231">
        <f>(INDEX(Models!$BJ97:$BT97,,AH97)*(1-AF97)+INDEX(Models!$BJ97:$BT97,,AH97+1)*AF97-ERP_i)*AE97*Ramure*Pc/MaxiM</f>
        <v>1.2535417531546852E-2</v>
      </c>
      <c r="AE97" s="305">
        <f t="shared" si="38"/>
        <v>0.8</v>
      </c>
      <c r="AF97" s="177">
        <f t="shared" si="39"/>
        <v>0.22258069206768627</v>
      </c>
      <c r="AG97" s="809">
        <f t="shared" si="47"/>
        <v>1</v>
      </c>
      <c r="AH97" s="176">
        <f t="shared" si="40"/>
        <v>7</v>
      </c>
      <c r="AI97" s="225">
        <f t="shared" si="41"/>
        <v>1.2225806920676863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6">
        <v>37.737000000000002</v>
      </c>
      <c r="C98" s="390"/>
      <c r="D98" s="393">
        <f t="shared" si="24"/>
        <v>38.268509674029531</v>
      </c>
      <c r="E98" s="385">
        <f t="shared" si="45"/>
        <v>41.691799639401232</v>
      </c>
      <c r="F98" s="385">
        <f t="shared" si="25"/>
        <v>41.699061468930026</v>
      </c>
      <c r="G98" s="110">
        <f t="shared" si="46"/>
        <v>0.89035788048468145</v>
      </c>
      <c r="H98" s="414" t="b">
        <f>Wh_hp&gt;='2019'!Maxi_hp</f>
        <v>1</v>
      </c>
      <c r="I98" s="380">
        <f>IF(H98,Wh_hp,'2019'!Maxi_hp)</f>
        <v>41.699061468930026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1.3888956705053745E-2</v>
      </c>
      <c r="M98" s="843"/>
      <c r="N98" s="843"/>
      <c r="O98" s="48">
        <f>IF(t&lt;Tnet,'2019'!Resal+('2019'!Salim-'2019'!Resal)*(1-EXP(('2019'!Tnet-t)/('2019'!Tau_j))),Resal+(Salim-Resal)*(1-EXP((Tnet-t)/(Tau_j))))*Salcycl</f>
        <v>8.2109431470463234E-2</v>
      </c>
      <c r="P98" s="169">
        <f>(INDEX(Models!$BJ98:$BT98,,T98)*(1-R98)+INDEX(Models!$BJ98:$BT98,,T98+1)*R98-ERP_i)*Q98*Ramure*Pc/MaxiM</f>
        <v>2.0648155532015133E-4</v>
      </c>
      <c r="Q98" s="305">
        <f t="shared" si="27"/>
        <v>0.8</v>
      </c>
      <c r="R98" s="177">
        <f t="shared" si="28"/>
        <v>2.3589666117461629E-2</v>
      </c>
      <c r="S98" s="809">
        <f t="shared" si="29"/>
        <v>0</v>
      </c>
      <c r="T98" s="176">
        <f t="shared" si="30"/>
        <v>6</v>
      </c>
      <c r="U98" s="251">
        <f t="shared" si="31"/>
        <v>2.3589666117461629E-2</v>
      </c>
      <c r="V98" s="383">
        <f t="shared" si="32"/>
        <v>42.382709764861659</v>
      </c>
      <c r="W98" s="402"/>
      <c r="X98" s="157">
        <f t="shared" si="33"/>
        <v>43914</v>
      </c>
      <c r="Y98" s="385">
        <f t="shared" si="34"/>
        <v>37.352964310970044</v>
      </c>
      <c r="Z98" s="385">
        <f t="shared" si="35"/>
        <v>37.879065004850325</v>
      </c>
      <c r="AA98" s="386">
        <f t="shared" si="36"/>
        <v>41.267517396472101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8.2109431470463234E-2</v>
      </c>
      <c r="AD98" s="231">
        <f>(INDEX(Models!$BJ98:$BT98,,AH98)*(1-AF98)+INDEX(Models!$BJ98:$BT98,,AH98+1)*AF98-ERP_i)*AE98*Ramure*Pc/MaxiM</f>
        <v>1.2270446575067765E-2</v>
      </c>
      <c r="AE98" s="305">
        <f t="shared" si="38"/>
        <v>0.8</v>
      </c>
      <c r="AF98" s="177">
        <f t="shared" si="39"/>
        <v>0.22352324026998294</v>
      </c>
      <c r="AG98" s="809">
        <f t="shared" si="47"/>
        <v>1</v>
      </c>
      <c r="AH98" s="176">
        <f t="shared" si="40"/>
        <v>7</v>
      </c>
      <c r="AI98" s="225">
        <f t="shared" si="41"/>
        <v>1.2235232402699829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6">
        <v>43.546999999999997</v>
      </c>
      <c r="C99" s="390"/>
      <c r="D99" s="393">
        <f t="shared" si="24"/>
        <v>44.161368764700811</v>
      </c>
      <c r="E99" s="385">
        <f t="shared" si="45"/>
        <v>48.117225924826435</v>
      </c>
      <c r="F99" s="385">
        <f t="shared" si="25"/>
        <v>48.127247839315849</v>
      </c>
      <c r="G99" s="110">
        <f t="shared" si="46"/>
        <v>1.01773790090815</v>
      </c>
      <c r="H99" s="414" t="b">
        <f>Wh_hp&gt;='2019'!Maxi_hp</f>
        <v>0</v>
      </c>
      <c r="I99" s="380">
        <f>IF(H99,Wh_hp,'2019'!Maxi_hp)</f>
        <v>48.874468185394626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1.391190494964667E-2</v>
      </c>
      <c r="M99" s="843"/>
      <c r="N99" s="843"/>
      <c r="O99" s="48">
        <f>IF(t&lt;Tnet,'2019'!Resal+('2019'!Salim-'2019'!Resal)*(1-EXP(('2019'!Tnet-t)/('2019'!Tau_j))),Resal+(Salim-Resal)*(1-EXP((Tnet-t)/(Tau_j))))*Salcycl</f>
        <v>8.2212909911013182E-2</v>
      </c>
      <c r="P99" s="169">
        <f>(INDEX(Models!$BJ99:$BT99,,T99)*(1-R99)+INDEX(Models!$BJ99:$BT99,,T99+1)*R99-ERP_i)*Q99*Ramure*Pc/MaxiM</f>
        <v>2.0823784735987688E-4</v>
      </c>
      <c r="Q99" s="305">
        <f t="shared" si="27"/>
        <v>0.8</v>
      </c>
      <c r="R99" s="177">
        <f t="shared" si="28"/>
        <v>2.4568489319145969E-2</v>
      </c>
      <c r="S99" s="809">
        <f t="shared" si="29"/>
        <v>0</v>
      </c>
      <c r="T99" s="176">
        <f t="shared" si="30"/>
        <v>6</v>
      </c>
      <c r="U99" s="251">
        <f t="shared" si="31"/>
        <v>2.4568489319145969E-2</v>
      </c>
      <c r="V99" s="383">
        <f t="shared" si="32"/>
        <v>42.788030160950136</v>
      </c>
      <c r="W99" s="402"/>
      <c r="X99" s="157">
        <f t="shared" si="33"/>
        <v>43915</v>
      </c>
      <c r="Y99" s="385">
        <f t="shared" si="34"/>
        <v>43.034003832809816</v>
      </c>
      <c r="Z99" s="385">
        <f t="shared" si="35"/>
        <v>43.641135157008804</v>
      </c>
      <c r="AA99" s="386">
        <f t="shared" si="36"/>
        <v>47.550391183621294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8.2212909911013182E-2</v>
      </c>
      <c r="AD99" s="231">
        <f>(INDEX(Models!$BJ99:$BT99,,AH99)*(1-AF99)+INDEX(Models!$BJ99:$BT99,,AH99+1)*AF99-ERP_i)*AE99*Ramure*Pc/MaxiM</f>
        <v>1.198607195700299E-2</v>
      </c>
      <c r="AE99" s="305">
        <f t="shared" si="38"/>
        <v>0.8</v>
      </c>
      <c r="AF99" s="177">
        <f t="shared" si="39"/>
        <v>0.22450206347166723</v>
      </c>
      <c r="AG99" s="809">
        <f t="shared" si="47"/>
        <v>1</v>
      </c>
      <c r="AH99" s="176">
        <f t="shared" si="40"/>
        <v>7</v>
      </c>
      <c r="AI99" s="225">
        <f t="shared" si="41"/>
        <v>1.2245020634716672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6">
        <v>26.774999999999999</v>
      </c>
      <c r="C100" s="390"/>
      <c r="D100" s="393">
        <f t="shared" si="24"/>
        <v>27.153378326202311</v>
      </c>
      <c r="E100" s="385">
        <f t="shared" si="45"/>
        <v>29.589057917795454</v>
      </c>
      <c r="F100" s="385">
        <f t="shared" si="25"/>
        <v>29.591891709090778</v>
      </c>
      <c r="G100" s="110">
        <f t="shared" si="46"/>
        <v>0.61986870926403936</v>
      </c>
      <c r="H100" s="414" t="b">
        <f>Wh_hp&gt;='2019'!Maxi_hp</f>
        <v>0</v>
      </c>
      <c r="I100" s="380">
        <f>IF(H100,Wh_hp,'2019'!Maxi_hp)</f>
        <v>48.250977884589958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1.3934852660200558E-2</v>
      </c>
      <c r="M100" s="843"/>
      <c r="N100" s="843"/>
      <c r="O100" s="48">
        <f>IF(t&lt;Tnet,'2019'!Resal+('2019'!Salim-'2019'!Resal)*(1-EXP(('2019'!Tnet-t)/('2019'!Tau_j))),Resal+(Salim-Resal)*(1-EXP((Tnet-t)/(Tau_j))))*Salcycl</f>
        <v>8.2316902361676034E-2</v>
      </c>
      <c r="P100" s="169">
        <f>(INDEX(Models!$BJ100:$BT100,,T100)*(1-R100)+INDEX(Models!$BJ100:$BT100,,T100+1)*R100-ERP_i)*Q100*Ramure*Pc/MaxiM</f>
        <v>2.095200869479862E-4</v>
      </c>
      <c r="Q100" s="305">
        <f t="shared" si="27"/>
        <v>0.8</v>
      </c>
      <c r="R100" s="177">
        <f t="shared" si="28"/>
        <v>2.5584847520703464E-2</v>
      </c>
      <c r="S100" s="809">
        <f t="shared" si="29"/>
        <v>0</v>
      </c>
      <c r="T100" s="176">
        <f t="shared" si="30"/>
        <v>6</v>
      </c>
      <c r="U100" s="251">
        <f t="shared" si="31"/>
        <v>2.5584847520703464E-2</v>
      </c>
      <c r="V100" s="383">
        <f t="shared" si="32"/>
        <v>43.189716542825046</v>
      </c>
      <c r="W100" s="402"/>
      <c r="X100" s="157">
        <f t="shared" si="33"/>
        <v>43916</v>
      </c>
      <c r="Y100" s="385">
        <f t="shared" si="34"/>
        <v>26.63457448083939</v>
      </c>
      <c r="Z100" s="385">
        <f t="shared" si="35"/>
        <v>27.010968344935407</v>
      </c>
      <c r="AA100" s="386">
        <f t="shared" si="36"/>
        <v>29.433873648156624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8.2316902361676034E-2</v>
      </c>
      <c r="AD100" s="231">
        <f>(INDEX(Models!$BJ100:$BT100,,AH100)*(1-AF100)+INDEX(Models!$BJ100:$BT100,,AH100+1)*AF100-ERP_i)*AE100*Ramure*Pc/MaxiM</f>
        <v>1.1683273189850175E-2</v>
      </c>
      <c r="AE100" s="305">
        <f t="shared" si="38"/>
        <v>0.8</v>
      </c>
      <c r="AF100" s="177">
        <f t="shared" si="39"/>
        <v>0.22551842167322467</v>
      </c>
      <c r="AG100" s="809">
        <f t="shared" si="47"/>
        <v>1</v>
      </c>
      <c r="AH100" s="176">
        <f t="shared" si="40"/>
        <v>7</v>
      </c>
      <c r="AI100" s="225">
        <f t="shared" si="41"/>
        <v>1.2255184216732247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6">
        <v>42.006</v>
      </c>
      <c r="C101" s="390"/>
      <c r="D101" s="393">
        <f t="shared" si="24"/>
        <v>42.600610798447065</v>
      </c>
      <c r="E101" s="385">
        <f t="shared" si="45"/>
        <v>46.427208269455754</v>
      </c>
      <c r="F101" s="385">
        <f t="shared" si="25"/>
        <v>46.436484331383909</v>
      </c>
      <c r="G101" s="110">
        <f t="shared" si="46"/>
        <v>0.96372497070151419</v>
      </c>
      <c r="H101" s="414" t="b">
        <f>Wh_hp&gt;='2019'!Maxi_hp</f>
        <v>0</v>
      </c>
      <c r="I101" s="380">
        <f>IF(H101,Wh_hp,'2019'!Maxi_hp)</f>
        <v>47.455326938702427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1.3957799836727625E-2</v>
      </c>
      <c r="M101" s="843"/>
      <c r="N101" s="843"/>
      <c r="O101" s="48">
        <f>IF(t&lt;Tnet,'2019'!Resal+('2019'!Salim-'2019'!Resal)*(1-EXP(('2019'!Tnet-t)/('2019'!Tau_j))),Resal+(Salim-Resal)*(1-EXP((Tnet-t)/(Tau_j))))*Salcycl</f>
        <v>8.2421442374905646E-2</v>
      </c>
      <c r="P101" s="169">
        <f>(INDEX(Models!$BJ101:$BT101,,T101)*(1-R101)+INDEX(Models!$BJ101:$BT101,,T101+1)*R101-ERP_i)*Q101*Ramure*Pc/MaxiM</f>
        <v>2.1067223679232483E-4</v>
      </c>
      <c r="Q101" s="305">
        <f t="shared" si="27"/>
        <v>0.8</v>
      </c>
      <c r="R101" s="177">
        <f t="shared" si="28"/>
        <v>2.6640033380300552E-2</v>
      </c>
      <c r="S101" s="809">
        <f t="shared" si="29"/>
        <v>0</v>
      </c>
      <c r="T101" s="176">
        <f t="shared" si="30"/>
        <v>6</v>
      </c>
      <c r="U101" s="251">
        <f t="shared" si="31"/>
        <v>2.6640033380300552E-2</v>
      </c>
      <c r="V101" s="383">
        <f t="shared" si="32"/>
        <v>43.586648394953805</v>
      </c>
      <c r="W101" s="402"/>
      <c r="X101" s="157">
        <f t="shared" si="33"/>
        <v>43917</v>
      </c>
      <c r="Y101" s="385">
        <f t="shared" si="34"/>
        <v>41.561046046432743</v>
      </c>
      <c r="Z101" s="385">
        <f t="shared" si="35"/>
        <v>42.149358353578492</v>
      </c>
      <c r="AA101" s="386">
        <f t="shared" si="36"/>
        <v>45.935422099085216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8.2421442374905646E-2</v>
      </c>
      <c r="AD101" s="231">
        <f>(INDEX(Models!$BJ101:$BT101,,AH101)*(1-AF101)+INDEX(Models!$BJ101:$BT101,,AH101+1)*AF101-ERP_i)*AE101*Ramure*Pc/MaxiM</f>
        <v>1.1379818512227044E-2</v>
      </c>
      <c r="AE101" s="305">
        <f t="shared" si="38"/>
        <v>0.8</v>
      </c>
      <c r="AF101" s="177">
        <f t="shared" si="39"/>
        <v>0.22657360753282174</v>
      </c>
      <c r="AG101" s="809">
        <f t="shared" si="47"/>
        <v>1</v>
      </c>
      <c r="AH101" s="176">
        <f t="shared" si="40"/>
        <v>7</v>
      </c>
      <c r="AI101" s="225">
        <f t="shared" si="41"/>
        <v>1.2265736075328217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6">
        <v>42.451000000000001</v>
      </c>
      <c r="C102" s="390"/>
      <c r="D102" s="393">
        <f t="shared" si="24"/>
        <v>43.052911845707925</v>
      </c>
      <c r="E102" s="385">
        <f t="shared" si="45"/>
        <v>46.92551318259801</v>
      </c>
      <c r="F102" s="385">
        <f t="shared" si="25"/>
        <v>46.934955950592467</v>
      </c>
      <c r="G102" s="110">
        <f t="shared" si="46"/>
        <v>0.96527408840243689</v>
      </c>
      <c r="H102" s="414" t="b">
        <f>Wh_hp&gt;='2019'!Maxi_hp</f>
        <v>0</v>
      </c>
      <c r="I102" s="380">
        <f>IF(H102,Wh_hp,'2019'!Maxi_hp)</f>
        <v>47.81315223167644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1.3980746479240302E-2</v>
      </c>
      <c r="M102" s="843"/>
      <c r="N102" s="843"/>
      <c r="O102" s="48">
        <f>IF(t&lt;Tnet,'2019'!Resal+('2019'!Salim-'2019'!Resal)*(1-EXP(('2019'!Tnet-t)/('2019'!Tau_j))),Resal+(Salim-Resal)*(1-EXP((Tnet-t)/(Tau_j))))*Salcycl</f>
        <v>8.2526563360551808E-2</v>
      </c>
      <c r="P102" s="169">
        <f>(INDEX(Models!$BJ102:$BT102,,T102)*(1-R102)+INDEX(Models!$BJ102:$BT102,,T102+1)*R102-ERP_i)*Q102*Ramure*Pc/MaxiM</f>
        <v>2.1168677152053368E-4</v>
      </c>
      <c r="Q102" s="305">
        <f t="shared" si="27"/>
        <v>0.8</v>
      </c>
      <c r="R102" s="177">
        <f t="shared" si="28"/>
        <v>2.7735372121564211E-2</v>
      </c>
      <c r="S102" s="809">
        <f t="shared" si="29"/>
        <v>0</v>
      </c>
      <c r="T102" s="176">
        <f t="shared" si="30"/>
        <v>6</v>
      </c>
      <c r="U102" s="251">
        <f t="shared" si="31"/>
        <v>2.7735372121564211E-2</v>
      </c>
      <c r="V102" s="383">
        <f t="shared" si="32"/>
        <v>43.977720684055662</v>
      </c>
      <c r="W102" s="402"/>
      <c r="X102" s="157">
        <f t="shared" si="33"/>
        <v>43918</v>
      </c>
      <c r="Y102" s="385">
        <f t="shared" si="34"/>
        <v>42.01259272330978</v>
      </c>
      <c r="Z102" s="385">
        <f t="shared" si="35"/>
        <v>42.608288401363602</v>
      </c>
      <c r="AA102" s="386">
        <f t="shared" si="36"/>
        <v>46.440895942917585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8.2526563360551808E-2</v>
      </c>
      <c r="AD102" s="231">
        <f>(INDEX(Models!$BJ102:$BT102,,AH102)*(1-AF102)+INDEX(Models!$BJ102:$BT102,,AH102+1)*AF102-ERP_i)*AE102*Ramure*Pc/MaxiM</f>
        <v>1.1075774394065095E-2</v>
      </c>
      <c r="AE102" s="305">
        <f t="shared" si="38"/>
        <v>0.8</v>
      </c>
      <c r="AF102" s="177">
        <f t="shared" si="39"/>
        <v>0.22766894627408552</v>
      </c>
      <c r="AG102" s="809">
        <f t="shared" si="47"/>
        <v>1</v>
      </c>
      <c r="AH102" s="176">
        <f t="shared" si="40"/>
        <v>7</v>
      </c>
      <c r="AI102" s="225">
        <f t="shared" si="41"/>
        <v>1.2276689462740855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6">
        <v>23.33</v>
      </c>
      <c r="C103" s="390"/>
      <c r="D103" s="393">
        <f t="shared" si="24"/>
        <v>23.661346218658437</v>
      </c>
      <c r="E103" s="385">
        <f t="shared" si="45"/>
        <v>25.792652368396297</v>
      </c>
      <c r="F103" s="385">
        <f t="shared" si="25"/>
        <v>25.794421746102511</v>
      </c>
      <c r="G103" s="110">
        <f t="shared" si="46"/>
        <v>0.52582685842536414</v>
      </c>
      <c r="H103" s="414" t="b">
        <f>Wh_hp&gt;='2019'!Maxi_hp</f>
        <v>0</v>
      </c>
      <c r="I103" s="380">
        <f>IF(H103,Wh_hp,'2019'!Maxi_hp)</f>
        <v>48.853038467776038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1.4003692587751138E-2</v>
      </c>
      <c r="M103" s="843"/>
      <c r="N103" s="843"/>
      <c r="O103" s="48">
        <f>IF(t&lt;Tnet,'2019'!Resal+('2019'!Salim-'2019'!Resal)*(1-EXP(('2019'!Tnet-t)/('2019'!Tau_j))),Resal+(Salim-Resal)*(1-EXP((Tnet-t)/(Tau_j))))*Salcycl</f>
        <v>8.2632298504877549E-2</v>
      </c>
      <c r="P103" s="169">
        <f>(INDEX(Models!$BJ103:$BT103,,T103)*(1-R103)+INDEX(Models!$BJ103:$BT103,,T103+1)*R103-ERP_i)*Q103*Ramure*Pc/MaxiM</f>
        <v>2.1255514324116655E-4</v>
      </c>
      <c r="Q103" s="305">
        <f t="shared" si="27"/>
        <v>0.8</v>
      </c>
      <c r="R103" s="177">
        <f t="shared" si="28"/>
        <v>2.8872221343506217E-2</v>
      </c>
      <c r="S103" s="809">
        <f t="shared" si="29"/>
        <v>0</v>
      </c>
      <c r="T103" s="176">
        <f t="shared" si="30"/>
        <v>6</v>
      </c>
      <c r="U103" s="251">
        <f t="shared" si="31"/>
        <v>2.8872221343506217E-2</v>
      </c>
      <c r="V103" s="383">
        <f t="shared" si="32"/>
        <v>44.361829020614387</v>
      </c>
      <c r="W103" s="402"/>
      <c r="X103" s="157">
        <f t="shared" si="33"/>
        <v>43919</v>
      </c>
      <c r="Y103" s="385">
        <f t="shared" si="34"/>
        <v>23.250498733598437</v>
      </c>
      <c r="Z103" s="385">
        <f t="shared" si="35"/>
        <v>23.58071582906782</v>
      </c>
      <c r="AA103" s="386">
        <f t="shared" si="36"/>
        <v>25.704759161060561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8.2632298504877549E-2</v>
      </c>
      <c r="AD103" s="231">
        <f>(INDEX(Models!$BJ103:$BT103,,AH103)*(1-AF103)+INDEX(Models!$BJ103:$BT103,,AH103+1)*AF103-ERP_i)*AE103*Ramure*Pc/MaxiM</f>
        <v>1.0771156175437968E-2</v>
      </c>
      <c r="AE103" s="305">
        <f t="shared" si="38"/>
        <v>0.8</v>
      </c>
      <c r="AF103" s="177">
        <f t="shared" si="39"/>
        <v>0.22880579549602742</v>
      </c>
      <c r="AG103" s="809">
        <f t="shared" si="47"/>
        <v>1</v>
      </c>
      <c r="AH103" s="176">
        <f t="shared" si="40"/>
        <v>7</v>
      </c>
      <c r="AI103" s="225">
        <f t="shared" si="41"/>
        <v>1.2288057954960274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6">
        <v>18.053999999999998</v>
      </c>
      <c r="C104" s="390"/>
      <c r="D104" s="393">
        <f t="shared" si="24"/>
        <v>18.310839520400091</v>
      </c>
      <c r="E104" s="385">
        <f t="shared" si="45"/>
        <v>19.962511374869756</v>
      </c>
      <c r="F104" s="385">
        <f t="shared" si="25"/>
        <v>19.963141184175463</v>
      </c>
      <c r="G104" s="110">
        <f t="shared" si="46"/>
        <v>0.40347739565012125</v>
      </c>
      <c r="H104" s="414" t="b">
        <f>Wh_hp&gt;='2019'!Maxi_hp</f>
        <v>0</v>
      </c>
      <c r="I104" s="380">
        <f>IF(H104,Wh_hp,'2019'!Maxi_hp)</f>
        <v>40.331512912370108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1.4026638162272564E-2</v>
      </c>
      <c r="M104" s="843"/>
      <c r="N104" s="843"/>
      <c r="O104" s="48">
        <f>IF(t&lt;Tnet,'2019'!Resal+('2019'!Salim-'2019'!Resal)*(1-EXP(('2019'!Tnet-t)/('2019'!Tau_j))),Resal+(Salim-Resal)*(1-EXP((Tnet-t)/(Tau_j))))*Salcycl</f>
        <v>8.2738680692696298E-2</v>
      </c>
      <c r="P104" s="169">
        <f>(INDEX(Models!$BJ104:$BT104,,T104)*(1-R104)+INDEX(Models!$BJ104:$BT104,,T104+1)*R104-ERP_i)*Q104*Ramure*Pc/MaxiM</f>
        <v>2.1326769085229982E-4</v>
      </c>
      <c r="Q104" s="305">
        <f t="shared" si="27"/>
        <v>0.8</v>
      </c>
      <c r="R104" s="177">
        <f t="shared" si="28"/>
        <v>3.0051970723903323E-2</v>
      </c>
      <c r="S104" s="809">
        <f t="shared" si="29"/>
        <v>0</v>
      </c>
      <c r="T104" s="176">
        <f t="shared" si="30"/>
        <v>6</v>
      </c>
      <c r="U104" s="251">
        <f t="shared" si="31"/>
        <v>3.0051970723903323E-2</v>
      </c>
      <c r="V104" s="383">
        <f t="shared" si="32"/>
        <v>44.737869666967526</v>
      </c>
      <c r="W104" s="402"/>
      <c r="X104" s="157">
        <f t="shared" si="33"/>
        <v>43920</v>
      </c>
      <c r="Y104" s="385">
        <f t="shared" si="34"/>
        <v>18.026617134996762</v>
      </c>
      <c r="Z104" s="385">
        <f t="shared" si="35"/>
        <v>18.283067101729269</v>
      </c>
      <c r="AA104" s="386">
        <f t="shared" si="36"/>
        <v>19.932233832269581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8.2738680692696298E-2</v>
      </c>
      <c r="AD104" s="231">
        <f>(INDEX(Models!$BJ104:$BT104,,AH104)*(1-AF104)+INDEX(Models!$BJ104:$BT104,,AH104+1)*AF104-ERP_i)*AE104*Ramure*Pc/MaxiM</f>
        <v>1.0465929149646336E-2</v>
      </c>
      <c r="AE104" s="305">
        <f t="shared" si="38"/>
        <v>0.8</v>
      </c>
      <c r="AF104" s="177">
        <f t="shared" si="39"/>
        <v>0.22998554487642453</v>
      </c>
      <c r="AG104" s="809">
        <f t="shared" si="47"/>
        <v>1</v>
      </c>
      <c r="AH104" s="176">
        <f t="shared" si="40"/>
        <v>7</v>
      </c>
      <c r="AI104" s="225">
        <f t="shared" si="41"/>
        <v>1.2299855448764245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6">
        <v>40.110999999999997</v>
      </c>
      <c r="C105" s="390"/>
      <c r="D105" s="393">
        <f t="shared" si="24"/>
        <v>40.682573197036447</v>
      </c>
      <c r="E105" s="385">
        <f t="shared" si="45"/>
        <v>44.357394474666656</v>
      </c>
      <c r="F105" s="385">
        <f t="shared" si="25"/>
        <v>44.365380069634675</v>
      </c>
      <c r="G105" s="110">
        <f t="shared" si="46"/>
        <v>0.88925562345074405</v>
      </c>
      <c r="H105" s="414" t="b">
        <f>Wh_hp&gt;='2019'!Maxi_hp</f>
        <v>1</v>
      </c>
      <c r="I105" s="380">
        <f>IF(H105,Wh_hp,'2019'!Maxi_hp)</f>
        <v>44.365380069634675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1.4049583202816907E-2</v>
      </c>
      <c r="M105" s="843"/>
      <c r="N105" s="843"/>
      <c r="O105" s="48">
        <f>IF(t&lt;Tnet,'2019'!Resal+('2019'!Salim-'2019'!Resal)*(1-EXP(('2019'!Tnet-t)/('2019'!Tau_j))),Resal+(Salim-Resal)*(1-EXP((Tnet-t)/(Tau_j))))*Salcycl</f>
        <v>8.2845742432616637E-2</v>
      </c>
      <c r="P105" s="169">
        <f>(INDEX(Models!$BJ105:$BT105,,T105)*(1-R105)+INDEX(Models!$BJ105:$BT105,,T105+1)*R105-ERP_i)*Q105*Ramure*Pc/MaxiM</f>
        <v>2.138135422282401E-4</v>
      </c>
      <c r="Q105" s="305">
        <f t="shared" si="27"/>
        <v>0.8</v>
      </c>
      <c r="R105" s="177">
        <f t="shared" si="28"/>
        <v>3.1276041607045606E-2</v>
      </c>
      <c r="S105" s="809">
        <f t="shared" si="29"/>
        <v>0</v>
      </c>
      <c r="T105" s="176">
        <f t="shared" si="30"/>
        <v>6</v>
      </c>
      <c r="U105" s="251">
        <f t="shared" si="31"/>
        <v>3.1276041607045606E-2</v>
      </c>
      <c r="V105" s="383">
        <f t="shared" si="32"/>
        <v>45.104739566729513</v>
      </c>
      <c r="W105" s="402"/>
      <c r="X105" s="157">
        <f t="shared" si="33"/>
        <v>43921</v>
      </c>
      <c r="Y105" s="385">
        <f t="shared" si="34"/>
        <v>39.775087209236808</v>
      </c>
      <c r="Z105" s="385">
        <f t="shared" si="35"/>
        <v>40.341873720632364</v>
      </c>
      <c r="AA105" s="386">
        <f t="shared" si="36"/>
        <v>43.985919912352855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8.2845742432616637E-2</v>
      </c>
      <c r="AD105" s="231">
        <f>(INDEX(Models!$BJ105:$BT105,,AH105)*(1-AF105)+INDEX(Models!$BJ105:$BT105,,AH105+1)*AF105-ERP_i)*AE105*Ramure*Pc/MaxiM</f>
        <v>1.0160009452997771E-2</v>
      </c>
      <c r="AE105" s="305">
        <f t="shared" si="38"/>
        <v>0.8</v>
      </c>
      <c r="AF105" s="177">
        <f t="shared" si="39"/>
        <v>0.23120961575956689</v>
      </c>
      <c r="AG105" s="809">
        <f t="shared" si="47"/>
        <v>1</v>
      </c>
      <c r="AH105" s="176">
        <f t="shared" si="40"/>
        <v>7</v>
      </c>
      <c r="AI105" s="225">
        <f t="shared" si="41"/>
        <v>1.2312096157595669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6">
        <v>36</v>
      </c>
      <c r="C106" s="390"/>
      <c r="D106" s="393">
        <f t="shared" si="24"/>
        <v>36.513842054082609</v>
      </c>
      <c r="E106" s="385">
        <f t="shared" si="45"/>
        <v>39.816784298945421</v>
      </c>
      <c r="F106" s="385">
        <f t="shared" si="25"/>
        <v>39.822777710683042</v>
      </c>
      <c r="G106" s="110">
        <f t="shared" si="46"/>
        <v>0.79183125966617773</v>
      </c>
      <c r="H106" s="414" t="b">
        <f>Wh_hp&gt;='2019'!Maxi_hp</f>
        <v>1</v>
      </c>
      <c r="I106" s="380">
        <f>IF(H106,Wh_hp,'2019'!Maxi_hp)</f>
        <v>39.822777710683042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1.4072527709396598E-2</v>
      </c>
      <c r="M106" s="843"/>
      <c r="N106" s="843"/>
      <c r="O106" s="48">
        <f>IF(t&lt;Tnet,'2019'!Resal+('2019'!Salim-'2019'!Resal)*(1-EXP(('2019'!Tnet-t)/('2019'!Tau_j))),Resal+(Salim-Resal)*(1-EXP((Tnet-t)/(Tau_j))))*Salcycl</f>
        <v>8.2953515785308976E-2</v>
      </c>
      <c r="P106" s="169">
        <f>(INDEX(Models!$BJ106:$BT106,,T106)*(1-R106)+INDEX(Models!$BJ106:$BT106,,T106+1)*R106-ERP_i)*Q106*Ramure*Pc/MaxiM</f>
        <v>2.1418050849527476E-4</v>
      </c>
      <c r="Q106" s="305">
        <f t="shared" si="27"/>
        <v>0.8</v>
      </c>
      <c r="R106" s="177">
        <f t="shared" si="28"/>
        <v>3.2545886466372846E-2</v>
      </c>
      <c r="S106" s="809">
        <f t="shared" si="29"/>
        <v>0</v>
      </c>
      <c r="T106" s="176">
        <f t="shared" si="30"/>
        <v>6</v>
      </c>
      <c r="U106" s="251">
        <f t="shared" si="31"/>
        <v>3.2545886466372846E-2</v>
      </c>
      <c r="V106" s="383">
        <f t="shared" si="32"/>
        <v>45.461336355250701</v>
      </c>
      <c r="W106" s="402"/>
      <c r="X106" s="157">
        <f t="shared" si="33"/>
        <v>43922</v>
      </c>
      <c r="Y106" s="385">
        <f t="shared" si="34"/>
        <v>35.75612557267663</v>
      </c>
      <c r="Z106" s="385">
        <f t="shared" si="35"/>
        <v>36.266486711851627</v>
      </c>
      <c r="AA106" s="386">
        <f t="shared" si="36"/>
        <v>39.547053869257546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8.2953515785308976E-2</v>
      </c>
      <c r="AD106" s="231">
        <f>(INDEX(Models!$BJ106:$BT106,,AH106)*(1-AF106)+INDEX(Models!$BJ106:$BT106,,AH106+1)*AF106-ERP_i)*AE106*Ramure*Pc/MaxiM</f>
        <v>9.8532647423658463E-3</v>
      </c>
      <c r="AE106" s="305">
        <f t="shared" si="38"/>
        <v>0.8</v>
      </c>
      <c r="AF106" s="177">
        <f t="shared" si="39"/>
        <v>0.23247946061889402</v>
      </c>
      <c r="AG106" s="809">
        <f t="shared" si="47"/>
        <v>1</v>
      </c>
      <c r="AH106" s="176">
        <f t="shared" si="40"/>
        <v>7</v>
      </c>
      <c r="AI106" s="225">
        <f t="shared" si="41"/>
        <v>1.232479460618894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6">
        <v>25.056000000000001</v>
      </c>
      <c r="C107" s="390"/>
      <c r="D107" s="393">
        <f t="shared" si="24"/>
        <v>25.414225495796579</v>
      </c>
      <c r="E107" s="385">
        <f t="shared" si="45"/>
        <v>27.716406551902089</v>
      </c>
      <c r="F107" s="385">
        <f t="shared" si="25"/>
        <v>27.718502678526335</v>
      </c>
      <c r="G107" s="110">
        <f t="shared" si="46"/>
        <v>0.54688965069913453</v>
      </c>
      <c r="H107" s="414" t="b">
        <f>Wh_hp&gt;='2019'!Maxi_hp</f>
        <v>1</v>
      </c>
      <c r="I107" s="380">
        <f>IF(H107,Wh_hp,'2019'!Maxi_hp)</f>
        <v>27.718502678526335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1.4095471682024185E-2</v>
      </c>
      <c r="M107" s="843"/>
      <c r="N107" s="843"/>
      <c r="O107" s="48">
        <f>IF(t&lt;Tnet,'2019'!Resal+('2019'!Salim-'2019'!Resal)*(1-EXP(('2019'!Tnet-t)/('2019'!Tau_j))),Resal+(Salim-Resal)*(1-EXP((Tnet-t)/(Tau_j))))*Salcycl</f>
        <v>8.3062032294641666E-2</v>
      </c>
      <c r="P107" s="169">
        <f>(INDEX(Models!$BJ107:$BT107,,T107)*(1-R107)+INDEX(Models!$BJ107:$BT107,,T107+1)*R107-ERP_i)*Q107*Ramure*Pc/MaxiM</f>
        <v>2.1434306807461943E-4</v>
      </c>
      <c r="Q107" s="305">
        <f t="shared" si="27"/>
        <v>0.8</v>
      </c>
      <c r="R107" s="177">
        <f t="shared" si="28"/>
        <v>3.386298823214913E-2</v>
      </c>
      <c r="S107" s="809">
        <f t="shared" si="29"/>
        <v>0</v>
      </c>
      <c r="T107" s="176">
        <f t="shared" si="30"/>
        <v>6</v>
      </c>
      <c r="U107" s="251">
        <f t="shared" si="31"/>
        <v>3.386298823214913E-2</v>
      </c>
      <c r="V107" s="383">
        <f t="shared" si="32"/>
        <v>45.809102271784894</v>
      </c>
      <c r="W107" s="402"/>
      <c r="X107" s="157">
        <f t="shared" si="33"/>
        <v>43923</v>
      </c>
      <c r="Y107" s="385">
        <f t="shared" si="34"/>
        <v>24.973511312002309</v>
      </c>
      <c r="Z107" s="385">
        <f t="shared" si="35"/>
        <v>25.330557467474989</v>
      </c>
      <c r="AA107" s="386">
        <f t="shared" si="36"/>
        <v>27.625159345146141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8.3062032294641666E-2</v>
      </c>
      <c r="AD107" s="231">
        <f>(INDEX(Models!$BJ107:$BT107,,AH107)*(1-AF107)+INDEX(Models!$BJ107:$BT107,,AH107+1)*AF107-ERP_i)*AE107*Ramure*Pc/MaxiM</f>
        <v>9.5449846538923667E-3</v>
      </c>
      <c r="AE107" s="305">
        <f t="shared" si="38"/>
        <v>0.8</v>
      </c>
      <c r="AF107" s="177">
        <f t="shared" si="39"/>
        <v>0.23379656238467028</v>
      </c>
      <c r="AG107" s="809">
        <f t="shared" si="47"/>
        <v>1</v>
      </c>
      <c r="AH107" s="176">
        <f t="shared" si="40"/>
        <v>7</v>
      </c>
      <c r="AI107" s="225">
        <f t="shared" si="41"/>
        <v>1.2337965623846703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6">
        <v>47.662999999999997</v>
      </c>
      <c r="C108" s="390"/>
      <c r="D108" s="393">
        <f t="shared" si="24"/>
        <v>48.345562723778727</v>
      </c>
      <c r="E108" s="385">
        <f t="shared" si="45"/>
        <v>52.731294223727467</v>
      </c>
      <c r="F108" s="385">
        <f t="shared" si="25"/>
        <v>52.742592428937442</v>
      </c>
      <c r="G108" s="110">
        <f t="shared" si="46"/>
        <v>1.032778027862322</v>
      </c>
      <c r="H108" s="414" t="b">
        <f>Wh_hp&gt;='2019'!Maxi_hp</f>
        <v>1</v>
      </c>
      <c r="I108" s="380">
        <f>IF(H108,Wh_hp,'2019'!Maxi_hp)</f>
        <v>52.742592428937442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1.4118415120711991E-2</v>
      </c>
      <c r="M108" s="843"/>
      <c r="N108" s="843"/>
      <c r="O108" s="48">
        <f>IF(t&lt;Tnet,'2019'!Resal+('2019'!Salim-'2019'!Resal)*(1-EXP(('2019'!Tnet-t)/('2019'!Tau_j))),Resal+(Salim-Resal)*(1-EXP((Tnet-t)/(Tau_j))))*Salcycl</f>
        <v>8.31713229214711E-2</v>
      </c>
      <c r="P108" s="169">
        <f>(INDEX(Models!$BJ108:$BT108,,T108)*(1-R108)+INDEX(Models!$BJ108:$BT108,,T108+1)*R108-ERP_i)*Q108*Ramure*Pc/MaxiM</f>
        <v>2.142140666519809E-4</v>
      </c>
      <c r="Q108" s="305">
        <f t="shared" si="27"/>
        <v>0.8</v>
      </c>
      <c r="R108" s="177">
        <f t="shared" si="28"/>
        <v>3.5228859473972335E-2</v>
      </c>
      <c r="S108" s="809">
        <f t="shared" si="29"/>
        <v>0</v>
      </c>
      <c r="T108" s="176">
        <f t="shared" si="30"/>
        <v>6</v>
      </c>
      <c r="U108" s="251">
        <f t="shared" si="31"/>
        <v>3.5228859473972335E-2</v>
      </c>
      <c r="V108" s="383">
        <f t="shared" si="32"/>
        <v>46.150284682812675</v>
      </c>
      <c r="W108" s="402"/>
      <c r="X108" s="157">
        <f t="shared" si="33"/>
        <v>43924</v>
      </c>
      <c r="Y108" s="385">
        <f t="shared" si="34"/>
        <v>47.233127553677789</v>
      </c>
      <c r="Z108" s="385">
        <f t="shared" si="35"/>
        <v>47.909534246408555</v>
      </c>
      <c r="AA108" s="386">
        <f t="shared" si="36"/>
        <v>52.255710847823941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8.31713229214711E-2</v>
      </c>
      <c r="AD108" s="231">
        <f>(INDEX(Models!$BJ108:$BT108,,AH108)*(1-AF108)+INDEX(Models!$BJ108:$BT108,,AH108+1)*AF108-ERP_i)*AE108*Ramure*Pc/MaxiM</f>
        <v>9.2312789093463993E-3</v>
      </c>
      <c r="AE108" s="305">
        <f t="shared" si="38"/>
        <v>0.8</v>
      </c>
      <c r="AF108" s="177">
        <f t="shared" si="39"/>
        <v>0.23516243362649347</v>
      </c>
      <c r="AG108" s="809">
        <f t="shared" si="47"/>
        <v>1</v>
      </c>
      <c r="AH108" s="176">
        <f t="shared" si="40"/>
        <v>7</v>
      </c>
      <c r="AI108" s="225">
        <f t="shared" si="41"/>
        <v>1.2351624336264935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6">
        <v>48.454000000000001</v>
      </c>
      <c r="C109" s="390"/>
      <c r="D109" s="393">
        <f t="shared" si="24"/>
        <v>49.149034087639457</v>
      </c>
      <c r="E109" s="385">
        <f t="shared" si="45"/>
        <v>53.614091665218574</v>
      </c>
      <c r="F109" s="385">
        <f t="shared" si="25"/>
        <v>53.625563554782609</v>
      </c>
      <c r="G109" s="110">
        <f t="shared" si="46"/>
        <v>1.0423582330148666</v>
      </c>
      <c r="H109" s="414" t="b">
        <f>Wh_hp&gt;='2019'!Maxi_hp</f>
        <v>1</v>
      </c>
      <c r="I109" s="380">
        <f>IF(H109,Wh_hp,'2019'!Maxi_hp)</f>
        <v>53.625563554782609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1.4141358025472339E-2</v>
      </c>
      <c r="M109" s="843"/>
      <c r="N109" s="843"/>
      <c r="O109" s="48">
        <f>IF(t&lt;Tnet,'2019'!Resal+('2019'!Salim-'2019'!Resal)*(1-EXP(('2019'!Tnet-t)/('2019'!Tau_j))),Resal+(Salim-Resal)*(1-EXP((Tnet-t)/(Tau_j))))*Salcycl</f>
        <v>8.3281417979813852E-2</v>
      </c>
      <c r="P109" s="169">
        <f>(INDEX(Models!$BJ109:$BT109,,T109)*(1-R109)+INDEX(Models!$BJ109:$BT109,,T109+1)*R109-ERP_i)*Q109*Ramure*Pc/MaxiM</f>
        <v>2.1392576233376221E-4</v>
      </c>
      <c r="Q109" s="305">
        <f t="shared" si="27"/>
        <v>0.8</v>
      </c>
      <c r="R109" s="177">
        <f t="shared" si="28"/>
        <v>3.664504142759481E-2</v>
      </c>
      <c r="S109" s="809">
        <f t="shared" si="29"/>
        <v>0</v>
      </c>
      <c r="T109" s="176">
        <f t="shared" si="30"/>
        <v>6</v>
      </c>
      <c r="U109" s="251">
        <f t="shared" si="31"/>
        <v>3.664504142759481E-2</v>
      </c>
      <c r="V109" s="383">
        <f t="shared" si="32"/>
        <v>46.484978451078177</v>
      </c>
      <c r="W109" s="402"/>
      <c r="X109" s="157">
        <f t="shared" si="33"/>
        <v>43925</v>
      </c>
      <c r="Y109" s="385">
        <f t="shared" si="34"/>
        <v>48.032036821058952</v>
      </c>
      <c r="Z109" s="385">
        <f t="shared" si="35"/>
        <v>48.721018182543851</v>
      </c>
      <c r="AA109" s="386">
        <f t="shared" si="36"/>
        <v>53.147191666145382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8.3281417979813852E-2</v>
      </c>
      <c r="AD109" s="231">
        <f>(INDEX(Models!$BJ109:$BT109,,AH109)*(1-AF109)+INDEX(Models!$BJ109:$BT109,,AH109+1)*AF109-ERP_i)*AE109*Ramure*Pc/MaxiM</f>
        <v>8.9205941518643635E-3</v>
      </c>
      <c r="AE109" s="305">
        <f t="shared" si="38"/>
        <v>0.8</v>
      </c>
      <c r="AF109" s="177">
        <f t="shared" si="39"/>
        <v>0.23657861558011595</v>
      </c>
      <c r="AG109" s="809">
        <f t="shared" si="47"/>
        <v>1</v>
      </c>
      <c r="AH109" s="176">
        <f t="shared" si="40"/>
        <v>7</v>
      </c>
      <c r="AI109" s="225">
        <f t="shared" si="41"/>
        <v>1.2365786155801159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6">
        <v>48.9</v>
      </c>
      <c r="C110" s="390"/>
      <c r="D110" s="393">
        <f t="shared" si="24"/>
        <v>49.602585927511441</v>
      </c>
      <c r="E110" s="385">
        <f t="shared" si="45"/>
        <v>54.115395795821861</v>
      </c>
      <c r="F110" s="385">
        <f t="shared" si="25"/>
        <v>54.126950024967606</v>
      </c>
      <c r="G110" s="110">
        <f t="shared" si="46"/>
        <v>1.0445752735025475</v>
      </c>
      <c r="H110" s="414" t="b">
        <f>Wh_hp&gt;='2019'!Maxi_hp</f>
        <v>1</v>
      </c>
      <c r="I110" s="380">
        <f>IF(H110,Wh_hp,'2019'!Maxi_hp)</f>
        <v>54.126950024967606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1.4164300396317886E-2</v>
      </c>
      <c r="M110" s="843"/>
      <c r="N110" s="843"/>
      <c r="O110" s="48">
        <f>IF(t&lt;Tnet,'2019'!Resal+('2019'!Salim-'2019'!Resal)*(1-EXP(('2019'!Tnet-t)/('2019'!Tau_j))),Resal+(Salim-Resal)*(1-EXP((Tnet-t)/(Tau_j))))*Salcycl</f>
        <v>8.3392347075078477E-2</v>
      </c>
      <c r="P110" s="169">
        <f>(INDEX(Models!$BJ110:$BT110,,T110)*(1-R110)+INDEX(Models!$BJ110:$BT110,,T110+1)*R110-ERP_i)*Q110*Ramure*Pc/MaxiM</f>
        <v>2.1346536504293314E-4</v>
      </c>
      <c r="Q110" s="305">
        <f t="shared" si="27"/>
        <v>0.8</v>
      </c>
      <c r="R110" s="177">
        <f t="shared" si="28"/>
        <v>3.8113102855243053E-2</v>
      </c>
      <c r="S110" s="809">
        <f t="shared" si="29"/>
        <v>0</v>
      </c>
      <c r="T110" s="176">
        <f t="shared" si="30"/>
        <v>6</v>
      </c>
      <c r="U110" s="251">
        <f t="shared" si="31"/>
        <v>3.8113102855243053E-2</v>
      </c>
      <c r="V110" s="383">
        <f t="shared" si="32"/>
        <v>46.813285016822434</v>
      </c>
      <c r="W110" s="402"/>
      <c r="X110" s="157">
        <f t="shared" si="33"/>
        <v>43926</v>
      </c>
      <c r="Y110" s="385">
        <f t="shared" si="34"/>
        <v>48.4891985234242</v>
      </c>
      <c r="Z110" s="385">
        <f t="shared" si="35"/>
        <v>49.185882133216971</v>
      </c>
      <c r="AA110" s="386">
        <f t="shared" si="36"/>
        <v>53.660780570905551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8.3392347075078477E-2</v>
      </c>
      <c r="AD110" s="231">
        <f>(INDEX(Models!$BJ110:$BT110,,AH110)*(1-AF110)+INDEX(Models!$BJ110:$BT110,,AH110+1)*AF110-ERP_i)*AE110*Ramure*Pc/MaxiM</f>
        <v>8.6125202666512569E-3</v>
      </c>
      <c r="AE110" s="305">
        <f t="shared" si="38"/>
        <v>0.8</v>
      </c>
      <c r="AF110" s="177">
        <f t="shared" si="39"/>
        <v>0.23804667700776427</v>
      </c>
      <c r="AG110" s="809">
        <f t="shared" si="47"/>
        <v>1</v>
      </c>
      <c r="AH110" s="176">
        <f t="shared" si="40"/>
        <v>7</v>
      </c>
      <c r="AI110" s="225">
        <f t="shared" si="41"/>
        <v>1.2380466770077643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6">
        <v>27.952000000000002</v>
      </c>
      <c r="C111" s="390"/>
      <c r="D111" s="393">
        <f t="shared" si="24"/>
        <v>28.354268880961211</v>
      </c>
      <c r="E111" s="385">
        <f t="shared" si="45"/>
        <v>30.937694417282525</v>
      </c>
      <c r="F111" s="385">
        <f t="shared" si="25"/>
        <v>30.940450748190838</v>
      </c>
      <c r="G111" s="110">
        <f t="shared" si="46"/>
        <v>0.59294281802524862</v>
      </c>
      <c r="H111" s="414" t="b">
        <f>Wh_hp&gt;='2019'!Maxi_hp</f>
        <v>0</v>
      </c>
      <c r="I111" s="380">
        <f>IF(H111,Wh_hp,'2019'!Maxi_hp)</f>
        <v>37.4445298925624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1.4187242233260955E-2</v>
      </c>
      <c r="M111" s="843"/>
      <c r="N111" s="843"/>
      <c r="O111" s="48">
        <f>IF(t&lt;Tnet,'2019'!Resal+('2019'!Salim-'2019'!Resal)*(1-EXP(('2019'!Tnet-t)/('2019'!Tau_j))),Resal+(Salim-Resal)*(1-EXP((Tnet-t)/(Tau_j))))*Salcycl</f>
        <v>8.3504139043992676E-2</v>
      </c>
      <c r="P111" s="169">
        <f>(INDEX(Models!$BJ111:$BT111,,T111)*(1-R111)+INDEX(Models!$BJ111:$BT111,,T111+1)*R111-ERP_i)*Q111*Ramure*Pc/MaxiM</f>
        <v>2.1281935636879455E-4</v>
      </c>
      <c r="Q111" s="305">
        <f t="shared" si="27"/>
        <v>0.8</v>
      </c>
      <c r="R111" s="177">
        <f t="shared" si="28"/>
        <v>3.9634638728381862E-2</v>
      </c>
      <c r="S111" s="809">
        <f t="shared" si="29"/>
        <v>0</v>
      </c>
      <c r="T111" s="176">
        <f t="shared" si="30"/>
        <v>6</v>
      </c>
      <c r="U111" s="251">
        <f t="shared" si="31"/>
        <v>3.9634638728381862E-2</v>
      </c>
      <c r="V111" s="383">
        <f t="shared" si="32"/>
        <v>47.135305834352437</v>
      </c>
      <c r="W111" s="402"/>
      <c r="X111" s="157">
        <f t="shared" si="33"/>
        <v>43927</v>
      </c>
      <c r="Y111" s="385">
        <f t="shared" si="34"/>
        <v>27.857289278780538</v>
      </c>
      <c r="Z111" s="385">
        <f t="shared" si="35"/>
        <v>28.258195138282105</v>
      </c>
      <c r="AA111" s="386">
        <f t="shared" si="36"/>
        <v>30.83286716516718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8.3504139043992676E-2</v>
      </c>
      <c r="AD111" s="231">
        <f>(INDEX(Models!$BJ111:$BT111,,AH111)*(1-AF111)+INDEX(Models!$BJ111:$BT111,,AH111+1)*AF111-ERP_i)*AE111*Ramure*Pc/MaxiM</f>
        <v>8.3066473716600954E-3</v>
      </c>
      <c r="AE111" s="305">
        <f t="shared" si="38"/>
        <v>0.8</v>
      </c>
      <c r="AF111" s="177">
        <f t="shared" si="39"/>
        <v>0.23956821288090313</v>
      </c>
      <c r="AG111" s="809">
        <f t="shared" si="47"/>
        <v>1</v>
      </c>
      <c r="AH111" s="176">
        <f t="shared" si="40"/>
        <v>7</v>
      </c>
      <c r="AI111" s="225">
        <f t="shared" si="41"/>
        <v>1.2395682128809031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6">
        <v>31.736999999999998</v>
      </c>
      <c r="C112" s="390"/>
      <c r="D112" s="393">
        <f t="shared" si="24"/>
        <v>32.194489606161504</v>
      </c>
      <c r="E112" s="385">
        <f t="shared" si="45"/>
        <v>35.132126358720335</v>
      </c>
      <c r="F112" s="385">
        <f t="shared" si="25"/>
        <v>35.136050719144812</v>
      </c>
      <c r="G112" s="110">
        <f t="shared" si="46"/>
        <v>0.66876823970151678</v>
      </c>
      <c r="H112" s="414" t="b">
        <f>Wh_hp&gt;='2019'!Maxi_hp</f>
        <v>1</v>
      </c>
      <c r="I112" s="380">
        <f>IF(H112,Wh_hp,'2019'!Maxi_hp)</f>
        <v>35.136050719144812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1.4210183536313981E-2</v>
      </c>
      <c r="M112" s="843"/>
      <c r="N112" s="843"/>
      <c r="O112" s="48">
        <f>IF(t&lt;Tnet,'2019'!Resal+('2019'!Salim-'2019'!Resal)*(1-EXP(('2019'!Tnet-t)/('2019'!Tau_j))),Resal+(Salim-Resal)*(1-EXP((Tnet-t)/(Tau_j))))*Salcycl</f>
        <v>8.3616821895827684E-2</v>
      </c>
      <c r="P112" s="169">
        <f>(INDEX(Models!$BJ112:$BT112,,T112)*(1-R112)+INDEX(Models!$BJ112:$BT112,,T112+1)*R112-ERP_i)*Q112*Ramure*Pc/MaxiM</f>
        <v>2.1197345534068745E-4</v>
      </c>
      <c r="Q112" s="305">
        <f t="shared" si="27"/>
        <v>0.8</v>
      </c>
      <c r="R112" s="177">
        <f t="shared" si="28"/>
        <v>4.121126872167416E-2</v>
      </c>
      <c r="S112" s="809">
        <f t="shared" si="29"/>
        <v>0</v>
      </c>
      <c r="T112" s="176">
        <f t="shared" si="30"/>
        <v>6</v>
      </c>
      <c r="U112" s="251">
        <f t="shared" si="31"/>
        <v>4.121126872167416E-2</v>
      </c>
      <c r="V112" s="383">
        <f t="shared" si="32"/>
        <v>47.451142380957982</v>
      </c>
      <c r="W112" s="402"/>
      <c r="X112" s="157">
        <f t="shared" si="33"/>
        <v>43928</v>
      </c>
      <c r="Y112" s="385">
        <f t="shared" si="34"/>
        <v>31.606707547895869</v>
      </c>
      <c r="Z112" s="385">
        <f t="shared" si="35"/>
        <v>32.062318985276491</v>
      </c>
      <c r="AA112" s="386">
        <f t="shared" si="36"/>
        <v>34.987895622012083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8.3616821895827684E-2</v>
      </c>
      <c r="AD112" s="231">
        <f>(INDEX(Models!$BJ112:$BT112,,AH112)*(1-AF112)+INDEX(Models!$BJ112:$BT112,,AH112+1)*AF112-ERP_i)*AE112*Ramure*Pc/MaxiM</f>
        <v>8.0025646140105666E-3</v>
      </c>
      <c r="AE112" s="305">
        <f t="shared" si="38"/>
        <v>0.8</v>
      </c>
      <c r="AF112" s="177">
        <f t="shared" si="39"/>
        <v>0.24114484287419535</v>
      </c>
      <c r="AG112" s="809">
        <f t="shared" si="47"/>
        <v>1</v>
      </c>
      <c r="AH112" s="176">
        <f t="shared" si="40"/>
        <v>7</v>
      </c>
      <c r="AI112" s="225">
        <f t="shared" si="41"/>
        <v>1.2411448428741954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6">
        <v>39.133000000000003</v>
      </c>
      <c r="C113" s="390"/>
      <c r="D113" s="393">
        <f t="shared" si="24"/>
        <v>39.698026952294676</v>
      </c>
      <c r="E113" s="385">
        <f t="shared" si="45"/>
        <v>43.325706689547793</v>
      </c>
      <c r="F113" s="385">
        <f t="shared" si="25"/>
        <v>43.332487476984227</v>
      </c>
      <c r="G113" s="110">
        <f t="shared" si="46"/>
        <v>0.81930769311468921</v>
      </c>
      <c r="H113" s="414" t="b">
        <f>Wh_hp&gt;='2019'!Maxi_hp</f>
        <v>1</v>
      </c>
      <c r="I113" s="380">
        <f>IF(H113,Wh_hp,'2019'!Maxi_hp)</f>
        <v>43.332487476984227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1.4233124305489286E-2</v>
      </c>
      <c r="M113" s="843"/>
      <c r="N113" s="843"/>
      <c r="O113" s="48">
        <f>IF(t&lt;Tnet,'2019'!Resal+('2019'!Salim-'2019'!Resal)*(1-EXP(('2019'!Tnet-t)/('2019'!Tau_j))),Resal+(Salim-Resal)*(1-EXP((Tnet-t)/(Tau_j))))*Salcycl</f>
        <v>8.3730422754495604E-2</v>
      </c>
      <c r="P113" s="169">
        <f>(INDEX(Models!$BJ113:$BT113,,T113)*(1-R113)+INDEX(Models!$BJ113:$BT113,,T113+1)*R113-ERP_i)*Q113*Ramure*Pc/MaxiM</f>
        <v>2.1091258433939428E-4</v>
      </c>
      <c r="Q113" s="305">
        <f t="shared" si="27"/>
        <v>0.8</v>
      </c>
      <c r="R113" s="177">
        <f t="shared" si="28"/>
        <v>4.2844635506753402E-2</v>
      </c>
      <c r="S113" s="809">
        <f t="shared" si="29"/>
        <v>0</v>
      </c>
      <c r="T113" s="176">
        <f t="shared" si="30"/>
        <v>6</v>
      </c>
      <c r="U113" s="251">
        <f t="shared" si="31"/>
        <v>4.2844635506753402E-2</v>
      </c>
      <c r="V113" s="383">
        <f t="shared" si="32"/>
        <v>47.760896172892188</v>
      </c>
      <c r="W113" s="402"/>
      <c r="X113" s="157">
        <f t="shared" si="33"/>
        <v>43929</v>
      </c>
      <c r="Y113" s="385">
        <f t="shared" si="34"/>
        <v>38.915531755358032</v>
      </c>
      <c r="Z113" s="385">
        <f t="shared" si="35"/>
        <v>39.477418763884252</v>
      </c>
      <c r="AA113" s="386">
        <f t="shared" si="36"/>
        <v>43.084938913459865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8.3730422754495604E-2</v>
      </c>
      <c r="AD113" s="231">
        <f>(INDEX(Models!$BJ113:$BT113,,AH113)*(1-AF113)+INDEX(Models!$BJ113:$BT113,,AH113+1)*AF113-ERP_i)*AE113*Ramure*Pc/MaxiM</f>
        <v>7.6998590166503884E-3</v>
      </c>
      <c r="AE113" s="305">
        <f t="shared" si="38"/>
        <v>0.8</v>
      </c>
      <c r="AF113" s="177">
        <f t="shared" si="39"/>
        <v>0.24277820965927455</v>
      </c>
      <c r="AG113" s="809">
        <f t="shared" si="47"/>
        <v>1</v>
      </c>
      <c r="AH113" s="176">
        <f t="shared" si="40"/>
        <v>7</v>
      </c>
      <c r="AI113" s="225">
        <f t="shared" si="41"/>
        <v>1.2427782096592745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6">
        <v>48.265000000000001</v>
      </c>
      <c r="C114" s="390"/>
      <c r="D114" s="393">
        <f t="shared" si="24"/>
        <v>48.963019972845338</v>
      </c>
      <c r="E114" s="385">
        <f t="shared" si="45"/>
        <v>53.444033217092333</v>
      </c>
      <c r="F114" s="385">
        <f t="shared" si="25"/>
        <v>53.455243179157556</v>
      </c>
      <c r="G114" s="110">
        <f t="shared" si="46"/>
        <v>1.004168039182616</v>
      </c>
      <c r="H114" s="414" t="b">
        <f>Wh_hp&gt;='2019'!Maxi_hp</f>
        <v>1</v>
      </c>
      <c r="I114" s="380">
        <f>IF(H114,Wh_hp,'2019'!Maxi_hp)</f>
        <v>53.455243179157556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1.4256064540799418E-2</v>
      </c>
      <c r="M114" s="843"/>
      <c r="N114" s="843"/>
      <c r="O114" s="48">
        <f>IF(t&lt;Tnet,'2019'!Resal+('2019'!Salim-'2019'!Resal)*(1-EXP(('2019'!Tnet-t)/('2019'!Tau_j))),Resal+(Salim-Resal)*(1-EXP((Tnet-t)/(Tau_j))))*Salcycl</f>
        <v>8.3844967801080708E-2</v>
      </c>
      <c r="P114" s="169">
        <f>(INDEX(Models!$BJ114:$BT114,,T114)*(1-R114)+INDEX(Models!$BJ114:$BT114,,T114+1)*R114-ERP_i)*Q114*Ramure*Pc/MaxiM</f>
        <v>2.0970743744731104E-4</v>
      </c>
      <c r="Q114" s="305">
        <f t="shared" si="27"/>
        <v>0.8</v>
      </c>
      <c r="R114" s="177">
        <f t="shared" si="28"/>
        <v>4.4536402834364427E-2</v>
      </c>
      <c r="S114" s="809">
        <f t="shared" si="29"/>
        <v>0</v>
      </c>
      <c r="T114" s="176">
        <f t="shared" si="30"/>
        <v>6</v>
      </c>
      <c r="U114" s="251">
        <f t="shared" si="31"/>
        <v>4.4536402834364427E-2</v>
      </c>
      <c r="V114" s="383">
        <f t="shared" si="32"/>
        <v>48.06466459467012</v>
      </c>
      <c r="W114" s="402"/>
      <c r="X114" s="157">
        <f t="shared" si="33"/>
        <v>43930</v>
      </c>
      <c r="Y114" s="385">
        <f t="shared" si="34"/>
        <v>47.917778266976335</v>
      </c>
      <c r="Z114" s="385">
        <f t="shared" si="35"/>
        <v>48.610776636078654</v>
      </c>
      <c r="AA114" s="386">
        <f t="shared" si="36"/>
        <v>53.059553162530783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8.3844967801080708E-2</v>
      </c>
      <c r="AD114" s="231">
        <f>(INDEX(Models!$BJ114:$BT114,,AH114)*(1-AF114)+INDEX(Models!$BJ114:$BT114,,AH114+1)*AF114-ERP_i)*AE114*Ramure*Pc/MaxiM</f>
        <v>7.4022676372568147E-3</v>
      </c>
      <c r="AE114" s="305">
        <f t="shared" si="38"/>
        <v>0.8</v>
      </c>
      <c r="AF114" s="177">
        <f t="shared" si="39"/>
        <v>0.24446997698688566</v>
      </c>
      <c r="AG114" s="809">
        <f t="shared" si="47"/>
        <v>1</v>
      </c>
      <c r="AH114" s="176">
        <f t="shared" si="40"/>
        <v>7</v>
      </c>
      <c r="AI114" s="225">
        <f t="shared" si="41"/>
        <v>1.2444699769868857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6">
        <v>49.057000000000002</v>
      </c>
      <c r="C115" s="390"/>
      <c r="D115" s="393">
        <f t="shared" si="24"/>
        <v>49.767632231764438</v>
      </c>
      <c r="E115" s="385">
        <f t="shared" si="45"/>
        <v>54.329132385224206</v>
      </c>
      <c r="F115" s="385">
        <f t="shared" si="25"/>
        <v>54.340445908416534</v>
      </c>
      <c r="G115" s="110">
        <f t="shared" si="46"/>
        <v>1.0143591222749075</v>
      </c>
      <c r="H115" s="414" t="b">
        <f>Wh_hp&gt;='2019'!Maxi_hp</f>
        <v>1</v>
      </c>
      <c r="I115" s="380">
        <f>IF(H115,Wh_hp,'2019'!Maxi_hp)</f>
        <v>54.340445908416534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1.4279004242256699E-2</v>
      </c>
      <c r="M115" s="843"/>
      <c r="N115" s="843"/>
      <c r="O115" s="48">
        <f>IF(t&lt;Tnet,'2019'!Resal+('2019'!Salim-'2019'!Resal)*(1-EXP(('2019'!Tnet-t)/('2019'!Tau_j))),Resal+(Salim-Resal)*(1-EXP((Tnet-t)/(Tau_j))))*Salcycl</f>
        <v>8.3960482216357837E-2</v>
      </c>
      <c r="P115" s="169">
        <f>(INDEX(Models!$BJ115:$BT115,,T115)*(1-R115)+INDEX(Models!$BJ115:$BT115,,T115+1)*R115-ERP_i)*Q115*Ramure*Pc/MaxiM</f>
        <v>2.0819709892325121E-4</v>
      </c>
      <c r="Q115" s="305">
        <f t="shared" si="27"/>
        <v>0.8</v>
      </c>
      <c r="R115" s="177">
        <f t="shared" si="28"/>
        <v>4.6288253393440955E-2</v>
      </c>
      <c r="S115" s="809">
        <f t="shared" si="29"/>
        <v>0</v>
      </c>
      <c r="T115" s="176">
        <f t="shared" si="30"/>
        <v>6</v>
      </c>
      <c r="U115" s="251">
        <f t="shared" si="31"/>
        <v>4.6288253393440955E-2</v>
      </c>
      <c r="V115" s="383">
        <f t="shared" si="32"/>
        <v>48.362556142818192</v>
      </c>
      <c r="W115" s="402"/>
      <c r="X115" s="157">
        <f t="shared" si="33"/>
        <v>43931</v>
      </c>
      <c r="Y115" s="385">
        <f t="shared" si="34"/>
        <v>48.718379238196555</v>
      </c>
      <c r="Z115" s="385">
        <f t="shared" si="35"/>
        <v>49.424106261169541</v>
      </c>
      <c r="AA115" s="386">
        <f t="shared" si="36"/>
        <v>53.954120211703511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8.3960482216357837E-2</v>
      </c>
      <c r="AD115" s="231">
        <f>(INDEX(Models!$BJ115:$BT115,,AH115)*(1-AF115)+INDEX(Models!$BJ115:$BT115,,AH115+1)*AF115-ERP_i)*AE115*Ramure*Pc/MaxiM</f>
        <v>7.1093582368485708E-3</v>
      </c>
      <c r="AE115" s="305">
        <f t="shared" si="38"/>
        <v>0.8</v>
      </c>
      <c r="AF115" s="177">
        <f t="shared" si="39"/>
        <v>0.24622182754596222</v>
      </c>
      <c r="AG115" s="809">
        <f t="shared" si="47"/>
        <v>1</v>
      </c>
      <c r="AH115" s="176">
        <f t="shared" si="40"/>
        <v>7</v>
      </c>
      <c r="AI115" s="225">
        <f t="shared" si="41"/>
        <v>1.2462218275459622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6">
        <v>47.932000000000002</v>
      </c>
      <c r="C116" s="390"/>
      <c r="D116" s="393">
        <f t="shared" si="24"/>
        <v>48.62746728527955</v>
      </c>
      <c r="E116" s="385">
        <f t="shared" si="45"/>
        <v>53.091217013755468</v>
      </c>
      <c r="F116" s="385">
        <f t="shared" si="25"/>
        <v>53.101942477540838</v>
      </c>
      <c r="G116" s="110">
        <f t="shared" si="46"/>
        <v>0.98514258306645608</v>
      </c>
      <c r="H116" s="414" t="b">
        <f>Wh_hp&gt;='2019'!Maxi_hp</f>
        <v>0</v>
      </c>
      <c r="I116" s="380">
        <f>IF(H116,Wh_hp,'2019'!Maxi_hp)</f>
        <v>55.077370568801221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1.4301943409873674E-2</v>
      </c>
      <c r="M116" s="843"/>
      <c r="N116" s="843"/>
      <c r="O116" s="48">
        <f>IF(t&lt;Tnet,'2019'!Resal+('2019'!Salim-'2019'!Resal)*(1-EXP(('2019'!Tnet-t)/('2019'!Tau_j))),Resal+(Salim-Resal)*(1-EXP((Tnet-t)/(Tau_j))))*Salcycl</f>
        <v>8.4076990122855855E-2</v>
      </c>
      <c r="P116" s="169">
        <f>(INDEX(Models!$BJ116:$BT116,,T116)*(1-R116)+INDEX(Models!$BJ116:$BT116,,T116+1)*R116-ERP_i)*Q116*Ramure*Pc/MaxiM</f>
        <v>2.0635738576697682E-4</v>
      </c>
      <c r="Q116" s="305">
        <f t="shared" si="27"/>
        <v>0.8</v>
      </c>
      <c r="R116" s="177">
        <f t="shared" si="28"/>
        <v>4.8101886435794945E-2</v>
      </c>
      <c r="S116" s="809">
        <f t="shared" si="29"/>
        <v>0</v>
      </c>
      <c r="T116" s="176">
        <f t="shared" si="30"/>
        <v>6</v>
      </c>
      <c r="U116" s="251">
        <f t="shared" si="31"/>
        <v>4.8101886435794945E-2</v>
      </c>
      <c r="V116" s="383">
        <f t="shared" si="32"/>
        <v>48.654672840831168</v>
      </c>
      <c r="W116" s="402"/>
      <c r="X116" s="157">
        <f t="shared" si="33"/>
        <v>43932</v>
      </c>
      <c r="Y116" s="385">
        <f t="shared" si="34"/>
        <v>47.621621379624521</v>
      </c>
      <c r="Z116" s="385">
        <f t="shared" si="35"/>
        <v>48.312585239707516</v>
      </c>
      <c r="AA116" s="386">
        <f t="shared" si="36"/>
        <v>52.747430426699125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8.4076990122855855E-2</v>
      </c>
      <c r="AD116" s="231">
        <f>(INDEX(Models!$BJ116:$BT116,,AH116)*(1-AF116)+INDEX(Models!$BJ116:$BT116,,AH116+1)*AF116-ERP_i)*AE116*Ramure*Pc/MaxiM</f>
        <v>6.8207940932457712E-3</v>
      </c>
      <c r="AE116" s="305">
        <f t="shared" si="38"/>
        <v>0.8</v>
      </c>
      <c r="AF116" s="177">
        <f t="shared" si="39"/>
        <v>0.24803546058831616</v>
      </c>
      <c r="AG116" s="809">
        <f t="shared" si="47"/>
        <v>1</v>
      </c>
      <c r="AH116" s="176">
        <f t="shared" si="40"/>
        <v>7</v>
      </c>
      <c r="AI116" s="225">
        <f t="shared" si="41"/>
        <v>1.2480354605883162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6">
        <v>40.825000000000003</v>
      </c>
      <c r="C117" s="390"/>
      <c r="D117" s="393">
        <f t="shared" si="24"/>
        <v>41.418312440152761</v>
      </c>
      <c r="E117" s="385">
        <f t="shared" si="45"/>
        <v>45.226102154997683</v>
      </c>
      <c r="F117" s="385">
        <f t="shared" si="25"/>
        <v>45.233149265241295</v>
      </c>
      <c r="G117" s="110">
        <f t="shared" si="46"/>
        <v>0.83412532775144088</v>
      </c>
      <c r="H117" s="414" t="b">
        <f>Wh_hp&gt;='2019'!Maxi_hp</f>
        <v>0</v>
      </c>
      <c r="I117" s="380">
        <f>IF(H117,Wh_hp,'2019'!Maxi_hp)</f>
        <v>54.846872874129055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1.4324882043662779E-2</v>
      </c>
      <c r="M117" s="843"/>
      <c r="N117" s="843"/>
      <c r="O117" s="48">
        <f>IF(t&lt;Tnet,'2019'!Resal+('2019'!Salim-'2019'!Resal)*(1-EXP(('2019'!Tnet-t)/('2019'!Tau_j))),Resal+(Salim-Resal)*(1-EXP((Tnet-t)/(Tau_j))))*Salcycl</f>
        <v>8.4194514526035588E-2</v>
      </c>
      <c r="P117" s="169">
        <f>(INDEX(Models!$BJ117:$BT117,,T117)*(1-R117)+INDEX(Models!$BJ117:$BT117,,T117+1)*R117-ERP_i)*Q117*Ramure*Pc/MaxiM</f>
        <v>2.0416265193550171E-4</v>
      </c>
      <c r="Q117" s="305">
        <f t="shared" si="27"/>
        <v>0.8</v>
      </c>
      <c r="R117" s="177">
        <f t="shared" si="28"/>
        <v>4.9979015155300809E-2</v>
      </c>
      <c r="S117" s="809">
        <f t="shared" si="29"/>
        <v>0</v>
      </c>
      <c r="T117" s="176">
        <f t="shared" si="30"/>
        <v>6</v>
      </c>
      <c r="U117" s="251">
        <f t="shared" si="31"/>
        <v>4.9979015155300809E-2</v>
      </c>
      <c r="V117" s="383">
        <f t="shared" si="32"/>
        <v>48.941116802656076</v>
      </c>
      <c r="W117" s="402"/>
      <c r="X117" s="157">
        <f t="shared" si="33"/>
        <v>43933</v>
      </c>
      <c r="Y117" s="385">
        <f t="shared" si="34"/>
        <v>40.627703909522239</v>
      </c>
      <c r="Z117" s="385">
        <f t="shared" si="35"/>
        <v>41.218149032470492</v>
      </c>
      <c r="AA117" s="386">
        <f t="shared" si="36"/>
        <v>45.007536738151899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8.4194514526035588E-2</v>
      </c>
      <c r="AD117" s="231">
        <f>(INDEX(Models!$BJ117:$BT117,,AH117)*(1-AF117)+INDEX(Models!$BJ117:$BT117,,AH117+1)*AF117-ERP_i)*AE117*Ramure*Pc/MaxiM</f>
        <v>6.5362468087118231E-3</v>
      </c>
      <c r="AE117" s="305">
        <f t="shared" si="38"/>
        <v>0.8</v>
      </c>
      <c r="AF117" s="177">
        <f t="shared" si="39"/>
        <v>0.24991258930782201</v>
      </c>
      <c r="AG117" s="809">
        <f t="shared" si="47"/>
        <v>1</v>
      </c>
      <c r="AH117" s="176">
        <f t="shared" si="40"/>
        <v>7</v>
      </c>
      <c r="AI117" s="225">
        <f t="shared" si="41"/>
        <v>1.249912589307822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6">
        <v>14.101000000000001</v>
      </c>
      <c r="C118" s="390"/>
      <c r="D118" s="393">
        <f t="shared" si="24"/>
        <v>14.306263698473126</v>
      </c>
      <c r="E118" s="385">
        <f t="shared" si="45"/>
        <v>15.62353173677927</v>
      </c>
      <c r="F118" s="385">
        <f t="shared" si="25"/>
        <v>15.62353173677927</v>
      </c>
      <c r="G118" s="110">
        <f t="shared" si="46"/>
        <v>0.28641989825255437</v>
      </c>
      <c r="H118" s="414" t="b">
        <f>Wh_hp&gt;='2019'!Maxi_hp</f>
        <v>0</v>
      </c>
      <c r="I118" s="380">
        <f>IF(H118,Wh_hp,'2019'!Maxi_hp)</f>
        <v>29.50104682090171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1.4347820143636225E-2</v>
      </c>
      <c r="M118" s="843"/>
      <c r="N118" s="843"/>
      <c r="O118" s="48">
        <f>IF(t&lt;Tnet,'2019'!Resal+('2019'!Salim-'2019'!Resal)*(1-EXP(('2019'!Tnet-t)/('2019'!Tau_j))),Resal+(Salim-Resal)*(1-EXP((Tnet-t)/(Tau_j))))*Salcycl</f>
        <v>8.4313077254176291E-2</v>
      </c>
      <c r="P118" s="169">
        <f>(INDEX(Models!$BJ118:$BT118,,T118)*(1-R118)+INDEX(Models!$BJ118:$BT118,,T118+1)*R118-ERP_i)*Q118*Ramure*Pc/MaxiM</f>
        <v>2.0158572367207133E-4</v>
      </c>
      <c r="Q118" s="305">
        <f t="shared" si="27"/>
        <v>0.8</v>
      </c>
      <c r="R118" s="177">
        <f t="shared" si="28"/>
        <v>5.1921363810777096E-2</v>
      </c>
      <c r="S118" s="809">
        <f t="shared" si="29"/>
        <v>0</v>
      </c>
      <c r="T118" s="176">
        <f t="shared" si="30"/>
        <v>6</v>
      </c>
      <c r="U118" s="251">
        <f t="shared" si="31"/>
        <v>5.1921363810777096E-2</v>
      </c>
      <c r="V118" s="383">
        <f t="shared" si="32"/>
        <v>49.221990251806012</v>
      </c>
      <c r="W118" s="402"/>
      <c r="X118" s="157">
        <f t="shared" si="33"/>
        <v>43934</v>
      </c>
      <c r="Y118" s="385">
        <f t="shared" si="34"/>
        <v>14.101000000000001</v>
      </c>
      <c r="Z118" s="385">
        <f t="shared" si="35"/>
        <v>14.306263698473126</v>
      </c>
      <c r="AA118" s="386">
        <f t="shared" si="36"/>
        <v>15.62353173677927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8.4313077254176291E-2</v>
      </c>
      <c r="AD118" s="231">
        <f>(INDEX(Models!$BJ118:$BT118,,AH118)*(1-AF118)+INDEX(Models!$BJ118:$BT118,,AH118+1)*AF118-ERP_i)*AE118*Ramure*Pc/MaxiM</f>
        <v>6.2553957348158006E-3</v>
      </c>
      <c r="AE118" s="305">
        <f t="shared" si="38"/>
        <v>0.8</v>
      </c>
      <c r="AF118" s="177">
        <f t="shared" si="39"/>
        <v>0.25185493796329839</v>
      </c>
      <c r="AG118" s="809">
        <f t="shared" si="47"/>
        <v>1</v>
      </c>
      <c r="AH118" s="176">
        <f t="shared" si="40"/>
        <v>7</v>
      </c>
      <c r="AI118" s="225">
        <f t="shared" si="41"/>
        <v>1.2518549379632984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6">
        <v>49.014000000000003</v>
      </c>
      <c r="C119" s="390"/>
      <c r="D119" s="393">
        <f t="shared" si="24"/>
        <v>49.728638210968462</v>
      </c>
      <c r="E119" s="385">
        <f t="shared" si="45"/>
        <v>54.314563387134434</v>
      </c>
      <c r="F119" s="385">
        <f t="shared" si="25"/>
        <v>54.325201733253728</v>
      </c>
      <c r="G119" s="110">
        <f t="shared" si="46"/>
        <v>0.99023117592639531</v>
      </c>
      <c r="H119" s="414" t="b">
        <f>Wh_hp&gt;='2019'!Maxi_hp</f>
        <v>1</v>
      </c>
      <c r="I119" s="380">
        <f>IF(H119,Wh_hp,'2019'!Maxi_hp)</f>
        <v>54.325201733253728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1.437075770980667E-2</v>
      </c>
      <c r="M119" s="843"/>
      <c r="N119" s="843"/>
      <c r="O119" s="48">
        <f>IF(t&lt;Tnet,'2019'!Resal+('2019'!Salim-'2019'!Resal)*(1-EXP(('2019'!Tnet-t)/('2019'!Tau_j))),Resal+(Salim-Resal)*(1-EXP((Tnet-t)/(Tau_j))))*Salcycl</f>
        <v>8.4432698896595507E-2</v>
      </c>
      <c r="P119" s="169">
        <f>(INDEX(Models!$BJ119:$BT119,,T119)*(1-R119)+INDEX(Models!$BJ119:$BT119,,T119+1)*R119-ERP_i)*Q119*Ramure*Pc/MaxiM</f>
        <v>1.9859783525047578E-4</v>
      </c>
      <c r="Q119" s="305">
        <f t="shared" si="27"/>
        <v>0.8</v>
      </c>
      <c r="R119" s="177">
        <f t="shared" si="28"/>
        <v>5.3930664582214898E-2</v>
      </c>
      <c r="S119" s="809">
        <f t="shared" si="29"/>
        <v>0</v>
      </c>
      <c r="T119" s="176">
        <f t="shared" si="30"/>
        <v>6</v>
      </c>
      <c r="U119" s="251">
        <f t="shared" si="31"/>
        <v>5.3930664582214898E-2</v>
      </c>
      <c r="V119" s="383">
        <f t="shared" si="32"/>
        <v>49.497395516954555</v>
      </c>
      <c r="W119" s="402"/>
      <c r="X119" s="157">
        <f t="shared" si="33"/>
        <v>43935</v>
      </c>
      <c r="Y119" s="385">
        <f t="shared" si="34"/>
        <v>48.734629255936277</v>
      </c>
      <c r="Z119" s="385">
        <f t="shared" si="35"/>
        <v>49.445194161140371</v>
      </c>
      <c r="AA119" s="386">
        <f t="shared" si="36"/>
        <v>54.004980411107994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8.4432698896595507E-2</v>
      </c>
      <c r="AD119" s="231">
        <f>(INDEX(Models!$BJ119:$BT119,,AH119)*(1-AF119)+INDEX(Models!$BJ119:$BT119,,AH119+1)*AF119-ERP_i)*AE119*Ramure*Pc/MaxiM</f>
        <v>5.9779274584676693E-3</v>
      </c>
      <c r="AE119" s="305">
        <f t="shared" si="38"/>
        <v>0.8</v>
      </c>
      <c r="AF119" s="177">
        <f t="shared" si="39"/>
        <v>0.25386423873473607</v>
      </c>
      <c r="AG119" s="809">
        <f t="shared" si="47"/>
        <v>1</v>
      </c>
      <c r="AH119" s="176">
        <f t="shared" si="40"/>
        <v>7</v>
      </c>
      <c r="AI119" s="225">
        <f t="shared" si="41"/>
        <v>1.2538642387347361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6">
        <v>41.399000000000001</v>
      </c>
      <c r="C120" s="390"/>
      <c r="D120" s="393">
        <f t="shared" si="24"/>
        <v>42.003586806570709</v>
      </c>
      <c r="E120" s="385">
        <f t="shared" si="45"/>
        <v>45.883164292435985</v>
      </c>
      <c r="F120" s="385">
        <f t="shared" si="25"/>
        <v>45.889969135103719</v>
      </c>
      <c r="G120" s="110">
        <f t="shared" si="46"/>
        <v>0.83181017413863334</v>
      </c>
      <c r="H120" s="414" t="b">
        <f>Wh_hp&gt;='2019'!Maxi_hp</f>
        <v>1</v>
      </c>
      <c r="I120" s="380">
        <f>IF(H120,Wh_hp,'2019'!Maxi_hp)</f>
        <v>45.889969135103719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1.4393694742186436E-2</v>
      </c>
      <c r="M120" s="843"/>
      <c r="N120" s="843"/>
      <c r="O120" s="48">
        <f>IF(t&lt;Tnet,'2019'!Resal+('2019'!Salim-'2019'!Resal)*(1-EXP(('2019'!Tnet-t)/('2019'!Tau_j))),Resal+(Salim-Resal)*(1-EXP((Tnet-t)/(Tau_j))))*Salcycl</f>
        <v>8.4553398739869334E-2</v>
      </c>
      <c r="P120" s="169">
        <f>(INDEX(Models!$BJ120:$BT120,,T120)*(1-R120)+INDEX(Models!$BJ120:$BT120,,T120+1)*R120-ERP_i)*Q120*Ramure*Pc/MaxiM</f>
        <v>1.9516856532788115E-4</v>
      </c>
      <c r="Q120" s="305">
        <f t="shared" si="27"/>
        <v>0.8</v>
      </c>
      <c r="R120" s="177">
        <f t="shared" si="28"/>
        <v>5.6008654150585771E-2</v>
      </c>
      <c r="S120" s="809">
        <f t="shared" si="29"/>
        <v>0</v>
      </c>
      <c r="T120" s="176">
        <f t="shared" si="30"/>
        <v>6</v>
      </c>
      <c r="U120" s="251">
        <f t="shared" si="31"/>
        <v>5.6008654150585771E-2</v>
      </c>
      <c r="V120" s="383">
        <f t="shared" si="32"/>
        <v>49.76743505949112</v>
      </c>
      <c r="W120" s="402"/>
      <c r="X120" s="157">
        <f t="shared" si="33"/>
        <v>43936</v>
      </c>
      <c r="Y120" s="385">
        <f t="shared" si="34"/>
        <v>41.225712371413664</v>
      </c>
      <c r="Z120" s="385">
        <f t="shared" si="35"/>
        <v>41.827768502992576</v>
      </c>
      <c r="AA120" s="386">
        <f t="shared" si="36"/>
        <v>45.691106882057142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8.4553398739869334E-2</v>
      </c>
      <c r="AD120" s="231">
        <f>(INDEX(Models!$BJ120:$BT120,,AH120)*(1-AF120)+INDEX(Models!$BJ120:$BT120,,AH120+1)*AF120-ERP_i)*AE120*Ramure*Pc/MaxiM</f>
        <v>5.7035353380001678E-3</v>
      </c>
      <c r="AE120" s="305">
        <f t="shared" si="38"/>
        <v>0.8</v>
      </c>
      <c r="AF120" s="177">
        <f t="shared" si="39"/>
        <v>0.25594222830310698</v>
      </c>
      <c r="AG120" s="809">
        <f t="shared" si="47"/>
        <v>1</v>
      </c>
      <c r="AH120" s="176">
        <f t="shared" si="40"/>
        <v>7</v>
      </c>
      <c r="AI120" s="225">
        <f t="shared" si="41"/>
        <v>1.255942228303107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6">
        <v>38.478000000000002</v>
      </c>
      <c r="C121" s="390"/>
      <c r="D121" s="393">
        <f t="shared" si="24"/>
        <v>39.040837355485614</v>
      </c>
      <c r="E121" s="385">
        <f t="shared" si="45"/>
        <v>42.65244111107139</v>
      </c>
      <c r="F121" s="385">
        <f t="shared" si="25"/>
        <v>42.657908464256053</v>
      </c>
      <c r="G121" s="110">
        <f t="shared" si="46"/>
        <v>0.76901986302041092</v>
      </c>
      <c r="H121" s="414" t="b">
        <f>Wh_hp&gt;='2019'!Maxi_hp</f>
        <v>1</v>
      </c>
      <c r="I121" s="380">
        <f>IF(H121,Wh_hp,'2019'!Maxi_hp)</f>
        <v>42.657908464256053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1.4416631240787958E-2</v>
      </c>
      <c r="M121" s="843"/>
      <c r="N121" s="843"/>
      <c r="O121" s="48">
        <f>IF(t&lt;Tnet,'2019'!Resal+('2019'!Salim-'2019'!Resal)*(1-EXP(('2019'!Tnet-t)/('2019'!Tau_j))),Resal+(Salim-Resal)*(1-EXP((Tnet-t)/(Tau_j))))*Salcycl</f>
        <v>8.4675194701770623E-2</v>
      </c>
      <c r="P121" s="169">
        <f>(INDEX(Models!$BJ121:$BT121,,T121)*(1-R121)+INDEX(Models!$BJ121:$BT121,,T121+1)*R121-ERP_i)*Q121*Ramure*Pc/MaxiM</f>
        <v>1.9126673220587795E-4</v>
      </c>
      <c r="Q121" s="305">
        <f t="shared" si="27"/>
        <v>0.8</v>
      </c>
      <c r="R121" s="177">
        <f t="shared" si="28"/>
        <v>5.8157069992197913E-2</v>
      </c>
      <c r="S121" s="809">
        <f t="shared" si="29"/>
        <v>0</v>
      </c>
      <c r="T121" s="176">
        <f t="shared" si="30"/>
        <v>6</v>
      </c>
      <c r="U121" s="251">
        <f t="shared" si="31"/>
        <v>5.8157069992197913E-2</v>
      </c>
      <c r="V121" s="383">
        <f t="shared" si="32"/>
        <v>50.031960945100565</v>
      </c>
      <c r="W121" s="402"/>
      <c r="X121" s="157">
        <f t="shared" si="33"/>
        <v>43937</v>
      </c>
      <c r="Y121" s="385">
        <f t="shared" si="34"/>
        <v>38.342856894219722</v>
      </c>
      <c r="Z121" s="385">
        <f t="shared" si="35"/>
        <v>38.903717442483824</v>
      </c>
      <c r="AA121" s="386">
        <f t="shared" si="36"/>
        <v>42.502636460079643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8.4675194701770623E-2</v>
      </c>
      <c r="AD121" s="231">
        <f>(INDEX(Models!$BJ121:$BT121,,AH121)*(1-AF121)+INDEX(Models!$BJ121:$BT121,,AH121+1)*AF121-ERP_i)*AE121*Ramure*Pc/MaxiM</f>
        <v>5.4319462889587172E-3</v>
      </c>
      <c r="AE121" s="305">
        <f t="shared" si="38"/>
        <v>0.8</v>
      </c>
      <c r="AF121" s="177">
        <f t="shared" si="39"/>
        <v>0.25809064414471905</v>
      </c>
      <c r="AG121" s="809">
        <f t="shared" si="47"/>
        <v>1</v>
      </c>
      <c r="AH121" s="176">
        <f t="shared" si="40"/>
        <v>7</v>
      </c>
      <c r="AI121" s="225">
        <f t="shared" si="41"/>
        <v>1.2580906441447191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6">
        <v>31.507000000000001</v>
      </c>
      <c r="C122" s="390"/>
      <c r="D122" s="393">
        <f t="shared" si="24"/>
        <v>31.968612934944701</v>
      </c>
      <c r="E122" s="385">
        <f t="shared" si="45"/>
        <v>34.930667264690967</v>
      </c>
      <c r="F122" s="385">
        <f t="shared" si="25"/>
        <v>34.933721544369966</v>
      </c>
      <c r="G122" s="110">
        <f t="shared" si="46"/>
        <v>0.62643451410898299</v>
      </c>
      <c r="H122" s="414" t="b">
        <f>Wh_hp&gt;='2019'!Maxi_hp</f>
        <v>1</v>
      </c>
      <c r="I122" s="380">
        <f>IF(H122,Wh_hp,'2019'!Maxi_hp)</f>
        <v>34.933721544369966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1.443956720562356E-2</v>
      </c>
      <c r="M122" s="843"/>
      <c r="N122" s="843"/>
      <c r="O122" s="48">
        <f>IF(t&lt;Tnet,'2019'!Resal+('2019'!Salim-'2019'!Resal)*(1-EXP(('2019'!Tnet-t)/('2019'!Tau_j))),Resal+(Salim-Resal)*(1-EXP((Tnet-t)/(Tau_j))))*Salcycl</f>
        <v>8.4798103262699681E-2</v>
      </c>
      <c r="P122" s="169">
        <f>(INDEX(Models!$BJ122:$BT122,,T122)*(1-R122)+INDEX(Models!$BJ122:$BT122,,T122+1)*R122-ERP_i)*Q122*Ramure*Pc/MaxiM</f>
        <v>1.8744875192488973E-4</v>
      </c>
      <c r="Q122" s="305">
        <f t="shared" si="27"/>
        <v>0.8</v>
      </c>
      <c r="R122" s="177">
        <f t="shared" si="28"/>
        <v>6.0377646379465411E-2</v>
      </c>
      <c r="S122" s="809">
        <f t="shared" si="29"/>
        <v>0</v>
      </c>
      <c r="T122" s="176">
        <f t="shared" si="30"/>
        <v>6</v>
      </c>
      <c r="U122" s="251">
        <f t="shared" si="31"/>
        <v>6.0377646379465411E-2</v>
      </c>
      <c r="V122" s="383">
        <f t="shared" si="32"/>
        <v>50.290729112302778</v>
      </c>
      <c r="W122" s="402"/>
      <c r="X122" s="157">
        <f t="shared" si="33"/>
        <v>43938</v>
      </c>
      <c r="Y122" s="385">
        <f t="shared" si="34"/>
        <v>31.43371182628637</v>
      </c>
      <c r="Z122" s="385">
        <f t="shared" si="35"/>
        <v>31.894251007177537</v>
      </c>
      <c r="AA122" s="386">
        <f t="shared" si="36"/>
        <v>34.849415326695357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8.4798103262699681E-2</v>
      </c>
      <c r="AD122" s="231">
        <f>(INDEX(Models!$BJ122:$BT122,,AH122)*(1-AF122)+INDEX(Models!$BJ122:$BT122,,AH122+1)*AF122-ERP_i)*AE122*Ramure*Pc/MaxiM</f>
        <v>5.1740825803451348E-3</v>
      </c>
      <c r="AE122" s="305">
        <f t="shared" si="38"/>
        <v>0.8</v>
      </c>
      <c r="AF122" s="177">
        <f t="shared" si="39"/>
        <v>0.26031122053198663</v>
      </c>
      <c r="AG122" s="809">
        <f t="shared" si="47"/>
        <v>1</v>
      </c>
      <c r="AH122" s="176">
        <f t="shared" si="40"/>
        <v>7</v>
      </c>
      <c r="AI122" s="225">
        <f t="shared" si="41"/>
        <v>1.2603112205319866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6">
        <v>40.356000000000002</v>
      </c>
      <c r="C123" s="390"/>
      <c r="D123" s="393">
        <f t="shared" si="24"/>
        <v>40.94821364785043</v>
      </c>
      <c r="E123" s="385">
        <f t="shared" si="45"/>
        <v>44.74833826790767</v>
      </c>
      <c r="F123" s="385">
        <f t="shared" si="25"/>
        <v>44.754196786811463</v>
      </c>
      <c r="G123" s="110">
        <f t="shared" si="46"/>
        <v>0.79839497976556895</v>
      </c>
      <c r="H123" s="414" t="b">
        <f>Wh_hp&gt;='2019'!Maxi_hp</f>
        <v>0</v>
      </c>
      <c r="I123" s="380">
        <f>IF(H123,Wh_hp,'2019'!Maxi_hp)</f>
        <v>51.982663755217459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1.4462502636705787E-2</v>
      </c>
      <c r="M123" s="843"/>
      <c r="N123" s="843"/>
      <c r="O123" s="48">
        <f>IF(t&lt;Tnet,'2019'!Resal+('2019'!Salim-'2019'!Resal)*(1-EXP(('2019'!Tnet-t)/('2019'!Tau_j))),Resal+(Salim-Resal)*(1-EXP((Tnet-t)/(Tau_j))))*Salcycl</f>
        <v>8.492213939444955E-2</v>
      </c>
      <c r="P123" s="169">
        <f>(INDEX(Models!$BJ123:$BT123,,T123)*(1-R123)+INDEX(Models!$BJ123:$BT123,,T123+1)*R123-ERP_i)*Q123*Ramure*Pc/MaxiM</f>
        <v>1.838406791746692E-4</v>
      </c>
      <c r="Q123" s="305">
        <f t="shared" si="27"/>
        <v>0.8</v>
      </c>
      <c r="R123" s="177">
        <f t="shared" si="28"/>
        <v>6.2672110081029631E-2</v>
      </c>
      <c r="S123" s="809">
        <f t="shared" si="29"/>
        <v>0</v>
      </c>
      <c r="T123" s="176">
        <f t="shared" si="30"/>
        <v>6</v>
      </c>
      <c r="U123" s="251">
        <f t="shared" si="31"/>
        <v>6.2672110081029631E-2</v>
      </c>
      <c r="V123" s="383">
        <f t="shared" si="32"/>
        <v>50.543733921696884</v>
      </c>
      <c r="W123" s="402"/>
      <c r="X123" s="157">
        <f t="shared" si="33"/>
        <v>43939</v>
      </c>
      <c r="Y123" s="385">
        <f t="shared" si="34"/>
        <v>40.219519623818904</v>
      </c>
      <c r="Z123" s="385">
        <f t="shared" si="35"/>
        <v>40.80973045817349</v>
      </c>
      <c r="AA123" s="386">
        <f t="shared" si="36"/>
        <v>44.597003397249452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8.492213939444955E-2</v>
      </c>
      <c r="AD123" s="231">
        <f>(INDEX(Models!$BJ123:$BT123,,AH123)*(1-AF123)+INDEX(Models!$BJ123:$BT123,,AH123+1)*AF123-ERP_i)*AE123*Ramure*Pc/MaxiM</f>
        <v>4.9327381157966586E-3</v>
      </c>
      <c r="AE123" s="305">
        <f t="shared" si="38"/>
        <v>0.8</v>
      </c>
      <c r="AF123" s="177">
        <f t="shared" si="39"/>
        <v>0.26260568423355091</v>
      </c>
      <c r="AG123" s="809">
        <f t="shared" si="47"/>
        <v>1</v>
      </c>
      <c r="AH123" s="176">
        <f t="shared" si="40"/>
        <v>7</v>
      </c>
      <c r="AI123" s="225">
        <f t="shared" si="41"/>
        <v>1.2626056842335509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6">
        <v>17.236999999999998</v>
      </c>
      <c r="C124" s="390"/>
      <c r="D124" s="393">
        <f t="shared" si="24"/>
        <v>17.490355451338644</v>
      </c>
      <c r="E124" s="385">
        <f t="shared" si="45"/>
        <v>19.116131103270522</v>
      </c>
      <c r="F124" s="385">
        <f t="shared" si="25"/>
        <v>19.116325160692572</v>
      </c>
      <c r="G124" s="110">
        <f t="shared" si="46"/>
        <v>0.33931351544979188</v>
      </c>
      <c r="H124" s="414" t="b">
        <f>Wh_hp&gt;='2019'!Maxi_hp</f>
        <v>0</v>
      </c>
      <c r="I124" s="380">
        <f>IF(H124,Wh_hp,'2019'!Maxi_hp)</f>
        <v>47.97247568092412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1.4485437534047074E-2</v>
      </c>
      <c r="M124" s="843"/>
      <c r="N124" s="843"/>
      <c r="O124" s="48">
        <f>IF(t&lt;Tnet,'2019'!Resal+('2019'!Salim-'2019'!Resal)*(1-EXP(('2019'!Tnet-t)/('2019'!Tau_j))),Resal+(Salim-Resal)*(1-EXP((Tnet-t)/(Tau_j))))*Salcycl</f>
        <v>8.5047316486217814E-2</v>
      </c>
      <c r="P124" s="169">
        <f>(INDEX(Models!$BJ124:$BT124,,T124)*(1-R124)+INDEX(Models!$BJ124:$BT124,,T124+1)*R124-ERP_i)*Q124*Ramure*Pc/MaxiM</f>
        <v>1.8048615063898327E-4</v>
      </c>
      <c r="Q124" s="305">
        <f t="shared" si="27"/>
        <v>0.8</v>
      </c>
      <c r="R124" s="177">
        <f t="shared" si="28"/>
        <v>6.5042175755432682E-2</v>
      </c>
      <c r="S124" s="809">
        <f t="shared" si="29"/>
        <v>0</v>
      </c>
      <c r="T124" s="176">
        <f t="shared" si="30"/>
        <v>6</v>
      </c>
      <c r="U124" s="251">
        <f t="shared" si="31"/>
        <v>6.5042175755432682E-2</v>
      </c>
      <c r="V124" s="383">
        <f t="shared" si="32"/>
        <v>50.790973908644077</v>
      </c>
      <c r="W124" s="402"/>
      <c r="X124" s="157">
        <f t="shared" si="33"/>
        <v>43940</v>
      </c>
      <c r="Y124" s="385">
        <f t="shared" si="34"/>
        <v>17.23261087626366</v>
      </c>
      <c r="Z124" s="385">
        <f t="shared" si="35"/>
        <v>17.485901814727374</v>
      </c>
      <c r="AA124" s="386">
        <f t="shared" si="36"/>
        <v>19.111263489139741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8.5047316486217814E-2</v>
      </c>
      <c r="AD124" s="231">
        <f>(INDEX(Models!$BJ124:$BT124,,AH124)*(1-AF124)+INDEX(Models!$BJ124:$BT124,,AH124+1)*AF124-ERP_i)*AE124*Ramure*Pc/MaxiM</f>
        <v>4.7076870584349543E-3</v>
      </c>
      <c r="AE124" s="305">
        <f t="shared" si="38"/>
        <v>0.8</v>
      </c>
      <c r="AF124" s="177">
        <f t="shared" si="39"/>
        <v>0.26497574990795392</v>
      </c>
      <c r="AG124" s="809">
        <f t="shared" si="47"/>
        <v>1</v>
      </c>
      <c r="AH124" s="176">
        <f t="shared" si="40"/>
        <v>7</v>
      </c>
      <c r="AI124" s="225">
        <f t="shared" si="41"/>
        <v>1.2649757499079539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6">
        <v>15.598000000000001</v>
      </c>
      <c r="C125" s="390"/>
      <c r="D125" s="393">
        <f t="shared" si="24"/>
        <v>15.827633188559362</v>
      </c>
      <c r="E125" s="385">
        <f t="shared" si="45"/>
        <v>17.301243152854799</v>
      </c>
      <c r="F125" s="385">
        <f t="shared" si="25"/>
        <v>17.3012679249386</v>
      </c>
      <c r="G125" s="110">
        <f t="shared" si="46"/>
        <v>0.30559488129154883</v>
      </c>
      <c r="H125" s="414" t="b">
        <f>Wh_hp&gt;='2019'!Maxi_hp</f>
        <v>0</v>
      </c>
      <c r="I125" s="380">
        <f>IF(H125,Wh_hp,'2019'!Maxi_hp)</f>
        <v>18.712840911740976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1.4508371897659744E-2</v>
      </c>
      <c r="M125" s="843"/>
      <c r="N125" s="843"/>
      <c r="O125" s="48">
        <f>IF(t&lt;Tnet,'2019'!Resal+('2019'!Salim-'2019'!Resal)*(1-EXP(('2019'!Tnet-t)/('2019'!Tau_j))),Resal+(Salim-Resal)*(1-EXP((Tnet-t)/(Tau_j))))*Salcycl</f>
        <v>8.5173646267856798E-2</v>
      </c>
      <c r="P125" s="169">
        <f>(INDEX(Models!$BJ125:$BT125,,T125)*(1-R125)+INDEX(Models!$BJ125:$BT125,,T125+1)*R125-ERP_i)*Q125*Ramure*Pc/MaxiM</f>
        <v>1.7743364588773808E-4</v>
      </c>
      <c r="Q125" s="305">
        <f t="shared" si="27"/>
        <v>0.8</v>
      </c>
      <c r="R125" s="177">
        <f t="shared" si="28"/>
        <v>6.7489541034000358E-2</v>
      </c>
      <c r="S125" s="809">
        <f t="shared" si="29"/>
        <v>0</v>
      </c>
      <c r="T125" s="176">
        <f t="shared" si="30"/>
        <v>6</v>
      </c>
      <c r="U125" s="251">
        <f t="shared" si="31"/>
        <v>6.7489541034000358E-2</v>
      </c>
      <c r="V125" s="383">
        <f t="shared" si="32"/>
        <v>51.032447446377311</v>
      </c>
      <c r="W125" s="402"/>
      <c r="X125" s="157">
        <f t="shared" si="33"/>
        <v>43941</v>
      </c>
      <c r="Y125" s="385">
        <f t="shared" si="34"/>
        <v>15.597456081197521</v>
      </c>
      <c r="Z125" s="385">
        <f t="shared" si="35"/>
        <v>15.827081262204059</v>
      </c>
      <c r="AA125" s="386">
        <f t="shared" si="36"/>
        <v>17.300639840157199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8.5173646267856798E-2</v>
      </c>
      <c r="AD125" s="231">
        <f>(INDEX(Models!$BJ125:$BT125,,AH125)*(1-AF125)+INDEX(Models!$BJ125:$BT125,,AH125+1)*AF125-ERP_i)*AE125*Ramure*Pc/MaxiM</f>
        <v>4.4987484132276911E-3</v>
      </c>
      <c r="AE125" s="305">
        <f t="shared" si="38"/>
        <v>0.8</v>
      </c>
      <c r="AF125" s="177">
        <f t="shared" si="39"/>
        <v>0.26742311518652162</v>
      </c>
      <c r="AG125" s="809">
        <f t="shared" si="47"/>
        <v>1</v>
      </c>
      <c r="AH125" s="176">
        <f t="shared" si="40"/>
        <v>7</v>
      </c>
      <c r="AI125" s="225">
        <f t="shared" si="41"/>
        <v>1.2674231151865216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6">
        <v>14.827</v>
      </c>
      <c r="C126" s="390"/>
      <c r="D126" s="393">
        <f t="shared" si="24"/>
        <v>15.045632688460536</v>
      </c>
      <c r="E126" s="385">
        <f t="shared" si="45"/>
        <v>16.448727909836695</v>
      </c>
      <c r="F126" s="385">
        <f t="shared" si="25"/>
        <v>16.448727909836695</v>
      </c>
      <c r="G126" s="110">
        <f t="shared" si="46"/>
        <v>0.28915434605895901</v>
      </c>
      <c r="H126" s="414" t="b">
        <f>Wh_hp&gt;='2019'!Maxi_hp</f>
        <v>0</v>
      </c>
      <c r="I126" s="380">
        <f>IF(H126,Wh_hp,'2019'!Maxi_hp)</f>
        <v>33.027685929482935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1.4531305727556343E-2</v>
      </c>
      <c r="M126" s="843"/>
      <c r="N126" s="843"/>
      <c r="O126" s="48">
        <f>IF(t&lt;Tnet,'2019'!Resal+('2019'!Salim-'2019'!Resal)*(1-EXP(('2019'!Tnet-t)/('2019'!Tau_j))),Resal+(Salim-Resal)*(1-EXP((Tnet-t)/(Tau_j))))*Salcycl</f>
        <v>8.5301138730434989E-2</v>
      </c>
      <c r="P126" s="169">
        <f>(INDEX(Models!$BJ126:$BT126,,T126)*(1-R126)+INDEX(Models!$BJ126:$BT126,,T126+1)*R126-ERP_i)*Q126*Ramure*Pc/MaxiM</f>
        <v>1.747362794156612E-4</v>
      </c>
      <c r="Q126" s="305">
        <f t="shared" si="27"/>
        <v>0.8</v>
      </c>
      <c r="R126" s="177">
        <f t="shared" si="28"/>
        <v>7.0015881290259305E-2</v>
      </c>
      <c r="S126" s="809">
        <f t="shared" si="29"/>
        <v>0</v>
      </c>
      <c r="T126" s="176">
        <f t="shared" si="30"/>
        <v>6</v>
      </c>
      <c r="U126" s="251">
        <f t="shared" si="31"/>
        <v>7.0015881290259305E-2</v>
      </c>
      <c r="V126" s="383">
        <f t="shared" si="32"/>
        <v>51.268152760748706</v>
      </c>
      <c r="W126" s="402"/>
      <c r="X126" s="157">
        <f t="shared" si="33"/>
        <v>43942</v>
      </c>
      <c r="Y126" s="385">
        <f t="shared" si="34"/>
        <v>14.827</v>
      </c>
      <c r="Z126" s="385">
        <f t="shared" si="35"/>
        <v>15.045632688460536</v>
      </c>
      <c r="AA126" s="386">
        <f t="shared" si="36"/>
        <v>16.448727909836695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8.5301138730434989E-2</v>
      </c>
      <c r="AD126" s="231">
        <f>(INDEX(Models!$BJ126:$BT126,,AH126)*(1-AF126)+INDEX(Models!$BJ126:$BT126,,AH126+1)*AF126-ERP_i)*AE126*Ramure*Pc/MaxiM</f>
        <v>4.3057710289829522E-3</v>
      </c>
      <c r="AE126" s="305">
        <f t="shared" si="38"/>
        <v>0.8</v>
      </c>
      <c r="AF126" s="177">
        <f t="shared" si="39"/>
        <v>0.26994945544278059</v>
      </c>
      <c r="AG126" s="809">
        <f t="shared" si="47"/>
        <v>1</v>
      </c>
      <c r="AH126" s="176">
        <f t="shared" si="40"/>
        <v>7</v>
      </c>
      <c r="AI126" s="225">
        <f t="shared" si="41"/>
        <v>1.2699494554427806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6">
        <v>9.8379999999999992</v>
      </c>
      <c r="C127" s="390"/>
      <c r="D127" s="393">
        <f t="shared" si="24"/>
        <v>9.9832993246160964</v>
      </c>
      <c r="E127" s="385">
        <f t="shared" si="45"/>
        <v>10.915837129758883</v>
      </c>
      <c r="F127" s="385">
        <f t="shared" si="25"/>
        <v>10.915837129758883</v>
      </c>
      <c r="G127" s="110">
        <f t="shared" si="46"/>
        <v>0.19100327436024023</v>
      </c>
      <c r="H127" s="414" t="b">
        <f>Wh_hp&gt;='2019'!Maxi_hp</f>
        <v>0</v>
      </c>
      <c r="I127" s="380">
        <f>IF(H127,Wh_hp,'2019'!Maxi_hp)</f>
        <v>33.52688679253167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1.4554239023749194E-2</v>
      </c>
      <c r="M127" s="843"/>
      <c r="N127" s="843"/>
      <c r="O127" s="48">
        <f>IF(t&lt;Tnet,'2019'!Resal+('2019'!Salim-'2019'!Resal)*(1-EXP(('2019'!Tnet-t)/('2019'!Tau_j))),Resal+(Salim-Resal)*(1-EXP((Tnet-t)/(Tau_j))))*Salcycl</f>
        <v>8.5429802044269282E-2</v>
      </c>
      <c r="P127" s="169">
        <f>(INDEX(Models!$BJ127:$BT127,,T127)*(1-R127)+INDEX(Models!$BJ127:$BT127,,T127+1)*R127-ERP_i)*Q127*Ramure*Pc/MaxiM</f>
        <v>1.7245164347369694E-4</v>
      </c>
      <c r="Q127" s="305">
        <f t="shared" si="27"/>
        <v>0.8</v>
      </c>
      <c r="R127" s="177">
        <f t="shared" si="28"/>
        <v>7.2622844095099379E-2</v>
      </c>
      <c r="S127" s="809">
        <f t="shared" si="29"/>
        <v>0</v>
      </c>
      <c r="T127" s="176">
        <f t="shared" si="30"/>
        <v>6</v>
      </c>
      <c r="U127" s="251">
        <f t="shared" si="31"/>
        <v>7.2622844095099379E-2</v>
      </c>
      <c r="V127" s="383">
        <f t="shared" si="32"/>
        <v>51.498087944711479</v>
      </c>
      <c r="W127" s="402"/>
      <c r="X127" s="157">
        <f t="shared" si="33"/>
        <v>43943</v>
      </c>
      <c r="Y127" s="385">
        <f t="shared" si="34"/>
        <v>9.8379999999999992</v>
      </c>
      <c r="Z127" s="385">
        <f t="shared" si="35"/>
        <v>9.9832993246160964</v>
      </c>
      <c r="AA127" s="386">
        <f t="shared" si="36"/>
        <v>10.915837129758883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8.5429802044269282E-2</v>
      </c>
      <c r="AD127" s="231">
        <f>(INDEX(Models!$BJ127:$BT127,,AH127)*(1-AF127)+INDEX(Models!$BJ127:$BT127,,AH127+1)*AF127-ERP_i)*AE127*Ramure*Pc/MaxiM</f>
        <v>4.128621824329038E-3</v>
      </c>
      <c r="AE127" s="305">
        <f t="shared" si="38"/>
        <v>0.8</v>
      </c>
      <c r="AF127" s="177">
        <f t="shared" si="39"/>
        <v>0.27255641824762056</v>
      </c>
      <c r="AG127" s="809">
        <f t="shared" si="47"/>
        <v>1</v>
      </c>
      <c r="AH127" s="176">
        <f t="shared" si="40"/>
        <v>7</v>
      </c>
      <c r="AI127" s="225">
        <f t="shared" si="41"/>
        <v>1.2725564182476206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6">
        <v>15.673999999999999</v>
      </c>
      <c r="C128" s="390"/>
      <c r="D128" s="393">
        <f t="shared" si="24"/>
        <v>15.905862489924104</v>
      </c>
      <c r="E128" s="385">
        <f t="shared" si="45"/>
        <v>17.394095042971248</v>
      </c>
      <c r="F128" s="385">
        <f t="shared" si="25"/>
        <v>17.394107972256371</v>
      </c>
      <c r="G128" s="110">
        <f t="shared" si="46"/>
        <v>0.30299023570132388</v>
      </c>
      <c r="H128" s="414" t="b">
        <f>Wh_hp&gt;='2019'!Maxi_hp</f>
        <v>0</v>
      </c>
      <c r="I128" s="380">
        <f>IF(H128,Wh_hp,'2019'!Maxi_hp)</f>
        <v>51.294410518399886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1.457717178625062E-2</v>
      </c>
      <c r="M128" s="843"/>
      <c r="N128" s="843"/>
      <c r="O128" s="48">
        <f>IF(t&lt;Tnet,'2019'!Resal+('2019'!Salim-'2019'!Resal)*(1-EXP(('2019'!Tnet-t)/('2019'!Tau_j))),Resal+(Salim-Resal)*(1-EXP((Tnet-t)/(Tau_j))))*Salcycl</f>
        <v>8.5559642474675471E-2</v>
      </c>
      <c r="P128" s="169">
        <f>(INDEX(Models!$BJ128:$BT128,,T128)*(1-R128)+INDEX(Models!$BJ128:$BT128,,T128+1)*R128-ERP_i)*Q128*Ramure*Pc/MaxiM</f>
        <v>1.7105391878541684E-4</v>
      </c>
      <c r="Q128" s="305">
        <f t="shared" si="27"/>
        <v>0.8</v>
      </c>
      <c r="R128" s="177">
        <f t="shared" si="28"/>
        <v>7.5312043358997174E-2</v>
      </c>
      <c r="S128" s="809">
        <f t="shared" si="29"/>
        <v>0</v>
      </c>
      <c r="T128" s="176">
        <f t="shared" si="30"/>
        <v>6</v>
      </c>
      <c r="U128" s="251">
        <f t="shared" si="31"/>
        <v>7.5312043358997174E-2</v>
      </c>
      <c r="V128" s="383">
        <f t="shared" si="32"/>
        <v>51.72222963992008</v>
      </c>
      <c r="W128" s="402"/>
      <c r="X128" s="157">
        <f t="shared" si="33"/>
        <v>43944</v>
      </c>
      <c r="Y128" s="385">
        <f t="shared" si="34"/>
        <v>15.673741017410805</v>
      </c>
      <c r="Z128" s="385">
        <f t="shared" si="35"/>
        <v>15.905599676254905</v>
      </c>
      <c r="AA128" s="386">
        <f t="shared" si="36"/>
        <v>17.393807639132348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8.5559642474675471E-2</v>
      </c>
      <c r="AD128" s="231">
        <f>(INDEX(Models!$BJ128:$BT128,,AH128)*(1-AF128)+INDEX(Models!$BJ128:$BT128,,AH128+1)*AF128-ERP_i)*AE128*Ramure*Pc/MaxiM</f>
        <v>3.9733950730948941E-3</v>
      </c>
      <c r="AE128" s="305">
        <f t="shared" si="38"/>
        <v>0.8</v>
      </c>
      <c r="AF128" s="177">
        <f t="shared" si="39"/>
        <v>0.27524561751151833</v>
      </c>
      <c r="AG128" s="809">
        <f t="shared" si="47"/>
        <v>1</v>
      </c>
      <c r="AH128" s="176">
        <f t="shared" si="40"/>
        <v>7</v>
      </c>
      <c r="AI128" s="225">
        <f t="shared" si="41"/>
        <v>1.2752456175115183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6">
        <v>49.869</v>
      </c>
      <c r="C129" s="390"/>
      <c r="D129" s="393">
        <f t="shared" si="24"/>
        <v>50.607880316604806</v>
      </c>
      <c r="E129" s="385">
        <f t="shared" si="45"/>
        <v>55.350939053493576</v>
      </c>
      <c r="F129" s="385">
        <f t="shared" si="25"/>
        <v>55.359840587650929</v>
      </c>
      <c r="G129" s="110">
        <f t="shared" si="46"/>
        <v>0.96010700744447741</v>
      </c>
      <c r="H129" s="414" t="b">
        <f>Wh_hp&gt;='2019'!Maxi_hp</f>
        <v>1</v>
      </c>
      <c r="I129" s="380">
        <f>IF(H129,Wh_hp,'2019'!Maxi_hp)</f>
        <v>55.359840587650929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1.4600104015073279E-2</v>
      </c>
      <c r="M129" s="843"/>
      <c r="N129" s="843"/>
      <c r="O129" s="48">
        <f>IF(t&lt;Tnet,'2019'!Resal+('2019'!Salim-'2019'!Resal)*(1-EXP(('2019'!Tnet-t)/('2019'!Tau_j))),Resal+(Salim-Resal)*(1-EXP((Tnet-t)/(Tau_j))))*Salcycl</f>
        <v>8.5690664295774141E-2</v>
      </c>
      <c r="P129" s="169">
        <f>(INDEX(Models!$BJ129:$BT129,,T129)*(1-R129)+INDEX(Models!$BJ129:$BT129,,T129+1)*R129-ERP_i)*Q129*Ramure*Pc/MaxiM</f>
        <v>1.7050911137760021E-4</v>
      </c>
      <c r="Q129" s="305">
        <f t="shared" si="27"/>
        <v>0.8</v>
      </c>
      <c r="R129" s="177">
        <f t="shared" si="28"/>
        <v>7.8085053164956189E-2</v>
      </c>
      <c r="S129" s="809">
        <f t="shared" si="29"/>
        <v>0</v>
      </c>
      <c r="T129" s="176">
        <f t="shared" si="30"/>
        <v>6</v>
      </c>
      <c r="U129" s="251">
        <f t="shared" si="31"/>
        <v>7.8085053164956189E-2</v>
      </c>
      <c r="V129" s="383">
        <f t="shared" si="32"/>
        <v>51.940580639537501</v>
      </c>
      <c r="W129" s="402"/>
      <c r="X129" s="157">
        <f t="shared" si="33"/>
        <v>43945</v>
      </c>
      <c r="Y129" s="385">
        <f t="shared" si="34"/>
        <v>49.696607693210694</v>
      </c>
      <c r="Z129" s="385">
        <f t="shared" si="35"/>
        <v>50.432933772068189</v>
      </c>
      <c r="AA129" s="386">
        <f t="shared" si="36"/>
        <v>55.159596213926193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8.5690664295774141E-2</v>
      </c>
      <c r="AD129" s="231">
        <f>(INDEX(Models!$BJ129:$BT129,,AH129)*(1-AF129)+INDEX(Models!$BJ129:$BT129,,AH129+1)*AF129-ERP_i)*AE129*Ramure*Pc/MaxiM</f>
        <v>3.835686031038921E-3</v>
      </c>
      <c r="AE129" s="305">
        <f t="shared" si="38"/>
        <v>0.8</v>
      </c>
      <c r="AF129" s="177">
        <f t="shared" si="39"/>
        <v>0.2780186273174774</v>
      </c>
      <c r="AG129" s="809">
        <f t="shared" si="47"/>
        <v>1</v>
      </c>
      <c r="AH129" s="176">
        <f t="shared" si="40"/>
        <v>7</v>
      </c>
      <c r="AI129" s="225">
        <f t="shared" si="41"/>
        <v>1.2780186273174774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6">
        <v>40.423000000000002</v>
      </c>
      <c r="C130" s="390"/>
      <c r="D130" s="393">
        <f t="shared" si="24"/>
        <v>41.022879024917799</v>
      </c>
      <c r="E130" s="385">
        <f t="shared" si="45"/>
        <v>44.874103349730767</v>
      </c>
      <c r="F130" s="385">
        <f t="shared" si="25"/>
        <v>44.879309576129749</v>
      </c>
      <c r="G130" s="110">
        <f t="shared" si="46"/>
        <v>0.77504024455851572</v>
      </c>
      <c r="H130" s="414" t="b">
        <f>Wh_hp&gt;='2019'!Maxi_hp</f>
        <v>1</v>
      </c>
      <c r="I130" s="380">
        <f>IF(H130,Wh_hp,'2019'!Maxi_hp)</f>
        <v>44.879309576129749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1.4623035710229493E-2</v>
      </c>
      <c r="M130" s="843"/>
      <c r="N130" s="843"/>
      <c r="O130" s="48">
        <f>IF(t&lt;Tnet,'2019'!Resal+('2019'!Salim-'2019'!Resal)*(1-EXP(('2019'!Tnet-t)/('2019'!Tau_j))),Resal+(Salim-Resal)*(1-EXP((Tnet-t)/(Tau_j))))*Salcycl</f>
        <v>8.5822869702778706E-2</v>
      </c>
      <c r="P130" s="169">
        <f>(INDEX(Models!$BJ130:$BT130,,T130)*(1-R130)+INDEX(Models!$BJ130:$BT130,,T130+1)*R130-ERP_i)*Q130*Ramure*Pc/MaxiM</f>
        <v>1.7092500447433385E-4</v>
      </c>
      <c r="Q130" s="305">
        <f t="shared" si="27"/>
        <v>0.8</v>
      </c>
      <c r="R130" s="177">
        <f t="shared" si="28"/>
        <v>8.0943401298386938E-2</v>
      </c>
      <c r="S130" s="809">
        <f t="shared" si="29"/>
        <v>0</v>
      </c>
      <c r="T130" s="176">
        <f t="shared" si="30"/>
        <v>6</v>
      </c>
      <c r="U130" s="251">
        <f t="shared" si="31"/>
        <v>8.0943401298386938E-2</v>
      </c>
      <c r="V130" s="383">
        <f t="shared" si="32"/>
        <v>52.153136558738751</v>
      </c>
      <c r="W130" s="402"/>
      <c r="X130" s="157">
        <f t="shared" si="33"/>
        <v>43946</v>
      </c>
      <c r="Y130" s="385">
        <f t="shared" si="34"/>
        <v>40.325746822197367</v>
      </c>
      <c r="Z130" s="385">
        <f t="shared" si="35"/>
        <v>40.924182605854732</v>
      </c>
      <c r="AA130" s="386">
        <f t="shared" si="36"/>
        <v>44.766141319406323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8.5822869702778706E-2</v>
      </c>
      <c r="AD130" s="231">
        <f>(INDEX(Models!$BJ130:$BT130,,AH130)*(1-AF130)+INDEX(Models!$BJ130:$BT130,,AH130+1)*AF130-ERP_i)*AE130*Ramure*Pc/MaxiM</f>
        <v>3.7154136805453101E-3</v>
      </c>
      <c r="AE130" s="305">
        <f t="shared" si="38"/>
        <v>0.8</v>
      </c>
      <c r="AF130" s="177">
        <f t="shared" si="39"/>
        <v>0.28087697545090817</v>
      </c>
      <c r="AG130" s="809">
        <f t="shared" si="47"/>
        <v>1</v>
      </c>
      <c r="AH130" s="176">
        <f t="shared" si="40"/>
        <v>7</v>
      </c>
      <c r="AI130" s="225">
        <f t="shared" si="41"/>
        <v>1.2808769754509082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6">
        <v>24.094000000000001</v>
      </c>
      <c r="C131" s="390"/>
      <c r="D131" s="393">
        <f t="shared" si="24"/>
        <v>24.45212501288211</v>
      </c>
      <c r="E131" s="385">
        <f t="shared" si="45"/>
        <v>26.751591755037705</v>
      </c>
      <c r="F131" s="385">
        <f t="shared" si="25"/>
        <v>26.752647137707228</v>
      </c>
      <c r="G131" s="110">
        <f t="shared" si="46"/>
        <v>0.46010018178566625</v>
      </c>
      <c r="H131" s="414" t="b">
        <f>Wh_hp&gt;='2019'!Maxi_hp</f>
        <v>0</v>
      </c>
      <c r="I131" s="380">
        <f>IF(H131,Wh_hp,'2019'!Maxi_hp)</f>
        <v>31.030789783278504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1.4645966871731586E-2</v>
      </c>
      <c r="M131" s="843"/>
      <c r="N131" s="843"/>
      <c r="O131" s="48">
        <f>IF(t&lt;Tnet,'2019'!Resal+('2019'!Salim-'2019'!Resal)*(1-EXP(('2019'!Tnet-t)/('2019'!Tau_j))),Resal+(Salim-Resal)*(1-EXP((Tnet-t)/(Tau_j))))*Salcycl</f>
        <v>8.5956258723280388E-2</v>
      </c>
      <c r="P131" s="169">
        <f>(INDEX(Models!$BJ131:$BT131,,T131)*(1-R131)+INDEX(Models!$BJ131:$BT131,,T131+1)*R131-ERP_i)*Q131*Ramure*Pc/MaxiM</f>
        <v>1.7241833963305852E-4</v>
      </c>
      <c r="Q131" s="305">
        <f t="shared" si="27"/>
        <v>0.8</v>
      </c>
      <c r="R131" s="177">
        <f t="shared" si="28"/>
        <v>8.3888562482948889E-2</v>
      </c>
      <c r="S131" s="809">
        <f t="shared" si="29"/>
        <v>0</v>
      </c>
      <c r="T131" s="176">
        <f t="shared" si="30"/>
        <v>6</v>
      </c>
      <c r="U131" s="251">
        <f t="shared" si="31"/>
        <v>8.3888562482948889E-2</v>
      </c>
      <c r="V131" s="383">
        <f t="shared" si="32"/>
        <v>52.359892649022797</v>
      </c>
      <c r="W131" s="402"/>
      <c r="X131" s="157">
        <f t="shared" si="33"/>
        <v>43947</v>
      </c>
      <c r="Y131" s="385">
        <f t="shared" si="34"/>
        <v>24.075034774685204</v>
      </c>
      <c r="Z131" s="385">
        <f t="shared" si="35"/>
        <v>24.432877894915194</v>
      </c>
      <c r="AA131" s="386">
        <f t="shared" si="36"/>
        <v>26.730534646829696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8.5956258723280388E-2</v>
      </c>
      <c r="AD131" s="231">
        <f>(INDEX(Models!$BJ131:$BT131,,AH131)*(1-AF131)+INDEX(Models!$BJ131:$BT131,,AH131+1)*AF131-ERP_i)*AE131*Ramure*Pc/MaxiM</f>
        <v>3.6125275431850195E-3</v>
      </c>
      <c r="AE131" s="305">
        <f t="shared" si="38"/>
        <v>0.8</v>
      </c>
      <c r="AF131" s="177">
        <f t="shared" si="39"/>
        <v>0.28382213663547007</v>
      </c>
      <c r="AG131" s="809">
        <f t="shared" si="47"/>
        <v>1</v>
      </c>
      <c r="AH131" s="176">
        <f t="shared" si="40"/>
        <v>7</v>
      </c>
      <c r="AI131" s="225">
        <f t="shared" si="41"/>
        <v>1.2838221366354701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6">
        <v>20.303999999999998</v>
      </c>
      <c r="C132" s="390"/>
      <c r="D132" s="393">
        <f t="shared" si="24"/>
        <v>20.606271281273791</v>
      </c>
      <c r="E132" s="385">
        <f t="shared" si="45"/>
        <v>22.547395231426993</v>
      </c>
      <c r="F132" s="385">
        <f t="shared" si="25"/>
        <v>22.54788199534508</v>
      </c>
      <c r="G132" s="110">
        <f t="shared" si="46"/>
        <v>0.38623586031604612</v>
      </c>
      <c r="H132" s="414" t="b">
        <f>Wh_hp&gt;='2019'!Maxi_hp</f>
        <v>0</v>
      </c>
      <c r="I132" s="380">
        <f>IF(H132,Wh_hp,'2019'!Maxi_hp)</f>
        <v>43.833448045184817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1.4668897499592104E-2</v>
      </c>
      <c r="M132" s="843"/>
      <c r="N132" s="843"/>
      <c r="O132" s="48">
        <f>IF(t&lt;Tnet,'2019'!Resal+('2019'!Salim-'2019'!Resal)*(1-EXP(('2019'!Tnet-t)/('2019'!Tau_j))),Resal+(Salim-Resal)*(1-EXP((Tnet-t)/(Tau_j))))*Salcycl</f>
        <v>8.6090829128130375E-2</v>
      </c>
      <c r="P132" s="169">
        <f>(INDEX(Models!$BJ132:$BT132,,T132)*(1-R132)+INDEX(Models!$BJ132:$BT132,,T132+1)*R132-ERP_i)*Q132*Ramure*Pc/MaxiM</f>
        <v>1.7511533691913879E-4</v>
      </c>
      <c r="Q132" s="305">
        <f t="shared" si="27"/>
        <v>0.8</v>
      </c>
      <c r="R132" s="177">
        <f t="shared" si="28"/>
        <v>8.6921951334401656E-2</v>
      </c>
      <c r="S132" s="809">
        <f t="shared" si="29"/>
        <v>0</v>
      </c>
      <c r="T132" s="176">
        <f t="shared" si="30"/>
        <v>6</v>
      </c>
      <c r="U132" s="251">
        <f t="shared" si="31"/>
        <v>8.6921951334401656E-2</v>
      </c>
      <c r="V132" s="383">
        <f t="shared" si="32"/>
        <v>52.560843773701038</v>
      </c>
      <c r="W132" s="402"/>
      <c r="X132" s="157">
        <f t="shared" si="33"/>
        <v>43948</v>
      </c>
      <c r="Y132" s="385">
        <f t="shared" si="34"/>
        <v>20.2956098558553</v>
      </c>
      <c r="Z132" s="385">
        <f t="shared" si="35"/>
        <v>20.597756230725395</v>
      </c>
      <c r="AA132" s="386">
        <f t="shared" si="36"/>
        <v>22.538078057664229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8.6090829128130375E-2</v>
      </c>
      <c r="AD132" s="231">
        <f>(INDEX(Models!$BJ132:$BT132,,AH132)*(1-AF132)+INDEX(Models!$BJ132:$BT132,,AH132+1)*AF132-ERP_i)*AE132*Ramure*Pc/MaxiM</f>
        <v>3.527007213013991E-3</v>
      </c>
      <c r="AE132" s="305">
        <f t="shared" si="38"/>
        <v>0.8</v>
      </c>
      <c r="AF132" s="177">
        <f t="shared" si="39"/>
        <v>0.28685552548692295</v>
      </c>
      <c r="AG132" s="809">
        <f t="shared" si="47"/>
        <v>1</v>
      </c>
      <c r="AH132" s="176">
        <f t="shared" si="40"/>
        <v>7</v>
      </c>
      <c r="AI132" s="225">
        <f t="shared" si="41"/>
        <v>1.2868555254869229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6">
        <v>30.311</v>
      </c>
      <c r="C133" s="390"/>
      <c r="D133" s="393">
        <f t="shared" si="24"/>
        <v>30.762964165798884</v>
      </c>
      <c r="E133" s="385">
        <f t="shared" si="45"/>
        <v>33.665855637023711</v>
      </c>
      <c r="F133" s="385">
        <f t="shared" si="25"/>
        <v>33.668221378355838</v>
      </c>
      <c r="G133" s="110">
        <f t="shared" si="46"/>
        <v>0.57448836711066487</v>
      </c>
      <c r="H133" s="414" t="b">
        <f>Wh_hp&gt;='2019'!Maxi_hp</f>
        <v>0</v>
      </c>
      <c r="I133" s="380">
        <f>IF(H133,Wh_hp,'2019'!Maxi_hp)</f>
        <v>53.521315436728898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1.469182759382337E-2</v>
      </c>
      <c r="M133" s="843"/>
      <c r="N133" s="843"/>
      <c r="O133" s="48">
        <f>IF(t&lt;Tnet,'2019'!Resal+('2019'!Salim-'2019'!Resal)*(1-EXP(('2019'!Tnet-t)/('2019'!Tau_j))),Resal+(Salim-Resal)*(1-EXP((Tnet-t)/(Tau_j))))*Salcycl</f>
        <v>8.6226576342601446E-2</v>
      </c>
      <c r="P133" s="169">
        <f>(INDEX(Models!$BJ133:$BT133,,T133)*(1-R133)+INDEX(Models!$BJ133:$BT133,,T133+1)*R133-ERP_i)*Q133*Ramure*Pc/MaxiM</f>
        <v>1.7915222285152016E-4</v>
      </c>
      <c r="Q133" s="305">
        <f t="shared" si="27"/>
        <v>0.8</v>
      </c>
      <c r="R133" s="177">
        <f t="shared" si="28"/>
        <v>9.004491504776016E-2</v>
      </c>
      <c r="S133" s="809">
        <f t="shared" si="29"/>
        <v>0</v>
      </c>
      <c r="T133" s="176">
        <f t="shared" si="30"/>
        <v>6</v>
      </c>
      <c r="U133" s="251">
        <f t="shared" si="31"/>
        <v>9.004491504776016E-2</v>
      </c>
      <c r="V133" s="383">
        <f t="shared" si="32"/>
        <v>52.75598438883199</v>
      </c>
      <c r="W133" s="402"/>
      <c r="X133" s="157">
        <f t="shared" si="33"/>
        <v>43949</v>
      </c>
      <c r="Y133" s="385">
        <f t="shared" si="34"/>
        <v>30.272006603661616</v>
      </c>
      <c r="Z133" s="385">
        <f t="shared" si="35"/>
        <v>30.723389342986685</v>
      </c>
      <c r="AA133" s="386">
        <f t="shared" si="36"/>
        <v>33.6225464076375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8.6226576342601446E-2</v>
      </c>
      <c r="AD133" s="231">
        <f>(INDEX(Models!$BJ133:$BT133,,AH133)*(1-AF133)+INDEX(Models!$BJ133:$BT133,,AH133+1)*AF133-ERP_i)*AE133*Ramure*Pc/MaxiM</f>
        <v>3.4588618889741674E-3</v>
      </c>
      <c r="AE133" s="305">
        <f t="shared" si="38"/>
        <v>0.8</v>
      </c>
      <c r="AF133" s="177">
        <f t="shared" si="39"/>
        <v>0.28997848920028146</v>
      </c>
      <c r="AG133" s="809">
        <f t="shared" si="47"/>
        <v>1</v>
      </c>
      <c r="AH133" s="176">
        <f t="shared" si="40"/>
        <v>7</v>
      </c>
      <c r="AI133" s="225">
        <f t="shared" si="41"/>
        <v>1.2899784892002815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6">
        <v>46.116</v>
      </c>
      <c r="C134" s="390"/>
      <c r="D134" s="393">
        <f t="shared" si="24"/>
        <v>46.804720089802885</v>
      </c>
      <c r="E134" s="385">
        <f t="shared" si="45"/>
        <v>51.229038845941155</v>
      </c>
      <c r="F134" s="385">
        <f t="shared" si="25"/>
        <v>51.236757449735038</v>
      </c>
      <c r="G134" s="110">
        <f t="shared" si="46"/>
        <v>0.87098237270782564</v>
      </c>
      <c r="H134" s="414" t="b">
        <f>Wh_hp&gt;='2019'!Maxi_hp</f>
        <v>0</v>
      </c>
      <c r="I134" s="380">
        <f>IF(H134,Wh_hp,'2019'!Maxi_hp)</f>
        <v>59.130369018521904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1.4714757154437819E-2</v>
      </c>
      <c r="M134" s="843"/>
      <c r="N134" s="843"/>
      <c r="O134" s="48">
        <f>IF(t&lt;Tnet,'2019'!Resal+('2019'!Salim-'2019'!Resal)*(1-EXP(('2019'!Tnet-t)/('2019'!Tau_j))),Resal+(Salim-Resal)*(1-EXP((Tnet-t)/(Tau_j))))*Salcycl</f>
        <v>8.6363493358587715E-2</v>
      </c>
      <c r="P134" s="169">
        <f>(INDEX(Models!$BJ134:$BT134,,T134)*(1-R134)+INDEX(Models!$BJ134:$BT134,,T134+1)*R134-ERP_i)*Q134*Ramure*Pc/MaxiM</f>
        <v>1.8467576327345185E-4</v>
      </c>
      <c r="Q134" s="305">
        <f t="shared" si="27"/>
        <v>0.8</v>
      </c>
      <c r="R134" s="177">
        <f t="shared" si="28"/>
        <v>9.325872583649511E-2</v>
      </c>
      <c r="S134" s="809">
        <f t="shared" si="29"/>
        <v>0</v>
      </c>
      <c r="T134" s="176">
        <f t="shared" si="30"/>
        <v>6</v>
      </c>
      <c r="U134" s="251">
        <f t="shared" si="31"/>
        <v>9.325872583649511E-2</v>
      </c>
      <c r="V134" s="383">
        <f t="shared" si="32"/>
        <v>52.945308520687867</v>
      </c>
      <c r="W134" s="402"/>
      <c r="X134" s="157">
        <f t="shared" si="33"/>
        <v>43950</v>
      </c>
      <c r="Y134" s="385">
        <f t="shared" si="34"/>
        <v>45.994720956136376</v>
      </c>
      <c r="Z134" s="385">
        <f t="shared" si="35"/>
        <v>46.681629802249851</v>
      </c>
      <c r="AA134" s="386">
        <f t="shared" si="36"/>
        <v>51.094313179159819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8.6363493358587715E-2</v>
      </c>
      <c r="AD134" s="231">
        <f>(INDEX(Models!$BJ134:$BT134,,AH134)*(1-AF134)+INDEX(Models!$BJ134:$BT134,,AH134+1)*AF134-ERP_i)*AE134*Ramure*Pc/MaxiM</f>
        <v>3.4081299021015009E-3</v>
      </c>
      <c r="AE134" s="305">
        <f t="shared" si="38"/>
        <v>0.8</v>
      </c>
      <c r="AF134" s="177">
        <f t="shared" si="39"/>
        <v>0.29319229998901641</v>
      </c>
      <c r="AG134" s="809">
        <f t="shared" si="47"/>
        <v>1</v>
      </c>
      <c r="AH134" s="176">
        <f t="shared" si="40"/>
        <v>7</v>
      </c>
      <c r="AI134" s="225">
        <f t="shared" si="41"/>
        <v>1.2931922999890164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6">
        <v>41.423000000000002</v>
      </c>
      <c r="C135" s="390"/>
      <c r="D135" s="393">
        <f t="shared" si="24"/>
        <v>42.042610804282269</v>
      </c>
      <c r="E135" s="385">
        <f t="shared" si="45"/>
        <v>46.023736279586821</v>
      </c>
      <c r="F135" s="385">
        <f t="shared" si="25"/>
        <v>46.029787221573734</v>
      </c>
      <c r="G135" s="110">
        <f t="shared" si="46"/>
        <v>0.77961770255832485</v>
      </c>
      <c r="H135" s="414" t="b">
        <f>Wh_hp&gt;='2019'!Maxi_hp</f>
        <v>0</v>
      </c>
      <c r="I135" s="380">
        <f>IF(H135,Wh_hp,'2019'!Maxi_hp)</f>
        <v>53.619994148118579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1.4737686181447995E-2</v>
      </c>
      <c r="M135" s="843"/>
      <c r="N135" s="843"/>
      <c r="O135" s="48">
        <f>IF(t&lt;Tnet,'2019'!Resal+('2019'!Salim-'2019'!Resal)*(1-EXP(('2019'!Tnet-t)/('2019'!Tau_j))),Resal+(Salim-Resal)*(1-EXP((Tnet-t)/(Tau_j))))*Salcycl</f>
        <v>8.6501570648672421E-2</v>
      </c>
      <c r="P135" s="169">
        <f>(INDEX(Models!$BJ135:$BT135,,T135)*(1-R135)+INDEX(Models!$BJ135:$BT135,,T135+1)*R135-ERP_i)*Q135*Ramure*Pc/MaxiM</f>
        <v>1.9184223384701235E-4</v>
      </c>
      <c r="Q135" s="305">
        <f t="shared" si="27"/>
        <v>0.8</v>
      </c>
      <c r="R135" s="177">
        <f t="shared" si="28"/>
        <v>9.6564573146167107E-2</v>
      </c>
      <c r="S135" s="809">
        <f t="shared" si="29"/>
        <v>0</v>
      </c>
      <c r="T135" s="176">
        <f t="shared" si="30"/>
        <v>6</v>
      </c>
      <c r="U135" s="251">
        <f t="shared" si="31"/>
        <v>9.6564573146167107E-2</v>
      </c>
      <c r="V135" s="383">
        <f t="shared" si="32"/>
        <v>53.129242962926789</v>
      </c>
      <c r="W135" s="402"/>
      <c r="X135" s="157">
        <f t="shared" si="33"/>
        <v>43951</v>
      </c>
      <c r="Y135" s="385">
        <f t="shared" si="34"/>
        <v>41.332639996506622</v>
      </c>
      <c r="Z135" s="385">
        <f t="shared" si="35"/>
        <v>41.950899183705637</v>
      </c>
      <c r="AA135" s="386">
        <f t="shared" si="36"/>
        <v>45.923340244268232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8.6501570648672421E-2</v>
      </c>
      <c r="AD135" s="231">
        <f>(INDEX(Models!$BJ135:$BT135,,AH135)*(1-AF135)+INDEX(Models!$BJ135:$BT135,,AH135+1)*AF135-ERP_i)*AE135*Ramure*Pc/MaxiM</f>
        <v>3.3748507185689855E-3</v>
      </c>
      <c r="AE135" s="305">
        <f t="shared" si="38"/>
        <v>0.8</v>
      </c>
      <c r="AF135" s="177">
        <f t="shared" si="39"/>
        <v>0.29649814729868829</v>
      </c>
      <c r="AG135" s="809">
        <f t="shared" si="47"/>
        <v>1</v>
      </c>
      <c r="AH135" s="176">
        <f t="shared" si="40"/>
        <v>7</v>
      </c>
      <c r="AI135" s="225">
        <f t="shared" si="41"/>
        <v>1.2964981472986883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6">
        <v>18.806000000000001</v>
      </c>
      <c r="C136" s="390"/>
      <c r="D136" s="393">
        <f t="shared" si="24"/>
        <v>19.087746876657725</v>
      </c>
      <c r="E136" s="385">
        <f t="shared" si="45"/>
        <v>20.898400973896969</v>
      </c>
      <c r="F136" s="385">
        <f t="shared" si="25"/>
        <v>20.898717408922533</v>
      </c>
      <c r="G136" s="110">
        <f t="shared" si="46"/>
        <v>0.35271403361572767</v>
      </c>
      <c r="H136" s="414" t="b">
        <f>Wh_hp&gt;='2019'!Maxi_hp</f>
        <v>0</v>
      </c>
      <c r="I136" s="380">
        <f>IF(H136,Wh_hp,'2019'!Maxi_hp)</f>
        <v>34.395346486180358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1.4760614674866113E-2</v>
      </c>
      <c r="M136" s="843"/>
      <c r="N136" s="843"/>
      <c r="O136" s="48">
        <f>IF(t&lt;Tnet,'2019'!Resal+('2019'!Salim-'2019'!Resal)*(1-EXP(('2019'!Tnet-t)/('2019'!Tau_j))),Resal+(Salim-Resal)*(1-EXP((Tnet-t)/(Tau_j))))*Salcycl</f>
        <v>8.6640796082955329E-2</v>
      </c>
      <c r="P136" s="169">
        <f>(INDEX(Models!$BJ136:$BT136,,T136)*(1-R136)+INDEX(Models!$BJ136:$BT136,,T136+1)*R136-ERP_i)*Q136*Ramure*Pc/MaxiM</f>
        <v>2.0081556976546703E-4</v>
      </c>
      <c r="Q136" s="305">
        <f t="shared" si="27"/>
        <v>0.8</v>
      </c>
      <c r="R136" s="177">
        <f t="shared" si="28"/>
        <v>9.9963555668689211E-2</v>
      </c>
      <c r="S136" s="809">
        <f t="shared" si="29"/>
        <v>0</v>
      </c>
      <c r="T136" s="176">
        <f t="shared" si="30"/>
        <v>6</v>
      </c>
      <c r="U136" s="251">
        <f t="shared" si="31"/>
        <v>9.9963555668689211E-2</v>
      </c>
      <c r="V136" s="383">
        <f t="shared" si="32"/>
        <v>53.308080671505941</v>
      </c>
      <c r="W136" s="402"/>
      <c r="X136" s="157">
        <f t="shared" si="33"/>
        <v>43952</v>
      </c>
      <c r="Y136" s="385">
        <f t="shared" si="34"/>
        <v>18.801517112099809</v>
      </c>
      <c r="Z136" s="385">
        <f t="shared" si="35"/>
        <v>19.083196827231195</v>
      </c>
      <c r="AA136" s="386">
        <f t="shared" si="36"/>
        <v>20.893419309063443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8.6640796082955329E-2</v>
      </c>
      <c r="AD136" s="231">
        <f>(INDEX(Models!$BJ136:$BT136,,AH136)*(1-AF136)+INDEX(Models!$BJ136:$BT136,,AH136+1)*AF136-ERP_i)*AE136*Ramure*Pc/MaxiM</f>
        <v>3.3622729973665231E-3</v>
      </c>
      <c r="AE136" s="305">
        <f t="shared" si="38"/>
        <v>0.8</v>
      </c>
      <c r="AF136" s="177">
        <f t="shared" si="39"/>
        <v>0.29989712982121053</v>
      </c>
      <c r="AG136" s="809">
        <f t="shared" si="47"/>
        <v>1</v>
      </c>
      <c r="AH136" s="176">
        <f t="shared" si="40"/>
        <v>7</v>
      </c>
      <c r="AI136" s="225">
        <f t="shared" si="41"/>
        <v>1.2998971298212105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6">
        <v>37.036000000000001</v>
      </c>
      <c r="C137" s="390"/>
      <c r="D137" s="393">
        <f t="shared" si="24"/>
        <v>37.591739077362888</v>
      </c>
      <c r="E137" s="385">
        <f t="shared" si="45"/>
        <v>41.163998396431815</v>
      </c>
      <c r="F137" s="385">
        <f t="shared" si="25"/>
        <v>41.168863439129311</v>
      </c>
      <c r="G137" s="110">
        <f t="shared" si="46"/>
        <v>0.69243484056022131</v>
      </c>
      <c r="H137" s="414" t="b">
        <f>Wh_hp&gt;='2019'!Maxi_hp</f>
        <v>1</v>
      </c>
      <c r="I137" s="380">
        <f>IF(H137,Wh_hp,'2019'!Maxi_hp)</f>
        <v>41.168863439129311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1.4783542634704716E-2</v>
      </c>
      <c r="M137" s="843"/>
      <c r="N137" s="843"/>
      <c r="O137" s="48">
        <f>IF(t&lt;Tnet,'2019'!Resal+('2019'!Salim-'2019'!Resal)*(1-EXP(('2019'!Tnet-t)/('2019'!Tau_j))),Resal+(Salim-Resal)*(1-EXP((Tnet-t)/(Tau_j))))*Salcycl</f>
        <v>8.6781154849587622E-2</v>
      </c>
      <c r="P137" s="169">
        <f>(INDEX(Models!$BJ137:$BT137,,T137)*(1-R137)+INDEX(Models!$BJ137:$BT137,,T137+1)*R137-ERP_i)*Q137*Ramure*Pc/MaxiM</f>
        <v>2.1075471881307407E-4</v>
      </c>
      <c r="Q137" s="305">
        <f t="shared" si="27"/>
        <v>0.8</v>
      </c>
      <c r="R137" s="177">
        <f t="shared" si="28"/>
        <v>0.10345667318736573</v>
      </c>
      <c r="S137" s="809">
        <f t="shared" si="29"/>
        <v>0</v>
      </c>
      <c r="T137" s="176">
        <f t="shared" si="30"/>
        <v>6</v>
      </c>
      <c r="U137" s="251">
        <f t="shared" si="31"/>
        <v>0.10345667318736573</v>
      </c>
      <c r="V137" s="383">
        <f t="shared" si="32"/>
        <v>53.481668691590912</v>
      </c>
      <c r="W137" s="402"/>
      <c r="X137" s="157">
        <f t="shared" si="33"/>
        <v>43953</v>
      </c>
      <c r="Y137" s="385">
        <f t="shared" si="34"/>
        <v>36.970611999698782</v>
      </c>
      <c r="Z137" s="385">
        <f t="shared" si="35"/>
        <v>37.525369905581002</v>
      </c>
      <c r="AA137" s="386">
        <f t="shared" si="36"/>
        <v>41.091322309933666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8.6781154849587622E-2</v>
      </c>
      <c r="AD137" s="231">
        <f>(INDEX(Models!$BJ137:$BT137,,AH137)*(1-AF137)+INDEX(Models!$BJ137:$BT137,,AH137+1)*AF137-ERP_i)*AE137*Ramure*Pc/MaxiM</f>
        <v>3.3590987574459419E-3</v>
      </c>
      <c r="AE137" s="305">
        <f t="shared" si="38"/>
        <v>0.8</v>
      </c>
      <c r="AF137" s="177">
        <f t="shared" si="39"/>
        <v>0.30339024733988706</v>
      </c>
      <c r="AG137" s="809">
        <f t="shared" si="47"/>
        <v>1</v>
      </c>
      <c r="AH137" s="176">
        <f t="shared" si="40"/>
        <v>7</v>
      </c>
      <c r="AI137" s="225">
        <f t="shared" si="41"/>
        <v>1.3033902473398871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6">
        <v>50.514000000000003</v>
      </c>
      <c r="C138" s="390"/>
      <c r="D138" s="393">
        <f t="shared" si="24"/>
        <v>51.273174726519414</v>
      </c>
      <c r="E138" s="385">
        <f t="shared" si="45"/>
        <v>56.154249767140911</v>
      </c>
      <c r="F138" s="385">
        <f t="shared" si="25"/>
        <v>56.165663952413723</v>
      </c>
      <c r="G138" s="110">
        <f t="shared" si="46"/>
        <v>0.94153303808547939</v>
      </c>
      <c r="H138" s="414" t="b">
        <f>Wh_hp&gt;='2019'!Maxi_hp</f>
        <v>1</v>
      </c>
      <c r="I138" s="380">
        <f>IF(H138,Wh_hp,'2019'!Maxi_hp)</f>
        <v>56.165663952413723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1.480647006097624E-2</v>
      </c>
      <c r="M138" s="843"/>
      <c r="N138" s="843"/>
      <c r="O138" s="48">
        <f>IF(t&lt;Tnet,'2019'!Resal+('2019'!Salim-'2019'!Resal)*(1-EXP(('2019'!Tnet-t)/('2019'!Tau_j))),Resal+(Salim-Resal)*(1-EXP((Tnet-t)/(Tau_j))))*Salcycl</f>
        <v>8.6922629380006416E-2</v>
      </c>
      <c r="P138" s="169">
        <f>(INDEX(Models!$BJ138:$BT138,,T138)*(1-R138)+INDEX(Models!$BJ138:$BT138,,T138+1)*R138-ERP_i)*Q138*Ramure*Pc/MaxiM</f>
        <v>2.2173856365274695E-4</v>
      </c>
      <c r="Q138" s="305">
        <f t="shared" si="27"/>
        <v>0.8</v>
      </c>
      <c r="R138" s="177">
        <f t="shared" si="28"/>
        <v>0.10704481828691421</v>
      </c>
      <c r="S138" s="809">
        <f t="shared" si="29"/>
        <v>0</v>
      </c>
      <c r="T138" s="176">
        <f t="shared" si="30"/>
        <v>6</v>
      </c>
      <c r="U138" s="251">
        <f t="shared" si="31"/>
        <v>0.10704481828691421</v>
      </c>
      <c r="V138" s="383">
        <f t="shared" si="32"/>
        <v>53.649805688069989</v>
      </c>
      <c r="W138" s="402"/>
      <c r="X138" s="157">
        <f t="shared" si="33"/>
        <v>43954</v>
      </c>
      <c r="Y138" s="385">
        <f t="shared" si="34"/>
        <v>50.368427334743302</v>
      </c>
      <c r="Z138" s="385">
        <f t="shared" si="35"/>
        <v>51.125414250193806</v>
      </c>
      <c r="AA138" s="386">
        <f t="shared" si="36"/>
        <v>55.99242287154577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8.6922629380006416E-2</v>
      </c>
      <c r="AD138" s="231">
        <f>(INDEX(Models!$BJ138:$BT138,,AH138)*(1-AF138)+INDEX(Models!$BJ138:$BT138,,AH138+1)*AF138-ERP_i)*AE138*Ramure*Pc/MaxiM</f>
        <v>3.3654814180060369E-3</v>
      </c>
      <c r="AE138" s="305">
        <f t="shared" si="38"/>
        <v>0.8</v>
      </c>
      <c r="AF138" s="177">
        <f t="shared" si="39"/>
        <v>0.30697839243943537</v>
      </c>
      <c r="AG138" s="809">
        <f t="shared" si="47"/>
        <v>1</v>
      </c>
      <c r="AH138" s="176">
        <f t="shared" si="40"/>
        <v>7</v>
      </c>
      <c r="AI138" s="225">
        <f t="shared" si="41"/>
        <v>1.3069783924394354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6">
        <v>50.624000000000002</v>
      </c>
      <c r="C139" s="390"/>
      <c r="D139" s="393">
        <f t="shared" si="24"/>
        <v>51.386023743971244</v>
      </c>
      <c r="E139" s="385">
        <f t="shared" si="45"/>
        <v>56.286630440025966</v>
      </c>
      <c r="F139" s="385">
        <f t="shared" si="25"/>
        <v>56.298681599981336</v>
      </c>
      <c r="G139" s="110">
        <f t="shared" si="46"/>
        <v>0.94073300696295026</v>
      </c>
      <c r="H139" s="414" t="b">
        <f>Wh_hp&gt;='2019'!Maxi_hp</f>
        <v>1</v>
      </c>
      <c r="I139" s="380">
        <f>IF(H139,Wh_hp,'2019'!Maxi_hp)</f>
        <v>56.298681599981336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1.4829396953693008E-2</v>
      </c>
      <c r="M139" s="843"/>
      <c r="N139" s="843"/>
      <c r="O139" s="48">
        <f>IF(t&lt;Tnet,'2019'!Resal+('2019'!Salim-'2019'!Resal)*(1-EXP(('2019'!Tnet-t)/('2019'!Tau_j))),Resal+(Salim-Resal)*(1-EXP((Tnet-t)/(Tau_j))))*Salcycl</f>
        <v>8.7065199279896033E-2</v>
      </c>
      <c r="P139" s="169">
        <f>(INDEX(Models!$BJ139:$BT139,,T139)*(1-R139)+INDEX(Models!$BJ139:$BT139,,T139+1)*R139-ERP_i)*Q139*Ramure*Pc/MaxiM</f>
        <v>2.3385084609158321E-4</v>
      </c>
      <c r="Q139" s="305">
        <f t="shared" si="27"/>
        <v>0.8</v>
      </c>
      <c r="R139" s="177">
        <f t="shared" si="28"/>
        <v>0.11072876796680589</v>
      </c>
      <c r="S139" s="809">
        <f t="shared" si="29"/>
        <v>0</v>
      </c>
      <c r="T139" s="176">
        <f t="shared" si="30"/>
        <v>6</v>
      </c>
      <c r="U139" s="251">
        <f t="shared" si="31"/>
        <v>0.11072876796680589</v>
      </c>
      <c r="V139" s="383">
        <f t="shared" si="32"/>
        <v>53.812290412735109</v>
      </c>
      <c r="W139" s="402"/>
      <c r="X139" s="157">
        <f t="shared" si="33"/>
        <v>43955</v>
      </c>
      <c r="Y139" s="385">
        <f t="shared" si="34"/>
        <v>50.478105042746563</v>
      </c>
      <c r="Z139" s="385">
        <f t="shared" si="35"/>
        <v>51.237932685628344</v>
      </c>
      <c r="AA139" s="386">
        <f t="shared" si="36"/>
        <v>56.124416163359015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8.7065199279896033E-2</v>
      </c>
      <c r="AD139" s="231">
        <f>(INDEX(Models!$BJ139:$BT139,,AH139)*(1-AF139)+INDEX(Models!$BJ139:$BT139,,AH139+1)*AF139-ERP_i)*AE139*Ramure*Pc/MaxiM</f>
        <v>3.381593137057728E-3</v>
      </c>
      <c r="AE139" s="305">
        <f t="shared" si="38"/>
        <v>0.8</v>
      </c>
      <c r="AF139" s="177">
        <f t="shared" si="39"/>
        <v>0.31066234211932708</v>
      </c>
      <c r="AG139" s="809">
        <f t="shared" si="47"/>
        <v>1</v>
      </c>
      <c r="AH139" s="176">
        <f t="shared" si="40"/>
        <v>7</v>
      </c>
      <c r="AI139" s="225">
        <f t="shared" si="41"/>
        <v>1.3106623421193271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6">
        <v>46.777000000000001</v>
      </c>
      <c r="C140" s="390"/>
      <c r="D140" s="393">
        <f t="shared" si="24"/>
        <v>47.482221302396319</v>
      </c>
      <c r="E140" s="385">
        <f t="shared" si="45"/>
        <v>52.018712986111986</v>
      </c>
      <c r="F140" s="385">
        <f t="shared" si="25"/>
        <v>52.029125268949983</v>
      </c>
      <c r="G140" s="110">
        <f t="shared" si="46"/>
        <v>0.86669877655704697</v>
      </c>
      <c r="H140" s="414" t="b">
        <f>Wh_hp&gt;='2019'!Maxi_hp</f>
        <v>0</v>
      </c>
      <c r="I140" s="380">
        <f>IF(H140,Wh_hp,'2019'!Maxi_hp)</f>
        <v>61.556815865324921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1.4852323312867566E-2</v>
      </c>
      <c r="M140" s="843"/>
      <c r="N140" s="843"/>
      <c r="O140" s="48">
        <f>IF(t&lt;Tnet,'2019'!Resal+('2019'!Salim-'2019'!Resal)*(1-EXP(('2019'!Tnet-t)/('2019'!Tau_j))),Resal+(Salim-Resal)*(1-EXP((Tnet-t)/(Tau_j))))*Salcycl</f>
        <v>8.7208841266926865E-2</v>
      </c>
      <c r="P140" s="169">
        <f>(INDEX(Models!$BJ140:$BT140,,T140)*(1-R140)+INDEX(Models!$BJ140:$BT140,,T140+1)*R140-ERP_i)*Q140*Ramure*Pc/MaxiM</f>
        <v>2.4718034598139826E-4</v>
      </c>
      <c r="Q140" s="305">
        <f t="shared" si="27"/>
        <v>0.8</v>
      </c>
      <c r="R140" s="177">
        <f t="shared" si="28"/>
        <v>0.11450917520041554</v>
      </c>
      <c r="S140" s="809">
        <f t="shared" si="29"/>
        <v>0</v>
      </c>
      <c r="T140" s="176">
        <f t="shared" si="30"/>
        <v>6</v>
      </c>
      <c r="U140" s="251">
        <f t="shared" si="31"/>
        <v>0.11450917520041554</v>
      </c>
      <c r="V140" s="383">
        <f t="shared" si="32"/>
        <v>53.968921700887655</v>
      </c>
      <c r="W140" s="402"/>
      <c r="X140" s="157">
        <f t="shared" si="33"/>
        <v>43956</v>
      </c>
      <c r="Y140" s="385">
        <f t="shared" si="34"/>
        <v>46.657283778937916</v>
      </c>
      <c r="Z140" s="385">
        <f t="shared" si="35"/>
        <v>47.360700210792402</v>
      </c>
      <c r="AA140" s="386">
        <f t="shared" si="36"/>
        <v>51.885581666377703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8.7208841266926865E-2</v>
      </c>
      <c r="AD140" s="231">
        <f>(INDEX(Models!$BJ140:$BT140,,AH140)*(1-AF140)+INDEX(Models!$BJ140:$BT140,,AH140+1)*AF140-ERP_i)*AE140*Ramure*Pc/MaxiM</f>
        <v>3.4076251960584517E-3</v>
      </c>
      <c r="AE140" s="305">
        <f t="shared" si="38"/>
        <v>0.8</v>
      </c>
      <c r="AF140" s="177">
        <f t="shared" si="39"/>
        <v>0.3144427493529367</v>
      </c>
      <c r="AG140" s="809">
        <f t="shared" si="47"/>
        <v>1</v>
      </c>
      <c r="AH140" s="176">
        <f t="shared" si="40"/>
        <v>7</v>
      </c>
      <c r="AI140" s="225">
        <f t="shared" si="41"/>
        <v>1.3144427493529367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6">
        <v>52.496000000000002</v>
      </c>
      <c r="C141" s="390"/>
      <c r="D141" s="393">
        <f t="shared" si="24"/>
        <v>53.28868242737019</v>
      </c>
      <c r="E141" s="385">
        <f t="shared" si="45"/>
        <v>58.389183684426868</v>
      </c>
      <c r="F141" s="385">
        <f t="shared" si="25"/>
        <v>58.403819725398094</v>
      </c>
      <c r="G141" s="110">
        <f t="shared" si="46"/>
        <v>0.96999071136793924</v>
      </c>
      <c r="H141" s="414" t="b">
        <f>Wh_hp&gt;='2019'!Maxi_hp</f>
        <v>1</v>
      </c>
      <c r="I141" s="380">
        <f>IF(H141,Wh_hp,'2019'!Maxi_hp)</f>
        <v>58.403819725398094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1.4875249138512237E-2</v>
      </c>
      <c r="M141" s="843"/>
      <c r="N141" s="843"/>
      <c r="O141" s="48">
        <f>IF(t&lt;Tnet,'2019'!Resal+('2019'!Salim-'2019'!Resal)*(1-EXP(('2019'!Tnet-t)/('2019'!Tau_j))),Resal+(Salim-Resal)*(1-EXP((Tnet-t)/(Tau_j))))*Salcycl</f>
        <v>8.7353529116336107E-2</v>
      </c>
      <c r="P141" s="169">
        <f>(INDEX(Models!$BJ141:$BT141,,T141)*(1-R141)+INDEX(Models!$BJ141:$BT141,,T141+1)*R141-ERP_i)*Q141*Ramure*Pc/MaxiM</f>
        <v>2.6182105373549037E-4</v>
      </c>
      <c r="Q141" s="305">
        <f t="shared" si="27"/>
        <v>0.8</v>
      </c>
      <c r="R141" s="177">
        <f t="shared" si="28"/>
        <v>0.11838656048659833</v>
      </c>
      <c r="S141" s="809">
        <f t="shared" si="29"/>
        <v>0</v>
      </c>
      <c r="T141" s="176">
        <f t="shared" si="30"/>
        <v>6</v>
      </c>
      <c r="U141" s="251">
        <f t="shared" si="31"/>
        <v>0.11838656048659833</v>
      </c>
      <c r="V141" s="383">
        <f t="shared" si="32"/>
        <v>54.119498481802474</v>
      </c>
      <c r="W141" s="402"/>
      <c r="X141" s="157">
        <f t="shared" si="33"/>
        <v>43957</v>
      </c>
      <c r="Y141" s="385">
        <f t="shared" si="34"/>
        <v>52.33607786707595</v>
      </c>
      <c r="Z141" s="385">
        <f t="shared" si="35"/>
        <v>53.126345492089456</v>
      </c>
      <c r="AA141" s="386">
        <f t="shared" si="36"/>
        <v>58.211308745488516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8.7353529116336107E-2</v>
      </c>
      <c r="AD141" s="231">
        <f>(INDEX(Models!$BJ141:$BT141,,AH141)*(1-AF141)+INDEX(Models!$BJ141:$BT141,,AH141+1)*AF141-ERP_i)*AE141*Ramure*Pc/MaxiM</f>
        <v>3.4437883656280532E-3</v>
      </c>
      <c r="AE141" s="305">
        <f t="shared" si="38"/>
        <v>0.8</v>
      </c>
      <c r="AF141" s="177">
        <f t="shared" si="39"/>
        <v>0.31832013463911957</v>
      </c>
      <c r="AG141" s="809">
        <f t="shared" si="47"/>
        <v>1</v>
      </c>
      <c r="AH141" s="176">
        <f t="shared" si="40"/>
        <v>7</v>
      </c>
      <c r="AI141" s="225">
        <f t="shared" si="41"/>
        <v>1.3183201346391196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6">
        <v>46.198999999999998</v>
      </c>
      <c r="C142" s="390"/>
      <c r="D142" s="393">
        <f t="shared" si="24"/>
        <v>46.897689965500064</v>
      </c>
      <c r="E142" s="385">
        <f t="shared" si="45"/>
        <v>51.394685564279591</v>
      </c>
      <c r="F142" s="385">
        <f t="shared" si="25"/>
        <v>51.405935736948507</v>
      </c>
      <c r="G142" s="110">
        <f t="shared" si="46"/>
        <v>0.85132732658945265</v>
      </c>
      <c r="H142" s="414" t="b">
        <f>Wh_hp&gt;='2019'!Maxi_hp</f>
        <v>1</v>
      </c>
      <c r="I142" s="380">
        <f>IF(H142,Wh_hp,'2019'!Maxi_hp)</f>
        <v>51.405935736948507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1.4898174430639344E-2</v>
      </c>
      <c r="M142" s="843"/>
      <c r="N142" s="843"/>
      <c r="O142" s="48">
        <f>IF(t&lt;Tnet,'2019'!Resal+('2019'!Salim-'2019'!Resal)*(1-EXP(('2019'!Tnet-t)/('2019'!Tau_j))),Resal+(Salim-Resal)*(1-EXP((Tnet-t)/(Tau_j))))*Salcycl</f>
        <v>8.7499233615411676E-2</v>
      </c>
      <c r="P142" s="169">
        <f>(INDEX(Models!$BJ142:$BT142,,T142)*(1-R142)+INDEX(Models!$BJ142:$BT142,,T142+1)*R142-ERP_i)*Q142*Ramure*Pc/MaxiM</f>
        <v>2.7784006469311085E-4</v>
      </c>
      <c r="Q142" s="305">
        <f t="shared" si="27"/>
        <v>0.8</v>
      </c>
      <c r="R142" s="177">
        <f t="shared" si="28"/>
        <v>0.12236130344435786</v>
      </c>
      <c r="S142" s="809">
        <f t="shared" si="29"/>
        <v>0</v>
      </c>
      <c r="T142" s="176">
        <f t="shared" si="30"/>
        <v>6</v>
      </c>
      <c r="U142" s="251">
        <f t="shared" si="31"/>
        <v>0.12236130344435786</v>
      </c>
      <c r="V142" s="383">
        <f t="shared" si="32"/>
        <v>54.263821521858603</v>
      </c>
      <c r="W142" s="402"/>
      <c r="X142" s="157">
        <f t="shared" si="33"/>
        <v>43958</v>
      </c>
      <c r="Y142" s="385">
        <f t="shared" si="34"/>
        <v>46.082022986657627</v>
      </c>
      <c r="Z142" s="385">
        <f t="shared" si="35"/>
        <v>46.778943851843472</v>
      </c>
      <c r="AA142" s="386">
        <f t="shared" si="36"/>
        <v>51.264552946279636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8.7499233615411676E-2</v>
      </c>
      <c r="AD142" s="231">
        <f>(INDEX(Models!$BJ142:$BT142,,AH142)*(1-AF142)+INDEX(Models!$BJ142:$BT142,,AH142+1)*AF142-ERP_i)*AE142*Ramure*Pc/MaxiM</f>
        <v>3.4916622937222522E-3</v>
      </c>
      <c r="AE142" s="305">
        <f t="shared" si="38"/>
        <v>0.8</v>
      </c>
      <c r="AF142" s="177">
        <f t="shared" si="39"/>
        <v>0.32229487759687903</v>
      </c>
      <c r="AG142" s="809">
        <f t="shared" si="47"/>
        <v>1</v>
      </c>
      <c r="AH142" s="176">
        <f t="shared" si="40"/>
        <v>7</v>
      </c>
      <c r="AI142" s="225">
        <f t="shared" si="41"/>
        <v>1.322294877596879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6">
        <v>48.058999999999997</v>
      </c>
      <c r="C143" s="390"/>
      <c r="D143" s="393">
        <f t="shared" ref="D143:D206" si="48">Wh/(1-Ppv)</f>
        <v>48.786954994616714</v>
      </c>
      <c r="E143" s="385">
        <f t="shared" si="45"/>
        <v>53.473707411704169</v>
      </c>
      <c r="F143" s="385">
        <f t="shared" ref="F143:F206" si="49">Wh_sa/(1-Pvg*MEDIAN((-Sdif+Wh/Env_an)/Csdif,0,1))</f>
        <v>53.486841224080671</v>
      </c>
      <c r="G143" s="110">
        <f t="shared" si="46"/>
        <v>0.88336606089129843</v>
      </c>
      <c r="H143" s="414" t="b">
        <f>Wh_hp&gt;='2019'!Maxi_hp</f>
        <v>1</v>
      </c>
      <c r="I143" s="380">
        <f>IF(H143,Wh_hp,'2019'!Maxi_hp)</f>
        <v>53.486841224080671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1.4921099189261544E-2</v>
      </c>
      <c r="M143" s="843"/>
      <c r="N143" s="843"/>
      <c r="O143" s="48">
        <f>IF(t&lt;Tnet,'2019'!Resal+('2019'!Salim-'2019'!Resal)*(1-EXP(('2019'!Tnet-t)/('2019'!Tau_j))),Resal+(Salim-Resal)*(1-EXP((Tnet-t)/(Tau_j))))*Salcycl</f>
        <v>8.7645922527930659E-2</v>
      </c>
      <c r="P143" s="169">
        <f>(INDEX(Models!$BJ143:$BT143,,T143)*(1-R143)+INDEX(Models!$BJ143:$BT143,,T143+1)*R143-ERP_i)*Q143*Ramure*Pc/MaxiM</f>
        <v>2.9462422868965527E-4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0.12643363450517234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0.12643363450517234</v>
      </c>
      <c r="V143" s="383">
        <f t="shared" ref="V143:V206" si="56">MaxiM*(1-Ppv)*(1-Pvg)*(1-Psa)</f>
        <v>54.401729018660298</v>
      </c>
      <c r="W143" s="402"/>
      <c r="X143" s="157">
        <f t="shared" ref="X143:X206" si="57">t</f>
        <v>43959</v>
      </c>
      <c r="Y143" s="385">
        <f t="shared" ref="Y143:Y206" si="58">Wh_pvt_s*(1-Ppv)</f>
        <v>47.928775332556107</v>
      </c>
      <c r="Z143" s="385">
        <f t="shared" ref="Z143:Z206" si="59">Wh_sa_s*(1-Psa_s)</f>
        <v>48.654757799715156</v>
      </c>
      <c r="AA143" s="386">
        <f t="shared" ref="AA143:AA206" si="60">Wh_hp*(1-Pvg_s*MEDIAN((-Sdif+Wh/Env_an)/Csdif,0,1))</f>
        <v>53.328810602268248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8.7645922527930659E-2</v>
      </c>
      <c r="AD143" s="231">
        <f>(INDEX(Models!$BJ143:$BT143,,AH143)*(1-AF143)+INDEX(Models!$BJ143:$BT143,,AH143+1)*AF143-ERP_i)*AE143*Ramure*Pc/MaxiM</f>
        <v>3.5450217138873201E-3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0.32636720865769364</v>
      </c>
      <c r="AG143" s="809">
        <f t="shared" si="47"/>
        <v>1</v>
      </c>
      <c r="AH143" s="176">
        <f t="shared" ref="AH143:AH206" si="64">MIN(MATCH(Hp_vg_s,Echel_vg),10)</f>
        <v>7</v>
      </c>
      <c r="AI143" s="225">
        <f t="shared" ref="AI143:AI206" si="65">IF(OR(t&lt;Ttai,Notai),Hdd_s+PousH*Croivg,Hdtai_s+PousH*(Croivg-Croi_tai))</f>
        <v>1.3263672086576936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6">
        <v>45.347000000000001</v>
      </c>
      <c r="C144" s="390"/>
      <c r="D144" s="393">
        <f t="shared" si="48"/>
        <v>46.03494733079161</v>
      </c>
      <c r="E144" s="385">
        <f t="shared" ref="E144:E169" si="69">Wh_pvt/(1-Psa)</f>
        <v>50.465492613202272</v>
      </c>
      <c r="F144" s="385">
        <f t="shared" si="49"/>
        <v>50.477459426670045</v>
      </c>
      <c r="G144" s="110">
        <f t="shared" ref="G144:G169" si="70">+Wh_hp/MaxiM</f>
        <v>0.83148866831652812</v>
      </c>
      <c r="H144" s="414" t="b">
        <f>Wh_hp&gt;='2019'!Maxi_hp</f>
        <v>1</v>
      </c>
      <c r="I144" s="380">
        <f>IF(H144,Wh_hp,'2019'!Maxi_hp)</f>
        <v>50.477459426670045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1.494402341439105E-2</v>
      </c>
      <c r="M144" s="843"/>
      <c r="N144" s="843"/>
      <c r="O144" s="48">
        <f>IF(t&lt;Tnet,'2019'!Resal+('2019'!Salim-'2019'!Resal)*(1-EXP(('2019'!Tnet-t)/('2019'!Tau_j))),Resal+(Salim-Resal)*(1-EXP((Tnet-t)/(Tau_j))))*Salcycl</f>
        <v>8.7793560569576032E-2</v>
      </c>
      <c r="P144" s="169">
        <f>(INDEX(Models!$BJ144:$BT144,,T144)*(1-R144)+INDEX(Models!$BJ144:$BT144,,T144+1)*R144-ERP_i)*Q144*Ramure*Pc/MaxiM</f>
        <v>3.1220079599549266E-4</v>
      </c>
      <c r="Q144" s="305">
        <f t="shared" si="51"/>
        <v>0.8</v>
      </c>
      <c r="R144" s="177">
        <f t="shared" si="52"/>
        <v>0.13060362676123421</v>
      </c>
      <c r="S144" s="809">
        <f t="shared" si="53"/>
        <v>0</v>
      </c>
      <c r="T144" s="176">
        <f t="shared" si="54"/>
        <v>6</v>
      </c>
      <c r="U144" s="251">
        <f t="shared" si="55"/>
        <v>0.13060362676123421</v>
      </c>
      <c r="V144" s="383">
        <f t="shared" si="56"/>
        <v>54.533025011012015</v>
      </c>
      <c r="W144" s="402"/>
      <c r="X144" s="157">
        <f t="shared" si="57"/>
        <v>43960</v>
      </c>
      <c r="Y144" s="385">
        <f t="shared" si="58"/>
        <v>45.233617490358192</v>
      </c>
      <c r="Z144" s="385">
        <f t="shared" si="59"/>
        <v>45.919844725115517</v>
      </c>
      <c r="AA144" s="386">
        <f t="shared" si="60"/>
        <v>50.339312177830692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8.7793560569576032E-2</v>
      </c>
      <c r="AD144" s="231">
        <f>(INDEX(Models!$BJ144:$BT144,,AH144)*(1-AF144)+INDEX(Models!$BJ144:$BT144,,AH144+1)*AF144-ERP_i)*AE144*Ramure*Pc/MaxiM</f>
        <v>3.6041074065698252E-3</v>
      </c>
      <c r="AE144" s="305">
        <f t="shared" si="62"/>
        <v>0.8</v>
      </c>
      <c r="AF144" s="177">
        <f t="shared" si="63"/>
        <v>0.33053720091375549</v>
      </c>
      <c r="AG144" s="809">
        <f t="shared" ref="AG144:AG207" si="71">INDEX(Echel_vg,AH144)</f>
        <v>1</v>
      </c>
      <c r="AH144" s="176">
        <f t="shared" si="64"/>
        <v>7</v>
      </c>
      <c r="AI144" s="225">
        <f t="shared" si="65"/>
        <v>1.3305372009137555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6">
        <v>11.42</v>
      </c>
      <c r="C145" s="390"/>
      <c r="D145" s="393">
        <f t="shared" si="48"/>
        <v>11.593519594544388</v>
      </c>
      <c r="E145" s="385">
        <f t="shared" si="69"/>
        <v>12.711385663094283</v>
      </c>
      <c r="F145" s="385">
        <f t="shared" si="49"/>
        <v>12.711385663094283</v>
      </c>
      <c r="G145" s="110">
        <f t="shared" si="70"/>
        <v>0.20886834679565383</v>
      </c>
      <c r="H145" s="414" t="b">
        <f>Wh_hp&gt;='2019'!Maxi_hp</f>
        <v>0</v>
      </c>
      <c r="I145" s="380">
        <f>IF(H145,Wh_hp,'2019'!Maxi_hp)</f>
        <v>38.775153312483432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1.4966947106040296E-2</v>
      </c>
      <c r="M145" s="843"/>
      <c r="N145" s="843"/>
      <c r="O145" s="48">
        <f>IF(t&lt;Tnet,'2019'!Resal+('2019'!Salim-'2019'!Resal)*(1-EXP(('2019'!Tnet-t)/('2019'!Tau_j))),Resal+(Salim-Resal)*(1-EXP((Tnet-t)/(Tau_j))))*Salcycl</f>
        <v>8.7942109395316506E-2</v>
      </c>
      <c r="P145" s="169">
        <f>(INDEX(Models!$BJ145:$BT145,,T145)*(1-R145)+INDEX(Models!$BJ145:$BT145,,T145+1)*R145-ERP_i)*Q145*Ramure*Pc/MaxiM</f>
        <v>3.3059718580850055E-4</v>
      </c>
      <c r="Q145" s="305">
        <f t="shared" si="51"/>
        <v>0.8</v>
      </c>
      <c r="R145" s="177">
        <f t="shared" si="52"/>
        <v>0.13487118803127132</v>
      </c>
      <c r="S145" s="809">
        <f t="shared" si="53"/>
        <v>0</v>
      </c>
      <c r="T145" s="176">
        <f t="shared" si="54"/>
        <v>6</v>
      </c>
      <c r="U145" s="251">
        <f t="shared" si="55"/>
        <v>0.13487118803127132</v>
      </c>
      <c r="V145" s="383">
        <f t="shared" si="56"/>
        <v>54.65751395689994</v>
      </c>
      <c r="W145" s="402"/>
      <c r="X145" s="157">
        <f t="shared" si="57"/>
        <v>43961</v>
      </c>
      <c r="Y145" s="385">
        <f t="shared" si="58"/>
        <v>11.42</v>
      </c>
      <c r="Z145" s="385">
        <f t="shared" si="59"/>
        <v>11.593519594544388</v>
      </c>
      <c r="AA145" s="386">
        <f t="shared" si="60"/>
        <v>12.711385663094283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8.7942109395316506E-2</v>
      </c>
      <c r="AD145" s="231">
        <f>(INDEX(Models!$BJ145:$BT145,,AH145)*(1-AF145)+INDEX(Models!$BJ145:$BT145,,AH145+1)*AF145-ERP_i)*AE145*Ramure*Pc/MaxiM</f>
        <v>3.669176470373175E-3</v>
      </c>
      <c r="AE145" s="305">
        <f t="shared" si="62"/>
        <v>0.8</v>
      </c>
      <c r="AF145" s="177">
        <f t="shared" si="63"/>
        <v>0.33480476218379263</v>
      </c>
      <c r="AG145" s="809">
        <f t="shared" si="71"/>
        <v>1</v>
      </c>
      <c r="AH145" s="176">
        <f t="shared" si="64"/>
        <v>7</v>
      </c>
      <c r="AI145" s="225">
        <f t="shared" si="65"/>
        <v>1.3348047621837926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6">
        <v>8.4960000000000004</v>
      </c>
      <c r="C146" s="390"/>
      <c r="D146" s="393">
        <f t="shared" si="48"/>
        <v>8.6252920081938562</v>
      </c>
      <c r="E146" s="385">
        <f t="shared" si="69"/>
        <v>9.4585062747475614</v>
      </c>
      <c r="F146" s="385">
        <f t="shared" si="49"/>
        <v>9.4585062747475614</v>
      </c>
      <c r="G146" s="110">
        <f t="shared" si="70"/>
        <v>0.15505299202576495</v>
      </c>
      <c r="H146" s="414" t="b">
        <f>Wh_hp&gt;='2019'!Maxi_hp</f>
        <v>0</v>
      </c>
      <c r="I146" s="380">
        <f>IF(H146,Wh_hp,'2019'!Maxi_hp)</f>
        <v>59.943333681324077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1.4989870264221827E-2</v>
      </c>
      <c r="M146" s="843"/>
      <c r="N146" s="843"/>
      <c r="O146" s="48">
        <f>IF(t&lt;Tnet,'2019'!Resal+('2019'!Salim-'2019'!Resal)*(1-EXP(('2019'!Tnet-t)/('2019'!Tau_j))),Resal+(Salim-Resal)*(1-EXP((Tnet-t)/(Tau_j))))*Salcycl</f>
        <v>8.8091527599683528E-2</v>
      </c>
      <c r="P146" s="169">
        <f>(INDEX(Models!$BJ146:$BT146,,T146)*(1-R146)+INDEX(Models!$BJ146:$BT146,,T146+1)*R146-ERP_i)*Q146*Ramure*Pc/MaxiM</f>
        <v>3.4984091321164392E-4</v>
      </c>
      <c r="Q146" s="305">
        <f t="shared" si="51"/>
        <v>0.8</v>
      </c>
      <c r="R146" s="177">
        <f t="shared" si="52"/>
        <v>0.13923605320866583</v>
      </c>
      <c r="S146" s="809">
        <f t="shared" si="53"/>
        <v>0</v>
      </c>
      <c r="T146" s="176">
        <f t="shared" si="54"/>
        <v>6</v>
      </c>
      <c r="U146" s="251">
        <f t="shared" si="55"/>
        <v>0.13923605320866583</v>
      </c>
      <c r="V146" s="383">
        <f t="shared" si="56"/>
        <v>54.775000731298881</v>
      </c>
      <c r="W146" s="402"/>
      <c r="X146" s="157">
        <f t="shared" si="57"/>
        <v>43962</v>
      </c>
      <c r="Y146" s="385">
        <f t="shared" si="58"/>
        <v>8.4960000000000004</v>
      </c>
      <c r="Z146" s="385">
        <f t="shared" si="59"/>
        <v>8.6252920081938562</v>
      </c>
      <c r="AA146" s="386">
        <f t="shared" si="60"/>
        <v>9.4585062747475614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8.8091527599683528E-2</v>
      </c>
      <c r="AD146" s="231">
        <f>(INDEX(Models!$BJ146:$BT146,,AH146)*(1-AF146)+INDEX(Models!$BJ146:$BT146,,AH146+1)*AF146-ERP_i)*AE146*Ramure*Pc/MaxiM</f>
        <v>3.740502770673951E-3</v>
      </c>
      <c r="AE146" s="305">
        <f t="shared" si="62"/>
        <v>0.8</v>
      </c>
      <c r="AF146" s="177">
        <f t="shared" si="63"/>
        <v>0.33916962736118705</v>
      </c>
      <c r="AG146" s="809">
        <f t="shared" si="71"/>
        <v>1</v>
      </c>
      <c r="AH146" s="176">
        <f t="shared" si="64"/>
        <v>7</v>
      </c>
      <c r="AI146" s="225">
        <f t="shared" si="65"/>
        <v>1.3391696273611871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6">
        <v>20.143999999999998</v>
      </c>
      <c r="C147" s="390"/>
      <c r="D147" s="393">
        <f t="shared" si="48"/>
        <v>20.451027033215944</v>
      </c>
      <c r="E147" s="385">
        <f t="shared" si="69"/>
        <v>22.430318012713009</v>
      </c>
      <c r="F147" s="385">
        <f t="shared" si="49"/>
        <v>22.431112544852326</v>
      </c>
      <c r="G147" s="110">
        <f t="shared" si="70"/>
        <v>0.36689722475029174</v>
      </c>
      <c r="H147" s="414" t="b">
        <f>Wh_hp&gt;='2019'!Maxi_hp</f>
        <v>0</v>
      </c>
      <c r="I147" s="380">
        <f>IF(H147,Wh_hp,'2019'!Maxi_hp)</f>
        <v>63.165410025979916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1.5012792888947968E-2</v>
      </c>
      <c r="M147" s="843"/>
      <c r="N147" s="843"/>
      <c r="O147" s="48">
        <f>IF(t&lt;Tnet,'2019'!Resal+('2019'!Salim-'2019'!Resal)*(1-EXP(('2019'!Tnet-t)/('2019'!Tau_j))),Resal+(Salim-Resal)*(1-EXP((Tnet-t)/(Tau_j))))*Salcycl</f>
        <v>8.8241770730813809E-2</v>
      </c>
      <c r="P147" s="169">
        <f>(INDEX(Models!$BJ147:$BT147,,T147)*(1-R147)+INDEX(Models!$BJ147:$BT147,,T147+1)*R147-ERP_i)*Q147*Ramure*Pc/MaxiM</f>
        <v>3.6995951158809513E-4</v>
      </c>
      <c r="Q147" s="305">
        <f t="shared" si="51"/>
        <v>0.8</v>
      </c>
      <c r="R147" s="177">
        <f t="shared" si="52"/>
        <v>0.14369777695920835</v>
      </c>
      <c r="S147" s="809">
        <f t="shared" si="53"/>
        <v>0</v>
      </c>
      <c r="T147" s="176">
        <f t="shared" si="54"/>
        <v>6</v>
      </c>
      <c r="U147" s="251">
        <f t="shared" si="55"/>
        <v>0.14369777695920835</v>
      </c>
      <c r="V147" s="383">
        <f t="shared" si="56"/>
        <v>54.885290644952782</v>
      </c>
      <c r="W147" s="402"/>
      <c r="X147" s="157">
        <f t="shared" si="57"/>
        <v>43963</v>
      </c>
      <c r="Y147" s="385">
        <f t="shared" si="58"/>
        <v>20.137348992485297</v>
      </c>
      <c r="Z147" s="385">
        <f t="shared" si="59"/>
        <v>20.444274653624937</v>
      </c>
      <c r="AA147" s="386">
        <f t="shared" si="60"/>
        <v>22.422912124425697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8.8241770730813809E-2</v>
      </c>
      <c r="AD147" s="231">
        <f>(INDEX(Models!$BJ147:$BT147,,AH147)*(1-AF147)+INDEX(Models!$BJ147:$BT147,,AH147+1)*AF147-ERP_i)*AE147*Ramure*Pc/MaxiM</f>
        <v>3.8183773641347687E-3</v>
      </c>
      <c r="AE147" s="305">
        <f t="shared" si="62"/>
        <v>0.8</v>
      </c>
      <c r="AF147" s="177">
        <f t="shared" si="63"/>
        <v>0.34363135111172971</v>
      </c>
      <c r="AG147" s="809">
        <f t="shared" si="71"/>
        <v>1</v>
      </c>
      <c r="AH147" s="176">
        <f t="shared" si="64"/>
        <v>7</v>
      </c>
      <c r="AI147" s="225">
        <f t="shared" si="65"/>
        <v>1.3436313511117297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6">
        <v>30.686</v>
      </c>
      <c r="C148" s="390"/>
      <c r="D148" s="393">
        <f t="shared" si="48"/>
        <v>31.15442911656854</v>
      </c>
      <c r="E148" s="385">
        <f t="shared" si="69"/>
        <v>34.175277268427244</v>
      </c>
      <c r="F148" s="385">
        <f t="shared" si="49"/>
        <v>34.18020367944834</v>
      </c>
      <c r="G148" s="110">
        <f t="shared" si="70"/>
        <v>0.55790933260490982</v>
      </c>
      <c r="H148" s="414" t="b">
        <f>Wh_hp&gt;='2019'!Maxi_hp</f>
        <v>0</v>
      </c>
      <c r="I148" s="380">
        <f>IF(H148,Wh_hp,'2019'!Maxi_hp)</f>
        <v>61.55883645461271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1.5035714980231152E-2</v>
      </c>
      <c r="M148" s="843"/>
      <c r="N148" s="843"/>
      <c r="O148" s="48">
        <f>IF(t&lt;Tnet,'2019'!Resal+('2019'!Salim-'2019'!Resal)*(1-EXP(('2019'!Tnet-t)/('2019'!Tau_j))),Resal+(Salim-Resal)*(1-EXP((Tnet-t)/(Tau_j))))*Salcycl</f>
        <v>8.8392791319048231E-2</v>
      </c>
      <c r="P148" s="169">
        <f>(INDEX(Models!$BJ148:$BT148,,T148)*(1-R148)+INDEX(Models!$BJ148:$BT148,,T148+1)*R148-ERP_i)*Q148*Ramure*Pc/MaxiM</f>
        <v>3.909804511524029E-4</v>
      </c>
      <c r="Q148" s="305">
        <f t="shared" si="51"/>
        <v>0.8</v>
      </c>
      <c r="R148" s="177">
        <f t="shared" si="52"/>
        <v>0.1482557268379312</v>
      </c>
      <c r="S148" s="809">
        <f t="shared" si="53"/>
        <v>0</v>
      </c>
      <c r="T148" s="176">
        <f t="shared" si="54"/>
        <v>6</v>
      </c>
      <c r="U148" s="251">
        <f t="shared" si="55"/>
        <v>0.1482557268379312</v>
      </c>
      <c r="V148" s="383">
        <f t="shared" si="56"/>
        <v>54.988189439835395</v>
      </c>
      <c r="W148" s="402"/>
      <c r="X148" s="157">
        <f t="shared" si="57"/>
        <v>43964</v>
      </c>
      <c r="Y148" s="385">
        <f t="shared" si="58"/>
        <v>30.646264907854643</v>
      </c>
      <c r="Z148" s="385">
        <f t="shared" si="59"/>
        <v>31.114087458754462</v>
      </c>
      <c r="AA148" s="386">
        <f t="shared" si="60"/>
        <v>34.131023934941155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8.8392791319048231E-2</v>
      </c>
      <c r="AD148" s="231">
        <f>(INDEX(Models!$BJ148:$BT148,,AH148)*(1-AF148)+INDEX(Models!$BJ148:$BT148,,AH148+1)*AF148-ERP_i)*AE148*Ramure*Pc/MaxiM</f>
        <v>3.90310889867708E-3</v>
      </c>
      <c r="AE148" s="305">
        <f t="shared" si="62"/>
        <v>0.8</v>
      </c>
      <c r="AF148" s="177">
        <f t="shared" si="63"/>
        <v>0.34818930099045242</v>
      </c>
      <c r="AG148" s="809">
        <f t="shared" si="71"/>
        <v>1</v>
      </c>
      <c r="AH148" s="176">
        <f t="shared" si="64"/>
        <v>7</v>
      </c>
      <c r="AI148" s="225">
        <f t="shared" si="65"/>
        <v>1.3481893009904524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6">
        <v>19.63</v>
      </c>
      <c r="C149" s="390"/>
      <c r="D149" s="393">
        <f t="shared" si="48"/>
        <v>19.930120439864147</v>
      </c>
      <c r="E149" s="385">
        <f t="shared" si="69"/>
        <v>21.86625818914494</v>
      </c>
      <c r="F149" s="385">
        <f t="shared" si="49"/>
        <v>21.86698533652455</v>
      </c>
      <c r="G149" s="110">
        <f t="shared" si="70"/>
        <v>0.35623509209150572</v>
      </c>
      <c r="H149" s="414" t="b">
        <f>Wh_hp&gt;='2019'!Maxi_hp</f>
        <v>0</v>
      </c>
      <c r="I149" s="380">
        <f>IF(H149,Wh_hp,'2019'!Maxi_hp)</f>
        <v>62.517859934391758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1.5058636538083814E-2</v>
      </c>
      <c r="M149" s="843"/>
      <c r="N149" s="843"/>
      <c r="O149" s="48">
        <f>IF(t&lt;Tnet,'2019'!Resal+('2019'!Salim-'2019'!Resal)*(1-EXP(('2019'!Tnet-t)/('2019'!Tau_j))),Resal+(Salim-Resal)*(1-EXP((Tnet-t)/(Tau_j))))*Salcycl</f>
        <v>8.8544538920790283E-2</v>
      </c>
      <c r="P149" s="169">
        <f>(INDEX(Models!$BJ149:$BT149,,T149)*(1-R149)+INDEX(Models!$BJ149:$BT149,,T149+1)*R149-ERP_i)*Q149*Ramure*Pc/MaxiM</f>
        <v>4.1293379362764796E-4</v>
      </c>
      <c r="Q149" s="305">
        <f t="shared" si="51"/>
        <v>0.8</v>
      </c>
      <c r="R149" s="177">
        <f t="shared" si="52"/>
        <v>0.15290907689597874</v>
      </c>
      <c r="S149" s="809">
        <f t="shared" si="53"/>
        <v>0</v>
      </c>
      <c r="T149" s="176">
        <f t="shared" si="54"/>
        <v>6</v>
      </c>
      <c r="U149" s="251">
        <f t="shared" si="55"/>
        <v>0.15290907689597874</v>
      </c>
      <c r="V149" s="383">
        <f t="shared" si="56"/>
        <v>55.083137674674006</v>
      </c>
      <c r="W149" s="402"/>
      <c r="X149" s="157">
        <f t="shared" si="57"/>
        <v>43965</v>
      </c>
      <c r="Y149" s="385">
        <f t="shared" si="58"/>
        <v>19.624337247570296</v>
      </c>
      <c r="Z149" s="385">
        <f t="shared" si="59"/>
        <v>19.924371110371276</v>
      </c>
      <c r="AA149" s="386">
        <f t="shared" si="60"/>
        <v>21.8599503334807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8.8544538920790283E-2</v>
      </c>
      <c r="AD149" s="231">
        <f>(INDEX(Models!$BJ149:$BT149,,AH149)*(1-AF149)+INDEX(Models!$BJ149:$BT149,,AH149+1)*AF149-ERP_i)*AE149*Ramure*Pc/MaxiM</f>
        <v>3.9950504898204967E-3</v>
      </c>
      <c r="AE149" s="305">
        <f t="shared" si="62"/>
        <v>0.8</v>
      </c>
      <c r="AF149" s="177">
        <f t="shared" si="63"/>
        <v>0.35284265104849988</v>
      </c>
      <c r="AG149" s="809">
        <f t="shared" si="71"/>
        <v>1</v>
      </c>
      <c r="AH149" s="176">
        <f t="shared" si="64"/>
        <v>7</v>
      </c>
      <c r="AI149" s="225">
        <f t="shared" si="65"/>
        <v>1.3528426510484999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6">
        <v>15.669</v>
      </c>
      <c r="C150" s="390"/>
      <c r="D150" s="393">
        <f t="shared" si="48"/>
        <v>15.908931465657473</v>
      </c>
      <c r="E150" s="385">
        <f t="shared" si="69"/>
        <v>17.457344890201188</v>
      </c>
      <c r="F150" s="385">
        <f t="shared" si="49"/>
        <v>17.457344890201188</v>
      </c>
      <c r="G150" s="110">
        <f t="shared" si="70"/>
        <v>0.28388939085929848</v>
      </c>
      <c r="H150" s="414" t="b">
        <f>Wh_hp&gt;='2019'!Maxi_hp</f>
        <v>0</v>
      </c>
      <c r="I150" s="380">
        <f>IF(H150,Wh_hp,'2019'!Maxi_hp)</f>
        <v>52.342496301263523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1.5081557562518277E-2</v>
      </c>
      <c r="M150" s="843"/>
      <c r="N150" s="843"/>
      <c r="O150" s="48">
        <f>IF(t&lt;Tnet,'2019'!Resal+('2019'!Salim-'2019'!Resal)*(1-EXP(('2019'!Tnet-t)/('2019'!Tau_j))),Resal+(Salim-Resal)*(1-EXP((Tnet-t)/(Tau_j))))*Salcycl</f>
        <v>8.8696960178225065E-2</v>
      </c>
      <c r="P150" s="169">
        <f>(INDEX(Models!$BJ150:$BT150,,T150)*(1-R150)+INDEX(Models!$BJ150:$BT150,,T150+1)*R150-ERP_i)*Q150*Ramure*Pc/MaxiM</f>
        <v>4.3574437917784262E-4</v>
      </c>
      <c r="Q150" s="305">
        <f t="shared" si="51"/>
        <v>0.8</v>
      </c>
      <c r="R150" s="177">
        <f t="shared" si="52"/>
        <v>0.15765680184933009</v>
      </c>
      <c r="S150" s="809">
        <f t="shared" si="53"/>
        <v>0</v>
      </c>
      <c r="T150" s="176">
        <f t="shared" si="54"/>
        <v>6</v>
      </c>
      <c r="U150" s="251">
        <f t="shared" si="55"/>
        <v>0.15765680184933009</v>
      </c>
      <c r="V150" s="383">
        <f t="shared" si="56"/>
        <v>55.169981075781607</v>
      </c>
      <c r="W150" s="402"/>
      <c r="X150" s="157">
        <f t="shared" si="57"/>
        <v>43966</v>
      </c>
      <c r="Y150" s="385">
        <f t="shared" si="58"/>
        <v>15.669</v>
      </c>
      <c r="Z150" s="385">
        <f t="shared" si="59"/>
        <v>15.908931465657473</v>
      </c>
      <c r="AA150" s="386">
        <f t="shared" si="60"/>
        <v>17.457344890201188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8.8696960178225065E-2</v>
      </c>
      <c r="AD150" s="231">
        <f>(INDEX(Models!$BJ150:$BT150,,AH150)*(1-AF150)+INDEX(Models!$BJ150:$BT150,,AH150+1)*AF150-ERP_i)*AE150*Ramure*Pc/MaxiM</f>
        <v>4.0937060315009025E-3</v>
      </c>
      <c r="AE150" s="305">
        <f t="shared" si="62"/>
        <v>0.8</v>
      </c>
      <c r="AF150" s="177">
        <f t="shared" si="63"/>
        <v>0.35759037600185128</v>
      </c>
      <c r="AG150" s="809">
        <f t="shared" si="71"/>
        <v>1</v>
      </c>
      <c r="AH150" s="176">
        <f t="shared" si="64"/>
        <v>7</v>
      </c>
      <c r="AI150" s="225">
        <f t="shared" si="65"/>
        <v>1.3575903760018513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6">
        <v>33.743000000000002</v>
      </c>
      <c r="C151" s="390"/>
      <c r="D151" s="393">
        <f t="shared" si="48"/>
        <v>34.260486770529297</v>
      </c>
      <c r="E151" s="385">
        <f t="shared" si="69"/>
        <v>37.601368302688286</v>
      </c>
      <c r="F151" s="385">
        <f t="shared" si="49"/>
        <v>37.6090386496588</v>
      </c>
      <c r="G151" s="110">
        <f t="shared" si="70"/>
        <v>0.61058663632362276</v>
      </c>
      <c r="H151" s="414" t="b">
        <f>Wh_hp&gt;='2019'!Maxi_hp</f>
        <v>1</v>
      </c>
      <c r="I151" s="380">
        <f>IF(H151,Wh_hp,'2019'!Maxi_hp)</f>
        <v>37.6090386496588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1.5104478053546977E-2</v>
      </c>
      <c r="M151" s="843"/>
      <c r="N151" s="843"/>
      <c r="O151" s="48">
        <f>IF(t&lt;Tnet,'2019'!Resal+('2019'!Salim-'2019'!Resal)*(1-EXP(('2019'!Tnet-t)/('2019'!Tau_j))),Resal+(Salim-Resal)*(1-EXP((Tnet-t)/(Tau_j))))*Salcycl</f>
        <v>8.884999889538947E-2</v>
      </c>
      <c r="P151" s="169">
        <f>(INDEX(Models!$BJ151:$BT151,,T151)*(1-R151)+INDEX(Models!$BJ151:$BT151,,T151+1)*R151-ERP_i)*Q151*Ramure*Pc/MaxiM</f>
        <v>4.5943056103188716E-4</v>
      </c>
      <c r="Q151" s="305">
        <f t="shared" si="51"/>
        <v>0.8</v>
      </c>
      <c r="R151" s="177">
        <f t="shared" si="52"/>
        <v>0.16249767188129866</v>
      </c>
      <c r="S151" s="809">
        <f t="shared" si="53"/>
        <v>0</v>
      </c>
      <c r="T151" s="176">
        <f t="shared" si="54"/>
        <v>6</v>
      </c>
      <c r="U151" s="251">
        <f t="shared" si="55"/>
        <v>0.16249767188129866</v>
      </c>
      <c r="V151" s="383">
        <f t="shared" si="56"/>
        <v>55.249125249825603</v>
      </c>
      <c r="W151" s="402"/>
      <c r="X151" s="157">
        <f t="shared" si="57"/>
        <v>43967</v>
      </c>
      <c r="Y151" s="385">
        <f t="shared" si="58"/>
        <v>33.687028507105424</v>
      </c>
      <c r="Z151" s="385">
        <f t="shared" si="59"/>
        <v>34.20365689198141</v>
      </c>
      <c r="AA151" s="386">
        <f t="shared" si="60"/>
        <v>37.538996708023312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8.884999889538947E-2</v>
      </c>
      <c r="AD151" s="231">
        <f>(INDEX(Models!$BJ151:$BT151,,AH151)*(1-AF151)+INDEX(Models!$BJ151:$BT151,,AH151+1)*AF151-ERP_i)*AE151*Ramure*Pc/MaxiM</f>
        <v>4.1953002471813048E-3</v>
      </c>
      <c r="AE151" s="305">
        <f t="shared" si="62"/>
        <v>0.8</v>
      </c>
      <c r="AF151" s="177">
        <f t="shared" si="63"/>
        <v>0.36243124603381993</v>
      </c>
      <c r="AG151" s="809">
        <f t="shared" si="71"/>
        <v>1</v>
      </c>
      <c r="AH151" s="176">
        <f t="shared" si="64"/>
        <v>7</v>
      </c>
      <c r="AI151" s="225">
        <f t="shared" si="65"/>
        <v>1.3624312460338199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6">
        <v>56.738999999999997</v>
      </c>
      <c r="C152" s="390"/>
      <c r="D152" s="393">
        <f t="shared" si="48"/>
        <v>57.610496916477551</v>
      </c>
      <c r="E152" s="385">
        <f t="shared" si="69"/>
        <v>63.238994876163737</v>
      </c>
      <c r="F152" s="385">
        <f t="shared" si="49"/>
        <v>63.269617508467668</v>
      </c>
      <c r="G152" s="110">
        <f t="shared" si="70"/>
        <v>1.025632660955625</v>
      </c>
      <c r="H152" s="414" t="b">
        <f>Wh_hp&gt;='2019'!Maxi_hp</f>
        <v>1</v>
      </c>
      <c r="I152" s="380">
        <f>IF(H152,Wh_hp,'2019'!Maxi_hp)</f>
        <v>63.269617508467668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1.5127398011182458E-2</v>
      </c>
      <c r="M152" s="843"/>
      <c r="N152" s="843"/>
      <c r="O152" s="48">
        <f>IF(t&lt;Tnet,'2019'!Resal+('2019'!Salim-'2019'!Resal)*(1-EXP(('2019'!Tnet-t)/('2019'!Tau_j))),Resal+(Salim-Resal)*(1-EXP((Tnet-t)/(Tau_j))))*Salcycl</f>
        <v>8.9003596130964049E-2</v>
      </c>
      <c r="P152" s="169">
        <f>(INDEX(Models!$BJ152:$BT152,,T152)*(1-R152)+INDEX(Models!$BJ152:$BT152,,T152+1)*R152-ERP_i)*Q152*Ramure*Pc/MaxiM</f>
        <v>4.8400217212996087E-4</v>
      </c>
      <c r="Q152" s="305">
        <f t="shared" si="51"/>
        <v>0.8</v>
      </c>
      <c r="R152" s="177">
        <f t="shared" si="52"/>
        <v>0.16743024815004717</v>
      </c>
      <c r="S152" s="809">
        <f t="shared" si="53"/>
        <v>0</v>
      </c>
      <c r="T152" s="176">
        <f t="shared" si="54"/>
        <v>6</v>
      </c>
      <c r="U152" s="251">
        <f t="shared" si="55"/>
        <v>0.16743024815004717</v>
      </c>
      <c r="V152" s="383">
        <f t="shared" si="56"/>
        <v>55.320976173997707</v>
      </c>
      <c r="W152" s="402"/>
      <c r="X152" s="157">
        <f t="shared" si="57"/>
        <v>43968</v>
      </c>
      <c r="Y152" s="385">
        <f t="shared" si="58"/>
        <v>56.522384273997304</v>
      </c>
      <c r="Z152" s="385">
        <f t="shared" si="59"/>
        <v>57.390554026843638</v>
      </c>
      <c r="AA152" s="386">
        <f t="shared" si="60"/>
        <v>62.997563747896045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8.9003596130964049E-2</v>
      </c>
      <c r="AD152" s="231">
        <f>(INDEX(Models!$BJ152:$BT152,,AH152)*(1-AF152)+INDEX(Models!$BJ152:$BT152,,AH152+1)*AF152-ERP_i)*AE152*Ramure*Pc/MaxiM</f>
        <v>4.2999115734374911E-3</v>
      </c>
      <c r="AE152" s="305">
        <f t="shared" si="62"/>
        <v>0.8</v>
      </c>
      <c r="AF152" s="177">
        <f t="shared" si="63"/>
        <v>0.36736382230256837</v>
      </c>
      <c r="AG152" s="809">
        <f t="shared" si="71"/>
        <v>1</v>
      </c>
      <c r="AH152" s="176">
        <f t="shared" si="64"/>
        <v>7</v>
      </c>
      <c r="AI152" s="225">
        <f t="shared" si="65"/>
        <v>1.3673638223025684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6">
        <v>56.015000000000001</v>
      </c>
      <c r="C153" s="390"/>
      <c r="D153" s="393">
        <f t="shared" si="48"/>
        <v>56.876700060598203</v>
      </c>
      <c r="E153" s="385">
        <f t="shared" si="69"/>
        <v>62.444069028625421</v>
      </c>
      <c r="F153" s="385">
        <f t="shared" si="49"/>
        <v>62.475898424686022</v>
      </c>
      <c r="G153" s="110">
        <f t="shared" si="70"/>
        <v>1.0113577586371449</v>
      </c>
      <c r="H153" s="414" t="b">
        <f>Wh_hp&gt;='2019'!Maxi_hp</f>
        <v>1</v>
      </c>
      <c r="I153" s="380">
        <f>IF(H153,Wh_hp,'2019'!Maxi_hp)</f>
        <v>62.475898424686022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1.5150317435437044E-2</v>
      </c>
      <c r="M153" s="843"/>
      <c r="N153" s="843"/>
      <c r="O153" s="48">
        <f>IF(t&lt;Tnet,'2019'!Resal+('2019'!Salim-'2019'!Resal)*(1-EXP(('2019'!Tnet-t)/('2019'!Tau_j))),Resal+(Salim-Resal)*(1-EXP((Tnet-t)/(Tau_j))))*Salcycl</f>
        <v>8.9157690308026533E-2</v>
      </c>
      <c r="P153" s="169">
        <f>(INDEX(Models!$BJ153:$BT153,,T153)*(1-R153)+INDEX(Models!$BJ153:$BT153,,T153+1)*R153-ERP_i)*Q153*Ramure*Pc/MaxiM</f>
        <v>5.0946680020888199E-4</v>
      </c>
      <c r="Q153" s="305">
        <f t="shared" si="51"/>
        <v>0.8</v>
      </c>
      <c r="R153" s="177">
        <f t="shared" si="52"/>
        <v>0.17245287907080295</v>
      </c>
      <c r="S153" s="809">
        <f t="shared" si="53"/>
        <v>0</v>
      </c>
      <c r="T153" s="176">
        <f t="shared" si="54"/>
        <v>6</v>
      </c>
      <c r="U153" s="251">
        <f t="shared" si="55"/>
        <v>0.17245287907080295</v>
      </c>
      <c r="V153" s="383">
        <f t="shared" si="56"/>
        <v>55.385939863142987</v>
      </c>
      <c r="W153" s="402"/>
      <c r="X153" s="157">
        <f t="shared" si="57"/>
        <v>43969</v>
      </c>
      <c r="Y153" s="385">
        <f t="shared" si="58"/>
        <v>55.796533784964893</v>
      </c>
      <c r="Z153" s="385">
        <f t="shared" si="59"/>
        <v>56.654873096643442</v>
      </c>
      <c r="AA153" s="386">
        <f t="shared" si="60"/>
        <v>62.200528558892763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8.9157690308026533E-2</v>
      </c>
      <c r="AD153" s="231">
        <f>(INDEX(Models!$BJ153:$BT153,,AH153)*(1-AF153)+INDEX(Models!$BJ153:$BT153,,AH153+1)*AF153-ERP_i)*AE153*Ramure*Pc/MaxiM</f>
        <v>4.4076175411100899E-3</v>
      </c>
      <c r="AE153" s="305">
        <f t="shared" si="62"/>
        <v>0.8</v>
      </c>
      <c r="AF153" s="177">
        <f t="shared" si="63"/>
        <v>0.37238645322332431</v>
      </c>
      <c r="AG153" s="809">
        <f t="shared" si="71"/>
        <v>1</v>
      </c>
      <c r="AH153" s="176">
        <f t="shared" si="64"/>
        <v>7</v>
      </c>
      <c r="AI153" s="225">
        <f t="shared" si="65"/>
        <v>1.3723864532233243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6">
        <v>54.415999999999997</v>
      </c>
      <c r="C154" s="390"/>
      <c r="D154" s="393">
        <f t="shared" si="48"/>
        <v>55.254387885452289</v>
      </c>
      <c r="E154" s="385">
        <f t="shared" si="69"/>
        <v>60.673250413126581</v>
      </c>
      <c r="F154" s="385">
        <f t="shared" si="49"/>
        <v>60.704915984797609</v>
      </c>
      <c r="G154" s="110">
        <f t="shared" si="70"/>
        <v>0.98143735068641613</v>
      </c>
      <c r="H154" s="414" t="b">
        <f>Wh_hp&gt;='2019'!Maxi_hp</f>
        <v>1</v>
      </c>
      <c r="I154" s="380">
        <f>IF(H154,Wh_hp,'2019'!Maxi_hp)</f>
        <v>60.704915984797609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1.5173236326323059E-2</v>
      </c>
      <c r="M154" s="843"/>
      <c r="N154" s="843"/>
      <c r="O154" s="48">
        <f>IF(t&lt;Tnet,'2019'!Resal+('2019'!Salim-'2019'!Resal)*(1-EXP(('2019'!Tnet-t)/('2019'!Tau_j))),Resal+(Salim-Resal)*(1-EXP((Tnet-t)/(Tau_j))))*Salcycl</f>
        <v>8.9312217340871733E-2</v>
      </c>
      <c r="P154" s="169">
        <f>(INDEX(Models!$BJ154:$BT154,,T154)*(1-R154)+INDEX(Models!$BJ154:$BT154,,T154+1)*R154-ERP_i)*Q154*Ramure*Pc/MaxiM</f>
        <v>5.3582958716150055E-4</v>
      </c>
      <c r="Q154" s="305">
        <f t="shared" si="51"/>
        <v>0.8</v>
      </c>
      <c r="R154" s="177">
        <f t="shared" si="52"/>
        <v>0.17756369743999575</v>
      </c>
      <c r="S154" s="809">
        <f t="shared" si="53"/>
        <v>0</v>
      </c>
      <c r="T154" s="176">
        <f t="shared" si="54"/>
        <v>6</v>
      </c>
      <c r="U154" s="251">
        <f t="shared" si="55"/>
        <v>0.17756369743999575</v>
      </c>
      <c r="V154" s="383">
        <f t="shared" si="56"/>
        <v>55.444422339789639</v>
      </c>
      <c r="W154" s="402"/>
      <c r="X154" s="157">
        <f t="shared" si="57"/>
        <v>43970</v>
      </c>
      <c r="Y154" s="385">
        <f t="shared" si="58"/>
        <v>54.204911896506111</v>
      </c>
      <c r="Z154" s="385">
        <f t="shared" si="59"/>
        <v>55.040047545323361</v>
      </c>
      <c r="AA154" s="386">
        <f t="shared" si="60"/>
        <v>60.437889464829823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8.9312217340871733E-2</v>
      </c>
      <c r="AD154" s="231">
        <f>(INDEX(Models!$BJ154:$BT154,,AH154)*(1-AF154)+INDEX(Models!$BJ154:$BT154,,AH154+1)*AF154-ERP_i)*AE154*Ramure*Pc/MaxiM</f>
        <v>4.5184944532818509E-3</v>
      </c>
      <c r="AE154" s="305">
        <f t="shared" si="62"/>
        <v>0.8</v>
      </c>
      <c r="AF154" s="177">
        <f t="shared" si="63"/>
        <v>0.37749727159251689</v>
      </c>
      <c r="AG154" s="809">
        <f t="shared" si="71"/>
        <v>1</v>
      </c>
      <c r="AH154" s="176">
        <f t="shared" si="64"/>
        <v>7</v>
      </c>
      <c r="AI154" s="225">
        <f t="shared" si="65"/>
        <v>1.3774972715925169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6">
        <v>54.07</v>
      </c>
      <c r="C155" s="390"/>
      <c r="D155" s="393">
        <f t="shared" si="48"/>
        <v>54.904334763886062</v>
      </c>
      <c r="E155" s="385">
        <f t="shared" si="69"/>
        <v>60.299123089173136</v>
      </c>
      <c r="F155" s="385">
        <f t="shared" si="49"/>
        <v>60.33184776738014</v>
      </c>
      <c r="G155" s="110">
        <f t="shared" si="70"/>
        <v>0.97426972808963763</v>
      </c>
      <c r="H155" s="414" t="b">
        <f>Wh_hp&gt;='2019'!Maxi_hp</f>
        <v>1</v>
      </c>
      <c r="I155" s="380">
        <f>IF(H155,Wh_hp,'2019'!Maxi_hp)</f>
        <v>60.33184776738014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1.5196154683853047E-2</v>
      </c>
      <c r="M155" s="843"/>
      <c r="N155" s="843"/>
      <c r="O155" s="48">
        <f>IF(t&lt;Tnet,'2019'!Resal+('2019'!Salim-'2019'!Resal)*(1-EXP(('2019'!Tnet-t)/('2019'!Tau_j))),Resal+(Salim-Resal)*(1-EXP((Tnet-t)/(Tau_j))))*Salcycl</f>
        <v>8.9467110778858522E-2</v>
      </c>
      <c r="P155" s="169">
        <f>(INDEX(Models!$BJ155:$BT155,,T155)*(1-R155)+INDEX(Models!$BJ155:$BT155,,T155+1)*R155-ERP_i)*Q155*Ramure*Pc/MaxiM</f>
        <v>5.6309302875822212E-4</v>
      </c>
      <c r="Q155" s="305">
        <f t="shared" si="51"/>
        <v>0.8</v>
      </c>
      <c r="R155" s="177">
        <f t="shared" si="52"/>
        <v>0.1827606184651272</v>
      </c>
      <c r="S155" s="809">
        <f t="shared" si="53"/>
        <v>0</v>
      </c>
      <c r="T155" s="176">
        <f t="shared" si="54"/>
        <v>6</v>
      </c>
      <c r="U155" s="251">
        <f t="shared" si="55"/>
        <v>0.1827606184651272</v>
      </c>
      <c r="V155" s="383">
        <f t="shared" si="56"/>
        <v>55.496829651123775</v>
      </c>
      <c r="W155" s="402"/>
      <c r="X155" s="157">
        <f t="shared" si="57"/>
        <v>43971</v>
      </c>
      <c r="Y155" s="385">
        <f t="shared" si="58"/>
        <v>53.857927565714462</v>
      </c>
      <c r="Z155" s="385">
        <f t="shared" si="59"/>
        <v>54.688989915981395</v>
      </c>
      <c r="AA155" s="386">
        <f t="shared" si="60"/>
        <v>60.062618894262762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8.9467110778858522E-2</v>
      </c>
      <c r="AD155" s="231">
        <f>(INDEX(Models!$BJ155:$BT155,,AH155)*(1-AF155)+INDEX(Models!$BJ155:$BT155,,AH155+1)*AF155-ERP_i)*AE155*Ramure*Pc/MaxiM</f>
        <v>4.6326170309101264E-3</v>
      </c>
      <c r="AE155" s="305">
        <f t="shared" si="62"/>
        <v>0.8</v>
      </c>
      <c r="AF155" s="177">
        <f t="shared" si="63"/>
        <v>0.38269419261764837</v>
      </c>
      <c r="AG155" s="809">
        <f t="shared" si="71"/>
        <v>1</v>
      </c>
      <c r="AH155" s="176">
        <f t="shared" si="64"/>
        <v>7</v>
      </c>
      <c r="AI155" s="225">
        <f t="shared" si="65"/>
        <v>1.3826941926176484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6">
        <v>52.076999999999998</v>
      </c>
      <c r="C156" s="390"/>
      <c r="D156" s="393">
        <f t="shared" si="48"/>
        <v>52.881812133211866</v>
      </c>
      <c r="E156" s="385">
        <f t="shared" si="69"/>
        <v>58.087771973628293</v>
      </c>
      <c r="F156" s="385">
        <f t="shared" si="49"/>
        <v>58.119059767465821</v>
      </c>
      <c r="G156" s="110">
        <f t="shared" si="70"/>
        <v>0.93753867055312978</v>
      </c>
      <c r="H156" s="414" t="b">
        <f>Wh_hp&gt;='2019'!Maxi_hp</f>
        <v>0</v>
      </c>
      <c r="I156" s="380">
        <f>IF(H156,Wh_hp,'2019'!Maxi_hp)</f>
        <v>60.101475651272665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1.5219072508039444E-2</v>
      </c>
      <c r="M156" s="843"/>
      <c r="N156" s="843"/>
      <c r="O156" s="48">
        <f>IF(t&lt;Tnet,'2019'!Resal+('2019'!Salim-'2019'!Resal)*(1-EXP(('2019'!Tnet-t)/('2019'!Tau_j))),Resal+(Salim-Resal)*(1-EXP((Tnet-t)/(Tau_j))))*Salcycl</f>
        <v>8.9622301967097695E-2</v>
      </c>
      <c r="P156" s="169">
        <f>(INDEX(Models!$BJ156:$BT156,,T156)*(1-R156)+INDEX(Models!$BJ156:$BT156,,T156+1)*R156-ERP_i)*Q156*Ramure*Pc/MaxiM</f>
        <v>5.9103635492282591E-4</v>
      </c>
      <c r="Q156" s="305">
        <f t="shared" si="51"/>
        <v>0.8</v>
      </c>
      <c r="R156" s="177">
        <f t="shared" si="52"/>
        <v>0.1880413387597939</v>
      </c>
      <c r="S156" s="809">
        <f t="shared" si="53"/>
        <v>0</v>
      </c>
      <c r="T156" s="176">
        <f t="shared" si="54"/>
        <v>6</v>
      </c>
      <c r="U156" s="251">
        <f t="shared" si="55"/>
        <v>0.1880413387597939</v>
      </c>
      <c r="V156" s="383">
        <f t="shared" si="56"/>
        <v>55.543580089781507</v>
      </c>
      <c r="W156" s="402"/>
      <c r="X156" s="157">
        <f t="shared" si="57"/>
        <v>43972</v>
      </c>
      <c r="Y156" s="385">
        <f t="shared" si="58"/>
        <v>51.87968222965501</v>
      </c>
      <c r="Z156" s="385">
        <f t="shared" si="59"/>
        <v>52.68144496033463</v>
      </c>
      <c r="AA156" s="386">
        <f t="shared" si="60"/>
        <v>57.867679617114966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8.9622301967097695E-2</v>
      </c>
      <c r="AD156" s="231">
        <f>(INDEX(Models!$BJ156:$BT156,,AH156)*(1-AF156)+INDEX(Models!$BJ156:$BT156,,AH156+1)*AF156-ERP_i)*AE156*Ramure*Pc/MaxiM</f>
        <v>4.7486508168281078E-3</v>
      </c>
      <c r="AE156" s="305">
        <f t="shared" si="62"/>
        <v>0.8</v>
      </c>
      <c r="AF156" s="177">
        <f t="shared" si="63"/>
        <v>0.38797491291231512</v>
      </c>
      <c r="AG156" s="809">
        <f t="shared" si="71"/>
        <v>1</v>
      </c>
      <c r="AH156" s="176">
        <f t="shared" si="64"/>
        <v>7</v>
      </c>
      <c r="AI156" s="225">
        <f t="shared" si="65"/>
        <v>1.3879749129123151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6">
        <v>51.411000000000001</v>
      </c>
      <c r="C157" s="390"/>
      <c r="D157" s="393">
        <f t="shared" si="48"/>
        <v>52.206734514909847</v>
      </c>
      <c r="E157" s="385">
        <f t="shared" si="69"/>
        <v>57.356027944885248</v>
      </c>
      <c r="F157" s="385">
        <f t="shared" si="49"/>
        <v>57.387775282609631</v>
      </c>
      <c r="G157" s="110">
        <f t="shared" si="70"/>
        <v>0.92484497913527763</v>
      </c>
      <c r="H157" s="414" t="b">
        <f>Wh_hp&gt;='2019'!Maxi_hp</f>
        <v>1</v>
      </c>
      <c r="I157" s="380">
        <f>IF(H157,Wh_hp,'2019'!Maxi_hp)</f>
        <v>57.387775282609631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1.5241989798894462E-2</v>
      </c>
      <c r="M157" s="843"/>
      <c r="N157" s="843"/>
      <c r="O157" s="48">
        <f>IF(t&lt;Tnet,'2019'!Resal+('2019'!Salim-'2019'!Resal)*(1-EXP(('2019'!Tnet-t)/('2019'!Tau_j))),Resal+(Salim-Resal)*(1-EXP((Tnet-t)/(Tau_j))))*Salcycl</f>
        <v>8.9777720223643734E-2</v>
      </c>
      <c r="P157" s="169">
        <f>(INDEX(Models!$BJ157:$BT157,,T157)*(1-R157)+INDEX(Models!$BJ157:$BT157,,T157+1)*R157-ERP_i)*Q157*Ramure*Pc/MaxiM</f>
        <v>6.1968491154952966E-4</v>
      </c>
      <c r="Q157" s="305">
        <f t="shared" si="51"/>
        <v>0.8</v>
      </c>
      <c r="R157" s="177">
        <f t="shared" si="52"/>
        <v>0.1934033363579207</v>
      </c>
      <c r="S157" s="809">
        <f t="shared" si="53"/>
        <v>0</v>
      </c>
      <c r="T157" s="176">
        <f t="shared" si="54"/>
        <v>6</v>
      </c>
      <c r="U157" s="251">
        <f t="shared" si="55"/>
        <v>0.1934033363579207</v>
      </c>
      <c r="V157" s="383">
        <f t="shared" si="56"/>
        <v>55.585078136226613</v>
      </c>
      <c r="W157" s="402"/>
      <c r="X157" s="157">
        <f t="shared" si="57"/>
        <v>43973</v>
      </c>
      <c r="Y157" s="385">
        <f t="shared" si="58"/>
        <v>51.21606050235296</v>
      </c>
      <c r="Z157" s="385">
        <f t="shared" si="59"/>
        <v>52.008777762461364</v>
      </c>
      <c r="AA157" s="386">
        <f t="shared" si="60"/>
        <v>57.138546174940963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8.9777720223643734E-2</v>
      </c>
      <c r="AD157" s="231">
        <f>(INDEX(Models!$BJ157:$BT157,,AH157)*(1-AF157)+INDEX(Models!$BJ157:$BT157,,AH157+1)*AF157-ERP_i)*AE157*Ramure*Pc/MaxiM</f>
        <v>4.8647706740654493E-3</v>
      </c>
      <c r="AE157" s="305">
        <f t="shared" si="62"/>
        <v>0.8</v>
      </c>
      <c r="AF157" s="177">
        <f t="shared" si="63"/>
        <v>0.39333691051044184</v>
      </c>
      <c r="AG157" s="809">
        <f t="shared" si="71"/>
        <v>1</v>
      </c>
      <c r="AH157" s="176">
        <f t="shared" si="64"/>
        <v>7</v>
      </c>
      <c r="AI157" s="225">
        <f t="shared" si="65"/>
        <v>1.3933369105104418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6">
        <v>17.137</v>
      </c>
      <c r="C158" s="390"/>
      <c r="D158" s="393">
        <f t="shared" si="48"/>
        <v>17.402649823388309</v>
      </c>
      <c r="E158" s="385">
        <f t="shared" si="69"/>
        <v>19.122389260212341</v>
      </c>
      <c r="F158" s="385">
        <f t="shared" si="49"/>
        <v>19.12253285237929</v>
      </c>
      <c r="G158" s="110">
        <f t="shared" si="70"/>
        <v>0.3079013577025389</v>
      </c>
      <c r="H158" s="414" t="b">
        <f>Wh_hp&gt;='2019'!Maxi_hp</f>
        <v>1</v>
      </c>
      <c r="I158" s="380">
        <f>IF(H158,Wh_hp,'2019'!Maxi_hp)</f>
        <v>19.12253285237929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1.5264906556430757E-2</v>
      </c>
      <c r="M158" s="843"/>
      <c r="N158" s="843"/>
      <c r="O158" s="48">
        <f>IF(t&lt;Tnet,'2019'!Resal+('2019'!Salim-'2019'!Resal)*(1-EXP(('2019'!Tnet-t)/('2019'!Tau_j))),Resal+(Salim-Resal)*(1-EXP((Tnet-t)/(Tau_j))))*Salcycl</f>
        <v>8.9933293032700035E-2</v>
      </c>
      <c r="P158" s="169">
        <f>(INDEX(Models!$BJ158:$BT158,,T158)*(1-R158)+INDEX(Models!$BJ158:$BT158,,T158+1)*R158-ERP_i)*Q158*Ramure*Pc/MaxiM</f>
        <v>6.4901046491819942E-4</v>
      </c>
      <c r="Q158" s="305">
        <f t="shared" si="51"/>
        <v>0.8</v>
      </c>
      <c r="R158" s="177">
        <f t="shared" si="52"/>
        <v>0.19884387179491611</v>
      </c>
      <c r="S158" s="809">
        <f t="shared" si="53"/>
        <v>0</v>
      </c>
      <c r="T158" s="176">
        <f t="shared" si="54"/>
        <v>6</v>
      </c>
      <c r="U158" s="251">
        <f t="shared" si="55"/>
        <v>0.19884387179491611</v>
      </c>
      <c r="V158" s="383">
        <f t="shared" si="56"/>
        <v>55.621731049160054</v>
      </c>
      <c r="W158" s="402"/>
      <c r="X158" s="157">
        <f t="shared" si="57"/>
        <v>43974</v>
      </c>
      <c r="Y158" s="385">
        <f t="shared" si="58"/>
        <v>17.136141094238134</v>
      </c>
      <c r="Z158" s="385">
        <f t="shared" si="59"/>
        <v>17.401777603267806</v>
      </c>
      <c r="AA158" s="386">
        <f t="shared" si="60"/>
        <v>19.121430846819319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8.9933293032700035E-2</v>
      </c>
      <c r="AD158" s="231">
        <f>(INDEX(Models!$BJ158:$BT158,,AH158)*(1-AF158)+INDEX(Models!$BJ158:$BT158,,AH158+1)*AF158-ERP_i)*AE158*Ramure*Pc/MaxiM</f>
        <v>4.9808645973671434E-3</v>
      </c>
      <c r="AE158" s="305">
        <f t="shared" si="62"/>
        <v>0.8</v>
      </c>
      <c r="AF158" s="177">
        <f t="shared" si="63"/>
        <v>0.39877744594743736</v>
      </c>
      <c r="AG158" s="809">
        <f t="shared" si="71"/>
        <v>1</v>
      </c>
      <c r="AH158" s="176">
        <f t="shared" si="64"/>
        <v>7</v>
      </c>
      <c r="AI158" s="225">
        <f t="shared" si="65"/>
        <v>1.3987774459474374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6">
        <v>52.515999999999998</v>
      </c>
      <c r="C159" s="390"/>
      <c r="D159" s="393">
        <f t="shared" si="48"/>
        <v>53.331319765229566</v>
      </c>
      <c r="E159" s="385">
        <f t="shared" si="69"/>
        <v>58.61157477494465</v>
      </c>
      <c r="F159" s="385">
        <f t="shared" si="49"/>
        <v>58.648188470902781</v>
      </c>
      <c r="G159" s="110">
        <f t="shared" si="70"/>
        <v>0.94356519060423505</v>
      </c>
      <c r="H159" s="414" t="b">
        <f>Wh_hp&gt;='2019'!Maxi_hp</f>
        <v>1</v>
      </c>
      <c r="I159" s="380">
        <f>IF(H159,Wh_hp,'2019'!Maxi_hp)</f>
        <v>58.648188470902781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1.5287822780660543E-2</v>
      </c>
      <c r="M159" s="843"/>
      <c r="N159" s="843"/>
      <c r="O159" s="48">
        <f>IF(t&lt;Tnet,'2019'!Resal+('2019'!Salim-'2019'!Resal)*(1-EXP(('2019'!Tnet-t)/('2019'!Tau_j))),Resal+(Salim-Resal)*(1-EXP((Tnet-t)/(Tau_j))))*Salcycl</f>
        <v>9.0088946253194635E-2</v>
      </c>
      <c r="P159" s="169">
        <f>(INDEX(Models!$BJ159:$BT159,,T159)*(1-R159)+INDEX(Models!$BJ159:$BT159,,T159+1)*R159-ERP_i)*Q159*Ramure*Pc/MaxiM</f>
        <v>6.7898411966773372E-4</v>
      </c>
      <c r="Q159" s="305">
        <f t="shared" si="51"/>
        <v>0.8</v>
      </c>
      <c r="R159" s="177">
        <f t="shared" si="52"/>
        <v>0.20435999029617663</v>
      </c>
      <c r="S159" s="809">
        <f t="shared" si="53"/>
        <v>0</v>
      </c>
      <c r="T159" s="176">
        <f t="shared" si="54"/>
        <v>6</v>
      </c>
      <c r="U159" s="251">
        <f t="shared" si="55"/>
        <v>0.20435999029617663</v>
      </c>
      <c r="V159" s="383">
        <f t="shared" si="56"/>
        <v>55.653945914813441</v>
      </c>
      <c r="W159" s="402"/>
      <c r="X159" s="157">
        <f t="shared" si="57"/>
        <v>43975</v>
      </c>
      <c r="Y159" s="385">
        <f t="shared" si="58"/>
        <v>52.302546276461243</v>
      </c>
      <c r="Z159" s="385">
        <f t="shared" si="59"/>
        <v>53.114552136599734</v>
      </c>
      <c r="AA159" s="386">
        <f t="shared" si="60"/>
        <v>58.373345304341747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9.0088946253194635E-2</v>
      </c>
      <c r="AD159" s="231">
        <f>(INDEX(Models!$BJ159:$BT159,,AH159)*(1-AF159)+INDEX(Models!$BJ159:$BT159,,AH159+1)*AF159-ERP_i)*AE159*Ramure*Pc/MaxiM</f>
        <v>5.0968398740063254E-3</v>
      </c>
      <c r="AE159" s="305">
        <f t="shared" si="62"/>
        <v>0.8</v>
      </c>
      <c r="AF159" s="177">
        <f t="shared" si="63"/>
        <v>0.4042935644486978</v>
      </c>
      <c r="AG159" s="809">
        <f t="shared" si="71"/>
        <v>1</v>
      </c>
      <c r="AH159" s="176">
        <f t="shared" si="64"/>
        <v>7</v>
      </c>
      <c r="AI159" s="225">
        <f t="shared" si="65"/>
        <v>1.4042935644486978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6">
        <v>55.040999999999997</v>
      </c>
      <c r="C160" s="390"/>
      <c r="D160" s="393">
        <f t="shared" si="48"/>
        <v>55.89682161717402</v>
      </c>
      <c r="E160" s="385">
        <f t="shared" si="69"/>
        <v>61.441593953659691</v>
      </c>
      <c r="F160" s="385">
        <f t="shared" si="49"/>
        <v>61.484504066070642</v>
      </c>
      <c r="G160" s="110">
        <f t="shared" si="70"/>
        <v>0.98847435112655946</v>
      </c>
      <c r="H160" s="414" t="b">
        <f>Wh_hp&gt;='2019'!Maxi_hp</f>
        <v>1</v>
      </c>
      <c r="I160" s="380">
        <f>IF(H160,Wh_hp,'2019'!Maxi_hp)</f>
        <v>61.484504066070642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1.5310738471596363E-2</v>
      </c>
      <c r="M160" s="843"/>
      <c r="N160" s="843"/>
      <c r="O160" s="48">
        <f>IF(t&lt;Tnet,'2019'!Resal+('2019'!Salim-'2019'!Resal)*(1-EXP(('2019'!Tnet-t)/('2019'!Tau_j))),Resal+(Salim-Resal)*(1-EXP((Tnet-t)/(Tau_j))))*Salcycl</f>
        <v>9.0244604341932141E-2</v>
      </c>
      <c r="P160" s="169">
        <f>(INDEX(Models!$BJ160:$BT160,,T160)*(1-R160)+INDEX(Models!$BJ160:$BT160,,T160+1)*R160-ERP_i)*Q160*Ramure*Pc/MaxiM</f>
        <v>7.0957281694604315E-4</v>
      </c>
      <c r="Q160" s="305">
        <f t="shared" si="51"/>
        <v>0.8</v>
      </c>
      <c r="R160" s="177">
        <f t="shared" si="52"/>
        <v>0.20994852510517542</v>
      </c>
      <c r="S160" s="809">
        <f t="shared" si="53"/>
        <v>0</v>
      </c>
      <c r="T160" s="176">
        <f t="shared" si="54"/>
        <v>6</v>
      </c>
      <c r="U160" s="251">
        <f t="shared" si="55"/>
        <v>0.20994852510517542</v>
      </c>
      <c r="V160" s="383">
        <f t="shared" si="56"/>
        <v>55.68212981353485</v>
      </c>
      <c r="W160" s="402"/>
      <c r="X160" s="157">
        <f t="shared" si="57"/>
        <v>43976</v>
      </c>
      <c r="Y160" s="385">
        <f t="shared" si="58"/>
        <v>54.797055720995871</v>
      </c>
      <c r="Z160" s="385">
        <f t="shared" si="59"/>
        <v>55.649084296848741</v>
      </c>
      <c r="AA160" s="386">
        <f t="shared" si="60"/>
        <v>61.169281943741815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9.0244604341932141E-2</v>
      </c>
      <c r="AD160" s="231">
        <f>(INDEX(Models!$BJ160:$BT160,,AH160)*(1-AF160)+INDEX(Models!$BJ160:$BT160,,AH160+1)*AF160-ERP_i)*AE160*Ramure*Pc/MaxiM</f>
        <v>5.2125952773663161E-3</v>
      </c>
      <c r="AE160" s="305">
        <f t="shared" si="62"/>
        <v>0.8</v>
      </c>
      <c r="AF160" s="177">
        <f t="shared" si="63"/>
        <v>0.40988209925769659</v>
      </c>
      <c r="AG160" s="809">
        <f t="shared" si="71"/>
        <v>1</v>
      </c>
      <c r="AH160" s="176">
        <f t="shared" si="64"/>
        <v>7</v>
      </c>
      <c r="AI160" s="225">
        <f t="shared" si="65"/>
        <v>1.4098820992576966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6">
        <v>54.792999999999999</v>
      </c>
      <c r="C161" s="390"/>
      <c r="D161" s="393">
        <f t="shared" si="48"/>
        <v>55.646260484025092</v>
      </c>
      <c r="E161" s="385">
        <f t="shared" si="69"/>
        <v>61.176640439428404</v>
      </c>
      <c r="F161" s="385">
        <f t="shared" si="49"/>
        <v>61.220926609696406</v>
      </c>
      <c r="G161" s="110">
        <f t="shared" si="70"/>
        <v>0.98358111903565737</v>
      </c>
      <c r="H161" s="414" t="b">
        <f>Wh_hp&gt;='2019'!Maxi_hp</f>
        <v>1</v>
      </c>
      <c r="I161" s="380">
        <f>IF(H161,Wh_hp,'2019'!Maxi_hp)</f>
        <v>61.220926609696406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1.5333653629250543E-2</v>
      </c>
      <c r="M161" s="843"/>
      <c r="N161" s="843"/>
      <c r="O161" s="48">
        <f>IF(t&lt;Tnet,'2019'!Resal+('2019'!Salim-'2019'!Resal)*(1-EXP(('2019'!Tnet-t)/('2019'!Tau_j))),Resal+(Salim-Resal)*(1-EXP((Tnet-t)/(Tau_j))))*Salcycl</f>
        <v>9.0400190590377322E-2</v>
      </c>
      <c r="P161" s="169">
        <f>(INDEX(Models!$BJ161:$BT161,,T161)*(1-R161)+INDEX(Models!$BJ161:$BT161,,T161+1)*R161-ERP_i)*Q161*Ramure*Pc/MaxiM</f>
        <v>7.4073924479636474E-4</v>
      </c>
      <c r="Q161" s="305">
        <f t="shared" si="51"/>
        <v>0.8</v>
      </c>
      <c r="R161" s="177">
        <f t="shared" si="52"/>
        <v>0.21560610197434643</v>
      </c>
      <c r="S161" s="809">
        <f t="shared" si="53"/>
        <v>0</v>
      </c>
      <c r="T161" s="176">
        <f t="shared" si="54"/>
        <v>6</v>
      </c>
      <c r="U161" s="251">
        <f t="shared" si="55"/>
        <v>0.21560610197434643</v>
      </c>
      <c r="V161" s="383">
        <f t="shared" si="56"/>
        <v>55.706689813279574</v>
      </c>
      <c r="W161" s="402"/>
      <c r="X161" s="157">
        <f t="shared" si="57"/>
        <v>43977</v>
      </c>
      <c r="Y161" s="385">
        <f t="shared" si="58"/>
        <v>54.547360807786312</v>
      </c>
      <c r="Z161" s="385">
        <f t="shared" si="59"/>
        <v>55.396796091219286</v>
      </c>
      <c r="AA161" s="386">
        <f t="shared" si="60"/>
        <v>60.90238313393521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9.0400190590377322E-2</v>
      </c>
      <c r="AD161" s="231">
        <f>(INDEX(Models!$BJ161:$BT161,,AH161)*(1-AF161)+INDEX(Models!$BJ161:$BT161,,AH161+1)*AF161-ERP_i)*AE161*Ramure*Pc/MaxiM</f>
        <v>5.3280211913168587E-3</v>
      </c>
      <c r="AE161" s="305">
        <f t="shared" si="62"/>
        <v>0.8</v>
      </c>
      <c r="AF161" s="177">
        <f t="shared" si="63"/>
        <v>0.41553967612686771</v>
      </c>
      <c r="AG161" s="809">
        <f t="shared" si="71"/>
        <v>1</v>
      </c>
      <c r="AH161" s="176">
        <f t="shared" si="64"/>
        <v>7</v>
      </c>
      <c r="AI161" s="225">
        <f t="shared" si="65"/>
        <v>1.4155396761268677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6">
        <v>53.658000000000001</v>
      </c>
      <c r="C162" s="390"/>
      <c r="D162" s="393">
        <f t="shared" si="48"/>
        <v>54.494853944063919</v>
      </c>
      <c r="E162" s="385">
        <f t="shared" si="69"/>
        <v>59.921041445020187</v>
      </c>
      <c r="F162" s="385">
        <f t="shared" si="49"/>
        <v>59.964902917287468</v>
      </c>
      <c r="G162" s="110">
        <f t="shared" si="70"/>
        <v>0.96281523225024079</v>
      </c>
      <c r="H162" s="414" t="b">
        <f>Wh_hp&gt;='2019'!Maxi_hp</f>
        <v>1</v>
      </c>
      <c r="I162" s="380">
        <f>IF(H162,Wh_hp,'2019'!Maxi_hp)</f>
        <v>59.964902917287468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1.5356568253635516E-2</v>
      </c>
      <c r="M162" s="843"/>
      <c r="N162" s="843"/>
      <c r="O162" s="48">
        <f>IF(t&lt;Tnet,'2019'!Resal+('2019'!Salim-'2019'!Resal)*(1-EXP(('2019'!Tnet-t)/('2019'!Tau_j))),Resal+(Salim-Resal)*(1-EXP((Tnet-t)/(Tau_j))))*Salcycl</f>
        <v>9.0555627373983455E-2</v>
      </c>
      <c r="P162" s="169">
        <f>(INDEX(Models!$BJ162:$BT162,,T162)*(1-R162)+INDEX(Models!$BJ162:$BT162,,T162+1)*R162-ERP_i)*Q162*Ramure*Pc/MaxiM</f>
        <v>7.7244177302517676E-4</v>
      </c>
      <c r="Q162" s="305">
        <f t="shared" si="51"/>
        <v>0.8</v>
      </c>
      <c r="R162" s="177">
        <f t="shared" si="52"/>
        <v>0.22132914483219729</v>
      </c>
      <c r="S162" s="809">
        <f t="shared" si="53"/>
        <v>0</v>
      </c>
      <c r="T162" s="176">
        <f t="shared" si="54"/>
        <v>6</v>
      </c>
      <c r="U162" s="251">
        <f t="shared" si="55"/>
        <v>0.22132914483219729</v>
      </c>
      <c r="V162" s="383">
        <f t="shared" si="56"/>
        <v>55.728032944578487</v>
      </c>
      <c r="W162" s="402"/>
      <c r="X162" s="157">
        <f t="shared" si="57"/>
        <v>43978</v>
      </c>
      <c r="Y162" s="385">
        <f t="shared" si="58"/>
        <v>53.420512174261169</v>
      </c>
      <c r="Z162" s="385">
        <f t="shared" si="59"/>
        <v>54.253662241482182</v>
      </c>
      <c r="AA162" s="386">
        <f t="shared" si="60"/>
        <v>59.655833687578912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9.0555627373983455E-2</v>
      </c>
      <c r="AD162" s="231">
        <f>(INDEX(Models!$BJ162:$BT162,,AH162)*(1-AF162)+INDEX(Models!$BJ162:$BT162,,AH162+1)*AF162-ERP_i)*AE162*Ramure*Pc/MaxiM</f>
        <v>5.4429997773160644E-3</v>
      </c>
      <c r="AE162" s="305">
        <f t="shared" si="62"/>
        <v>0.8</v>
      </c>
      <c r="AF162" s="177">
        <f t="shared" si="63"/>
        <v>0.42126271898471845</v>
      </c>
      <c r="AG162" s="809">
        <f t="shared" si="71"/>
        <v>1</v>
      </c>
      <c r="AH162" s="176">
        <f t="shared" si="64"/>
        <v>7</v>
      </c>
      <c r="AI162" s="225">
        <f t="shared" si="65"/>
        <v>1.4212627189847185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6">
        <v>53.854999999999997</v>
      </c>
      <c r="C163" s="390"/>
      <c r="D163" s="393">
        <f t="shared" si="48"/>
        <v>54.696199230389453</v>
      </c>
      <c r="E163" s="385">
        <f t="shared" si="69"/>
        <v>60.152701055637792</v>
      </c>
      <c r="F163" s="385">
        <f t="shared" si="49"/>
        <v>60.19879443494176</v>
      </c>
      <c r="G163" s="110">
        <f t="shared" si="70"/>
        <v>0.96605922947311806</v>
      </c>
      <c r="H163" s="414" t="b">
        <f>Wh_hp&gt;='2019'!Maxi_hp</f>
        <v>1</v>
      </c>
      <c r="I163" s="380">
        <f>IF(H163,Wh_hp,'2019'!Maxi_hp)</f>
        <v>60.19879443494176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1.5379482344763717E-2</v>
      </c>
      <c r="M163" s="843"/>
      <c r="N163" s="843"/>
      <c r="O163" s="48">
        <f>IF(t&lt;Tnet,'2019'!Resal+('2019'!Salim-'2019'!Resal)*(1-EXP(('2019'!Tnet-t)/('2019'!Tau_j))),Resal+(Salim-Resal)*(1-EXP((Tnet-t)/(Tau_j))))*Salcycl</f>
        <v>9.0710836412838544E-2</v>
      </c>
      <c r="P163" s="169">
        <f>(INDEX(Models!$BJ163:$BT163,,T163)*(1-R163)+INDEX(Models!$BJ163:$BT163,,T163+1)*R163-ERP_i)*Q163*Ramure*Pc/MaxiM</f>
        <v>8.0465808060337627E-4</v>
      </c>
      <c r="Q163" s="305">
        <f t="shared" si="51"/>
        <v>0.8</v>
      </c>
      <c r="R163" s="177">
        <f t="shared" si="52"/>
        <v>0.22711388262966367</v>
      </c>
      <c r="S163" s="809">
        <f t="shared" si="53"/>
        <v>0</v>
      </c>
      <c r="T163" s="176">
        <f t="shared" si="54"/>
        <v>6</v>
      </c>
      <c r="U163" s="251">
        <f t="shared" si="55"/>
        <v>0.22711388262966367</v>
      </c>
      <c r="V163" s="383">
        <f t="shared" si="56"/>
        <v>55.74492527164206</v>
      </c>
      <c r="W163" s="402"/>
      <c r="X163" s="157">
        <f t="shared" si="57"/>
        <v>43979</v>
      </c>
      <c r="Y163" s="385">
        <f t="shared" si="58"/>
        <v>53.61124265494108</v>
      </c>
      <c r="Z163" s="385">
        <f t="shared" si="59"/>
        <v>54.4486344674294</v>
      </c>
      <c r="AA163" s="386">
        <f t="shared" si="60"/>
        <v>59.880439191234387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9.0710836412838544E-2</v>
      </c>
      <c r="AD163" s="231">
        <f>(INDEX(Models!$BJ163:$BT163,,AH163)*(1-AF163)+INDEX(Models!$BJ163:$BT163,,AH163+1)*AF163-ERP_i)*AE163*Ramure*Pc/MaxiM</f>
        <v>5.5575686404390461E-3</v>
      </c>
      <c r="AE163" s="305">
        <f t="shared" si="62"/>
        <v>0.8</v>
      </c>
      <c r="AF163" s="177">
        <f t="shared" si="63"/>
        <v>0.42704745678218492</v>
      </c>
      <c r="AG163" s="809">
        <f t="shared" si="71"/>
        <v>1</v>
      </c>
      <c r="AH163" s="176">
        <f t="shared" si="64"/>
        <v>7</v>
      </c>
      <c r="AI163" s="225">
        <f t="shared" si="65"/>
        <v>1.4270474567821849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6">
        <v>50.401000000000003</v>
      </c>
      <c r="C164" s="390"/>
      <c r="D164" s="393">
        <f t="shared" si="48"/>
        <v>51.189440021242007</v>
      </c>
      <c r="E164" s="385">
        <f t="shared" si="69"/>
        <v>56.305698970487065</v>
      </c>
      <c r="F164" s="385">
        <f t="shared" si="49"/>
        <v>56.346398541738836</v>
      </c>
      <c r="G164" s="110">
        <f t="shared" si="70"/>
        <v>0.90385134529279665</v>
      </c>
      <c r="H164" s="414" t="b">
        <f>Wh_hp&gt;='2019'!Maxi_hp</f>
        <v>1</v>
      </c>
      <c r="I164" s="380">
        <f>IF(H164,Wh_hp,'2019'!Maxi_hp)</f>
        <v>56.346398541738836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1.5402395902647581E-2</v>
      </c>
      <c r="M164" s="843"/>
      <c r="N164" s="843"/>
      <c r="O164" s="48">
        <f>IF(t&lt;Tnet,'2019'!Resal+('2019'!Salim-'2019'!Resal)*(1-EXP(('2019'!Tnet-t)/('2019'!Tau_j))),Resal+(Salim-Resal)*(1-EXP((Tnet-t)/(Tau_j))))*Salcycl</f>
        <v>9.0865739042273047E-2</v>
      </c>
      <c r="P164" s="169">
        <f>(INDEX(Models!$BJ164:$BT164,,T164)*(1-R164)+INDEX(Models!$BJ164:$BT164,,T164+1)*R164-ERP_i)*Q164*Ramure*Pc/MaxiM</f>
        <v>8.3717634308826604E-4</v>
      </c>
      <c r="Q164" s="305">
        <f t="shared" si="51"/>
        <v>0.8</v>
      </c>
      <c r="R164" s="177">
        <f t="shared" si="52"/>
        <v>0.23295635735776873</v>
      </c>
      <c r="S164" s="809">
        <f t="shared" si="53"/>
        <v>0</v>
      </c>
      <c r="T164" s="176">
        <f t="shared" si="54"/>
        <v>6</v>
      </c>
      <c r="U164" s="251">
        <f t="shared" si="55"/>
        <v>0.23295635735776873</v>
      </c>
      <c r="V164" s="383">
        <f t="shared" si="56"/>
        <v>55.756078367130833</v>
      </c>
      <c r="W164" s="402"/>
      <c r="X164" s="157">
        <f t="shared" si="57"/>
        <v>43980</v>
      </c>
      <c r="Y164" s="385">
        <f t="shared" si="58"/>
        <v>50.19066086863721</v>
      </c>
      <c r="Z164" s="385">
        <f t="shared" si="59"/>
        <v>50.975810483157126</v>
      </c>
      <c r="AA164" s="386">
        <f t="shared" si="60"/>
        <v>56.070717684158865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9.0865739042273047E-2</v>
      </c>
      <c r="AD164" s="231">
        <f>(INDEX(Models!$BJ164:$BT164,,AH164)*(1-AF164)+INDEX(Models!$BJ164:$BT164,,AH164+1)*AF164-ERP_i)*AE164*Ramure*Pc/MaxiM</f>
        <v>5.6706615109172161E-3</v>
      </c>
      <c r="AE164" s="305">
        <f t="shared" si="62"/>
        <v>0.8</v>
      </c>
      <c r="AF164" s="177">
        <f t="shared" si="63"/>
        <v>0.43288993151029009</v>
      </c>
      <c r="AG164" s="809">
        <f t="shared" si="71"/>
        <v>1</v>
      </c>
      <c r="AH164" s="176">
        <f t="shared" si="64"/>
        <v>7</v>
      </c>
      <c r="AI164" s="225">
        <f t="shared" si="65"/>
        <v>1.4328899315102901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6">
        <v>54.703000000000003</v>
      </c>
      <c r="C165" s="390"/>
      <c r="D165" s="393">
        <f t="shared" si="48"/>
        <v>55.560030636579462</v>
      </c>
      <c r="E165" s="385">
        <f t="shared" si="69"/>
        <v>61.123508013671639</v>
      </c>
      <c r="F165" s="385">
        <f t="shared" si="49"/>
        <v>61.175292810418384</v>
      </c>
      <c r="G165" s="110">
        <f t="shared" si="70"/>
        <v>0.98098903807464344</v>
      </c>
      <c r="H165" s="414" t="b">
        <f>Wh_hp&gt;='2019'!Maxi_hp</f>
        <v>0</v>
      </c>
      <c r="I165" s="380">
        <f>IF(H165,Wh_hp,'2019'!Maxi_hp)</f>
        <v>62.468341792037805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1.542530892729943E-2</v>
      </c>
      <c r="M165" s="843"/>
      <c r="N165" s="843"/>
      <c r="O165" s="48">
        <f>IF(t&lt;Tnet,'2019'!Resal+('2019'!Salim-'2019'!Resal)*(1-EXP(('2019'!Tnet-t)/('2019'!Tau_j))),Resal+(Salim-Resal)*(1-EXP((Tnet-t)/(Tau_j))))*Salcycl</f>
        <v>9.1020256491950322E-2</v>
      </c>
      <c r="P165" s="169">
        <f>(INDEX(Models!$BJ165:$BT165,,T165)*(1-R165)+INDEX(Models!$BJ165:$BT165,,T165+1)*R165-ERP_i)*Q165*Ramure*Pc/MaxiM</f>
        <v>8.7010038307120286E-4</v>
      </c>
      <c r="Q165" s="305">
        <f t="shared" si="51"/>
        <v>0.8</v>
      </c>
      <c r="R165" s="177">
        <f t="shared" si="52"/>
        <v>0.23885243321732072</v>
      </c>
      <c r="S165" s="809">
        <f t="shared" si="53"/>
        <v>0</v>
      </c>
      <c r="T165" s="176">
        <f t="shared" si="54"/>
        <v>6</v>
      </c>
      <c r="U165" s="251">
        <f t="shared" si="55"/>
        <v>0.23885243321732072</v>
      </c>
      <c r="V165" s="383">
        <f t="shared" si="56"/>
        <v>55.761793141472772</v>
      </c>
      <c r="W165" s="402"/>
      <c r="X165" s="157">
        <f t="shared" si="57"/>
        <v>43981</v>
      </c>
      <c r="Y165" s="385">
        <f t="shared" si="58"/>
        <v>54.44131291560312</v>
      </c>
      <c r="Z165" s="385">
        <f t="shared" si="59"/>
        <v>55.294243706680042</v>
      </c>
      <c r="AA165" s="386">
        <f t="shared" si="60"/>
        <v>60.831106635315656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9.1020256491950322E-2</v>
      </c>
      <c r="AD165" s="231">
        <f>(INDEX(Models!$BJ165:$BT165,,AH165)*(1-AF165)+INDEX(Models!$BJ165:$BT165,,AH165+1)*AF165-ERP_i)*AE165*Ramure*Pc/MaxiM</f>
        <v>5.7830973880098283E-3</v>
      </c>
      <c r="AE165" s="305">
        <f t="shared" si="62"/>
        <v>0.8</v>
      </c>
      <c r="AF165" s="177">
        <f t="shared" si="63"/>
        <v>0.43878600736984197</v>
      </c>
      <c r="AG165" s="809">
        <f t="shared" si="71"/>
        <v>1</v>
      </c>
      <c r="AH165" s="176">
        <f t="shared" si="64"/>
        <v>7</v>
      </c>
      <c r="AI165" s="225">
        <f t="shared" si="65"/>
        <v>1.438786007369842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6">
        <v>53.984999999999999</v>
      </c>
      <c r="C166" s="390"/>
      <c r="D166" s="393">
        <f t="shared" si="48"/>
        <v>54.832057769264281</v>
      </c>
      <c r="E166" s="385">
        <f t="shared" si="69"/>
        <v>60.33286512800111</v>
      </c>
      <c r="F166" s="385">
        <f t="shared" si="49"/>
        <v>60.384931519422729</v>
      </c>
      <c r="G166" s="110">
        <f t="shared" si="70"/>
        <v>0.9680859813282765</v>
      </c>
      <c r="H166" s="414" t="b">
        <f>Wh_hp&gt;='2019'!Maxi_hp</f>
        <v>0</v>
      </c>
      <c r="I166" s="380">
        <f>IF(H166,Wh_hp,'2019'!Maxi_hp)</f>
        <v>62.676293728135057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1.54482214187317E-2</v>
      </c>
      <c r="M166" s="843"/>
      <c r="N166" s="843"/>
      <c r="O166" s="48">
        <f>IF(t&lt;Tnet,'2019'!Resal+('2019'!Salim-'2019'!Resal)*(1-EXP(('2019'!Tnet-t)/('2019'!Tau_j))),Resal+(Salim-Resal)*(1-EXP((Tnet-t)/(Tau_j))))*Salcycl</f>
        <v>9.1174310171851028E-2</v>
      </c>
      <c r="P166" s="169">
        <f>(INDEX(Models!$BJ166:$BT166,,T166)*(1-R166)+INDEX(Models!$BJ166:$BT166,,T166+1)*R166-ERP_i)*Q166*Ramure*Pc/MaxiM</f>
        <v>9.033762584210915E-4</v>
      </c>
      <c r="Q166" s="305">
        <f t="shared" si="51"/>
        <v>0.8</v>
      </c>
      <c r="R166" s="177">
        <f t="shared" si="52"/>
        <v>0.24479780690981953</v>
      </c>
      <c r="S166" s="809">
        <f t="shared" si="53"/>
        <v>0</v>
      </c>
      <c r="T166" s="176">
        <f t="shared" si="54"/>
        <v>6</v>
      </c>
      <c r="U166" s="251">
        <f t="shared" si="55"/>
        <v>0.24479780690981953</v>
      </c>
      <c r="V166" s="383">
        <f t="shared" si="56"/>
        <v>55.762379026867251</v>
      </c>
      <c r="W166" s="402"/>
      <c r="X166" s="157">
        <f t="shared" si="57"/>
        <v>43982</v>
      </c>
      <c r="Y166" s="385">
        <f t="shared" si="58"/>
        <v>53.727588248327237</v>
      </c>
      <c r="Z166" s="385">
        <f t="shared" si="59"/>
        <v>54.570607069288208</v>
      </c>
      <c r="AA166" s="386">
        <f t="shared" si="60"/>
        <v>60.045185430010278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9.1174310171851028E-2</v>
      </c>
      <c r="AD166" s="231">
        <f>(INDEX(Models!$BJ166:$BT166,,AH166)*(1-AF166)+INDEX(Models!$BJ166:$BT166,,AH166+1)*AF166-ERP_i)*AE166*Ramure*Pc/MaxiM</f>
        <v>5.8947536536819185E-3</v>
      </c>
      <c r="AE166" s="305">
        <f t="shared" si="62"/>
        <v>0.8</v>
      </c>
      <c r="AF166" s="177">
        <f t="shared" si="63"/>
        <v>0.44473138106234078</v>
      </c>
      <c r="AG166" s="809">
        <f t="shared" si="71"/>
        <v>1</v>
      </c>
      <c r="AH166" s="176">
        <f t="shared" si="64"/>
        <v>7</v>
      </c>
      <c r="AI166" s="225">
        <f t="shared" si="65"/>
        <v>1.4447313810623408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6">
        <v>27.616</v>
      </c>
      <c r="C167" s="390"/>
      <c r="D167" s="393">
        <f t="shared" si="48"/>
        <v>28.04996474580123</v>
      </c>
      <c r="E167" s="385">
        <f t="shared" si="69"/>
        <v>30.8691796929578</v>
      </c>
      <c r="F167" s="385">
        <f t="shared" si="49"/>
        <v>30.877250503855798</v>
      </c>
      <c r="G167" s="110">
        <f t="shared" si="70"/>
        <v>0.49494721540826525</v>
      </c>
      <c r="H167" s="414" t="b">
        <f>Wh_hp&gt;='2019'!Maxi_hp</f>
        <v>0</v>
      </c>
      <c r="I167" s="380">
        <f>IF(H167,Wh_hp,'2019'!Maxi_hp)</f>
        <v>61.321691281882586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1.5471133376956936E-2</v>
      </c>
      <c r="M167" s="843"/>
      <c r="N167" s="843"/>
      <c r="O167" s="48">
        <f>IF(t&lt;Tnet,'2019'!Resal+('2019'!Salim-'2019'!Resal)*(1-EXP(('2019'!Tnet-t)/('2019'!Tau_j))),Resal+(Salim-Resal)*(1-EXP((Tnet-t)/(Tau_j))))*Salcycl</f>
        <v>9.1327821963462147E-2</v>
      </c>
      <c r="P167" s="169">
        <f>(INDEX(Models!$BJ167:$BT167,,T167)*(1-R167)+INDEX(Models!$BJ167:$BT167,,T167+1)*R167-ERP_i)*Q167*Ramure*Pc/MaxiM</f>
        <v>9.3694609611679196E-4</v>
      </c>
      <c r="Q167" s="305">
        <f t="shared" si="51"/>
        <v>0.8</v>
      </c>
      <c r="R167" s="177">
        <f t="shared" si="52"/>
        <v>0.25078801900711462</v>
      </c>
      <c r="S167" s="809">
        <f t="shared" si="53"/>
        <v>0</v>
      </c>
      <c r="T167" s="176">
        <f t="shared" si="54"/>
        <v>6</v>
      </c>
      <c r="U167" s="251">
        <f t="shared" si="55"/>
        <v>0.25078801900711462</v>
      </c>
      <c r="V167" s="383">
        <f t="shared" si="56"/>
        <v>55.758145379578195</v>
      </c>
      <c r="W167" s="402"/>
      <c r="X167" s="157">
        <f t="shared" si="57"/>
        <v>43983</v>
      </c>
      <c r="Y167" s="385">
        <f t="shared" si="58"/>
        <v>27.576940881061848</v>
      </c>
      <c r="Z167" s="385">
        <f t="shared" si="59"/>
        <v>28.010291842078129</v>
      </c>
      <c r="AA167" s="386">
        <f t="shared" si="60"/>
        <v>30.825519388744649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9.1327821963462147E-2</v>
      </c>
      <c r="AD167" s="231">
        <f>(INDEX(Models!$BJ167:$BT167,,AH167)*(1-AF167)+INDEX(Models!$BJ167:$BT167,,AH167+1)*AF167-ERP_i)*AE167*Ramure*Pc/MaxiM</f>
        <v>6.0055014252888422E-3</v>
      </c>
      <c r="AE167" s="305">
        <f t="shared" si="62"/>
        <v>0.8</v>
      </c>
      <c r="AF167" s="177">
        <f t="shared" si="63"/>
        <v>0.45072159315963578</v>
      </c>
      <c r="AG167" s="809">
        <f t="shared" si="71"/>
        <v>1</v>
      </c>
      <c r="AH167" s="176">
        <f t="shared" si="64"/>
        <v>7</v>
      </c>
      <c r="AI167" s="225">
        <f t="shared" si="65"/>
        <v>1.4507215931596358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6">
        <v>48.686999999999998</v>
      </c>
      <c r="C168" s="390"/>
      <c r="D168" s="393">
        <f t="shared" si="48"/>
        <v>49.453230570055446</v>
      </c>
      <c r="E168" s="385">
        <f t="shared" si="69"/>
        <v>54.432780195329272</v>
      </c>
      <c r="F168" s="385">
        <f t="shared" si="49"/>
        <v>54.476092438116581</v>
      </c>
      <c r="G168" s="110">
        <f t="shared" si="70"/>
        <v>0.87316524713383192</v>
      </c>
      <c r="H168" s="414" t="b">
        <f>Wh_hp&gt;='2019'!Maxi_hp</f>
        <v>1</v>
      </c>
      <c r="I168" s="380">
        <f>IF(H168,Wh_hp,'2019'!Maxi_hp)</f>
        <v>54.476092438116581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1.549404480198735E-2</v>
      </c>
      <c r="M168" s="843"/>
      <c r="N168" s="843"/>
      <c r="O168" s="48">
        <f>IF(t&lt;Tnet,'2019'!Resal+('2019'!Salim-'2019'!Resal)*(1-EXP(('2019'!Tnet-t)/('2019'!Tau_j))),Resal+(Salim-Resal)*(1-EXP((Tnet-t)/(Tau_j))))*Salcycl</f>
        <v>9.1480714514396808E-2</v>
      </c>
      <c r="P168" s="169">
        <f>(INDEX(Models!$BJ168:$BT168,,T168)*(1-R168)+INDEX(Models!$BJ168:$BT168,,T168+1)*R168-ERP_i)*Q168*Ramure*Pc/MaxiM</f>
        <v>9.7074818368514078E-4</v>
      </c>
      <c r="Q168" s="305">
        <f t="shared" si="51"/>
        <v>0.8</v>
      </c>
      <c r="R168" s="177">
        <f t="shared" si="52"/>
        <v>0.25681846634584093</v>
      </c>
      <c r="S168" s="809">
        <f t="shared" si="53"/>
        <v>0</v>
      </c>
      <c r="T168" s="176">
        <f t="shared" si="54"/>
        <v>6</v>
      </c>
      <c r="U168" s="251">
        <f t="shared" si="55"/>
        <v>0.25681846634584093</v>
      </c>
      <c r="V168" s="383">
        <f t="shared" si="56"/>
        <v>55.749401448306187</v>
      </c>
      <c r="W168" s="402"/>
      <c r="X168" s="157">
        <f t="shared" si="57"/>
        <v>43984</v>
      </c>
      <c r="Y168" s="385">
        <f t="shared" si="58"/>
        <v>48.481696578618369</v>
      </c>
      <c r="Z168" s="385">
        <f t="shared" si="59"/>
        <v>49.244696106350411</v>
      </c>
      <c r="AA168" s="386">
        <f t="shared" si="60"/>
        <v>54.203247958604578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9.1480714514396808E-2</v>
      </c>
      <c r="AD168" s="231">
        <f>(INDEX(Models!$BJ168:$BT168,,AH168)*(1-AF168)+INDEX(Models!$BJ168:$BT168,,AH168+1)*AF168-ERP_i)*AE168*Ramure*Pc/MaxiM</f>
        <v>6.1152059064559011E-3</v>
      </c>
      <c r="AE168" s="305">
        <f t="shared" si="62"/>
        <v>0.8</v>
      </c>
      <c r="AF168" s="177">
        <f t="shared" si="63"/>
        <v>0.45675204049836227</v>
      </c>
      <c r="AG168" s="809">
        <f t="shared" si="71"/>
        <v>1</v>
      </c>
      <c r="AH168" s="176">
        <f t="shared" si="64"/>
        <v>7</v>
      </c>
      <c r="AI168" s="225">
        <f t="shared" si="65"/>
        <v>1.4567520404983623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6">
        <v>24.529</v>
      </c>
      <c r="C169" s="390"/>
      <c r="D169" s="393">
        <f t="shared" si="48"/>
        <v>24.915614486064953</v>
      </c>
      <c r="E169" s="385">
        <f t="shared" si="69"/>
        <v>27.429014990137357</v>
      </c>
      <c r="F169" s="385">
        <f t="shared" si="49"/>
        <v>27.434531282238186</v>
      </c>
      <c r="G169" s="110">
        <f t="shared" si="70"/>
        <v>0.43973522921910313</v>
      </c>
      <c r="H169" s="414" t="b">
        <f>Wh_hp&gt;='2019'!Maxi_hp</f>
        <v>0</v>
      </c>
      <c r="I169" s="380">
        <f>IF(H169,Wh_hp,'2019'!Maxi_hp)</f>
        <v>56.408226720952712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1.5516955693835377E-2</v>
      </c>
      <c r="M169" s="843"/>
      <c r="N169" s="843"/>
      <c r="O169" s="48">
        <f>IF(t&lt;Tnet,'2019'!Resal+('2019'!Salim-'2019'!Resal)*(1-EXP(('2019'!Tnet-t)/('2019'!Tau_j))),Resal+(Salim-Resal)*(1-EXP((Tnet-t)/(Tau_j))))*Salcycl</f>
        <v>9.1632911534597405E-2</v>
      </c>
      <c r="P169" s="169">
        <f>(INDEX(Models!$BJ169:$BT169,,T169)*(1-R169)+INDEX(Models!$BJ169:$BT169,,T169+1)*R169-ERP_i)*Q169*Ramure*Pc/MaxiM</f>
        <v>1.0047170895244736E-3</v>
      </c>
      <c r="Q169" s="305">
        <f t="shared" si="51"/>
        <v>0.8</v>
      </c>
      <c r="R169" s="177">
        <f t="shared" si="52"/>
        <v>0.2628844153814327</v>
      </c>
      <c r="S169" s="809">
        <f t="shared" si="53"/>
        <v>0</v>
      </c>
      <c r="T169" s="176">
        <f t="shared" si="54"/>
        <v>6</v>
      </c>
      <c r="U169" s="251">
        <f t="shared" si="55"/>
        <v>0.2628844153814327</v>
      </c>
      <c r="V169" s="383">
        <f t="shared" si="56"/>
        <v>55.736456338172083</v>
      </c>
      <c r="W169" s="402"/>
      <c r="X169" s="157">
        <f t="shared" si="57"/>
        <v>43985</v>
      </c>
      <c r="Y169" s="385">
        <f t="shared" si="58"/>
        <v>24.50337515779135</v>
      </c>
      <c r="Z169" s="385">
        <f t="shared" si="59"/>
        <v>24.889585757224111</v>
      </c>
      <c r="AA169" s="386">
        <f t="shared" si="60"/>
        <v>27.400360573689028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9.1632911534597405E-2</v>
      </c>
      <c r="AD169" s="231">
        <f>(INDEX(Models!$BJ169:$BT169,,AH169)*(1-AF169)+INDEX(Models!$BJ169:$BT169,,AH169+1)*AF169-ERP_i)*AE169*Ramure*Pc/MaxiM</f>
        <v>6.2237267738852508E-3</v>
      </c>
      <c r="AE169" s="305">
        <f t="shared" si="62"/>
        <v>0.8</v>
      </c>
      <c r="AF169" s="177">
        <f t="shared" si="63"/>
        <v>0.46281798953395392</v>
      </c>
      <c r="AG169" s="809">
        <f t="shared" si="71"/>
        <v>1</v>
      </c>
      <c r="AH169" s="176">
        <f t="shared" si="64"/>
        <v>7</v>
      </c>
      <c r="AI169" s="225">
        <f t="shared" si="65"/>
        <v>1.4628179895339539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6">
        <v>33.604999999999997</v>
      </c>
      <c r="C170" s="390"/>
      <c r="D170" s="393">
        <f t="shared" si="48"/>
        <v>34.135460483555313</v>
      </c>
      <c r="E170" s="385">
        <f t="shared" ref="E170:E232" si="72">Wh_pvt/(1-Psa)</f>
        <v>37.58519249915927</v>
      </c>
      <c r="F170" s="385">
        <f t="shared" si="49"/>
        <v>37.602104575048521</v>
      </c>
      <c r="G170" s="110">
        <f t="shared" ref="G170:G232" si="73">+Wh_hp/MaxiM</f>
        <v>0.60275353090925221</v>
      </c>
      <c r="H170" s="414" t="b">
        <f>Wh_hp&gt;='2019'!Maxi_hp</f>
        <v>1</v>
      </c>
      <c r="I170" s="380">
        <f>IF(H170,Wh_hp,'2019'!Maxi_hp)</f>
        <v>37.602104575048521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1.5539866052513562E-2</v>
      </c>
      <c r="M170" s="843"/>
      <c r="N170" s="843"/>
      <c r="O170" s="48">
        <f>IF(t&lt;Tnet,'2019'!Resal+('2019'!Salim-'2019'!Resal)*(1-EXP(('2019'!Tnet-t)/('2019'!Tau_j))),Resal+(Salim-Resal)*(1-EXP((Tnet-t)/(Tau_j))))*Salcycl</f>
        <v>9.1784338092218795E-2</v>
      </c>
      <c r="P170" s="169">
        <f>(INDEX(Models!$BJ170:$BT170,,T170)*(1-R170)+INDEX(Models!$BJ170:$BT170,,T170+1)*R170-ERP_i)*Q170*Ramure*Pc/MaxiM</f>
        <v>1.0386857030140419E-3</v>
      </c>
      <c r="Q170" s="305">
        <f t="shared" si="51"/>
        <v>0.8</v>
      </c>
      <c r="R170" s="177">
        <f t="shared" si="52"/>
        <v>0.268981016425759</v>
      </c>
      <c r="S170" s="809">
        <f t="shared" si="53"/>
        <v>0</v>
      </c>
      <c r="T170" s="176">
        <f t="shared" si="54"/>
        <v>6</v>
      </c>
      <c r="U170" s="251">
        <f t="shared" si="55"/>
        <v>0.268981016425759</v>
      </c>
      <c r="V170" s="383">
        <f t="shared" si="56"/>
        <v>55.719624459050152</v>
      </c>
      <c r="W170" s="402"/>
      <c r="X170" s="157">
        <f t="shared" si="57"/>
        <v>43986</v>
      </c>
      <c r="Y170" s="385">
        <f t="shared" si="58"/>
        <v>33.52797027890751</v>
      </c>
      <c r="Z170" s="385">
        <f t="shared" si="59"/>
        <v>34.057214835574008</v>
      </c>
      <c r="AA170" s="386">
        <f t="shared" si="60"/>
        <v>37.499039340539497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9.1784338092218795E-2</v>
      </c>
      <c r="AD170" s="231">
        <f>(INDEX(Models!$BJ170:$BT170,,AH170)*(1-AF170)+INDEX(Models!$BJ170:$BT170,,AH170+1)*AF170-ERP_i)*AE170*Ramure*Pc/MaxiM</f>
        <v>6.3299376293811807E-3</v>
      </c>
      <c r="AE170" s="305">
        <f t="shared" si="62"/>
        <v>0.8</v>
      </c>
      <c r="AF170" s="177">
        <f t="shared" si="63"/>
        <v>0.46891459057828033</v>
      </c>
      <c r="AG170" s="809">
        <f t="shared" si="71"/>
        <v>1</v>
      </c>
      <c r="AH170" s="176">
        <f t="shared" si="64"/>
        <v>7</v>
      </c>
      <c r="AI170" s="225">
        <f t="shared" si="65"/>
        <v>1.4689145905782803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6">
        <v>25.141999999999999</v>
      </c>
      <c r="C171" s="390"/>
      <c r="D171" s="393">
        <f t="shared" si="48"/>
        <v>25.539464969363102</v>
      </c>
      <c r="E171" s="385">
        <f t="shared" si="72"/>
        <v>28.125148249153646</v>
      </c>
      <c r="F171" s="385">
        <f t="shared" si="49"/>
        <v>28.131675958705916</v>
      </c>
      <c r="G171" s="110">
        <f t="shared" si="73"/>
        <v>0.45100927253120604</v>
      </c>
      <c r="H171" s="414" t="b">
        <f>Wh_hp&gt;='2019'!Maxi_hp</f>
        <v>0</v>
      </c>
      <c r="I171" s="380">
        <f>IF(H171,Wh_hp,'2019'!Maxi_hp)</f>
        <v>63.6888163743956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1.556277587803423E-2</v>
      </c>
      <c r="M171" s="843"/>
      <c r="N171" s="843"/>
      <c r="O171" s="48">
        <f>IF(t&lt;Tnet,'2019'!Resal+('2019'!Salim-'2019'!Resal)*(1-EXP(('2019'!Tnet-t)/('2019'!Tau_j))),Resal+(Salim-Resal)*(1-EXP((Tnet-t)/(Tau_j))))*Salcycl</f>
        <v>9.1934920907247322E-2</v>
      </c>
      <c r="P171" s="169">
        <f>(INDEX(Models!$BJ171:$BT171,,T171)*(1-R171)+INDEX(Models!$BJ171:$BT171,,T171+1)*R171-ERP_i)*Q171*Ramure*Pc/MaxiM</f>
        <v>1.0729244649508444E-3</v>
      </c>
      <c r="Q171" s="305">
        <f t="shared" si="51"/>
        <v>0.8</v>
      </c>
      <c r="R171" s="177">
        <f t="shared" si="52"/>
        <v>0.27510331868232696</v>
      </c>
      <c r="S171" s="809">
        <f t="shared" si="53"/>
        <v>0</v>
      </c>
      <c r="T171" s="176">
        <f t="shared" si="54"/>
        <v>6</v>
      </c>
      <c r="U171" s="251">
        <f t="shared" si="55"/>
        <v>0.27510331868232696</v>
      </c>
      <c r="V171" s="383">
        <f t="shared" si="56"/>
        <v>55.699195421536558</v>
      </c>
      <c r="W171" s="402"/>
      <c r="X171" s="157">
        <f t="shared" si="57"/>
        <v>43987</v>
      </c>
      <c r="Y171" s="385">
        <f t="shared" si="58"/>
        <v>25.112835880423898</v>
      </c>
      <c r="Z171" s="385">
        <f t="shared" si="59"/>
        <v>25.509839799914523</v>
      </c>
      <c r="AA171" s="386">
        <f t="shared" si="60"/>
        <v>28.092523748850017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9.1934920907247322E-2</v>
      </c>
      <c r="AD171" s="231">
        <f>(INDEX(Models!$BJ171:$BT171,,AH171)*(1-AF171)+INDEX(Models!$BJ171:$BT171,,AH171+1)*AF171-ERP_i)*AE171*Ramure*Pc/MaxiM</f>
        <v>6.4352378847315648E-3</v>
      </c>
      <c r="AE171" s="305">
        <f t="shared" si="62"/>
        <v>0.8</v>
      </c>
      <c r="AF171" s="177">
        <f t="shared" si="63"/>
        <v>0.47503689283484807</v>
      </c>
      <c r="AG171" s="809">
        <f t="shared" si="71"/>
        <v>1</v>
      </c>
      <c r="AH171" s="176">
        <f t="shared" si="64"/>
        <v>7</v>
      </c>
      <c r="AI171" s="225">
        <f t="shared" si="65"/>
        <v>1.4750368928348481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6">
        <v>24.645</v>
      </c>
      <c r="C172" s="390"/>
      <c r="D172" s="393">
        <f t="shared" si="48"/>
        <v>25.035190598854957</v>
      </c>
      <c r="E172" s="385">
        <f t="shared" si="72"/>
        <v>27.574364622116359</v>
      </c>
      <c r="F172" s="385">
        <f t="shared" si="49"/>
        <v>27.580588873154237</v>
      </c>
      <c r="G172" s="110">
        <f t="shared" si="73"/>
        <v>0.44226411740933969</v>
      </c>
      <c r="H172" s="414" t="b">
        <f>Wh_hp&gt;='2019'!Maxi_hp</f>
        <v>1</v>
      </c>
      <c r="I172" s="380">
        <f>IF(H172,Wh_hp,'2019'!Maxi_hp)</f>
        <v>27.580588873154237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1.5585685170409813E-2</v>
      </c>
      <c r="M172" s="843"/>
      <c r="N172" s="843"/>
      <c r="O172" s="48">
        <f>IF(t&lt;Tnet,'2019'!Resal+('2019'!Salim-'2019'!Resal)*(1-EXP(('2019'!Tnet-t)/('2019'!Tau_j))),Resal+(Salim-Resal)*(1-EXP((Tnet-t)/(Tau_j))))*Salcycl</f>
        <v>9.2084588640886603E-2</v>
      </c>
      <c r="P172" s="169">
        <f>(INDEX(Models!$BJ172:$BT172,,T172)*(1-R172)+INDEX(Models!$BJ172:$BT172,,T172+1)*R172-ERP_i)*Q172*Ramure*Pc/MaxiM</f>
        <v>1.1073786430624431E-3</v>
      </c>
      <c r="Q172" s="305">
        <f t="shared" si="51"/>
        <v>0.8</v>
      </c>
      <c r="R172" s="177">
        <f t="shared" si="52"/>
        <v>0.28124628598371815</v>
      </c>
      <c r="S172" s="809">
        <f t="shared" si="53"/>
        <v>0</v>
      </c>
      <c r="T172" s="176">
        <f t="shared" si="54"/>
        <v>6</v>
      </c>
      <c r="U172" s="251">
        <f t="shared" si="55"/>
        <v>0.28124628598371815</v>
      </c>
      <c r="V172" s="383">
        <f t="shared" si="56"/>
        <v>55.675476578316278</v>
      </c>
      <c r="W172" s="402"/>
      <c r="X172" s="157">
        <f t="shared" si="57"/>
        <v>43988</v>
      </c>
      <c r="Y172" s="385">
        <f t="shared" si="58"/>
        <v>24.617711392737629</v>
      </c>
      <c r="Z172" s="385">
        <f t="shared" si="59"/>
        <v>25.007469946228024</v>
      </c>
      <c r="AA172" s="386">
        <f t="shared" si="60"/>
        <v>27.543832424644972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9.2084588640886603E-2</v>
      </c>
      <c r="AD172" s="231">
        <f>(INDEX(Models!$BJ172:$BT172,,AH172)*(1-AF172)+INDEX(Models!$BJ172:$BT172,,AH172+1)*AF172-ERP_i)*AE172*Ramure*Pc/MaxiM</f>
        <v>6.5394705043666955E-3</v>
      </c>
      <c r="AE172" s="305">
        <f t="shared" si="62"/>
        <v>0.8</v>
      </c>
      <c r="AF172" s="177">
        <f t="shared" si="63"/>
        <v>0.48117986013623937</v>
      </c>
      <c r="AG172" s="809">
        <f t="shared" si="71"/>
        <v>1</v>
      </c>
      <c r="AH172" s="176">
        <f t="shared" si="64"/>
        <v>7</v>
      </c>
      <c r="AI172" s="225">
        <f t="shared" si="65"/>
        <v>1.4811798601362394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6">
        <v>36.667999999999999</v>
      </c>
      <c r="C173" s="390"/>
      <c r="D173" s="393">
        <f t="shared" si="48"/>
        <v>37.249410929314436</v>
      </c>
      <c r="E173" s="385">
        <f t="shared" si="72"/>
        <v>41.034122300028436</v>
      </c>
      <c r="F173" s="385">
        <f t="shared" si="49"/>
        <v>41.058163703732077</v>
      </c>
      <c r="G173" s="110">
        <f t="shared" si="73"/>
        <v>0.65855150073011015</v>
      </c>
      <c r="H173" s="414" t="b">
        <f>Wh_hp&gt;='2019'!Maxi_hp</f>
        <v>0</v>
      </c>
      <c r="I173" s="380">
        <f>IF(H173,Wh_hp,'2019'!Maxi_hp)</f>
        <v>63.160398004063062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1.5608593929652637E-2</v>
      </c>
      <c r="M173" s="843"/>
      <c r="N173" s="843"/>
      <c r="O173" s="48">
        <f>IF(t&lt;Tnet,'2019'!Resal+('2019'!Salim-'2019'!Resal)*(1-EXP(('2019'!Tnet-t)/('2019'!Tau_j))),Resal+(Salim-Resal)*(1-EXP((Tnet-t)/(Tau_j))))*Salcycl</f>
        <v>9.2233272178734463E-2</v>
      </c>
      <c r="P173" s="169">
        <f>(INDEX(Models!$BJ173:$BT173,,T173)*(1-R173)+INDEX(Models!$BJ173:$BT173,,T173+1)*R173-ERP_i)*Q173*Ramure*Pc/MaxiM</f>
        <v>1.141990930745744E-3</v>
      </c>
      <c r="Q173" s="305">
        <f t="shared" si="51"/>
        <v>0.8</v>
      </c>
      <c r="R173" s="177">
        <f t="shared" si="52"/>
        <v>0.28740481312763794</v>
      </c>
      <c r="S173" s="809">
        <f t="shared" si="53"/>
        <v>0</v>
      </c>
      <c r="T173" s="176">
        <f t="shared" si="54"/>
        <v>6</v>
      </c>
      <c r="U173" s="251">
        <f t="shared" si="55"/>
        <v>0.28740481312763794</v>
      </c>
      <c r="V173" s="383">
        <f t="shared" si="56"/>
        <v>55.648774995984404</v>
      </c>
      <c r="W173" s="402"/>
      <c r="X173" s="157">
        <f t="shared" si="57"/>
        <v>43989</v>
      </c>
      <c r="Y173" s="385">
        <f t="shared" si="58"/>
        <v>36.564523888284818</v>
      </c>
      <c r="Z173" s="385">
        <f t="shared" si="59"/>
        <v>37.14429409156363</v>
      </c>
      <c r="AA173" s="386">
        <f t="shared" si="60"/>
        <v>40.918325108383065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9.2233272178734463E-2</v>
      </c>
      <c r="AD173" s="231">
        <f>(INDEX(Models!$BJ173:$BT173,,AH173)*(1-AF173)+INDEX(Models!$BJ173:$BT173,,AH173+1)*AF173-ERP_i)*AE173*Ramure*Pc/MaxiM</f>
        <v>6.6424743590416079E-3</v>
      </c>
      <c r="AE173" s="305">
        <f t="shared" si="62"/>
        <v>0.8</v>
      </c>
      <c r="AF173" s="177">
        <f t="shared" si="63"/>
        <v>0.4873383872801591</v>
      </c>
      <c r="AG173" s="809">
        <f t="shared" si="71"/>
        <v>1</v>
      </c>
      <c r="AH173" s="176">
        <f t="shared" si="64"/>
        <v>7</v>
      </c>
      <c r="AI173" s="225">
        <f t="shared" si="65"/>
        <v>1.4873383872801591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6">
        <v>39.03</v>
      </c>
      <c r="C174" s="390"/>
      <c r="D174" s="393">
        <f t="shared" si="48"/>
        <v>39.649785710814619</v>
      </c>
      <c r="E174" s="385">
        <f t="shared" si="72"/>
        <v>43.68549089053576</v>
      </c>
      <c r="F174" s="385">
        <f t="shared" si="49"/>
        <v>43.715012299112246</v>
      </c>
      <c r="G174" s="110">
        <f t="shared" si="73"/>
        <v>0.70138152267135845</v>
      </c>
      <c r="H174" s="414" t="b">
        <f>Wh_hp&gt;='2019'!Maxi_hp</f>
        <v>0</v>
      </c>
      <c r="I174" s="380">
        <f>IF(H174,Wh_hp,'2019'!Maxi_hp)</f>
        <v>49.473410405201427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1.5631502155775134E-2</v>
      </c>
      <c r="M174" s="843"/>
      <c r="N174" s="843"/>
      <c r="O174" s="48">
        <f>IF(t&lt;Tnet,'2019'!Resal+('2019'!Salim-'2019'!Resal)*(1-EXP(('2019'!Tnet-t)/('2019'!Tau_j))),Resal+(Salim-Resal)*(1-EXP((Tnet-t)/(Tau_j))))*Salcycl</f>
        <v>9.2380904905785391E-2</v>
      </c>
      <c r="P174" s="169">
        <f>(INDEX(Models!$BJ174:$BT174,,T174)*(1-R174)+INDEX(Models!$BJ174:$BT174,,T174+1)*R174-ERP_i)*Q174*Ramure*Pc/MaxiM</f>
        <v>1.1767016265632941E-3</v>
      </c>
      <c r="Q174" s="305">
        <f t="shared" si="51"/>
        <v>0.8</v>
      </c>
      <c r="R174" s="177">
        <f t="shared" si="52"/>
        <v>0.293573742700805</v>
      </c>
      <c r="S174" s="809">
        <f t="shared" si="53"/>
        <v>0</v>
      </c>
      <c r="T174" s="176">
        <f t="shared" si="54"/>
        <v>6</v>
      </c>
      <c r="U174" s="251">
        <f t="shared" si="55"/>
        <v>0.293573742700805</v>
      </c>
      <c r="V174" s="383">
        <f t="shared" si="56"/>
        <v>55.619397431002739</v>
      </c>
      <c r="W174" s="402"/>
      <c r="X174" s="157">
        <f t="shared" si="57"/>
        <v>43990</v>
      </c>
      <c r="Y174" s="385">
        <f t="shared" si="58"/>
        <v>38.905209029660789</v>
      </c>
      <c r="Z174" s="385">
        <f t="shared" si="59"/>
        <v>39.523013094043051</v>
      </c>
      <c r="AA174" s="386">
        <f t="shared" si="60"/>
        <v>43.545814877264569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9.2380904905785391E-2</v>
      </c>
      <c r="AD174" s="231">
        <f>(INDEX(Models!$BJ174:$BT174,,AH174)*(1-AF174)+INDEX(Models!$BJ174:$BT174,,AH174+1)*AF174-ERP_i)*AE174*Ramure*Pc/MaxiM</f>
        <v>6.7440847540405713E-3</v>
      </c>
      <c r="AE174" s="305">
        <f t="shared" si="62"/>
        <v>0.8</v>
      </c>
      <c r="AF174" s="177">
        <f t="shared" si="63"/>
        <v>0.49350731685332616</v>
      </c>
      <c r="AG174" s="809">
        <f t="shared" si="71"/>
        <v>1</v>
      </c>
      <c r="AH174" s="176">
        <f t="shared" si="64"/>
        <v>7</v>
      </c>
      <c r="AI174" s="225">
        <f t="shared" si="65"/>
        <v>1.4935073168533262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6">
        <v>24.355</v>
      </c>
      <c r="C175" s="390"/>
      <c r="D175" s="393">
        <f t="shared" si="48"/>
        <v>24.742326519955974</v>
      </c>
      <c r="E175" s="385">
        <f t="shared" si="72"/>
        <v>27.265095548087348</v>
      </c>
      <c r="F175" s="385">
        <f t="shared" si="49"/>
        <v>27.271615247281726</v>
      </c>
      <c r="G175" s="110">
        <f t="shared" si="73"/>
        <v>0.43771074704205243</v>
      </c>
      <c r="H175" s="414" t="b">
        <f>Wh_hp&gt;='2019'!Maxi_hp</f>
        <v>1</v>
      </c>
      <c r="I175" s="380">
        <f>IF(H175,Wh_hp,'2019'!Maxi_hp)</f>
        <v>27.271615247281726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1.5654409848789852E-2</v>
      </c>
      <c r="M175" s="843"/>
      <c r="N175" s="843"/>
      <c r="O175" s="48">
        <f>IF(t&lt;Tnet,'2019'!Resal+('2019'!Salim-'2019'!Resal)*(1-EXP(('2019'!Tnet-t)/('2019'!Tau_j))),Resal+(Salim-Resal)*(1-EXP((Tnet-t)/(Tau_j))))*Salcycl</f>
        <v>9.2527422971321535E-2</v>
      </c>
      <c r="P175" s="169">
        <f>(INDEX(Models!$BJ175:$BT175,,T175)*(1-R175)+INDEX(Models!$BJ175:$BT175,,T175+1)*R175-ERP_i)*Q175*Ramure*Pc/MaxiM</f>
        <v>1.2114488336035024E-3</v>
      </c>
      <c r="Q175" s="305">
        <f t="shared" si="51"/>
        <v>0.8</v>
      </c>
      <c r="R175" s="177">
        <f t="shared" si="52"/>
        <v>0.29974788227401883</v>
      </c>
      <c r="S175" s="809">
        <f t="shared" si="53"/>
        <v>0</v>
      </c>
      <c r="T175" s="176">
        <f t="shared" si="54"/>
        <v>6</v>
      </c>
      <c r="U175" s="251">
        <f t="shared" si="55"/>
        <v>0.29974788227401883</v>
      </c>
      <c r="V175" s="383">
        <f t="shared" si="56"/>
        <v>55.587650297679829</v>
      </c>
      <c r="W175" s="402"/>
      <c r="X175" s="157">
        <f t="shared" si="57"/>
        <v>43991</v>
      </c>
      <c r="Y175" s="385">
        <f t="shared" si="58"/>
        <v>24.327921845051957</v>
      </c>
      <c r="Z175" s="385">
        <f t="shared" si="59"/>
        <v>24.714817731153573</v>
      </c>
      <c r="AA175" s="386">
        <f t="shared" si="60"/>
        <v>27.23478191713172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9.2527422971321535E-2</v>
      </c>
      <c r="AD175" s="231">
        <f>(INDEX(Models!$BJ175:$BT175,,AH175)*(1-AF175)+INDEX(Models!$BJ175:$BT175,,AH175+1)*AF175-ERP_i)*AE175*Ramure*Pc/MaxiM</f>
        <v>6.8441339880275084E-3</v>
      </c>
      <c r="AE175" s="305">
        <f t="shared" si="62"/>
        <v>0.8</v>
      </c>
      <c r="AF175" s="177">
        <f t="shared" si="63"/>
        <v>0.49968145642653994</v>
      </c>
      <c r="AG175" s="809">
        <f t="shared" si="71"/>
        <v>1</v>
      </c>
      <c r="AH175" s="176">
        <f t="shared" si="64"/>
        <v>7</v>
      </c>
      <c r="AI175" s="225">
        <f t="shared" si="65"/>
        <v>1.4996814564265399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6">
        <v>37.548999999999999</v>
      </c>
      <c r="C176" s="390"/>
      <c r="D176" s="393">
        <f t="shared" si="48"/>
        <v>38.147043290611869</v>
      </c>
      <c r="E176" s="385">
        <f t="shared" si="72"/>
        <v>42.043313417557606</v>
      </c>
      <c r="F176" s="385">
        <f t="shared" si="49"/>
        <v>42.07146754686606</v>
      </c>
      <c r="G176" s="110">
        <f t="shared" si="73"/>
        <v>0.67551263866995126</v>
      </c>
      <c r="H176" s="414" t="b">
        <f>Wh_hp&gt;='2019'!Maxi_hp</f>
        <v>1</v>
      </c>
      <c r="I176" s="380">
        <f>IF(H176,Wh_hp,'2019'!Maxi_hp)</f>
        <v>42.07146754686606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1.5677317008709002E-2</v>
      </c>
      <c r="M176" s="843"/>
      <c r="N176" s="843"/>
      <c r="O176" s="48">
        <f>IF(t&lt;Tnet,'2019'!Resal+('2019'!Salim-'2019'!Resal)*(1-EXP(('2019'!Tnet-t)/('2019'!Tau_j))),Resal+(Salim-Resal)*(1-EXP((Tnet-t)/(Tau_j))))*Salcycl</f>
        <v>9.2672765541800151E-2</v>
      </c>
      <c r="P176" s="169">
        <f>(INDEX(Models!$BJ176:$BT176,,T176)*(1-R176)+INDEX(Models!$BJ176:$BT176,,T176+1)*R176-ERP_i)*Q176*Ramure*Pc/MaxiM</f>
        <v>1.2461686769412986E-3</v>
      </c>
      <c r="Q176" s="305">
        <f t="shared" si="51"/>
        <v>0.8</v>
      </c>
      <c r="R176" s="177">
        <f t="shared" si="52"/>
        <v>0.30592202184723266</v>
      </c>
      <c r="S176" s="809">
        <f t="shared" si="53"/>
        <v>0</v>
      </c>
      <c r="T176" s="176">
        <f t="shared" si="54"/>
        <v>6</v>
      </c>
      <c r="U176" s="251">
        <f t="shared" si="55"/>
        <v>0.30592202184723266</v>
      </c>
      <c r="V176" s="383">
        <f t="shared" si="56"/>
        <v>55.553839648363898</v>
      </c>
      <c r="W176" s="402"/>
      <c r="X176" s="157">
        <f t="shared" si="57"/>
        <v>43992</v>
      </c>
      <c r="Y176" s="385">
        <f t="shared" si="58"/>
        <v>37.434063415428973</v>
      </c>
      <c r="Z176" s="385">
        <f t="shared" si="59"/>
        <v>38.030276109933126</v>
      </c>
      <c r="AA176" s="386">
        <f t="shared" si="60"/>
        <v>41.914619847868309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9.2672765541800151E-2</v>
      </c>
      <c r="AD176" s="231">
        <f>(INDEX(Models!$BJ176:$BT176,,AH176)*(1-AF176)+INDEX(Models!$BJ176:$BT176,,AH176+1)*AF176-ERP_i)*AE176*Ramure*Pc/MaxiM</f>
        <v>6.9424519366195828E-3</v>
      </c>
      <c r="AE176" s="305">
        <f t="shared" si="62"/>
        <v>0.8</v>
      </c>
      <c r="AF176" s="177">
        <f t="shared" si="63"/>
        <v>0.50585559599975394</v>
      </c>
      <c r="AG176" s="809">
        <f t="shared" si="71"/>
        <v>1</v>
      </c>
      <c r="AH176" s="176">
        <f t="shared" si="64"/>
        <v>7</v>
      </c>
      <c r="AI176" s="225">
        <f t="shared" si="65"/>
        <v>1.5058555959997539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6">
        <v>25.425000000000001</v>
      </c>
      <c r="C177" s="390"/>
      <c r="D177" s="393">
        <f t="shared" si="48"/>
        <v>25.83054533844162</v>
      </c>
      <c r="E177" s="385">
        <f t="shared" si="72"/>
        <v>28.473352984358012</v>
      </c>
      <c r="F177" s="385">
        <f t="shared" si="49"/>
        <v>28.481585042453901</v>
      </c>
      <c r="G177" s="110">
        <f t="shared" si="73"/>
        <v>0.4575091493142564</v>
      </c>
      <c r="H177" s="414" t="b">
        <f>Wh_hp&gt;='2019'!Maxi_hp</f>
        <v>0</v>
      </c>
      <c r="I177" s="380">
        <f>IF(H177,Wh_hp,'2019'!Maxi_hp)</f>
        <v>57.157834054855876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1.570022363554513E-2</v>
      </c>
      <c r="M177" s="843"/>
      <c r="N177" s="843"/>
      <c r="O177" s="48">
        <f>IF(t&lt;Tnet,'2019'!Resal+('2019'!Salim-'2019'!Resal)*(1-EXP(('2019'!Tnet-t)/('2019'!Tau_j))),Resal+(Salim-Resal)*(1-EXP((Tnet-t)/(Tau_j))))*Salcycl</f>
        <v>9.2816875039909569E-2</v>
      </c>
      <c r="P177" s="169">
        <f>(INDEX(Models!$BJ177:$BT177,,T177)*(1-R177)+INDEX(Models!$BJ177:$BT177,,T177+1)*R177-ERP_i)*Q177*Ramure*Pc/MaxiM</f>
        <v>1.2808126781619809E-3</v>
      </c>
      <c r="Q177" s="305">
        <f t="shared" si="51"/>
        <v>0.8</v>
      </c>
      <c r="R177" s="177">
        <f t="shared" si="52"/>
        <v>0.31209095142039972</v>
      </c>
      <c r="S177" s="809">
        <f t="shared" si="53"/>
        <v>0</v>
      </c>
      <c r="T177" s="176">
        <f t="shared" si="54"/>
        <v>6</v>
      </c>
      <c r="U177" s="251">
        <f t="shared" si="55"/>
        <v>0.31209095142039972</v>
      </c>
      <c r="V177" s="383">
        <f t="shared" si="56"/>
        <v>55.517527236297113</v>
      </c>
      <c r="W177" s="402"/>
      <c r="X177" s="157">
        <f t="shared" si="57"/>
        <v>43993</v>
      </c>
      <c r="Y177" s="385">
        <f t="shared" si="58"/>
        <v>25.391953307827361</v>
      </c>
      <c r="Z177" s="385">
        <f t="shared" si="59"/>
        <v>25.796971529967642</v>
      </c>
      <c r="AA177" s="386">
        <f t="shared" si="60"/>
        <v>28.436344129640336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9.2816875039909569E-2</v>
      </c>
      <c r="AD177" s="231">
        <f>(INDEX(Models!$BJ177:$BT177,,AH177)*(1-AF177)+INDEX(Models!$BJ177:$BT177,,AH177+1)*AF177-ERP_i)*AE177*Ramure*Pc/MaxiM</f>
        <v>7.0389608562368648E-3</v>
      </c>
      <c r="AE177" s="305">
        <f t="shared" si="62"/>
        <v>0.8</v>
      </c>
      <c r="AF177" s="177">
        <f t="shared" si="63"/>
        <v>0.512024525572921</v>
      </c>
      <c r="AG177" s="809">
        <f t="shared" si="71"/>
        <v>1</v>
      </c>
      <c r="AH177" s="176">
        <f t="shared" si="64"/>
        <v>7</v>
      </c>
      <c r="AI177" s="225">
        <f t="shared" si="65"/>
        <v>1.512024525572921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6">
        <v>52.698</v>
      </c>
      <c r="C178" s="390"/>
      <c r="D178" s="393">
        <f t="shared" si="48"/>
        <v>53.539813432278805</v>
      </c>
      <c r="E178" s="385">
        <f t="shared" si="72"/>
        <v>59.026939902143866</v>
      </c>
      <c r="F178" s="385">
        <f t="shared" si="49"/>
        <v>59.099102328042804</v>
      </c>
      <c r="G178" s="110">
        <f t="shared" si="73"/>
        <v>0.9497990543829421</v>
      </c>
      <c r="H178" s="414" t="b">
        <f>Wh_hp&gt;='2019'!Maxi_hp</f>
        <v>0</v>
      </c>
      <c r="I178" s="380">
        <f>IF(H178,Wh_hp,'2019'!Maxi_hp)</f>
        <v>63.561322397498678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1.5723129729310559E-2</v>
      </c>
      <c r="M178" s="843"/>
      <c r="N178" s="843"/>
      <c r="O178" s="48">
        <f>IF(t&lt;Tnet,'2019'!Resal+('2019'!Salim-'2019'!Resal)*(1-EXP(('2019'!Tnet-t)/('2019'!Tau_j))),Resal+(Salim-Resal)*(1-EXP((Tnet-t)/(Tau_j))))*Salcycl</f>
        <v>9.2959697368044811E-2</v>
      </c>
      <c r="P178" s="169">
        <f>(INDEX(Models!$BJ178:$BT178,,T178)*(1-R178)+INDEX(Models!$BJ178:$BT178,,T178+1)*R178-ERP_i)*Q178*Ramure*Pc/MaxiM</f>
        <v>1.31519261987271E-3</v>
      </c>
      <c r="Q178" s="305">
        <f t="shared" si="51"/>
        <v>0.8</v>
      </c>
      <c r="R178" s="177">
        <f t="shared" si="52"/>
        <v>0.31824947856431957</v>
      </c>
      <c r="S178" s="809">
        <f t="shared" si="53"/>
        <v>0</v>
      </c>
      <c r="T178" s="176">
        <f t="shared" si="54"/>
        <v>6</v>
      </c>
      <c r="U178" s="251">
        <f t="shared" si="55"/>
        <v>0.31824947856431957</v>
      </c>
      <c r="V178" s="383">
        <f t="shared" si="56"/>
        <v>55.47808464123505</v>
      </c>
      <c r="W178" s="402"/>
      <c r="X178" s="157">
        <f t="shared" si="57"/>
        <v>43994</v>
      </c>
      <c r="Y178" s="385">
        <f t="shared" si="58"/>
        <v>52.413043157428618</v>
      </c>
      <c r="Z178" s="385">
        <f t="shared" si="59"/>
        <v>53.250304604856076</v>
      </c>
      <c r="AA178" s="386">
        <f t="shared" si="60"/>
        <v>58.70776022888937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9.2959697368044811E-2</v>
      </c>
      <c r="AD178" s="231">
        <f>(INDEX(Models!$BJ178:$BT178,,AH178)*(1-AF178)+INDEX(Models!$BJ178:$BT178,,AH178+1)*AF178-ERP_i)*AE178*Ramure*Pc/MaxiM</f>
        <v>7.1323855072845726E-3</v>
      </c>
      <c r="AE178" s="305">
        <f t="shared" si="62"/>
        <v>0.8</v>
      </c>
      <c r="AF178" s="177">
        <f t="shared" si="63"/>
        <v>0.51818305271684073</v>
      </c>
      <c r="AG178" s="809">
        <f t="shared" si="71"/>
        <v>1</v>
      </c>
      <c r="AH178" s="176">
        <f t="shared" si="64"/>
        <v>7</v>
      </c>
      <c r="AI178" s="225">
        <f t="shared" si="65"/>
        <v>1.5181830527168407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6">
        <v>35.247999999999998</v>
      </c>
      <c r="C179" s="390"/>
      <c r="D179" s="393">
        <f t="shared" si="48"/>
        <v>35.811895368271216</v>
      </c>
      <c r="E179" s="385">
        <f t="shared" si="72"/>
        <v>39.48830306314801</v>
      </c>
      <c r="F179" s="385">
        <f t="shared" si="49"/>
        <v>39.513886741354298</v>
      </c>
      <c r="G179" s="110">
        <f t="shared" si="73"/>
        <v>0.63539130181239245</v>
      </c>
      <c r="H179" s="414" t="b">
        <f>Wh_hp&gt;='2019'!Maxi_hp</f>
        <v>1</v>
      </c>
      <c r="I179" s="380">
        <f>IF(H179,Wh_hp,'2019'!Maxi_hp)</f>
        <v>39.513886741354298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1.5746035290017724E-2</v>
      </c>
      <c r="M179" s="843"/>
      <c r="N179" s="843"/>
      <c r="O179" s="48">
        <f>IF(t&lt;Tnet,'2019'!Resal+('2019'!Salim-'2019'!Resal)*(1-EXP(('2019'!Tnet-t)/('2019'!Tau_j))),Resal+(Salim-Resal)*(1-EXP((Tnet-t)/(Tau_j))))*Salcycl</f>
        <v>9.3101182114552788E-2</v>
      </c>
      <c r="P179" s="169">
        <f>(INDEX(Models!$BJ179:$BT179,,T179)*(1-R179)+INDEX(Models!$BJ179:$BT179,,T179+1)*R179-ERP_i)*Q179*Ramure*Pc/MaxiM</f>
        <v>1.3495266006892561E-3</v>
      </c>
      <c r="Q179" s="305">
        <f t="shared" si="51"/>
        <v>0.8</v>
      </c>
      <c r="R179" s="177">
        <f t="shared" si="52"/>
        <v>0.3243924458657107</v>
      </c>
      <c r="S179" s="809">
        <f t="shared" si="53"/>
        <v>0</v>
      </c>
      <c r="T179" s="176">
        <f t="shared" si="54"/>
        <v>6</v>
      </c>
      <c r="U179" s="251">
        <f t="shared" si="55"/>
        <v>0.3243924458657107</v>
      </c>
      <c r="V179" s="383">
        <f t="shared" si="56"/>
        <v>55.435504764584088</v>
      </c>
      <c r="W179" s="402"/>
      <c r="X179" s="157">
        <f t="shared" si="57"/>
        <v>43995</v>
      </c>
      <c r="Y179" s="385">
        <f t="shared" si="58"/>
        <v>35.148595949021946</v>
      </c>
      <c r="Z179" s="385">
        <f t="shared" si="59"/>
        <v>35.710901057308661</v>
      </c>
      <c r="AA179" s="386">
        <f t="shared" si="60"/>
        <v>39.376940793211396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9.3101182114552788E-2</v>
      </c>
      <c r="AD179" s="231">
        <f>(INDEX(Models!$BJ179:$BT179,,AH179)*(1-AF179)+INDEX(Models!$BJ179:$BT179,,AH179+1)*AF179-ERP_i)*AE179*Ramure*Pc/MaxiM</f>
        <v>7.2238322568504007E-3</v>
      </c>
      <c r="AE179" s="305">
        <f t="shared" si="62"/>
        <v>0.8</v>
      </c>
      <c r="AF179" s="177">
        <f t="shared" si="63"/>
        <v>0.52432602001823181</v>
      </c>
      <c r="AG179" s="809">
        <f t="shared" si="71"/>
        <v>1</v>
      </c>
      <c r="AH179" s="176">
        <f t="shared" si="64"/>
        <v>7</v>
      </c>
      <c r="AI179" s="225">
        <f t="shared" si="65"/>
        <v>1.5243260200182318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6">
        <v>49.945</v>
      </c>
      <c r="C180" s="390"/>
      <c r="D180" s="393">
        <f t="shared" si="48"/>
        <v>50.745197998649509</v>
      </c>
      <c r="E180" s="385">
        <f t="shared" si="72"/>
        <v>55.963286630490273</v>
      </c>
      <c r="F180" s="385">
        <f t="shared" si="49"/>
        <v>56.029931246616755</v>
      </c>
      <c r="G180" s="110">
        <f t="shared" si="73"/>
        <v>0.9015249670049601</v>
      </c>
      <c r="H180" s="414" t="b">
        <f>Wh_hp&gt;='2019'!Maxi_hp</f>
        <v>1</v>
      </c>
      <c r="I180" s="380">
        <f>IF(H180,Wh_hp,'2019'!Maxi_hp)</f>
        <v>56.029931246616755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1.5768940317678948E-2</v>
      </c>
      <c r="M180" s="843"/>
      <c r="N180" s="843"/>
      <c r="O180" s="48">
        <f>IF(t&lt;Tnet,'2019'!Resal+('2019'!Salim-'2019'!Resal)*(1-EXP(('2019'!Tnet-t)/('2019'!Tau_j))),Resal+(Salim-Resal)*(1-EXP((Tnet-t)/(Tau_j))))*Salcycl</f>
        <v>9.3241282741207271E-2</v>
      </c>
      <c r="P180" s="169">
        <f>(INDEX(Models!$BJ180:$BT180,,T180)*(1-R180)+INDEX(Models!$BJ180:$BT180,,T180+1)*R180-ERP_i)*Q180*Ramure*Pc/MaxiM</f>
        <v>1.383766223301436E-3</v>
      </c>
      <c r="Q180" s="305">
        <f t="shared" si="51"/>
        <v>0.8</v>
      </c>
      <c r="R180" s="177">
        <f t="shared" si="52"/>
        <v>0.33051474812227871</v>
      </c>
      <c r="S180" s="809">
        <f t="shared" si="53"/>
        <v>0</v>
      </c>
      <c r="T180" s="176">
        <f t="shared" si="54"/>
        <v>6</v>
      </c>
      <c r="U180" s="251">
        <f t="shared" si="55"/>
        <v>0.33051474812227871</v>
      </c>
      <c r="V180" s="383">
        <f t="shared" si="56"/>
        <v>55.389795048063483</v>
      </c>
      <c r="W180" s="402"/>
      <c r="X180" s="157">
        <f t="shared" si="57"/>
        <v>43996</v>
      </c>
      <c r="Y180" s="385">
        <f t="shared" si="58"/>
        <v>49.69013999029432</v>
      </c>
      <c r="Z180" s="385">
        <f t="shared" si="59"/>
        <v>50.486254727962702</v>
      </c>
      <c r="AA180" s="386">
        <f t="shared" si="60"/>
        <v>55.677716427791133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9.3241282741207271E-2</v>
      </c>
      <c r="AD180" s="231">
        <f>(INDEX(Models!$BJ180:$BT180,,AH180)*(1-AF180)+INDEX(Models!$BJ180:$BT180,,AH180+1)*AF180-ERP_i)*AE180*Ramure*Pc/MaxiM</f>
        <v>7.3131634326191932E-3</v>
      </c>
      <c r="AE180" s="305">
        <f t="shared" si="62"/>
        <v>0.8</v>
      </c>
      <c r="AF180" s="177">
        <f t="shared" si="63"/>
        <v>0.53044832227479999</v>
      </c>
      <c r="AG180" s="809">
        <f t="shared" si="71"/>
        <v>1</v>
      </c>
      <c r="AH180" s="176">
        <f t="shared" si="64"/>
        <v>7</v>
      </c>
      <c r="AI180" s="225">
        <f t="shared" si="65"/>
        <v>1.5304483222748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6">
        <v>38.718000000000004</v>
      </c>
      <c r="C181" s="390"/>
      <c r="D181" s="393">
        <f t="shared" si="48"/>
        <v>39.339239159846521</v>
      </c>
      <c r="E181" s="385">
        <f t="shared" si="72"/>
        <v>43.391098015931028</v>
      </c>
      <c r="F181" s="385">
        <f t="shared" si="49"/>
        <v>43.42624942925184</v>
      </c>
      <c r="G181" s="110">
        <f t="shared" si="73"/>
        <v>0.6992004215726545</v>
      </c>
      <c r="H181" s="414" t="b">
        <f>Wh_hp&gt;='2019'!Maxi_hp</f>
        <v>0</v>
      </c>
      <c r="I181" s="380">
        <f>IF(H181,Wh_hp,'2019'!Maxi_hp)</f>
        <v>64.737412852018437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1.5791844812306777E-2</v>
      </c>
      <c r="M181" s="843"/>
      <c r="N181" s="843"/>
      <c r="O181" s="48">
        <f>IF(t&lt;Tnet,'2019'!Resal+('2019'!Salim-'2019'!Resal)*(1-EXP(('2019'!Tnet-t)/('2019'!Tau_j))),Resal+(Salim-Resal)*(1-EXP((Tnet-t)/(Tau_j))))*Salcycl</f>
        <v>9.3379956750503701E-2</v>
      </c>
      <c r="P181" s="169">
        <f>(INDEX(Models!$BJ181:$BT181,,T181)*(1-R181)+INDEX(Models!$BJ181:$BT181,,T181+1)*R181-ERP_i)*Q181*Ramure*Pc/MaxiM</f>
        <v>1.4178631253309352E-3</v>
      </c>
      <c r="Q181" s="305">
        <f t="shared" si="51"/>
        <v>0.8</v>
      </c>
      <c r="R181" s="177">
        <f t="shared" si="52"/>
        <v>0.33661134916660501</v>
      </c>
      <c r="S181" s="809">
        <f t="shared" si="53"/>
        <v>0</v>
      </c>
      <c r="T181" s="176">
        <f t="shared" si="54"/>
        <v>6</v>
      </c>
      <c r="U181" s="251">
        <f t="shared" si="55"/>
        <v>0.33661134916660501</v>
      </c>
      <c r="V181" s="383">
        <f t="shared" si="56"/>
        <v>55.340962641508959</v>
      </c>
      <c r="W181" s="402"/>
      <c r="X181" s="157">
        <f t="shared" si="57"/>
        <v>43997</v>
      </c>
      <c r="Y181" s="385">
        <f t="shared" si="58"/>
        <v>38.585658886992078</v>
      </c>
      <c r="Z181" s="385">
        <f t="shared" si="59"/>
        <v>39.204774603430927</v>
      </c>
      <c r="AA181" s="386">
        <f t="shared" si="60"/>
        <v>43.2427838931441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9.3379956750503701E-2</v>
      </c>
      <c r="AD181" s="231">
        <f>(INDEX(Models!$BJ181:$BT181,,AH181)*(1-AF181)+INDEX(Models!$BJ181:$BT181,,AH181+1)*AF181-ERP_i)*AE181*Ramure*Pc/MaxiM</f>
        <v>7.4002435134593288E-3</v>
      </c>
      <c r="AE181" s="305">
        <f t="shared" si="62"/>
        <v>0.8</v>
      </c>
      <c r="AF181" s="177">
        <f t="shared" si="63"/>
        <v>0.53654492331912618</v>
      </c>
      <c r="AG181" s="809">
        <f t="shared" si="71"/>
        <v>1</v>
      </c>
      <c r="AH181" s="176">
        <f t="shared" si="64"/>
        <v>7</v>
      </c>
      <c r="AI181" s="225">
        <f t="shared" si="65"/>
        <v>1.5365449233191262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6">
        <v>27.172000000000001</v>
      </c>
      <c r="C182" s="390"/>
      <c r="D182" s="393">
        <f t="shared" si="48"/>
        <v>27.608623443756592</v>
      </c>
      <c r="E182" s="385">
        <f t="shared" si="72"/>
        <v>30.456862946645419</v>
      </c>
      <c r="F182" s="385">
        <f t="shared" si="49"/>
        <v>30.468961162563978</v>
      </c>
      <c r="G182" s="110">
        <f t="shared" si="73"/>
        <v>0.49093532510460797</v>
      </c>
      <c r="H182" s="414" t="b">
        <f>Wh_hp&gt;='2019'!Maxi_hp</f>
        <v>0</v>
      </c>
      <c r="I182" s="380">
        <f>IF(H182,Wh_hp,'2019'!Maxi_hp)</f>
        <v>61.823807905736835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1.5814748773913645E-2</v>
      </c>
      <c r="M182" s="843"/>
      <c r="N182" s="843"/>
      <c r="O182" s="48">
        <f>IF(t&lt;Tnet,'2019'!Resal+('2019'!Salim-'2019'!Resal)*(1-EXP(('2019'!Tnet-t)/('2019'!Tau_j))),Resal+(Salim-Resal)*(1-EXP((Tnet-t)/(Tau_j))))*Salcycl</f>
        <v>9.351716583150399E-2</v>
      </c>
      <c r="P182" s="169">
        <f>(INDEX(Models!$BJ182:$BT182,,T182)*(1-R182)+INDEX(Models!$BJ182:$BT182,,T182+1)*R182-ERP_i)*Q182*Ramure*Pc/MaxiM</f>
        <v>1.4517691979880202E-3</v>
      </c>
      <c r="Q182" s="305">
        <f t="shared" si="51"/>
        <v>0.8</v>
      </c>
      <c r="R182" s="177">
        <f t="shared" si="52"/>
        <v>0.34267729820219678</v>
      </c>
      <c r="S182" s="809">
        <f t="shared" si="53"/>
        <v>0</v>
      </c>
      <c r="T182" s="176">
        <f t="shared" si="54"/>
        <v>6</v>
      </c>
      <c r="U182" s="251">
        <f t="shared" si="55"/>
        <v>0.34267729820219678</v>
      </c>
      <c r="V182" s="383">
        <f t="shared" si="56"/>
        <v>55.289014371765333</v>
      </c>
      <c r="W182" s="402"/>
      <c r="X182" s="157">
        <f t="shared" si="57"/>
        <v>43998</v>
      </c>
      <c r="Y182" s="385">
        <f t="shared" si="58"/>
        <v>27.127145524163591</v>
      </c>
      <c r="Z182" s="385">
        <f t="shared" si="59"/>
        <v>27.563048207000577</v>
      </c>
      <c r="AA182" s="386">
        <f t="shared" si="60"/>
        <v>30.406585947414847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9.351716583150399E-2</v>
      </c>
      <c r="AD182" s="231">
        <f>(INDEX(Models!$BJ182:$BT182,,AH182)*(1-AF182)+INDEX(Models!$BJ182:$BT182,,AH182+1)*AF182-ERP_i)*AE182*Ramure*Pc/MaxiM</f>
        <v>7.4849396539930207E-3</v>
      </c>
      <c r="AE182" s="305">
        <f t="shared" si="62"/>
        <v>0.8</v>
      </c>
      <c r="AF182" s="177">
        <f t="shared" si="63"/>
        <v>0.54261087235471805</v>
      </c>
      <c r="AG182" s="809">
        <f t="shared" si="71"/>
        <v>1</v>
      </c>
      <c r="AH182" s="176">
        <f t="shared" si="64"/>
        <v>7</v>
      </c>
      <c r="AI182" s="225">
        <f t="shared" si="65"/>
        <v>1.5426108723547181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6">
        <v>47.582999999999998</v>
      </c>
      <c r="C183" s="390"/>
      <c r="D183" s="393">
        <f t="shared" si="48"/>
        <v>48.348730376130163</v>
      </c>
      <c r="E183" s="385">
        <f t="shared" si="72"/>
        <v>53.344606161324933</v>
      </c>
      <c r="F183" s="385">
        <f t="shared" si="49"/>
        <v>53.408241655973654</v>
      </c>
      <c r="G183" s="110">
        <f t="shared" si="73"/>
        <v>0.86122739271851556</v>
      </c>
      <c r="H183" s="414" t="b">
        <f>Wh_hp&gt;='2019'!Maxi_hp</f>
        <v>0</v>
      </c>
      <c r="I183" s="380">
        <f>IF(H183,Wh_hp,'2019'!Maxi_hp)</f>
        <v>61.050936871155521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1.5837652202511765E-2</v>
      </c>
      <c r="M183" s="843"/>
      <c r="N183" s="843"/>
      <c r="O183" s="48">
        <f>IF(t&lt;Tnet,'2019'!Resal+('2019'!Salim-'2019'!Resal)*(1-EXP(('2019'!Tnet-t)/('2019'!Tau_j))),Resal+(Salim-Resal)*(1-EXP((Tnet-t)/(Tau_j))))*Salcycl</f>
        <v>9.3652875983116807E-2</v>
      </c>
      <c r="P183" s="169">
        <f>(INDEX(Models!$BJ183:$BT183,,T183)*(1-R183)+INDEX(Models!$BJ183:$BT183,,T183+1)*R183-ERP_i)*Q183*Ramure*Pc/MaxiM</f>
        <v>1.4854368018467124E-3</v>
      </c>
      <c r="Q183" s="305">
        <f t="shared" si="51"/>
        <v>0.8</v>
      </c>
      <c r="R183" s="177">
        <f t="shared" si="52"/>
        <v>0.3487077455409231</v>
      </c>
      <c r="S183" s="809">
        <f t="shared" si="53"/>
        <v>0</v>
      </c>
      <c r="T183" s="176">
        <f t="shared" si="54"/>
        <v>6</v>
      </c>
      <c r="U183" s="251">
        <f t="shared" si="55"/>
        <v>0.3487077455409231</v>
      </c>
      <c r="V183" s="383">
        <f t="shared" si="56"/>
        <v>55.23395672668422</v>
      </c>
      <c r="W183" s="402"/>
      <c r="X183" s="157">
        <f t="shared" si="57"/>
        <v>43999</v>
      </c>
      <c r="Y183" s="385">
        <f t="shared" si="58"/>
        <v>47.350603008716099</v>
      </c>
      <c r="Z183" s="385">
        <f t="shared" si="59"/>
        <v>48.112593531630885</v>
      </c>
      <c r="AA183" s="386">
        <f t="shared" si="60"/>
        <v>53.084069289477497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9.3652875983116807E-2</v>
      </c>
      <c r="AD183" s="231">
        <f>(INDEX(Models!$BJ183:$BT183,,AH183)*(1-AF183)+INDEX(Models!$BJ183:$BT183,,AH183+1)*AF183-ERP_i)*AE183*Ramure*Pc/MaxiM</f>
        <v>7.567122185398116E-3</v>
      </c>
      <c r="AE183" s="305">
        <f t="shared" si="62"/>
        <v>0.8</v>
      </c>
      <c r="AF183" s="177">
        <f t="shared" si="63"/>
        <v>0.54864131969344432</v>
      </c>
      <c r="AG183" s="809">
        <f t="shared" si="71"/>
        <v>1</v>
      </c>
      <c r="AH183" s="176">
        <f t="shared" si="64"/>
        <v>7</v>
      </c>
      <c r="AI183" s="225">
        <f t="shared" si="65"/>
        <v>1.5486413196934443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6">
        <v>42.765000000000001</v>
      </c>
      <c r="C184" s="390"/>
      <c r="D184" s="393">
        <f t="shared" si="48"/>
        <v>43.454207857976321</v>
      </c>
      <c r="E184" s="385">
        <f t="shared" si="72"/>
        <v>47.951431529500852</v>
      </c>
      <c r="F184" s="385">
        <f t="shared" si="49"/>
        <v>48.000904242623534</v>
      </c>
      <c r="G184" s="110">
        <f t="shared" si="73"/>
        <v>0.77468936855104098</v>
      </c>
      <c r="H184" s="414" t="b">
        <f>Wh_hp&gt;='2019'!Maxi_hp</f>
        <v>0</v>
      </c>
      <c r="I184" s="380">
        <f>IF(H184,Wh_hp,'2019'!Maxi_hp)</f>
        <v>49.116701204913014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1.5860555098113682E-2</v>
      </c>
      <c r="M184" s="843"/>
      <c r="N184" s="843"/>
      <c r="O184" s="48">
        <f>IF(t&lt;Tnet,'2019'!Resal+('2019'!Salim-'2019'!Resal)*(1-EXP(('2019'!Tnet-t)/('2019'!Tau_j))),Resal+(Salim-Resal)*(1-EXP((Tnet-t)/(Tau_j))))*Salcycl</f>
        <v>9.3787057613863523E-2</v>
      </c>
      <c r="P184" s="169">
        <f>(INDEX(Models!$BJ184:$BT184,,T184)*(1-R184)+INDEX(Models!$BJ184:$BT184,,T184+1)*R184-ERP_i)*Q184*Ramure*Pc/MaxiM</f>
        <v>1.5186531148561181E-3</v>
      </c>
      <c r="Q184" s="305">
        <f t="shared" si="51"/>
        <v>0.8</v>
      </c>
      <c r="R184" s="177">
        <f t="shared" si="52"/>
        <v>0.3546979576382181</v>
      </c>
      <c r="S184" s="809">
        <f t="shared" si="53"/>
        <v>0</v>
      </c>
      <c r="T184" s="176">
        <f t="shared" si="54"/>
        <v>6</v>
      </c>
      <c r="U184" s="251">
        <f t="shared" si="55"/>
        <v>0.3546979576382181</v>
      </c>
      <c r="V184" s="383">
        <f t="shared" si="56"/>
        <v>55.175804998460805</v>
      </c>
      <c r="W184" s="402"/>
      <c r="X184" s="157">
        <f t="shared" si="57"/>
        <v>44000</v>
      </c>
      <c r="Y184" s="385">
        <f t="shared" si="58"/>
        <v>42.586999868485634</v>
      </c>
      <c r="Z184" s="385">
        <f t="shared" si="59"/>
        <v>43.273339046715421</v>
      </c>
      <c r="AA184" s="386">
        <f t="shared" si="60"/>
        <v>47.751843990191759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9.3787057613863523E-2</v>
      </c>
      <c r="AD184" s="231">
        <f>(INDEX(Models!$BJ184:$BT184,,AH184)*(1-AF184)+INDEX(Models!$BJ184:$BT184,,AH184+1)*AF184-ERP_i)*AE184*Ramure*Pc/MaxiM</f>
        <v>7.6453484005294028E-3</v>
      </c>
      <c r="AE184" s="305">
        <f t="shared" si="62"/>
        <v>0.8</v>
      </c>
      <c r="AF184" s="177">
        <f t="shared" si="63"/>
        <v>0.55463153179073932</v>
      </c>
      <c r="AG184" s="809">
        <f t="shared" si="71"/>
        <v>1</v>
      </c>
      <c r="AH184" s="176">
        <f t="shared" si="64"/>
        <v>7</v>
      </c>
      <c r="AI184" s="225">
        <f t="shared" si="65"/>
        <v>1.5546315317907393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6">
        <v>48.222999999999999</v>
      </c>
      <c r="C185" s="390"/>
      <c r="D185" s="393">
        <f t="shared" si="48"/>
        <v>49.001310226502774</v>
      </c>
      <c r="E185" s="385">
        <f t="shared" si="72"/>
        <v>54.080537286465301</v>
      </c>
      <c r="F185" s="385">
        <f t="shared" si="49"/>
        <v>54.149543241445002</v>
      </c>
      <c r="G185" s="110">
        <f t="shared" si="73"/>
        <v>0.87471659494175547</v>
      </c>
      <c r="H185" s="414" t="b">
        <f>Wh_hp&gt;='2019'!Maxi_hp</f>
        <v>1</v>
      </c>
      <c r="I185" s="380">
        <f>IF(H185,Wh_hp,'2019'!Maxi_hp)</f>
        <v>54.149543241445002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1.588345746073172E-2</v>
      </c>
      <c r="M185" s="843"/>
      <c r="N185" s="843"/>
      <c r="O185" s="48">
        <f>IF(t&lt;Tnet,'2019'!Resal+('2019'!Salim-'2019'!Resal)*(1-EXP(('2019'!Tnet-t)/('2019'!Tau_j))),Resal+(Salim-Resal)*(1-EXP((Tnet-t)/(Tau_j))))*Salcycl</f>
        <v>9.3919685617356113E-2</v>
      </c>
      <c r="P185" s="169">
        <f>(INDEX(Models!$BJ185:$BT185,,T185)*(1-R185)+INDEX(Models!$BJ185:$BT185,,T185+1)*R185-ERP_i)*Q185*Ramure*Pc/MaxiM</f>
        <v>1.5515030676014347E-3</v>
      </c>
      <c r="Q185" s="305">
        <f t="shared" si="51"/>
        <v>0.8</v>
      </c>
      <c r="R185" s="177">
        <f t="shared" si="52"/>
        <v>0.36064333133071685</v>
      </c>
      <c r="S185" s="809">
        <f t="shared" si="53"/>
        <v>0</v>
      </c>
      <c r="T185" s="176">
        <f t="shared" si="54"/>
        <v>6</v>
      </c>
      <c r="U185" s="251">
        <f t="shared" si="55"/>
        <v>0.36064333133071685</v>
      </c>
      <c r="V185" s="383">
        <f t="shared" si="56"/>
        <v>55.114557680439077</v>
      </c>
      <c r="W185" s="402"/>
      <c r="X185" s="157">
        <f t="shared" si="57"/>
        <v>44001</v>
      </c>
      <c r="Y185" s="385">
        <f t="shared" si="58"/>
        <v>47.978335278285783</v>
      </c>
      <c r="Z185" s="385">
        <f t="shared" si="59"/>
        <v>48.752696661809594</v>
      </c>
      <c r="AA185" s="386">
        <f t="shared" si="60"/>
        <v>53.806153701757829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9.3919685617356113E-2</v>
      </c>
      <c r="AD185" s="231">
        <f>(INDEX(Models!$BJ185:$BT185,,AH185)*(1-AF185)+INDEX(Models!$BJ185:$BT185,,AH185+1)*AF185-ERP_i)*AE185*Ramure*Pc/MaxiM</f>
        <v>7.7206369271119362E-3</v>
      </c>
      <c r="AE185" s="305">
        <f t="shared" si="62"/>
        <v>0.8</v>
      </c>
      <c r="AF185" s="177">
        <f t="shared" si="63"/>
        <v>0.56057690548323813</v>
      </c>
      <c r="AG185" s="809">
        <f t="shared" si="71"/>
        <v>1</v>
      </c>
      <c r="AH185" s="176">
        <f t="shared" si="64"/>
        <v>7</v>
      </c>
      <c r="AI185" s="225">
        <f t="shared" si="65"/>
        <v>1.5605769054832381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6">
        <v>46.32</v>
      </c>
      <c r="C186" s="390"/>
      <c r="D186" s="393">
        <f t="shared" si="48"/>
        <v>47.068691518623204</v>
      </c>
      <c r="E186" s="385">
        <f t="shared" si="72"/>
        <v>51.955107826502086</v>
      </c>
      <c r="F186" s="385">
        <f t="shared" si="49"/>
        <v>52.018835844669908</v>
      </c>
      <c r="G186" s="110">
        <f t="shared" si="73"/>
        <v>0.84111122049469955</v>
      </c>
      <c r="H186" s="414" t="b">
        <f>Wh_hp&gt;='2019'!Maxi_hp</f>
        <v>1</v>
      </c>
      <c r="I186" s="380">
        <f>IF(H186,Wh_hp,'2019'!Maxi_hp)</f>
        <v>52.018835844669908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1.5906359290378314E-2</v>
      </c>
      <c r="M186" s="843"/>
      <c r="N186" s="843"/>
      <c r="O186" s="48">
        <f>IF(t&lt;Tnet,'2019'!Resal+('2019'!Salim-'2019'!Resal)*(1-EXP(('2019'!Tnet-t)/('2019'!Tau_j))),Resal+(Salim-Resal)*(1-EXP((Tnet-t)/(Tau_j))))*Salcycl</f>
        <v>9.4050739422897267E-2</v>
      </c>
      <c r="P186" s="169">
        <f>(INDEX(Models!$BJ186:$BT186,,T186)*(1-R186)+INDEX(Models!$BJ186:$BT186,,T186+1)*R186-ERP_i)*Q186*Ramure*Pc/MaxiM</f>
        <v>1.5839399814311101E-3</v>
      </c>
      <c r="Q186" s="305">
        <f t="shared" si="51"/>
        <v>0.8</v>
      </c>
      <c r="R186" s="177">
        <f t="shared" si="52"/>
        <v>0.3665394071902689</v>
      </c>
      <c r="S186" s="809">
        <f t="shared" si="53"/>
        <v>0</v>
      </c>
      <c r="T186" s="176">
        <f t="shared" si="54"/>
        <v>6</v>
      </c>
      <c r="U186" s="251">
        <f t="shared" si="55"/>
        <v>0.3665394071902689</v>
      </c>
      <c r="V186" s="383">
        <f t="shared" si="56"/>
        <v>55.050220216166579</v>
      </c>
      <c r="W186" s="402"/>
      <c r="X186" s="157">
        <f t="shared" si="57"/>
        <v>44002</v>
      </c>
      <c r="Y186" s="385">
        <f t="shared" si="58"/>
        <v>46.097285487525546</v>
      </c>
      <c r="Z186" s="385">
        <f t="shared" si="59"/>
        <v>46.842377168787699</v>
      </c>
      <c r="AA186" s="386">
        <f t="shared" si="60"/>
        <v>51.705298748131248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9.4050739422897267E-2</v>
      </c>
      <c r="AD186" s="231">
        <f>(INDEX(Models!$BJ186:$BT186,,AH186)*(1-AF186)+INDEX(Models!$BJ186:$BT186,,AH186+1)*AF186-ERP_i)*AE186*Ramure*Pc/MaxiM</f>
        <v>7.792866578113425E-3</v>
      </c>
      <c r="AE186" s="305">
        <f t="shared" si="62"/>
        <v>0.8</v>
      </c>
      <c r="AF186" s="177">
        <f t="shared" si="63"/>
        <v>0.56647298134279023</v>
      </c>
      <c r="AG186" s="809">
        <f t="shared" si="71"/>
        <v>1</v>
      </c>
      <c r="AH186" s="176">
        <f t="shared" si="64"/>
        <v>7</v>
      </c>
      <c r="AI186" s="225">
        <f t="shared" si="65"/>
        <v>1.5664729813427902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6">
        <v>56.158000000000001</v>
      </c>
      <c r="C187" s="390"/>
      <c r="D187" s="393">
        <f t="shared" si="48"/>
        <v>57.067035682314987</v>
      </c>
      <c r="E187" s="385">
        <f t="shared" si="72"/>
        <v>63.000428863033079</v>
      </c>
      <c r="F187" s="385">
        <f t="shared" si="49"/>
        <v>63.102397192098245</v>
      </c>
      <c r="G187" s="110">
        <f t="shared" si="73"/>
        <v>1.0213740006947696</v>
      </c>
      <c r="H187" s="414" t="b">
        <f>Wh_hp&gt;='2019'!Maxi_hp</f>
        <v>1</v>
      </c>
      <c r="I187" s="380">
        <f>IF(H187,Wh_hp,'2019'!Maxi_hp)</f>
        <v>63.102397192098245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1.5929260587065897E-2</v>
      </c>
      <c r="M187" s="843"/>
      <c r="N187" s="843"/>
      <c r="O187" s="48">
        <f>IF(t&lt;Tnet,'2019'!Resal+('2019'!Salim-'2019'!Resal)*(1-EXP(('2019'!Tnet-t)/('2019'!Tau_j))),Resal+(Salim-Resal)*(1-EXP((Tnet-t)/(Tau_j))))*Salcycl</f>
        <v>9.4180203020802669E-2</v>
      </c>
      <c r="P187" s="169">
        <f>(INDEX(Models!$BJ187:$BT187,,T187)*(1-R187)+INDEX(Models!$BJ187:$BT187,,T187+1)*R187-ERP_i)*Q187*Ramure*Pc/MaxiM</f>
        <v>1.6159184690678703E-3</v>
      </c>
      <c r="Q187" s="305">
        <f t="shared" si="51"/>
        <v>0.8</v>
      </c>
      <c r="R187" s="177">
        <f t="shared" si="52"/>
        <v>0.37238188191837401</v>
      </c>
      <c r="S187" s="809">
        <f t="shared" si="53"/>
        <v>0</v>
      </c>
      <c r="T187" s="176">
        <f t="shared" si="54"/>
        <v>6</v>
      </c>
      <c r="U187" s="251">
        <f t="shared" si="55"/>
        <v>0.37238188191837401</v>
      </c>
      <c r="V187" s="383">
        <f t="shared" si="56"/>
        <v>54.982797644936753</v>
      </c>
      <c r="W187" s="402"/>
      <c r="X187" s="157">
        <f t="shared" si="57"/>
        <v>44003</v>
      </c>
      <c r="Y187" s="385">
        <f t="shared" si="58"/>
        <v>55.806669260961201</v>
      </c>
      <c r="Z187" s="385">
        <f t="shared" si="59"/>
        <v>56.710017914213886</v>
      </c>
      <c r="AA187" s="386">
        <f t="shared" si="60"/>
        <v>62.606291122511493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9.4180203020802669E-2</v>
      </c>
      <c r="AD187" s="231">
        <f>(INDEX(Models!$BJ187:$BT187,,AH187)*(1-AF187)+INDEX(Models!$BJ187:$BT187,,AH187+1)*AF187-ERP_i)*AE187*Ramure*Pc/MaxiM</f>
        <v>7.8619211260150621E-3</v>
      </c>
      <c r="AE187" s="305">
        <f t="shared" si="62"/>
        <v>0.8</v>
      </c>
      <c r="AF187" s="177">
        <f t="shared" si="63"/>
        <v>0.57231545607089518</v>
      </c>
      <c r="AG187" s="809">
        <f t="shared" si="71"/>
        <v>1</v>
      </c>
      <c r="AH187" s="176">
        <f t="shared" si="64"/>
        <v>7</v>
      </c>
      <c r="AI187" s="225">
        <f t="shared" si="65"/>
        <v>1.5723154560708952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6">
        <v>48.451999999999998</v>
      </c>
      <c r="C188" s="390"/>
      <c r="D188" s="393">
        <f t="shared" si="48"/>
        <v>49.237443645534832</v>
      </c>
      <c r="E188" s="385">
        <f t="shared" si="72"/>
        <v>54.364449699424711</v>
      </c>
      <c r="F188" s="385">
        <f t="shared" si="49"/>
        <v>54.439058781268628</v>
      </c>
      <c r="G188" s="110">
        <f t="shared" si="73"/>
        <v>0.88210784426693534</v>
      </c>
      <c r="H188" s="414" t="b">
        <f>Wh_hp&gt;='2019'!Maxi_hp</f>
        <v>1</v>
      </c>
      <c r="I188" s="380">
        <f>IF(H188,Wh_hp,'2019'!Maxi_hp)</f>
        <v>54.439058781268628</v>
      </c>
      <c r="J188" s="85">
        <f>IF(H188,An,'2019'!An_max)</f>
        <v>2020</v>
      </c>
      <c r="K188" s="197">
        <f t="shared" si="50"/>
        <v>44004</v>
      </c>
      <c r="L188" s="147">
        <f>IF(t&lt;Tvie,1-EXP((T0-t)*PertePVj)+'2019'!Pspv,1-EXP((T0-t)*PertePVj)+Pspv)</f>
        <v>1.5952161350806904E-2</v>
      </c>
      <c r="M188" s="843"/>
      <c r="N188" s="843"/>
      <c r="O188" s="48">
        <f>IF(t&lt;Tnet,'2019'!Resal+('2019'!Salim-'2019'!Resal)*(1-EXP(('2019'!Tnet-t)/('2019'!Tau_j))),Resal+(Salim-Resal)*(1-EXP((Tnet-t)/(Tau_j))))*Salcycl</f>
        <v>9.4308064962241922E-2</v>
      </c>
      <c r="P188" s="169">
        <f>(INDEX(Models!$BJ188:$BT188,,T188)*(1-R188)+INDEX(Models!$BJ188:$BT188,,T188+1)*R188-ERP_i)*Q188*Ramure*Pc/MaxiM</f>
        <v>1.6473777656256941E-3</v>
      </c>
      <c r="Q188" s="305">
        <f t="shared" si="51"/>
        <v>0.8</v>
      </c>
      <c r="R188" s="177">
        <f t="shared" si="52"/>
        <v>0.37816661971584037</v>
      </c>
      <c r="S188" s="809">
        <f t="shared" si="53"/>
        <v>0</v>
      </c>
      <c r="T188" s="176">
        <f t="shared" si="54"/>
        <v>6</v>
      </c>
      <c r="U188" s="251">
        <f t="shared" si="55"/>
        <v>0.37816661971584037</v>
      </c>
      <c r="V188" s="383">
        <f t="shared" si="56"/>
        <v>54.91229551565484</v>
      </c>
      <c r="W188" s="402"/>
      <c r="X188" s="157">
        <f t="shared" si="57"/>
        <v>44004</v>
      </c>
      <c r="Y188" s="385">
        <f t="shared" si="58"/>
        <v>48.198504174627089</v>
      </c>
      <c r="Z188" s="385">
        <f t="shared" si="59"/>
        <v>48.979838460688448</v>
      </c>
      <c r="AA188" s="386">
        <f t="shared" si="60"/>
        <v>54.080020552072696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9.4308064962241922E-2</v>
      </c>
      <c r="AD188" s="231">
        <f>(INDEX(Models!$BJ188:$BT188,,AH188)*(1-AF188)+INDEX(Models!$BJ188:$BT188,,AH188+1)*AF188-ERP_i)*AE188*Ramure*Pc/MaxiM</f>
        <v>7.9276085587590243E-3</v>
      </c>
      <c r="AE188" s="305">
        <f t="shared" si="62"/>
        <v>0.8</v>
      </c>
      <c r="AF188" s="177">
        <f t="shared" si="63"/>
        <v>0.57810019386836164</v>
      </c>
      <c r="AG188" s="809">
        <f t="shared" si="71"/>
        <v>1</v>
      </c>
      <c r="AH188" s="176">
        <f t="shared" si="64"/>
        <v>7</v>
      </c>
      <c r="AI188" s="225">
        <f t="shared" si="65"/>
        <v>1.5781001938683616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6">
        <v>54.871000000000002</v>
      </c>
      <c r="C189" s="390"/>
      <c r="D189" s="393">
        <f t="shared" si="48"/>
        <v>55.76179815949952</v>
      </c>
      <c r="E189" s="385">
        <f t="shared" si="72"/>
        <v>61.576757256179924</v>
      </c>
      <c r="F189" s="385">
        <f t="shared" si="49"/>
        <v>61.680272578542535</v>
      </c>
      <c r="G189" s="110">
        <f t="shared" si="73"/>
        <v>1.0005886521346468</v>
      </c>
      <c r="H189" s="414" t="b">
        <f>Wh_hp&gt;='2019'!Maxi_hp</f>
        <v>1</v>
      </c>
      <c r="I189" s="380">
        <f>IF(H189,Wh_hp,'2019'!Maxi_hp)</f>
        <v>61.680272578542535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1.5975061581613659E-2</v>
      </c>
      <c r="M189" s="843"/>
      <c r="N189" s="843"/>
      <c r="O189" s="48">
        <f>IF(t&lt;Tnet,'2019'!Resal+('2019'!Salim-'2019'!Resal)*(1-EXP(('2019'!Tnet-t)/('2019'!Tau_j))),Resal+(Salim-Resal)*(1-EXP((Tnet-t)/(Tau_j))))*Salcycl</f>
        <v>9.4434318333591782E-2</v>
      </c>
      <c r="P189" s="169">
        <f>(INDEX(Models!$BJ189:$BT189,,T189)*(1-R189)+INDEX(Models!$BJ189:$BT189,,T189+1)*R189-ERP_i)*Q189*Ramure*Pc/MaxiM</f>
        <v>1.6782565646219481E-3</v>
      </c>
      <c r="Q189" s="305">
        <f t="shared" si="51"/>
        <v>0.8</v>
      </c>
      <c r="R189" s="177">
        <f t="shared" si="52"/>
        <v>0.38388966257369123</v>
      </c>
      <c r="S189" s="809">
        <f t="shared" si="53"/>
        <v>0</v>
      </c>
      <c r="T189" s="176">
        <f t="shared" si="54"/>
        <v>6</v>
      </c>
      <c r="U189" s="251">
        <f t="shared" si="55"/>
        <v>0.38388966257369123</v>
      </c>
      <c r="V189" s="383">
        <f t="shared" si="56"/>
        <v>54.838719070957588</v>
      </c>
      <c r="W189" s="402"/>
      <c r="X189" s="157">
        <f t="shared" si="57"/>
        <v>44005</v>
      </c>
      <c r="Y189" s="385">
        <f t="shared" si="58"/>
        <v>54.524100650538962</v>
      </c>
      <c r="Z189" s="385">
        <f t="shared" si="59"/>
        <v>55.409267104729089</v>
      </c>
      <c r="AA189" s="386">
        <f t="shared" si="60"/>
        <v>61.187463512051167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9.4434318333591782E-2</v>
      </c>
      <c r="AD189" s="231">
        <f>(INDEX(Models!$BJ189:$BT189,,AH189)*(1-AF189)+INDEX(Models!$BJ189:$BT189,,AH189+1)*AF189-ERP_i)*AE189*Ramure*Pc/MaxiM</f>
        <v>7.9897355489769607E-3</v>
      </c>
      <c r="AE189" s="305">
        <f t="shared" si="62"/>
        <v>0.8</v>
      </c>
      <c r="AF189" s="177">
        <f t="shared" si="63"/>
        <v>0.58382323672621239</v>
      </c>
      <c r="AG189" s="809">
        <f t="shared" si="71"/>
        <v>1</v>
      </c>
      <c r="AH189" s="176">
        <f t="shared" si="64"/>
        <v>7</v>
      </c>
      <c r="AI189" s="225">
        <f t="shared" si="65"/>
        <v>1.5838232367262124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6">
        <v>48.201000000000001</v>
      </c>
      <c r="C190" s="390"/>
      <c r="D190" s="393">
        <f t="shared" si="48"/>
        <v>48.984654607703654</v>
      </c>
      <c r="E190" s="385">
        <f t="shared" si="72"/>
        <v>54.100325125389958</v>
      </c>
      <c r="F190" s="385">
        <f t="shared" si="49"/>
        <v>54.17704447638863</v>
      </c>
      <c r="G190" s="110">
        <f t="shared" si="73"/>
        <v>0.87993172728398572</v>
      </c>
      <c r="H190" s="414" t="b">
        <f>Wh_hp&gt;='2019'!Maxi_hp</f>
        <v>0</v>
      </c>
      <c r="I190" s="380">
        <f>IF(H190,Wh_hp,'2019'!Maxi_hp)</f>
        <v>57.557600167598451</v>
      </c>
      <c r="J190" s="85">
        <f>IF(H190,An,'2019'!An_max)</f>
        <v>2019</v>
      </c>
      <c r="K190" s="197">
        <f t="shared" si="50"/>
        <v>44006</v>
      </c>
      <c r="L190" s="147">
        <f>IF(t&lt;Tvie,1-EXP((T0-t)*PertePVj)+'2019'!Pspv,1-EXP((T0-t)*PertePVj)+Pspv)</f>
        <v>1.5997961279498596E-2</v>
      </c>
      <c r="M190" s="843"/>
      <c r="N190" s="843"/>
      <c r="O190" s="48">
        <f>IF(t&lt;Tnet,'2019'!Resal+('2019'!Salim-'2019'!Resal)*(1-EXP(('2019'!Tnet-t)/('2019'!Tau_j))),Resal+(Salim-Resal)*(1-EXP((Tnet-t)/(Tau_j))))*Salcycl</f>
        <v>9.4558960705495951E-2</v>
      </c>
      <c r="P190" s="169">
        <f>(INDEX(Models!$BJ190:$BT190,,T190)*(1-R190)+INDEX(Models!$BJ190:$BT190,,T190+1)*R190-ERP_i)*Q190*Ramure*Pc/MaxiM</f>
        <v>1.7085110806776807E-3</v>
      </c>
      <c r="Q190" s="305">
        <f t="shared" si="51"/>
        <v>0.8</v>
      </c>
      <c r="R190" s="177">
        <f t="shared" si="52"/>
        <v>0.38954723944286224</v>
      </c>
      <c r="S190" s="809">
        <f t="shared" si="53"/>
        <v>0</v>
      </c>
      <c r="T190" s="176">
        <f t="shared" si="54"/>
        <v>6</v>
      </c>
      <c r="U190" s="251">
        <f t="shared" si="55"/>
        <v>0.38954723944286224</v>
      </c>
      <c r="V190" s="383">
        <f t="shared" si="56"/>
        <v>54.76207225334565</v>
      </c>
      <c r="W190" s="402"/>
      <c r="X190" s="157">
        <f t="shared" si="57"/>
        <v>44006</v>
      </c>
      <c r="Y190" s="385">
        <f t="shared" si="58"/>
        <v>47.947364102817609</v>
      </c>
      <c r="Z190" s="385">
        <f t="shared" si="59"/>
        <v>48.726895083635803</v>
      </c>
      <c r="AA190" s="386">
        <f t="shared" si="60"/>
        <v>53.815646705833572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9.4558960705495951E-2</v>
      </c>
      <c r="AD190" s="231">
        <f>(INDEX(Models!$BJ190:$BT190,,AH190)*(1-AF190)+INDEX(Models!$BJ190:$BT190,,AH190+1)*AF190-ERP_i)*AE190*Ramure*Pc/MaxiM</f>
        <v>8.0481923724330783E-3</v>
      </c>
      <c r="AE190" s="305">
        <f t="shared" si="62"/>
        <v>0.8</v>
      </c>
      <c r="AF190" s="177">
        <f t="shared" si="63"/>
        <v>0.58948081359538351</v>
      </c>
      <c r="AG190" s="809">
        <f t="shared" si="71"/>
        <v>1</v>
      </c>
      <c r="AH190" s="176">
        <f t="shared" si="64"/>
        <v>7</v>
      </c>
      <c r="AI190" s="225">
        <f t="shared" si="65"/>
        <v>1.5894808135953835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6">
        <v>44.478000000000002</v>
      </c>
      <c r="C191" s="390"/>
      <c r="D191" s="393">
        <f t="shared" si="48"/>
        <v>45.202177782032244</v>
      </c>
      <c r="E191" s="385">
        <f t="shared" si="72"/>
        <v>49.92961311417838</v>
      </c>
      <c r="F191" s="385">
        <f t="shared" si="49"/>
        <v>49.993341784225549</v>
      </c>
      <c r="G191" s="110">
        <f t="shared" si="73"/>
        <v>0.81301110067199578</v>
      </c>
      <c r="H191" s="414" t="b">
        <f>Wh_hp&gt;='2019'!Maxi_hp</f>
        <v>0</v>
      </c>
      <c r="I191" s="380">
        <f>IF(H191,Wh_hp,'2019'!Maxi_hp)</f>
        <v>59.355416952943592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1.6020860444474039E-2</v>
      </c>
      <c r="M191" s="843"/>
      <c r="N191" s="843"/>
      <c r="O191" s="48">
        <f>IF(t&lt;Tnet,'2019'!Resal+('2019'!Salim-'2019'!Resal)*(1-EXP(('2019'!Tnet-t)/('2019'!Tau_j))),Resal+(Salim-Resal)*(1-EXP((Tnet-t)/(Tau_j))))*Salcycl</f>
        <v>9.4681994057023877E-2</v>
      </c>
      <c r="P191" s="169">
        <f>(INDEX(Models!$BJ191:$BT191,,T191)*(1-R191)+INDEX(Models!$BJ191:$BT191,,T191+1)*R191-ERP_i)*Q191*Ramure*Pc/MaxiM</f>
        <v>1.7380994263873615E-3</v>
      </c>
      <c r="Q191" s="305">
        <f t="shared" si="51"/>
        <v>0.8</v>
      </c>
      <c r="R191" s="177">
        <f t="shared" si="52"/>
        <v>0.39513577425186097</v>
      </c>
      <c r="S191" s="809">
        <f t="shared" si="53"/>
        <v>0</v>
      </c>
      <c r="T191" s="176">
        <f t="shared" si="54"/>
        <v>6</v>
      </c>
      <c r="U191" s="251">
        <f t="shared" si="55"/>
        <v>0.39513577425186097</v>
      </c>
      <c r="V191" s="383">
        <f t="shared" si="56"/>
        <v>54.682358577797643</v>
      </c>
      <c r="W191" s="402"/>
      <c r="X191" s="157">
        <f t="shared" si="57"/>
        <v>44007</v>
      </c>
      <c r="Y191" s="385">
        <f t="shared" si="58"/>
        <v>44.27011152127973</v>
      </c>
      <c r="Z191" s="385">
        <f t="shared" si="59"/>
        <v>44.990904523928243</v>
      </c>
      <c r="AA191" s="386">
        <f t="shared" si="60"/>
        <v>49.696244003305637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9.4681994057023877E-2</v>
      </c>
      <c r="AD191" s="231">
        <f>(INDEX(Models!$BJ191:$BT191,,AH191)*(1-AF191)+INDEX(Models!$BJ191:$BT191,,AH191+1)*AF191-ERP_i)*AE191*Ramure*Pc/MaxiM</f>
        <v>8.1028755537448354E-3</v>
      </c>
      <c r="AE191" s="305">
        <f t="shared" si="62"/>
        <v>0.8</v>
      </c>
      <c r="AF191" s="177">
        <f t="shared" si="63"/>
        <v>0.5950693484043823</v>
      </c>
      <c r="AG191" s="809">
        <f t="shared" si="71"/>
        <v>1</v>
      </c>
      <c r="AH191" s="176">
        <f t="shared" si="64"/>
        <v>7</v>
      </c>
      <c r="AI191" s="225">
        <f t="shared" si="65"/>
        <v>1.5950693484043823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6">
        <v>42.265000000000001</v>
      </c>
      <c r="C192" s="390"/>
      <c r="D192" s="393">
        <f t="shared" si="48"/>
        <v>42.954145969270037</v>
      </c>
      <c r="E192" s="385">
        <f t="shared" si="72"/>
        <v>47.452837472205914</v>
      </c>
      <c r="F192" s="385">
        <f t="shared" si="49"/>
        <v>47.509688373856832</v>
      </c>
      <c r="G192" s="110">
        <f t="shared" si="73"/>
        <v>0.77364814497297896</v>
      </c>
      <c r="H192" s="414" t="b">
        <f>Wh_hp&gt;='2019'!Maxi_hp</f>
        <v>0</v>
      </c>
      <c r="I192" s="380">
        <f>IF(H192,Wh_hp,'2019'!Maxi_hp)</f>
        <v>59.191456400170118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1.6043759076552533E-2</v>
      </c>
      <c r="M192" s="843"/>
      <c r="N192" s="843"/>
      <c r="O192" s="48">
        <f>IF(t&lt;Tnet,'2019'!Resal+('2019'!Salim-'2019'!Resal)*(1-EXP(('2019'!Tnet-t)/('2019'!Tau_j))),Resal+(Salim-Resal)*(1-EXP((Tnet-t)/(Tau_j))))*Salcycl</f>
        <v>9.4803424675518097E-2</v>
      </c>
      <c r="P192" s="169">
        <f>(INDEX(Models!$BJ192:$BT192,,T192)*(1-R192)+INDEX(Models!$BJ192:$BT192,,T192+1)*R192-ERP_i)*Q192*Ramure*Pc/MaxiM</f>
        <v>1.7668202296090443E-3</v>
      </c>
      <c r="Q192" s="305">
        <f t="shared" si="51"/>
        <v>0.8</v>
      </c>
      <c r="R192" s="177">
        <f t="shared" si="52"/>
        <v>0.40065189275312157</v>
      </c>
      <c r="S192" s="809">
        <f t="shared" si="53"/>
        <v>0</v>
      </c>
      <c r="T192" s="176">
        <f t="shared" si="54"/>
        <v>6</v>
      </c>
      <c r="U192" s="251">
        <f t="shared" si="55"/>
        <v>0.40065189275312157</v>
      </c>
      <c r="V192" s="383">
        <f t="shared" si="56"/>
        <v>54.599589959812782</v>
      </c>
      <c r="W192" s="402"/>
      <c r="X192" s="157">
        <f t="shared" si="57"/>
        <v>44008</v>
      </c>
      <c r="Y192" s="385">
        <f t="shared" si="58"/>
        <v>42.081994191992244</v>
      </c>
      <c r="Z192" s="385">
        <f t="shared" si="59"/>
        <v>42.768156185988616</v>
      </c>
      <c r="AA192" s="386">
        <f t="shared" si="60"/>
        <v>47.247368529490622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9.4803424675518097E-2</v>
      </c>
      <c r="AD192" s="231">
        <f>(INDEX(Models!$BJ192:$BT192,,AH192)*(1-AF192)+INDEX(Models!$BJ192:$BT192,,AH192+1)*AF192-ERP_i)*AE192*Ramure*Pc/MaxiM</f>
        <v>8.1524126125564842E-3</v>
      </c>
      <c r="AE192" s="305">
        <f t="shared" si="62"/>
        <v>0.8</v>
      </c>
      <c r="AF192" s="177">
        <f t="shared" si="63"/>
        <v>0.60058546690564274</v>
      </c>
      <c r="AG192" s="809">
        <f t="shared" si="71"/>
        <v>1</v>
      </c>
      <c r="AH192" s="176">
        <f t="shared" si="64"/>
        <v>7</v>
      </c>
      <c r="AI192" s="225">
        <f t="shared" si="65"/>
        <v>1.6005854669056427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6">
        <v>38.706000000000003</v>
      </c>
      <c r="C193" s="390"/>
      <c r="D193" s="393">
        <f t="shared" si="48"/>
        <v>39.338030652462109</v>
      </c>
      <c r="E193" s="385">
        <f t="shared" si="72"/>
        <v>43.463751796652907</v>
      </c>
      <c r="F193" s="385">
        <f t="shared" si="49"/>
        <v>43.509493850785397</v>
      </c>
      <c r="G193" s="110">
        <f t="shared" si="73"/>
        <v>0.7094941209965403</v>
      </c>
      <c r="H193" s="414" t="b">
        <f>Wh_hp&gt;='2019'!Maxi_hp</f>
        <v>0</v>
      </c>
      <c r="I193" s="380">
        <f>IF(H193,Wh_hp,'2019'!Maxi_hp)</f>
        <v>59.69741705865998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1.6066657175746291E-2</v>
      </c>
      <c r="M193" s="843"/>
      <c r="N193" s="843"/>
      <c r="O193" s="48">
        <f>IF(t&lt;Tnet,'2019'!Resal+('2019'!Salim-'2019'!Resal)*(1-EXP(('2019'!Tnet-t)/('2019'!Tau_j))),Resal+(Salim-Resal)*(1-EXP((Tnet-t)/(Tau_j))))*Salcycl</f>
        <v>9.4923263032910016E-2</v>
      </c>
      <c r="P193" s="169">
        <f>(INDEX(Models!$BJ193:$BT193,,T193)*(1-R193)+INDEX(Models!$BJ193:$BT193,,T193+1)*R193-ERP_i)*Q193*Ramure*Pc/MaxiM</f>
        <v>1.7948240942575802E-3</v>
      </c>
      <c r="Q193" s="305">
        <f t="shared" si="51"/>
        <v>0.8</v>
      </c>
      <c r="R193" s="177">
        <f t="shared" si="52"/>
        <v>0.40609242819011698</v>
      </c>
      <c r="S193" s="809">
        <f t="shared" si="53"/>
        <v>0</v>
      </c>
      <c r="T193" s="176">
        <f t="shared" si="54"/>
        <v>6</v>
      </c>
      <c r="U193" s="251">
        <f t="shared" si="55"/>
        <v>0.40609242819011698</v>
      </c>
      <c r="V193" s="383">
        <f t="shared" si="56"/>
        <v>54.513758733711079</v>
      </c>
      <c r="W193" s="402"/>
      <c r="X193" s="157">
        <f t="shared" si="57"/>
        <v>44009</v>
      </c>
      <c r="Y193" s="385">
        <f t="shared" si="58"/>
        <v>38.560672276567544</v>
      </c>
      <c r="Z193" s="385">
        <f t="shared" si="59"/>
        <v>39.190329871212725</v>
      </c>
      <c r="AA193" s="386">
        <f t="shared" si="60"/>
        <v>43.300560350870832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9.4923263032910016E-2</v>
      </c>
      <c r="AD193" s="231">
        <f>(INDEX(Models!$BJ193:$BT193,,AH193)*(1-AF193)+INDEX(Models!$BJ193:$BT193,,AH193+1)*AF193-ERP_i)*AE193*Ramure*Pc/MaxiM</f>
        <v>8.1981206759549983E-3</v>
      </c>
      <c r="AE193" s="305">
        <f t="shared" si="62"/>
        <v>0.8</v>
      </c>
      <c r="AF193" s="177">
        <f t="shared" si="63"/>
        <v>0.60602600234263826</v>
      </c>
      <c r="AG193" s="809">
        <f t="shared" si="71"/>
        <v>1</v>
      </c>
      <c r="AH193" s="176">
        <f t="shared" si="64"/>
        <v>7</v>
      </c>
      <c r="AI193" s="225">
        <f t="shared" si="65"/>
        <v>1.6060260023426383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6">
        <v>44.484000000000002</v>
      </c>
      <c r="C194" s="390"/>
      <c r="D194" s="393">
        <f t="shared" si="48"/>
        <v>45.211431807026429</v>
      </c>
      <c r="E194" s="385">
        <f t="shared" si="72"/>
        <v>49.959675485723103</v>
      </c>
      <c r="F194" s="385">
        <f t="shared" si="49"/>
        <v>50.027043770072162</v>
      </c>
      <c r="G194" s="110">
        <f t="shared" si="73"/>
        <v>0.81695784347909517</v>
      </c>
      <c r="H194" s="414" t="b">
        <f>Wh_hp&gt;='2019'!Maxi_hp</f>
        <v>0</v>
      </c>
      <c r="I194" s="380">
        <f>IF(H194,Wh_hp,'2019'!Maxi_hp)</f>
        <v>56.750661085147328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1.6089554742067969E-2</v>
      </c>
      <c r="M194" s="843"/>
      <c r="N194" s="843"/>
      <c r="O194" s="48">
        <f>IF(t&lt;Tnet,'2019'!Resal+('2019'!Salim-'2019'!Resal)*(1-EXP(('2019'!Tnet-t)/('2019'!Tau_j))),Resal+(Salim-Resal)*(1-EXP((Tnet-t)/(Tau_j))))*Salcycl</f>
        <v>9.5041523639471437E-2</v>
      </c>
      <c r="P194" s="169">
        <f>(INDEX(Models!$BJ194:$BT194,,T194)*(1-R194)+INDEX(Models!$BJ194:$BT194,,T194+1)*R194-ERP_i)*Q194*Ramure*Pc/MaxiM</f>
        <v>1.8220772270579491E-3</v>
      </c>
      <c r="Q194" s="305">
        <f t="shared" si="51"/>
        <v>0.8</v>
      </c>
      <c r="R194" s="177">
        <f t="shared" si="52"/>
        <v>0.41145442578824376</v>
      </c>
      <c r="S194" s="809">
        <f t="shared" si="53"/>
        <v>0</v>
      </c>
      <c r="T194" s="176">
        <f t="shared" si="54"/>
        <v>6</v>
      </c>
      <c r="U194" s="251">
        <f t="shared" si="55"/>
        <v>0.41145442578824376</v>
      </c>
      <c r="V194" s="383">
        <f t="shared" si="56"/>
        <v>54.424867044465103</v>
      </c>
      <c r="W194" s="402"/>
      <c r="X194" s="157">
        <f t="shared" si="57"/>
        <v>44010</v>
      </c>
      <c r="Y194" s="385">
        <f t="shared" si="58"/>
        <v>44.27271824228152</v>
      </c>
      <c r="Z194" s="385">
        <f t="shared" si="59"/>
        <v>44.996695030181769</v>
      </c>
      <c r="AA194" s="386">
        <f t="shared" si="60"/>
        <v>49.722386391854108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9.5041523639471437E-2</v>
      </c>
      <c r="AD194" s="231">
        <f>(INDEX(Models!$BJ194:$BT194,,AH194)*(1-AF194)+INDEX(Models!$BJ194:$BT194,,AH194+1)*AF194-ERP_i)*AE194*Ramure*Pc/MaxiM</f>
        <v>8.2399199604083501E-3</v>
      </c>
      <c r="AE194" s="305">
        <f t="shared" si="62"/>
        <v>0.8</v>
      </c>
      <c r="AF194" s="177">
        <f t="shared" si="63"/>
        <v>0.61138799994076498</v>
      </c>
      <c r="AG194" s="809">
        <f t="shared" si="71"/>
        <v>1</v>
      </c>
      <c r="AH194" s="176">
        <f t="shared" si="64"/>
        <v>7</v>
      </c>
      <c r="AI194" s="225">
        <f t="shared" si="65"/>
        <v>1.611387999940765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6">
        <v>24.356000000000002</v>
      </c>
      <c r="C195" s="390"/>
      <c r="D195" s="393">
        <f t="shared" si="48"/>
        <v>24.754861512327292</v>
      </c>
      <c r="E195" s="385">
        <f t="shared" si="72"/>
        <v>27.358221285637299</v>
      </c>
      <c r="F195" s="385">
        <f t="shared" si="49"/>
        <v>27.368937807078165</v>
      </c>
      <c r="G195" s="110">
        <f t="shared" si="73"/>
        <v>0.44761999082933868</v>
      </c>
      <c r="H195" s="414" t="b">
        <f>Wh_hp&gt;='2019'!Maxi_hp</f>
        <v>0</v>
      </c>
      <c r="I195" s="380">
        <f>IF(H195,Wh_hp,'2019'!Maxi_hp)</f>
        <v>53.913631634693168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1.6112451775529779E-2</v>
      </c>
      <c r="M195" s="843"/>
      <c r="N195" s="843"/>
      <c r="O195" s="48">
        <f>IF(t&lt;Tnet,'2019'!Resal+('2019'!Salim-'2019'!Resal)*(1-EXP(('2019'!Tnet-t)/('2019'!Tau_j))),Resal+(Salim-Resal)*(1-EXP((Tnet-t)/(Tau_j))))*Salcycl</f>
        <v>9.5158224876144851E-2</v>
      </c>
      <c r="P195" s="169">
        <f>(INDEX(Models!$BJ195:$BT195,,T195)*(1-R195)+INDEX(Models!$BJ195:$BT195,,T195+1)*R195-ERP_i)*Q195*Ramure*Pc/MaxiM</f>
        <v>1.848548104645274E-3</v>
      </c>
      <c r="Q195" s="305">
        <f t="shared" si="51"/>
        <v>0.8</v>
      </c>
      <c r="R195" s="177">
        <f t="shared" si="52"/>
        <v>0.41673514608291046</v>
      </c>
      <c r="S195" s="809">
        <f t="shared" si="53"/>
        <v>0</v>
      </c>
      <c r="T195" s="176">
        <f t="shared" si="54"/>
        <v>6</v>
      </c>
      <c r="U195" s="251">
        <f t="shared" si="55"/>
        <v>0.41673514608291046</v>
      </c>
      <c r="V195" s="383">
        <f t="shared" si="56"/>
        <v>54.332916630829075</v>
      </c>
      <c r="W195" s="402"/>
      <c r="X195" s="157">
        <f t="shared" si="57"/>
        <v>44011</v>
      </c>
      <c r="Y195" s="385">
        <f t="shared" si="58"/>
        <v>24.322818395126845</v>
      </c>
      <c r="Z195" s="385">
        <f t="shared" si="59"/>
        <v>24.721136515062071</v>
      </c>
      <c r="AA195" s="386">
        <f t="shared" si="60"/>
        <v>27.320949578923045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9.5158224876144851E-2</v>
      </c>
      <c r="AD195" s="231">
        <f>(INDEX(Models!$BJ195:$BT195,,AH195)*(1-AF195)+INDEX(Models!$BJ195:$BT195,,AH195+1)*AF195-ERP_i)*AE195*Ramure*Pc/MaxiM</f>
        <v>8.2777372014741814E-3</v>
      </c>
      <c r="AE195" s="305">
        <f t="shared" si="62"/>
        <v>0.8</v>
      </c>
      <c r="AF195" s="177">
        <f t="shared" si="63"/>
        <v>0.61666872023543173</v>
      </c>
      <c r="AG195" s="809">
        <f t="shared" si="71"/>
        <v>1</v>
      </c>
      <c r="AH195" s="176">
        <f t="shared" si="64"/>
        <v>7</v>
      </c>
      <c r="AI195" s="225">
        <f t="shared" si="65"/>
        <v>1.6166687202354317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6">
        <v>52.637999999999998</v>
      </c>
      <c r="C196" s="390"/>
      <c r="D196" s="393">
        <f t="shared" si="48"/>
        <v>53.501261487310813</v>
      </c>
      <c r="E196" s="385">
        <f t="shared" si="72"/>
        <v>59.135280012100488</v>
      </c>
      <c r="F196" s="385">
        <f t="shared" si="49"/>
        <v>59.241632276839347</v>
      </c>
      <c r="G196" s="110">
        <f t="shared" si="73"/>
        <v>0.97042523132599312</v>
      </c>
      <c r="H196" s="414" t="b">
        <f>Wh_hp&gt;='2019'!Maxi_hp</f>
        <v>1</v>
      </c>
      <c r="I196" s="380">
        <f>IF(H196,Wh_hp,'2019'!Maxi_hp)</f>
        <v>59.241632276839347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1.6135348276144157E-2</v>
      </c>
      <c r="M196" s="843"/>
      <c r="N196" s="843"/>
      <c r="O196" s="48">
        <f>IF(t&lt;Tnet,'2019'!Resal+('2019'!Salim-'2019'!Resal)*(1-EXP(('2019'!Tnet-t)/('2019'!Tau_j))),Resal+(Salim-Resal)*(1-EXP((Tnet-t)/(Tau_j))))*Salcycl</f>
        <v>9.5273388806763351E-2</v>
      </c>
      <c r="P196" s="169">
        <f>(INDEX(Models!$BJ196:$BT196,,T196)*(1-R196)+INDEX(Models!$BJ196:$BT196,,T196+1)*R196-ERP_i)*Q196*Ramure*Pc/MaxiM</f>
        <v>1.8742075232122291E-3</v>
      </c>
      <c r="Q196" s="305">
        <f t="shared" si="51"/>
        <v>0.8</v>
      </c>
      <c r="R196" s="177">
        <f t="shared" si="52"/>
        <v>0.42193206710804193</v>
      </c>
      <c r="S196" s="809">
        <f t="shared" si="53"/>
        <v>0</v>
      </c>
      <c r="T196" s="176">
        <f t="shared" si="54"/>
        <v>6</v>
      </c>
      <c r="U196" s="251">
        <f t="shared" si="55"/>
        <v>0.42193206710804193</v>
      </c>
      <c r="V196" s="383">
        <f t="shared" si="56"/>
        <v>54.237908830785614</v>
      </c>
      <c r="W196" s="402"/>
      <c r="X196" s="157">
        <f t="shared" si="57"/>
        <v>44012</v>
      </c>
      <c r="Y196" s="385">
        <f t="shared" si="58"/>
        <v>52.312848765342913</v>
      </c>
      <c r="Z196" s="385">
        <f t="shared" si="59"/>
        <v>53.170777782984842</v>
      </c>
      <c r="AA196" s="386">
        <f t="shared" si="60"/>
        <v>58.76999430011054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9.5273388806763351E-2</v>
      </c>
      <c r="AD196" s="231">
        <f>(INDEX(Models!$BJ196:$BT196,,AH196)*(1-AF196)+INDEX(Models!$BJ196:$BT196,,AH196+1)*AF196-ERP_i)*AE196*Ramure*Pc/MaxiM</f>
        <v>8.3115056025200515E-3</v>
      </c>
      <c r="AE196" s="305">
        <f t="shared" si="62"/>
        <v>0.8</v>
      </c>
      <c r="AF196" s="177">
        <f t="shared" si="63"/>
        <v>0.62186564126056321</v>
      </c>
      <c r="AG196" s="809">
        <f t="shared" si="71"/>
        <v>1</v>
      </c>
      <c r="AH196" s="176">
        <f t="shared" si="64"/>
        <v>7</v>
      </c>
      <c r="AI196" s="225">
        <f t="shared" si="65"/>
        <v>1.6218656412605632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6">
        <v>35.223999999999997</v>
      </c>
      <c r="C197" s="390"/>
      <c r="D197" s="393">
        <f t="shared" si="48"/>
        <v>35.802505630522425</v>
      </c>
      <c r="E197" s="385">
        <f t="shared" si="72"/>
        <v>39.577705883162693</v>
      </c>
      <c r="F197" s="385">
        <f t="shared" si="49"/>
        <v>39.61538696868427</v>
      </c>
      <c r="G197" s="110">
        <f t="shared" si="73"/>
        <v>0.64999412555779701</v>
      </c>
      <c r="H197" s="414" t="b">
        <f>Wh_hp&gt;='2019'!Maxi_hp</f>
        <v>1</v>
      </c>
      <c r="I197" s="380">
        <f>IF(H197,Wh_hp,'2019'!Maxi_hp)</f>
        <v>39.61538696868427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1.6158244243923536E-2</v>
      </c>
      <c r="M197" s="843"/>
      <c r="N197" s="843"/>
      <c r="O197" s="48">
        <f>IF(t&lt;Tnet,'2019'!Resal+('2019'!Salim-'2019'!Resal)*(1-EXP(('2019'!Tnet-t)/('2019'!Tau_j))),Resal+(Salim-Resal)*(1-EXP((Tnet-t)/(Tau_j))))*Salcycl</f>
        <v>9.5387040971627632E-2</v>
      </c>
      <c r="P197" s="169">
        <f>(INDEX(Models!$BJ197:$BT197,,T197)*(1-R197)+INDEX(Models!$BJ197:$BT197,,T197+1)*R197-ERP_i)*Q197*Ramure*Pc/MaxiM</f>
        <v>1.8990286292087872E-3</v>
      </c>
      <c r="Q197" s="305">
        <f t="shared" si="51"/>
        <v>0.8</v>
      </c>
      <c r="R197" s="177">
        <f t="shared" si="52"/>
        <v>0.42704288547723468</v>
      </c>
      <c r="S197" s="809">
        <f t="shared" si="53"/>
        <v>0</v>
      </c>
      <c r="T197" s="176">
        <f t="shared" si="54"/>
        <v>6</v>
      </c>
      <c r="U197" s="251">
        <f t="shared" si="55"/>
        <v>0.42704288547723468</v>
      </c>
      <c r="V197" s="383">
        <f t="shared" si="56"/>
        <v>54.139844594708173</v>
      </c>
      <c r="W197" s="402"/>
      <c r="X197" s="157">
        <f t="shared" si="57"/>
        <v>44013</v>
      </c>
      <c r="Y197" s="385">
        <f t="shared" si="58"/>
        <v>35.110234692522027</v>
      </c>
      <c r="Z197" s="385">
        <f t="shared" si="59"/>
        <v>35.686871884737222</v>
      </c>
      <c r="AA197" s="386">
        <f t="shared" si="60"/>
        <v>39.449879120754382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9.5387040971627632E-2</v>
      </c>
      <c r="AD197" s="231">
        <f>(INDEX(Models!$BJ197:$BT197,,AH197)*(1-AF197)+INDEX(Models!$BJ197:$BT197,,AH197+1)*AF197-ERP_i)*AE197*Ramure*Pc/MaxiM</f>
        <v>8.3411647309794279E-3</v>
      </c>
      <c r="AE197" s="305">
        <f t="shared" si="62"/>
        <v>0.8</v>
      </c>
      <c r="AF197" s="177">
        <f t="shared" si="63"/>
        <v>0.62697645962975601</v>
      </c>
      <c r="AG197" s="809">
        <f t="shared" si="71"/>
        <v>1</v>
      </c>
      <c r="AH197" s="176">
        <f t="shared" si="64"/>
        <v>7</v>
      </c>
      <c r="AI197" s="225">
        <f t="shared" si="65"/>
        <v>1.626976459629756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6">
        <v>17.86</v>
      </c>
      <c r="C198" s="390"/>
      <c r="D198" s="393">
        <f t="shared" si="48"/>
        <v>18.153748337545057</v>
      </c>
      <c r="E198" s="385">
        <f t="shared" si="72"/>
        <v>20.070461564591454</v>
      </c>
      <c r="F198" s="385">
        <f t="shared" si="49"/>
        <v>20.072143193815421</v>
      </c>
      <c r="G198" s="110">
        <f t="shared" si="73"/>
        <v>0.32989581382295485</v>
      </c>
      <c r="H198" s="414" t="b">
        <f>Wh_hp&gt;='2019'!Maxi_hp</f>
        <v>0</v>
      </c>
      <c r="I198" s="380">
        <f>IF(H198,Wh_hp,'2019'!Maxi_hp)</f>
        <v>51.855426044960964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1.6181139678880241E-2</v>
      </c>
      <c r="M198" s="843"/>
      <c r="N198" s="843"/>
      <c r="O198" s="48">
        <f>IF(t&lt;Tnet,'2019'!Resal+('2019'!Salim-'2019'!Resal)*(1-EXP(('2019'!Tnet-t)/('2019'!Tau_j))),Resal+(Salim-Resal)*(1-EXP((Tnet-t)/(Tau_j))))*Salcycl</f>
        <v>9.5499210164049442E-2</v>
      </c>
      <c r="P198" s="169">
        <f>(INDEX(Models!$BJ198:$BT198,,T198)*(1-R198)+INDEX(Models!$BJ198:$BT198,,T198+1)*R198-ERP_i)*Q198*Ramure*Pc/MaxiM</f>
        <v>1.9225760680236089E-3</v>
      </c>
      <c r="Q198" s="305">
        <f t="shared" si="51"/>
        <v>0.8</v>
      </c>
      <c r="R198" s="177">
        <f t="shared" si="52"/>
        <v>0.43206551639799046</v>
      </c>
      <c r="S198" s="809">
        <f t="shared" si="53"/>
        <v>0</v>
      </c>
      <c r="T198" s="176">
        <f t="shared" si="54"/>
        <v>6</v>
      </c>
      <c r="U198" s="251">
        <f t="shared" si="55"/>
        <v>0.43206551639799046</v>
      </c>
      <c r="V198" s="383">
        <f t="shared" si="56"/>
        <v>54.038746750777804</v>
      </c>
      <c r="W198" s="402"/>
      <c r="X198" s="157">
        <f t="shared" si="57"/>
        <v>44014</v>
      </c>
      <c r="Y198" s="385">
        <f t="shared" si="58"/>
        <v>17.854985433214537</v>
      </c>
      <c r="Z198" s="385">
        <f t="shared" si="59"/>
        <v>18.14865129479897</v>
      </c>
      <c r="AA198" s="386">
        <f t="shared" si="60"/>
        <v>20.064826364707315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9.5499210164049442E-2</v>
      </c>
      <c r="AD198" s="231">
        <f>(INDEX(Models!$BJ198:$BT198,,AH198)*(1-AF198)+INDEX(Models!$BJ198:$BT198,,AH198+1)*AF198-ERP_i)*AE198*Ramure*Pc/MaxiM</f>
        <v>8.3651974743254153E-3</v>
      </c>
      <c r="AE198" s="305">
        <f t="shared" si="62"/>
        <v>0.8</v>
      </c>
      <c r="AF198" s="177">
        <f t="shared" si="63"/>
        <v>0.63199909055051173</v>
      </c>
      <c r="AG198" s="809">
        <f t="shared" si="71"/>
        <v>1</v>
      </c>
      <c r="AH198" s="176">
        <f t="shared" si="64"/>
        <v>7</v>
      </c>
      <c r="AI198" s="225">
        <f t="shared" si="65"/>
        <v>1.6319990905505117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6">
        <v>39.682000000000002</v>
      </c>
      <c r="C199" s="390"/>
      <c r="D199" s="393">
        <f t="shared" si="48"/>
        <v>40.335599448306809</v>
      </c>
      <c r="E199" s="385">
        <f t="shared" si="72"/>
        <v>44.599781339541423</v>
      </c>
      <c r="F199" s="385">
        <f t="shared" si="49"/>
        <v>44.653846365836458</v>
      </c>
      <c r="G199" s="110">
        <f t="shared" si="73"/>
        <v>0.73520196745736144</v>
      </c>
      <c r="H199" s="414" t="b">
        <f>Wh_hp&gt;='2019'!Maxi_hp</f>
        <v>0</v>
      </c>
      <c r="I199" s="380">
        <f>IF(H199,Wh_hp,'2019'!Maxi_hp)</f>
        <v>57.973124882145292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1.6204034581026816E-2</v>
      </c>
      <c r="M199" s="843"/>
      <c r="N199" s="843"/>
      <c r="O199" s="48">
        <f>IF(t&lt;Tnet,'2019'!Resal+('2019'!Salim-'2019'!Resal)*(1-EXP(('2019'!Tnet-t)/('2019'!Tau_j))),Resal+(Salim-Resal)*(1-EXP((Tnet-t)/(Tau_j))))*Salcycl</f>
        <v>9.5609928191599969E-2</v>
      </c>
      <c r="P199" s="169">
        <f>(INDEX(Models!$BJ199:$BT199,,T199)*(1-R199)+INDEX(Models!$BJ199:$BT199,,T199+1)*R199-ERP_i)*Q199*Ramure*Pc/MaxiM</f>
        <v>1.9450255521394606E-3</v>
      </c>
      <c r="Q199" s="305">
        <f t="shared" si="51"/>
        <v>0.8</v>
      </c>
      <c r="R199" s="177">
        <f t="shared" si="52"/>
        <v>0.436998092666739</v>
      </c>
      <c r="S199" s="809">
        <f t="shared" si="53"/>
        <v>0</v>
      </c>
      <c r="T199" s="176">
        <f t="shared" si="54"/>
        <v>6</v>
      </c>
      <c r="U199" s="251">
        <f t="shared" si="55"/>
        <v>0.436998092666739</v>
      </c>
      <c r="V199" s="383">
        <f t="shared" si="56"/>
        <v>53.934604708844724</v>
      </c>
      <c r="W199" s="402"/>
      <c r="X199" s="157">
        <f t="shared" si="57"/>
        <v>44015</v>
      </c>
      <c r="Y199" s="385">
        <f t="shared" si="58"/>
        <v>39.52272791187702</v>
      </c>
      <c r="Z199" s="385">
        <f t="shared" si="59"/>
        <v>40.173704000753162</v>
      </c>
      <c r="AA199" s="386">
        <f t="shared" si="60"/>
        <v>44.42077069734151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9.5609928191599969E-2</v>
      </c>
      <c r="AD199" s="231">
        <f>(INDEX(Models!$BJ199:$BT199,,AH199)*(1-AF199)+INDEX(Models!$BJ199:$BT199,,AH199+1)*AF199-ERP_i)*AE199*Ramure*Pc/MaxiM</f>
        <v>8.3850533676018569E-3</v>
      </c>
      <c r="AE199" s="305">
        <f t="shared" si="62"/>
        <v>0.8</v>
      </c>
      <c r="AF199" s="177">
        <f t="shared" si="63"/>
        <v>0.63693166681926017</v>
      </c>
      <c r="AG199" s="809">
        <f t="shared" si="71"/>
        <v>1</v>
      </c>
      <c r="AH199" s="176">
        <f t="shared" si="64"/>
        <v>7</v>
      </c>
      <c r="AI199" s="225">
        <f t="shared" si="65"/>
        <v>1.6369316668192602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6">
        <v>53.500999999999998</v>
      </c>
      <c r="C200" s="390"/>
      <c r="D200" s="393">
        <f t="shared" si="48"/>
        <v>54.383476814340696</v>
      </c>
      <c r="E200" s="385">
        <f t="shared" si="72"/>
        <v>60.140034595364519</v>
      </c>
      <c r="F200" s="385">
        <f t="shared" si="49"/>
        <v>60.257495392536157</v>
      </c>
      <c r="G200" s="110">
        <f t="shared" si="73"/>
        <v>0.99391886329455659</v>
      </c>
      <c r="H200" s="414" t="b">
        <f>Wh_hp&gt;='2019'!Maxi_hp</f>
        <v>1</v>
      </c>
      <c r="I200" s="380">
        <f>IF(H200,Wh_hp,'2019'!Maxi_hp)</f>
        <v>60.257495392536157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1.6226928950375474E-2</v>
      </c>
      <c r="M200" s="843"/>
      <c r="N200" s="843"/>
      <c r="O200" s="48">
        <f>IF(t&lt;Tnet,'2019'!Resal+('2019'!Salim-'2019'!Resal)*(1-EXP(('2019'!Tnet-t)/('2019'!Tau_j))),Resal+(Salim-Resal)*(1-EXP((Tnet-t)/(Tau_j))))*Salcycl</f>
        <v>9.5719229623913923E-2</v>
      </c>
      <c r="P200" s="169">
        <f>(INDEX(Models!$BJ200:$BT200,,T200)*(1-R200)+INDEX(Models!$BJ200:$BT200,,T200+1)*R200-ERP_i)*Q200*Ramure*Pc/MaxiM</f>
        <v>1.9663489795410877E-3</v>
      </c>
      <c r="Q200" s="305">
        <f t="shared" si="51"/>
        <v>0.8</v>
      </c>
      <c r="R200" s="177">
        <f t="shared" si="52"/>
        <v>0.44183896269870759</v>
      </c>
      <c r="S200" s="809">
        <f t="shared" si="53"/>
        <v>0</v>
      </c>
      <c r="T200" s="176">
        <f t="shared" si="54"/>
        <v>6</v>
      </c>
      <c r="U200" s="251">
        <f t="shared" si="55"/>
        <v>0.44183896269870759</v>
      </c>
      <c r="V200" s="383">
        <f t="shared" si="56"/>
        <v>53.82741873919462</v>
      </c>
      <c r="W200" s="402"/>
      <c r="X200" s="157">
        <f t="shared" si="57"/>
        <v>44016</v>
      </c>
      <c r="Y200" s="385">
        <f t="shared" si="58"/>
        <v>53.159071350443433</v>
      </c>
      <c r="Z200" s="385">
        <f t="shared" si="59"/>
        <v>54.035908193467847</v>
      </c>
      <c r="AA200" s="386">
        <f t="shared" si="60"/>
        <v>59.755675409302981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9.5719229623913923E-2</v>
      </c>
      <c r="AD200" s="231">
        <f>(INDEX(Models!$BJ200:$BT200,,AH200)*(1-AF200)+INDEX(Models!$BJ200:$BT200,,AH200+1)*AF200-ERP_i)*AE200*Ramure*Pc/MaxiM</f>
        <v>8.4007024956761385E-3</v>
      </c>
      <c r="AE200" s="305">
        <f t="shared" si="62"/>
        <v>0.8</v>
      </c>
      <c r="AF200" s="177">
        <f t="shared" si="63"/>
        <v>0.64177253685122881</v>
      </c>
      <c r="AG200" s="809">
        <f t="shared" si="71"/>
        <v>1</v>
      </c>
      <c r="AH200" s="176">
        <f t="shared" si="64"/>
        <v>7</v>
      </c>
      <c r="AI200" s="225">
        <f t="shared" si="65"/>
        <v>1.6417725368512288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6">
        <v>53.127000000000002</v>
      </c>
      <c r="C201" s="390"/>
      <c r="D201" s="393">
        <f t="shared" si="48"/>
        <v>54.004564604509063</v>
      </c>
      <c r="E201" s="385">
        <f t="shared" si="72"/>
        <v>59.728142352242905</v>
      </c>
      <c r="F201" s="385">
        <f t="shared" si="49"/>
        <v>59.845160048198764</v>
      </c>
      <c r="G201" s="110">
        <f t="shared" si="73"/>
        <v>0.98898213911968313</v>
      </c>
      <c r="H201" s="414" t="b">
        <f>Wh_hp&gt;='2019'!Maxi_hp</f>
        <v>1</v>
      </c>
      <c r="I201" s="380">
        <f>IF(H201,Wh_hp,'2019'!Maxi_hp)</f>
        <v>59.845160048198764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1.6249822786938761E-2</v>
      </c>
      <c r="M201" s="843"/>
      <c r="N201" s="843"/>
      <c r="O201" s="48">
        <f>IF(t&lt;Tnet,'2019'!Resal+('2019'!Salim-'2019'!Resal)*(1-EXP(('2019'!Tnet-t)/('2019'!Tau_j))),Resal+(Salim-Resal)*(1-EXP((Tnet-t)/(Tau_j))))*Salcycl</f>
        <v>9.5827151528996221E-2</v>
      </c>
      <c r="P201" s="169">
        <f>(INDEX(Models!$BJ201:$BT201,,T201)*(1-R201)+INDEX(Models!$BJ201:$BT201,,T201+1)*R201-ERP_i)*Q201*Ramure*Pc/MaxiM</f>
        <v>1.9865207726609416E-3</v>
      </c>
      <c r="Q201" s="305">
        <f t="shared" si="51"/>
        <v>0.8</v>
      </c>
      <c r="R201" s="177">
        <f t="shared" si="52"/>
        <v>0.44658668765205894</v>
      </c>
      <c r="S201" s="809">
        <f t="shared" si="53"/>
        <v>0</v>
      </c>
      <c r="T201" s="176">
        <f t="shared" si="54"/>
        <v>6</v>
      </c>
      <c r="U201" s="251">
        <f t="shared" si="55"/>
        <v>0.44658668765205894</v>
      </c>
      <c r="V201" s="383">
        <f t="shared" si="56"/>
        <v>53.717188780505701</v>
      </c>
      <c r="W201" s="402"/>
      <c r="X201" s="157">
        <f t="shared" si="57"/>
        <v>44017</v>
      </c>
      <c r="Y201" s="385">
        <f t="shared" si="58"/>
        <v>52.790326947391343</v>
      </c>
      <c r="Z201" s="385">
        <f t="shared" si="59"/>
        <v>53.662330305184767</v>
      </c>
      <c r="AA201" s="386">
        <f t="shared" si="60"/>
        <v>59.34963695927182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9.5827151528996221E-2</v>
      </c>
      <c r="AD201" s="231">
        <f>(INDEX(Models!$BJ201:$BT201,,AH201)*(1-AF201)+INDEX(Models!$BJ201:$BT201,,AH201+1)*AF201-ERP_i)*AE201*Ramure*Pc/MaxiM</f>
        <v>8.412120076760201E-3</v>
      </c>
      <c r="AE201" s="305">
        <f t="shared" si="62"/>
        <v>0.8</v>
      </c>
      <c r="AF201" s="177">
        <f t="shared" si="63"/>
        <v>0.64652026180458022</v>
      </c>
      <c r="AG201" s="809">
        <f t="shared" si="71"/>
        <v>1</v>
      </c>
      <c r="AH201" s="176">
        <f t="shared" si="64"/>
        <v>7</v>
      </c>
      <c r="AI201" s="225">
        <f t="shared" si="65"/>
        <v>1.6465202618045802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6">
        <v>38.682000000000002</v>
      </c>
      <c r="C202" s="390"/>
      <c r="D202" s="393">
        <f t="shared" si="48"/>
        <v>39.321873686658506</v>
      </c>
      <c r="E202" s="385">
        <f t="shared" si="72"/>
        <v>43.494459566380264</v>
      </c>
      <c r="F202" s="385">
        <f t="shared" si="49"/>
        <v>43.547063128825208</v>
      </c>
      <c r="G202" s="110">
        <f t="shared" si="73"/>
        <v>0.72105017604184318</v>
      </c>
      <c r="H202" s="414" t="b">
        <f>Wh_hp&gt;='2019'!Maxi_hp</f>
        <v>0</v>
      </c>
      <c r="I202" s="380">
        <f>IF(H202,Wh_hp,'2019'!Maxi_hp)</f>
        <v>54.599046863417513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1.6272716090729E-2</v>
      </c>
      <c r="M202" s="843"/>
      <c r="N202" s="843"/>
      <c r="O202" s="48">
        <f>IF(t&lt;Tnet,'2019'!Resal+('2019'!Salim-'2019'!Resal)*(1-EXP(('2019'!Tnet-t)/('2019'!Tau_j))),Resal+(Salim-Resal)*(1-EXP((Tnet-t)/(Tau_j))))*Salcycl</f>
        <v>9.5933733200056215E-2</v>
      </c>
      <c r="P202" s="169">
        <f>(INDEX(Models!$BJ202:$BT202,,T202)*(1-R202)+INDEX(Models!$BJ202:$BT202,,T202+1)*R202-ERP_i)*Q202*Ramure*Pc/MaxiM</f>
        <v>2.0055178233026345E-3</v>
      </c>
      <c r="Q202" s="305">
        <f t="shared" si="51"/>
        <v>0.8</v>
      </c>
      <c r="R202" s="177">
        <f t="shared" si="52"/>
        <v>0.45124003771010646</v>
      </c>
      <c r="S202" s="809">
        <f t="shared" si="53"/>
        <v>0</v>
      </c>
      <c r="T202" s="176">
        <f t="shared" si="54"/>
        <v>6</v>
      </c>
      <c r="U202" s="251">
        <f t="shared" si="55"/>
        <v>0.45124003771010646</v>
      </c>
      <c r="V202" s="383">
        <f t="shared" si="56"/>
        <v>53.603914460120961</v>
      </c>
      <c r="W202" s="402"/>
      <c r="X202" s="157">
        <f t="shared" si="57"/>
        <v>44018</v>
      </c>
      <c r="Y202" s="385">
        <f t="shared" si="58"/>
        <v>38.532384399938145</v>
      </c>
      <c r="Z202" s="385">
        <f t="shared" si="59"/>
        <v>39.169783160646766</v>
      </c>
      <c r="AA202" s="386">
        <f t="shared" si="60"/>
        <v>43.326230165951372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9.5933733200056215E-2</v>
      </c>
      <c r="AD202" s="231">
        <f>(INDEX(Models!$BJ202:$BT202,,AH202)*(1-AF202)+INDEX(Models!$BJ202:$BT202,,AH202+1)*AF202-ERP_i)*AE202*Ramure*Pc/MaxiM</f>
        <v>8.419286117356501E-3</v>
      </c>
      <c r="AE202" s="305">
        <f t="shared" si="62"/>
        <v>0.8</v>
      </c>
      <c r="AF202" s="177">
        <f t="shared" si="63"/>
        <v>0.65117361186262768</v>
      </c>
      <c r="AG202" s="809">
        <f t="shared" si="71"/>
        <v>1</v>
      </c>
      <c r="AH202" s="176">
        <f t="shared" si="64"/>
        <v>7</v>
      </c>
      <c r="AI202" s="225">
        <f t="shared" si="65"/>
        <v>1.6511736118626277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6">
        <v>54.551000000000002</v>
      </c>
      <c r="C203" s="390"/>
      <c r="D203" s="393">
        <f t="shared" si="48"/>
        <v>55.454667572317334</v>
      </c>
      <c r="E203" s="385">
        <f t="shared" si="72"/>
        <v>61.346306473605743</v>
      </c>
      <c r="F203" s="385">
        <f t="shared" si="49"/>
        <v>61.470681296854167</v>
      </c>
      <c r="G203" s="110">
        <f t="shared" si="73"/>
        <v>1.0198813365092065</v>
      </c>
      <c r="H203" s="414" t="b">
        <f>Wh_hp&gt;='2019'!Maxi_hp</f>
        <v>1</v>
      </c>
      <c r="I203" s="380">
        <f>IF(H203,Wh_hp,'2019'!Maxi_hp)</f>
        <v>61.470681296854167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1.6295608861758626E-2</v>
      </c>
      <c r="M203" s="843"/>
      <c r="N203" s="843"/>
      <c r="O203" s="48">
        <f>IF(t&lt;Tnet,'2019'!Resal+('2019'!Salim-'2019'!Resal)*(1-EXP(('2019'!Tnet-t)/('2019'!Tau_j))),Resal+(Salim-Resal)*(1-EXP((Tnet-t)/(Tau_j))))*Salcycl</f>
        <v>9.6039015874953906E-2</v>
      </c>
      <c r="P203" s="169">
        <f>(INDEX(Models!$BJ203:$BT203,,T203)*(1-R203)+INDEX(Models!$BJ203:$BT203,,T203+1)*R203-ERP_i)*Q203*Ramure*Pc/MaxiM</f>
        <v>2.0233194203232233E-3</v>
      </c>
      <c r="Q203" s="305">
        <f t="shared" si="51"/>
        <v>0.8</v>
      </c>
      <c r="R203" s="177">
        <f t="shared" si="52"/>
        <v>0.45579798758882933</v>
      </c>
      <c r="S203" s="809">
        <f t="shared" si="53"/>
        <v>0</v>
      </c>
      <c r="T203" s="176">
        <f t="shared" si="54"/>
        <v>6</v>
      </c>
      <c r="U203" s="251">
        <f t="shared" si="55"/>
        <v>0.45579798758882933</v>
      </c>
      <c r="V203" s="383">
        <f t="shared" si="56"/>
        <v>53.487595122305251</v>
      </c>
      <c r="W203" s="402"/>
      <c r="X203" s="157">
        <f t="shared" si="57"/>
        <v>44019</v>
      </c>
      <c r="Y203" s="385">
        <f t="shared" si="58"/>
        <v>54.201227780843979</v>
      </c>
      <c r="Z203" s="385">
        <f t="shared" si="59"/>
        <v>55.099101182345947</v>
      </c>
      <c r="AA203" s="386">
        <f t="shared" si="60"/>
        <v>60.952963844647542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9.6039015874953906E-2</v>
      </c>
      <c r="AD203" s="231">
        <f>(INDEX(Models!$BJ203:$BT203,,AH203)*(1-AF203)+INDEX(Models!$BJ203:$BT203,,AH203+1)*AF203-ERP_i)*AE203*Ramure*Pc/MaxiM</f>
        <v>8.4221850365781281E-3</v>
      </c>
      <c r="AE203" s="305">
        <f t="shared" si="62"/>
        <v>0.8</v>
      </c>
      <c r="AF203" s="177">
        <f t="shared" si="63"/>
        <v>0.65573156174135061</v>
      </c>
      <c r="AG203" s="809">
        <f t="shared" si="71"/>
        <v>1</v>
      </c>
      <c r="AH203" s="176">
        <f t="shared" si="64"/>
        <v>7</v>
      </c>
      <c r="AI203" s="225">
        <f t="shared" si="65"/>
        <v>1.6557315617413506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6">
        <v>52.357999999999997</v>
      </c>
      <c r="C204" s="390"/>
      <c r="D204" s="393">
        <f t="shared" si="48"/>
        <v>53.226577971173967</v>
      </c>
      <c r="E204" s="385">
        <f t="shared" si="72"/>
        <v>58.8882759894583</v>
      </c>
      <c r="F204" s="385">
        <f t="shared" si="49"/>
        <v>59.0053865718696</v>
      </c>
      <c r="G204" s="110">
        <f t="shared" si="73"/>
        <v>0.98101634941591509</v>
      </c>
      <c r="H204" s="414" t="b">
        <f>Wh_hp&gt;='2019'!Maxi_hp</f>
        <v>1</v>
      </c>
      <c r="I204" s="380">
        <f>IF(H204,Wh_hp,'2019'!Maxi_hp)</f>
        <v>59.0053865718696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1.6318501100040073E-2</v>
      </c>
      <c r="M204" s="843"/>
      <c r="N204" s="843"/>
      <c r="O204" s="48">
        <f>IF(t&lt;Tnet,'2019'!Resal+('2019'!Salim-'2019'!Resal)*(1-EXP(('2019'!Tnet-t)/('2019'!Tau_j))),Resal+(Salim-Resal)*(1-EXP((Tnet-t)/(Tau_j))))*Salcycl</f>
        <v>9.6143042450382493E-2</v>
      </c>
      <c r="P204" s="169">
        <f>(INDEX(Models!$BJ204:$BT204,,T204)*(1-R204)+INDEX(Models!$BJ204:$BT204,,T204+1)*R204-ERP_i)*Q204*Ramure*Pc/MaxiM</f>
        <v>2.0399071620078417E-3</v>
      </c>
      <c r="Q204" s="305">
        <f t="shared" si="51"/>
        <v>0.8</v>
      </c>
      <c r="R204" s="177">
        <f t="shared" si="52"/>
        <v>0.46025971133937182</v>
      </c>
      <c r="S204" s="809">
        <f t="shared" si="53"/>
        <v>0</v>
      </c>
      <c r="T204" s="176">
        <f t="shared" si="54"/>
        <v>6</v>
      </c>
      <c r="U204" s="251">
        <f t="shared" si="55"/>
        <v>0.46025971133937182</v>
      </c>
      <c r="V204" s="383">
        <f t="shared" si="56"/>
        <v>53.368229847018178</v>
      </c>
      <c r="W204" s="402"/>
      <c r="X204" s="157">
        <f t="shared" si="57"/>
        <v>44020</v>
      </c>
      <c r="Y204" s="385">
        <f t="shared" si="58"/>
        <v>52.03229700195174</v>
      </c>
      <c r="Z204" s="385">
        <f t="shared" si="59"/>
        <v>52.89547181698434</v>
      </c>
      <c r="AA204" s="386">
        <f t="shared" si="60"/>
        <v>58.521950155017343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9.6143042450382493E-2</v>
      </c>
      <c r="AD204" s="231">
        <f>(INDEX(Models!$BJ204:$BT204,,AH204)*(1-AF204)+INDEX(Models!$BJ204:$BT204,,AH204+1)*AF204-ERP_i)*AE204*Ramure*Pc/MaxiM</f>
        <v>8.4208052663326954E-3</v>
      </c>
      <c r="AE204" s="305">
        <f t="shared" si="62"/>
        <v>0.8</v>
      </c>
      <c r="AF204" s="177">
        <f t="shared" si="63"/>
        <v>0.66019328549189304</v>
      </c>
      <c r="AG204" s="809">
        <f t="shared" si="71"/>
        <v>1</v>
      </c>
      <c r="AH204" s="176">
        <f t="shared" si="64"/>
        <v>7</v>
      </c>
      <c r="AI204" s="225">
        <f t="shared" si="65"/>
        <v>1.660193285491893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6">
        <v>49.180999999999997</v>
      </c>
      <c r="C205" s="390"/>
      <c r="D205" s="393">
        <f t="shared" si="48"/>
        <v>49.998037571463719</v>
      </c>
      <c r="E205" s="385">
        <f t="shared" si="72"/>
        <v>55.32260954972719</v>
      </c>
      <c r="F205" s="385">
        <f t="shared" si="49"/>
        <v>55.424100861309384</v>
      </c>
      <c r="G205" s="110">
        <f t="shared" si="73"/>
        <v>0.92346315139120727</v>
      </c>
      <c r="H205" s="414" t="b">
        <f>Wh_hp&gt;='2019'!Maxi_hp</f>
        <v>0</v>
      </c>
      <c r="I205" s="380">
        <f>IF(H205,Wh_hp,'2019'!Maxi_hp)</f>
        <v>60.976537805718309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1.6341392805585664E-2</v>
      </c>
      <c r="M205" s="843"/>
      <c r="N205" s="843"/>
      <c r="O205" s="48">
        <f>IF(t&lt;Tnet,'2019'!Resal+('2019'!Salim-'2019'!Resal)*(1-EXP(('2019'!Tnet-t)/('2019'!Tau_j))),Resal+(Salim-Resal)*(1-EXP((Tnet-t)/(Tau_j))))*Salcycl</f>
        <v>9.6245857192933659E-2</v>
      </c>
      <c r="P205" s="169">
        <f>(INDEX(Models!$BJ205:$BT205,,T205)*(1-R205)+INDEX(Models!$BJ205:$BT205,,T205+1)*R205-ERP_i)*Q205*Ramure*Pc/MaxiM</f>
        <v>2.0552895788585081E-3</v>
      </c>
      <c r="Q205" s="305">
        <f t="shared" si="51"/>
        <v>0.8</v>
      </c>
      <c r="R205" s="177">
        <f t="shared" si="52"/>
        <v>0.46462457651676625</v>
      </c>
      <c r="S205" s="809">
        <f t="shared" si="53"/>
        <v>0</v>
      </c>
      <c r="T205" s="176">
        <f t="shared" si="54"/>
        <v>6</v>
      </c>
      <c r="U205" s="251">
        <f t="shared" si="55"/>
        <v>0.46462457651676625</v>
      </c>
      <c r="V205" s="383">
        <f t="shared" si="56"/>
        <v>53.245175620311578</v>
      </c>
      <c r="W205" s="402"/>
      <c r="X205" s="157">
        <f t="shared" si="57"/>
        <v>44021</v>
      </c>
      <c r="Y205" s="385">
        <f t="shared" si="58"/>
        <v>48.901807159782521</v>
      </c>
      <c r="Z205" s="385">
        <f t="shared" si="59"/>
        <v>49.714206536818693</v>
      </c>
      <c r="AA205" s="386">
        <f t="shared" si="60"/>
        <v>55.00855175325232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9.6245857192933659E-2</v>
      </c>
      <c r="AD205" s="231">
        <f>(INDEX(Models!$BJ205:$BT205,,AH205)*(1-AF205)+INDEX(Models!$BJ205:$BT205,,AH205+1)*AF205-ERP_i)*AE205*Ramure*Pc/MaxiM</f>
        <v>8.4152400632040453E-3</v>
      </c>
      <c r="AE205" s="305">
        <f t="shared" si="62"/>
        <v>0.8</v>
      </c>
      <c r="AF205" s="177">
        <f t="shared" si="63"/>
        <v>0.66455815066928747</v>
      </c>
      <c r="AG205" s="809">
        <f t="shared" si="71"/>
        <v>1</v>
      </c>
      <c r="AH205" s="176">
        <f t="shared" si="64"/>
        <v>7</v>
      </c>
      <c r="AI205" s="225">
        <f t="shared" si="65"/>
        <v>1.6645581506692875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6">
        <v>42.502000000000002</v>
      </c>
      <c r="C206" s="390"/>
      <c r="D206" s="393">
        <f t="shared" si="48"/>
        <v>43.209085749654726</v>
      </c>
      <c r="E206" s="385">
        <f t="shared" si="72"/>
        <v>47.816042129262634</v>
      </c>
      <c r="F206" s="385">
        <f t="shared" si="49"/>
        <v>47.886824803949871</v>
      </c>
      <c r="G206" s="110">
        <f t="shared" si="73"/>
        <v>0.79966941070598396</v>
      </c>
      <c r="H206" s="414" t="b">
        <f>Wh_hp&gt;='2019'!Maxi_hp</f>
        <v>0</v>
      </c>
      <c r="I206" s="380">
        <f>IF(H206,Wh_hp,'2019'!Maxi_hp)</f>
        <v>60.655127137032757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1.6364283978407834E-2</v>
      </c>
      <c r="M206" s="843"/>
      <c r="N206" s="843"/>
      <c r="O206" s="48">
        <f>IF(t&lt;Tnet,'2019'!Resal+('2019'!Salim-'2019'!Resal)*(1-EXP(('2019'!Tnet-t)/('2019'!Tau_j))),Resal+(Salim-Resal)*(1-EXP((Tnet-t)/(Tau_j))))*Salcycl</f>
        <v>9.6347505449191573E-2</v>
      </c>
      <c r="P206" s="169">
        <f>(INDEX(Models!$BJ206:$BT206,,T206)*(1-R206)+INDEX(Models!$BJ206:$BT206,,T206+1)*R206-ERP_i)*Q206*Ramure*Pc/MaxiM</f>
        <v>2.0687833608624747E-3</v>
      </c>
      <c r="Q206" s="305">
        <f t="shared" si="51"/>
        <v>0.8</v>
      </c>
      <c r="R206" s="177">
        <f t="shared" si="52"/>
        <v>0.46889213778680344</v>
      </c>
      <c r="S206" s="809">
        <f t="shared" si="53"/>
        <v>0</v>
      </c>
      <c r="T206" s="176">
        <f t="shared" si="54"/>
        <v>6</v>
      </c>
      <c r="U206" s="251">
        <f t="shared" si="55"/>
        <v>0.46889213778680344</v>
      </c>
      <c r="V206" s="383">
        <f t="shared" si="56"/>
        <v>53.118023615370461</v>
      </c>
      <c r="W206" s="402"/>
      <c r="X206" s="157">
        <f t="shared" si="57"/>
        <v>44022</v>
      </c>
      <c r="Y206" s="385">
        <f t="shared" si="58"/>
        <v>42.3093448667301</v>
      </c>
      <c r="Z206" s="385">
        <f t="shared" si="59"/>
        <v>43.013225503699942</v>
      </c>
      <c r="AA206" s="386">
        <f t="shared" si="60"/>
        <v>47.599299247307613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9.6347505449191573E-2</v>
      </c>
      <c r="AD206" s="231">
        <f>(INDEX(Models!$BJ206:$BT206,,AH206)*(1-AF206)+INDEX(Models!$BJ206:$BT206,,AH206+1)*AF206-ERP_i)*AE206*Ramure*Pc/MaxiM</f>
        <v>8.4035830806412117E-3</v>
      </c>
      <c r="AE206" s="305">
        <f t="shared" si="62"/>
        <v>0.8</v>
      </c>
      <c r="AF206" s="177">
        <f t="shared" si="63"/>
        <v>0.66882571193932461</v>
      </c>
      <c r="AG206" s="809">
        <f t="shared" si="71"/>
        <v>1</v>
      </c>
      <c r="AH206" s="176">
        <f t="shared" si="64"/>
        <v>7</v>
      </c>
      <c r="AI206" s="225">
        <f t="shared" si="65"/>
        <v>1.6688257119393246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6">
        <v>48.064</v>
      </c>
      <c r="C207" s="390"/>
      <c r="D207" s="393">
        <f t="shared" ref="D207:D270" si="74">Wh/(1-Ppv)</f>
        <v>48.864755277422312</v>
      </c>
      <c r="E207" s="385">
        <f t="shared" si="72"/>
        <v>54.080735897206303</v>
      </c>
      <c r="F207" s="385">
        <f t="shared" ref="F207:F270" si="75">Wh_sa/(1-Pvg*MEDIAN((-Sdif+Wh/Env_an)/Csdif,0,1))</f>
        <v>54.178495153208885</v>
      </c>
      <c r="G207" s="110">
        <f t="shared" si="73"/>
        <v>0.9068384586408057</v>
      </c>
      <c r="H207" s="414" t="b">
        <f>Wh_hp&gt;='2019'!Maxi_hp</f>
        <v>0</v>
      </c>
      <c r="I207" s="380">
        <f>IF(H207,Wh_hp,'2019'!Maxi_hp)</f>
        <v>61.032000698200029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1.6387174618518907E-2</v>
      </c>
      <c r="M207" s="843"/>
      <c r="N207" s="843"/>
      <c r="O207" s="48">
        <f>IF(t&lt;Tnet,'2019'!Resal+('2019'!Salim-'2019'!Resal)*(1-EXP(('2019'!Tnet-t)/('2019'!Tau_j))),Resal+(Salim-Resal)*(1-EXP((Tnet-t)/(Tau_j))))*Salcycl</f>
        <v>9.6448033356983889E-2</v>
      </c>
      <c r="P207" s="169">
        <f>(INDEX(Models!$BJ207:$BT207,,T207)*(1-R207)+INDEX(Models!$BJ207:$BT207,,T207+1)*R207-ERP_i)*Q207*Ramure*Pc/MaxiM</f>
        <v>2.0805412813508441E-3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0.47306213004286529</v>
      </c>
      <c r="S207" s="809">
        <f t="shared" ref="S207:S270" si="79">INDEX(Echel_vg,T207)</f>
        <v>0</v>
      </c>
      <c r="T207" s="176">
        <f t="shared" ref="T207:T270" si="80">MIN(MATCH(Hp_vg,Echel_vg),10)</f>
        <v>6</v>
      </c>
      <c r="U207" s="251">
        <f t="shared" ref="U207:U270" si="81">IF(OR(t&lt;Ttai,Notai),Hdd+PousH*Croivg,Hdtf+PousH*(Croivg-Croi_tai))</f>
        <v>0.47306213004286529</v>
      </c>
      <c r="V207" s="383">
        <f t="shared" ref="V207:V270" si="82">MaxiM*(1-Ppv)*(1-Pvg)*(1-Psa)</f>
        <v>52.987059295671656</v>
      </c>
      <c r="W207" s="402"/>
      <c r="X207" s="157">
        <f t="shared" ref="X207:X270" si="83">t</f>
        <v>44023</v>
      </c>
      <c r="Y207" s="385">
        <f t="shared" ref="Y207:Y270" si="84">Wh_pvt_s*(1-Ppv)</f>
        <v>47.800634696390965</v>
      </c>
      <c r="Z207" s="385">
        <f t="shared" ref="Z207:Z270" si="85">Wh_sa_s*(1-Psa_s)</f>
        <v>48.597002258334854</v>
      </c>
      <c r="AA207" s="386">
        <f t="shared" ref="AA207:AA270" si="86">Wh_hp*(1-Pvg_s*MEDIAN((-Sdif+Wh/Env_an)/Csdif,0,1))</f>
        <v>53.784402062549013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9.6448033356983889E-2</v>
      </c>
      <c r="AD207" s="231">
        <f>(INDEX(Models!$BJ207:$BT207,,AH207)*(1-AF207)+INDEX(Models!$BJ207:$BT207,,AH207+1)*AF207-ERP_i)*AE207*Ramure*Pc/MaxiM</f>
        <v>8.3872052360071964E-3</v>
      </c>
      <c r="AE207" s="305">
        <f t="shared" ref="AE207:AE270" si="88">IF(OR(t&lt;Ttai,Notai),Dd_s+PousD*Croivg,Dens_s+PousD*(Croivg-Croi_tai))</f>
        <v>0.8</v>
      </c>
      <c r="AF207" s="177">
        <f t="shared" ref="AF207:AF270" si="89">(Hp_vg_s-AG207)/(INDEX(Echel_vg,AH207+1)-AG207)</f>
        <v>0.67299570419538646</v>
      </c>
      <c r="AG207" s="809">
        <f t="shared" si="71"/>
        <v>1</v>
      </c>
      <c r="AH207" s="176">
        <f t="shared" ref="AH207:AH270" si="90">MIN(MATCH(Hp_vg_s,Echel_vg),10)</f>
        <v>7</v>
      </c>
      <c r="AI207" s="225">
        <f t="shared" ref="AI207:AI270" si="91">IF(OR(t&lt;Ttai,Notai),Hdd_s+PousH*Croivg,Hdtai_s+PousH*(Croivg-Croi_tai))</f>
        <v>1.6729957041953865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6">
        <v>33.161999999999999</v>
      </c>
      <c r="C208" s="390"/>
      <c r="D208" s="393">
        <f t="shared" si="74"/>
        <v>33.715269758997387</v>
      </c>
      <c r="E208" s="385">
        <f t="shared" si="72"/>
        <v>37.318253361138332</v>
      </c>
      <c r="F208" s="385">
        <f t="shared" si="75"/>
        <v>37.354782530063957</v>
      </c>
      <c r="G208" s="110">
        <f t="shared" si="73"/>
        <v>0.62674458189261406</v>
      </c>
      <c r="H208" s="414" t="b">
        <f>Wh_hp&gt;='2019'!Maxi_hp</f>
        <v>0</v>
      </c>
      <c r="I208" s="380">
        <f>IF(H208,Wh_hp,'2019'!Maxi_hp)</f>
        <v>52.945978266940926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1.6410064725931428E-2</v>
      </c>
      <c r="M208" s="843"/>
      <c r="N208" s="843"/>
      <c r="O208" s="48">
        <f>IF(t&lt;Tnet,'2019'!Resal+('2019'!Salim-'2019'!Resal)*(1-EXP(('2019'!Tnet-t)/('2019'!Tau_j))),Resal+(Salim-Resal)*(1-EXP((Tnet-t)/(Tau_j))))*Salcycl</f>
        <v>9.6547487559879741E-2</v>
      </c>
      <c r="P208" s="169">
        <f>(INDEX(Models!$BJ208:$BT208,,T208)*(1-R208)+INDEX(Models!$BJ208:$BT208,,T208+1)*R208-ERP_i)*Q208*Ramure*Pc/MaxiM</f>
        <v>2.0905252154395973E-3</v>
      </c>
      <c r="Q208" s="305">
        <f t="shared" si="77"/>
        <v>0.8</v>
      </c>
      <c r="R208" s="177">
        <f t="shared" si="78"/>
        <v>0.4771344611036798</v>
      </c>
      <c r="S208" s="809">
        <f t="shared" si="79"/>
        <v>0</v>
      </c>
      <c r="T208" s="176">
        <f t="shared" si="80"/>
        <v>6</v>
      </c>
      <c r="U208" s="251">
        <f t="shared" si="81"/>
        <v>0.4771344611036798</v>
      </c>
      <c r="V208" s="383">
        <f t="shared" si="82"/>
        <v>52.852578064708553</v>
      </c>
      <c r="W208" s="402"/>
      <c r="X208" s="157">
        <f t="shared" si="83"/>
        <v>44024</v>
      </c>
      <c r="Y208" s="385">
        <f t="shared" si="84"/>
        <v>33.064556060068242</v>
      </c>
      <c r="Z208" s="385">
        <f t="shared" si="85"/>
        <v>33.616200079207907</v>
      </c>
      <c r="AA208" s="386">
        <f t="shared" si="86"/>
        <v>37.208596596200124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9.6547487559879741E-2</v>
      </c>
      <c r="AD208" s="231">
        <f>(INDEX(Models!$BJ208:$BT208,,AH208)*(1-AF208)+INDEX(Models!$BJ208:$BT208,,AH208+1)*AF208-ERP_i)*AE208*Ramure*Pc/MaxiM</f>
        <v>8.3660644321562963E-3</v>
      </c>
      <c r="AE208" s="305">
        <f t="shared" si="88"/>
        <v>0.8</v>
      </c>
      <c r="AF208" s="177">
        <f t="shared" si="89"/>
        <v>0.67706803525620107</v>
      </c>
      <c r="AG208" s="809">
        <f t="shared" ref="AG208:AG271" si="95">INDEX(Echel_vg,AH208)</f>
        <v>1</v>
      </c>
      <c r="AH208" s="176">
        <f t="shared" si="90"/>
        <v>7</v>
      </c>
      <c r="AI208" s="225">
        <f t="shared" si="91"/>
        <v>1.6770680352562011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6">
        <v>53.192999999999998</v>
      </c>
      <c r="C209" s="390"/>
      <c r="D209" s="393">
        <f t="shared" si="74"/>
        <v>54.081722473914688</v>
      </c>
      <c r="E209" s="385">
        <f t="shared" si="72"/>
        <v>59.867690164419159</v>
      </c>
      <c r="F209" s="385">
        <f t="shared" si="75"/>
        <v>59.993598654168572</v>
      </c>
      <c r="G209" s="110">
        <f t="shared" si="73"/>
        <v>1.0090700206949064</v>
      </c>
      <c r="H209" s="414" t="b">
        <f>Wh_hp&gt;='2019'!Maxi_hp</f>
        <v>0</v>
      </c>
      <c r="I209" s="380">
        <f>IF(H209,Wh_hp,'2019'!Maxi_hp)</f>
        <v>60.641960912358456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1.643295430065761E-2</v>
      </c>
      <c r="M209" s="843"/>
      <c r="N209" s="843"/>
      <c r="O209" s="48">
        <f>IF(t&lt;Tnet,'2019'!Resal+('2019'!Salim-'2019'!Resal)*(1-EXP(('2019'!Tnet-t)/('2019'!Tau_j))),Resal+(Salim-Resal)*(1-EXP((Tnet-t)/(Tau_j))))*Salcycl</f>
        <v>9.6645914926966947E-2</v>
      </c>
      <c r="P209" s="169">
        <f>(INDEX(Models!$BJ209:$BT209,,T209)*(1-R209)+INDEX(Models!$BJ209:$BT209,,T209+1)*R209-ERP_i)*Q209*Ramure*Pc/MaxiM</f>
        <v>2.0986987374305164E-3</v>
      </c>
      <c r="Q209" s="305">
        <f t="shared" si="77"/>
        <v>0.8</v>
      </c>
      <c r="R209" s="177">
        <f t="shared" si="78"/>
        <v>0.48110920406143931</v>
      </c>
      <c r="S209" s="809">
        <f t="shared" si="79"/>
        <v>0</v>
      </c>
      <c r="T209" s="176">
        <f t="shared" si="80"/>
        <v>6</v>
      </c>
      <c r="U209" s="251">
        <f t="shared" si="81"/>
        <v>0.48110920406143931</v>
      </c>
      <c r="V209" s="383">
        <f t="shared" si="82"/>
        <v>52.714874992885136</v>
      </c>
      <c r="W209" s="402"/>
      <c r="X209" s="157">
        <f t="shared" si="83"/>
        <v>44025</v>
      </c>
      <c r="Y209" s="385">
        <f t="shared" si="84"/>
        <v>52.860301862138982</v>
      </c>
      <c r="Z209" s="385">
        <f t="shared" si="85"/>
        <v>53.743465779248325</v>
      </c>
      <c r="AA209" s="386">
        <f t="shared" si="86"/>
        <v>59.493244860793816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9.6645914926966947E-2</v>
      </c>
      <c r="AD209" s="231">
        <f>(INDEX(Models!$BJ209:$BT209,,AH209)*(1-AF209)+INDEX(Models!$BJ209:$BT209,,AH209+1)*AF209-ERP_i)*AE209*Ramure*Pc/MaxiM</f>
        <v>8.3401196894193445E-3</v>
      </c>
      <c r="AE209" s="305">
        <f t="shared" si="88"/>
        <v>0.8</v>
      </c>
      <c r="AF209" s="177">
        <f t="shared" si="89"/>
        <v>0.68104277821396053</v>
      </c>
      <c r="AG209" s="809">
        <f t="shared" si="95"/>
        <v>1</v>
      </c>
      <c r="AH209" s="176">
        <f t="shared" si="90"/>
        <v>7</v>
      </c>
      <c r="AI209" s="225">
        <f t="shared" si="91"/>
        <v>1.6810427782139605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6">
        <v>43.158000000000001</v>
      </c>
      <c r="C210" s="390"/>
      <c r="D210" s="393">
        <f t="shared" si="74"/>
        <v>43.880083784624773</v>
      </c>
      <c r="E210" s="385">
        <f t="shared" si="72"/>
        <v>48.579863077873753</v>
      </c>
      <c r="F210" s="385">
        <f t="shared" si="75"/>
        <v>48.656079397422701</v>
      </c>
      <c r="G210" s="110">
        <f t="shared" si="73"/>
        <v>0.82045341522328363</v>
      </c>
      <c r="H210" s="414" t="b">
        <f>Wh_hp&gt;='2019'!Maxi_hp</f>
        <v>0</v>
      </c>
      <c r="I210" s="380">
        <f>IF(H210,Wh_hp,'2019'!Maxi_hp)</f>
        <v>61.822480130513313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1.6455843342709997E-2</v>
      </c>
      <c r="M210" s="843"/>
      <c r="N210" s="843"/>
      <c r="O210" s="48">
        <f>IF(t&lt;Tnet,'2019'!Resal+('2019'!Salim-'2019'!Resal)*(1-EXP(('2019'!Tnet-t)/('2019'!Tau_j))),Resal+(Salim-Resal)*(1-EXP((Tnet-t)/(Tau_j))))*Salcycl</f>
        <v>9.6743362279864992E-2</v>
      </c>
      <c r="P210" s="169">
        <f>(INDEX(Models!$BJ210:$BT210,,T210)*(1-R210)+INDEX(Models!$BJ210:$BT210,,T210+1)*R210-ERP_i)*Q210*Ramure*Pc/MaxiM</f>
        <v>2.1050270343011086E-3</v>
      </c>
      <c r="Q210" s="305">
        <f t="shared" si="77"/>
        <v>0.8</v>
      </c>
      <c r="R210" s="177">
        <f t="shared" si="78"/>
        <v>0.48498658934762218</v>
      </c>
      <c r="S210" s="809">
        <f t="shared" si="79"/>
        <v>0</v>
      </c>
      <c r="T210" s="176">
        <f t="shared" si="80"/>
        <v>6</v>
      </c>
      <c r="U210" s="251">
        <f t="shared" si="81"/>
        <v>0.48498658934762218</v>
      </c>
      <c r="V210" s="383">
        <f t="shared" si="82"/>
        <v>52.574244850560447</v>
      </c>
      <c r="W210" s="402"/>
      <c r="X210" s="157">
        <f t="shared" si="83"/>
        <v>44026</v>
      </c>
      <c r="Y210" s="385">
        <f t="shared" si="84"/>
        <v>42.958433161138736</v>
      </c>
      <c r="Z210" s="385">
        <f t="shared" si="85"/>
        <v>43.67717795928845</v>
      </c>
      <c r="AA210" s="386">
        <f t="shared" si="86"/>
        <v>48.355225010614745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9.6743362279864992E-2</v>
      </c>
      <c r="AD210" s="231">
        <f>(INDEX(Models!$BJ210:$BT210,,AH210)*(1-AF210)+INDEX(Models!$BJ210:$BT210,,AH210+1)*AF210-ERP_i)*AE210*Ramure*Pc/MaxiM</f>
        <v>8.3093308804038143E-3</v>
      </c>
      <c r="AE210" s="305">
        <f t="shared" si="88"/>
        <v>0.8</v>
      </c>
      <c r="AF210" s="177">
        <f t="shared" si="89"/>
        <v>0.6849201635001434</v>
      </c>
      <c r="AG210" s="809">
        <f t="shared" si="95"/>
        <v>1</v>
      </c>
      <c r="AH210" s="176">
        <f t="shared" si="90"/>
        <v>7</v>
      </c>
      <c r="AI210" s="225">
        <f t="shared" si="91"/>
        <v>1.6849201635001434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6">
        <v>19.736999999999998</v>
      </c>
      <c r="C211" s="390"/>
      <c r="D211" s="393">
        <f t="shared" si="74"/>
        <v>20.067690083781702</v>
      </c>
      <c r="E211" s="385">
        <f t="shared" si="72"/>
        <v>22.219415531508101</v>
      </c>
      <c r="F211" s="385">
        <f t="shared" si="75"/>
        <v>22.224534909422566</v>
      </c>
      <c r="G211" s="110">
        <f t="shared" si="73"/>
        <v>0.37573019402914065</v>
      </c>
      <c r="H211" s="414" t="b">
        <f>Wh_hp&gt;='2019'!Maxi_hp</f>
        <v>0</v>
      </c>
      <c r="I211" s="380">
        <f>IF(H211,Wh_hp,'2019'!Maxi_hp)</f>
        <v>59.884372222442117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1.6478731852101025E-2</v>
      </c>
      <c r="M211" s="843"/>
      <c r="N211" s="843"/>
      <c r="O211" s="48">
        <f>IF(t&lt;Tnet,'2019'!Resal+('2019'!Salim-'2019'!Resal)*(1-EXP(('2019'!Tnet-t)/('2019'!Tau_j))),Resal+(Salim-Resal)*(1-EXP((Tnet-t)/(Tau_j))))*Salcycl</f>
        <v>9.683987612883678E-2</v>
      </c>
      <c r="P211" s="169">
        <f>(INDEX(Models!$BJ211:$BT211,,T211)*(1-R211)+INDEX(Models!$BJ211:$BT211,,T211+1)*R211-ERP_i)*Q211*Ramure*Pc/MaxiM</f>
        <v>2.109476816524345E-3</v>
      </c>
      <c r="Q211" s="305">
        <f t="shared" si="77"/>
        <v>0.8</v>
      </c>
      <c r="R211" s="177">
        <f t="shared" si="78"/>
        <v>0.48876699658123185</v>
      </c>
      <c r="S211" s="809">
        <f t="shared" si="79"/>
        <v>0</v>
      </c>
      <c r="T211" s="176">
        <f t="shared" si="80"/>
        <v>6</v>
      </c>
      <c r="U211" s="251">
        <f t="shared" si="81"/>
        <v>0.48876699658123185</v>
      </c>
      <c r="V211" s="383">
        <f t="shared" si="82"/>
        <v>52.430982133109154</v>
      </c>
      <c r="W211" s="402"/>
      <c r="X211" s="157">
        <f t="shared" si="83"/>
        <v>44027</v>
      </c>
      <c r="Y211" s="385">
        <f t="shared" si="84"/>
        <v>19.72371179335482</v>
      </c>
      <c r="Z211" s="385">
        <f t="shared" si="85"/>
        <v>20.054179235490437</v>
      </c>
      <c r="AA211" s="386">
        <f t="shared" si="86"/>
        <v>22.204456004471684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9.683987612883678E-2</v>
      </c>
      <c r="AD211" s="231">
        <f>(INDEX(Models!$BJ211:$BT211,,AH211)*(1-AF211)+INDEX(Models!$BJ211:$BT211,,AH211+1)*AF211-ERP_i)*AE211*Ramure*Pc/MaxiM</f>
        <v>8.273658480146575E-3</v>
      </c>
      <c r="AE211" s="305">
        <f t="shared" si="88"/>
        <v>0.8</v>
      </c>
      <c r="AF211" s="177">
        <f t="shared" si="89"/>
        <v>0.68870057073375301</v>
      </c>
      <c r="AG211" s="809">
        <f t="shared" si="95"/>
        <v>1</v>
      </c>
      <c r="AH211" s="176">
        <f t="shared" si="90"/>
        <v>7</v>
      </c>
      <c r="AI211" s="225">
        <f t="shared" si="91"/>
        <v>1.688700570733753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6">
        <v>22.46</v>
      </c>
      <c r="C212" s="390"/>
      <c r="D212" s="393">
        <f t="shared" si="74"/>
        <v>22.836844933177535</v>
      </c>
      <c r="E212" s="385">
        <f t="shared" si="72"/>
        <v>25.288166010698703</v>
      </c>
      <c r="F212" s="385">
        <f t="shared" si="75"/>
        <v>25.298053565532694</v>
      </c>
      <c r="G212" s="110">
        <f t="shared" si="73"/>
        <v>0.42882593286953585</v>
      </c>
      <c r="H212" s="414" t="b">
        <f>Wh_hp&gt;='2019'!Maxi_hp</f>
        <v>0</v>
      </c>
      <c r="I212" s="380">
        <f>IF(H212,Wh_hp,'2019'!Maxi_hp)</f>
        <v>51.392846904126159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1.6501619828842906E-2</v>
      </c>
      <c r="M212" s="843"/>
      <c r="N212" s="843"/>
      <c r="O212" s="48">
        <f>IF(t&lt;Tnet,'2019'!Resal+('2019'!Salim-'2019'!Resal)*(1-EXP(('2019'!Tnet-t)/('2019'!Tau_j))),Resal+(Salim-Resal)*(1-EXP((Tnet-t)/(Tau_j))))*Salcycl</f>
        <v>9.6935502419751796E-2</v>
      </c>
      <c r="P212" s="169">
        <f>(INDEX(Models!$BJ212:$BT212,,T212)*(1-R212)+INDEX(Models!$BJ212:$BT212,,T212+1)*R212-ERP_i)*Q212*Ramure*Pc/MaxiM</f>
        <v>2.111595869567892E-3</v>
      </c>
      <c r="Q212" s="305">
        <f t="shared" si="77"/>
        <v>0.8</v>
      </c>
      <c r="R212" s="177">
        <f t="shared" si="78"/>
        <v>0.49245094626112346</v>
      </c>
      <c r="S212" s="809">
        <f t="shared" si="79"/>
        <v>0</v>
      </c>
      <c r="T212" s="176">
        <f t="shared" si="80"/>
        <v>6</v>
      </c>
      <c r="U212" s="251">
        <f t="shared" si="81"/>
        <v>0.49245094626112346</v>
      </c>
      <c r="V212" s="383">
        <f t="shared" si="82"/>
        <v>52.285403119969828</v>
      </c>
      <c r="W212" s="402"/>
      <c r="X212" s="157">
        <f t="shared" si="83"/>
        <v>44028</v>
      </c>
      <c r="Y212" s="385">
        <f t="shared" si="84"/>
        <v>22.43454746338573</v>
      </c>
      <c r="Z212" s="385">
        <f t="shared" si="85"/>
        <v>22.810965341378061</v>
      </c>
      <c r="AA212" s="386">
        <f t="shared" si="86"/>
        <v>25.25950848748877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9.6935502419751796E-2</v>
      </c>
      <c r="AD212" s="231">
        <f>(INDEX(Models!$BJ212:$BT212,,AH212)*(1-AF212)+INDEX(Models!$BJ212:$BT212,,AH212+1)*AF212-ERP_i)*AE212*Ramure*Pc/MaxiM</f>
        <v>8.2317245220130328E-3</v>
      </c>
      <c r="AE212" s="305">
        <f t="shared" si="88"/>
        <v>0.8</v>
      </c>
      <c r="AF212" s="177">
        <f t="shared" si="89"/>
        <v>0.69238452041364473</v>
      </c>
      <c r="AG212" s="809">
        <f t="shared" si="95"/>
        <v>1</v>
      </c>
      <c r="AH212" s="176">
        <f t="shared" si="90"/>
        <v>7</v>
      </c>
      <c r="AI212" s="225">
        <f t="shared" si="91"/>
        <v>1.6923845204136447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6">
        <v>24.298999999999999</v>
      </c>
      <c r="C213" s="390"/>
      <c r="D213" s="393">
        <f t="shared" si="74"/>
        <v>24.707275554596663</v>
      </c>
      <c r="E213" s="385">
        <f t="shared" si="72"/>
        <v>27.362241700421198</v>
      </c>
      <c r="F213" s="385">
        <f t="shared" si="75"/>
        <v>27.375956179137983</v>
      </c>
      <c r="G213" s="110">
        <f t="shared" si="73"/>
        <v>0.46530250320462785</v>
      </c>
      <c r="H213" s="414" t="b">
        <f>Wh_hp&gt;='2019'!Maxi_hp</f>
        <v>0</v>
      </c>
      <c r="I213" s="380">
        <f>IF(H213,Wh_hp,'2019'!Maxi_hp)</f>
        <v>44.497560410336952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1.6524507272948075E-2</v>
      </c>
      <c r="M213" s="843"/>
      <c r="N213" s="843"/>
      <c r="O213" s="48">
        <f>IF(t&lt;Tnet,'2019'!Resal+('2019'!Salim-'2019'!Resal)*(1-EXP(('2019'!Tnet-t)/('2019'!Tau_j))),Resal+(Salim-Resal)*(1-EXP((Tnet-t)/(Tau_j))))*Salcycl</f>
        <v>9.7030286293526363E-2</v>
      </c>
      <c r="P213" s="169">
        <f>(INDEX(Models!$BJ213:$BT213,,T213)*(1-R213)+INDEX(Models!$BJ213:$BT213,,T213+1)*R213-ERP_i)*Q213*Ramure*Pc/MaxiM</f>
        <v>2.1118335060445938E-3</v>
      </c>
      <c r="Q213" s="305">
        <f t="shared" si="77"/>
        <v>0.8</v>
      </c>
      <c r="R213" s="177">
        <f t="shared" si="78"/>
        <v>0.49603909136067192</v>
      </c>
      <c r="S213" s="809">
        <f t="shared" si="79"/>
        <v>0</v>
      </c>
      <c r="T213" s="176">
        <f t="shared" si="80"/>
        <v>6</v>
      </c>
      <c r="U213" s="251">
        <f t="shared" si="81"/>
        <v>0.49603909136067192</v>
      </c>
      <c r="V213" s="383">
        <f t="shared" si="82"/>
        <v>52.137776594107592</v>
      </c>
      <c r="W213" s="402"/>
      <c r="X213" s="157">
        <f t="shared" si="83"/>
        <v>44029</v>
      </c>
      <c r="Y213" s="385">
        <f t="shared" si="84"/>
        <v>24.263975227082913</v>
      </c>
      <c r="Z213" s="385">
        <f t="shared" si="85"/>
        <v>24.671662290030238</v>
      </c>
      <c r="AA213" s="386">
        <f t="shared" si="86"/>
        <v>27.322801546420639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9.7030286293526363E-2</v>
      </c>
      <c r="AD213" s="231">
        <f>(INDEX(Models!$BJ213:$BT213,,AH213)*(1-AF213)+INDEX(Models!$BJ213:$BT213,,AH213+1)*AF213-ERP_i)*AE213*Ramure*Pc/MaxiM</f>
        <v>8.1850529423764477E-3</v>
      </c>
      <c r="AE213" s="305">
        <f t="shared" si="88"/>
        <v>0.8</v>
      </c>
      <c r="AF213" s="177">
        <f t="shared" si="89"/>
        <v>0.69597266551319326</v>
      </c>
      <c r="AG213" s="809">
        <f t="shared" si="95"/>
        <v>1</v>
      </c>
      <c r="AH213" s="176">
        <f t="shared" si="90"/>
        <v>7</v>
      </c>
      <c r="AI213" s="225">
        <f t="shared" si="91"/>
        <v>1.6959726655131933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6">
        <v>52.061999999999998</v>
      </c>
      <c r="C214" s="390"/>
      <c r="D214" s="393">
        <f t="shared" si="74"/>
        <v>52.937985716988685</v>
      </c>
      <c r="E214" s="385">
        <f t="shared" si="72"/>
        <v>58.632637988860012</v>
      </c>
      <c r="F214" s="385">
        <f t="shared" si="75"/>
        <v>58.756624023834831</v>
      </c>
      <c r="G214" s="110">
        <f t="shared" si="73"/>
        <v>1.001415771335787</v>
      </c>
      <c r="H214" s="414" t="b">
        <f>Wh_hp&gt;='2019'!Maxi_hp</f>
        <v>1</v>
      </c>
      <c r="I214" s="380">
        <f>IF(H214,Wh_hp,'2019'!Maxi_hp)</f>
        <v>58.756624023834831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1.6547394184429076E-2</v>
      </c>
      <c r="M214" s="843"/>
      <c r="N214" s="843"/>
      <c r="O214" s="48">
        <f>IF(t&lt;Tnet,'2019'!Resal+('2019'!Salim-'2019'!Resal)*(1-EXP(('2019'!Tnet-t)/('2019'!Tau_j))),Resal+(Salim-Resal)*(1-EXP((Tnet-t)/(Tau_j))))*Salcycl</f>
        <v>9.7124271859527947E-2</v>
      </c>
      <c r="P214" s="169">
        <f>(INDEX(Models!$BJ214:$BT214,,T214)*(1-R214)+INDEX(Models!$BJ214:$BT214,,T214+1)*R214-ERP_i)*Q214*Ramure*Pc/MaxiM</f>
        <v>2.1101626758631168E-3</v>
      </c>
      <c r="Q214" s="305">
        <f t="shared" si="77"/>
        <v>0.8</v>
      </c>
      <c r="R214" s="177">
        <f t="shared" si="78"/>
        <v>0.49953220887934846</v>
      </c>
      <c r="S214" s="809">
        <f t="shared" si="79"/>
        <v>0</v>
      </c>
      <c r="T214" s="176">
        <f t="shared" si="80"/>
        <v>6</v>
      </c>
      <c r="U214" s="251">
        <f t="shared" si="81"/>
        <v>0.49953220887934846</v>
      </c>
      <c r="V214" s="383">
        <f t="shared" si="82"/>
        <v>51.988396318698442</v>
      </c>
      <c r="W214" s="402"/>
      <c r="X214" s="157">
        <f t="shared" si="83"/>
        <v>44030</v>
      </c>
      <c r="Y214" s="385">
        <f t="shared" si="84"/>
        <v>51.747744238971308</v>
      </c>
      <c r="Z214" s="385">
        <f t="shared" si="85"/>
        <v>52.618442345838552</v>
      </c>
      <c r="AA214" s="386">
        <f t="shared" si="86"/>
        <v>58.27872065429144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9.7124271859527947E-2</v>
      </c>
      <c r="AD214" s="231">
        <f>(INDEX(Models!$BJ214:$BT214,,AH214)*(1-AF214)+INDEX(Models!$BJ214:$BT214,,AH214+1)*AF214-ERP_i)*AE214*Ramure*Pc/MaxiM</f>
        <v>8.1336083800445033E-3</v>
      </c>
      <c r="AE214" s="305">
        <f t="shared" si="88"/>
        <v>0.8</v>
      </c>
      <c r="AF214" s="177">
        <f t="shared" si="89"/>
        <v>0.69946578303186957</v>
      </c>
      <c r="AG214" s="809">
        <f t="shared" si="95"/>
        <v>1</v>
      </c>
      <c r="AH214" s="176">
        <f t="shared" si="90"/>
        <v>7</v>
      </c>
      <c r="AI214" s="225">
        <f t="shared" si="91"/>
        <v>1.6994657830318696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6">
        <v>50.371000000000002</v>
      </c>
      <c r="C215" s="390"/>
      <c r="D215" s="393">
        <f t="shared" si="74"/>
        <v>51.21972521722445</v>
      </c>
      <c r="E215" s="385">
        <f t="shared" si="72"/>
        <v>56.735398980156447</v>
      </c>
      <c r="F215" s="385">
        <f t="shared" si="75"/>
        <v>56.850317250869089</v>
      </c>
      <c r="G215" s="110">
        <f t="shared" si="73"/>
        <v>0.97162572378150502</v>
      </c>
      <c r="H215" s="414" t="b">
        <f>Wh_hp&gt;='2019'!Maxi_hp</f>
        <v>1</v>
      </c>
      <c r="I215" s="380">
        <f>IF(H215,Wh_hp,'2019'!Maxi_hp)</f>
        <v>56.850317250869089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1.6570280563298234E-2</v>
      </c>
      <c r="M215" s="843"/>
      <c r="N215" s="843"/>
      <c r="O215" s="48">
        <f>IF(t&lt;Tnet,'2019'!Resal+('2019'!Salim-'2019'!Resal)*(1-EXP(('2019'!Tnet-t)/('2019'!Tau_j))),Resal+(Salim-Resal)*(1-EXP((Tnet-t)/(Tau_j))))*Salcycl</f>
        <v>9.7217501984275034E-2</v>
      </c>
      <c r="P215" s="169">
        <f>(INDEX(Models!$BJ215:$BT215,,T215)*(1-R215)+INDEX(Models!$BJ215:$BT215,,T215+1)*R215-ERP_i)*Q215*Ramure*Pc/MaxiM</f>
        <v>2.1065574454330648E-3</v>
      </c>
      <c r="Q215" s="305">
        <f t="shared" si="77"/>
        <v>0.8</v>
      </c>
      <c r="R215" s="177">
        <f t="shared" si="78"/>
        <v>0.50293119140187059</v>
      </c>
      <c r="S215" s="809">
        <f t="shared" si="79"/>
        <v>0</v>
      </c>
      <c r="T215" s="176">
        <f t="shared" si="80"/>
        <v>6</v>
      </c>
      <c r="U215" s="251">
        <f t="shared" si="81"/>
        <v>0.50293119140187059</v>
      </c>
      <c r="V215" s="383">
        <f t="shared" si="82"/>
        <v>51.837555898322243</v>
      </c>
      <c r="W215" s="402"/>
      <c r="X215" s="157">
        <f t="shared" si="83"/>
        <v>44031</v>
      </c>
      <c r="Y215" s="385">
        <f t="shared" si="84"/>
        <v>50.081815774869177</v>
      </c>
      <c r="Z215" s="385">
        <f t="shared" si="85"/>
        <v>50.925668387930678</v>
      </c>
      <c r="AA215" s="386">
        <f t="shared" si="86"/>
        <v>56.409676195388137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9.7217501984275034E-2</v>
      </c>
      <c r="AD215" s="231">
        <f>(INDEX(Models!$BJ215:$BT215,,AH215)*(1-AF215)+INDEX(Models!$BJ215:$BT215,,AH215+1)*AF215-ERP_i)*AE215*Ramure*Pc/MaxiM</f>
        <v>8.0773552406473888E-3</v>
      </c>
      <c r="AE215" s="305">
        <f t="shared" si="88"/>
        <v>0.8</v>
      </c>
      <c r="AF215" s="177">
        <f t="shared" si="89"/>
        <v>0.70286476555439181</v>
      </c>
      <c r="AG215" s="809">
        <f t="shared" si="95"/>
        <v>1</v>
      </c>
      <c r="AH215" s="176">
        <f t="shared" si="90"/>
        <v>7</v>
      </c>
      <c r="AI215" s="225">
        <f t="shared" si="91"/>
        <v>1.7028647655543918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6">
        <v>43.073</v>
      </c>
      <c r="C216" s="390"/>
      <c r="D216" s="393">
        <f t="shared" si="74"/>
        <v>43.799776988268299</v>
      </c>
      <c r="E216" s="385">
        <f t="shared" si="72"/>
        <v>48.521394793717263</v>
      </c>
      <c r="F216" s="385">
        <f t="shared" si="75"/>
        <v>48.599195095774284</v>
      </c>
      <c r="G216" s="110">
        <f t="shared" si="73"/>
        <v>0.83294893921468249</v>
      </c>
      <c r="H216" s="414" t="b">
        <f>Wh_hp&gt;='2019'!Maxi_hp</f>
        <v>1</v>
      </c>
      <c r="I216" s="380">
        <f>IF(H216,Wh_hp,'2019'!Maxi_hp)</f>
        <v>48.599195095774284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1.6593166409567872E-2</v>
      </c>
      <c r="M216" s="843"/>
      <c r="N216" s="843"/>
      <c r="O216" s="48">
        <f>IF(t&lt;Tnet,'2019'!Resal+('2019'!Salim-'2019'!Resal)*(1-EXP(('2019'!Tnet-t)/('2019'!Tau_j))),Resal+(Salim-Resal)*(1-EXP((Tnet-t)/(Tau_j))))*Salcycl</f>
        <v>9.7310018096601295E-2</v>
      </c>
      <c r="P216" s="169">
        <f>(INDEX(Models!$BJ216:$BT216,,T216)*(1-R216)+INDEX(Models!$BJ216:$BT216,,T216+1)*R216-ERP_i)*Q216*Ramure*Pc/MaxiM</f>
        <v>2.1009929214184098E-3</v>
      </c>
      <c r="Q216" s="305">
        <f t="shared" si="77"/>
        <v>0.8</v>
      </c>
      <c r="R216" s="177">
        <f t="shared" si="78"/>
        <v>0.50623703871154258</v>
      </c>
      <c r="S216" s="809">
        <f t="shared" si="79"/>
        <v>0</v>
      </c>
      <c r="T216" s="176">
        <f t="shared" si="80"/>
        <v>6</v>
      </c>
      <c r="U216" s="251">
        <f t="shared" si="81"/>
        <v>0.50623703871154258</v>
      </c>
      <c r="V216" s="383">
        <f t="shared" si="82"/>
        <v>51.685548806430326</v>
      </c>
      <c r="W216" s="402"/>
      <c r="X216" s="157">
        <f t="shared" si="83"/>
        <v>44032</v>
      </c>
      <c r="Y216" s="385">
        <f t="shared" si="84"/>
        <v>42.878552341313842</v>
      </c>
      <c r="Z216" s="385">
        <f t="shared" si="85"/>
        <v>43.602048385980446</v>
      </c>
      <c r="AA216" s="386">
        <f t="shared" si="86"/>
        <v>48.30235103976873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9.7310018096601295E-2</v>
      </c>
      <c r="AD216" s="231">
        <f>(INDEX(Models!$BJ216:$BT216,,AH216)*(1-AF216)+INDEX(Models!$BJ216:$BT216,,AH216+1)*AF216-ERP_i)*AE216*Ramure*Pc/MaxiM</f>
        <v>8.0162575715414051E-3</v>
      </c>
      <c r="AE216" s="305">
        <f t="shared" si="88"/>
        <v>0.8</v>
      </c>
      <c r="AF216" s="177">
        <f t="shared" si="89"/>
        <v>0.70617061286406368</v>
      </c>
      <c r="AG216" s="809">
        <f t="shared" si="95"/>
        <v>1</v>
      </c>
      <c r="AH216" s="176">
        <f t="shared" si="90"/>
        <v>7</v>
      </c>
      <c r="AI216" s="225">
        <f t="shared" si="91"/>
        <v>1.7061706128640637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6">
        <v>46.296999999999997</v>
      </c>
      <c r="C217" s="390"/>
      <c r="D217" s="393">
        <f t="shared" si="74"/>
        <v>47.079271612201289</v>
      </c>
      <c r="E217" s="385">
        <f t="shared" si="72"/>
        <v>52.159725935993386</v>
      </c>
      <c r="F217" s="385">
        <f t="shared" si="75"/>
        <v>52.253238305667388</v>
      </c>
      <c r="G217" s="110">
        <f t="shared" si="73"/>
        <v>0.89812751929856849</v>
      </c>
      <c r="H217" s="414" t="b">
        <f>Wh_hp&gt;='2019'!Maxi_hp</f>
        <v>1</v>
      </c>
      <c r="I217" s="380">
        <f>IF(H217,Wh_hp,'2019'!Maxi_hp)</f>
        <v>52.253238305667388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1.6616051723250425E-2</v>
      </c>
      <c r="M217" s="843"/>
      <c r="N217" s="843"/>
      <c r="O217" s="48">
        <f>IF(t&lt;Tnet,'2019'!Resal+('2019'!Salim-'2019'!Resal)*(1-EXP(('2019'!Tnet-t)/('2019'!Tau_j))),Resal+(Salim-Resal)*(1-EXP((Tnet-t)/(Tau_j))))*Salcycl</f>
        <v>9.7401860010278049E-2</v>
      </c>
      <c r="P217" s="169">
        <f>(INDEX(Models!$BJ217:$BT217,,T217)*(1-R217)+INDEX(Models!$BJ217:$BT217,,T217+1)*R217-ERP_i)*Q217*Ramure*Pc/MaxiM</f>
        <v>2.0934451825794769E-3</v>
      </c>
      <c r="Q217" s="305">
        <f t="shared" si="77"/>
        <v>0.8</v>
      </c>
      <c r="R217" s="177">
        <f t="shared" si="78"/>
        <v>0.50945084950027753</v>
      </c>
      <c r="S217" s="809">
        <f t="shared" si="79"/>
        <v>0</v>
      </c>
      <c r="T217" s="176">
        <f t="shared" si="80"/>
        <v>6</v>
      </c>
      <c r="U217" s="251">
        <f t="shared" si="81"/>
        <v>0.50945084950027753</v>
      </c>
      <c r="V217" s="383">
        <f t="shared" si="82"/>
        <v>51.532668404775343</v>
      </c>
      <c r="W217" s="402"/>
      <c r="X217" s="157">
        <f t="shared" si="83"/>
        <v>44033</v>
      </c>
      <c r="Y217" s="385">
        <f t="shared" si="84"/>
        <v>46.064786257506384</v>
      </c>
      <c r="Z217" s="385">
        <f t="shared" si="85"/>
        <v>46.843134198223225</v>
      </c>
      <c r="AA217" s="386">
        <f t="shared" si="86"/>
        <v>51.898106281004125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9.7401860010278049E-2</v>
      </c>
      <c r="AD217" s="231">
        <f>(INDEX(Models!$BJ217:$BT217,,AH217)*(1-AF217)+INDEX(Models!$BJ217:$BT217,,AH217+1)*AF217-ERP_i)*AE217*Ramure*Pc/MaxiM</f>
        <v>7.950278971678151E-3</v>
      </c>
      <c r="AE217" s="305">
        <f t="shared" si="88"/>
        <v>0.8</v>
      </c>
      <c r="AF217" s="177">
        <f t="shared" si="89"/>
        <v>0.70938442365279863</v>
      </c>
      <c r="AG217" s="809">
        <f t="shared" si="95"/>
        <v>1</v>
      </c>
      <c r="AH217" s="176">
        <f t="shared" si="90"/>
        <v>7</v>
      </c>
      <c r="AI217" s="225">
        <f t="shared" si="91"/>
        <v>1.7093844236527986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6">
        <v>46.762</v>
      </c>
      <c r="C218" s="390"/>
      <c r="D218" s="393">
        <f t="shared" si="74"/>
        <v>47.553235262102945</v>
      </c>
      <c r="E218" s="385">
        <f t="shared" si="72"/>
        <v>52.690160549742444</v>
      </c>
      <c r="F218" s="385">
        <f t="shared" si="75"/>
        <v>52.786039176600426</v>
      </c>
      <c r="G218" s="110">
        <f t="shared" si="73"/>
        <v>0.9098907700309391</v>
      </c>
      <c r="H218" s="414" t="b">
        <f>Wh_hp&gt;='2019'!Maxi_hp</f>
        <v>0</v>
      </c>
      <c r="I218" s="380">
        <f>IF(H218,Wh_hp,'2019'!Maxi_hp)</f>
        <v>54.77401411835254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1.6638936504358326E-2</v>
      </c>
      <c r="M218" s="843"/>
      <c r="N218" s="843"/>
      <c r="O218" s="48">
        <f>IF(t&lt;Tnet,'2019'!Resal+('2019'!Salim-'2019'!Resal)*(1-EXP(('2019'!Tnet-t)/('2019'!Tau_j))),Resal+(Salim-Resal)*(1-EXP((Tnet-t)/(Tau_j))))*Salcycl</f>
        <v>9.7493065764906045E-2</v>
      </c>
      <c r="P218" s="169">
        <f>(INDEX(Models!$BJ218:$BT218,,T218)*(1-R218)+INDEX(Models!$BJ218:$BT218,,T218+1)*R218-ERP_i)*Q218*Ramure*Pc/MaxiM</f>
        <v>2.0838912207489534E-3</v>
      </c>
      <c r="Q218" s="305">
        <f t="shared" si="77"/>
        <v>0.8</v>
      </c>
      <c r="R218" s="177">
        <f t="shared" si="78"/>
        <v>0.51257381321363604</v>
      </c>
      <c r="S218" s="809">
        <f t="shared" si="79"/>
        <v>0</v>
      </c>
      <c r="T218" s="176">
        <f t="shared" si="80"/>
        <v>6</v>
      </c>
      <c r="U218" s="251">
        <f t="shared" si="81"/>
        <v>0.51257381321363604</v>
      </c>
      <c r="V218" s="383">
        <f t="shared" si="82"/>
        <v>51.379207963314116</v>
      </c>
      <c r="W218" s="402"/>
      <c r="X218" s="157">
        <f t="shared" si="83"/>
        <v>44034</v>
      </c>
      <c r="Y218" s="385">
        <f t="shared" si="84"/>
        <v>46.525353232970886</v>
      </c>
      <c r="Z218" s="385">
        <f t="shared" si="85"/>
        <v>47.312584319317104</v>
      </c>
      <c r="AA218" s="386">
        <f t="shared" si="86"/>
        <v>52.4235133544056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9.7493065764906045E-2</v>
      </c>
      <c r="AD218" s="231">
        <f>(INDEX(Models!$BJ218:$BT218,,AH218)*(1-AF218)+INDEX(Models!$BJ218:$BT218,,AH218+1)*AF218-ERP_i)*AE218*Ramure*Pc/MaxiM</f>
        <v>7.8793825373156979E-3</v>
      </c>
      <c r="AE218" s="305">
        <f t="shared" si="88"/>
        <v>0.8</v>
      </c>
      <c r="AF218" s="177">
        <f t="shared" si="89"/>
        <v>0.71250738736615737</v>
      </c>
      <c r="AG218" s="809">
        <f t="shared" si="95"/>
        <v>1</v>
      </c>
      <c r="AH218" s="176">
        <f t="shared" si="90"/>
        <v>7</v>
      </c>
      <c r="AI218" s="225">
        <f t="shared" si="91"/>
        <v>1.7125073873661574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6">
        <v>42.594999999999999</v>
      </c>
      <c r="C219" s="390"/>
      <c r="D219" s="393">
        <f t="shared" si="74"/>
        <v>43.316735685594288</v>
      </c>
      <c r="E219" s="385">
        <f t="shared" si="72"/>
        <v>48.000833226177555</v>
      </c>
      <c r="F219" s="385">
        <f t="shared" si="75"/>
        <v>48.076482650024765</v>
      </c>
      <c r="G219" s="110">
        <f t="shared" si="73"/>
        <v>0.83110282985339057</v>
      </c>
      <c r="H219" s="414" t="b">
        <f>Wh_hp&gt;='2019'!Maxi_hp</f>
        <v>0</v>
      </c>
      <c r="I219" s="380">
        <f>IF(H219,Wh_hp,'2019'!Maxi_hp)</f>
        <v>54.951989772892752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1.66618207529039E-2</v>
      </c>
      <c r="M219" s="843"/>
      <c r="N219" s="843"/>
      <c r="O219" s="48">
        <f>IF(t&lt;Tnet,'2019'!Resal+('2019'!Salim-'2019'!Resal)*(1-EXP(('2019'!Tnet-t)/('2019'!Tau_j))),Resal+(Salim-Resal)*(1-EXP((Tnet-t)/(Tau_j))))*Salcycl</f>
        <v>9.7583671485701629E-2</v>
      </c>
      <c r="P219" s="169">
        <f>(INDEX(Models!$BJ219:$BT219,,T219)*(1-R219)+INDEX(Models!$BJ219:$BT219,,T219+1)*R219-ERP_i)*Q219*Ramure*Pc/MaxiM</f>
        <v>2.0723009031576836E-3</v>
      </c>
      <c r="Q219" s="305">
        <f t="shared" si="77"/>
        <v>0.8</v>
      </c>
      <c r="R219" s="177">
        <f t="shared" si="78"/>
        <v>0.5156072020650887</v>
      </c>
      <c r="S219" s="809">
        <f t="shared" si="79"/>
        <v>0</v>
      </c>
      <c r="T219" s="176">
        <f t="shared" si="80"/>
        <v>6</v>
      </c>
      <c r="U219" s="251">
        <f t="shared" si="81"/>
        <v>0.5156072020650887</v>
      </c>
      <c r="V219" s="383">
        <f t="shared" si="82"/>
        <v>51.225575847906747</v>
      </c>
      <c r="W219" s="402"/>
      <c r="X219" s="157">
        <f t="shared" si="83"/>
        <v>44035</v>
      </c>
      <c r="Y219" s="385">
        <f t="shared" si="84"/>
        <v>42.409344333831442</v>
      </c>
      <c r="Z219" s="385">
        <f t="shared" si="85"/>
        <v>43.127934243642031</v>
      </c>
      <c r="AA219" s="386">
        <f t="shared" si="86"/>
        <v>47.791615555811269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9.7583671485701629E-2</v>
      </c>
      <c r="AD219" s="231">
        <f>(INDEX(Models!$BJ219:$BT219,,AH219)*(1-AF219)+INDEX(Models!$BJ219:$BT219,,AH219+1)*AF219-ERP_i)*AE219*Ramure*Pc/MaxiM</f>
        <v>7.8035007617620611E-3</v>
      </c>
      <c r="AE219" s="305">
        <f t="shared" si="88"/>
        <v>0.8</v>
      </c>
      <c r="AF219" s="177">
        <f t="shared" si="89"/>
        <v>0.71554077621761003</v>
      </c>
      <c r="AG219" s="809">
        <f t="shared" si="95"/>
        <v>1</v>
      </c>
      <c r="AH219" s="176">
        <f t="shared" si="90"/>
        <v>7</v>
      </c>
      <c r="AI219" s="225">
        <f t="shared" si="91"/>
        <v>1.71554077621761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6">
        <v>50.140999999999998</v>
      </c>
      <c r="C220" s="390"/>
      <c r="D220" s="393">
        <f t="shared" si="74"/>
        <v>50.991782826807594</v>
      </c>
      <c r="E220" s="385">
        <f t="shared" si="72"/>
        <v>56.511467595784545</v>
      </c>
      <c r="F220" s="385">
        <f t="shared" si="75"/>
        <v>56.624993980258836</v>
      </c>
      <c r="G220" s="110">
        <f t="shared" si="73"/>
        <v>0.98172330038857003</v>
      </c>
      <c r="H220" s="414" t="b">
        <f>Wh_hp&gt;='2019'!Maxi_hp</f>
        <v>1</v>
      </c>
      <c r="I220" s="380">
        <f>IF(H220,Wh_hp,'2019'!Maxi_hp)</f>
        <v>56.624993980258836</v>
      </c>
      <c r="J220" s="85">
        <f>IF(H220,An,'2019'!An_max)</f>
        <v>2020</v>
      </c>
      <c r="K220" s="197">
        <f t="shared" si="76"/>
        <v>44036</v>
      </c>
      <c r="L220" s="147">
        <f>IF(t&lt;Tvie,1-EXP((T0-t)*PertePVj)+'2019'!Pspv,1-EXP((T0-t)*PertePVj)+Pspv)</f>
        <v>1.668470446889958E-2</v>
      </c>
      <c r="M220" s="843"/>
      <c r="N220" s="843"/>
      <c r="O220" s="48">
        <f>IF(t&lt;Tnet,'2019'!Resal+('2019'!Salim-'2019'!Resal)*(1-EXP(('2019'!Tnet-t)/('2019'!Tau_j))),Resal+(Salim-Resal)*(1-EXP((Tnet-t)/(Tau_j))))*Salcycl</f>
        <v>9.7673711262609195E-2</v>
      </c>
      <c r="P220" s="169">
        <f>(INDEX(Models!$BJ220:$BT220,,T220)*(1-R220)+INDEX(Models!$BJ220:$BT220,,T220+1)*R220-ERP_i)*Q220*Ramure*Pc/MaxiM</f>
        <v>2.0584719628639479E-3</v>
      </c>
      <c r="Q220" s="305">
        <f t="shared" si="77"/>
        <v>0.8</v>
      </c>
      <c r="R220" s="177">
        <f t="shared" si="78"/>
        <v>0.51855236324965071</v>
      </c>
      <c r="S220" s="809">
        <f t="shared" si="79"/>
        <v>0</v>
      </c>
      <c r="T220" s="176">
        <f t="shared" si="80"/>
        <v>6</v>
      </c>
      <c r="U220" s="251">
        <f t="shared" si="81"/>
        <v>0.51855236324965071</v>
      </c>
      <c r="V220" s="383">
        <f t="shared" si="82"/>
        <v>51.071730177269274</v>
      </c>
      <c r="W220" s="402"/>
      <c r="X220" s="157">
        <f t="shared" si="83"/>
        <v>44036</v>
      </c>
      <c r="Y220" s="385">
        <f t="shared" si="84"/>
        <v>49.863604647214068</v>
      </c>
      <c r="Z220" s="385">
        <f t="shared" si="85"/>
        <v>50.709680683124262</v>
      </c>
      <c r="AA220" s="386">
        <f t="shared" si="86"/>
        <v>56.198828867195502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9.7673711262609195E-2</v>
      </c>
      <c r="AD220" s="231">
        <f>(INDEX(Models!$BJ220:$BT220,,AH220)*(1-AF220)+INDEX(Models!$BJ220:$BT220,,AH220+1)*AF220-ERP_i)*AE220*Ramure*Pc/MaxiM</f>
        <v>7.7272692233963198E-3</v>
      </c>
      <c r="AE220" s="305">
        <f t="shared" si="88"/>
        <v>0.8</v>
      </c>
      <c r="AF220" s="177">
        <f t="shared" si="89"/>
        <v>0.71848593740217193</v>
      </c>
      <c r="AG220" s="809">
        <f t="shared" si="95"/>
        <v>1</v>
      </c>
      <c r="AH220" s="176">
        <f t="shared" si="90"/>
        <v>7</v>
      </c>
      <c r="AI220" s="225">
        <f t="shared" si="91"/>
        <v>1.7184859374021719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6">
        <v>49.103999999999999</v>
      </c>
      <c r="C221" s="390"/>
      <c r="D221" s="393">
        <f t="shared" si="74"/>
        <v>49.938349348961843</v>
      </c>
      <c r="E221" s="385">
        <f t="shared" si="72"/>
        <v>55.349493938414135</v>
      </c>
      <c r="F221" s="385">
        <f t="shared" si="75"/>
        <v>55.457039418225264</v>
      </c>
      <c r="G221" s="110">
        <f t="shared" si="73"/>
        <v>0.96428816420190488</v>
      </c>
      <c r="H221" s="414" t="b">
        <f>Wh_hp&gt;='2019'!Maxi_hp</f>
        <v>1</v>
      </c>
      <c r="I221" s="380">
        <f>IF(H221,Wh_hp,'2019'!Maxi_hp)</f>
        <v>55.457039418225264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1.6707587652357803E-2</v>
      </c>
      <c r="M221" s="843"/>
      <c r="N221" s="843"/>
      <c r="O221" s="48">
        <f>IF(t&lt;Tnet,'2019'!Resal+('2019'!Salim-'2019'!Resal)*(1-EXP(('2019'!Tnet-t)/('2019'!Tau_j))),Resal+(Salim-Resal)*(1-EXP((Tnet-t)/(Tau_j))))*Salcycl</f>
        <v>9.7763217048978432E-2</v>
      </c>
      <c r="P221" s="169">
        <f>(INDEX(Models!$BJ221:$BT221,,T221)*(1-R221)+INDEX(Models!$BJ221:$BT221,,T221+1)*R221-ERP_i)*Q221*Ramure*Pc/MaxiM</f>
        <v>2.0432021985581808E-3</v>
      </c>
      <c r="Q221" s="305">
        <f t="shared" si="77"/>
        <v>0.8</v>
      </c>
      <c r="R221" s="177">
        <f t="shared" si="78"/>
        <v>0.52141071138308148</v>
      </c>
      <c r="S221" s="809">
        <f t="shared" si="79"/>
        <v>0</v>
      </c>
      <c r="T221" s="176">
        <f t="shared" si="80"/>
        <v>6</v>
      </c>
      <c r="U221" s="251">
        <f t="shared" si="81"/>
        <v>0.52141071138308148</v>
      </c>
      <c r="V221" s="383">
        <f t="shared" si="82"/>
        <v>50.917233877832757</v>
      </c>
      <c r="W221" s="402"/>
      <c r="X221" s="157">
        <f t="shared" si="83"/>
        <v>44037</v>
      </c>
      <c r="Y221" s="385">
        <f t="shared" si="84"/>
        <v>48.842044883368473</v>
      </c>
      <c r="Z221" s="385">
        <f t="shared" si="85"/>
        <v>49.67194322872534</v>
      </c>
      <c r="AA221" s="386">
        <f t="shared" si="86"/>
        <v>55.054220984273272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9.7763217048978432E-2</v>
      </c>
      <c r="AD221" s="231">
        <f>(INDEX(Models!$BJ221:$BT221,,AH221)*(1-AF221)+INDEX(Models!$BJ221:$BT221,,AH221+1)*AF221-ERP_i)*AE221*Ramure*Pc/MaxiM</f>
        <v>7.6529437714710057E-3</v>
      </c>
      <c r="AE221" s="305">
        <f t="shared" si="88"/>
        <v>0.8</v>
      </c>
      <c r="AF221" s="177">
        <f t="shared" si="89"/>
        <v>0.7213442855356027</v>
      </c>
      <c r="AG221" s="809">
        <f t="shared" si="95"/>
        <v>1</v>
      </c>
      <c r="AH221" s="176">
        <f t="shared" si="90"/>
        <v>7</v>
      </c>
      <c r="AI221" s="225">
        <f t="shared" si="91"/>
        <v>1.7213442855356027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6">
        <v>42.783000000000001</v>
      </c>
      <c r="C222" s="390"/>
      <c r="D222" s="393">
        <f t="shared" si="74"/>
        <v>43.510958804140387</v>
      </c>
      <c r="E222" s="385">
        <f t="shared" si="72"/>
        <v>48.230411580291289</v>
      </c>
      <c r="F222" s="385">
        <f t="shared" si="75"/>
        <v>48.306323762072346</v>
      </c>
      <c r="G222" s="110">
        <f t="shared" si="73"/>
        <v>0.84243651710482426</v>
      </c>
      <c r="H222" s="414" t="b">
        <f>Wh_hp&gt;='2019'!Maxi_hp</f>
        <v>1</v>
      </c>
      <c r="I222" s="380">
        <f>IF(H222,Wh_hp,'2019'!Maxi_hp)</f>
        <v>48.306323762072346</v>
      </c>
      <c r="J222" s="85">
        <f>IF(H222,An,'2019'!An_max)</f>
        <v>2020</v>
      </c>
      <c r="K222" s="197">
        <f t="shared" si="76"/>
        <v>44038</v>
      </c>
      <c r="L222" s="147">
        <f>IF(t&lt;Tvie,1-EXP((T0-t)*PertePVj)+'2019'!Pspv,1-EXP((T0-t)*PertePVj)+Pspv)</f>
        <v>1.673047030329089E-2</v>
      </c>
      <c r="M222" s="843"/>
      <c r="N222" s="843"/>
      <c r="O222" s="48">
        <f>IF(t&lt;Tnet,'2019'!Resal+('2019'!Salim-'2019'!Resal)*(1-EXP(('2019'!Tnet-t)/('2019'!Tau_j))),Resal+(Salim-Resal)*(1-EXP((Tnet-t)/(Tau_j))))*Salcycl</f>
        <v>9.785221857985224E-2</v>
      </c>
      <c r="P222" s="169">
        <f>(INDEX(Models!$BJ222:$BT222,,T222)*(1-R222)+INDEX(Models!$BJ222:$BT222,,T222+1)*R222-ERP_i)*Q222*Ramure*Pc/MaxiM</f>
        <v>2.0265119864496303E-3</v>
      </c>
      <c r="Q222" s="305">
        <f t="shared" si="77"/>
        <v>0.8</v>
      </c>
      <c r="R222" s="177">
        <f t="shared" si="78"/>
        <v>0.52418372118904044</v>
      </c>
      <c r="S222" s="809">
        <f t="shared" si="79"/>
        <v>0</v>
      </c>
      <c r="T222" s="176">
        <f t="shared" si="80"/>
        <v>6</v>
      </c>
      <c r="U222" s="251">
        <f t="shared" si="81"/>
        <v>0.52418372118904044</v>
      </c>
      <c r="V222" s="383">
        <f t="shared" si="82"/>
        <v>50.761690221650703</v>
      </c>
      <c r="W222" s="402"/>
      <c r="X222" s="157">
        <f t="shared" si="83"/>
        <v>44038</v>
      </c>
      <c r="Y222" s="385">
        <f t="shared" si="84"/>
        <v>42.598441906278083</v>
      </c>
      <c r="Z222" s="385">
        <f t="shared" si="85"/>
        <v>43.323260428315756</v>
      </c>
      <c r="AA222" s="386">
        <f t="shared" si="86"/>
        <v>48.022354342119996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9.785221857985224E-2</v>
      </c>
      <c r="AD222" s="231">
        <f>(INDEX(Models!$BJ222:$BT222,,AH222)*(1-AF222)+INDEX(Models!$BJ222:$BT222,,AH222+1)*AF222-ERP_i)*AE222*Ramure*Pc/MaxiM</f>
        <v>7.5806994321191276E-3</v>
      </c>
      <c r="AE222" s="305">
        <f t="shared" si="88"/>
        <v>0.8</v>
      </c>
      <c r="AF222" s="177">
        <f t="shared" si="89"/>
        <v>0.72411729534156155</v>
      </c>
      <c r="AG222" s="809">
        <f t="shared" si="95"/>
        <v>1</v>
      </c>
      <c r="AH222" s="176">
        <f t="shared" si="90"/>
        <v>7</v>
      </c>
      <c r="AI222" s="225">
        <f t="shared" si="91"/>
        <v>1.7241172953415616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6">
        <v>46.765000000000001</v>
      </c>
      <c r="C223" s="390"/>
      <c r="D223" s="393">
        <f t="shared" si="74"/>
        <v>47.561819931124091</v>
      </c>
      <c r="E223" s="385">
        <f t="shared" si="72"/>
        <v>52.725826577770192</v>
      </c>
      <c r="F223" s="385">
        <f t="shared" si="75"/>
        <v>52.820413079902778</v>
      </c>
      <c r="G223" s="110">
        <f t="shared" si="73"/>
        <v>0.92392205217805534</v>
      </c>
      <c r="H223" s="414" t="b">
        <f>Wh_hp&gt;='2019'!Maxi_hp</f>
        <v>0</v>
      </c>
      <c r="I223" s="380">
        <f>IF(H223,Wh_hp,'2019'!Maxi_hp)</f>
        <v>54.720346355997435</v>
      </c>
      <c r="J223" s="85">
        <f>IF(H223,An,'2019'!An_max)</f>
        <v>2019</v>
      </c>
      <c r="K223" s="197">
        <f t="shared" si="76"/>
        <v>44039</v>
      </c>
      <c r="L223" s="147">
        <f>IF(t&lt;Tvie,1-EXP((T0-t)*PertePVj)+'2019'!Pspv,1-EXP((T0-t)*PertePVj)+Pspv)</f>
        <v>1.6753352421711276E-2</v>
      </c>
      <c r="M223" s="843"/>
      <c r="N223" s="843"/>
      <c r="O223" s="48">
        <f>IF(t&lt;Tnet,'2019'!Resal+('2019'!Salim-'2019'!Resal)*(1-EXP(('2019'!Tnet-t)/('2019'!Tau_j))),Resal+(Salim-Resal)*(1-EXP((Tnet-t)/(Tau_j))))*Salcycl</f>
        <v>9.7940743309718012E-2</v>
      </c>
      <c r="P223" s="169">
        <f>(INDEX(Models!$BJ223:$BT223,,T223)*(1-R223)+INDEX(Models!$BJ223:$BT223,,T223+1)*R223-ERP_i)*Q223*Ramure*Pc/MaxiM</f>
        <v>2.0084212563969668E-3</v>
      </c>
      <c r="Q223" s="305">
        <f t="shared" si="77"/>
        <v>0.8</v>
      </c>
      <c r="R223" s="177">
        <f t="shared" si="78"/>
        <v>0.52687292045293832</v>
      </c>
      <c r="S223" s="809">
        <f t="shared" si="79"/>
        <v>0</v>
      </c>
      <c r="T223" s="176">
        <f t="shared" si="80"/>
        <v>6</v>
      </c>
      <c r="U223" s="251">
        <f t="shared" si="81"/>
        <v>0.52687292045293832</v>
      </c>
      <c r="V223" s="383">
        <f t="shared" si="82"/>
        <v>50.604702817276859</v>
      </c>
      <c r="W223" s="402"/>
      <c r="X223" s="157">
        <f t="shared" si="83"/>
        <v>44039</v>
      </c>
      <c r="Y223" s="385">
        <f t="shared" si="84"/>
        <v>46.535165674453999</v>
      </c>
      <c r="Z223" s="385">
        <f t="shared" si="85"/>
        <v>47.328069502264682</v>
      </c>
      <c r="AA223" s="386">
        <f t="shared" si="86"/>
        <v>52.46669678432729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9.7940743309718012E-2</v>
      </c>
      <c r="AD223" s="231">
        <f>(INDEX(Models!$BJ223:$BT223,,AH223)*(1-AF223)+INDEX(Models!$BJ223:$BT223,,AH223+1)*AF223-ERP_i)*AE223*Ramure*Pc/MaxiM</f>
        <v>7.5107051297019752E-3</v>
      </c>
      <c r="AE223" s="305">
        <f t="shared" si="88"/>
        <v>0.8</v>
      </c>
      <c r="AF223" s="177">
        <f t="shared" si="89"/>
        <v>0.72680649460545954</v>
      </c>
      <c r="AG223" s="809">
        <f t="shared" si="95"/>
        <v>1</v>
      </c>
      <c r="AH223" s="176">
        <f t="shared" si="90"/>
        <v>7</v>
      </c>
      <c r="AI223" s="225">
        <f t="shared" si="91"/>
        <v>1.7268064946054595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6">
        <v>31.914999999999999</v>
      </c>
      <c r="C224" s="390"/>
      <c r="D224" s="393">
        <f t="shared" si="74"/>
        <v>32.459548989632239</v>
      </c>
      <c r="E224" s="385">
        <f t="shared" si="72"/>
        <v>35.987345913841956</v>
      </c>
      <c r="F224" s="385">
        <f t="shared" si="75"/>
        <v>36.02139335645905</v>
      </c>
      <c r="G224" s="110">
        <f t="shared" si="73"/>
        <v>0.63199730121025188</v>
      </c>
      <c r="H224" s="414" t="b">
        <f>Wh_hp&gt;='2019'!Maxi_hp</f>
        <v>0</v>
      </c>
      <c r="I224" s="380">
        <f>IF(H224,Wh_hp,'2019'!Maxi_hp)</f>
        <v>57.337532868317645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1.6776234007631285E-2</v>
      </c>
      <c r="M224" s="843"/>
      <c r="N224" s="843"/>
      <c r="O224" s="48">
        <f>IF(t&lt;Tnet,'2019'!Resal+('2019'!Salim-'2019'!Resal)*(1-EXP(('2019'!Tnet-t)/('2019'!Tau_j))),Resal+(Salim-Resal)*(1-EXP((Tnet-t)/(Tau_j))))*Salcycl</f>
        <v>9.8028816369389621E-2</v>
      </c>
      <c r="P224" s="169">
        <f>(INDEX(Models!$BJ224:$BT224,,T224)*(1-R224)+INDEX(Models!$BJ224:$BT224,,T224+1)*R224-ERP_i)*Q224*Ramure*Pc/MaxiM</f>
        <v>1.9889493070415131E-3</v>
      </c>
      <c r="Q224" s="305">
        <f t="shared" si="77"/>
        <v>0.8</v>
      </c>
      <c r="R224" s="177">
        <f t="shared" si="78"/>
        <v>0.52947988325777839</v>
      </c>
      <c r="S224" s="809">
        <f t="shared" si="79"/>
        <v>0</v>
      </c>
      <c r="T224" s="176">
        <f t="shared" si="80"/>
        <v>6</v>
      </c>
      <c r="U224" s="251">
        <f t="shared" si="81"/>
        <v>0.52947988325777839</v>
      </c>
      <c r="V224" s="383">
        <f t="shared" si="82"/>
        <v>50.445875612717458</v>
      </c>
      <c r="W224" s="402"/>
      <c r="X224" s="157">
        <f t="shared" si="83"/>
        <v>44040</v>
      </c>
      <c r="Y224" s="385">
        <f t="shared" si="84"/>
        <v>31.832199138544237</v>
      </c>
      <c r="Z224" s="385">
        <f t="shared" si="85"/>
        <v>32.375335340288451</v>
      </c>
      <c r="AA224" s="386">
        <f t="shared" si="86"/>
        <v>35.89397968344332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9.8028816369389621E-2</v>
      </c>
      <c r="AD224" s="231">
        <f>(INDEX(Models!$BJ224:$BT224,,AH224)*(1-AF224)+INDEX(Models!$BJ224:$BT224,,AH224+1)*AF224-ERP_i)*AE224*Ramure*Pc/MaxiM</f>
        <v>7.4431239815061822E-3</v>
      </c>
      <c r="AE224" s="305">
        <f t="shared" si="88"/>
        <v>0.8</v>
      </c>
      <c r="AF224" s="177">
        <f t="shared" si="89"/>
        <v>0.7294134574102995</v>
      </c>
      <c r="AG224" s="809">
        <f t="shared" si="95"/>
        <v>1</v>
      </c>
      <c r="AH224" s="176">
        <f t="shared" si="90"/>
        <v>7</v>
      </c>
      <c r="AI224" s="225">
        <f t="shared" si="91"/>
        <v>1.7294134574102995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6">
        <v>43.972000000000001</v>
      </c>
      <c r="C225" s="390"/>
      <c r="D225" s="393">
        <f t="shared" si="74"/>
        <v>44.723312065296767</v>
      </c>
      <c r="E225" s="385">
        <f t="shared" si="72"/>
        <v>49.588788472788089</v>
      </c>
      <c r="F225" s="385">
        <f t="shared" si="75"/>
        <v>49.669011083790551</v>
      </c>
      <c r="G225" s="110">
        <f t="shared" si="73"/>
        <v>0.87414969929292852</v>
      </c>
      <c r="H225" s="414" t="b">
        <f>Wh_hp&gt;='2019'!Maxi_hp</f>
        <v>1</v>
      </c>
      <c r="I225" s="380">
        <f>IF(H225,Wh_hp,'2019'!Maxi_hp)</f>
        <v>49.669011083790551</v>
      </c>
      <c r="J225" s="85">
        <f>IF(H225,An,'2019'!An_max)</f>
        <v>2020</v>
      </c>
      <c r="K225" s="197">
        <f t="shared" si="76"/>
        <v>44041</v>
      </c>
      <c r="L225" s="147">
        <f>IF(t&lt;Tvie,1-EXP((T0-t)*PertePVj)+'2019'!Pspv,1-EXP((T0-t)*PertePVj)+Pspv)</f>
        <v>1.6799115061063463E-2</v>
      </c>
      <c r="M225" s="843"/>
      <c r="N225" s="843"/>
      <c r="O225" s="48">
        <f>IF(t&lt;Tnet,'2019'!Resal+('2019'!Salim-'2019'!Resal)*(1-EXP(('2019'!Tnet-t)/('2019'!Tau_j))),Resal+(Salim-Resal)*(1-EXP((Tnet-t)/(Tau_j))))*Salcycl</f>
        <v>9.8116460541504399E-2</v>
      </c>
      <c r="P225" s="169">
        <f>(INDEX(Models!$BJ225:$BT225,,T225)*(1-R225)+INDEX(Models!$BJ225:$BT225,,T225+1)*R225-ERP_i)*Q225*Ramure*Pc/MaxiM</f>
        <v>1.9681146313935004E-3</v>
      </c>
      <c r="Q225" s="305">
        <f t="shared" si="77"/>
        <v>0.8</v>
      </c>
      <c r="R225" s="177">
        <f t="shared" si="78"/>
        <v>0.53200622351403726</v>
      </c>
      <c r="S225" s="809">
        <f t="shared" si="79"/>
        <v>0</v>
      </c>
      <c r="T225" s="176">
        <f t="shared" si="80"/>
        <v>6</v>
      </c>
      <c r="U225" s="251">
        <f t="shared" si="81"/>
        <v>0.53200622351403726</v>
      </c>
      <c r="V225" s="383">
        <f t="shared" si="82"/>
        <v>50.284812895479881</v>
      </c>
      <c r="W225" s="402"/>
      <c r="X225" s="157">
        <f t="shared" si="83"/>
        <v>44041</v>
      </c>
      <c r="Y225" s="385">
        <f t="shared" si="84"/>
        <v>43.77645968541114</v>
      </c>
      <c r="Z225" s="385">
        <f t="shared" si="85"/>
        <v>44.524430720106558</v>
      </c>
      <c r="AA225" s="386">
        <f t="shared" si="86"/>
        <v>49.368270704707278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9.8116460541504399E-2</v>
      </c>
      <c r="AD225" s="231">
        <f>(INDEX(Models!$BJ225:$BT225,,AH225)*(1-AF225)+INDEX(Models!$BJ225:$BT225,,AH225+1)*AF225-ERP_i)*AE225*Ramure*Pc/MaxiM</f>
        <v>7.3781136381416658E-3</v>
      </c>
      <c r="AE225" s="305">
        <f t="shared" si="88"/>
        <v>0.8</v>
      </c>
      <c r="AF225" s="177">
        <f t="shared" si="89"/>
        <v>0.73193979766655848</v>
      </c>
      <c r="AG225" s="809">
        <f t="shared" si="95"/>
        <v>1</v>
      </c>
      <c r="AH225" s="176">
        <f t="shared" si="90"/>
        <v>7</v>
      </c>
      <c r="AI225" s="225">
        <f t="shared" si="91"/>
        <v>1.7319397976665585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6">
        <v>46.427999999999997</v>
      </c>
      <c r="C226" s="390"/>
      <c r="D226" s="393">
        <f t="shared" si="74"/>
        <v>47.222374576498346</v>
      </c>
      <c r="E226" s="385">
        <f t="shared" si="72"/>
        <v>52.364790563386748</v>
      </c>
      <c r="F226" s="385">
        <f t="shared" si="75"/>
        <v>52.456120418278864</v>
      </c>
      <c r="G226" s="110">
        <f t="shared" si="73"/>
        <v>0.92612600580225979</v>
      </c>
      <c r="H226" s="414" t="b">
        <f>Wh_hp&gt;='2019'!Maxi_hp</f>
        <v>0</v>
      </c>
      <c r="I226" s="380">
        <f>IF(H226,Wh_hp,'2019'!Maxi_hp)</f>
        <v>55.057825166695693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1.6821995582020022E-2</v>
      </c>
      <c r="M226" s="843"/>
      <c r="N226" s="843"/>
      <c r="O226" s="48">
        <f>IF(t&lt;Tnet,'2019'!Resal+('2019'!Salim-'2019'!Resal)*(1-EXP(('2019'!Tnet-t)/('2019'!Tau_j))),Resal+(Salim-Resal)*(1-EXP((Tnet-t)/(Tau_j))))*Salcycl</f>
        <v>9.8203696253947453E-2</v>
      </c>
      <c r="P226" s="169">
        <f>(INDEX(Models!$BJ226:$BT226,,T226)*(1-R226)+INDEX(Models!$BJ226:$BT226,,T226+1)*R226-ERP_i)*Q226*Ramure*Pc/MaxiM</f>
        <v>1.9459025248447536E-3</v>
      </c>
      <c r="Q226" s="305">
        <f t="shared" si="77"/>
        <v>0.8</v>
      </c>
      <c r="R226" s="177">
        <f t="shared" si="78"/>
        <v>0.53445358879260496</v>
      </c>
      <c r="S226" s="809">
        <f t="shared" si="79"/>
        <v>0</v>
      </c>
      <c r="T226" s="176">
        <f t="shared" si="80"/>
        <v>6</v>
      </c>
      <c r="U226" s="251">
        <f t="shared" si="81"/>
        <v>0.53445358879260496</v>
      </c>
      <c r="V226" s="383">
        <f t="shared" si="82"/>
        <v>50.121120913206944</v>
      </c>
      <c r="W226" s="402"/>
      <c r="X226" s="157">
        <f t="shared" si="83"/>
        <v>44042</v>
      </c>
      <c r="Y226" s="385">
        <f t="shared" si="84"/>
        <v>46.204069840421553</v>
      </c>
      <c r="Z226" s="385">
        <f t="shared" si="85"/>
        <v>46.994613012903351</v>
      </c>
      <c r="AA226" s="386">
        <f t="shared" si="86"/>
        <v>52.112226250748876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9.8203696253947453E-2</v>
      </c>
      <c r="AD226" s="231">
        <f>(INDEX(Models!$BJ226:$BT226,,AH226)*(1-AF226)+INDEX(Models!$BJ226:$BT226,,AH226+1)*AF226-ERP_i)*AE226*Ramure*Pc/MaxiM</f>
        <v>7.3271169615504745E-3</v>
      </c>
      <c r="AE226" s="305">
        <f t="shared" si="88"/>
        <v>0.8</v>
      </c>
      <c r="AF226" s="177">
        <f t="shared" si="89"/>
        <v>0.73438716294512618</v>
      </c>
      <c r="AG226" s="809">
        <f t="shared" si="95"/>
        <v>1</v>
      </c>
      <c r="AH226" s="176">
        <f t="shared" si="90"/>
        <v>7</v>
      </c>
      <c r="AI226" s="225">
        <f t="shared" si="91"/>
        <v>1.7343871629451262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6">
        <v>44.72</v>
      </c>
      <c r="C227" s="390"/>
      <c r="D227" s="393">
        <f t="shared" si="74"/>
        <v>45.486209539873471</v>
      </c>
      <c r="E227" s="385">
        <f t="shared" si="72"/>
        <v>50.44441878218489</v>
      </c>
      <c r="F227" s="385">
        <f t="shared" si="75"/>
        <v>50.52702953110002</v>
      </c>
      <c r="G227" s="110">
        <f t="shared" si="73"/>
        <v>0.89495869472687894</v>
      </c>
      <c r="H227" s="414" t="b">
        <f>Wh_hp&gt;='2019'!Maxi_hp</f>
        <v>1</v>
      </c>
      <c r="I227" s="380">
        <f>IF(H227,Wh_hp,'2019'!Maxi_hp)</f>
        <v>50.52702953110002</v>
      </c>
      <c r="J227" s="85">
        <f>IF(H227,An,'2019'!An_max)</f>
        <v>2020</v>
      </c>
      <c r="K227" s="197">
        <f t="shared" si="76"/>
        <v>44043</v>
      </c>
      <c r="L227" s="147">
        <f>IF(t&lt;Tvie,1-EXP((T0-t)*PertePVj)+'2019'!Pspv,1-EXP((T0-t)*PertePVj)+Pspv)</f>
        <v>1.6844875570513507E-2</v>
      </c>
      <c r="M227" s="843"/>
      <c r="N227" s="843"/>
      <c r="O227" s="48">
        <f>IF(t&lt;Tnet,'2019'!Resal+('2019'!Salim-'2019'!Resal)*(1-EXP(('2019'!Tnet-t)/('2019'!Tau_j))),Resal+(Salim-Resal)*(1-EXP((Tnet-t)/(Tau_j))))*Salcycl</f>
        <v>9.8290541590350916E-2</v>
      </c>
      <c r="P227" s="169">
        <f>(INDEX(Models!$BJ227:$BT227,,T227)*(1-R227)+INDEX(Models!$BJ227:$BT227,,T227+1)*R227-ERP_i)*Q227*Ramure*Pc/MaxiM</f>
        <v>1.9228068655086756E-3</v>
      </c>
      <c r="Q227" s="305">
        <f t="shared" si="77"/>
        <v>0.8</v>
      </c>
      <c r="R227" s="177">
        <f t="shared" si="78"/>
        <v>0.53682365446700808</v>
      </c>
      <c r="S227" s="809">
        <f t="shared" si="79"/>
        <v>0</v>
      </c>
      <c r="T227" s="176">
        <f t="shared" si="80"/>
        <v>6</v>
      </c>
      <c r="U227" s="251">
        <f t="shared" si="81"/>
        <v>0.53682365446700808</v>
      </c>
      <c r="V227" s="383">
        <f t="shared" si="82"/>
        <v>49.954380716489922</v>
      </c>
      <c r="W227" s="402"/>
      <c r="X227" s="157">
        <f t="shared" si="83"/>
        <v>44043</v>
      </c>
      <c r="Y227" s="385">
        <f t="shared" si="84"/>
        <v>44.515500426161395</v>
      </c>
      <c r="Z227" s="385">
        <f t="shared" si="85"/>
        <v>45.278206175239362</v>
      </c>
      <c r="AA227" s="386">
        <f t="shared" si="86"/>
        <v>50.213742079512876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9.8290541590350916E-2</v>
      </c>
      <c r="AD227" s="231">
        <f>(INDEX(Models!$BJ227:$BT227,,AH227)*(1-AF227)+INDEX(Models!$BJ227:$BT227,,AH227+1)*AF227-ERP_i)*AE227*Ramure*Pc/MaxiM</f>
        <v>7.2919235172210009E-3</v>
      </c>
      <c r="AE227" s="305">
        <f t="shared" si="88"/>
        <v>0.8</v>
      </c>
      <c r="AF227" s="177">
        <f t="shared" si="89"/>
        <v>0.73675722861952941</v>
      </c>
      <c r="AG227" s="809">
        <f t="shared" si="95"/>
        <v>1</v>
      </c>
      <c r="AH227" s="176">
        <f t="shared" si="90"/>
        <v>7</v>
      </c>
      <c r="AI227" s="225">
        <f t="shared" si="91"/>
        <v>1.7367572286195294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6">
        <v>40.741</v>
      </c>
      <c r="C228" s="390"/>
      <c r="D228" s="393">
        <f t="shared" si="74"/>
        <v>41.913697738356113</v>
      </c>
      <c r="E228" s="385">
        <f t="shared" si="72"/>
        <v>46.486944444540818</v>
      </c>
      <c r="F228" s="385">
        <f t="shared" si="75"/>
        <v>46.553585038789485</v>
      </c>
      <c r="G228" s="110">
        <f t="shared" si="73"/>
        <v>0.82731917987281189</v>
      </c>
      <c r="H228" s="414" t="b">
        <f>Wh_hp&gt;='2019'!Maxi_hp</f>
        <v>0</v>
      </c>
      <c r="I228" s="380">
        <f>IF(H228,Wh_hp,'2019'!Maxi_hp)</f>
        <v>54.855614137032767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2.7978866137667244E-2</v>
      </c>
      <c r="M228" s="843"/>
      <c r="N228" s="843"/>
      <c r="O228" s="48">
        <f>IF(t&lt;Tnet,'2019'!Resal+('2019'!Salim-'2019'!Resal)*(1-EXP(('2019'!Tnet-t)/('2019'!Tau_j))),Resal+(Salim-Resal)*(1-EXP((Tnet-t)/(Tau_j))))*Salcycl</f>
        <v>9.8377012316664861E-2</v>
      </c>
      <c r="P228" s="169">
        <f>(INDEX(Models!$BJ228:$BT228,,T228)*(1-R228)+INDEX(Models!$BJ228:$BT228,,T228+1)*R228-ERP_i)*Q228*Ramure*Pc/MaxiM</f>
        <v>1.8988526282592967E-3</v>
      </c>
      <c r="Q228" s="305">
        <f t="shared" si="77"/>
        <v>0.8</v>
      </c>
      <c r="R228" s="177">
        <f t="shared" si="78"/>
        <v>0.53911811816857225</v>
      </c>
      <c r="S228" s="809">
        <f t="shared" si="79"/>
        <v>0</v>
      </c>
      <c r="T228" s="176">
        <f t="shared" si="80"/>
        <v>6</v>
      </c>
      <c r="U228" s="251">
        <f t="shared" si="81"/>
        <v>0.53911811816857225</v>
      </c>
      <c r="V228" s="383">
        <f t="shared" si="82"/>
        <v>49.221548981450752</v>
      </c>
      <c r="W228" s="402"/>
      <c r="X228" s="157">
        <f t="shared" si="83"/>
        <v>44044</v>
      </c>
      <c r="Y228" s="385">
        <f t="shared" si="84"/>
        <v>40.575708569331326</v>
      </c>
      <c r="Z228" s="385">
        <f t="shared" si="85"/>
        <v>41.743648523467243</v>
      </c>
      <c r="AA228" s="386">
        <f t="shared" si="86"/>
        <v>46.298340984766796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9.8377012316664861E-2</v>
      </c>
      <c r="AD228" s="231">
        <f>(INDEX(Models!$BJ228:$BT228,,AH228)*(1-AF228)+INDEX(Models!$BJ228:$BT228,,AH228+1)*AF228-ERP_i)*AE228*Ramure*Pc/MaxiM</f>
        <v>7.2729069764891205E-3</v>
      </c>
      <c r="AE228" s="305">
        <f t="shared" si="88"/>
        <v>0.8</v>
      </c>
      <c r="AF228" s="177">
        <f t="shared" si="89"/>
        <v>0.73905169232109347</v>
      </c>
      <c r="AG228" s="809">
        <f t="shared" si="95"/>
        <v>1</v>
      </c>
      <c r="AH228" s="176">
        <f t="shared" si="90"/>
        <v>7</v>
      </c>
      <c r="AI228" s="225">
        <f t="shared" si="91"/>
        <v>1.7390516923210935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6">
        <v>31.388999999999999</v>
      </c>
      <c r="C229" s="390"/>
      <c r="D229" s="393">
        <f t="shared" si="74"/>
        <v>32.293267853632777</v>
      </c>
      <c r="E229" s="385">
        <f t="shared" si="72"/>
        <v>35.820240567976306</v>
      </c>
      <c r="F229" s="385">
        <f t="shared" si="75"/>
        <v>35.852870756460291</v>
      </c>
      <c r="G229" s="110">
        <f t="shared" si="73"/>
        <v>0.63932816520811353</v>
      </c>
      <c r="H229" s="414" t="b">
        <f>Wh_hp&gt;='2019'!Maxi_hp</f>
        <v>0</v>
      </c>
      <c r="I229" s="380">
        <f>IF(H229,Wh_hp,'2019'!Maxi_hp)</f>
        <v>54.652362848660495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2.8001745061271552E-2</v>
      </c>
      <c r="M229" s="843"/>
      <c r="N229" s="843"/>
      <c r="O229" s="48">
        <f>IF(t&lt;Tnet,'2019'!Resal+('2019'!Salim-'2019'!Resal)*(1-EXP(('2019'!Tnet-t)/('2019'!Tau_j))),Resal+(Salim-Resal)*(1-EXP((Tnet-t)/(Tau_j))))*Salcycl</f>
        <v>9.846312192265623E-2</v>
      </c>
      <c r="P229" s="169">
        <f>(INDEX(Models!$BJ229:$BT229,,T229)*(1-R229)+INDEX(Models!$BJ229:$BT229,,T229+1)*R229-ERP_i)*Q229*Ramure*Pc/MaxiM</f>
        <v>1.874063314935842E-3</v>
      </c>
      <c r="Q229" s="305">
        <f t="shared" si="77"/>
        <v>0.8</v>
      </c>
      <c r="R229" s="177">
        <f t="shared" si="78"/>
        <v>0.54133869455583972</v>
      </c>
      <c r="S229" s="809">
        <f t="shared" si="79"/>
        <v>0</v>
      </c>
      <c r="T229" s="176">
        <f t="shared" si="80"/>
        <v>6</v>
      </c>
      <c r="U229" s="251">
        <f t="shared" si="81"/>
        <v>0.54133869455583972</v>
      </c>
      <c r="V229" s="383">
        <f t="shared" si="82"/>
        <v>49.049481516628056</v>
      </c>
      <c r="W229" s="402"/>
      <c r="X229" s="157">
        <f t="shared" si="83"/>
        <v>44045</v>
      </c>
      <c r="Y229" s="385">
        <f t="shared" si="84"/>
        <v>31.306664624111704</v>
      </c>
      <c r="Z229" s="385">
        <f t="shared" si="85"/>
        <v>32.208560524715317</v>
      </c>
      <c r="AA229" s="386">
        <f t="shared" si="86"/>
        <v>35.726281761656466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9.846312192265623E-2</v>
      </c>
      <c r="AD229" s="231">
        <f>(INDEX(Models!$BJ229:$BT229,,AH229)*(1-AF229)+INDEX(Models!$BJ229:$BT229,,AH229+1)*AF229-ERP_i)*AE229*Ramure*Pc/MaxiM</f>
        <v>7.2704388867654854E-3</v>
      </c>
      <c r="AE229" s="305">
        <f t="shared" si="88"/>
        <v>0.8</v>
      </c>
      <c r="AF229" s="177">
        <f t="shared" si="89"/>
        <v>0.74127226870836083</v>
      </c>
      <c r="AG229" s="809">
        <f t="shared" si="95"/>
        <v>1</v>
      </c>
      <c r="AH229" s="176">
        <f t="shared" si="90"/>
        <v>7</v>
      </c>
      <c r="AI229" s="225">
        <f t="shared" si="91"/>
        <v>1.7412722687083608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6">
        <v>42.822000000000003</v>
      </c>
      <c r="C230" s="390"/>
      <c r="D230" s="393">
        <f t="shared" si="74"/>
        <v>44.05667163308545</v>
      </c>
      <c r="E230" s="385">
        <f t="shared" si="72"/>
        <v>48.873056716651384</v>
      </c>
      <c r="F230" s="385">
        <f t="shared" si="75"/>
        <v>48.947530788558439</v>
      </c>
      <c r="G230" s="110">
        <f t="shared" si="73"/>
        <v>0.87589827739226678</v>
      </c>
      <c r="H230" s="414" t="b">
        <f>Wh_hp&gt;='2019'!Maxi_hp</f>
        <v>0</v>
      </c>
      <c r="I230" s="380">
        <f>IF(H230,Wh_hp,'2019'!Maxi_hp)</f>
        <v>51.450131759098554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2.8024623452449868E-2</v>
      </c>
      <c r="M230" s="843"/>
      <c r="N230" s="843"/>
      <c r="O230" s="48">
        <f>IF(t&lt;Tnet,'2019'!Resal+('2019'!Salim-'2019'!Resal)*(1-EXP(('2019'!Tnet-t)/('2019'!Tau_j))),Resal+(Salim-Resal)*(1-EXP((Tnet-t)/(Tau_j))))*Salcycl</f>
        <v>9.8548881677068476E-2</v>
      </c>
      <c r="P230" s="169">
        <f>(INDEX(Models!$BJ230:$BT230,,T230)*(1-R230)+INDEX(Models!$BJ230:$BT230,,T230+1)*R230-ERP_i)*Q230*Ramure*Pc/MaxiM</f>
        <v>1.8484608815025889E-3</v>
      </c>
      <c r="Q230" s="305">
        <f t="shared" si="77"/>
        <v>0.8</v>
      </c>
      <c r="R230" s="177">
        <f t="shared" si="78"/>
        <v>0.5434871103974519</v>
      </c>
      <c r="S230" s="809">
        <f t="shared" si="79"/>
        <v>0</v>
      </c>
      <c r="T230" s="176">
        <f t="shared" si="80"/>
        <v>6</v>
      </c>
      <c r="U230" s="251">
        <f t="shared" si="81"/>
        <v>0.5434871103974519</v>
      </c>
      <c r="V230" s="383">
        <f t="shared" si="82"/>
        <v>48.873229922447798</v>
      </c>
      <c r="W230" s="402"/>
      <c r="X230" s="157">
        <f t="shared" si="83"/>
        <v>44046</v>
      </c>
      <c r="Y230" s="385">
        <f t="shared" si="84"/>
        <v>42.630086257367722</v>
      </c>
      <c r="Z230" s="385">
        <f t="shared" si="85"/>
        <v>43.859224509153201</v>
      </c>
      <c r="AA230" s="386">
        <f t="shared" si="86"/>
        <v>48.654024181310383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9.8548881677068476E-2</v>
      </c>
      <c r="AD230" s="231">
        <f>(INDEX(Models!$BJ230:$BT230,,AH230)*(1-AF230)+INDEX(Models!$BJ230:$BT230,,AH230+1)*AF230-ERP_i)*AE230*Ramure*Pc/MaxiM</f>
        <v>7.2848908092155136E-3</v>
      </c>
      <c r="AE230" s="305">
        <f t="shared" si="88"/>
        <v>0.8</v>
      </c>
      <c r="AF230" s="177">
        <f t="shared" si="89"/>
        <v>0.74342068454997312</v>
      </c>
      <c r="AG230" s="809">
        <f t="shared" si="95"/>
        <v>1</v>
      </c>
      <c r="AH230" s="176">
        <f t="shared" si="90"/>
        <v>7</v>
      </c>
      <c r="AI230" s="225">
        <f t="shared" si="91"/>
        <v>1.7434206845499731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6">
        <v>48.378999999999998</v>
      </c>
      <c r="C231" s="390"/>
      <c r="D231" s="393">
        <f t="shared" si="74"/>
        <v>49.775066235506152</v>
      </c>
      <c r="E231" s="385">
        <f t="shared" si="72"/>
        <v>55.221833129315797</v>
      </c>
      <c r="F231" s="385">
        <f t="shared" si="75"/>
        <v>55.321706068538063</v>
      </c>
      <c r="G231" s="110">
        <f t="shared" si="73"/>
        <v>0.9935469049164467</v>
      </c>
      <c r="H231" s="414" t="b">
        <f>Wh_hp&gt;='2019'!Maxi_hp</f>
        <v>1</v>
      </c>
      <c r="I231" s="380">
        <f>IF(H231,Wh_hp,'2019'!Maxi_hp)</f>
        <v>55.321706068538063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2.8047501311214626E-2</v>
      </c>
      <c r="M231" s="843"/>
      <c r="N231" s="843"/>
      <c r="O231" s="48">
        <f>IF(t&lt;Tnet,'2019'!Resal+('2019'!Salim-'2019'!Resal)*(1-EXP(('2019'!Tnet-t)/('2019'!Tau_j))),Resal+(Salim-Resal)*(1-EXP((Tnet-t)/(Tau_j))))*Salcycl</f>
        <v>9.8634300695065222E-2</v>
      </c>
      <c r="P231" s="169">
        <f>(INDEX(Models!$BJ231:$BT231,,T231)*(1-R231)+INDEX(Models!$BJ231:$BT231,,T231+1)*R231-ERP_i)*Q231*Ramure*Pc/MaxiM</f>
        <v>1.8220656724406118E-3</v>
      </c>
      <c r="Q231" s="305">
        <f t="shared" si="77"/>
        <v>0.8</v>
      </c>
      <c r="R231" s="177">
        <f t="shared" si="78"/>
        <v>0.5455650999658227</v>
      </c>
      <c r="S231" s="809">
        <f t="shared" si="79"/>
        <v>0</v>
      </c>
      <c r="T231" s="176">
        <f t="shared" si="80"/>
        <v>6</v>
      </c>
      <c r="U231" s="251">
        <f t="shared" si="81"/>
        <v>0.5455650999658227</v>
      </c>
      <c r="V231" s="383">
        <f t="shared" si="82"/>
        <v>48.692404725192034</v>
      </c>
      <c r="W231" s="402"/>
      <c r="X231" s="157">
        <f t="shared" si="83"/>
        <v>44047</v>
      </c>
      <c r="Y231" s="385">
        <f t="shared" si="84"/>
        <v>48.115146018992114</v>
      </c>
      <c r="Z231" s="385">
        <f t="shared" si="85"/>
        <v>49.503598255986745</v>
      </c>
      <c r="AA231" s="386">
        <f t="shared" si="86"/>
        <v>54.920659055653196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9.8634300695065222E-2</v>
      </c>
      <c r="AD231" s="231">
        <f>(INDEX(Models!$BJ231:$BT231,,AH231)*(1-AF231)+INDEX(Models!$BJ231:$BT231,,AH231+1)*AF231-ERP_i)*AE231*Ramure*Pc/MaxiM</f>
        <v>7.3166365273995082E-3</v>
      </c>
      <c r="AE231" s="305">
        <f t="shared" si="88"/>
        <v>0.8</v>
      </c>
      <c r="AF231" s="177">
        <f t="shared" si="89"/>
        <v>0.74549867411834381</v>
      </c>
      <c r="AG231" s="809">
        <f t="shared" si="95"/>
        <v>1</v>
      </c>
      <c r="AH231" s="176">
        <f t="shared" si="90"/>
        <v>7</v>
      </c>
      <c r="AI231" s="225">
        <f t="shared" si="91"/>
        <v>1.7454986741183438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6">
        <v>48.061</v>
      </c>
      <c r="C232" s="390"/>
      <c r="D232" s="393">
        <f t="shared" si="74"/>
        <v>49.449053659491852</v>
      </c>
      <c r="E232" s="385">
        <f t="shared" si="72"/>
        <v>54.865324841433448</v>
      </c>
      <c r="F232" s="385">
        <f t="shared" si="75"/>
        <v>54.962682458177952</v>
      </c>
      <c r="G232" s="110">
        <f t="shared" si="73"/>
        <v>0.99078989750144608</v>
      </c>
      <c r="H232" s="414" t="b">
        <f>Wh_hp&gt;='2019'!Maxi_hp</f>
        <v>1</v>
      </c>
      <c r="I232" s="380">
        <f>IF(H232,Wh_hp,'2019'!Maxi_hp)</f>
        <v>54.962682458177952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2.807037863757815E-2</v>
      </c>
      <c r="M232" s="843"/>
      <c r="N232" s="843"/>
      <c r="O232" s="48">
        <f>IF(t&lt;Tnet,'2019'!Resal+('2019'!Salim-'2019'!Resal)*(1-EXP(('2019'!Tnet-t)/('2019'!Tau_j))),Resal+(Salim-Resal)*(1-EXP((Tnet-t)/(Tau_j))))*Salcycl</f>
        <v>9.871938601649019E-2</v>
      </c>
      <c r="P232" s="169">
        <f>(INDEX(Models!$BJ232:$BT232,,T232)*(1-R232)+INDEX(Models!$BJ232:$BT232,,T232+1)*R232-ERP_i)*Q232*Ramure*Pc/MaxiM</f>
        <v>1.7948963604982832E-3</v>
      </c>
      <c r="Q232" s="305">
        <f t="shared" si="77"/>
        <v>0.8</v>
      </c>
      <c r="R232" s="177">
        <f t="shared" si="78"/>
        <v>0.5475744007372606</v>
      </c>
      <c r="S232" s="809">
        <f t="shared" si="79"/>
        <v>0</v>
      </c>
      <c r="T232" s="176">
        <f t="shared" si="80"/>
        <v>6</v>
      </c>
      <c r="U232" s="251">
        <f t="shared" si="81"/>
        <v>0.5475744007372606</v>
      </c>
      <c r="V232" s="383">
        <f t="shared" si="82"/>
        <v>48.506616777638023</v>
      </c>
      <c r="W232" s="402"/>
      <c r="X232" s="157">
        <f t="shared" si="83"/>
        <v>44048</v>
      </c>
      <c r="Y232" s="385">
        <f t="shared" si="84"/>
        <v>47.796289676982006</v>
      </c>
      <c r="Z232" s="385">
        <f t="shared" si="85"/>
        <v>49.176698216052515</v>
      </c>
      <c r="AA232" s="386">
        <f t="shared" si="86"/>
        <v>54.563137665526526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9.871938601649019E-2</v>
      </c>
      <c r="AD232" s="231">
        <f>(INDEX(Models!$BJ232:$BT232,,AH232)*(1-AF232)+INDEX(Models!$BJ232:$BT232,,AH232+1)*AF232-ERP_i)*AE232*Ramure*Pc/MaxiM</f>
        <v>7.3660543280148136E-3</v>
      </c>
      <c r="AE232" s="305">
        <f t="shared" si="88"/>
        <v>0.8</v>
      </c>
      <c r="AF232" s="177">
        <f t="shared" si="89"/>
        <v>0.74750797488978193</v>
      </c>
      <c r="AG232" s="809">
        <f t="shared" si="95"/>
        <v>1</v>
      </c>
      <c r="AH232" s="176">
        <f t="shared" si="90"/>
        <v>7</v>
      </c>
      <c r="AI232" s="225">
        <f t="shared" si="91"/>
        <v>1.7475079748897819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6">
        <v>46.308999999999997</v>
      </c>
      <c r="C233" s="390"/>
      <c r="D233" s="393">
        <f t="shared" si="74"/>
        <v>47.647575509482081</v>
      </c>
      <c r="E233" s="385">
        <f t="shared" ref="E233:E296" si="96">Wh_pvt/(1-Psa)</f>
        <v>52.871498601742523</v>
      </c>
      <c r="F233" s="385">
        <f t="shared" si="75"/>
        <v>52.959519523212762</v>
      </c>
      <c r="G233" s="110">
        <f t="shared" ref="G233:G296" si="97">+Wh_hp/MaxiM</f>
        <v>0.95834715947175564</v>
      </c>
      <c r="H233" s="414" t="b">
        <f>Wh_hp&gt;='2019'!Maxi_hp</f>
        <v>1</v>
      </c>
      <c r="I233" s="380">
        <f>IF(H233,Wh_hp,'2019'!Maxi_hp)</f>
        <v>52.959519523212762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2.8093255431552874E-2</v>
      </c>
      <c r="M233" s="843"/>
      <c r="N233" s="843"/>
      <c r="O233" s="48">
        <f>IF(t&lt;Tnet,'2019'!Resal+('2019'!Salim-'2019'!Resal)*(1-EXP(('2019'!Tnet-t)/('2019'!Tau_j))),Resal+(Salim-Resal)*(1-EXP((Tnet-t)/(Tau_j))))*Salcycl</f>
        <v>9.8804142693399544E-2</v>
      </c>
      <c r="P233" s="169">
        <f>(INDEX(Models!$BJ233:$BT233,,T233)*(1-R233)+INDEX(Models!$BJ233:$BT233,,T233+1)*R233-ERP_i)*Q233*Ramure*Pc/MaxiM</f>
        <v>1.7669266783425972E-3</v>
      </c>
      <c r="Q233" s="305">
        <f t="shared" si="77"/>
        <v>0.8</v>
      </c>
      <c r="R233" s="177">
        <f t="shared" si="78"/>
        <v>0.54951674939273687</v>
      </c>
      <c r="S233" s="809">
        <f t="shared" si="79"/>
        <v>0</v>
      </c>
      <c r="T233" s="176">
        <f t="shared" si="80"/>
        <v>6</v>
      </c>
      <c r="U233" s="251">
        <f t="shared" si="81"/>
        <v>0.54951674939273687</v>
      </c>
      <c r="V233" s="383">
        <f t="shared" si="82"/>
        <v>48.316660961921897</v>
      </c>
      <c r="W233" s="402"/>
      <c r="X233" s="157">
        <f t="shared" si="83"/>
        <v>44049</v>
      </c>
      <c r="Y233" s="385">
        <f t="shared" si="84"/>
        <v>46.061759282558299</v>
      </c>
      <c r="Z233" s="385">
        <f t="shared" si="85"/>
        <v>47.393188225081168</v>
      </c>
      <c r="AA233" s="386">
        <f t="shared" si="86"/>
        <v>52.589221134154954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9.8804142693399544E-2</v>
      </c>
      <c r="AD233" s="231">
        <f>(INDEX(Models!$BJ233:$BT233,,AH233)*(1-AF233)+INDEX(Models!$BJ233:$BT233,,AH233+1)*AF233-ERP_i)*AE233*Ramure*Pc/MaxiM</f>
        <v>7.4333475683364377E-3</v>
      </c>
      <c r="AE233" s="305">
        <f t="shared" si="88"/>
        <v>0.8</v>
      </c>
      <c r="AF233" s="177">
        <f t="shared" si="89"/>
        <v>0.74945032354525809</v>
      </c>
      <c r="AG233" s="809">
        <f t="shared" si="95"/>
        <v>1</v>
      </c>
      <c r="AH233" s="176">
        <f t="shared" si="90"/>
        <v>7</v>
      </c>
      <c r="AI233" s="225">
        <f t="shared" si="91"/>
        <v>1.7494503235452581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6">
        <v>44.198999999999998</v>
      </c>
      <c r="C234" s="390"/>
      <c r="D234" s="393">
        <f t="shared" si="74"/>
        <v>45.477655758398939</v>
      </c>
      <c r="E234" s="385">
        <f t="shared" si="96"/>
        <v>50.468404284342867</v>
      </c>
      <c r="F234" s="385">
        <f t="shared" si="75"/>
        <v>50.546226634443684</v>
      </c>
      <c r="G234" s="110">
        <f t="shared" si="97"/>
        <v>0.91826631105545764</v>
      </c>
      <c r="H234" s="414" t="b">
        <f>Wh_hp&gt;='2019'!Maxi_hp</f>
        <v>0</v>
      </c>
      <c r="I234" s="380">
        <f>IF(H234,Wh_hp,'2019'!Maxi_hp)</f>
        <v>52.507741008384137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2.8116131693151233E-2</v>
      </c>
      <c r="M234" s="843"/>
      <c r="N234" s="843"/>
      <c r="O234" s="48">
        <f>IF(t&lt;Tnet,'2019'!Resal+('2019'!Salim-'2019'!Resal)*(1-EXP(('2019'!Tnet-t)/('2019'!Tau_j))),Resal+(Salim-Resal)*(1-EXP((Tnet-t)/(Tau_j))))*Salcycl</f>
        <v>9.8888573885270142E-2</v>
      </c>
      <c r="P234" s="169">
        <f>(INDEX(Models!$BJ234:$BT234,,T234)*(1-R234)+INDEX(Models!$BJ234:$BT234,,T234+1)*R234-ERP_i)*Q234*Ramure*Pc/MaxiM</f>
        <v>1.7426368897086081E-3</v>
      </c>
      <c r="Q234" s="305">
        <f t="shared" si="77"/>
        <v>0.8</v>
      </c>
      <c r="R234" s="177">
        <f t="shared" si="78"/>
        <v>0.55139387811224272</v>
      </c>
      <c r="S234" s="809">
        <f t="shared" si="79"/>
        <v>0</v>
      </c>
      <c r="T234" s="176">
        <f t="shared" si="80"/>
        <v>6</v>
      </c>
      <c r="U234" s="251">
        <f t="shared" si="81"/>
        <v>0.55139387811224272</v>
      </c>
      <c r="V234" s="383">
        <f t="shared" si="82"/>
        <v>48.12330890366043</v>
      </c>
      <c r="W234" s="402"/>
      <c r="X234" s="157">
        <f t="shared" si="83"/>
        <v>44050</v>
      </c>
      <c r="Y234" s="385">
        <f t="shared" si="84"/>
        <v>43.97265962955548</v>
      </c>
      <c r="Z234" s="385">
        <f t="shared" si="85"/>
        <v>45.24476747017286</v>
      </c>
      <c r="AA234" s="386">
        <f t="shared" si="86"/>
        <v>50.209958678753097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9.8888573885270142E-2</v>
      </c>
      <c r="AD234" s="231">
        <f>(INDEX(Models!$BJ234:$BT234,,AH234)*(1-AF234)+INDEX(Models!$BJ234:$BT234,,AH234+1)*AF234-ERP_i)*AE234*Ramure*Pc/MaxiM</f>
        <v>7.5298798308475103E-3</v>
      </c>
      <c r="AE234" s="305">
        <f t="shared" si="88"/>
        <v>0.8</v>
      </c>
      <c r="AF234" s="177">
        <f t="shared" si="89"/>
        <v>0.75132745226476394</v>
      </c>
      <c r="AG234" s="809">
        <f t="shared" si="95"/>
        <v>1</v>
      </c>
      <c r="AH234" s="176">
        <f t="shared" si="90"/>
        <v>7</v>
      </c>
      <c r="AI234" s="225">
        <f t="shared" si="91"/>
        <v>1.7513274522647639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6">
        <v>43.347000000000001</v>
      </c>
      <c r="C235" s="390"/>
      <c r="D235" s="393">
        <f t="shared" si="74"/>
        <v>44.60205763072463</v>
      </c>
      <c r="E235" s="385">
        <f t="shared" si="96"/>
        <v>49.501337737748244</v>
      </c>
      <c r="F235" s="385">
        <f t="shared" si="75"/>
        <v>49.57506764335286</v>
      </c>
      <c r="G235" s="110">
        <f t="shared" si="97"/>
        <v>0.90423540022923776</v>
      </c>
      <c r="H235" s="414" t="b">
        <f>Wh_hp&gt;='2019'!Maxi_hp</f>
        <v>1</v>
      </c>
      <c r="I235" s="380">
        <f>IF(H235,Wh_hp,'2019'!Maxi_hp)</f>
        <v>49.57506764335286</v>
      </c>
      <c r="J235" s="85">
        <f>IF(H235,An,'2019'!An_max)</f>
        <v>2020</v>
      </c>
      <c r="K235" s="197">
        <f t="shared" si="76"/>
        <v>44051</v>
      </c>
      <c r="L235" s="147">
        <f>IF(t&lt;Tvie,1-EXP((T0-t)*PertePVj)+'2019'!Pspv,1-EXP((T0-t)*PertePVj)+Pspv)</f>
        <v>2.8139007422385551E-2</v>
      </c>
      <c r="M235" s="843"/>
      <c r="N235" s="843"/>
      <c r="O235" s="48">
        <f>IF(t&lt;Tnet,'2019'!Resal+('2019'!Salim-'2019'!Resal)*(1-EXP(('2019'!Tnet-t)/('2019'!Tau_j))),Resal+(Salim-Resal)*(1-EXP((Tnet-t)/(Tau_j))))*Salcycl</f>
        <v>9.8972680960247431E-2</v>
      </c>
      <c r="P235" s="169">
        <f>(INDEX(Models!$BJ235:$BT235,,T235)*(1-R235)+INDEX(Models!$BJ235:$BT235,,T235+1)*R235-ERP_i)*Q235*Ramure*Pc/MaxiM</f>
        <v>1.7223412446884221E-3</v>
      </c>
      <c r="Q235" s="305">
        <f t="shared" si="77"/>
        <v>0.8</v>
      </c>
      <c r="R235" s="177">
        <f t="shared" si="78"/>
        <v>0.55320751115459665</v>
      </c>
      <c r="S235" s="809">
        <f t="shared" si="79"/>
        <v>0</v>
      </c>
      <c r="T235" s="176">
        <f t="shared" si="80"/>
        <v>6</v>
      </c>
      <c r="U235" s="251">
        <f t="shared" si="81"/>
        <v>0.55320751115459665</v>
      </c>
      <c r="V235" s="383">
        <f t="shared" si="82"/>
        <v>47.926451201886486</v>
      </c>
      <c r="W235" s="402"/>
      <c r="X235" s="157">
        <f t="shared" si="83"/>
        <v>44051</v>
      </c>
      <c r="Y235" s="385">
        <f t="shared" si="84"/>
        <v>43.124758872274882</v>
      </c>
      <c r="Z235" s="385">
        <f t="shared" si="85"/>
        <v>44.373381791872731</v>
      </c>
      <c r="AA235" s="386">
        <f t="shared" si="86"/>
        <v>49.247543170125589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9.8972680960247431E-2</v>
      </c>
      <c r="AD235" s="231">
        <f>(INDEX(Models!$BJ235:$BT235,,AH235)*(1-AF235)+INDEX(Models!$BJ235:$BT235,,AH235+1)*AF235-ERP_i)*AE235*Ramure*Pc/MaxiM</f>
        <v>7.6510190031880108E-3</v>
      </c>
      <c r="AE235" s="305">
        <f t="shared" si="88"/>
        <v>0.8</v>
      </c>
      <c r="AF235" s="177">
        <f t="shared" si="89"/>
        <v>0.75314108530711787</v>
      </c>
      <c r="AG235" s="809">
        <f t="shared" si="95"/>
        <v>1</v>
      </c>
      <c r="AH235" s="176">
        <f t="shared" si="90"/>
        <v>7</v>
      </c>
      <c r="AI235" s="225">
        <f t="shared" si="91"/>
        <v>1.7531410853071179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6">
        <v>34.893000000000001</v>
      </c>
      <c r="C236" s="390"/>
      <c r="D236" s="393">
        <f t="shared" si="74"/>
        <v>35.904127833596952</v>
      </c>
      <c r="E236" s="385">
        <f t="shared" si="96"/>
        <v>39.851695897718791</v>
      </c>
      <c r="F236" s="385">
        <f t="shared" si="75"/>
        <v>39.893614846685942</v>
      </c>
      <c r="G236" s="110">
        <f t="shared" si="97"/>
        <v>0.73063143791831298</v>
      </c>
      <c r="H236" s="414" t="b">
        <f>Wh_hp&gt;='2019'!Maxi_hp</f>
        <v>1</v>
      </c>
      <c r="I236" s="380">
        <f>IF(H236,Wh_hp,'2019'!Maxi_hp)</f>
        <v>39.893614846685942</v>
      </c>
      <c r="J236" s="85">
        <f>IF(H236,An,'2019'!An_max)</f>
        <v>2020</v>
      </c>
      <c r="K236" s="197">
        <f t="shared" si="76"/>
        <v>44052</v>
      </c>
      <c r="L236" s="147">
        <f>IF(t&lt;Tvie,1-EXP((T0-t)*PertePVj)+'2019'!Pspv,1-EXP((T0-t)*PertePVj)+Pspv)</f>
        <v>2.816188261926815E-2</v>
      </c>
      <c r="M236" s="843"/>
      <c r="N236" s="843"/>
      <c r="O236" s="48">
        <f>IF(t&lt;Tnet,'2019'!Resal+('2019'!Salim-'2019'!Resal)*(1-EXP(('2019'!Tnet-t)/('2019'!Tau_j))),Resal+(Salim-Resal)*(1-EXP((Tnet-t)/(Tau_j))))*Salcycl</f>
        <v>9.9056463600782726E-2</v>
      </c>
      <c r="P236" s="169">
        <f>(INDEX(Models!$BJ236:$BT236,,T236)*(1-R236)+INDEX(Models!$BJ236:$BT236,,T236+1)*R236-ERP_i)*Q236*Ramure*Pc/MaxiM</f>
        <v>1.706144596122598E-3</v>
      </c>
      <c r="Q236" s="305">
        <f t="shared" si="77"/>
        <v>0.8</v>
      </c>
      <c r="R236" s="177">
        <f t="shared" si="78"/>
        <v>0.55495936171367322</v>
      </c>
      <c r="S236" s="809">
        <f t="shared" si="79"/>
        <v>0</v>
      </c>
      <c r="T236" s="176">
        <f t="shared" si="80"/>
        <v>6</v>
      </c>
      <c r="U236" s="251">
        <f t="shared" si="81"/>
        <v>0.55495936171367322</v>
      </c>
      <c r="V236" s="383">
        <f t="shared" si="82"/>
        <v>47.725988909924546</v>
      </c>
      <c r="W236" s="402"/>
      <c r="X236" s="157">
        <f t="shared" si="83"/>
        <v>44052</v>
      </c>
      <c r="Y236" s="385">
        <f t="shared" si="84"/>
        <v>34.76196847779223</v>
      </c>
      <c r="Z236" s="385">
        <f t="shared" si="85"/>
        <v>35.769299285648124</v>
      </c>
      <c r="AA236" s="386">
        <f t="shared" si="86"/>
        <v>39.7020432918655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9.9056463600782726E-2</v>
      </c>
      <c r="AD236" s="231">
        <f>(INDEX(Models!$BJ236:$BT236,,AH236)*(1-AF236)+INDEX(Models!$BJ236:$BT236,,AH236+1)*AF236-ERP_i)*AE236*Ramure*Pc/MaxiM</f>
        <v>7.7971604985569544E-3</v>
      </c>
      <c r="AE236" s="305">
        <f t="shared" si="88"/>
        <v>0.8</v>
      </c>
      <c r="AF236" s="177">
        <f t="shared" si="89"/>
        <v>0.75489293586619444</v>
      </c>
      <c r="AG236" s="809">
        <f t="shared" si="95"/>
        <v>1</v>
      </c>
      <c r="AH236" s="176">
        <f t="shared" si="90"/>
        <v>7</v>
      </c>
      <c r="AI236" s="225">
        <f t="shared" si="91"/>
        <v>1.7548929358661944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6">
        <v>31.183</v>
      </c>
      <c r="C237" s="390"/>
      <c r="D237" s="393">
        <f t="shared" si="74"/>
        <v>32.087374872660611</v>
      </c>
      <c r="E237" s="385">
        <f t="shared" si="96"/>
        <v>35.618600026683971</v>
      </c>
      <c r="F237" s="385">
        <f t="shared" si="75"/>
        <v>35.649331145319877</v>
      </c>
      <c r="G237" s="110">
        <f t="shared" si="97"/>
        <v>0.65563624536940601</v>
      </c>
      <c r="H237" s="414" t="b">
        <f>Wh_hp&gt;='2019'!Maxi_hp</f>
        <v>1</v>
      </c>
      <c r="I237" s="380">
        <f>IF(H237,Wh_hp,'2019'!Maxi_hp)</f>
        <v>35.649331145319877</v>
      </c>
      <c r="J237" s="85">
        <f>IF(H237,An,'2019'!An_max)</f>
        <v>2020</v>
      </c>
      <c r="K237" s="197">
        <f t="shared" si="76"/>
        <v>44053</v>
      </c>
      <c r="L237" s="147">
        <f>IF(t&lt;Tvie,1-EXP((T0-t)*PertePVj)+'2019'!Pspv,1-EXP((T0-t)*PertePVj)+Pspv)</f>
        <v>2.8184757283811576E-2</v>
      </c>
      <c r="M237" s="843"/>
      <c r="N237" s="843"/>
      <c r="O237" s="48">
        <f>IF(t&lt;Tnet,'2019'!Resal+('2019'!Salim-'2019'!Resal)*(1-EXP(('2019'!Tnet-t)/('2019'!Tau_j))),Resal+(Salim-Resal)*(1-EXP((Tnet-t)/(Tau_j))))*Salcycl</f>
        <v>9.9139919912009836E-2</v>
      </c>
      <c r="P237" s="169">
        <f>(INDEX(Models!$BJ237:$BT237,,T237)*(1-R237)+INDEX(Models!$BJ237:$BT237,,T237+1)*R237-ERP_i)*Q237*Ramure*Pc/MaxiM</f>
        <v>1.6941511698884352E-3</v>
      </c>
      <c r="Q237" s="305">
        <f t="shared" si="77"/>
        <v>0.8</v>
      </c>
      <c r="R237" s="177">
        <f t="shared" si="78"/>
        <v>0.55665112904128422</v>
      </c>
      <c r="S237" s="809">
        <f t="shared" si="79"/>
        <v>0</v>
      </c>
      <c r="T237" s="176">
        <f t="shared" si="80"/>
        <v>6</v>
      </c>
      <c r="U237" s="251">
        <f t="shared" si="81"/>
        <v>0.55665112904128422</v>
      </c>
      <c r="V237" s="383">
        <f t="shared" si="82"/>
        <v>47.521823394056646</v>
      </c>
      <c r="W237" s="402"/>
      <c r="X237" s="157">
        <f t="shared" si="83"/>
        <v>44053</v>
      </c>
      <c r="Y237" s="385">
        <f t="shared" si="84"/>
        <v>31.08335617067554</v>
      </c>
      <c r="Z237" s="385">
        <f t="shared" si="85"/>
        <v>31.984841155401806</v>
      </c>
      <c r="AA237" s="386">
        <f t="shared" si="86"/>
        <v>35.504782443326533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9.9139919912009836E-2</v>
      </c>
      <c r="AD237" s="231">
        <f>(INDEX(Models!$BJ237:$BT237,,AH237)*(1-AF237)+INDEX(Models!$BJ237:$BT237,,AH237+1)*AF237-ERP_i)*AE237*Ramure*Pc/MaxiM</f>
        <v>7.9687093557911023E-3</v>
      </c>
      <c r="AE237" s="305">
        <f t="shared" si="88"/>
        <v>0.8</v>
      </c>
      <c r="AF237" s="177">
        <f t="shared" si="89"/>
        <v>0.75658470319380555</v>
      </c>
      <c r="AG237" s="809">
        <f t="shared" si="95"/>
        <v>1</v>
      </c>
      <c r="AH237" s="176">
        <f t="shared" si="90"/>
        <v>7</v>
      </c>
      <c r="AI237" s="225">
        <f t="shared" si="91"/>
        <v>1.7565847031938056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6">
        <v>38.289000000000001</v>
      </c>
      <c r="C238" s="390"/>
      <c r="D238" s="393">
        <f t="shared" si="74"/>
        <v>39.400391727496341</v>
      </c>
      <c r="E238" s="385">
        <f t="shared" si="96"/>
        <v>43.740452701160876</v>
      </c>
      <c r="F238" s="385">
        <f t="shared" si="75"/>
        <v>43.79418450954357</v>
      </c>
      <c r="G238" s="110">
        <f t="shared" si="97"/>
        <v>0.80888318387522806</v>
      </c>
      <c r="H238" s="414" t="b">
        <f>Wh_hp&gt;='2019'!Maxi_hp</f>
        <v>1</v>
      </c>
      <c r="I238" s="380">
        <f>IF(H238,Wh_hp,'2019'!Maxi_hp)</f>
        <v>43.79418450954357</v>
      </c>
      <c r="J238" s="85">
        <f>IF(H238,An,'2019'!An_max)</f>
        <v>2020</v>
      </c>
      <c r="K238" s="197">
        <f t="shared" si="76"/>
        <v>44054</v>
      </c>
      <c r="L238" s="147">
        <f>IF(t&lt;Tvie,1-EXP((T0-t)*PertePVj)+'2019'!Pspv,1-EXP((T0-t)*PertePVj)+Pspv)</f>
        <v>2.8207631416028153E-2</v>
      </c>
      <c r="M238" s="843"/>
      <c r="N238" s="843"/>
      <c r="O238" s="48">
        <f>IF(t&lt;Tnet,'2019'!Resal+('2019'!Salim-'2019'!Resal)*(1-EXP(('2019'!Tnet-t)/('2019'!Tau_j))),Resal+(Salim-Resal)*(1-EXP((Tnet-t)/(Tau_j))))*Salcycl</f>
        <v>9.9223046531234121E-2</v>
      </c>
      <c r="P238" s="169">
        <f>(INDEX(Models!$BJ238:$BT238,,T238)*(1-R238)+INDEX(Models!$BJ238:$BT238,,T238+1)*R238-ERP_i)*Q238*Ramure*Pc/MaxiM</f>
        <v>1.6864648641099417E-3</v>
      </c>
      <c r="Q238" s="305">
        <f t="shared" si="77"/>
        <v>0.8</v>
      </c>
      <c r="R238" s="177">
        <f t="shared" si="78"/>
        <v>0.55828449582636352</v>
      </c>
      <c r="S238" s="809">
        <f t="shared" si="79"/>
        <v>0</v>
      </c>
      <c r="T238" s="176">
        <f t="shared" si="80"/>
        <v>6</v>
      </c>
      <c r="U238" s="251">
        <f t="shared" si="81"/>
        <v>0.55828449582636352</v>
      </c>
      <c r="V238" s="383">
        <f t="shared" si="82"/>
        <v>47.31385631622144</v>
      </c>
      <c r="W238" s="402"/>
      <c r="X238" s="157">
        <f t="shared" si="83"/>
        <v>44054</v>
      </c>
      <c r="Y238" s="385">
        <f t="shared" si="84"/>
        <v>38.108284992644656</v>
      </c>
      <c r="Z238" s="385">
        <f t="shared" si="85"/>
        <v>39.214431214533398</v>
      </c>
      <c r="AA238" s="386">
        <f t="shared" si="86"/>
        <v>43.534008128787171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9.9223046531234121E-2</v>
      </c>
      <c r="AD238" s="231">
        <f>(INDEX(Models!$BJ238:$BT238,,AH238)*(1-AF238)+INDEX(Models!$BJ238:$BT238,,AH238+1)*AF238-ERP_i)*AE238*Ramure*Pc/MaxiM</f>
        <v>8.1660814669003001E-3</v>
      </c>
      <c r="AE238" s="305">
        <f t="shared" si="88"/>
        <v>0.8</v>
      </c>
      <c r="AF238" s="177">
        <f t="shared" si="89"/>
        <v>0.75821806997888475</v>
      </c>
      <c r="AG238" s="809">
        <f t="shared" si="95"/>
        <v>1</v>
      </c>
      <c r="AH238" s="176">
        <f t="shared" si="90"/>
        <v>7</v>
      </c>
      <c r="AI238" s="225">
        <f t="shared" si="91"/>
        <v>1.7582180699788847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6">
        <v>23.411000000000001</v>
      </c>
      <c r="C239" s="390"/>
      <c r="D239" s="393">
        <f t="shared" si="74"/>
        <v>24.091104033249959</v>
      </c>
      <c r="E239" s="385">
        <f t="shared" si="96"/>
        <v>26.747263465621653</v>
      </c>
      <c r="F239" s="385">
        <f t="shared" si="75"/>
        <v>26.759941377608499</v>
      </c>
      <c r="G239" s="110">
        <f t="shared" si="97"/>
        <v>0.49642643379696511</v>
      </c>
      <c r="H239" s="414" t="b">
        <f>Wh_hp&gt;='2019'!Maxi_hp</f>
        <v>0</v>
      </c>
      <c r="I239" s="380">
        <f>IF(H239,Wh_hp,'2019'!Maxi_hp)</f>
        <v>47.124763109850662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2.8230505015930205E-2</v>
      </c>
      <c r="M239" s="843"/>
      <c r="N239" s="843"/>
      <c r="O239" s="48">
        <f>IF(t&lt;Tnet,'2019'!Resal+('2019'!Salim-'2019'!Resal)*(1-EXP(('2019'!Tnet-t)/('2019'!Tau_j))),Resal+(Salim-Resal)*(1-EXP((Tnet-t)/(Tau_j))))*Salcycl</f>
        <v>9.9305838736948288E-2</v>
      </c>
      <c r="P239" s="169">
        <f>(INDEX(Models!$BJ239:$BT239,,T239)*(1-R239)+INDEX(Models!$BJ239:$BT239,,T239+1)*R239-ERP_i)*Q239*Ramure*Pc/MaxiM</f>
        <v>1.6831895494239535E-3</v>
      </c>
      <c r="Q239" s="305">
        <f t="shared" si="77"/>
        <v>0.8</v>
      </c>
      <c r="R239" s="177">
        <f t="shared" si="78"/>
        <v>0.55986112581965586</v>
      </c>
      <c r="S239" s="809">
        <f t="shared" si="79"/>
        <v>0</v>
      </c>
      <c r="T239" s="176">
        <f t="shared" si="80"/>
        <v>6</v>
      </c>
      <c r="U239" s="251">
        <f t="shared" si="81"/>
        <v>0.55986112581965586</v>
      </c>
      <c r="V239" s="383">
        <f t="shared" si="82"/>
        <v>47.10198961886347</v>
      </c>
      <c r="W239" s="402"/>
      <c r="X239" s="157">
        <f t="shared" si="83"/>
        <v>44055</v>
      </c>
      <c r="Y239" s="385">
        <f t="shared" si="84"/>
        <v>23.36678677101229</v>
      </c>
      <c r="Z239" s="385">
        <f t="shared" si="85"/>
        <v>24.045606382607577</v>
      </c>
      <c r="AA239" s="386">
        <f t="shared" si="86"/>
        <v>26.696749481409096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9.9305838736948288E-2</v>
      </c>
      <c r="AD239" s="231">
        <f>(INDEX(Models!$BJ239:$BT239,,AH239)*(1-AF239)+INDEX(Models!$BJ239:$BT239,,AH239+1)*AF239-ERP_i)*AE239*Ramure*Pc/MaxiM</f>
        <v>8.3897048190174645E-3</v>
      </c>
      <c r="AE239" s="305">
        <f t="shared" si="88"/>
        <v>0.8</v>
      </c>
      <c r="AF239" s="177">
        <f t="shared" si="89"/>
        <v>0.75979469997217697</v>
      </c>
      <c r="AG239" s="809">
        <f t="shared" si="95"/>
        <v>1</v>
      </c>
      <c r="AH239" s="176">
        <f t="shared" si="90"/>
        <v>7</v>
      </c>
      <c r="AI239" s="225">
        <f t="shared" si="91"/>
        <v>1.759794699972177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6">
        <v>15.879</v>
      </c>
      <c r="C240" s="390"/>
      <c r="D240" s="393">
        <f t="shared" si="74"/>
        <v>16.340679393033113</v>
      </c>
      <c r="E240" s="385">
        <f t="shared" si="96"/>
        <v>18.143978388997866</v>
      </c>
      <c r="F240" s="385">
        <f t="shared" si="75"/>
        <v>18.145675498804351</v>
      </c>
      <c r="G240" s="110">
        <f t="shared" si="97"/>
        <v>0.33813277433309552</v>
      </c>
      <c r="H240" s="414" t="b">
        <f>Wh_hp&gt;='2019'!Maxi_hp</f>
        <v>0</v>
      </c>
      <c r="I240" s="380">
        <f>IF(H240,Wh_hp,'2019'!Maxi_hp)</f>
        <v>53.688303667232056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2.8253378083530165E-2</v>
      </c>
      <c r="M240" s="843"/>
      <c r="N240" s="843"/>
      <c r="O240" s="48">
        <f>IF(t&lt;Tnet,'2019'!Resal+('2019'!Salim-'2019'!Resal)*(1-EXP(('2019'!Tnet-t)/('2019'!Tau_j))),Resal+(Salim-Resal)*(1-EXP((Tnet-t)/(Tau_j))))*Salcycl</f>
        <v>9.938829055584833E-2</v>
      </c>
      <c r="P240" s="169">
        <f>(INDEX(Models!$BJ240:$BT240,,T240)*(1-R240)+INDEX(Models!$BJ240:$BT240,,T240+1)*R240-ERP_i)*Q240*Ramure*Pc/MaxiM</f>
        <v>1.6928190402421921E-3</v>
      </c>
      <c r="Q240" s="305">
        <f t="shared" si="77"/>
        <v>0.8</v>
      </c>
      <c r="R240" s="177">
        <f t="shared" si="78"/>
        <v>0.5613826616927946</v>
      </c>
      <c r="S240" s="809">
        <f t="shared" si="79"/>
        <v>0</v>
      </c>
      <c r="T240" s="176">
        <f t="shared" si="80"/>
        <v>6</v>
      </c>
      <c r="U240" s="251">
        <f t="shared" si="81"/>
        <v>0.5613826616927946</v>
      </c>
      <c r="V240" s="383">
        <f t="shared" si="82"/>
        <v>46.885731490889881</v>
      </c>
      <c r="W240" s="402"/>
      <c r="X240" s="157">
        <f t="shared" si="83"/>
        <v>44056</v>
      </c>
      <c r="Y240" s="385">
        <f t="shared" si="84"/>
        <v>15.872885903354666</v>
      </c>
      <c r="Z240" s="385">
        <f t="shared" si="85"/>
        <v>16.334387530002733</v>
      </c>
      <c r="AA240" s="386">
        <f t="shared" si="86"/>
        <v>18.13699217844297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9.938829055584833E-2</v>
      </c>
      <c r="AD240" s="231">
        <f>(INDEX(Models!$BJ240:$BT240,,AH240)*(1-AF240)+INDEX(Models!$BJ240:$BT240,,AH240+1)*AF240-ERP_i)*AE240*Ramure*Pc/MaxiM</f>
        <v>8.661366509158705E-3</v>
      </c>
      <c r="AE240" s="305">
        <f t="shared" si="88"/>
        <v>0.8</v>
      </c>
      <c r="AF240" s="177">
        <f t="shared" si="89"/>
        <v>0.76131623584531583</v>
      </c>
      <c r="AG240" s="809">
        <f t="shared" si="95"/>
        <v>1</v>
      </c>
      <c r="AH240" s="176">
        <f t="shared" si="90"/>
        <v>7</v>
      </c>
      <c r="AI240" s="225">
        <f t="shared" si="91"/>
        <v>1.7613162358453158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6">
        <v>40.713999999999999</v>
      </c>
      <c r="C241" s="390"/>
      <c r="D241" s="393">
        <f t="shared" si="74"/>
        <v>41.898739251694352</v>
      </c>
      <c r="E241" s="385">
        <f t="shared" si="96"/>
        <v>46.526776035839973</v>
      </c>
      <c r="F241" s="385">
        <f t="shared" si="75"/>
        <v>46.59214980096219</v>
      </c>
      <c r="G241" s="110">
        <f t="shared" si="97"/>
        <v>0.87220130381310368</v>
      </c>
      <c r="H241" s="414" t="b">
        <f>Wh_hp&gt;='2019'!Maxi_hp</f>
        <v>1</v>
      </c>
      <c r="I241" s="380">
        <f>IF(H241,Wh_hp,'2019'!Maxi_hp)</f>
        <v>46.59214980096219</v>
      </c>
      <c r="J241" s="85">
        <f>IF(H241,An,'2019'!An_max)</f>
        <v>2020</v>
      </c>
      <c r="K241" s="197">
        <f t="shared" si="76"/>
        <v>44057</v>
      </c>
      <c r="L241" s="147">
        <f>IF(t&lt;Tvie,1-EXP((T0-t)*PertePVj)+'2019'!Pspv,1-EXP((T0-t)*PertePVj)+Pspv)</f>
        <v>2.8276250618840468E-2</v>
      </c>
      <c r="M241" s="843"/>
      <c r="N241" s="843"/>
      <c r="O241" s="48">
        <f>IF(t&lt;Tnet,'2019'!Resal+('2019'!Salim-'2019'!Resal)*(1-EXP(('2019'!Tnet-t)/('2019'!Tau_j))),Resal+(Salim-Resal)*(1-EXP((Tnet-t)/(Tau_j))))*Salcycl</f>
        <v>9.9470394866401343E-2</v>
      </c>
      <c r="P241" s="169">
        <f>(INDEX(Models!$BJ241:$BT241,,T241)*(1-R241)+INDEX(Models!$BJ241:$BT241,,T241+1)*R241-ERP_i)*Q241*Ramure*Pc/MaxiM</f>
        <v>1.7156659344579061E-3</v>
      </c>
      <c r="Q241" s="305">
        <f t="shared" si="77"/>
        <v>0.8</v>
      </c>
      <c r="R241" s="177">
        <f t="shared" si="78"/>
        <v>0.56285072312044282</v>
      </c>
      <c r="S241" s="809">
        <f t="shared" si="79"/>
        <v>0</v>
      </c>
      <c r="T241" s="176">
        <f t="shared" si="80"/>
        <v>6</v>
      </c>
      <c r="U241" s="251">
        <f t="shared" si="81"/>
        <v>0.56285072312044282</v>
      </c>
      <c r="V241" s="383">
        <f t="shared" si="82"/>
        <v>46.664980219173493</v>
      </c>
      <c r="W241" s="402"/>
      <c r="X241" s="157">
        <f t="shared" si="83"/>
        <v>44057</v>
      </c>
      <c r="Y241" s="385">
        <f t="shared" si="84"/>
        <v>40.472133241908793</v>
      </c>
      <c r="Z241" s="385">
        <f t="shared" si="85"/>
        <v>41.649834397567616</v>
      </c>
      <c r="AA241" s="386">
        <f t="shared" si="86"/>
        <v>46.250377733432344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9.9470394866401343E-2</v>
      </c>
      <c r="AD241" s="231">
        <f>(INDEX(Models!$BJ241:$BT241,,AH241)*(1-AF241)+INDEX(Models!$BJ241:$BT241,,AH241+1)*AF241-ERP_i)*AE241*Ramure*Pc/MaxiM</f>
        <v>8.9694496334116382E-3</v>
      </c>
      <c r="AE241" s="305">
        <f t="shared" si="88"/>
        <v>0.8</v>
      </c>
      <c r="AF241" s="177">
        <f t="shared" si="89"/>
        <v>0.76278429727296393</v>
      </c>
      <c r="AG241" s="809">
        <f t="shared" si="95"/>
        <v>1</v>
      </c>
      <c r="AH241" s="176">
        <f t="shared" si="90"/>
        <v>7</v>
      </c>
      <c r="AI241" s="225">
        <f t="shared" si="91"/>
        <v>1.7627842972729639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6">
        <v>38.790999999999997</v>
      </c>
      <c r="C242" s="390"/>
      <c r="D242" s="393">
        <f t="shared" si="74"/>
        <v>39.920721389762534</v>
      </c>
      <c r="E242" s="385">
        <f t="shared" si="96"/>
        <v>44.334295541361705</v>
      </c>
      <c r="F242" s="385">
        <f t="shared" si="75"/>
        <v>44.393773703381143</v>
      </c>
      <c r="G242" s="110">
        <f t="shared" si="97"/>
        <v>0.83495460066193228</v>
      </c>
      <c r="H242" s="414" t="b">
        <f>Wh_hp&gt;='2019'!Maxi_hp</f>
        <v>0</v>
      </c>
      <c r="I242" s="380">
        <f>IF(H242,Wh_hp,'2019'!Maxi_hp)</f>
        <v>52.312778726424021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2.8299122621873438E-2</v>
      </c>
      <c r="M242" s="843"/>
      <c r="N242" s="843"/>
      <c r="O242" s="48">
        <f>IF(t&lt;Tnet,'2019'!Resal+('2019'!Salim-'2019'!Resal)*(1-EXP(('2019'!Tnet-t)/('2019'!Tau_j))),Resal+(Salim-Resal)*(1-EXP((Tnet-t)/(Tau_j))))*Salcycl</f>
        <v>9.9552143497611809E-2</v>
      </c>
      <c r="P242" s="169">
        <f>(INDEX(Models!$BJ242:$BT242,,T242)*(1-R242)+INDEX(Models!$BJ242:$BT242,,T242+1)*R242-ERP_i)*Q242*Ramure*Pc/MaxiM</f>
        <v>1.7520107408169859E-3</v>
      </c>
      <c r="Q242" s="305">
        <f t="shared" si="77"/>
        <v>0.8</v>
      </c>
      <c r="R242" s="177">
        <f t="shared" si="78"/>
        <v>0.56426690507406529</v>
      </c>
      <c r="S242" s="809">
        <f t="shared" si="79"/>
        <v>0</v>
      </c>
      <c r="T242" s="176">
        <f t="shared" si="80"/>
        <v>6</v>
      </c>
      <c r="U242" s="251">
        <f t="shared" si="81"/>
        <v>0.56426690507406529</v>
      </c>
      <c r="V242" s="383">
        <f t="shared" si="82"/>
        <v>46.439636252597964</v>
      </c>
      <c r="W242" s="402"/>
      <c r="X242" s="157">
        <f t="shared" si="83"/>
        <v>44058</v>
      </c>
      <c r="Y242" s="385">
        <f t="shared" si="84"/>
        <v>38.566364897647219</v>
      </c>
      <c r="Z242" s="385">
        <f t="shared" si="85"/>
        <v>39.689544175063602</v>
      </c>
      <c r="AA242" s="386">
        <f t="shared" si="86"/>
        <v>44.077559725923265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9.9552143497611809E-2</v>
      </c>
      <c r="AD242" s="231">
        <f>(INDEX(Models!$BJ242:$BT242,,AH242)*(1-AF242)+INDEX(Models!$BJ242:$BT242,,AH242+1)*AF242-ERP_i)*AE242*Ramure*Pc/MaxiM</f>
        <v>9.3145158843612776E-3</v>
      </c>
      <c r="AE242" s="305">
        <f t="shared" si="88"/>
        <v>0.8</v>
      </c>
      <c r="AF242" s="177">
        <f t="shared" si="89"/>
        <v>0.76420047922658663</v>
      </c>
      <c r="AG242" s="809">
        <f t="shared" si="95"/>
        <v>1</v>
      </c>
      <c r="AH242" s="176">
        <f t="shared" si="90"/>
        <v>7</v>
      </c>
      <c r="AI242" s="225">
        <f t="shared" si="91"/>
        <v>1.7642004792265866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6">
        <v>18.725000000000001</v>
      </c>
      <c r="C243" s="390"/>
      <c r="D243" s="393">
        <f t="shared" si="74"/>
        <v>19.270787118943264</v>
      </c>
      <c r="E243" s="385">
        <f t="shared" si="96"/>
        <v>21.403270450108831</v>
      </c>
      <c r="F243" s="385">
        <f t="shared" si="75"/>
        <v>21.409069825268681</v>
      </c>
      <c r="G243" s="110">
        <f t="shared" si="97"/>
        <v>0.40459816341654453</v>
      </c>
      <c r="H243" s="414" t="b">
        <f>Wh_hp&gt;='2019'!Maxi_hp</f>
        <v>0</v>
      </c>
      <c r="I243" s="380">
        <f>IF(H243,Wh_hp,'2019'!Maxi_hp)</f>
        <v>51.695304108145685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2.8321994092641509E-2</v>
      </c>
      <c r="M243" s="843"/>
      <c r="N243" s="843"/>
      <c r="O243" s="48">
        <f>IF(t&lt;Tnet,'2019'!Resal+('2019'!Salim-'2019'!Resal)*(1-EXP(('2019'!Tnet-t)/('2019'!Tau_j))),Resal+(Salim-Resal)*(1-EXP((Tnet-t)/(Tau_j))))*Salcycl</f>
        <v>9.9633527321742674E-2</v>
      </c>
      <c r="P243" s="169">
        <f>(INDEX(Models!$BJ243:$BT243,,T243)*(1-R243)+INDEX(Models!$BJ243:$BT243,,T243+1)*R243-ERP_i)*Q243*Ramure*Pc/MaxiM</f>
        <v>1.8021378172087281E-3</v>
      </c>
      <c r="Q243" s="305">
        <f t="shared" si="77"/>
        <v>0.8</v>
      </c>
      <c r="R243" s="177">
        <f t="shared" si="78"/>
        <v>0.56563277631588849</v>
      </c>
      <c r="S243" s="809">
        <f t="shared" si="79"/>
        <v>0</v>
      </c>
      <c r="T243" s="176">
        <f t="shared" si="80"/>
        <v>6</v>
      </c>
      <c r="U243" s="251">
        <f t="shared" si="81"/>
        <v>0.56563277631588849</v>
      </c>
      <c r="V243" s="383">
        <f t="shared" si="82"/>
        <v>46.209600522923864</v>
      </c>
      <c r="W243" s="402"/>
      <c r="X243" s="157">
        <f t="shared" si="83"/>
        <v>44059</v>
      </c>
      <c r="Y243" s="385">
        <f t="shared" si="84"/>
        <v>18.702772641818747</v>
      </c>
      <c r="Z243" s="385">
        <f t="shared" si="85"/>
        <v>19.247911888624042</v>
      </c>
      <c r="AA243" s="386">
        <f t="shared" si="86"/>
        <v>21.377863872883474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9.9633527321742674E-2</v>
      </c>
      <c r="AD243" s="231">
        <f>(INDEX(Models!$BJ243:$BT243,,AH243)*(1-AF243)+INDEX(Models!$BJ243:$BT243,,AH243+1)*AF243-ERP_i)*AE243*Ramure*Pc/MaxiM</f>
        <v>9.6971527734146697E-3</v>
      </c>
      <c r="AE243" s="305">
        <f t="shared" si="88"/>
        <v>0.8</v>
      </c>
      <c r="AF243" s="177">
        <f t="shared" si="89"/>
        <v>0.7655663504684096</v>
      </c>
      <c r="AG243" s="809">
        <f t="shared" si="95"/>
        <v>1</v>
      </c>
      <c r="AH243" s="176">
        <f t="shared" si="90"/>
        <v>7</v>
      </c>
      <c r="AI243" s="225">
        <f t="shared" si="91"/>
        <v>1.7655663504684096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6">
        <v>37.494</v>
      </c>
      <c r="C244" s="390"/>
      <c r="D244" s="393">
        <f t="shared" si="74"/>
        <v>38.58776499051001</v>
      </c>
      <c r="E244" s="385">
        <f t="shared" si="96"/>
        <v>42.861699480996634</v>
      </c>
      <c r="F244" s="385">
        <f t="shared" si="75"/>
        <v>42.920694596144848</v>
      </c>
      <c r="G244" s="110">
        <f t="shared" si="97"/>
        <v>0.81513253136277408</v>
      </c>
      <c r="H244" s="414" t="b">
        <f>Wh_hp&gt;='2019'!Maxi_hp</f>
        <v>1</v>
      </c>
      <c r="I244" s="380">
        <f>IF(H244,Wh_hp,'2019'!Maxi_hp)</f>
        <v>42.920694596144848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2.8344865031157004E-2</v>
      </c>
      <c r="M244" s="843"/>
      <c r="N244" s="843"/>
      <c r="O244" s="48">
        <f>IF(t&lt;Tnet,'2019'!Resal+('2019'!Salim-'2019'!Resal)*(1-EXP(('2019'!Tnet-t)/('2019'!Tau_j))),Resal+(Salim-Resal)*(1-EXP((Tnet-t)/(Tau_j))))*Salcycl</f>
        <v>9.9714536339874565E-2</v>
      </c>
      <c r="P244" s="169">
        <f>(INDEX(Models!$BJ244:$BT244,,T244)*(1-R244)+INDEX(Models!$BJ244:$BT244,,T244+1)*R244-ERP_i)*Q244*Ramure*Pc/MaxiM</f>
        <v>1.8663362280508858E-3</v>
      </c>
      <c r="Q244" s="305">
        <f t="shared" si="77"/>
        <v>0.8</v>
      </c>
      <c r="R244" s="177">
        <f t="shared" si="78"/>
        <v>0.56694987808166486</v>
      </c>
      <c r="S244" s="809">
        <f t="shared" si="79"/>
        <v>0</v>
      </c>
      <c r="T244" s="176">
        <f t="shared" si="80"/>
        <v>6</v>
      </c>
      <c r="U244" s="251">
        <f t="shared" si="81"/>
        <v>0.56694987808166486</v>
      </c>
      <c r="V244" s="383">
        <f t="shared" si="82"/>
        <v>45.974774421477335</v>
      </c>
      <c r="W244" s="402"/>
      <c r="X244" s="157">
        <f t="shared" si="83"/>
        <v>44060</v>
      </c>
      <c r="Y244" s="385">
        <f t="shared" si="84"/>
        <v>37.265829876030253</v>
      </c>
      <c r="Z244" s="385">
        <f t="shared" si="85"/>
        <v>38.352938748401932</v>
      </c>
      <c r="AA244" s="386">
        <f t="shared" si="86"/>
        <v>42.600864166436082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9.9714536339874565E-2</v>
      </c>
      <c r="AD244" s="231">
        <f>(INDEX(Models!$BJ244:$BT244,,AH244)*(1-AF244)+INDEX(Models!$BJ244:$BT244,,AH244+1)*AF244-ERP_i)*AE244*Ramure*Pc/MaxiM</f>
        <v>1.0117975298444808E-2</v>
      </c>
      <c r="AE244" s="305">
        <f t="shared" si="88"/>
        <v>0.8</v>
      </c>
      <c r="AF244" s="177">
        <f t="shared" si="89"/>
        <v>0.76688345223418608</v>
      </c>
      <c r="AG244" s="809">
        <f t="shared" si="95"/>
        <v>1</v>
      </c>
      <c r="AH244" s="176">
        <f t="shared" si="90"/>
        <v>7</v>
      </c>
      <c r="AI244" s="225">
        <f t="shared" si="91"/>
        <v>1.7668834522341861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6">
        <v>35.392000000000003</v>
      </c>
      <c r="C245" s="390"/>
      <c r="D245" s="393">
        <f t="shared" si="74"/>
        <v>36.425303369205849</v>
      </c>
      <c r="E245" s="385">
        <f t="shared" si="96"/>
        <v>40.463349829875654</v>
      </c>
      <c r="F245" s="385">
        <f t="shared" si="75"/>
        <v>40.516692250390555</v>
      </c>
      <c r="G245" s="110">
        <f t="shared" si="97"/>
        <v>0.77336145193638106</v>
      </c>
      <c r="H245" s="414" t="b">
        <f>Wh_hp&gt;='2019'!Maxi_hp</f>
        <v>1</v>
      </c>
      <c r="I245" s="380">
        <f>IF(H245,Wh_hp,'2019'!Maxi_hp)</f>
        <v>40.516692250390555</v>
      </c>
      <c r="J245" s="85">
        <f>IF(H245,An,'2019'!An_max)</f>
        <v>2020</v>
      </c>
      <c r="K245" s="197">
        <f t="shared" si="76"/>
        <v>44061</v>
      </c>
      <c r="L245" s="147">
        <f>IF(t&lt;Tvie,1-EXP((T0-t)*PertePVj)+'2019'!Pspv,1-EXP((T0-t)*PertePVj)+Pspv)</f>
        <v>2.8367735437432359E-2</v>
      </c>
      <c r="M245" s="843"/>
      <c r="N245" s="843"/>
      <c r="O245" s="48">
        <f>IF(t&lt;Tnet,'2019'!Resal+('2019'!Salim-'2019'!Resal)*(1-EXP(('2019'!Tnet-t)/('2019'!Tau_j))),Resal+(Salim-Resal)*(1-EXP((Tnet-t)/(Tau_j))))*Salcycl</f>
        <v>9.9795159759322752E-2</v>
      </c>
      <c r="P245" s="169">
        <f>(INDEX(Models!$BJ245:$BT245,,T245)*(1-R245)+INDEX(Models!$BJ245:$BT245,,T245+1)*R245-ERP_i)*Q245*Ramure*Pc/MaxiM</f>
        <v>1.9449006190841028E-3</v>
      </c>
      <c r="Q245" s="305">
        <f t="shared" si="77"/>
        <v>0.8</v>
      </c>
      <c r="R245" s="177">
        <f t="shared" si="78"/>
        <v>0.56821972294099199</v>
      </c>
      <c r="S245" s="809">
        <f t="shared" si="79"/>
        <v>0</v>
      </c>
      <c r="T245" s="176">
        <f t="shared" si="80"/>
        <v>6</v>
      </c>
      <c r="U245" s="251">
        <f t="shared" si="81"/>
        <v>0.56821972294099199</v>
      </c>
      <c r="V245" s="383">
        <f t="shared" si="82"/>
        <v>45.735059793243231</v>
      </c>
      <c r="W245" s="402"/>
      <c r="X245" s="157">
        <f t="shared" si="83"/>
        <v>44061</v>
      </c>
      <c r="Y245" s="385">
        <f t="shared" si="84"/>
        <v>35.184906443727783</v>
      </c>
      <c r="Z245" s="385">
        <f t="shared" si="85"/>
        <v>36.212163518024127</v>
      </c>
      <c r="AA245" s="386">
        <f t="shared" si="86"/>
        <v>40.226581661505513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9.9795159759322752E-2</v>
      </c>
      <c r="AD245" s="231">
        <f>(INDEX(Models!$BJ245:$BT245,,AH245)*(1-AF245)+INDEX(Models!$BJ245:$BT245,,AH245+1)*AF245-ERP_i)*AE245*Ramure*Pc/MaxiM</f>
        <v>1.0577627683164274E-2</v>
      </c>
      <c r="AE245" s="305">
        <f t="shared" si="88"/>
        <v>0.8</v>
      </c>
      <c r="AF245" s="177">
        <f t="shared" si="89"/>
        <v>0.76815329709351321</v>
      </c>
      <c r="AG245" s="809">
        <f t="shared" si="95"/>
        <v>1</v>
      </c>
      <c r="AH245" s="176">
        <f t="shared" si="90"/>
        <v>7</v>
      </c>
      <c r="AI245" s="225">
        <f t="shared" si="91"/>
        <v>1.7681532970935132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6">
        <v>42.389000000000003</v>
      </c>
      <c r="C246" s="390"/>
      <c r="D246" s="393">
        <f t="shared" si="74"/>
        <v>43.627614380559926</v>
      </c>
      <c r="E246" s="385">
        <f t="shared" si="96"/>
        <v>48.468416155953506</v>
      </c>
      <c r="F246" s="385">
        <f t="shared" si="75"/>
        <v>48.557744398886264</v>
      </c>
      <c r="G246" s="110">
        <f t="shared" si="97"/>
        <v>0.93163850898644252</v>
      </c>
      <c r="H246" s="414" t="b">
        <f>Wh_hp&gt;='2019'!Maxi_hp</f>
        <v>1</v>
      </c>
      <c r="I246" s="380">
        <f>IF(H246,Wh_hp,'2019'!Maxi_hp)</f>
        <v>48.557744398886264</v>
      </c>
      <c r="J246" s="85">
        <f>IF(H246,An,'2019'!An_max)</f>
        <v>2020</v>
      </c>
      <c r="K246" s="197">
        <f t="shared" si="76"/>
        <v>44062</v>
      </c>
      <c r="L246" s="147">
        <f>IF(t&lt;Tvie,1-EXP((T0-t)*PertePVj)+'2019'!Pspv,1-EXP((T0-t)*PertePVj)+Pspv)</f>
        <v>2.8390605311480008E-2</v>
      </c>
      <c r="M246" s="843"/>
      <c r="N246" s="843"/>
      <c r="O246" s="48">
        <f>IF(t&lt;Tnet,'2019'!Resal+('2019'!Salim-'2019'!Resal)*(1-EXP(('2019'!Tnet-t)/('2019'!Tau_j))),Resal+(Salim-Resal)*(1-EXP((Tnet-t)/(Tau_j))))*Salcycl</f>
        <v>9.9875386062083474E-2</v>
      </c>
      <c r="P246" s="169">
        <f>(INDEX(Models!$BJ246:$BT246,,T246)*(1-R246)+INDEX(Models!$BJ246:$BT246,,T246+1)*R246-ERP_i)*Q246*Ramure*Pc/MaxiM</f>
        <v>2.0381321146581421E-3</v>
      </c>
      <c r="Q246" s="305">
        <f t="shared" si="77"/>
        <v>0.8</v>
      </c>
      <c r="R246" s="177">
        <f t="shared" si="78"/>
        <v>0.56944379382413435</v>
      </c>
      <c r="S246" s="809">
        <f t="shared" si="79"/>
        <v>0</v>
      </c>
      <c r="T246" s="176">
        <f t="shared" si="80"/>
        <v>6</v>
      </c>
      <c r="U246" s="251">
        <f t="shared" si="81"/>
        <v>0.56944379382413435</v>
      </c>
      <c r="V246" s="383">
        <f t="shared" si="82"/>
        <v>45.490358912823893</v>
      </c>
      <c r="W246" s="402"/>
      <c r="X246" s="157">
        <f t="shared" si="83"/>
        <v>44062</v>
      </c>
      <c r="Y246" s="385">
        <f t="shared" si="84"/>
        <v>42.042538867417669</v>
      </c>
      <c r="Z246" s="385">
        <f t="shared" si="85"/>
        <v>43.271029589926648</v>
      </c>
      <c r="AA246" s="386">
        <f t="shared" si="86"/>
        <v>48.072265683994665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9.9875386062083474E-2</v>
      </c>
      <c r="AD246" s="231">
        <f>(INDEX(Models!$BJ246:$BT246,,AH246)*(1-AF246)+INDEX(Models!$BJ246:$BT246,,AH246+1)*AF246-ERP_i)*AE246*Ramure*Pc/MaxiM</f>
        <v>1.1076785206089469E-2</v>
      </c>
      <c r="AE246" s="305">
        <f t="shared" si="88"/>
        <v>0.8</v>
      </c>
      <c r="AF246" s="177">
        <f t="shared" si="89"/>
        <v>0.76937736797665557</v>
      </c>
      <c r="AG246" s="809">
        <f t="shared" si="95"/>
        <v>1</v>
      </c>
      <c r="AH246" s="176">
        <f t="shared" si="90"/>
        <v>7</v>
      </c>
      <c r="AI246" s="225">
        <f t="shared" si="91"/>
        <v>1.7693773679766556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6">
        <v>42.168999999999997</v>
      </c>
      <c r="C247" s="390"/>
      <c r="D247" s="393">
        <f t="shared" si="74"/>
        <v>43.402207523362861</v>
      </c>
      <c r="E247" s="385">
        <f t="shared" si="96"/>
        <v>48.222274792430937</v>
      </c>
      <c r="F247" s="385">
        <f t="shared" si="75"/>
        <v>48.315916545592344</v>
      </c>
      <c r="G247" s="110">
        <f t="shared" si="97"/>
        <v>0.93190197646923911</v>
      </c>
      <c r="H247" s="414" t="b">
        <f>Wh_hp&gt;='2019'!Maxi_hp</f>
        <v>0</v>
      </c>
      <c r="I247" s="380">
        <f>IF(H247,Wh_hp,'2019'!Maxi_hp)</f>
        <v>48.833127388179392</v>
      </c>
      <c r="J247" s="85">
        <f>IF(H247,An,'2019'!An_max)</f>
        <v>2019</v>
      </c>
      <c r="K247" s="197">
        <f t="shared" si="76"/>
        <v>44063</v>
      </c>
      <c r="L247" s="147">
        <f>IF(t&lt;Tvie,1-EXP((T0-t)*PertePVj)+'2019'!Pspv,1-EXP((T0-t)*PertePVj)+Pspv)</f>
        <v>2.8413474653312162E-2</v>
      </c>
      <c r="M247" s="843"/>
      <c r="N247" s="843"/>
      <c r="O247" s="48">
        <f>IF(t&lt;Tnet,'2019'!Resal+('2019'!Salim-'2019'!Resal)*(1-EXP(('2019'!Tnet-t)/('2019'!Tau_j))),Resal+(Salim-Resal)*(1-EXP((Tnet-t)/(Tau_j))))*Salcycl</f>
        <v>9.9955203063639891E-2</v>
      </c>
      <c r="P247" s="169">
        <f>(INDEX(Models!$BJ247:$BT247,,T247)*(1-R247)+INDEX(Models!$BJ247:$BT247,,T247+1)*R247-ERP_i)*Q247*Ramure*Pc/MaxiM</f>
        <v>2.1463177804573689E-3</v>
      </c>
      <c r="Q247" s="305">
        <f t="shared" si="77"/>
        <v>0.8</v>
      </c>
      <c r="R247" s="177">
        <f t="shared" si="78"/>
        <v>0.57062354320453146</v>
      </c>
      <c r="S247" s="809">
        <f t="shared" si="79"/>
        <v>0</v>
      </c>
      <c r="T247" s="176">
        <f t="shared" si="80"/>
        <v>6</v>
      </c>
      <c r="U247" s="251">
        <f t="shared" si="81"/>
        <v>0.57062354320453146</v>
      </c>
      <c r="V247" s="383">
        <f t="shared" si="82"/>
        <v>45.241027778853848</v>
      </c>
      <c r="W247" s="402"/>
      <c r="X247" s="157">
        <f t="shared" si="83"/>
        <v>44063</v>
      </c>
      <c r="Y247" s="385">
        <f t="shared" si="84"/>
        <v>41.807707987464774</v>
      </c>
      <c r="Z247" s="385">
        <f t="shared" si="85"/>
        <v>43.03034973909984</v>
      </c>
      <c r="AA247" s="386">
        <f t="shared" si="86"/>
        <v>47.80912004110214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9.9955203063639891E-2</v>
      </c>
      <c r="AD247" s="231">
        <f>(INDEX(Models!$BJ247:$BT247,,AH247)*(1-AF247)+INDEX(Models!$BJ247:$BT247,,AH247+1)*AF247-ERP_i)*AE247*Ramure*Pc/MaxiM</f>
        <v>1.1616039981503023E-2</v>
      </c>
      <c r="AE247" s="305">
        <f t="shared" si="88"/>
        <v>0.8</v>
      </c>
      <c r="AF247" s="177">
        <f t="shared" si="89"/>
        <v>0.77055711735705268</v>
      </c>
      <c r="AG247" s="809">
        <f t="shared" si="95"/>
        <v>1</v>
      </c>
      <c r="AH247" s="176">
        <f t="shared" si="90"/>
        <v>7</v>
      </c>
      <c r="AI247" s="225">
        <f t="shared" si="91"/>
        <v>1.7705571173570527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6">
        <v>39.814999999999998</v>
      </c>
      <c r="C248" s="390"/>
      <c r="D248" s="393">
        <f t="shared" si="74"/>
        <v>40.98033076073726</v>
      </c>
      <c r="E248" s="385">
        <f t="shared" si="96"/>
        <v>45.535451327261015</v>
      </c>
      <c r="F248" s="385">
        <f t="shared" si="75"/>
        <v>45.622060042194718</v>
      </c>
      <c r="G248" s="110">
        <f t="shared" si="97"/>
        <v>0.88469585937874462</v>
      </c>
      <c r="H248" s="414" t="b">
        <f>Wh_hp&gt;='2019'!Maxi_hp</f>
        <v>0</v>
      </c>
      <c r="I248" s="380">
        <f>IF(H248,Wh_hp,'2019'!Maxi_hp)</f>
        <v>52.442438256662555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2.8436343462941369E-2</v>
      </c>
      <c r="M248" s="843"/>
      <c r="N248" s="843"/>
      <c r="O248" s="48">
        <f>IF(t&lt;Tnet,'2019'!Resal+('2019'!Salim-'2019'!Resal)*(1-EXP(('2019'!Tnet-t)/('2019'!Tau_j))),Resal+(Salim-Resal)*(1-EXP((Tnet-t)/(Tau_j))))*Salcycl</f>
        <v>0.10003459796162624</v>
      </c>
      <c r="P248" s="169">
        <f>(INDEX(Models!$BJ248:$BT248,,T248)*(1-R248)+INDEX(Models!$BJ248:$BT248,,T248+1)*R248-ERP_i)*Q248*Ramure*Pc/MaxiM</f>
        <v>2.2714808103538701E-3</v>
      </c>
      <c r="Q248" s="305">
        <f t="shared" si="77"/>
        <v>0.8</v>
      </c>
      <c r="R248" s="177">
        <f t="shared" si="78"/>
        <v>0.57176039242647347</v>
      </c>
      <c r="S248" s="809">
        <f t="shared" si="79"/>
        <v>0</v>
      </c>
      <c r="T248" s="176">
        <f t="shared" si="80"/>
        <v>6</v>
      </c>
      <c r="U248" s="251">
        <f t="shared" si="81"/>
        <v>0.57176039242647347</v>
      </c>
      <c r="V248" s="383">
        <f t="shared" si="82"/>
        <v>44.98734444675415</v>
      </c>
      <c r="W248" s="402"/>
      <c r="X248" s="157">
        <f t="shared" si="83"/>
        <v>44064</v>
      </c>
      <c r="Y248" s="385">
        <f t="shared" si="84"/>
        <v>39.48366552388736</v>
      </c>
      <c r="Z248" s="385">
        <f t="shared" si="85"/>
        <v>40.639298576295936</v>
      </c>
      <c r="AA248" s="386">
        <f t="shared" si="86"/>
        <v>45.156512110632349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0.10003459796162624</v>
      </c>
      <c r="AD248" s="231">
        <f>(INDEX(Models!$BJ248:$BT248,,AH248)*(1-AF248)+INDEX(Models!$BJ248:$BT248,,AH248+1)*AF248-ERP_i)*AE248*Ramure*Pc/MaxiM</f>
        <v>1.2209893584651056E-2</v>
      </c>
      <c r="AE248" s="305">
        <f t="shared" si="88"/>
        <v>0.8</v>
      </c>
      <c r="AF248" s="177">
        <f t="shared" si="89"/>
        <v>0.77169396657899458</v>
      </c>
      <c r="AG248" s="809">
        <f t="shared" si="95"/>
        <v>1</v>
      </c>
      <c r="AH248" s="176">
        <f t="shared" si="90"/>
        <v>7</v>
      </c>
      <c r="AI248" s="225">
        <f t="shared" si="91"/>
        <v>1.7716939665789946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6">
        <v>33.088999999999999</v>
      </c>
      <c r="C249" s="390"/>
      <c r="D249" s="393">
        <f t="shared" si="74"/>
        <v>34.058271561891225</v>
      </c>
      <c r="E249" s="385">
        <f t="shared" si="96"/>
        <v>37.847299335352872</v>
      </c>
      <c r="F249" s="385">
        <f t="shared" si="75"/>
        <v>37.904663534344273</v>
      </c>
      <c r="G249" s="110">
        <f t="shared" si="97"/>
        <v>0.73909540930367723</v>
      </c>
      <c r="H249" s="414" t="b">
        <f>Wh_hp&gt;='2019'!Maxi_hp</f>
        <v>0</v>
      </c>
      <c r="I249" s="380">
        <f>IF(H249,Wh_hp,'2019'!Maxi_hp)</f>
        <v>49.838510164075387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2.8459211740380061E-2</v>
      </c>
      <c r="M249" s="843"/>
      <c r="N249" s="843"/>
      <c r="O249" s="48">
        <f>IF(t&lt;Tnet,'2019'!Resal+('2019'!Salim-'2019'!Resal)*(1-EXP(('2019'!Tnet-t)/('2019'!Tau_j))),Resal+(Salim-Resal)*(1-EXP((Tnet-t)/(Tau_j))))*Salcycl</f>
        <v>0.10011355737402229</v>
      </c>
      <c r="P249" s="169">
        <f>(INDEX(Models!$BJ249:$BT249,,T249)*(1-R249)+INDEX(Models!$BJ249:$BT249,,T249+1)*R249-ERP_i)*Q249*Ramure*Pc/MaxiM</f>
        <v>2.4089714671484529E-3</v>
      </c>
      <c r="Q249" s="305">
        <f t="shared" si="77"/>
        <v>0.8</v>
      </c>
      <c r="R249" s="177">
        <f t="shared" si="78"/>
        <v>0.57285573116773703</v>
      </c>
      <c r="S249" s="809">
        <f t="shared" si="79"/>
        <v>0</v>
      </c>
      <c r="T249" s="176">
        <f t="shared" si="80"/>
        <v>6</v>
      </c>
      <c r="U249" s="251">
        <f t="shared" si="81"/>
        <v>0.57285573116773703</v>
      </c>
      <c r="V249" s="383">
        <f t="shared" si="82"/>
        <v>44.729436113790769</v>
      </c>
      <c r="W249" s="402"/>
      <c r="X249" s="157">
        <f t="shared" si="83"/>
        <v>44065</v>
      </c>
      <c r="Y249" s="385">
        <f t="shared" si="84"/>
        <v>32.871685245756225</v>
      </c>
      <c r="Z249" s="385">
        <f t="shared" si="85"/>
        <v>33.834591036204742</v>
      </c>
      <c r="AA249" s="386">
        <f t="shared" si="86"/>
        <v>37.598734055234019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0.10011355737402229</v>
      </c>
      <c r="AD249" s="231">
        <f>(INDEX(Models!$BJ249:$BT249,,AH249)*(1-AF249)+INDEX(Models!$BJ249:$BT249,,AH249+1)*AF249-ERP_i)*AE249*Ramure*Pc/MaxiM</f>
        <v>1.2847305446497544E-2</v>
      </c>
      <c r="AE249" s="305">
        <f t="shared" si="88"/>
        <v>0.8</v>
      </c>
      <c r="AF249" s="177">
        <f t="shared" si="89"/>
        <v>0.77278930532025836</v>
      </c>
      <c r="AG249" s="809">
        <f t="shared" si="95"/>
        <v>1</v>
      </c>
      <c r="AH249" s="176">
        <f t="shared" si="90"/>
        <v>7</v>
      </c>
      <c r="AI249" s="225">
        <f t="shared" si="91"/>
        <v>1.7727893053202584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6">
        <v>37.433999999999997</v>
      </c>
      <c r="C250" s="390"/>
      <c r="D250" s="393">
        <f t="shared" si="74"/>
        <v>38.531455992269265</v>
      </c>
      <c r="E250" s="385">
        <f t="shared" si="96"/>
        <v>42.821867417313889</v>
      </c>
      <c r="F250" s="385">
        <f t="shared" si="75"/>
        <v>42.90685851379893</v>
      </c>
      <c r="G250" s="110">
        <f t="shared" si="97"/>
        <v>0.8413461191558359</v>
      </c>
      <c r="H250" s="414" t="b">
        <f>Wh_hp&gt;='2019'!Maxi_hp</f>
        <v>0</v>
      </c>
      <c r="I250" s="380">
        <f>IF(H250,Wh_hp,'2019'!Maxi_hp)</f>
        <v>49.324626465187585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2.8482079485640452E-2</v>
      </c>
      <c r="M250" s="843"/>
      <c r="N250" s="843"/>
      <c r="O250" s="48">
        <f>IF(t&lt;Tnet,'2019'!Resal+('2019'!Salim-'2019'!Resal)*(1-EXP(('2019'!Tnet-t)/('2019'!Tau_j))),Resal+(Salim-Resal)*(1-EXP((Tnet-t)/(Tau_j))))*Salcycl</f>
        <v>0.10019206736672837</v>
      </c>
      <c r="P250" s="169">
        <f>(INDEX(Models!$BJ250:$BT250,,T250)*(1-R250)+INDEX(Models!$BJ250:$BT250,,T250+1)*R250-ERP_i)*Q250*Ramure*Pc/MaxiM</f>
        <v>2.5590491047023322E-3</v>
      </c>
      <c r="Q250" s="305">
        <f t="shared" si="77"/>
        <v>0.8</v>
      </c>
      <c r="R250" s="177">
        <f t="shared" si="78"/>
        <v>0.5739109170273341</v>
      </c>
      <c r="S250" s="809">
        <f t="shared" si="79"/>
        <v>0</v>
      </c>
      <c r="T250" s="176">
        <f t="shared" si="80"/>
        <v>6</v>
      </c>
      <c r="U250" s="251">
        <f t="shared" si="81"/>
        <v>0.5739109170273341</v>
      </c>
      <c r="V250" s="383">
        <f t="shared" si="82"/>
        <v>44.467206836793501</v>
      </c>
      <c r="W250" s="402"/>
      <c r="X250" s="157">
        <f t="shared" si="83"/>
        <v>44066</v>
      </c>
      <c r="Y250" s="385">
        <f t="shared" si="84"/>
        <v>37.115503293151797</v>
      </c>
      <c r="Z250" s="385">
        <f t="shared" si="85"/>
        <v>38.20362188841704</v>
      </c>
      <c r="AA250" s="386">
        <f t="shared" si="86"/>
        <v>42.457529549239283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0.10019206736672837</v>
      </c>
      <c r="AD250" s="231">
        <f>(INDEX(Models!$BJ250:$BT250,,AH250)*(1-AF250)+INDEX(Models!$BJ250:$BT250,,AH250+1)*AF250-ERP_i)*AE250*Ramure*Pc/MaxiM</f>
        <v>1.3529121661297248E-2</v>
      </c>
      <c r="AE250" s="305">
        <f t="shared" si="88"/>
        <v>0.8</v>
      </c>
      <c r="AF250" s="177">
        <f t="shared" si="89"/>
        <v>0.77384449117985543</v>
      </c>
      <c r="AG250" s="809">
        <f t="shared" si="95"/>
        <v>1</v>
      </c>
      <c r="AH250" s="176">
        <f t="shared" si="90"/>
        <v>7</v>
      </c>
      <c r="AI250" s="225">
        <f t="shared" si="91"/>
        <v>1.7738444911798554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6">
        <v>40.32</v>
      </c>
      <c r="C251" s="390"/>
      <c r="D251" s="393">
        <f t="shared" si="74"/>
        <v>41.50304200004669</v>
      </c>
      <c r="E251" s="385">
        <f t="shared" si="96"/>
        <v>46.128335427577532</v>
      </c>
      <c r="F251" s="385">
        <f t="shared" si="75"/>
        <v>46.238410109379274</v>
      </c>
      <c r="G251" s="110">
        <f t="shared" si="97"/>
        <v>0.91189345499303731</v>
      </c>
      <c r="H251" s="414" t="b">
        <f>Wh_hp&gt;='2019'!Maxi_hp</f>
        <v>1</v>
      </c>
      <c r="I251" s="380">
        <f>IF(H251,Wh_hp,'2019'!Maxi_hp)</f>
        <v>46.238410109379274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2.8504946698734976E-2</v>
      </c>
      <c r="M251" s="843"/>
      <c r="N251" s="843"/>
      <c r="O251" s="48">
        <f>IF(t&lt;Tnet,'2019'!Resal+('2019'!Salim-'2019'!Resal)*(1-EXP(('2019'!Tnet-t)/('2019'!Tau_j))),Resal+(Salim-Resal)*(1-EXP((Tnet-t)/(Tau_j))))*Salcycl</f>
        <v>0.10027011347055113</v>
      </c>
      <c r="P251" s="169">
        <f>(INDEX(Models!$BJ251:$BT251,,T251)*(1-R251)+INDEX(Models!$BJ251:$BT251,,T251+1)*R251-ERP_i)*Q251*Ramure*Pc/MaxiM</f>
        <v>2.7219821647924201E-3</v>
      </c>
      <c r="Q251" s="305">
        <f t="shared" si="77"/>
        <v>0.8</v>
      </c>
      <c r="R251" s="177">
        <f t="shared" si="78"/>
        <v>0.57492727522889164</v>
      </c>
      <c r="S251" s="809">
        <f t="shared" si="79"/>
        <v>0</v>
      </c>
      <c r="T251" s="176">
        <f t="shared" si="80"/>
        <v>6</v>
      </c>
      <c r="U251" s="251">
        <f t="shared" si="81"/>
        <v>0.57492727522889164</v>
      </c>
      <c r="V251" s="383">
        <f t="shared" si="82"/>
        <v>44.200560917866689</v>
      </c>
      <c r="W251" s="402"/>
      <c r="X251" s="157">
        <f t="shared" si="83"/>
        <v>44067</v>
      </c>
      <c r="Y251" s="385">
        <f t="shared" si="84"/>
        <v>39.912296725014919</v>
      </c>
      <c r="Z251" s="385">
        <f t="shared" si="85"/>
        <v>41.083376173031255</v>
      </c>
      <c r="AA251" s="386">
        <f t="shared" si="86"/>
        <v>45.661900074813801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0.10027011347055113</v>
      </c>
      <c r="AD251" s="231">
        <f>(INDEX(Models!$BJ251:$BT251,,AH251)*(1-AF251)+INDEX(Models!$BJ251:$BT251,,AH251+1)*AF251-ERP_i)*AE251*Ramure*Pc/MaxiM</f>
        <v>1.4256230463036892E-2</v>
      </c>
      <c r="AE251" s="305">
        <f t="shared" si="88"/>
        <v>0.8</v>
      </c>
      <c r="AF251" s="177">
        <f t="shared" si="89"/>
        <v>0.77486084938141286</v>
      </c>
      <c r="AG251" s="809">
        <f t="shared" si="95"/>
        <v>1</v>
      </c>
      <c r="AH251" s="176">
        <f t="shared" si="90"/>
        <v>7</v>
      </c>
      <c r="AI251" s="225">
        <f t="shared" si="91"/>
        <v>1.7748608493814129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6">
        <v>41.448</v>
      </c>
      <c r="C252" s="390"/>
      <c r="D252" s="393">
        <f t="shared" si="74"/>
        <v>42.665143244290256</v>
      </c>
      <c r="E252" s="385">
        <f t="shared" si="96"/>
        <v>47.424035183846271</v>
      </c>
      <c r="F252" s="385">
        <f t="shared" si="75"/>
        <v>47.550719338862422</v>
      </c>
      <c r="G252" s="110">
        <f t="shared" si="97"/>
        <v>0.94329260997179287</v>
      </c>
      <c r="H252" s="414" t="b">
        <f>Wh_hp&gt;='2019'!Maxi_hp</f>
        <v>1</v>
      </c>
      <c r="I252" s="380">
        <f>IF(H252,Wh_hp,'2019'!Maxi_hp)</f>
        <v>47.550719338862422</v>
      </c>
      <c r="J252" s="85">
        <f>IF(H252,An,'2019'!An_max)</f>
        <v>2020</v>
      </c>
      <c r="K252" s="197">
        <f t="shared" si="76"/>
        <v>44068</v>
      </c>
      <c r="L252" s="147">
        <f>IF(t&lt;Tvie,1-EXP((T0-t)*PertePVj)+'2019'!Pspv,1-EXP((T0-t)*PertePVj)+Pspv)</f>
        <v>2.8527813379676067E-2</v>
      </c>
      <c r="M252" s="843"/>
      <c r="N252" s="843"/>
      <c r="O252" s="48">
        <f>IF(t&lt;Tnet,'2019'!Resal+('2019'!Salim-'2019'!Resal)*(1-EXP(('2019'!Tnet-t)/('2019'!Tau_j))),Resal+(Salim-Resal)*(1-EXP((Tnet-t)/(Tau_j))))*Salcycl</f>
        <v>0.10034768068780883</v>
      </c>
      <c r="P252" s="169">
        <f>(INDEX(Models!$BJ252:$BT252,,T252)*(1-R252)+INDEX(Models!$BJ252:$BT252,,T252+1)*R252-ERP_i)*Q252*Ramure*Pc/MaxiM</f>
        <v>2.8980465158386036E-3</v>
      </c>
      <c r="Q252" s="305">
        <f t="shared" si="77"/>
        <v>0.8</v>
      </c>
      <c r="R252" s="177">
        <f t="shared" si="78"/>
        <v>0.57590609843057605</v>
      </c>
      <c r="S252" s="809">
        <f t="shared" si="79"/>
        <v>0</v>
      </c>
      <c r="T252" s="176">
        <f t="shared" si="80"/>
        <v>6</v>
      </c>
      <c r="U252" s="251">
        <f t="shared" si="81"/>
        <v>0.57590609843057605</v>
      </c>
      <c r="V252" s="383">
        <f t="shared" si="82"/>
        <v>43.929403016577126</v>
      </c>
      <c r="W252" s="402"/>
      <c r="X252" s="157">
        <f t="shared" si="83"/>
        <v>44068</v>
      </c>
      <c r="Y252" s="385">
        <f t="shared" si="84"/>
        <v>40.984513907548084</v>
      </c>
      <c r="Z252" s="385">
        <f t="shared" si="85"/>
        <v>42.188046628622494</v>
      </c>
      <c r="AA252" s="386">
        <f t="shared" si="86"/>
        <v>46.893722967197384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0.10034768068780883</v>
      </c>
      <c r="AD252" s="231">
        <f>(INDEX(Models!$BJ252:$BT252,,AH252)*(1-AF252)+INDEX(Models!$BJ252:$BT252,,AH252+1)*AF252-ERP_i)*AE252*Ramure*Pc/MaxiM</f>
        <v>1.5029551608720871E-2</v>
      </c>
      <c r="AE252" s="305">
        <f t="shared" si="88"/>
        <v>0.8</v>
      </c>
      <c r="AF252" s="177">
        <f t="shared" si="89"/>
        <v>0.77583967258309716</v>
      </c>
      <c r="AG252" s="809">
        <f t="shared" si="95"/>
        <v>1</v>
      </c>
      <c r="AH252" s="176">
        <f t="shared" si="90"/>
        <v>7</v>
      </c>
      <c r="AI252" s="225">
        <f t="shared" si="91"/>
        <v>1.7758396725830972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6">
        <v>23.087</v>
      </c>
      <c r="C253" s="390"/>
      <c r="D253" s="393">
        <f t="shared" si="74"/>
        <v>23.765521796642965</v>
      </c>
      <c r="E253" s="385">
        <f t="shared" si="96"/>
        <v>26.418603545190905</v>
      </c>
      <c r="F253" s="385">
        <f t="shared" si="75"/>
        <v>26.445299524986069</v>
      </c>
      <c r="G253" s="110">
        <f t="shared" si="97"/>
        <v>0.52776759579282795</v>
      </c>
      <c r="H253" s="414" t="b">
        <f>Wh_hp&gt;='2019'!Maxi_hp</f>
        <v>0</v>
      </c>
      <c r="I253" s="380">
        <f>IF(H253,Wh_hp,'2019'!Maxi_hp)</f>
        <v>30.662790692735022</v>
      </c>
      <c r="J253" s="85">
        <f>IF(H253,An,'2019'!An_max)</f>
        <v>2019</v>
      </c>
      <c r="K253" s="197">
        <f t="shared" si="76"/>
        <v>44069</v>
      </c>
      <c r="L253" s="147">
        <f>IF(t&lt;Tvie,1-EXP((T0-t)*PertePVj)+'2019'!Pspv,1-EXP((T0-t)*PertePVj)+Pspv)</f>
        <v>2.855067952847605E-2</v>
      </c>
      <c r="M253" s="843"/>
      <c r="N253" s="843"/>
      <c r="O253" s="48">
        <f>IF(t&lt;Tnet,'2019'!Resal+('2019'!Salim-'2019'!Resal)*(1-EXP(('2019'!Tnet-t)/('2019'!Tau_j))),Resal+(Salim-Resal)*(1-EXP((Tnet-t)/(Tau_j))))*Salcycl</f>
        <v>0.1004247534889441</v>
      </c>
      <c r="P253" s="169">
        <f>(INDEX(Models!$BJ253:$BT253,,T253)*(1-R253)+INDEX(Models!$BJ253:$BT253,,T253+1)*R253-ERP_i)*Q253*Ramure*Pc/MaxiM</f>
        <v>3.0875277748359841E-3</v>
      </c>
      <c r="Q253" s="305">
        <f t="shared" si="77"/>
        <v>0.8</v>
      </c>
      <c r="R253" s="177">
        <f t="shared" si="78"/>
        <v>0.57684864663287272</v>
      </c>
      <c r="S253" s="809">
        <f t="shared" si="79"/>
        <v>0</v>
      </c>
      <c r="T253" s="176">
        <f t="shared" si="80"/>
        <v>6</v>
      </c>
      <c r="U253" s="251">
        <f t="shared" si="81"/>
        <v>0.57684864663287272</v>
      </c>
      <c r="V253" s="383">
        <f t="shared" si="82"/>
        <v>43.653638072098182</v>
      </c>
      <c r="W253" s="402"/>
      <c r="X253" s="157">
        <f t="shared" si="83"/>
        <v>44069</v>
      </c>
      <c r="Y253" s="385">
        <f t="shared" si="84"/>
        <v>22.990566252382042</v>
      </c>
      <c r="Z253" s="385">
        <f t="shared" si="85"/>
        <v>23.666253882624403</v>
      </c>
      <c r="AA253" s="386">
        <f t="shared" si="86"/>
        <v>26.30825378356333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0.1004247534889441</v>
      </c>
      <c r="AD253" s="231">
        <f>(INDEX(Models!$BJ253:$BT253,,AH253)*(1-AF253)+INDEX(Models!$BJ253:$BT253,,AH253+1)*AF253-ERP_i)*AE253*Ramure*Pc/MaxiM</f>
        <v>1.5850046947605459E-2</v>
      </c>
      <c r="AE253" s="305">
        <f t="shared" si="88"/>
        <v>0.8</v>
      </c>
      <c r="AF253" s="177">
        <f t="shared" si="89"/>
        <v>0.77678222078539383</v>
      </c>
      <c r="AG253" s="809">
        <f t="shared" si="95"/>
        <v>1</v>
      </c>
      <c r="AH253" s="176">
        <f t="shared" si="90"/>
        <v>7</v>
      </c>
      <c r="AI253" s="225">
        <f t="shared" si="91"/>
        <v>1.7767822207853938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6">
        <v>40.048000000000002</v>
      </c>
      <c r="C254" s="390"/>
      <c r="D254" s="393">
        <f t="shared" si="74"/>
        <v>41.225972177156571</v>
      </c>
      <c r="E254" s="385">
        <f t="shared" si="96"/>
        <v>45.83216507293578</v>
      </c>
      <c r="F254" s="385">
        <f t="shared" si="75"/>
        <v>45.966802635765575</v>
      </c>
      <c r="G254" s="110">
        <f t="shared" si="97"/>
        <v>0.92300080183546229</v>
      </c>
      <c r="H254" s="414" t="b">
        <f>Wh_hp&gt;='2019'!Maxi_hp</f>
        <v>1</v>
      </c>
      <c r="I254" s="380">
        <f>IF(H254,Wh_hp,'2019'!Maxi_hp)</f>
        <v>45.966802635765575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2.8573545145147358E-2</v>
      </c>
      <c r="M254" s="843"/>
      <c r="N254" s="843"/>
      <c r="O254" s="48">
        <f>IF(t&lt;Tnet,'2019'!Resal+('2019'!Salim-'2019'!Resal)*(1-EXP(('2019'!Tnet-t)/('2019'!Tau_j))),Resal+(Salim-Resal)*(1-EXP((Tnet-t)/(Tau_j))))*Salcycl</f>
        <v>0.10050131579970231</v>
      </c>
      <c r="P254" s="169">
        <f>(INDEX(Models!$BJ254:$BT254,,T254)*(1-R254)+INDEX(Models!$BJ254:$BT254,,T254+1)*R254-ERP_i)*Q254*Ramure*Pc/MaxiM</f>
        <v>3.2892651585092886E-3</v>
      </c>
      <c r="Q254" s="305">
        <f t="shared" si="77"/>
        <v>0.8</v>
      </c>
      <c r="R254" s="177">
        <f t="shared" si="78"/>
        <v>0.57775614717594448</v>
      </c>
      <c r="S254" s="809">
        <f t="shared" si="79"/>
        <v>0</v>
      </c>
      <c r="T254" s="176">
        <f t="shared" si="80"/>
        <v>6</v>
      </c>
      <c r="U254" s="251">
        <f t="shared" si="81"/>
        <v>0.57775614717594448</v>
      </c>
      <c r="V254" s="383">
        <f t="shared" si="82"/>
        <v>43.373234708814508</v>
      </c>
      <c r="W254" s="402"/>
      <c r="X254" s="157">
        <f t="shared" si="83"/>
        <v>44070</v>
      </c>
      <c r="Y254" s="385">
        <f t="shared" si="84"/>
        <v>39.568031820440694</v>
      </c>
      <c r="Z254" s="385">
        <f t="shared" si="85"/>
        <v>40.731886209906463</v>
      </c>
      <c r="AA254" s="386">
        <f t="shared" si="86"/>
        <v>45.28287470049974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0.10050131579970231</v>
      </c>
      <c r="AD254" s="231">
        <f>(INDEX(Models!$BJ254:$BT254,,AH254)*(1-AF254)+INDEX(Models!$BJ254:$BT254,,AH254+1)*AF254-ERP_i)*AE254*Ramure*Pc/MaxiM</f>
        <v>1.6708712495375665E-2</v>
      </c>
      <c r="AE254" s="305">
        <f t="shared" si="88"/>
        <v>0.8</v>
      </c>
      <c r="AF254" s="177">
        <f t="shared" si="89"/>
        <v>0.7776897213284657</v>
      </c>
      <c r="AG254" s="809">
        <f t="shared" si="95"/>
        <v>1</v>
      </c>
      <c r="AH254" s="176">
        <f t="shared" si="90"/>
        <v>7</v>
      </c>
      <c r="AI254" s="225">
        <f t="shared" si="91"/>
        <v>1.7776897213284657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6">
        <v>8.766</v>
      </c>
      <c r="C255" s="390"/>
      <c r="D255" s="393">
        <f t="shared" si="74"/>
        <v>9.0240555957517579</v>
      </c>
      <c r="E255" s="385">
        <f t="shared" si="96"/>
        <v>10.033164725816366</v>
      </c>
      <c r="F255" s="385">
        <f t="shared" si="75"/>
        <v>10.033164725816366</v>
      </c>
      <c r="G255" s="110">
        <f t="shared" si="97"/>
        <v>0.20273087698985467</v>
      </c>
      <c r="H255" s="414" t="b">
        <f>Wh_hp&gt;='2019'!Maxi_hp</f>
        <v>0</v>
      </c>
      <c r="I255" s="380">
        <f>IF(H255,Wh_hp,'2019'!Maxi_hp)</f>
        <v>46.933299145594731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2.8596410229702426E-2</v>
      </c>
      <c r="M255" s="843"/>
      <c r="N255" s="843"/>
      <c r="O255" s="48">
        <f>IF(t&lt;Tnet,'2019'!Resal+('2019'!Salim-'2019'!Resal)*(1-EXP(('2019'!Tnet-t)/('2019'!Tau_j))),Resal+(Salim-Resal)*(1-EXP((Tnet-t)/(Tau_j))))*Salcycl</f>
        <v>0.10057735097960341</v>
      </c>
      <c r="P255" s="169">
        <f>(INDEX(Models!$BJ255:$BT255,,T255)*(1-R255)+INDEX(Models!$BJ255:$BT255,,T255+1)*R255-ERP_i)*Q255*Ramure*Pc/MaxiM</f>
        <v>3.4942306486842054E-3</v>
      </c>
      <c r="Q255" s="305">
        <f t="shared" si="77"/>
        <v>0.8</v>
      </c>
      <c r="R255" s="177">
        <f t="shared" si="78"/>
        <v>0.57862979481869803</v>
      </c>
      <c r="S255" s="809">
        <f t="shared" si="79"/>
        <v>0</v>
      </c>
      <c r="T255" s="176">
        <f t="shared" si="80"/>
        <v>6</v>
      </c>
      <c r="U255" s="251">
        <f t="shared" si="81"/>
        <v>0.57862979481869803</v>
      </c>
      <c r="V255" s="383">
        <f t="shared" si="82"/>
        <v>43.088500892593586</v>
      </c>
      <c r="W255" s="402"/>
      <c r="X255" s="157">
        <f t="shared" si="83"/>
        <v>44071</v>
      </c>
      <c r="Y255" s="385">
        <f t="shared" si="84"/>
        <v>8.766</v>
      </c>
      <c r="Z255" s="385">
        <f t="shared" si="85"/>
        <v>9.0240555957517579</v>
      </c>
      <c r="AA255" s="386">
        <f t="shared" si="86"/>
        <v>10.033164725816366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0.10057735097960341</v>
      </c>
      <c r="AD255" s="231">
        <f>(INDEX(Models!$BJ255:$BT255,,AH255)*(1-AF255)+INDEX(Models!$BJ255:$BT255,,AH255+1)*AF255-ERP_i)*AE255*Ramure*Pc/MaxiM</f>
        <v>1.7583284962851248E-2</v>
      </c>
      <c r="AE255" s="305">
        <f t="shared" si="88"/>
        <v>0.8</v>
      </c>
      <c r="AF255" s="177">
        <f t="shared" si="89"/>
        <v>0.77856336897121925</v>
      </c>
      <c r="AG255" s="809">
        <f t="shared" si="95"/>
        <v>1</v>
      </c>
      <c r="AH255" s="176">
        <f t="shared" si="90"/>
        <v>7</v>
      </c>
      <c r="AI255" s="225">
        <f t="shared" si="91"/>
        <v>1.7785633689712192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6">
        <v>20.047999999999998</v>
      </c>
      <c r="C256" s="390"/>
      <c r="D256" s="393">
        <f t="shared" si="74"/>
        <v>20.638663584254196</v>
      </c>
      <c r="E256" s="385">
        <f t="shared" si="96"/>
        <v>22.948494800819113</v>
      </c>
      <c r="F256" s="385">
        <f t="shared" si="75"/>
        <v>22.968955912994154</v>
      </c>
      <c r="G256" s="110">
        <f t="shared" si="97"/>
        <v>0.46710017798988862</v>
      </c>
      <c r="H256" s="414" t="b">
        <f>Wh_hp&gt;='2019'!Maxi_hp</f>
        <v>0</v>
      </c>
      <c r="I256" s="380">
        <f>IF(H256,Wh_hp,'2019'!Maxi_hp)</f>
        <v>46.104055688239647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2.8619274782153578E-2</v>
      </c>
      <c r="M256" s="843"/>
      <c r="N256" s="843"/>
      <c r="O256" s="48">
        <f>IF(t&lt;Tnet,'2019'!Resal+('2019'!Salim-'2019'!Resal)*(1-EXP(('2019'!Tnet-t)/('2019'!Tau_j))),Resal+(Salim-Resal)*(1-EXP((Tnet-t)/(Tau_j))))*Salcycl</f>
        <v>0.10065284179258982</v>
      </c>
      <c r="P256" s="169">
        <f>(INDEX(Models!$BJ256:$BT256,,T256)*(1-R256)+INDEX(Models!$BJ256:$BT256,,T256+1)*R256-ERP_i)*Q256*Ramure*Pc/MaxiM</f>
        <v>3.7025120329647419E-3</v>
      </c>
      <c r="Q256" s="305">
        <f t="shared" si="77"/>
        <v>0.8</v>
      </c>
      <c r="R256" s="177">
        <f t="shared" si="78"/>
        <v>0.57947075189210773</v>
      </c>
      <c r="S256" s="809">
        <f t="shared" si="79"/>
        <v>0</v>
      </c>
      <c r="T256" s="176">
        <f t="shared" si="80"/>
        <v>6</v>
      </c>
      <c r="U256" s="251">
        <f t="shared" si="81"/>
        <v>0.57947075189210773</v>
      </c>
      <c r="V256" s="383">
        <f t="shared" si="82"/>
        <v>42.799343266780937</v>
      </c>
      <c r="W256" s="402"/>
      <c r="X256" s="157">
        <f t="shared" si="83"/>
        <v>44072</v>
      </c>
      <c r="Y256" s="385">
        <f t="shared" si="84"/>
        <v>19.976684952962838</v>
      </c>
      <c r="Z256" s="385">
        <f t="shared" si="85"/>
        <v>20.565247419834044</v>
      </c>
      <c r="AA256" s="386">
        <f t="shared" si="86"/>
        <v>22.866862070065299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0.10065284179258982</v>
      </c>
      <c r="AD256" s="231">
        <f>(INDEX(Models!$BJ256:$BT256,,AH256)*(1-AF256)+INDEX(Models!$BJ256:$BT256,,AH256+1)*AF256-ERP_i)*AE256*Ramure*Pc/MaxiM</f>
        <v>1.8474249038955486E-2</v>
      </c>
      <c r="AE256" s="305">
        <f t="shared" si="88"/>
        <v>0.8</v>
      </c>
      <c r="AF256" s="177">
        <f t="shared" si="89"/>
        <v>0.77940432604462906</v>
      </c>
      <c r="AG256" s="809">
        <f t="shared" si="95"/>
        <v>1</v>
      </c>
      <c r="AH256" s="176">
        <f t="shared" si="90"/>
        <v>7</v>
      </c>
      <c r="AI256" s="225">
        <f t="shared" si="91"/>
        <v>1.7794043260446291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6">
        <v>28.963999999999999</v>
      </c>
      <c r="C257" s="390"/>
      <c r="D257" s="393">
        <f t="shared" si="74"/>
        <v>29.818052807328158</v>
      </c>
      <c r="E257" s="385">
        <f t="shared" si="96"/>
        <v>33.157982449459034</v>
      </c>
      <c r="F257" s="385">
        <f t="shared" si="75"/>
        <v>33.228851797458795</v>
      </c>
      <c r="G257" s="110">
        <f t="shared" si="97"/>
        <v>0.68019850454520758</v>
      </c>
      <c r="H257" s="414" t="b">
        <f>Wh_hp&gt;='2019'!Maxi_hp</f>
        <v>0</v>
      </c>
      <c r="I257" s="380">
        <f>IF(H257,Wh_hp,'2019'!Maxi_hp)</f>
        <v>43.965024372892131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2.8642138802513137E-2</v>
      </c>
      <c r="M257" s="843"/>
      <c r="N257" s="843"/>
      <c r="O257" s="48">
        <f>IF(t&lt;Tnet,'2019'!Resal+('2019'!Salim-'2019'!Resal)*(1-EXP(('2019'!Tnet-t)/('2019'!Tau_j))),Resal+(Salim-Resal)*(1-EXP((Tnet-t)/(Tau_j))))*Salcycl</f>
        <v>0.10072777037088285</v>
      </c>
      <c r="P257" s="169">
        <f>(INDEX(Models!$BJ257:$BT257,,T257)*(1-R257)+INDEX(Models!$BJ257:$BT257,,T257+1)*R257-ERP_i)*Q257*Ramure*Pc/MaxiM</f>
        <v>3.9142032818460975E-3</v>
      </c>
      <c r="Q257" s="305">
        <f t="shared" si="77"/>
        <v>0.8</v>
      </c>
      <c r="R257" s="177">
        <f t="shared" si="78"/>
        <v>0.58028014851974796</v>
      </c>
      <c r="S257" s="809">
        <f t="shared" si="79"/>
        <v>0</v>
      </c>
      <c r="T257" s="176">
        <f t="shared" si="80"/>
        <v>6</v>
      </c>
      <c r="U257" s="251">
        <f t="shared" si="81"/>
        <v>0.58028014851974796</v>
      </c>
      <c r="V257" s="383">
        <f t="shared" si="82"/>
        <v>42.505668509348318</v>
      </c>
      <c r="W257" s="402"/>
      <c r="X257" s="157">
        <f t="shared" si="83"/>
        <v>44073</v>
      </c>
      <c r="Y257" s="385">
        <f t="shared" si="84"/>
        <v>28.719365778337561</v>
      </c>
      <c r="Z257" s="385">
        <f t="shared" si="85"/>
        <v>29.566205129520874</v>
      </c>
      <c r="AA257" s="386">
        <f t="shared" si="86"/>
        <v>32.877925232623646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0.10072777037088285</v>
      </c>
      <c r="AD257" s="231">
        <f>(INDEX(Models!$BJ257:$BT257,,AH257)*(1-AF257)+INDEX(Models!$BJ257:$BT257,,AH257+1)*AF257-ERP_i)*AE257*Ramure*Pc/MaxiM</f>
        <v>1.9382115830518611E-2</v>
      </c>
      <c r="AE257" s="305">
        <f t="shared" si="88"/>
        <v>0.8</v>
      </c>
      <c r="AF257" s="177">
        <f t="shared" si="89"/>
        <v>0.78021372267226918</v>
      </c>
      <c r="AG257" s="809">
        <f t="shared" si="95"/>
        <v>1</v>
      </c>
      <c r="AH257" s="176">
        <f t="shared" si="90"/>
        <v>7</v>
      </c>
      <c r="AI257" s="225">
        <f t="shared" si="91"/>
        <v>1.7802137226722692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6">
        <v>38.854999999999997</v>
      </c>
      <c r="C258" s="390"/>
      <c r="D258" s="393">
        <f t="shared" si="74"/>
        <v>40.001647311829089</v>
      </c>
      <c r="E258" s="385">
        <f t="shared" si="96"/>
        <v>44.485922531937952</v>
      </c>
      <c r="F258" s="385">
        <f t="shared" si="75"/>
        <v>44.649377482097002</v>
      </c>
      <c r="G258" s="110">
        <f t="shared" si="97"/>
        <v>0.92014061484088427</v>
      </c>
      <c r="H258" s="414" t="b">
        <f>Wh_hp&gt;='2019'!Maxi_hp</f>
        <v>0</v>
      </c>
      <c r="I258" s="380">
        <f>IF(H258,Wh_hp,'2019'!Maxi_hp)</f>
        <v>47.663426724874789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2.8665002290793537E-2</v>
      </c>
      <c r="M258" s="843"/>
      <c r="N258" s="843"/>
      <c r="O258" s="48">
        <f>IF(t&lt;Tnet,'2019'!Resal+('2019'!Salim-'2019'!Resal)*(1-EXP(('2019'!Tnet-t)/('2019'!Tau_j))),Resal+(Salim-Resal)*(1-EXP((Tnet-t)/(Tau_j))))*Salcycl</f>
        <v>0.10080211817321426</v>
      </c>
      <c r="P258" s="169">
        <f>(INDEX(Models!$BJ258:$BT258,,T258)*(1-R258)+INDEX(Models!$BJ258:$BT258,,T258+1)*R258-ERP_i)*Q258*Ramure*Pc/MaxiM</f>
        <v>4.1294048160524363E-3</v>
      </c>
      <c r="Q258" s="305">
        <f t="shared" si="77"/>
        <v>0.8</v>
      </c>
      <c r="R258" s="177">
        <f t="shared" si="78"/>
        <v>0.58105908289889374</v>
      </c>
      <c r="S258" s="809">
        <f t="shared" si="79"/>
        <v>0</v>
      </c>
      <c r="T258" s="176">
        <f t="shared" si="80"/>
        <v>6</v>
      </c>
      <c r="U258" s="251">
        <f t="shared" si="81"/>
        <v>0.58105908289889374</v>
      </c>
      <c r="V258" s="383">
        <f t="shared" si="82"/>
        <v>42.207383333038855</v>
      </c>
      <c r="W258" s="402"/>
      <c r="X258" s="157">
        <f t="shared" si="83"/>
        <v>44074</v>
      </c>
      <c r="Y258" s="385">
        <f t="shared" si="84"/>
        <v>38.295680084629709</v>
      </c>
      <c r="Z258" s="385">
        <f t="shared" si="85"/>
        <v>39.425821343765151</v>
      </c>
      <c r="AA258" s="386">
        <f t="shared" si="86"/>
        <v>43.845545169288805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0.10080211817321426</v>
      </c>
      <c r="AD258" s="231">
        <f>(INDEX(Models!$BJ258:$BT258,,AH258)*(1-AF258)+INDEX(Models!$BJ258:$BT258,,AH258+1)*AF258-ERP_i)*AE258*Ramure*Pc/MaxiM</f>
        <v>2.030742428160685E-2</v>
      </c>
      <c r="AE258" s="305">
        <f t="shared" si="88"/>
        <v>0.8</v>
      </c>
      <c r="AF258" s="177">
        <f t="shared" si="89"/>
        <v>0.78099265705141496</v>
      </c>
      <c r="AG258" s="809">
        <f t="shared" si="95"/>
        <v>1</v>
      </c>
      <c r="AH258" s="176">
        <f t="shared" si="90"/>
        <v>7</v>
      </c>
      <c r="AI258" s="225">
        <f t="shared" si="91"/>
        <v>1.780992657051415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6">
        <v>41.003999999999998</v>
      </c>
      <c r="C259" s="390"/>
      <c r="D259" s="393">
        <f t="shared" si="74"/>
        <v>42.215059951276551</v>
      </c>
      <c r="E259" s="385">
        <f t="shared" si="96"/>
        <v>46.951314453760901</v>
      </c>
      <c r="F259" s="385">
        <f t="shared" si="75"/>
        <v>47.150040214573764</v>
      </c>
      <c r="G259" s="110">
        <f t="shared" si="97"/>
        <v>0.97838196870074257</v>
      </c>
      <c r="H259" s="414" t="b">
        <f>Wh_hp&gt;='2019'!Maxi_hp</f>
        <v>1</v>
      </c>
      <c r="I259" s="380">
        <f>IF(H259,Wh_hp,'2019'!Maxi_hp)</f>
        <v>47.150040214573764</v>
      </c>
      <c r="J259" s="85">
        <f>IF(H259,An,'2019'!An_max)</f>
        <v>2020</v>
      </c>
      <c r="K259" s="197">
        <f t="shared" si="76"/>
        <v>44075</v>
      </c>
      <c r="L259" s="147">
        <f>IF(t&lt;Tvie,1-EXP((T0-t)*PertePVj)+'2019'!Pspv,1-EXP((T0-t)*PertePVj)+Pspv)</f>
        <v>2.8687865247007213E-2</v>
      </c>
      <c r="M259" s="843"/>
      <c r="N259" s="843"/>
      <c r="O259" s="48">
        <f>IF(t&lt;Tnet,'2019'!Resal+('2019'!Salim-'2019'!Resal)*(1-EXP(('2019'!Tnet-t)/('2019'!Tau_j))),Resal+(Salim-Resal)*(1-EXP((Tnet-t)/(Tau_j))))*Salcycl</f>
        <v>0.10087586593872164</v>
      </c>
      <c r="P259" s="169">
        <f>(INDEX(Models!$BJ259:$BT259,,T259)*(1-R259)+INDEX(Models!$BJ259:$BT259,,T259+1)*R259-ERP_i)*Q259*Ramure*Pc/MaxiM</f>
        <v>4.348223792839891E-3</v>
      </c>
      <c r="Q259" s="305">
        <f t="shared" si="77"/>
        <v>0.8</v>
      </c>
      <c r="R259" s="177">
        <f t="shared" si="78"/>
        <v>0.5818086216359416</v>
      </c>
      <c r="S259" s="809">
        <f t="shared" si="79"/>
        <v>0</v>
      </c>
      <c r="T259" s="176">
        <f t="shared" si="80"/>
        <v>6</v>
      </c>
      <c r="U259" s="251">
        <f t="shared" si="81"/>
        <v>0.5818086216359416</v>
      </c>
      <c r="V259" s="383">
        <f t="shared" si="82"/>
        <v>41.904394500176195</v>
      </c>
      <c r="W259" s="402"/>
      <c r="X259" s="157">
        <f t="shared" si="83"/>
        <v>44075</v>
      </c>
      <c r="Y259" s="385">
        <f t="shared" si="84"/>
        <v>40.329359856447681</v>
      </c>
      <c r="Z259" s="385">
        <f t="shared" si="85"/>
        <v>41.520494199018259</v>
      </c>
      <c r="AA259" s="386">
        <f t="shared" si="86"/>
        <v>46.178822952369444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0.10087586593872164</v>
      </c>
      <c r="AD259" s="231">
        <f>(INDEX(Models!$BJ259:$BT259,,AH259)*(1-AF259)+INDEX(Models!$BJ259:$BT259,,AH259+1)*AF259-ERP_i)*AE259*Ramure*Pc/MaxiM</f>
        <v>2.1250742683081286E-2</v>
      </c>
      <c r="AE259" s="305">
        <f t="shared" si="88"/>
        <v>0.8</v>
      </c>
      <c r="AF259" s="177">
        <f t="shared" si="89"/>
        <v>0.78174219578846271</v>
      </c>
      <c r="AG259" s="809">
        <f t="shared" si="95"/>
        <v>1</v>
      </c>
      <c r="AH259" s="176">
        <f t="shared" si="90"/>
        <v>7</v>
      </c>
      <c r="AI259" s="225">
        <f t="shared" si="91"/>
        <v>1.7817421957884627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6">
        <v>41.557000000000002</v>
      </c>
      <c r="C260" s="390"/>
      <c r="D260" s="393">
        <f t="shared" si="74"/>
        <v>42.785399966747214</v>
      </c>
      <c r="E260" s="385">
        <f t="shared" si="96"/>
        <v>47.589513458055244</v>
      </c>
      <c r="F260" s="385">
        <f t="shared" si="75"/>
        <v>47.807734576766627</v>
      </c>
      <c r="G260" s="110">
        <f t="shared" si="97"/>
        <v>0.99904154705554249</v>
      </c>
      <c r="H260" s="414" t="b">
        <f>Wh_hp&gt;='2019'!Maxi_hp</f>
        <v>0</v>
      </c>
      <c r="I260" s="380">
        <f>IF(H260,Wh_hp,'2019'!Maxi_hp)</f>
        <v>48.613808475226271</v>
      </c>
      <c r="J260" s="85">
        <f>IF(H260,An,'2019'!An_max)</f>
        <v>2019</v>
      </c>
      <c r="K260" s="197">
        <f t="shared" si="76"/>
        <v>44076</v>
      </c>
      <c r="L260" s="147">
        <f>IF(t&lt;Tvie,1-EXP((T0-t)*PertePVj)+'2019'!Pspv,1-EXP((T0-t)*PertePVj)+Pspv)</f>
        <v>2.8710727671166378E-2</v>
      </c>
      <c r="M260" s="843"/>
      <c r="N260" s="843"/>
      <c r="O260" s="48">
        <f>IF(t&lt;Tnet,'2019'!Resal+('2019'!Salim-'2019'!Resal)*(1-EXP(('2019'!Tnet-t)/('2019'!Tau_j))),Resal+(Salim-Resal)*(1-EXP((Tnet-t)/(Tau_j))))*Salcycl</f>
        <v>0.10094899363790114</v>
      </c>
      <c r="P260" s="169">
        <f>(INDEX(Models!$BJ260:$BT260,,T260)*(1-R260)+INDEX(Models!$BJ260:$BT260,,T260+1)*R260-ERP_i)*Q260*Ramure*Pc/MaxiM</f>
        <v>4.5707744163100764E-3</v>
      </c>
      <c r="Q260" s="305">
        <f t="shared" si="77"/>
        <v>0.8</v>
      </c>
      <c r="R260" s="177">
        <f t="shared" si="78"/>
        <v>0.58252980013029221</v>
      </c>
      <c r="S260" s="809">
        <f t="shared" si="79"/>
        <v>0</v>
      </c>
      <c r="T260" s="176">
        <f t="shared" si="80"/>
        <v>6</v>
      </c>
      <c r="U260" s="251">
        <f t="shared" si="81"/>
        <v>0.58252980013029221</v>
      </c>
      <c r="V260" s="383">
        <f t="shared" si="82"/>
        <v>41.596608820813422</v>
      </c>
      <c r="W260" s="402"/>
      <c r="X260" s="157">
        <f t="shared" si="83"/>
        <v>44076</v>
      </c>
      <c r="Y260" s="385">
        <f t="shared" si="84"/>
        <v>40.821495781137287</v>
      </c>
      <c r="Z260" s="385">
        <f t="shared" si="85"/>
        <v>42.028154684814652</v>
      </c>
      <c r="AA260" s="386">
        <f t="shared" si="86"/>
        <v>46.747241688629543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0.10094899363790114</v>
      </c>
      <c r="AD260" s="231">
        <f>(INDEX(Models!$BJ260:$BT260,,AH260)*(1-AF260)+INDEX(Models!$BJ260:$BT260,,AH260+1)*AF260-ERP_i)*AE260*Ramure*Pc/MaxiM</f>
        <v>2.2212670296988101E-2</v>
      </c>
      <c r="AE260" s="305">
        <f t="shared" si="88"/>
        <v>0.8</v>
      </c>
      <c r="AF260" s="177">
        <f t="shared" si="89"/>
        <v>0.78246337428281354</v>
      </c>
      <c r="AG260" s="809">
        <f t="shared" si="95"/>
        <v>1</v>
      </c>
      <c r="AH260" s="176">
        <f t="shared" si="90"/>
        <v>7</v>
      </c>
      <c r="AI260" s="225">
        <f t="shared" si="91"/>
        <v>1.7824633742828135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6">
        <v>40.125</v>
      </c>
      <c r="C261" s="390"/>
      <c r="D261" s="393">
        <f t="shared" si="74"/>
        <v>41.312043296090465</v>
      </c>
      <c r="E261" s="385">
        <f t="shared" si="96"/>
        <v>45.954427604663934</v>
      </c>
      <c r="F261" s="385">
        <f t="shared" si="75"/>
        <v>46.167019545543816</v>
      </c>
      <c r="G261" s="110">
        <f t="shared" si="97"/>
        <v>0.97174410957750756</v>
      </c>
      <c r="H261" s="414" t="b">
        <f>Wh_hp&gt;='2019'!Maxi_hp</f>
        <v>0</v>
      </c>
      <c r="I261" s="380">
        <f>IF(H261,Wh_hp,'2019'!Maxi_hp)</f>
        <v>47.996366652785198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2.8733589563283687E-2</v>
      </c>
      <c r="M261" s="843"/>
      <c r="N261" s="843"/>
      <c r="O261" s="48">
        <f>IF(t&lt;Tnet,'2019'!Resal+('2019'!Salim-'2019'!Resal)*(1-EXP(('2019'!Tnet-t)/('2019'!Tau_j))),Resal+(Salim-Resal)*(1-EXP((Tnet-t)/(Tau_j))))*Salcycl</f>
        <v>0.10102148042210217</v>
      </c>
      <c r="P261" s="169">
        <f>(INDEX(Models!$BJ261:$BT261,,T261)*(1-R261)+INDEX(Models!$BJ261:$BT261,,T261+1)*R261-ERP_i)*Q261*Ramure*Pc/MaxiM</f>
        <v>4.7971988358294394E-3</v>
      </c>
      <c r="Q261" s="305">
        <f t="shared" si="77"/>
        <v>0.8</v>
      </c>
      <c r="R261" s="177">
        <f t="shared" si="78"/>
        <v>0.58322362300120933</v>
      </c>
      <c r="S261" s="809">
        <f t="shared" si="79"/>
        <v>0</v>
      </c>
      <c r="T261" s="176">
        <f t="shared" si="80"/>
        <v>6</v>
      </c>
      <c r="U261" s="251">
        <f t="shared" si="81"/>
        <v>0.58322362300120933</v>
      </c>
      <c r="V261" s="383">
        <f t="shared" si="82"/>
        <v>41.283755339257759</v>
      </c>
      <c r="W261" s="402"/>
      <c r="X261" s="157">
        <f t="shared" si="83"/>
        <v>44077</v>
      </c>
      <c r="Y261" s="385">
        <f t="shared" si="84"/>
        <v>39.413151417193873</v>
      </c>
      <c r="Z261" s="385">
        <f t="shared" si="85"/>
        <v>40.579135645669346</v>
      </c>
      <c r="AA261" s="386">
        <f t="shared" si="86"/>
        <v>45.139160460388624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0.10102148042210217</v>
      </c>
      <c r="AD261" s="231">
        <f>(INDEX(Models!$BJ261:$BT261,,AH261)*(1-AF261)+INDEX(Models!$BJ261:$BT261,,AH261+1)*AF261-ERP_i)*AE261*Ramure*Pc/MaxiM</f>
        <v>2.3193938520412512E-2</v>
      </c>
      <c r="AE261" s="305">
        <f t="shared" si="88"/>
        <v>0.8</v>
      </c>
      <c r="AF261" s="177">
        <f t="shared" si="89"/>
        <v>0.78315719715373056</v>
      </c>
      <c r="AG261" s="809">
        <f t="shared" si="95"/>
        <v>1</v>
      </c>
      <c r="AH261" s="176">
        <f t="shared" si="90"/>
        <v>7</v>
      </c>
      <c r="AI261" s="225">
        <f t="shared" si="91"/>
        <v>1.7831571971537306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6">
        <v>39.463000000000001</v>
      </c>
      <c r="C262" s="390"/>
      <c r="D262" s="393">
        <f t="shared" si="74"/>
        <v>40.631415300022205</v>
      </c>
      <c r="E262" s="385">
        <f t="shared" si="96"/>
        <v>45.200926310518483</v>
      </c>
      <c r="F262" s="385">
        <f t="shared" si="75"/>
        <v>45.417444264252914</v>
      </c>
      <c r="G262" s="110">
        <f t="shared" si="97"/>
        <v>0.96306475515626455</v>
      </c>
      <c r="H262" s="414" t="b">
        <f>Wh_hp&gt;='2019'!Maxi_hp</f>
        <v>1</v>
      </c>
      <c r="I262" s="380">
        <f>IF(H262,Wh_hp,'2019'!Maxi_hp)</f>
        <v>45.417444264252914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2.8756450923371243E-2</v>
      </c>
      <c r="M262" s="843"/>
      <c r="N262" s="843"/>
      <c r="O262" s="48">
        <f>IF(t&lt;Tnet,'2019'!Resal+('2019'!Salim-'2019'!Resal)*(1-EXP(('2019'!Tnet-t)/('2019'!Tau_j))),Resal+(Salim-Resal)*(1-EXP((Tnet-t)/(Tau_j))))*Salcycl</f>
        <v>0.1010933045731174</v>
      </c>
      <c r="P262" s="169">
        <f>(INDEX(Models!$BJ262:$BT262,,T262)*(1-R262)+INDEX(Models!$BJ262:$BT262,,T262+1)*R262-ERP_i)*Q262*Ramure*Pc/MaxiM</f>
        <v>5.0309062116706852E-3</v>
      </c>
      <c r="Q262" s="305">
        <f t="shared" si="77"/>
        <v>0.8</v>
      </c>
      <c r="R262" s="177">
        <f t="shared" si="78"/>
        <v>0.58389106455253559</v>
      </c>
      <c r="S262" s="809">
        <f t="shared" si="79"/>
        <v>0</v>
      </c>
      <c r="T262" s="176">
        <f t="shared" si="80"/>
        <v>6</v>
      </c>
      <c r="U262" s="251">
        <f t="shared" si="81"/>
        <v>0.58389106455253559</v>
      </c>
      <c r="V262" s="383">
        <f t="shared" si="82"/>
        <v>40.96562221608427</v>
      </c>
      <c r="W262" s="402"/>
      <c r="X262" s="157">
        <f t="shared" si="83"/>
        <v>44078</v>
      </c>
      <c r="Y262" s="385">
        <f t="shared" si="84"/>
        <v>38.74337213287815</v>
      </c>
      <c r="Z262" s="385">
        <f t="shared" si="85"/>
        <v>39.890480785907791</v>
      </c>
      <c r="AA262" s="386">
        <f t="shared" si="86"/>
        <v>44.376664440088703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0.1010933045731174</v>
      </c>
      <c r="AD262" s="231">
        <f>(INDEX(Models!$BJ262:$BT262,,AH262)*(1-AF262)+INDEX(Models!$BJ262:$BT262,,AH262+1)*AF262-ERP_i)*AE262*Ramure*Pc/MaxiM</f>
        <v>2.4183055455952958E-2</v>
      </c>
      <c r="AE262" s="305">
        <f t="shared" si="88"/>
        <v>0.8</v>
      </c>
      <c r="AF262" s="177">
        <f t="shared" si="89"/>
        <v>0.78382463870505692</v>
      </c>
      <c r="AG262" s="809">
        <f t="shared" si="95"/>
        <v>1</v>
      </c>
      <c r="AH262" s="176">
        <f t="shared" si="90"/>
        <v>7</v>
      </c>
      <c r="AI262" s="225">
        <f t="shared" si="91"/>
        <v>1.7838246387050569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6">
        <v>37.704999999999998</v>
      </c>
      <c r="C263" s="390"/>
      <c r="D263" s="393">
        <f t="shared" si="74"/>
        <v>38.822278454544609</v>
      </c>
      <c r="E263" s="385">
        <f t="shared" si="96"/>
        <v>43.191747558084394</v>
      </c>
      <c r="F263" s="385">
        <f t="shared" si="75"/>
        <v>43.396840723908724</v>
      </c>
      <c r="G263" s="110">
        <f t="shared" si="97"/>
        <v>0.92721653574263641</v>
      </c>
      <c r="H263" s="414" t="b">
        <f>Wh_hp&gt;='2019'!Maxi_hp</f>
        <v>0</v>
      </c>
      <c r="I263" s="380">
        <f>IF(H263,Wh_hp,'2019'!Maxi_hp)</f>
        <v>48.931389708757251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2.8779311751441591E-2</v>
      </c>
      <c r="M263" s="843"/>
      <c r="N263" s="843"/>
      <c r="O263" s="48">
        <f>IF(t&lt;Tnet,'2019'!Resal+('2019'!Salim-'2019'!Resal)*(1-EXP(('2019'!Tnet-t)/('2019'!Tau_j))),Resal+(Salim-Resal)*(1-EXP((Tnet-t)/(Tau_j))))*Salcycl</f>
        <v>0.10116444345447495</v>
      </c>
      <c r="P263" s="169">
        <f>(INDEX(Models!$BJ263:$BT263,,T263)*(1-R263)+INDEX(Models!$BJ263:$BT263,,T263+1)*R263-ERP_i)*Q263*Ramure*Pc/MaxiM</f>
        <v>5.2701448318119857E-3</v>
      </c>
      <c r="Q263" s="305">
        <f t="shared" si="77"/>
        <v>0.8</v>
      </c>
      <c r="R263" s="177">
        <f t="shared" si="78"/>
        <v>0.58453306927049353</v>
      </c>
      <c r="S263" s="809">
        <f t="shared" si="79"/>
        <v>0</v>
      </c>
      <c r="T263" s="176">
        <f t="shared" si="80"/>
        <v>6</v>
      </c>
      <c r="U263" s="251">
        <f t="shared" si="81"/>
        <v>0.58453306927049353</v>
      </c>
      <c r="V263" s="383">
        <f t="shared" si="82"/>
        <v>40.642486278043172</v>
      </c>
      <c r="W263" s="402"/>
      <c r="X263" s="157">
        <f t="shared" si="83"/>
        <v>44079</v>
      </c>
      <c r="Y263" s="385">
        <f t="shared" si="84"/>
        <v>37.029125587194635</v>
      </c>
      <c r="Z263" s="385">
        <f t="shared" si="85"/>
        <v>38.126376461328014</v>
      </c>
      <c r="AA263" s="386">
        <f t="shared" si="86"/>
        <v>42.417521407206323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0.10116444345447495</v>
      </c>
      <c r="AD263" s="231">
        <f>(INDEX(Models!$BJ263:$BT263,,AH263)*(1-AF263)+INDEX(Models!$BJ263:$BT263,,AH263+1)*AF263-ERP_i)*AE263*Ramure*Pc/MaxiM</f>
        <v>2.5164927436116907E-2</v>
      </c>
      <c r="AE263" s="305">
        <f t="shared" si="88"/>
        <v>0.8</v>
      </c>
      <c r="AF263" s="177">
        <f t="shared" si="89"/>
        <v>0.78446664342301475</v>
      </c>
      <c r="AG263" s="809">
        <f t="shared" si="95"/>
        <v>1</v>
      </c>
      <c r="AH263" s="176">
        <f t="shared" si="90"/>
        <v>7</v>
      </c>
      <c r="AI263" s="225">
        <f t="shared" si="91"/>
        <v>1.7844666434230148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6">
        <v>26.155999999999999</v>
      </c>
      <c r="C264" s="390"/>
      <c r="D264" s="393">
        <f t="shared" si="74"/>
        <v>26.931691203575721</v>
      </c>
      <c r="E264" s="385">
        <f t="shared" si="96"/>
        <v>29.965216059770015</v>
      </c>
      <c r="F264" s="385">
        <f t="shared" si="75"/>
        <v>30.047789092644376</v>
      </c>
      <c r="G264" s="110">
        <f t="shared" si="97"/>
        <v>0.64699791936503037</v>
      </c>
      <c r="H264" s="414" t="b">
        <f>Wh_hp&gt;='2019'!Maxi_hp</f>
        <v>0</v>
      </c>
      <c r="I264" s="380">
        <f>IF(H264,Wh_hp,'2019'!Maxi_hp)</f>
        <v>44.353228487080955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2.8802172047507166E-2</v>
      </c>
      <c r="M264" s="843"/>
      <c r="N264" s="843"/>
      <c r="O264" s="48">
        <f>IF(t&lt;Tnet,'2019'!Resal+('2019'!Salim-'2019'!Resal)*(1-EXP(('2019'!Tnet-t)/('2019'!Tau_j))),Resal+(Salim-Resal)*(1-EXP((Tnet-t)/(Tau_j))))*Salcycl</f>
        <v>0.10123487346607095</v>
      </c>
      <c r="P264" s="169">
        <f>(INDEX(Models!$BJ264:$BT264,,T264)*(1-R264)+INDEX(Models!$BJ264:$BT264,,T264+1)*R264-ERP_i)*Q264*Ramure*Pc/MaxiM</f>
        <v>5.5150525970435989E-3</v>
      </c>
      <c r="Q264" s="305">
        <f t="shared" si="77"/>
        <v>0.8</v>
      </c>
      <c r="R264" s="177">
        <f t="shared" si="78"/>
        <v>0.58515055235013869</v>
      </c>
      <c r="S264" s="809">
        <f t="shared" si="79"/>
        <v>0</v>
      </c>
      <c r="T264" s="176">
        <f t="shared" si="80"/>
        <v>6</v>
      </c>
      <c r="U264" s="251">
        <f t="shared" si="81"/>
        <v>0.58515055235013869</v>
      </c>
      <c r="V264" s="383">
        <f t="shared" si="82"/>
        <v>40.314545447654069</v>
      </c>
      <c r="W264" s="402"/>
      <c r="X264" s="157">
        <f t="shared" si="83"/>
        <v>44080</v>
      </c>
      <c r="Y264" s="385">
        <f t="shared" si="84"/>
        <v>25.886459538907573</v>
      </c>
      <c r="Z264" s="385">
        <f t="shared" si="85"/>
        <v>26.654157159187793</v>
      </c>
      <c r="AA264" s="386">
        <f t="shared" si="86"/>
        <v>29.656421207595198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0.10123487346607095</v>
      </c>
      <c r="AD264" s="231">
        <f>(INDEX(Models!$BJ264:$BT264,,AH264)*(1-AF264)+INDEX(Models!$BJ264:$BT264,,AH264+1)*AF264-ERP_i)*AE264*Ramure*Pc/MaxiM</f>
        <v>2.6139459769197772E-2</v>
      </c>
      <c r="AE264" s="305">
        <f t="shared" si="88"/>
        <v>0.8</v>
      </c>
      <c r="AF264" s="177">
        <f t="shared" si="89"/>
        <v>0.7850841265026598</v>
      </c>
      <c r="AG264" s="809">
        <f t="shared" si="95"/>
        <v>1</v>
      </c>
      <c r="AH264" s="176">
        <f t="shared" si="90"/>
        <v>7</v>
      </c>
      <c r="AI264" s="225">
        <f t="shared" si="91"/>
        <v>1.7850841265026598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6">
        <v>35.622</v>
      </c>
      <c r="C265" s="390"/>
      <c r="D265" s="393">
        <f t="shared" si="74"/>
        <v>36.679281454759341</v>
      </c>
      <c r="E265" s="385">
        <f t="shared" si="96"/>
        <v>40.813917853030723</v>
      </c>
      <c r="F265" s="385">
        <f t="shared" si="75"/>
        <v>41.013553492829914</v>
      </c>
      <c r="G265" s="110">
        <f t="shared" si="97"/>
        <v>0.89014679950184972</v>
      </c>
      <c r="H265" s="414" t="b">
        <f>Wh_hp&gt;='2019'!Maxi_hp</f>
        <v>0</v>
      </c>
      <c r="I265" s="380">
        <f>IF(H265,Wh_hp,'2019'!Maxi_hp)</f>
        <v>42.753480627950061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2.8825031811580179E-2</v>
      </c>
      <c r="M265" s="843"/>
      <c r="N265" s="843"/>
      <c r="O265" s="48">
        <f>IF(t&lt;Tnet,'2019'!Resal+('2019'!Salim-'2019'!Resal)*(1-EXP(('2019'!Tnet-t)/('2019'!Tau_j))),Resal+(Salim-Resal)*(1-EXP((Tnet-t)/(Tau_j))))*Salcycl</f>
        <v>0.10130457000379237</v>
      </c>
      <c r="P265" s="169">
        <f>(INDEX(Models!$BJ265:$BT265,,T265)*(1-R265)+INDEX(Models!$BJ265:$BT265,,T265+1)*R265-ERP_i)*Q265*Ramure*Pc/MaxiM</f>
        <v>5.7657692714287853E-3</v>
      </c>
      <c r="Q265" s="305">
        <f t="shared" si="77"/>
        <v>0.8</v>
      </c>
      <c r="R265" s="177">
        <f t="shared" si="78"/>
        <v>0.58574440024635366</v>
      </c>
      <c r="S265" s="809">
        <f t="shared" si="79"/>
        <v>0</v>
      </c>
      <c r="T265" s="176">
        <f t="shared" si="80"/>
        <v>6</v>
      </c>
      <c r="U265" s="251">
        <f t="shared" si="81"/>
        <v>0.58574440024635366</v>
      </c>
      <c r="V265" s="383">
        <f t="shared" si="82"/>
        <v>39.981997632043701</v>
      </c>
      <c r="W265" s="402"/>
      <c r="X265" s="157">
        <f t="shared" si="83"/>
        <v>44081</v>
      </c>
      <c r="Y265" s="385">
        <f t="shared" si="84"/>
        <v>34.977087446180057</v>
      </c>
      <c r="Z265" s="385">
        <f t="shared" si="85"/>
        <v>36.015227525298073</v>
      </c>
      <c r="AA265" s="386">
        <f t="shared" si="86"/>
        <v>40.07500908895247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0.10130457000379237</v>
      </c>
      <c r="AD265" s="231">
        <f>(INDEX(Models!$BJ265:$BT265,,AH265)*(1-AF265)+INDEX(Models!$BJ265:$BT265,,AH265+1)*AF265-ERP_i)*AE265*Ramure*Pc/MaxiM</f>
        <v>2.7106535131658869E-2</v>
      </c>
      <c r="AE265" s="305">
        <f t="shared" si="88"/>
        <v>0.8</v>
      </c>
      <c r="AF265" s="177">
        <f t="shared" si="89"/>
        <v>0.78567797439887488</v>
      </c>
      <c r="AG265" s="809">
        <f t="shared" si="95"/>
        <v>1</v>
      </c>
      <c r="AH265" s="176">
        <f t="shared" si="90"/>
        <v>7</v>
      </c>
      <c r="AI265" s="225">
        <f t="shared" si="91"/>
        <v>1.7856779743988749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6">
        <v>37.651000000000003</v>
      </c>
      <c r="C266" s="390"/>
      <c r="D266" s="393">
        <f t="shared" si="74"/>
        <v>38.769415885285568</v>
      </c>
      <c r="E266" s="385">
        <f t="shared" si="96"/>
        <v>43.142970083405437</v>
      </c>
      <c r="F266" s="385">
        <f t="shared" si="75"/>
        <v>43.385482084784094</v>
      </c>
      <c r="G266" s="110">
        <f t="shared" si="97"/>
        <v>0.9492893668766319</v>
      </c>
      <c r="H266" s="414" t="b">
        <f>Wh_hp&gt;='2019'!Maxi_hp</f>
        <v>1</v>
      </c>
      <c r="I266" s="380">
        <f>IF(H266,Wh_hp,'2019'!Maxi_hp)</f>
        <v>43.385482084784094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2.8847891043673066E-2</v>
      </c>
      <c r="M266" s="843"/>
      <c r="N266" s="843"/>
      <c r="O266" s="48">
        <f>IF(t&lt;Tnet,'2019'!Resal+('2019'!Salim-'2019'!Resal)*(1-EXP(('2019'!Tnet-t)/('2019'!Tau_j))),Resal+(Salim-Resal)*(1-EXP((Tnet-t)/(Tau_j))))*Salcycl</f>
        <v>0.10137350742576989</v>
      </c>
      <c r="P266" s="169">
        <f>(INDEX(Models!$BJ266:$BT266,,T266)*(1-R266)+INDEX(Models!$BJ266:$BT266,,T266+1)*R266-ERP_i)*Q266*Ramure*Pc/MaxiM</f>
        <v>6.022436285268805E-3</v>
      </c>
      <c r="Q266" s="305">
        <f t="shared" si="77"/>
        <v>0.8</v>
      </c>
      <c r="R266" s="177">
        <f t="shared" si="78"/>
        <v>0.58631547124557992</v>
      </c>
      <c r="S266" s="809">
        <f t="shared" si="79"/>
        <v>0</v>
      </c>
      <c r="T266" s="176">
        <f t="shared" si="80"/>
        <v>6</v>
      </c>
      <c r="U266" s="251">
        <f t="shared" si="81"/>
        <v>0.58631547124557992</v>
      </c>
      <c r="V266" s="383">
        <f t="shared" si="82"/>
        <v>39.645040727130116</v>
      </c>
      <c r="W266" s="402"/>
      <c r="X266" s="157">
        <f t="shared" si="83"/>
        <v>44082</v>
      </c>
      <c r="Y266" s="385">
        <f t="shared" si="84"/>
        <v>36.876342818850773</v>
      </c>
      <c r="Z266" s="385">
        <f t="shared" si="85"/>
        <v>37.971747658027397</v>
      </c>
      <c r="AA266" s="386">
        <f t="shared" si="86"/>
        <v>42.255317389155181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0.10137350742576989</v>
      </c>
      <c r="AD266" s="231">
        <f>(INDEX(Models!$BJ266:$BT266,,AH266)*(1-AF266)+INDEX(Models!$BJ266:$BT266,,AH266+1)*AF266-ERP_i)*AE266*Ramure*Pc/MaxiM</f>
        <v>2.8066012537902592E-2</v>
      </c>
      <c r="AE266" s="305">
        <f t="shared" si="88"/>
        <v>0.8</v>
      </c>
      <c r="AF266" s="177">
        <f t="shared" si="89"/>
        <v>0.78624904539810103</v>
      </c>
      <c r="AG266" s="809">
        <f t="shared" si="95"/>
        <v>1</v>
      </c>
      <c r="AH266" s="176">
        <f t="shared" si="90"/>
        <v>7</v>
      </c>
      <c r="AI266" s="225">
        <f t="shared" si="91"/>
        <v>1.786249045398101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6">
        <v>22.757999999999999</v>
      </c>
      <c r="C267" s="390"/>
      <c r="D267" s="393">
        <f t="shared" si="74"/>
        <v>23.434573713021226</v>
      </c>
      <c r="E267" s="385">
        <f t="shared" si="96"/>
        <v>26.080191618545157</v>
      </c>
      <c r="F267" s="385">
        <f t="shared" si="75"/>
        <v>26.145695511797918</v>
      </c>
      <c r="G267" s="110">
        <f t="shared" si="97"/>
        <v>0.57683277726170745</v>
      </c>
      <c r="H267" s="414" t="b">
        <f>Wh_hp&gt;='2019'!Maxi_hp</f>
        <v>0</v>
      </c>
      <c r="I267" s="380">
        <f>IF(H267,Wh_hp,'2019'!Maxi_hp)</f>
        <v>37.297162999432224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2.887074974379826E-2</v>
      </c>
      <c r="M267" s="843"/>
      <c r="N267" s="843"/>
      <c r="O267" s="48">
        <f>IF(t&lt;Tnet,'2019'!Resal+('2019'!Salim-'2019'!Resal)*(1-EXP(('2019'!Tnet-t)/('2019'!Tau_j))),Resal+(Salim-Resal)*(1-EXP((Tnet-t)/(Tau_j))))*Salcycl</f>
        <v>0.10144165902687154</v>
      </c>
      <c r="P267" s="169">
        <f>(INDEX(Models!$BJ267:$BT267,,T267)*(1-R267)+INDEX(Models!$BJ267:$BT267,,T267+1)*R267-ERP_i)*Q267*Ramure*Pc/MaxiM</f>
        <v>6.2851965158528282E-3</v>
      </c>
      <c r="Q267" s="305">
        <f t="shared" si="77"/>
        <v>0.8</v>
      </c>
      <c r="R267" s="177">
        <f t="shared" si="78"/>
        <v>0.5868645960547777</v>
      </c>
      <c r="S267" s="809">
        <f t="shared" si="79"/>
        <v>0</v>
      </c>
      <c r="T267" s="176">
        <f t="shared" si="80"/>
        <v>6</v>
      </c>
      <c r="U267" s="251">
        <f t="shared" si="81"/>
        <v>0.5868645960547777</v>
      </c>
      <c r="V267" s="383">
        <f t="shared" si="82"/>
        <v>39.303872621707747</v>
      </c>
      <c r="W267" s="402"/>
      <c r="X267" s="157">
        <f t="shared" si="83"/>
        <v>44083</v>
      </c>
      <c r="Y267" s="385">
        <f t="shared" si="84"/>
        <v>22.551262464030369</v>
      </c>
      <c r="Z267" s="385">
        <f t="shared" si="85"/>
        <v>23.221690066570368</v>
      </c>
      <c r="AA267" s="386">
        <f t="shared" si="86"/>
        <v>25.843274729853981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0.10144165902687154</v>
      </c>
      <c r="AD267" s="231">
        <f>(INDEX(Models!$BJ267:$BT267,,AH267)*(1-AF267)+INDEX(Models!$BJ267:$BT267,,AH267+1)*AF267-ERP_i)*AE267*Ramure*Pc/MaxiM</f>
        <v>2.9017726284771894E-2</v>
      </c>
      <c r="AE267" s="305">
        <f t="shared" si="88"/>
        <v>0.8</v>
      </c>
      <c r="AF267" s="177">
        <f t="shared" si="89"/>
        <v>0.78679817020729903</v>
      </c>
      <c r="AG267" s="809">
        <f t="shared" si="95"/>
        <v>1</v>
      </c>
      <c r="AH267" s="176">
        <f t="shared" si="90"/>
        <v>7</v>
      </c>
      <c r="AI267" s="225">
        <f t="shared" si="91"/>
        <v>1.786798170207299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6">
        <v>31.827000000000002</v>
      </c>
      <c r="C268" s="390"/>
      <c r="D268" s="393">
        <f t="shared" si="74"/>
        <v>32.773957888967168</v>
      </c>
      <c r="E268" s="385">
        <f t="shared" si="96"/>
        <v>36.476667857970654</v>
      </c>
      <c r="F268" s="385">
        <f t="shared" si="75"/>
        <v>36.653959598659554</v>
      </c>
      <c r="G268" s="110">
        <f t="shared" si="97"/>
        <v>0.8155324838983995</v>
      </c>
      <c r="H268" s="414" t="b">
        <f>Wh_hp&gt;='2019'!Maxi_hp</f>
        <v>0</v>
      </c>
      <c r="I268" s="380">
        <f>IF(H268,Wh_hp,'2019'!Maxi_hp)</f>
        <v>43.805127981597593</v>
      </c>
      <c r="J268" s="85">
        <f>IF(H268,An,'2019'!An_max)</f>
        <v>2019</v>
      </c>
      <c r="K268" s="197">
        <f t="shared" si="76"/>
        <v>44084</v>
      </c>
      <c r="L268" s="147">
        <f>IF(t&lt;Tvie,1-EXP((T0-t)*PertePVj)+'2019'!Pspv,1-EXP((T0-t)*PertePVj)+Pspv)</f>
        <v>2.8893607911968086E-2</v>
      </c>
      <c r="M268" s="843"/>
      <c r="N268" s="843"/>
      <c r="O268" s="48">
        <f>IF(t&lt;Tnet,'2019'!Resal+('2019'!Salim-'2019'!Resal)*(1-EXP(('2019'!Tnet-t)/('2019'!Tau_j))),Resal+(Salim-Resal)*(1-EXP((Tnet-t)/(Tau_j))))*Salcycl</f>
        <v>0.10150899702299411</v>
      </c>
      <c r="P268" s="169">
        <f>(INDEX(Models!$BJ268:$BT268,,T268)*(1-R268)+INDEX(Models!$BJ268:$BT268,,T268+1)*R268-ERP_i)*Q268*Ramure*Pc/MaxiM</f>
        <v>6.5497796046283356E-3</v>
      </c>
      <c r="Q268" s="305">
        <f t="shared" si="77"/>
        <v>0.8</v>
      </c>
      <c r="R268" s="177">
        <f t="shared" si="78"/>
        <v>0.58739257840438175</v>
      </c>
      <c r="S268" s="809">
        <f t="shared" si="79"/>
        <v>0</v>
      </c>
      <c r="T268" s="176">
        <f t="shared" si="80"/>
        <v>6</v>
      </c>
      <c r="U268" s="251">
        <f t="shared" si="81"/>
        <v>0.58739257840438175</v>
      </c>
      <c r="V268" s="383">
        <f t="shared" si="82"/>
        <v>38.958864320168658</v>
      </c>
      <c r="W268" s="402"/>
      <c r="X268" s="157">
        <f t="shared" si="83"/>
        <v>44084</v>
      </c>
      <c r="Y268" s="385">
        <f t="shared" si="84"/>
        <v>31.274840220009068</v>
      </c>
      <c r="Z268" s="385">
        <f t="shared" si="85"/>
        <v>32.205369540162565</v>
      </c>
      <c r="AA268" s="386">
        <f t="shared" si="86"/>
        <v>35.843841990020195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0.10150899702299411</v>
      </c>
      <c r="AD268" s="231">
        <f>(INDEX(Models!$BJ268:$BT268,,AH268)*(1-AF268)+INDEX(Models!$BJ268:$BT268,,AH268+1)*AF268-ERP_i)*AE268*Ramure*Pc/MaxiM</f>
        <v>2.9928589847437039E-2</v>
      </c>
      <c r="AE268" s="305">
        <f t="shared" si="88"/>
        <v>0.8</v>
      </c>
      <c r="AF268" s="177">
        <f t="shared" si="89"/>
        <v>0.78732615255690286</v>
      </c>
      <c r="AG268" s="809">
        <f t="shared" si="95"/>
        <v>1</v>
      </c>
      <c r="AH268" s="176">
        <f t="shared" si="90"/>
        <v>7</v>
      </c>
      <c r="AI268" s="225">
        <f t="shared" si="91"/>
        <v>1.7873261525569029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6">
        <v>35.56</v>
      </c>
      <c r="C269" s="390"/>
      <c r="D269" s="393">
        <f t="shared" si="74"/>
        <v>36.618888837482231</v>
      </c>
      <c r="E269" s="385">
        <f t="shared" si="96"/>
        <v>40.759004828664708</v>
      </c>
      <c r="F269" s="385">
        <f t="shared" si="75"/>
        <v>41.007032766079938</v>
      </c>
      <c r="G269" s="110">
        <f t="shared" si="97"/>
        <v>0.92028838531512336</v>
      </c>
      <c r="H269" s="414" t="b">
        <f>Wh_hp&gt;='2019'!Maxi_hp</f>
        <v>0</v>
      </c>
      <c r="I269" s="380">
        <f>IF(H269,Wh_hp,'2019'!Maxi_hp)</f>
        <v>44.561569210056845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2.8916465548194867E-2</v>
      </c>
      <c r="M269" s="843"/>
      <c r="N269" s="843"/>
      <c r="O269" s="48">
        <f>IF(t&lt;Tnet,'2019'!Resal+('2019'!Salim-'2019'!Resal)*(1-EXP(('2019'!Tnet-t)/('2019'!Tau_j))),Resal+(Salim-Resal)*(1-EXP((Tnet-t)/(Tau_j))))*Salcycl</f>
        <v>0.1015754925466395</v>
      </c>
      <c r="P269" s="169">
        <f>(INDEX(Models!$BJ269:$BT269,,T269)*(1-R269)+INDEX(Models!$BJ269:$BT269,,T269+1)*R269-ERP_i)*Q269*Ramure*Pc/MaxiM</f>
        <v>6.8178549330199451E-3</v>
      </c>
      <c r="Q269" s="305">
        <f t="shared" si="77"/>
        <v>0.8</v>
      </c>
      <c r="R269" s="177">
        <f t="shared" si="78"/>
        <v>0.58790019566228613</v>
      </c>
      <c r="S269" s="809">
        <f t="shared" si="79"/>
        <v>0</v>
      </c>
      <c r="T269" s="176">
        <f t="shared" si="80"/>
        <v>6</v>
      </c>
      <c r="U269" s="251">
        <f t="shared" si="81"/>
        <v>0.58790019566228613</v>
      </c>
      <c r="V269" s="383">
        <f t="shared" si="82"/>
        <v>38.610149948022169</v>
      </c>
      <c r="W269" s="402"/>
      <c r="X269" s="157">
        <f t="shared" si="83"/>
        <v>44085</v>
      </c>
      <c r="Y269" s="385">
        <f t="shared" si="84"/>
        <v>34.798557024716914</v>
      </c>
      <c r="Z269" s="385">
        <f t="shared" si="85"/>
        <v>35.834771973928433</v>
      </c>
      <c r="AA269" s="386">
        <f t="shared" si="86"/>
        <v>39.886236046147374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0.1015754925466395</v>
      </c>
      <c r="AD269" s="231">
        <f>(INDEX(Models!$BJ269:$BT269,,AH269)*(1-AF269)+INDEX(Models!$BJ269:$BT269,,AH269+1)*AF269-ERP_i)*AE269*Ramure*Pc/MaxiM</f>
        <v>3.0808744875832513E-2</v>
      </c>
      <c r="AE269" s="305">
        <f t="shared" si="88"/>
        <v>0.8</v>
      </c>
      <c r="AF269" s="177">
        <f t="shared" si="89"/>
        <v>0.78783376981480746</v>
      </c>
      <c r="AG269" s="809">
        <f t="shared" si="95"/>
        <v>1</v>
      </c>
      <c r="AH269" s="176">
        <f t="shared" si="90"/>
        <v>7</v>
      </c>
      <c r="AI269" s="225">
        <f t="shared" si="91"/>
        <v>1.7878337698148075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6">
        <v>35.816000000000003</v>
      </c>
      <c r="C270" s="390"/>
      <c r="D270" s="393">
        <f t="shared" si="74"/>
        <v>36.883380035357668</v>
      </c>
      <c r="E270" s="385">
        <f t="shared" si="96"/>
        <v>41.056398147892217</v>
      </c>
      <c r="F270" s="385">
        <f t="shared" si="75"/>
        <v>41.322642207532596</v>
      </c>
      <c r="G270" s="110">
        <f t="shared" si="97"/>
        <v>0.93556289084557087</v>
      </c>
      <c r="H270" s="414" t="b">
        <f>Wh_hp&gt;='2019'!Maxi_hp</f>
        <v>1</v>
      </c>
      <c r="I270" s="380">
        <f>IF(H270,Wh_hp,'2019'!Maxi_hp)</f>
        <v>41.322642207532596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2.8939322652491148E-2</v>
      </c>
      <c r="M270" s="843"/>
      <c r="N270" s="843"/>
      <c r="O270" s="48">
        <f>IF(t&lt;Tnet,'2019'!Resal+('2019'!Salim-'2019'!Resal)*(1-EXP(('2019'!Tnet-t)/('2019'!Tau_j))),Resal+(Salim-Resal)*(1-EXP((Tnet-t)/(Tau_j))))*Salcycl</f>
        <v>0.10164111565516835</v>
      </c>
      <c r="P270" s="169">
        <f>(INDEX(Models!$BJ270:$BT270,,T270)*(1-R270)+INDEX(Models!$BJ270:$BT270,,T270+1)*R270-ERP_i)*Q270*Ramure*Pc/MaxiM</f>
        <v>7.0894955923073519E-3</v>
      </c>
      <c r="Q270" s="305">
        <f t="shared" si="77"/>
        <v>0.8</v>
      </c>
      <c r="R270" s="177">
        <f t="shared" si="78"/>
        <v>0.58838819945613829</v>
      </c>
      <c r="S270" s="809">
        <f t="shared" si="79"/>
        <v>0</v>
      </c>
      <c r="T270" s="176">
        <f t="shared" si="80"/>
        <v>6</v>
      </c>
      <c r="U270" s="251">
        <f t="shared" si="81"/>
        <v>0.58838819945613829</v>
      </c>
      <c r="V270" s="383">
        <f t="shared" si="82"/>
        <v>38.257927172861912</v>
      </c>
      <c r="W270" s="402"/>
      <c r="X270" s="157">
        <f t="shared" si="83"/>
        <v>44086</v>
      </c>
      <c r="Y270" s="385">
        <f t="shared" si="84"/>
        <v>35.011124051681016</v>
      </c>
      <c r="Z270" s="385">
        <f t="shared" si="85"/>
        <v>36.054517362720631</v>
      </c>
      <c r="AA270" s="386">
        <f t="shared" si="86"/>
        <v>40.133757222220822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0.10164111565516835</v>
      </c>
      <c r="AD270" s="231">
        <f>(INDEX(Models!$BJ270:$BT270,,AH270)*(1-AF270)+INDEX(Models!$BJ270:$BT270,,AH270+1)*AF270-ERP_i)*AE270*Ramure*Pc/MaxiM</f>
        <v>3.1657400636516835E-2</v>
      </c>
      <c r="AE270" s="305">
        <f t="shared" si="88"/>
        <v>0.8</v>
      </c>
      <c r="AF270" s="177">
        <f t="shared" si="89"/>
        <v>0.78832177360865963</v>
      </c>
      <c r="AG270" s="809">
        <f t="shared" si="95"/>
        <v>1</v>
      </c>
      <c r="AH270" s="176">
        <f t="shared" si="90"/>
        <v>7</v>
      </c>
      <c r="AI270" s="225">
        <f t="shared" si="91"/>
        <v>1.7883217736086596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6">
        <v>35.1</v>
      </c>
      <c r="C271" s="390"/>
      <c r="D271" s="393">
        <f t="shared" ref="D271:D334" si="98">Wh/(1-Ppv)</f>
        <v>36.146892787328746</v>
      </c>
      <c r="E271" s="385">
        <f t="shared" si="96"/>
        <v>40.239483022283501</v>
      </c>
      <c r="F271" s="385">
        <f t="shared" ref="F271:F334" si="99">Wh_sa/(1-Pvg*MEDIAN((-Sdif+Wh/Env_an)/Csdif,0,1))</f>
        <v>40.506292806876168</v>
      </c>
      <c r="G271" s="110">
        <f t="shared" si="97"/>
        <v>0.92533772463636943</v>
      </c>
      <c r="H271" s="414" t="b">
        <f>Wh_hp&gt;='2019'!Maxi_hp</f>
        <v>1</v>
      </c>
      <c r="I271" s="380">
        <f>IF(H271,Wh_hp,'2019'!Maxi_hp)</f>
        <v>40.506292806876168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2.8962179224869253E-2</v>
      </c>
      <c r="M271" s="843"/>
      <c r="N271" s="843"/>
      <c r="O271" s="48">
        <f>IF(t&lt;Tnet,'2019'!Resal+('2019'!Salim-'2019'!Resal)*(1-EXP(('2019'!Tnet-t)/('2019'!Tau_j))),Resal+(Salim-Resal)*(1-EXP((Tnet-t)/(Tau_j))))*Salcycl</f>
        <v>0.10170583535301372</v>
      </c>
      <c r="P271" s="169">
        <f>(INDEX(Models!$BJ271:$BT271,,T271)*(1-R271)+INDEX(Models!$BJ271:$BT271,,T271+1)*R271-ERP_i)*Q271*Ramure*Pc/MaxiM</f>
        <v>7.3647725002440982E-3</v>
      </c>
      <c r="Q271" s="305">
        <f t="shared" ref="Q271:Q334" si="101">IF(OR(t&lt;Ttai,Notai),Dd+PousD*Croivg,Dens+PousD*(Croivg-Croi_tai))</f>
        <v>0.8</v>
      </c>
      <c r="R271" s="177">
        <f t="shared" ref="R271:R334" si="102">(Hp_vg-S271)/(INDEX(Echel_vg,T271+1)-S271)</f>
        <v>0.58885731630146099</v>
      </c>
      <c r="S271" s="809">
        <f t="shared" ref="S271:S334" si="103">INDEX(Echel_vg,T271)</f>
        <v>0</v>
      </c>
      <c r="T271" s="176">
        <f t="shared" ref="T271:T334" si="104">MIN(MATCH(Hp_vg,Echel_vg),10)</f>
        <v>6</v>
      </c>
      <c r="U271" s="251">
        <f t="shared" ref="U271:U334" si="105">IF(OR(t&lt;Ttai,Notai),Hdd+PousH*Croivg,Hdtf+PousH*(Croivg-Croi_tai))</f>
        <v>0.58885731630146099</v>
      </c>
      <c r="V271" s="383">
        <f t="shared" ref="V271:V334" si="106">MaxiM*(1-Ppv)*(1-Pvg)*(1-Psa)</f>
        <v>37.902393615284666</v>
      </c>
      <c r="W271" s="402"/>
      <c r="X271" s="157">
        <f t="shared" ref="X271:X334" si="107">t</f>
        <v>44087</v>
      </c>
      <c r="Y271" s="385">
        <f t="shared" ref="Y271:Y334" si="108">Wh_pvt_s*(1-Ppv)</f>
        <v>34.306538989517421</v>
      </c>
      <c r="Z271" s="385">
        <f t="shared" ref="Z271:Z334" si="109">Wh_sa_s*(1-Psa_s)</f>
        <v>35.329766004512813</v>
      </c>
      <c r="AA271" s="386">
        <f t="shared" ref="AA271:AA334" si="110">Wh_hp*(1-Pvg_s*MEDIAN((-Sdif+Wh/Env_an)/Csdif,0,1))</f>
        <v>39.329840262734855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0.10170583535301372</v>
      </c>
      <c r="AD271" s="231">
        <f>(INDEX(Models!$BJ271:$BT271,,AH271)*(1-AF271)+INDEX(Models!$BJ271:$BT271,,AH271+1)*AF271-ERP_i)*AE271*Ramure*Pc/MaxiM</f>
        <v>3.2473716652339793E-2</v>
      </c>
      <c r="AE271" s="305">
        <f t="shared" ref="AE271:AE334" si="112">IF(OR(t&lt;Ttai,Notai),Dd_s+PousD*Croivg,Dens_s+PousD*(Croivg-Croi_tai))</f>
        <v>0.8</v>
      </c>
      <c r="AF271" s="177">
        <f t="shared" ref="AF271:AF334" si="113">(Hp_vg_s-AG271)/(INDEX(Echel_vg,AH271+1)-AG271)</f>
        <v>0.78879089045398221</v>
      </c>
      <c r="AG271" s="809">
        <f t="shared" si="95"/>
        <v>1</v>
      </c>
      <c r="AH271" s="176">
        <f t="shared" ref="AH271:AH334" si="114">MIN(MATCH(Hp_vg_s,Echel_vg),10)</f>
        <v>7</v>
      </c>
      <c r="AI271" s="225">
        <f t="shared" ref="AI271:AI334" si="115">IF(OR(t&lt;Ttai,Notai),Hdd_s+PousH*Croivg,Hdtai_s+PousH*(Croivg-Croi_tai))</f>
        <v>1.7887908904539822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6">
        <v>35.243000000000002</v>
      </c>
      <c r="C272" s="390"/>
      <c r="D272" s="393">
        <f t="shared" si="98"/>
        <v>36.295012208828908</v>
      </c>
      <c r="E272" s="385">
        <f t="shared" si="96"/>
        <v>40.40724184127243</v>
      </c>
      <c r="F272" s="385">
        <f t="shared" si="99"/>
        <v>40.691044739305312</v>
      </c>
      <c r="G272" s="110">
        <f t="shared" si="97"/>
        <v>0.93808566185911046</v>
      </c>
      <c r="H272" s="414" t="b">
        <f>Wh_hp&gt;='2019'!Maxi_hp</f>
        <v>1</v>
      </c>
      <c r="I272" s="380">
        <f>IF(H272,Wh_hp,'2019'!Maxi_hp)</f>
        <v>40.691044739305312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2.8985035265341505E-2</v>
      </c>
      <c r="M272" s="843"/>
      <c r="N272" s="843"/>
      <c r="O272" s="48">
        <f>IF(t&lt;Tnet,'2019'!Resal+('2019'!Salim-'2019'!Resal)*(1-EXP(('2019'!Tnet-t)/('2019'!Tau_j))),Resal+(Salim-Resal)*(1-EXP((Tnet-t)/(Tau_j))))*Salcycl</f>
        <v>0.10176961962900535</v>
      </c>
      <c r="P272" s="169">
        <f>(INDEX(Models!$BJ272:$BT272,,T272)*(1-R272)+INDEX(Models!$BJ272:$BT272,,T272+1)*R272-ERP_i)*Q272*Ramure*Pc/MaxiM</f>
        <v>7.6437540817436691E-3</v>
      </c>
      <c r="Q272" s="305">
        <f t="shared" si="101"/>
        <v>0.8</v>
      </c>
      <c r="R272" s="177">
        <f t="shared" si="102"/>
        <v>0.58930824823333861</v>
      </c>
      <c r="S272" s="809">
        <f t="shared" si="103"/>
        <v>0</v>
      </c>
      <c r="T272" s="176">
        <f t="shared" si="104"/>
        <v>6</v>
      </c>
      <c r="U272" s="251">
        <f t="shared" si="105"/>
        <v>0.58930824823333861</v>
      </c>
      <c r="V272" s="383">
        <f t="shared" si="106"/>
        <v>37.543746851240726</v>
      </c>
      <c r="W272" s="402"/>
      <c r="X272" s="157">
        <f t="shared" si="107"/>
        <v>44088</v>
      </c>
      <c r="Y272" s="385">
        <f t="shared" si="108"/>
        <v>34.413559873957666</v>
      </c>
      <c r="Z272" s="385">
        <f t="shared" si="109"/>
        <v>35.440813091239626</v>
      </c>
      <c r="AA272" s="386">
        <f t="shared" si="110"/>
        <v>39.456261851888783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0.10176961962900535</v>
      </c>
      <c r="AD272" s="231">
        <f>(INDEX(Models!$BJ272:$BT272,,AH272)*(1-AF272)+INDEX(Models!$BJ272:$BT272,,AH272+1)*AF272-ERP_i)*AE272*Ramure*Pc/MaxiM</f>
        <v>3.3256801819774563E-2</v>
      </c>
      <c r="AE272" s="305">
        <f t="shared" si="112"/>
        <v>0.8</v>
      </c>
      <c r="AF272" s="177">
        <f t="shared" si="113"/>
        <v>0.78924182238585994</v>
      </c>
      <c r="AG272" s="809">
        <f t="shared" ref="AG272:AG335" si="119">INDEX(Echel_vg,AH272)</f>
        <v>1</v>
      </c>
      <c r="AH272" s="176">
        <f t="shared" si="114"/>
        <v>7</v>
      </c>
      <c r="AI272" s="225">
        <f t="shared" si="115"/>
        <v>1.7892418223858599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6">
        <v>31.864999999999998</v>
      </c>
      <c r="C273" s="390"/>
      <c r="D273" s="393">
        <f t="shared" si="98"/>
        <v>32.816950516104292</v>
      </c>
      <c r="E273" s="385">
        <f t="shared" si="96"/>
        <v>36.537670489950884</v>
      </c>
      <c r="F273" s="385">
        <f t="shared" si="99"/>
        <v>36.769583378330687</v>
      </c>
      <c r="G273" s="110">
        <f t="shared" si="97"/>
        <v>0.85559989582482288</v>
      </c>
      <c r="H273" s="414" t="b">
        <f>Wh_hp&gt;='2019'!Maxi_hp</f>
        <v>0</v>
      </c>
      <c r="I273" s="380">
        <f>IF(H273,Wh_hp,'2019'!Maxi_hp)</f>
        <v>39.509966115704373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2.9007890773920228E-2</v>
      </c>
      <c r="M273" s="843"/>
      <c r="N273" s="843"/>
      <c r="O273" s="48">
        <f>IF(t&lt;Tnet,'2019'!Resal+('2019'!Salim-'2019'!Resal)*(1-EXP(('2019'!Tnet-t)/('2019'!Tau_j))),Resal+(Salim-Resal)*(1-EXP((Tnet-t)/(Tau_j))))*Salcycl</f>
        <v>0.10183243550980949</v>
      </c>
      <c r="P273" s="169">
        <f>(INDEX(Models!$BJ273:$BT273,,T273)*(1-R273)+INDEX(Models!$BJ273:$BT273,,T273+1)*R273-ERP_i)*Q273*Ramure*Pc/MaxiM</f>
        <v>7.9265059408092139E-3</v>
      </c>
      <c r="Q273" s="305">
        <f t="shared" si="101"/>
        <v>0.8</v>
      </c>
      <c r="R273" s="177">
        <f t="shared" si="102"/>
        <v>0.58974167343961337</v>
      </c>
      <c r="S273" s="809">
        <f t="shared" si="103"/>
        <v>0</v>
      </c>
      <c r="T273" s="176">
        <f t="shared" si="104"/>
        <v>6</v>
      </c>
      <c r="U273" s="251">
        <f t="shared" si="105"/>
        <v>0.58974167343961337</v>
      </c>
      <c r="V273" s="383">
        <f t="shared" si="106"/>
        <v>37.182184407627787</v>
      </c>
      <c r="W273" s="402"/>
      <c r="X273" s="157">
        <f t="shared" si="107"/>
        <v>44089</v>
      </c>
      <c r="Y273" s="385">
        <f t="shared" si="108"/>
        <v>31.199557466298298</v>
      </c>
      <c r="Z273" s="385">
        <f t="shared" si="109"/>
        <v>32.131628228334023</v>
      </c>
      <c r="AA273" s="386">
        <f t="shared" si="110"/>
        <v>35.774647736886685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0.10183243550980949</v>
      </c>
      <c r="AD273" s="231">
        <f>(INDEX(Models!$BJ273:$BT273,,AH273)*(1-AF273)+INDEX(Models!$BJ273:$BT273,,AH273+1)*AF273-ERP_i)*AE273*Ramure*Pc/MaxiM</f>
        <v>3.4005713644139381E-2</v>
      </c>
      <c r="AE273" s="305">
        <f t="shared" si="112"/>
        <v>0.8</v>
      </c>
      <c r="AF273" s="177">
        <f t="shared" si="113"/>
        <v>0.7896752475921347</v>
      </c>
      <c r="AG273" s="809">
        <f t="shared" si="119"/>
        <v>1</v>
      </c>
      <c r="AH273" s="176">
        <f t="shared" si="114"/>
        <v>7</v>
      </c>
      <c r="AI273" s="225">
        <f t="shared" si="115"/>
        <v>1.7896752475921347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6">
        <v>32.146000000000001</v>
      </c>
      <c r="C274" s="390"/>
      <c r="D274" s="393">
        <f t="shared" si="98"/>
        <v>33.107124514308957</v>
      </c>
      <c r="E274" s="385">
        <f t="shared" si="96"/>
        <v>36.863280835525039</v>
      </c>
      <c r="F274" s="385">
        <f t="shared" si="99"/>
        <v>37.112837441038778</v>
      </c>
      <c r="G274" s="110">
        <f t="shared" si="97"/>
        <v>0.87179912432161522</v>
      </c>
      <c r="H274" s="414" t="b">
        <f>Wh_hp&gt;='2019'!Maxi_hp</f>
        <v>0</v>
      </c>
      <c r="I274" s="380">
        <f>IF(H274,Wh_hp,'2019'!Maxi_hp)</f>
        <v>38.286123652516494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2.9030745750617967E-2</v>
      </c>
      <c r="M274" s="843"/>
      <c r="N274" s="843"/>
      <c r="O274" s="48">
        <f>IF(t&lt;Tnet,'2019'!Resal+('2019'!Salim-'2019'!Resal)*(1-EXP(('2019'!Tnet-t)/('2019'!Tau_j))),Resal+(Salim-Resal)*(1-EXP((Tnet-t)/(Tau_j))))*Salcycl</f>
        <v>0.1018942491303238</v>
      </c>
      <c r="P274" s="169">
        <f>(INDEX(Models!$BJ274:$BT274,,T274)*(1-R274)+INDEX(Models!$BJ274:$BT274,,T274+1)*R274-ERP_i)*Q274*Ramure*Pc/MaxiM</f>
        <v>8.2130905234386719E-3</v>
      </c>
      <c r="Q274" s="305">
        <f t="shared" si="101"/>
        <v>0.8</v>
      </c>
      <c r="R274" s="177">
        <f t="shared" si="102"/>
        <v>0.59015824689373142</v>
      </c>
      <c r="S274" s="809">
        <f t="shared" si="103"/>
        <v>0</v>
      </c>
      <c r="T274" s="176">
        <f t="shared" si="104"/>
        <v>6</v>
      </c>
      <c r="U274" s="251">
        <f t="shared" si="105"/>
        <v>0.59015824689373142</v>
      </c>
      <c r="V274" s="383">
        <f t="shared" si="106"/>
        <v>36.817903762103327</v>
      </c>
      <c r="W274" s="402"/>
      <c r="X274" s="157">
        <f t="shared" si="107"/>
        <v>44090</v>
      </c>
      <c r="Y274" s="385">
        <f t="shared" si="108"/>
        <v>31.443662877894809</v>
      </c>
      <c r="Z274" s="385">
        <f t="shared" si="109"/>
        <v>32.383788405537786</v>
      </c>
      <c r="AA274" s="386">
        <f t="shared" si="110"/>
        <v>36.057878901431273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0.1018942491303238</v>
      </c>
      <c r="AD274" s="231">
        <f>(INDEX(Models!$BJ274:$BT274,,AH274)*(1-AF274)+INDEX(Models!$BJ274:$BT274,,AH274+1)*AF274-ERP_i)*AE274*Ramure*Pc/MaxiM</f>
        <v>3.4719457601350208E-2</v>
      </c>
      <c r="AE274" s="305">
        <f t="shared" si="112"/>
        <v>0.8</v>
      </c>
      <c r="AF274" s="177">
        <f t="shared" si="113"/>
        <v>0.79009182104625264</v>
      </c>
      <c r="AG274" s="809">
        <f t="shared" si="119"/>
        <v>1</v>
      </c>
      <c r="AH274" s="176">
        <f t="shared" si="114"/>
        <v>7</v>
      </c>
      <c r="AI274" s="225">
        <f t="shared" si="115"/>
        <v>1.7900918210462526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6">
        <v>32.274000000000001</v>
      </c>
      <c r="C275" s="390"/>
      <c r="D275" s="393">
        <f t="shared" si="98"/>
        <v>33.239733940510625</v>
      </c>
      <c r="E275" s="385">
        <f t="shared" si="96"/>
        <v>37.013440190926133</v>
      </c>
      <c r="F275" s="385">
        <f t="shared" si="99"/>
        <v>37.278604604246958</v>
      </c>
      <c r="G275" s="110">
        <f t="shared" si="97"/>
        <v>0.88424259082318912</v>
      </c>
      <c r="H275" s="414" t="b">
        <f>Wh_hp&gt;='2019'!Maxi_hp</f>
        <v>1</v>
      </c>
      <c r="I275" s="380">
        <f>IF(H275,Wh_hp,'2019'!Maxi_hp)</f>
        <v>37.278604604246958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2.9053600195446935E-2</v>
      </c>
      <c r="M275" s="843"/>
      <c r="N275" s="843"/>
      <c r="O275" s="48">
        <f>IF(t&lt;Tnet,'2019'!Resal+('2019'!Salim-'2019'!Resal)*(1-EXP(('2019'!Tnet-t)/('2019'!Tau_j))),Resal+(Salim-Resal)*(1-EXP((Tnet-t)/(Tau_j))))*Salcycl</f>
        <v>0.10195502582169147</v>
      </c>
      <c r="P275" s="169">
        <f>(INDEX(Models!$BJ275:$BT275,,T275)*(1-R275)+INDEX(Models!$BJ275:$BT275,,T275+1)*R275-ERP_i)*Q275*Ramure*Pc/MaxiM</f>
        <v>8.504309869858789E-3</v>
      </c>
      <c r="Q275" s="305">
        <f t="shared" si="101"/>
        <v>0.8</v>
      </c>
      <c r="R275" s="177">
        <f t="shared" si="102"/>
        <v>0.59055860098556079</v>
      </c>
      <c r="S275" s="809">
        <f t="shared" si="103"/>
        <v>0</v>
      </c>
      <c r="T275" s="176">
        <f t="shared" si="104"/>
        <v>6</v>
      </c>
      <c r="U275" s="251">
        <f t="shared" si="105"/>
        <v>0.59055860098556079</v>
      </c>
      <c r="V275" s="383">
        <f t="shared" si="106"/>
        <v>36.447889973602813</v>
      </c>
      <c r="W275" s="402"/>
      <c r="X275" s="157">
        <f t="shared" si="107"/>
        <v>44091</v>
      </c>
      <c r="Y275" s="385">
        <f t="shared" si="108"/>
        <v>31.542770864872235</v>
      </c>
      <c r="Z275" s="385">
        <f t="shared" si="109"/>
        <v>32.486624257756809</v>
      </c>
      <c r="AA275" s="386">
        <f t="shared" si="110"/>
        <v>36.174829982742629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0.10195502582169147</v>
      </c>
      <c r="AD275" s="231">
        <f>(INDEX(Models!$BJ275:$BT275,,AH275)*(1-AF275)+INDEX(Models!$BJ275:$BT275,,AH275+1)*AF275-ERP_i)*AE275*Ramure*Pc/MaxiM</f>
        <v>3.5400079860646853E-2</v>
      </c>
      <c r="AE275" s="305">
        <f t="shared" si="112"/>
        <v>0.8</v>
      </c>
      <c r="AF275" s="177">
        <f t="shared" si="113"/>
        <v>0.79049217513808201</v>
      </c>
      <c r="AG275" s="809">
        <f t="shared" si="119"/>
        <v>1</v>
      </c>
      <c r="AH275" s="176">
        <f t="shared" si="114"/>
        <v>7</v>
      </c>
      <c r="AI275" s="225">
        <f t="shared" si="115"/>
        <v>1.790492175138082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6">
        <v>16.352</v>
      </c>
      <c r="C276" s="390"/>
      <c r="D276" s="393">
        <f t="shared" si="98"/>
        <v>16.841696824835239</v>
      </c>
      <c r="E276" s="385">
        <f t="shared" si="96"/>
        <v>18.754981169025974</v>
      </c>
      <c r="F276" s="385">
        <f t="shared" si="99"/>
        <v>18.791146358629209</v>
      </c>
      <c r="G276" s="110">
        <f t="shared" si="97"/>
        <v>0.45021939579227432</v>
      </c>
      <c r="H276" s="414" t="b">
        <f>Wh_hp&gt;='2019'!Maxi_hp</f>
        <v>0</v>
      </c>
      <c r="I276" s="380">
        <f>IF(H276,Wh_hp,'2019'!Maxi_hp)</f>
        <v>38.983713423588227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2.9076454108419678E-2</v>
      </c>
      <c r="M276" s="843"/>
      <c r="N276" s="843"/>
      <c r="O276" s="48">
        <f>IF(t&lt;Tnet,'2019'!Resal+('2019'!Salim-'2019'!Resal)*(1-EXP(('2019'!Tnet-t)/('2019'!Tau_j))),Resal+(Salim-Resal)*(1-EXP((Tnet-t)/(Tau_j))))*Salcycl</f>
        <v>0.10201473021740715</v>
      </c>
      <c r="P276" s="169">
        <f>(INDEX(Models!$BJ276:$BT276,,T276)*(1-R276)+INDEX(Models!$BJ276:$BT276,,T276+1)*R276-ERP_i)*Q276*Ramure*Pc/MaxiM</f>
        <v>8.7860081223147795E-3</v>
      </c>
      <c r="Q276" s="305">
        <f t="shared" si="101"/>
        <v>0.8</v>
      </c>
      <c r="R276" s="177">
        <f t="shared" si="102"/>
        <v>0.59094334614867472</v>
      </c>
      <c r="S276" s="809">
        <f t="shared" si="103"/>
        <v>0</v>
      </c>
      <c r="T276" s="176">
        <f t="shared" si="104"/>
        <v>6</v>
      </c>
      <c r="U276" s="251">
        <f t="shared" si="105"/>
        <v>0.59094334614867472</v>
      </c>
      <c r="V276" s="383">
        <f t="shared" si="106"/>
        <v>36.070382211267891</v>
      </c>
      <c r="W276" s="402"/>
      <c r="X276" s="157">
        <f t="shared" si="107"/>
        <v>44092</v>
      </c>
      <c r="Y276" s="385">
        <f t="shared" si="108"/>
        <v>16.254307593291063</v>
      </c>
      <c r="Z276" s="385">
        <f t="shared" si="109"/>
        <v>16.741078802826895</v>
      </c>
      <c r="AA276" s="386">
        <f t="shared" si="110"/>
        <v>18.642932535942379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0.10201473021740715</v>
      </c>
      <c r="AD276" s="231">
        <f>(INDEX(Models!$BJ276:$BT276,,AH276)*(1-AF276)+INDEX(Models!$BJ276:$BT276,,AH276+1)*AF276-ERP_i)*AE276*Ramure*Pc/MaxiM</f>
        <v>3.6007217555119722E-2</v>
      </c>
      <c r="AE276" s="305">
        <f t="shared" si="112"/>
        <v>0.8</v>
      </c>
      <c r="AF276" s="177">
        <f t="shared" si="113"/>
        <v>0.79087692030119605</v>
      </c>
      <c r="AG276" s="809">
        <f t="shared" si="119"/>
        <v>1</v>
      </c>
      <c r="AH276" s="176">
        <f t="shared" si="114"/>
        <v>7</v>
      </c>
      <c r="AI276" s="225">
        <f t="shared" si="115"/>
        <v>1.7908769203011961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6">
        <v>27.158000000000001</v>
      </c>
      <c r="C277" s="390"/>
      <c r="D277" s="393">
        <f t="shared" si="98"/>
        <v>27.971964804945948</v>
      </c>
      <c r="E277" s="385">
        <f t="shared" si="96"/>
        <v>31.151724997886255</v>
      </c>
      <c r="F277" s="385">
        <f t="shared" si="99"/>
        <v>31.338592497750646</v>
      </c>
      <c r="G277" s="110">
        <f t="shared" si="97"/>
        <v>0.75864365371672304</v>
      </c>
      <c r="H277" s="414" t="b">
        <f>Wh_hp&gt;='2019'!Maxi_hp</f>
        <v>0</v>
      </c>
      <c r="I277" s="380">
        <f>IF(H277,Wh_hp,'2019'!Maxi_hp)</f>
        <v>38.230545259533059</v>
      </c>
      <c r="J277" s="85">
        <f>IF(H277,An,'2019'!An_max)</f>
        <v>2018</v>
      </c>
      <c r="K277" s="197">
        <f t="shared" si="100"/>
        <v>44093</v>
      </c>
      <c r="L277" s="147">
        <f>IF(t&lt;Tvie,1-EXP((T0-t)*PertePVj)+'2019'!Pspv,1-EXP((T0-t)*PertePVj)+Pspv)</f>
        <v>2.9099307489548407E-2</v>
      </c>
      <c r="M277" s="843"/>
      <c r="N277" s="843"/>
      <c r="O277" s="48">
        <f>IF(t&lt;Tnet,'2019'!Resal+('2019'!Salim-'2019'!Resal)*(1-EXP(('2019'!Tnet-t)/('2019'!Tau_j))),Resal+(Salim-Resal)*(1-EXP((Tnet-t)/(Tau_j))))*Salcycl</f>
        <v>0.1020733263777869</v>
      </c>
      <c r="P277" s="169">
        <f>(INDEX(Models!$BJ277:$BT277,,T277)*(1-R277)+INDEX(Models!$BJ277:$BT277,,T277+1)*R277-ERP_i)*Q277*Ramure*Pc/MaxiM</f>
        <v>9.0540275970692786E-3</v>
      </c>
      <c r="Q277" s="305">
        <f t="shared" si="101"/>
        <v>0.8</v>
      </c>
      <c r="R277" s="177">
        <f t="shared" si="102"/>
        <v>0.59131307148274526</v>
      </c>
      <c r="S277" s="809">
        <f t="shared" si="103"/>
        <v>0</v>
      </c>
      <c r="T277" s="176">
        <f t="shared" si="104"/>
        <v>6</v>
      </c>
      <c r="U277" s="251">
        <f t="shared" si="105"/>
        <v>0.59131307148274526</v>
      </c>
      <c r="V277" s="383">
        <f t="shared" si="106"/>
        <v>35.68677630371581</v>
      </c>
      <c r="W277" s="402"/>
      <c r="X277" s="157">
        <f t="shared" si="107"/>
        <v>44093</v>
      </c>
      <c r="Y277" s="385">
        <f t="shared" si="108"/>
        <v>26.663228159569432</v>
      </c>
      <c r="Z277" s="385">
        <f t="shared" si="109"/>
        <v>27.46236393201708</v>
      </c>
      <c r="AA277" s="386">
        <f t="shared" si="110"/>
        <v>30.58419438776065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0.1020733263777869</v>
      </c>
      <c r="AD277" s="231">
        <f>(INDEX(Models!$BJ277:$BT277,,AH277)*(1-AF277)+INDEX(Models!$BJ277:$BT277,,AH277+1)*AF277-ERP_i)*AE277*Ramure*Pc/MaxiM</f>
        <v>3.6551788363322221E-2</v>
      </c>
      <c r="AE277" s="305">
        <f t="shared" si="112"/>
        <v>0.8</v>
      </c>
      <c r="AF277" s="177">
        <f t="shared" si="113"/>
        <v>0.79124664563526648</v>
      </c>
      <c r="AG277" s="809">
        <f t="shared" si="119"/>
        <v>1</v>
      </c>
      <c r="AH277" s="176">
        <f t="shared" si="114"/>
        <v>7</v>
      </c>
      <c r="AI277" s="225">
        <f t="shared" si="115"/>
        <v>1.7912466456352665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6">
        <v>25.945</v>
      </c>
      <c r="C278" s="390"/>
      <c r="D278" s="393">
        <f t="shared" si="98"/>
        <v>26.723238434461592</v>
      </c>
      <c r="E278" s="385">
        <f t="shared" si="96"/>
        <v>29.762951861672658</v>
      </c>
      <c r="F278" s="385">
        <f t="shared" si="99"/>
        <v>29.936113753742717</v>
      </c>
      <c r="G278" s="110">
        <f t="shared" si="97"/>
        <v>0.73241572466745641</v>
      </c>
      <c r="H278" s="414" t="b">
        <f>Wh_hp&gt;='2019'!Maxi_hp</f>
        <v>0</v>
      </c>
      <c r="I278" s="380">
        <f>IF(H278,Wh_hp,'2019'!Maxi_hp)</f>
        <v>31.59985736837324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2.9122160338845668E-2</v>
      </c>
      <c r="M278" s="843"/>
      <c r="N278" s="843"/>
      <c r="O278" s="48">
        <f>IF(t&lt;Tnet,'2019'!Resal+('2019'!Salim-'2019'!Resal)*(1-EXP(('2019'!Tnet-t)/('2019'!Tau_j))),Resal+(Salim-Resal)*(1-EXP((Tnet-t)/(Tau_j))))*Salcycl</f>
        <v>0.10213077793286589</v>
      </c>
      <c r="P278" s="169">
        <f>(INDEX(Models!$BJ278:$BT278,,T278)*(1-R278)+INDEX(Models!$BJ278:$BT278,,T278+1)*R278-ERP_i)*Q278*Ramure*Pc/MaxiM</f>
        <v>9.3077598872608087E-3</v>
      </c>
      <c r="Q278" s="305">
        <f t="shared" si="101"/>
        <v>0.8</v>
      </c>
      <c r="R278" s="177">
        <f t="shared" si="102"/>
        <v>0.59166834536985047</v>
      </c>
      <c r="S278" s="809">
        <f t="shared" si="103"/>
        <v>0</v>
      </c>
      <c r="T278" s="176">
        <f t="shared" si="104"/>
        <v>6</v>
      </c>
      <c r="U278" s="251">
        <f t="shared" si="105"/>
        <v>0.59166834536985047</v>
      </c>
      <c r="V278" s="383">
        <f t="shared" si="106"/>
        <v>35.298332924481194</v>
      </c>
      <c r="W278" s="402"/>
      <c r="X278" s="157">
        <f t="shared" si="107"/>
        <v>44094</v>
      </c>
      <c r="Y278" s="385">
        <f t="shared" si="108"/>
        <v>25.495396532793578</v>
      </c>
      <c r="Z278" s="385">
        <f t="shared" si="109"/>
        <v>26.260148796569212</v>
      </c>
      <c r="AA278" s="386">
        <f t="shared" si="110"/>
        <v>29.247186729612306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0.10213077793286589</v>
      </c>
      <c r="AD278" s="231">
        <f>(INDEX(Models!$BJ278:$BT278,,AH278)*(1-AF278)+INDEX(Models!$BJ278:$BT278,,AH278+1)*AF278-ERP_i)*AE278*Ramure*Pc/MaxiM</f>
        <v>3.7031053679273979E-2</v>
      </c>
      <c r="AE278" s="305">
        <f t="shared" si="112"/>
        <v>0.8</v>
      </c>
      <c r="AF278" s="177">
        <f t="shared" si="113"/>
        <v>0.79160191952237158</v>
      </c>
      <c r="AG278" s="809">
        <f t="shared" si="119"/>
        <v>1</v>
      </c>
      <c r="AH278" s="176">
        <f t="shared" si="114"/>
        <v>7</v>
      </c>
      <c r="AI278" s="225">
        <f t="shared" si="115"/>
        <v>1.7916019195223716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6">
        <v>23.576000000000001</v>
      </c>
      <c r="C279" s="390"/>
      <c r="D279" s="393">
        <f t="shared" si="98"/>
        <v>24.283750207129799</v>
      </c>
      <c r="E279" s="385">
        <f t="shared" si="96"/>
        <v>27.047671967331812</v>
      </c>
      <c r="F279" s="385">
        <f t="shared" si="99"/>
        <v>27.186862617464367</v>
      </c>
      <c r="G279" s="110">
        <f t="shared" si="97"/>
        <v>0.67240268413655979</v>
      </c>
      <c r="H279" s="414" t="b">
        <f>Wh_hp&gt;='2019'!Maxi_hp</f>
        <v>0</v>
      </c>
      <c r="I279" s="380">
        <f>IF(H279,Wh_hp,'2019'!Maxi_hp)</f>
        <v>37.190669523303903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2.9145012656323563E-2</v>
      </c>
      <c r="M279" s="843"/>
      <c r="N279" s="843"/>
      <c r="O279" s="48">
        <f>IF(t&lt;Tnet,'2019'!Resal+('2019'!Salim-'2019'!Resal)*(1-EXP(('2019'!Tnet-t)/('2019'!Tau_j))),Resal+(Salim-Resal)*(1-EXP((Tnet-t)/(Tau_j))))*Salcycl</f>
        <v>0.10218704824357086</v>
      </c>
      <c r="P279" s="169">
        <f>(INDEX(Models!$BJ279:$BT279,,T279)*(1-R279)+INDEX(Models!$BJ279:$BT279,,T279+1)*R279-ERP_i)*Q279*Ramure*Pc/MaxiM</f>
        <v>9.5465304533000391E-3</v>
      </c>
      <c r="Q279" s="305">
        <f t="shared" si="101"/>
        <v>0.8</v>
      </c>
      <c r="R279" s="177">
        <f t="shared" si="102"/>
        <v>0.59200971608362263</v>
      </c>
      <c r="S279" s="809">
        <f t="shared" si="103"/>
        <v>0</v>
      </c>
      <c r="T279" s="176">
        <f t="shared" si="104"/>
        <v>6</v>
      </c>
      <c r="U279" s="251">
        <f t="shared" si="105"/>
        <v>0.59200971608362263</v>
      </c>
      <c r="V279" s="383">
        <f t="shared" si="106"/>
        <v>34.906311824325137</v>
      </c>
      <c r="W279" s="402"/>
      <c r="X279" s="157">
        <f t="shared" si="107"/>
        <v>44095</v>
      </c>
      <c r="Y279" s="385">
        <f t="shared" si="108"/>
        <v>23.221481128375746</v>
      </c>
      <c r="Z279" s="385">
        <f t="shared" si="109"/>
        <v>23.918588698721379</v>
      </c>
      <c r="AA279" s="386">
        <f t="shared" si="110"/>
        <v>26.640948598400634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0.10218704824357086</v>
      </c>
      <c r="AD279" s="231">
        <f>(INDEX(Models!$BJ279:$BT279,,AH279)*(1-AF279)+INDEX(Models!$BJ279:$BT279,,AH279+1)*AF279-ERP_i)*AE279*Ramure*Pc/MaxiM</f>
        <v>3.7442060963952216E-2</v>
      </c>
      <c r="AE279" s="305">
        <f t="shared" si="112"/>
        <v>0.8</v>
      </c>
      <c r="AF279" s="177">
        <f t="shared" si="113"/>
        <v>0.79194329023614385</v>
      </c>
      <c r="AG279" s="809">
        <f t="shared" si="119"/>
        <v>1</v>
      </c>
      <c r="AH279" s="176">
        <f t="shared" si="114"/>
        <v>7</v>
      </c>
      <c r="AI279" s="225">
        <f t="shared" si="115"/>
        <v>1.7919432902361438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6">
        <v>21.518000000000001</v>
      </c>
      <c r="C280" s="390"/>
      <c r="D280" s="393">
        <f t="shared" si="98"/>
        <v>22.164490864975434</v>
      </c>
      <c r="E280" s="385">
        <f t="shared" si="96"/>
        <v>24.688717168976769</v>
      </c>
      <c r="F280" s="385">
        <f t="shared" si="99"/>
        <v>24.800689517214739</v>
      </c>
      <c r="G280" s="110">
        <f t="shared" si="97"/>
        <v>0.6202026477827397</v>
      </c>
      <c r="H280" s="414" t="b">
        <f>Wh_hp&gt;='2019'!Maxi_hp</f>
        <v>0</v>
      </c>
      <c r="I280" s="380">
        <f>IF(H280,Wh_hp,'2019'!Maxi_hp)</f>
        <v>37.625376650076369</v>
      </c>
      <c r="J280" s="85">
        <f>IF(H280,An,'2019'!An_max)</f>
        <v>2019</v>
      </c>
      <c r="K280" s="197">
        <f t="shared" si="100"/>
        <v>44096</v>
      </c>
      <c r="L280" s="147">
        <f>IF(t&lt;Tvie,1-EXP((T0-t)*PertePVj)+'2019'!Pspv,1-EXP((T0-t)*PertePVj)+Pspv)</f>
        <v>2.9167864441994748E-2</v>
      </c>
      <c r="M280" s="843"/>
      <c r="N280" s="843"/>
      <c r="O280" s="48">
        <f>IF(t&lt;Tnet,'2019'!Resal+('2019'!Salim-'2019'!Resal)*(1-EXP(('2019'!Tnet-t)/('2019'!Tau_j))),Resal+(Salim-Resal)*(1-EXP((Tnet-t)/(Tau_j))))*Salcycl</f>
        <v>0.10224210058079536</v>
      </c>
      <c r="P280" s="169">
        <f>(INDEX(Models!$BJ280:$BT280,,T280)*(1-R280)+INDEX(Models!$BJ280:$BT280,,T280+1)*R280-ERP_i)*Q280*Ramure*Pc/MaxiM</f>
        <v>9.769651751095695E-3</v>
      </c>
      <c r="Q280" s="305">
        <f t="shared" si="101"/>
        <v>0.8</v>
      </c>
      <c r="R280" s="177">
        <f t="shared" si="102"/>
        <v>0.59233771239030086</v>
      </c>
      <c r="S280" s="809">
        <f t="shared" si="103"/>
        <v>0</v>
      </c>
      <c r="T280" s="176">
        <f t="shared" si="104"/>
        <v>6</v>
      </c>
      <c r="U280" s="251">
        <f t="shared" si="105"/>
        <v>0.59233771239030086</v>
      </c>
      <c r="V280" s="383">
        <f t="shared" si="106"/>
        <v>34.511970012371336</v>
      </c>
      <c r="W280" s="402"/>
      <c r="X280" s="157">
        <f t="shared" si="107"/>
        <v>44096</v>
      </c>
      <c r="Y280" s="385">
        <f t="shared" si="108"/>
        <v>21.238177679926864</v>
      </c>
      <c r="Z280" s="385">
        <f t="shared" si="109"/>
        <v>21.87626151015262</v>
      </c>
      <c r="AA280" s="386">
        <f t="shared" si="110"/>
        <v>24.367662511580512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0.10224210058079536</v>
      </c>
      <c r="AD280" s="231">
        <f>(INDEX(Models!$BJ280:$BT280,,AH280)*(1-AF280)+INDEX(Models!$BJ280:$BT280,,AH280+1)*AF280-ERP_i)*AE280*Ramure*Pc/MaxiM</f>
        <v>3.7781855167271117E-2</v>
      </c>
      <c r="AE280" s="305">
        <f t="shared" si="112"/>
        <v>0.8</v>
      </c>
      <c r="AF280" s="177">
        <f t="shared" si="113"/>
        <v>0.79227128654282208</v>
      </c>
      <c r="AG280" s="809">
        <f t="shared" si="119"/>
        <v>1</v>
      </c>
      <c r="AH280" s="176">
        <f t="shared" si="114"/>
        <v>7</v>
      </c>
      <c r="AI280" s="225">
        <f t="shared" si="115"/>
        <v>1.7922712865428221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6">
        <v>27.321000000000002</v>
      </c>
      <c r="C281" s="390"/>
      <c r="D281" s="393">
        <f t="shared" si="98"/>
        <v>28.142499707945795</v>
      </c>
      <c r="E281" s="385">
        <f t="shared" si="96"/>
        <v>31.349416422777526</v>
      </c>
      <c r="F281" s="385">
        <f t="shared" si="99"/>
        <v>31.574783223379892</v>
      </c>
      <c r="G281" s="110">
        <f t="shared" si="97"/>
        <v>0.79852365615151188</v>
      </c>
      <c r="H281" s="414" t="b">
        <f>Wh_hp&gt;='2019'!Maxi_hp</f>
        <v>0</v>
      </c>
      <c r="I281" s="380">
        <f>IF(H281,Wh_hp,'2019'!Maxi_hp)</f>
        <v>36.227444973424483</v>
      </c>
      <c r="J281" s="85">
        <f>IF(H281,An,'2019'!An_max)</f>
        <v>2018</v>
      </c>
      <c r="K281" s="197">
        <f t="shared" si="100"/>
        <v>44097</v>
      </c>
      <c r="L281" s="147">
        <f>IF(t&lt;Tvie,1-EXP((T0-t)*PertePVj)+'2019'!Pspv,1-EXP((T0-t)*PertePVj)+Pspv)</f>
        <v>2.9190715695871547E-2</v>
      </c>
      <c r="M281" s="843"/>
      <c r="N281" s="843"/>
      <c r="O281" s="48">
        <f>IF(t&lt;Tnet,'2019'!Resal+('2019'!Salim-'2019'!Resal)*(1-EXP(('2019'!Tnet-t)/('2019'!Tau_j))),Resal+(Salim-Resal)*(1-EXP((Tnet-t)/(Tau_j))))*Salcycl</f>
        <v>0.1022958983217845</v>
      </c>
      <c r="P281" s="169">
        <f>(INDEX(Models!$BJ281:$BT281,,T281)*(1-R281)+INDEX(Models!$BJ281:$BT281,,T281+1)*R281-ERP_i)*Q281*Ramure*Pc/MaxiM</f>
        <v>9.9763507663473191E-3</v>
      </c>
      <c r="Q281" s="305">
        <f t="shared" si="101"/>
        <v>0.8</v>
      </c>
      <c r="R281" s="177">
        <f t="shared" si="102"/>
        <v>0.59265284414086417</v>
      </c>
      <c r="S281" s="809">
        <f t="shared" si="103"/>
        <v>0</v>
      </c>
      <c r="T281" s="176">
        <f t="shared" si="104"/>
        <v>6</v>
      </c>
      <c r="U281" s="251">
        <f t="shared" si="105"/>
        <v>0.59265284414086417</v>
      </c>
      <c r="V281" s="383">
        <f t="shared" si="106"/>
        <v>34.116564404787525</v>
      </c>
      <c r="W281" s="402"/>
      <c r="X281" s="157">
        <f t="shared" si="107"/>
        <v>44097</v>
      </c>
      <c r="Y281" s="385">
        <f t="shared" si="108"/>
        <v>26.768361882595386</v>
      </c>
      <c r="Z281" s="385">
        <f t="shared" si="109"/>
        <v>27.573244627324328</v>
      </c>
      <c r="AA281" s="386">
        <f t="shared" si="110"/>
        <v>30.715293130305909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0.1022958983217845</v>
      </c>
      <c r="AD281" s="231">
        <f>(INDEX(Models!$BJ281:$BT281,,AH281)*(1-AF281)+INDEX(Models!$BJ281:$BT281,,AH281+1)*AF281-ERP_i)*AE281*Ramure*Pc/MaxiM</f>
        <v>3.8047195175989576E-2</v>
      </c>
      <c r="AE281" s="305">
        <f t="shared" si="112"/>
        <v>0.8</v>
      </c>
      <c r="AF281" s="177">
        <f t="shared" si="113"/>
        <v>0.79258641829338528</v>
      </c>
      <c r="AG281" s="809">
        <f t="shared" si="119"/>
        <v>1</v>
      </c>
      <c r="AH281" s="176">
        <f t="shared" si="114"/>
        <v>7</v>
      </c>
      <c r="AI281" s="225">
        <f t="shared" si="115"/>
        <v>1.7925864182933853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6">
        <v>17.158999999999999</v>
      </c>
      <c r="C282" s="390"/>
      <c r="D282" s="393">
        <f t="shared" si="98"/>
        <v>17.675360312449218</v>
      </c>
      <c r="E282" s="385">
        <f t="shared" si="96"/>
        <v>19.690668867645766</v>
      </c>
      <c r="F282" s="385">
        <f t="shared" si="99"/>
        <v>19.750516010327058</v>
      </c>
      <c r="G282" s="110">
        <f t="shared" si="97"/>
        <v>0.50520477204538738</v>
      </c>
      <c r="H282" s="414" t="b">
        <f>Wh_hp&gt;='2019'!Maxi_hp</f>
        <v>0</v>
      </c>
      <c r="I282" s="380">
        <f>IF(H282,Wh_hp,'2019'!Maxi_hp)</f>
        <v>37.737616608562853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2.9213566417966283E-2</v>
      </c>
      <c r="M282" s="843"/>
      <c r="N282" s="843"/>
      <c r="O282" s="48">
        <f>IF(t&lt;Tnet,'2019'!Resal+('2019'!Salim-'2019'!Resal)*(1-EXP(('2019'!Tnet-t)/('2019'!Tau_j))),Resal+(Salim-Resal)*(1-EXP((Tnet-t)/(Tau_j))))*Salcycl</f>
        <v>0.10234840516301358</v>
      </c>
      <c r="P282" s="169">
        <f>(INDEX(Models!$BJ282:$BT282,,T282)*(1-R282)+INDEX(Models!$BJ282:$BT282,,T282+1)*R282-ERP_i)*Q282*Ramure*Pc/MaxiM</f>
        <v>1.0156526157849635E-2</v>
      </c>
      <c r="Q282" s="305">
        <f t="shared" si="101"/>
        <v>0.8</v>
      </c>
      <c r="R282" s="177">
        <f t="shared" si="102"/>
        <v>0.59295560285352611</v>
      </c>
      <c r="S282" s="809">
        <f t="shared" si="103"/>
        <v>0</v>
      </c>
      <c r="T282" s="176">
        <f t="shared" si="104"/>
        <v>6</v>
      </c>
      <c r="U282" s="251">
        <f t="shared" si="105"/>
        <v>0.59295560285352611</v>
      </c>
      <c r="V282" s="383">
        <f t="shared" si="106"/>
        <v>33.721666733232283</v>
      </c>
      <c r="W282" s="402"/>
      <c r="X282" s="157">
        <f t="shared" si="107"/>
        <v>44098</v>
      </c>
      <c r="Y282" s="385">
        <f t="shared" si="108"/>
        <v>17.014901397777805</v>
      </c>
      <c r="Z282" s="385">
        <f t="shared" si="109"/>
        <v>17.526925396964774</v>
      </c>
      <c r="AA282" s="386">
        <f t="shared" si="110"/>
        <v>19.525309705652184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0.10234840516301358</v>
      </c>
      <c r="AD282" s="231">
        <f>(INDEX(Models!$BJ282:$BT282,,AH282)*(1-AF282)+INDEX(Models!$BJ282:$BT282,,AH282+1)*AF282-ERP_i)*AE282*Ramure*Pc/MaxiM</f>
        <v>3.8219263641769446E-2</v>
      </c>
      <c r="AE282" s="305">
        <f t="shared" si="112"/>
        <v>0.8</v>
      </c>
      <c r="AF282" s="177">
        <f t="shared" si="113"/>
        <v>0.79288917700604733</v>
      </c>
      <c r="AG282" s="809">
        <f t="shared" si="119"/>
        <v>1</v>
      </c>
      <c r="AH282" s="176">
        <f t="shared" si="114"/>
        <v>7</v>
      </c>
      <c r="AI282" s="225">
        <f t="shared" si="115"/>
        <v>1.7928891770060473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6">
        <v>17.917000000000002</v>
      </c>
      <c r="C283" s="390"/>
      <c r="D283" s="393">
        <f t="shared" si="98"/>
        <v>18.456604992742488</v>
      </c>
      <c r="E283" s="385">
        <f t="shared" si="96"/>
        <v>20.562161838916918</v>
      </c>
      <c r="F283" s="385">
        <f t="shared" si="99"/>
        <v>20.634397304595868</v>
      </c>
      <c r="G283" s="110">
        <f t="shared" si="97"/>
        <v>0.53391455487963302</v>
      </c>
      <c r="H283" s="414" t="b">
        <f>Wh_hp&gt;='2019'!Maxi_hp</f>
        <v>0</v>
      </c>
      <c r="I283" s="380">
        <f>IF(H283,Wh_hp,'2019'!Maxi_hp)</f>
        <v>38.347746104915672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2.923641660829128E-2</v>
      </c>
      <c r="M283" s="843"/>
      <c r="N283" s="843"/>
      <c r="O283" s="48">
        <f>IF(t&lt;Tnet,'2019'!Resal+('2019'!Salim-'2019'!Resal)*(1-EXP(('2019'!Tnet-t)/('2019'!Tau_j))),Resal+(Salim-Resal)*(1-EXP((Tnet-t)/(Tau_j))))*Salcycl</f>
        <v>0.10239958534852858</v>
      </c>
      <c r="P283" s="169">
        <f>(INDEX(Models!$BJ283:$BT283,,T283)*(1-R283)+INDEX(Models!$BJ283:$BT283,,T283+1)*R283-ERP_i)*Q283*Ramure*Pc/MaxiM</f>
        <v>1.0314026338979531E-2</v>
      </c>
      <c r="Q283" s="305">
        <f t="shared" si="101"/>
        <v>0.8</v>
      </c>
      <c r="R283" s="177">
        <f t="shared" si="102"/>
        <v>0.59324646228597966</v>
      </c>
      <c r="S283" s="809">
        <f t="shared" si="103"/>
        <v>0</v>
      </c>
      <c r="T283" s="176">
        <f t="shared" si="104"/>
        <v>6</v>
      </c>
      <c r="U283" s="251">
        <f t="shared" si="105"/>
        <v>0.59324646228597966</v>
      </c>
      <c r="V283" s="383">
        <f t="shared" si="106"/>
        <v>33.328361567308932</v>
      </c>
      <c r="W283" s="402"/>
      <c r="X283" s="157">
        <f t="shared" si="107"/>
        <v>44099</v>
      </c>
      <c r="Y283" s="385">
        <f t="shared" si="108"/>
        <v>17.746019672912638</v>
      </c>
      <c r="Z283" s="385">
        <f t="shared" si="109"/>
        <v>18.280475263514305</v>
      </c>
      <c r="AA283" s="386">
        <f t="shared" si="110"/>
        <v>20.36593896919312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0.10239958534852858</v>
      </c>
      <c r="AD283" s="231">
        <f>(INDEX(Models!$BJ283:$BT283,,AH283)*(1-AF283)+INDEX(Models!$BJ283:$BT283,,AH283+1)*AF283-ERP_i)*AE283*Ramure*Pc/MaxiM</f>
        <v>3.8331397413133579E-2</v>
      </c>
      <c r="AE283" s="305">
        <f t="shared" si="112"/>
        <v>0.8</v>
      </c>
      <c r="AF283" s="177">
        <f t="shared" si="113"/>
        <v>0.79318003643850088</v>
      </c>
      <c r="AG283" s="809">
        <f t="shared" si="119"/>
        <v>1</v>
      </c>
      <c r="AH283" s="176">
        <f t="shared" si="114"/>
        <v>7</v>
      </c>
      <c r="AI283" s="225">
        <f t="shared" si="115"/>
        <v>1.7931800364385009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6">
        <v>13.590999999999999</v>
      </c>
      <c r="C284" s="390"/>
      <c r="D284" s="393">
        <f t="shared" si="98"/>
        <v>14.000648708469875</v>
      </c>
      <c r="E284" s="385">
        <f t="shared" si="96"/>
        <v>15.598729218720312</v>
      </c>
      <c r="F284" s="385">
        <f t="shared" si="99"/>
        <v>15.624994285722371</v>
      </c>
      <c r="G284" s="110">
        <f t="shared" si="97"/>
        <v>0.40900144718345488</v>
      </c>
      <c r="H284" s="414" t="b">
        <f>Wh_hp&gt;='2019'!Maxi_hp</f>
        <v>0</v>
      </c>
      <c r="I284" s="380">
        <f>IF(H284,Wh_hp,'2019'!Maxi_hp)</f>
        <v>36.969576410748687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2.9259266266858971E-2</v>
      </c>
      <c r="M284" s="843"/>
      <c r="N284" s="843"/>
      <c r="O284" s="48">
        <f>IF(t&lt;Tnet,'2019'!Resal+('2019'!Salim-'2019'!Resal)*(1-EXP(('2019'!Tnet-t)/('2019'!Tau_j))),Resal+(Salim-Resal)*(1-EXP((Tnet-t)/(Tau_j))))*Salcycl</f>
        <v>0.10244940391250279</v>
      </c>
      <c r="P284" s="169">
        <f>(INDEX(Models!$BJ284:$BT284,,T284)*(1-R284)+INDEX(Models!$BJ284:$BT284,,T284+1)*R284-ERP_i)*Q284*Ramure*Pc/MaxiM</f>
        <v>1.0447735435247954E-2</v>
      </c>
      <c r="Q284" s="305">
        <f t="shared" si="101"/>
        <v>0.8</v>
      </c>
      <c r="R284" s="177">
        <f t="shared" si="102"/>
        <v>0.59352587899686271</v>
      </c>
      <c r="S284" s="809">
        <f t="shared" si="103"/>
        <v>0</v>
      </c>
      <c r="T284" s="176">
        <f t="shared" si="104"/>
        <v>6</v>
      </c>
      <c r="U284" s="251">
        <f t="shared" si="105"/>
        <v>0.59352587899686271</v>
      </c>
      <c r="V284" s="383">
        <f t="shared" si="106"/>
        <v>32.93790350043713</v>
      </c>
      <c r="W284" s="402"/>
      <c r="X284" s="157">
        <f t="shared" si="107"/>
        <v>44100</v>
      </c>
      <c r="Y284" s="385">
        <f t="shared" si="108"/>
        <v>13.529817045786688</v>
      </c>
      <c r="Z284" s="385">
        <f t="shared" si="109"/>
        <v>13.937621628130902</v>
      </c>
      <c r="AA284" s="386">
        <f t="shared" si="110"/>
        <v>15.528508018251264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0.10244940391250279</v>
      </c>
      <c r="AD284" s="231">
        <f>(INDEX(Models!$BJ284:$BT284,,AH284)*(1-AF284)+INDEX(Models!$BJ284:$BT284,,AH284+1)*AF284-ERP_i)*AE284*Ramure*Pc/MaxiM</f>
        <v>3.8380370230680992E-2</v>
      </c>
      <c r="AE284" s="305">
        <f t="shared" si="112"/>
        <v>0.8</v>
      </c>
      <c r="AF284" s="177">
        <f t="shared" si="113"/>
        <v>0.79345945314938393</v>
      </c>
      <c r="AG284" s="809">
        <f t="shared" si="119"/>
        <v>1</v>
      </c>
      <c r="AH284" s="176">
        <f t="shared" si="114"/>
        <v>7</v>
      </c>
      <c r="AI284" s="225">
        <f t="shared" si="115"/>
        <v>1.7934594531493839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6">
        <v>10.98</v>
      </c>
      <c r="C285" s="390"/>
      <c r="D285" s="393">
        <f t="shared" si="98"/>
        <v>11.31121634217445</v>
      </c>
      <c r="E285" s="385">
        <f t="shared" si="96"/>
        <v>12.602996050183036</v>
      </c>
      <c r="F285" s="385">
        <f t="shared" si="99"/>
        <v>12.610091476506497</v>
      </c>
      <c r="G285" s="110">
        <f t="shared" si="97"/>
        <v>0.33393824564302849</v>
      </c>
      <c r="H285" s="414" t="b">
        <f>Wh_hp&gt;='2019'!Maxi_hp</f>
        <v>0</v>
      </c>
      <c r="I285" s="380">
        <f>IF(H285,Wh_hp,'2019'!Maxi_hp)</f>
        <v>35.211477825551697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2.9282115393681682E-2</v>
      </c>
      <c r="M285" s="843"/>
      <c r="N285" s="843"/>
      <c r="O285" s="48">
        <f>IF(t&lt;Tnet,'2019'!Resal+('2019'!Salim-'2019'!Resal)*(1-EXP(('2019'!Tnet-t)/('2019'!Tau_j))),Resal+(Salim-Resal)*(1-EXP((Tnet-t)/(Tau_j))))*Salcycl</f>
        <v>0.1024978269345585</v>
      </c>
      <c r="P285" s="169">
        <f>(INDEX(Models!$BJ285:$BT285,,T285)*(1-R285)+INDEX(Models!$BJ285:$BT285,,T285+1)*R285-ERP_i)*Q285*Ramure*Pc/MaxiM</f>
        <v>1.0556488122615946E-2</v>
      </c>
      <c r="Q285" s="305">
        <f t="shared" si="101"/>
        <v>0.8</v>
      </c>
      <c r="R285" s="177">
        <f t="shared" si="102"/>
        <v>0.59379429289600671</v>
      </c>
      <c r="S285" s="809">
        <f t="shared" si="103"/>
        <v>0</v>
      </c>
      <c r="T285" s="176">
        <f t="shared" si="104"/>
        <v>6</v>
      </c>
      <c r="U285" s="251">
        <f t="shared" si="105"/>
        <v>0.59379429289600671</v>
      </c>
      <c r="V285" s="383">
        <f t="shared" si="106"/>
        <v>32.551546079741307</v>
      </c>
      <c r="W285" s="402"/>
      <c r="X285" s="157">
        <f t="shared" si="107"/>
        <v>44101</v>
      </c>
      <c r="Y285" s="385">
        <f t="shared" si="108"/>
        <v>10.963717097629543</v>
      </c>
      <c r="Z285" s="385">
        <f t="shared" si="109"/>
        <v>11.294442259169827</v>
      </c>
      <c r="AA285" s="386">
        <f t="shared" si="110"/>
        <v>12.58430630935786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0.1024978269345585</v>
      </c>
      <c r="AD285" s="231">
        <f>(INDEX(Models!$BJ285:$BT285,,AH285)*(1-AF285)+INDEX(Models!$BJ285:$BT285,,AH285+1)*AF285-ERP_i)*AE285*Ramure*Pc/MaxiM</f>
        <v>3.8362854934347233E-2</v>
      </c>
      <c r="AE285" s="305">
        <f t="shared" si="112"/>
        <v>0.8</v>
      </c>
      <c r="AF285" s="177">
        <f t="shared" si="113"/>
        <v>0.79372786704852794</v>
      </c>
      <c r="AG285" s="809">
        <f t="shared" si="119"/>
        <v>1</v>
      </c>
      <c r="AH285" s="176">
        <f t="shared" si="114"/>
        <v>7</v>
      </c>
      <c r="AI285" s="225">
        <f t="shared" si="115"/>
        <v>1.7937278670485279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6">
        <v>25.456</v>
      </c>
      <c r="C286" s="390"/>
      <c r="D286" s="393">
        <f t="shared" si="98"/>
        <v>26.224508270489956</v>
      </c>
      <c r="E286" s="385">
        <f t="shared" si="96"/>
        <v>29.22096713873681</v>
      </c>
      <c r="F286" s="385">
        <f t="shared" si="99"/>
        <v>29.440797252498179</v>
      </c>
      <c r="G286" s="110">
        <f t="shared" si="97"/>
        <v>0.78875390156754532</v>
      </c>
      <c r="H286" s="414" t="b">
        <f>Wh_hp&gt;='2019'!Maxi_hp</f>
        <v>0</v>
      </c>
      <c r="I286" s="380">
        <f>IF(H286,Wh_hp,'2019'!Maxi_hp)</f>
        <v>37.209601495836544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2.9304963988771845E-2</v>
      </c>
      <c r="M286" s="843"/>
      <c r="N286" s="843"/>
      <c r="O286" s="48">
        <f>IF(t&lt;Tnet,'2019'!Resal+('2019'!Salim-'2019'!Resal)*(1-EXP(('2019'!Tnet-t)/('2019'!Tau_j))),Resal+(Salim-Resal)*(1-EXP((Tnet-t)/(Tau_j))))*Salcycl</f>
        <v>0.10254482180620893</v>
      </c>
      <c r="P286" s="169">
        <f>(INDEX(Models!$BJ286:$BT286,,T286)*(1-R286)+INDEX(Models!$BJ286:$BT286,,T286+1)*R286-ERP_i)*Q286*Ramure*Pc/MaxiM</f>
        <v>1.0639078150069734E-2</v>
      </c>
      <c r="Q286" s="305">
        <f t="shared" si="101"/>
        <v>0.8</v>
      </c>
      <c r="R286" s="177">
        <f t="shared" si="102"/>
        <v>0.59405212778309902</v>
      </c>
      <c r="S286" s="809">
        <f t="shared" si="103"/>
        <v>0</v>
      </c>
      <c r="T286" s="176">
        <f t="shared" si="104"/>
        <v>6</v>
      </c>
      <c r="U286" s="251">
        <f t="shared" si="105"/>
        <v>0.59405212778309902</v>
      </c>
      <c r="V286" s="383">
        <f t="shared" si="106"/>
        <v>32.170541778440658</v>
      </c>
      <c r="W286" s="402"/>
      <c r="X286" s="157">
        <f t="shared" si="107"/>
        <v>44102</v>
      </c>
      <c r="Y286" s="385">
        <f t="shared" si="108"/>
        <v>24.958538169933718</v>
      </c>
      <c r="Z286" s="385">
        <f t="shared" si="109"/>
        <v>25.712028231331161</v>
      </c>
      <c r="AA286" s="386">
        <f t="shared" si="110"/>
        <v>28.649930220558669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0.10254482180620893</v>
      </c>
      <c r="AD286" s="231">
        <f>(INDEX(Models!$BJ286:$BT286,,AH286)*(1-AF286)+INDEX(Models!$BJ286:$BT286,,AH286+1)*AF286-ERP_i)*AE286*Ramure*Pc/MaxiM</f>
        <v>3.8275448323025527E-2</v>
      </c>
      <c r="AE286" s="305">
        <f t="shared" si="112"/>
        <v>0.8</v>
      </c>
      <c r="AF286" s="177">
        <f t="shared" si="113"/>
        <v>0.79398570193562024</v>
      </c>
      <c r="AG286" s="809">
        <f t="shared" si="119"/>
        <v>1</v>
      </c>
      <c r="AH286" s="176">
        <f t="shared" si="114"/>
        <v>7</v>
      </c>
      <c r="AI286" s="225">
        <f t="shared" si="115"/>
        <v>1.7939857019356202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6">
        <v>27.620999999999999</v>
      </c>
      <c r="C287" s="390"/>
      <c r="D287" s="393">
        <f t="shared" si="98"/>
        <v>28.45553869055917</v>
      </c>
      <c r="E287" s="385">
        <f t="shared" si="96"/>
        <v>31.708527904265495</v>
      </c>
      <c r="F287" s="385">
        <f t="shared" si="99"/>
        <v>31.986431812768554</v>
      </c>
      <c r="G287" s="110">
        <f t="shared" si="97"/>
        <v>0.86693235437796135</v>
      </c>
      <c r="H287" s="414" t="b">
        <f>Wh_hp&gt;='2019'!Maxi_hp</f>
        <v>0</v>
      </c>
      <c r="I287" s="380">
        <f>IF(H287,Wh_hp,'2019'!Maxi_hp)</f>
        <v>35.36597547612849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2.9327812052141897E-2</v>
      </c>
      <c r="M287" s="843"/>
      <c r="N287" s="843"/>
      <c r="O287" s="48">
        <f>IF(t&lt;Tnet,'2019'!Resal+('2019'!Salim-'2019'!Resal)*(1-EXP(('2019'!Tnet-t)/('2019'!Tau_j))),Resal+(Salim-Resal)*(1-EXP((Tnet-t)/(Tau_j))))*Salcycl</f>
        <v>0.10259035750659139</v>
      </c>
      <c r="P287" s="169">
        <f>(INDEX(Models!$BJ287:$BT287,,T287)*(1-R287)+INDEX(Models!$BJ287:$BT287,,T287+1)*R287-ERP_i)*Q287*Ramure*Pc/MaxiM</f>
        <v>1.0694268435173182E-2</v>
      </c>
      <c r="Q287" s="305">
        <f t="shared" si="101"/>
        <v>0.8</v>
      </c>
      <c r="R287" s="177">
        <f t="shared" si="102"/>
        <v>0.5942997918744698</v>
      </c>
      <c r="S287" s="809">
        <f t="shared" si="103"/>
        <v>0</v>
      </c>
      <c r="T287" s="176">
        <f t="shared" si="104"/>
        <v>6</v>
      </c>
      <c r="U287" s="251">
        <f t="shared" si="105"/>
        <v>0.5942997918744698</v>
      </c>
      <c r="V287" s="383">
        <f t="shared" si="106"/>
        <v>31.796141978787823</v>
      </c>
      <c r="W287" s="402"/>
      <c r="X287" s="157">
        <f t="shared" si="107"/>
        <v>44103</v>
      </c>
      <c r="Y287" s="385">
        <f t="shared" si="108"/>
        <v>27.000300802574575</v>
      </c>
      <c r="Z287" s="385">
        <f t="shared" si="109"/>
        <v>27.816085737098462</v>
      </c>
      <c r="AA287" s="386">
        <f t="shared" si="110"/>
        <v>30.995973767133631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0.10259035750659139</v>
      </c>
      <c r="AD287" s="231">
        <f>(INDEX(Models!$BJ287:$BT287,,AH287)*(1-AF287)+INDEX(Models!$BJ287:$BT287,,AH287+1)*AF287-ERP_i)*AE287*Ramure*Pc/MaxiM</f>
        <v>3.8114700404367569E-2</v>
      </c>
      <c r="AE287" s="305">
        <f t="shared" si="112"/>
        <v>0.8</v>
      </c>
      <c r="AF287" s="177">
        <f t="shared" si="113"/>
        <v>0.79423336602699113</v>
      </c>
      <c r="AG287" s="809">
        <f t="shared" si="119"/>
        <v>1</v>
      </c>
      <c r="AH287" s="176">
        <f t="shared" si="114"/>
        <v>7</v>
      </c>
      <c r="AI287" s="225">
        <f t="shared" si="115"/>
        <v>1.7942333660269911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6">
        <v>30.716000000000001</v>
      </c>
      <c r="C288" s="390"/>
      <c r="D288" s="393">
        <f t="shared" si="98"/>
        <v>31.644795623957837</v>
      </c>
      <c r="E288" s="385">
        <f t="shared" si="96"/>
        <v>35.264106175053335</v>
      </c>
      <c r="F288" s="385">
        <f t="shared" si="99"/>
        <v>35.633737494395717</v>
      </c>
      <c r="G288" s="110">
        <f t="shared" si="97"/>
        <v>0.97695198535114491</v>
      </c>
      <c r="H288" s="414" t="b">
        <f>Wh_hp&gt;='2019'!Maxi_hp</f>
        <v>1</v>
      </c>
      <c r="I288" s="380">
        <f>IF(H288,Wh_hp,'2019'!Maxi_hp)</f>
        <v>35.633737494395717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2.9350659583804048E-2</v>
      </c>
      <c r="M288" s="843"/>
      <c r="N288" s="843"/>
      <c r="O288" s="48">
        <f>IF(t&lt;Tnet,'2019'!Resal+('2019'!Salim-'2019'!Resal)*(1-EXP(('2019'!Tnet-t)/('2019'!Tau_j))),Resal+(Salim-Resal)*(1-EXP((Tnet-t)/(Tau_j))))*Salcycl</f>
        <v>0.10263440488549484</v>
      </c>
      <c r="P288" s="169">
        <f>(INDEX(Models!$BJ288:$BT288,,T288)*(1-R288)+INDEX(Models!$BJ288:$BT288,,T288+1)*R288-ERP_i)*Q288*Ramure*Pc/MaxiM</f>
        <v>1.0720802878391361E-2</v>
      </c>
      <c r="Q288" s="305">
        <f t="shared" si="101"/>
        <v>0.8</v>
      </c>
      <c r="R288" s="177">
        <f t="shared" si="102"/>
        <v>0.59453767831776771</v>
      </c>
      <c r="S288" s="809">
        <f t="shared" si="103"/>
        <v>0</v>
      </c>
      <c r="T288" s="176">
        <f t="shared" si="104"/>
        <v>6</v>
      </c>
      <c r="U288" s="251">
        <f t="shared" si="105"/>
        <v>0.59453767831776771</v>
      </c>
      <c r="V288" s="383">
        <f t="shared" si="106"/>
        <v>31.429596949530836</v>
      </c>
      <c r="W288" s="402"/>
      <c r="X288" s="157">
        <f t="shared" si="107"/>
        <v>44104</v>
      </c>
      <c r="Y288" s="385">
        <f t="shared" si="108"/>
        <v>29.900461335274532</v>
      </c>
      <c r="Z288" s="385">
        <f t="shared" si="109"/>
        <v>30.804596562599819</v>
      </c>
      <c r="AA288" s="386">
        <f t="shared" si="110"/>
        <v>34.327811017391532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0.10263440488549484</v>
      </c>
      <c r="AD288" s="231">
        <f>(INDEX(Models!$BJ288:$BT288,,AH288)*(1-AF288)+INDEX(Models!$BJ288:$BT288,,AH288+1)*AF288-ERP_i)*AE288*Ramure*Pc/MaxiM</f>
        <v>3.7877148393547194E-2</v>
      </c>
      <c r="AE288" s="305">
        <f t="shared" si="112"/>
        <v>0.8</v>
      </c>
      <c r="AF288" s="177">
        <f t="shared" si="113"/>
        <v>0.79447125247028882</v>
      </c>
      <c r="AG288" s="809">
        <f t="shared" si="119"/>
        <v>1</v>
      </c>
      <c r="AH288" s="176">
        <f t="shared" si="114"/>
        <v>7</v>
      </c>
      <c r="AI288" s="225">
        <f t="shared" si="115"/>
        <v>1.7944712524702888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6">
        <v>8.0449999999999999</v>
      </c>
      <c r="C289" s="390"/>
      <c r="D289" s="393">
        <f t="shared" si="98"/>
        <v>8.288461168708384</v>
      </c>
      <c r="E289" s="385">
        <f t="shared" si="96"/>
        <v>9.2368752236792808</v>
      </c>
      <c r="F289" s="385">
        <f t="shared" si="99"/>
        <v>9.2368752236792808</v>
      </c>
      <c r="G289" s="110">
        <f t="shared" si="97"/>
        <v>0.25616423939278604</v>
      </c>
      <c r="H289" s="414" t="b">
        <f>Wh_hp&gt;='2019'!Maxi_hp</f>
        <v>0</v>
      </c>
      <c r="I289" s="380">
        <f>IF(H289,Wh_hp,'2019'!Maxi_hp)</f>
        <v>36.768753531604595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2.9373506583770845E-2</v>
      </c>
      <c r="M289" s="843"/>
      <c r="N289" s="843"/>
      <c r="O289" s="48">
        <f>IF(t&lt;Tnet,'2019'!Resal+('2019'!Salim-'2019'!Resal)*(1-EXP(('2019'!Tnet-t)/('2019'!Tau_j))),Resal+(Salim-Resal)*(1-EXP((Tnet-t)/(Tau_j))))*Salcycl</f>
        <v>0.10267693695153322</v>
      </c>
      <c r="P289" s="169">
        <f>(INDEX(Models!$BJ289:$BT289,,T289)*(1-R289)+INDEX(Models!$BJ289:$BT289,,T289+1)*R289-ERP_i)*Q289*Ramure*Pc/MaxiM</f>
        <v>1.0718493010769272E-2</v>
      </c>
      <c r="Q289" s="305">
        <f t="shared" si="101"/>
        <v>0.8</v>
      </c>
      <c r="R289" s="177">
        <f t="shared" si="102"/>
        <v>0.59476616569435536</v>
      </c>
      <c r="S289" s="809">
        <f t="shared" si="103"/>
        <v>0</v>
      </c>
      <c r="T289" s="176">
        <f t="shared" si="104"/>
        <v>6</v>
      </c>
      <c r="U289" s="251">
        <f t="shared" si="105"/>
        <v>0.59476616569435536</v>
      </c>
      <c r="V289" s="383">
        <f t="shared" si="106"/>
        <v>31.069011594256473</v>
      </c>
      <c r="W289" s="402"/>
      <c r="X289" s="157">
        <f t="shared" si="107"/>
        <v>44105</v>
      </c>
      <c r="Y289" s="385">
        <f t="shared" si="108"/>
        <v>8.0449999999999999</v>
      </c>
      <c r="Z289" s="385">
        <f t="shared" si="109"/>
        <v>8.288461168708384</v>
      </c>
      <c r="AA289" s="386">
        <f t="shared" si="110"/>
        <v>9.2368752236792808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0.10267693695153322</v>
      </c>
      <c r="AD289" s="231">
        <f>(INDEX(Models!$BJ289:$BT289,,AH289)*(1-AF289)+INDEX(Models!$BJ289:$BT289,,AH289+1)*AF289-ERP_i)*AE289*Ramure*Pc/MaxiM</f>
        <v>3.7563116059829198E-2</v>
      </c>
      <c r="AE289" s="305">
        <f t="shared" si="112"/>
        <v>0.8</v>
      </c>
      <c r="AF289" s="177">
        <f t="shared" si="113"/>
        <v>0.7946997398468767</v>
      </c>
      <c r="AG289" s="809">
        <f t="shared" si="119"/>
        <v>1</v>
      </c>
      <c r="AH289" s="176">
        <f t="shared" si="114"/>
        <v>7</v>
      </c>
      <c r="AI289" s="225">
        <f t="shared" si="115"/>
        <v>1.7946997398468767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6">
        <v>5.133</v>
      </c>
      <c r="C290" s="390"/>
      <c r="D290" s="393">
        <f t="shared" si="98"/>
        <v>5.2884614807915389</v>
      </c>
      <c r="E290" s="385">
        <f t="shared" si="96"/>
        <v>5.8938673274274169</v>
      </c>
      <c r="F290" s="385">
        <f t="shared" si="99"/>
        <v>5.8938673274274169</v>
      </c>
      <c r="G290" s="110">
        <f t="shared" si="97"/>
        <v>0.16534900554861359</v>
      </c>
      <c r="H290" s="414" t="b">
        <f>Wh_hp&gt;='2019'!Maxi_hp</f>
        <v>0</v>
      </c>
      <c r="I290" s="380">
        <f>IF(H290,Wh_hp,'2019'!Maxi_hp)</f>
        <v>34.895336094635255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2.93963530520545E-2</v>
      </c>
      <c r="M290" s="843"/>
      <c r="N290" s="843"/>
      <c r="O290" s="48">
        <f>IF(t&lt;Tnet,'2019'!Resal+('2019'!Salim-'2019'!Resal)*(1-EXP(('2019'!Tnet-t)/('2019'!Tau_j))),Resal+(Salim-Resal)*(1-EXP((Tnet-t)/(Tau_j))))*Salcycl</f>
        <v>0.10271792916318126</v>
      </c>
      <c r="P290" s="169">
        <f>(INDEX(Models!$BJ290:$BT290,,T290)*(1-R290)+INDEX(Models!$BJ290:$BT290,,T290+1)*R290-ERP_i)*Q290*Ramure*Pc/MaxiM</f>
        <v>1.0685377735414685E-2</v>
      </c>
      <c r="Q290" s="305">
        <f t="shared" si="101"/>
        <v>0.8</v>
      </c>
      <c r="R290" s="177">
        <f t="shared" si="102"/>
        <v>0.59498561850930098</v>
      </c>
      <c r="S290" s="809">
        <f t="shared" si="103"/>
        <v>0</v>
      </c>
      <c r="T290" s="176">
        <f t="shared" si="104"/>
        <v>6</v>
      </c>
      <c r="U290" s="251">
        <f t="shared" si="105"/>
        <v>0.59498561850930098</v>
      </c>
      <c r="V290" s="383">
        <f t="shared" si="106"/>
        <v>30.711717553034269</v>
      </c>
      <c r="W290" s="402"/>
      <c r="X290" s="157">
        <f t="shared" si="107"/>
        <v>44106</v>
      </c>
      <c r="Y290" s="385">
        <f t="shared" si="108"/>
        <v>5.133</v>
      </c>
      <c r="Z290" s="385">
        <f t="shared" si="109"/>
        <v>5.2884614807915389</v>
      </c>
      <c r="AA290" s="386">
        <f t="shared" si="110"/>
        <v>5.8938673274274169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0.10271792916318126</v>
      </c>
      <c r="AD290" s="231">
        <f>(INDEX(Models!$BJ290:$BT290,,AH290)*(1-AF290)+INDEX(Models!$BJ290:$BT290,,AH290+1)*AF290-ERP_i)*AE290*Ramure*Pc/MaxiM</f>
        <v>3.7173740622947329E-2</v>
      </c>
      <c r="AE290" s="305">
        <f t="shared" si="112"/>
        <v>0.8</v>
      </c>
      <c r="AF290" s="177">
        <f t="shared" si="113"/>
        <v>0.7949191926618222</v>
      </c>
      <c r="AG290" s="809">
        <f t="shared" si="119"/>
        <v>1</v>
      </c>
      <c r="AH290" s="176">
        <f t="shared" si="114"/>
        <v>7</v>
      </c>
      <c r="AI290" s="225">
        <f t="shared" si="115"/>
        <v>1.7949191926618222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6">
        <v>14.343</v>
      </c>
      <c r="C291" s="390"/>
      <c r="D291" s="393">
        <f t="shared" si="98"/>
        <v>14.77774955475606</v>
      </c>
      <c r="E291" s="385">
        <f t="shared" si="96"/>
        <v>16.470181967888816</v>
      </c>
      <c r="F291" s="385">
        <f t="shared" si="99"/>
        <v>16.513465005150387</v>
      </c>
      <c r="G291" s="110">
        <f t="shared" si="97"/>
        <v>0.46867708464388236</v>
      </c>
      <c r="H291" s="414" t="b">
        <f>Wh_hp&gt;='2019'!Maxi_hp</f>
        <v>0</v>
      </c>
      <c r="I291" s="380">
        <f>IF(H291,Wh_hp,'2019'!Maxi_hp)</f>
        <v>34.286238129352988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2.9419198988667447E-2</v>
      </c>
      <c r="M291" s="843"/>
      <c r="N291" s="843"/>
      <c r="O291" s="48">
        <f>IF(t&lt;Tnet,'2019'!Resal+('2019'!Salim-'2019'!Resal)*(1-EXP(('2019'!Tnet-t)/('2019'!Tau_j))),Resal+(Salim-Resal)*(1-EXP((Tnet-t)/(Tau_j))))*Salcycl</f>
        <v>0.1027573597202761</v>
      </c>
      <c r="P291" s="169">
        <f>(INDEX(Models!$BJ291:$BT291,,T291)*(1-R291)+INDEX(Models!$BJ291:$BT291,,T291+1)*R291-ERP_i)*Q291*Ramure*Pc/MaxiM</f>
        <v>1.0637805762350861E-2</v>
      </c>
      <c r="Q291" s="305">
        <f t="shared" si="101"/>
        <v>0.8</v>
      </c>
      <c r="R291" s="177">
        <f t="shared" si="102"/>
        <v>0.5951963876688976</v>
      </c>
      <c r="S291" s="809">
        <f t="shared" si="103"/>
        <v>0</v>
      </c>
      <c r="T291" s="176">
        <f t="shared" si="104"/>
        <v>6</v>
      </c>
      <c r="U291" s="251">
        <f t="shared" si="105"/>
        <v>0.5951963876688976</v>
      </c>
      <c r="V291" s="383">
        <f t="shared" si="106"/>
        <v>30.357178384095661</v>
      </c>
      <c r="W291" s="402"/>
      <c r="X291" s="157">
        <f t="shared" si="107"/>
        <v>44107</v>
      </c>
      <c r="Y291" s="385">
        <f t="shared" si="108"/>
        <v>14.250458042615975</v>
      </c>
      <c r="Z291" s="385">
        <f t="shared" si="109"/>
        <v>14.68240256531675</v>
      </c>
      <c r="AA291" s="386">
        <f t="shared" si="110"/>
        <v>16.36391529579933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0.1027573597202761</v>
      </c>
      <c r="AD291" s="231">
        <f>(INDEX(Models!$BJ291:$BT291,,AH291)*(1-AF291)+INDEX(Models!$BJ291:$BT291,,AH291+1)*AF291-ERP_i)*AE291*Ramure*Pc/MaxiM</f>
        <v>3.6755294003016692E-2</v>
      </c>
      <c r="AE291" s="305">
        <f t="shared" si="112"/>
        <v>0.8</v>
      </c>
      <c r="AF291" s="177">
        <f t="shared" si="113"/>
        <v>0.79512996182141871</v>
      </c>
      <c r="AG291" s="809">
        <f t="shared" si="119"/>
        <v>1</v>
      </c>
      <c r="AH291" s="176">
        <f t="shared" si="114"/>
        <v>7</v>
      </c>
      <c r="AI291" s="225">
        <f t="shared" si="115"/>
        <v>1.7951299618214187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6">
        <v>18.513000000000002</v>
      </c>
      <c r="C292" s="390"/>
      <c r="D292" s="393">
        <f t="shared" si="98"/>
        <v>19.074595074988167</v>
      </c>
      <c r="E292" s="385">
        <f t="shared" si="96"/>
        <v>21.26002366959441</v>
      </c>
      <c r="F292" s="385">
        <f t="shared" si="99"/>
        <v>21.362327622922979</v>
      </c>
      <c r="G292" s="110">
        <f t="shared" si="97"/>
        <v>0.61340184431918288</v>
      </c>
      <c r="H292" s="414" t="b">
        <f>Wh_hp&gt;='2019'!Maxi_hp</f>
        <v>0</v>
      </c>
      <c r="I292" s="380">
        <f>IF(H292,Wh_hp,'2019'!Maxi_hp)</f>
        <v>33.617234790020177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2.9442044393622122E-2</v>
      </c>
      <c r="M292" s="843"/>
      <c r="N292" s="843"/>
      <c r="O292" s="48">
        <f>IF(t&lt;Tnet,'2019'!Resal+('2019'!Salim-'2019'!Resal)*(1-EXP(('2019'!Tnet-t)/('2019'!Tau_j))),Resal+(Salim-Resal)*(1-EXP((Tnet-t)/(Tau_j))))*Salcycl</f>
        <v>0.10279520985349572</v>
      </c>
      <c r="P292" s="169">
        <f>(INDEX(Models!$BJ292:$BT292,,T292)*(1-R292)+INDEX(Models!$BJ292:$BT292,,T292+1)*R292-ERP_i)*Q292*Ramure*Pc/MaxiM</f>
        <v>1.057541545728467E-2</v>
      </c>
      <c r="Q292" s="305">
        <f t="shared" si="101"/>
        <v>0.8</v>
      </c>
      <c r="R292" s="177">
        <f t="shared" si="102"/>
        <v>0.59539881094567559</v>
      </c>
      <c r="S292" s="809">
        <f t="shared" si="103"/>
        <v>0</v>
      </c>
      <c r="T292" s="176">
        <f t="shared" si="104"/>
        <v>6</v>
      </c>
      <c r="U292" s="251">
        <f t="shared" si="105"/>
        <v>0.59539881094567559</v>
      </c>
      <c r="V292" s="383">
        <f t="shared" si="106"/>
        <v>30.005388105286944</v>
      </c>
      <c r="W292" s="402"/>
      <c r="X292" s="157">
        <f t="shared" si="107"/>
        <v>44108</v>
      </c>
      <c r="Y292" s="385">
        <f t="shared" si="108"/>
        <v>18.296240619290703</v>
      </c>
      <c r="Z292" s="385">
        <f t="shared" si="109"/>
        <v>18.851260260763837</v>
      </c>
      <c r="AA292" s="386">
        <f t="shared" si="110"/>
        <v>21.011100774089289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0.10279520985349572</v>
      </c>
      <c r="AD292" s="231">
        <f>(INDEX(Models!$BJ292:$BT292,,AH292)*(1-AF292)+INDEX(Models!$BJ292:$BT292,,AH292+1)*AF292-ERP_i)*AE292*Ramure*Pc/MaxiM</f>
        <v>3.6307197574661311E-2</v>
      </c>
      <c r="AE292" s="305">
        <f t="shared" si="112"/>
        <v>0.8</v>
      </c>
      <c r="AF292" s="177">
        <f t="shared" si="113"/>
        <v>0.79533238509819681</v>
      </c>
      <c r="AG292" s="809">
        <f t="shared" si="119"/>
        <v>1</v>
      </c>
      <c r="AH292" s="176">
        <f t="shared" si="114"/>
        <v>7</v>
      </c>
      <c r="AI292" s="225">
        <f t="shared" si="115"/>
        <v>1.7953323850981968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6">
        <v>21.039000000000001</v>
      </c>
      <c r="C293" s="390"/>
      <c r="D293" s="393">
        <f t="shared" si="98"/>
        <v>21.677731972116625</v>
      </c>
      <c r="E293" s="385">
        <f t="shared" si="96"/>
        <v>24.162385443660359</v>
      </c>
      <c r="F293" s="385">
        <f t="shared" si="99"/>
        <v>24.311662521507433</v>
      </c>
      <c r="G293" s="110">
        <f t="shared" si="97"/>
        <v>0.70631614226988404</v>
      </c>
      <c r="H293" s="414" t="b">
        <f>Wh_hp&gt;='2019'!Maxi_hp</f>
        <v>0</v>
      </c>
      <c r="I293" s="380">
        <f>IF(H293,Wh_hp,'2019'!Maxi_hp)</f>
        <v>31.212763298231373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2.9464889266930847E-2</v>
      </c>
      <c r="M293" s="843"/>
      <c r="N293" s="843"/>
      <c r="O293" s="48">
        <f>IF(t&lt;Tnet,'2019'!Resal+('2019'!Salim-'2019'!Resal)*(1-EXP(('2019'!Tnet-t)/('2019'!Tau_j))),Resal+(Salim-Resal)*(1-EXP((Tnet-t)/(Tau_j))))*Salcycl</f>
        <v>0.10283146410925448</v>
      </c>
      <c r="P293" s="169">
        <f>(INDEX(Models!$BJ293:$BT293,,T293)*(1-R293)+INDEX(Models!$BJ293:$BT293,,T293+1)*R293-ERP_i)*Q293*Ramure*Pc/MaxiM</f>
        <v>1.0497849193242575E-2</v>
      </c>
      <c r="Q293" s="305">
        <f t="shared" si="101"/>
        <v>0.8</v>
      </c>
      <c r="R293" s="177">
        <f t="shared" si="102"/>
        <v>0.59559321343092253</v>
      </c>
      <c r="S293" s="809">
        <f t="shared" si="103"/>
        <v>0</v>
      </c>
      <c r="T293" s="176">
        <f t="shared" si="104"/>
        <v>6</v>
      </c>
      <c r="U293" s="251">
        <f t="shared" si="105"/>
        <v>0.59559321343092253</v>
      </c>
      <c r="V293" s="383">
        <f t="shared" si="106"/>
        <v>29.656340189584778</v>
      </c>
      <c r="W293" s="402"/>
      <c r="X293" s="157">
        <f t="shared" si="107"/>
        <v>44109</v>
      </c>
      <c r="Y293" s="385">
        <f t="shared" si="108"/>
        <v>20.725360251745222</v>
      </c>
      <c r="Z293" s="385">
        <f t="shared" si="109"/>
        <v>21.354570301007293</v>
      </c>
      <c r="AA293" s="386">
        <f t="shared" si="110"/>
        <v>23.80218369986148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0.10283146410925448</v>
      </c>
      <c r="AD293" s="231">
        <f>(INDEX(Models!$BJ293:$BT293,,AH293)*(1-AF293)+INDEX(Models!$BJ293:$BT293,,AH293+1)*AF293-ERP_i)*AE293*Ramure*Pc/MaxiM</f>
        <v>3.5828888895248288E-2</v>
      </c>
      <c r="AE293" s="305">
        <f t="shared" si="112"/>
        <v>0.8</v>
      </c>
      <c r="AF293" s="177">
        <f t="shared" si="113"/>
        <v>0.79552678758344375</v>
      </c>
      <c r="AG293" s="809">
        <f t="shared" si="119"/>
        <v>1</v>
      </c>
      <c r="AH293" s="176">
        <f t="shared" si="114"/>
        <v>7</v>
      </c>
      <c r="AI293" s="225">
        <f t="shared" si="115"/>
        <v>1.7955267875834438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6">
        <v>6.7720000000000002</v>
      </c>
      <c r="C294" s="390"/>
      <c r="D294" s="393">
        <f t="shared" si="98"/>
        <v>6.9777582772652433</v>
      </c>
      <c r="E294" s="385">
        <f t="shared" si="96"/>
        <v>7.7778337881596968</v>
      </c>
      <c r="F294" s="385">
        <f t="shared" si="99"/>
        <v>7.7778337881596968</v>
      </c>
      <c r="G294" s="110">
        <f t="shared" si="97"/>
        <v>0.22864321749296532</v>
      </c>
      <c r="H294" s="414" t="b">
        <f>Wh_hp&gt;='2019'!Maxi_hp</f>
        <v>0</v>
      </c>
      <c r="I294" s="380">
        <f>IF(H294,Wh_hp,'2019'!Maxi_hp)</f>
        <v>27.703702103134923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2.9487733608606057E-2</v>
      </c>
      <c r="M294" s="843"/>
      <c r="N294" s="843"/>
      <c r="O294" s="48">
        <f>IF(t&lt;Tnet,'2019'!Resal+('2019'!Salim-'2019'!Resal)*(1-EXP(('2019'!Tnet-t)/('2019'!Tau_j))),Resal+(Salim-Resal)*(1-EXP((Tnet-t)/(Tau_j))))*Salcycl</f>
        <v>0.1028661106274113</v>
      </c>
      <c r="P294" s="169">
        <f>(INDEX(Models!$BJ294:$BT294,,T294)*(1-R294)+INDEX(Models!$BJ294:$BT294,,T294+1)*R294-ERP_i)*Q294*Ramure*Pc/MaxiM</f>
        <v>1.0404754156496783E-2</v>
      </c>
      <c r="Q294" s="305">
        <f t="shared" si="101"/>
        <v>0.8</v>
      </c>
      <c r="R294" s="177">
        <f t="shared" si="102"/>
        <v>0.59577990797475</v>
      </c>
      <c r="S294" s="809">
        <f t="shared" si="103"/>
        <v>0</v>
      </c>
      <c r="T294" s="176">
        <f t="shared" si="104"/>
        <v>6</v>
      </c>
      <c r="U294" s="251">
        <f t="shared" si="105"/>
        <v>0.59577990797475</v>
      </c>
      <c r="V294" s="383">
        <f t="shared" si="106"/>
        <v>29.310027554429386</v>
      </c>
      <c r="W294" s="402"/>
      <c r="X294" s="157">
        <f t="shared" si="107"/>
        <v>44110</v>
      </c>
      <c r="Y294" s="385">
        <f t="shared" si="108"/>
        <v>6.7720000000000002</v>
      </c>
      <c r="Z294" s="385">
        <f t="shared" si="109"/>
        <v>6.9777582772652433</v>
      </c>
      <c r="AA294" s="386">
        <f t="shared" si="110"/>
        <v>7.7778337881596968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0.1028661106274113</v>
      </c>
      <c r="AD294" s="231">
        <f>(INDEX(Models!$BJ294:$BT294,,AH294)*(1-AF294)+INDEX(Models!$BJ294:$BT294,,AH294+1)*AF294-ERP_i)*AE294*Ramure*Pc/MaxiM</f>
        <v>3.5319823322835626E-2</v>
      </c>
      <c r="AE294" s="305">
        <f t="shared" si="112"/>
        <v>0.8</v>
      </c>
      <c r="AF294" s="177">
        <f t="shared" si="113"/>
        <v>0.79571348212727111</v>
      </c>
      <c r="AG294" s="809">
        <f t="shared" si="119"/>
        <v>1</v>
      </c>
      <c r="AH294" s="176">
        <f t="shared" si="114"/>
        <v>7</v>
      </c>
      <c r="AI294" s="225">
        <f t="shared" si="115"/>
        <v>1.7957134821272711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6">
        <v>23.434999999999999</v>
      </c>
      <c r="C295" s="390"/>
      <c r="D295" s="393">
        <f t="shared" si="98"/>
        <v>24.147609911777096</v>
      </c>
      <c r="E295" s="385">
        <f t="shared" si="96"/>
        <v>26.9173857995277</v>
      </c>
      <c r="F295" s="385">
        <f t="shared" si="99"/>
        <v>27.120438913705112</v>
      </c>
      <c r="G295" s="110">
        <f t="shared" si="97"/>
        <v>0.80675014392831612</v>
      </c>
      <c r="H295" s="414" t="b">
        <f>Wh_hp&gt;='2019'!Maxi_hp</f>
        <v>0</v>
      </c>
      <c r="I295" s="380">
        <f>IF(H295,Wh_hp,'2019'!Maxi_hp)</f>
        <v>32.97035211319082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2.9510577418659964E-2</v>
      </c>
      <c r="M295" s="843"/>
      <c r="N295" s="843"/>
      <c r="O295" s="48">
        <f>IF(t&lt;Tnet,'2019'!Resal+('2019'!Salim-'2019'!Resal)*(1-EXP(('2019'!Tnet-t)/('2019'!Tau_j))),Resal+(Salim-Resal)*(1-EXP((Tnet-t)/(Tau_j))))*Salcycl</f>
        <v>0.10289914140916337</v>
      </c>
      <c r="P295" s="169">
        <f>(INDEX(Models!$BJ295:$BT295,,T295)*(1-R295)+INDEX(Models!$BJ295:$BT295,,T295+1)*R295-ERP_i)*Q295*Ramure*Pc/MaxiM</f>
        <v>1.0295783110794722E-2</v>
      </c>
      <c r="Q295" s="305">
        <f t="shared" si="101"/>
        <v>0.8</v>
      </c>
      <c r="R295" s="177">
        <f t="shared" si="102"/>
        <v>0.59595919561378341</v>
      </c>
      <c r="S295" s="809">
        <f t="shared" si="103"/>
        <v>0</v>
      </c>
      <c r="T295" s="176">
        <f t="shared" si="104"/>
        <v>6</v>
      </c>
      <c r="U295" s="251">
        <f t="shared" si="105"/>
        <v>0.59595919561378341</v>
      </c>
      <c r="V295" s="383">
        <f t="shared" si="106"/>
        <v>28.966442555036448</v>
      </c>
      <c r="W295" s="402"/>
      <c r="X295" s="157">
        <f t="shared" si="107"/>
        <v>44111</v>
      </c>
      <c r="Y295" s="385">
        <f t="shared" si="108"/>
        <v>23.014603334883159</v>
      </c>
      <c r="Z295" s="385">
        <f t="shared" si="109"/>
        <v>23.71442985299948</v>
      </c>
      <c r="AA295" s="386">
        <f t="shared" si="110"/>
        <v>26.434519180206824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0.10289914140916337</v>
      </c>
      <c r="AD295" s="231">
        <f>(INDEX(Models!$BJ295:$BT295,,AH295)*(1-AF295)+INDEX(Models!$BJ295:$BT295,,AH295+1)*AF295-ERP_i)*AE295*Ramure*Pc/MaxiM</f>
        <v>3.4779475489069511E-2</v>
      </c>
      <c r="AE295" s="305">
        <f t="shared" si="112"/>
        <v>0.8</v>
      </c>
      <c r="AF295" s="177">
        <f t="shared" si="113"/>
        <v>0.79589276976630474</v>
      </c>
      <c r="AG295" s="809">
        <f t="shared" si="119"/>
        <v>1</v>
      </c>
      <c r="AH295" s="176">
        <f t="shared" si="114"/>
        <v>7</v>
      </c>
      <c r="AI295" s="225">
        <f t="shared" si="115"/>
        <v>1.7958927697663047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6">
        <v>27.242000000000001</v>
      </c>
      <c r="C296" s="390"/>
      <c r="D296" s="393">
        <f t="shared" si="98"/>
        <v>28.071033646072038</v>
      </c>
      <c r="E296" s="385">
        <f t="shared" si="96"/>
        <v>31.291929210799285</v>
      </c>
      <c r="F296" s="385">
        <f t="shared" si="99"/>
        <v>31.591073153287706</v>
      </c>
      <c r="G296" s="110">
        <f t="shared" si="97"/>
        <v>0.95099258533602649</v>
      </c>
      <c r="H296" s="414" t="b">
        <f>Wh_hp&gt;='2019'!Maxi_hp</f>
        <v>1</v>
      </c>
      <c r="I296" s="380">
        <f>IF(H296,Wh_hp,'2019'!Maxi_hp)</f>
        <v>31.591073153287706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2.9533420697105114E-2</v>
      </c>
      <c r="M296" s="843"/>
      <c r="N296" s="843"/>
      <c r="O296" s="48">
        <f>IF(t&lt;Tnet,'2019'!Resal+('2019'!Salim-'2019'!Resal)*(1-EXP(('2019'!Tnet-t)/('2019'!Tau_j))),Resal+(Salim-Resal)*(1-EXP((Tnet-t)/(Tau_j))))*Salcycl</f>
        <v>0.10293055257250393</v>
      </c>
      <c r="P296" s="169">
        <f>(INDEX(Models!$BJ296:$BT296,,T296)*(1-R296)+INDEX(Models!$BJ296:$BT296,,T296+1)*R296-ERP_i)*Q296*Ramure*Pc/MaxiM</f>
        <v>1.0171568218663985E-2</v>
      </c>
      <c r="Q296" s="305">
        <f t="shared" si="101"/>
        <v>0.8</v>
      </c>
      <c r="R296" s="177">
        <f t="shared" si="102"/>
        <v>0.59613136598657845</v>
      </c>
      <c r="S296" s="809">
        <f t="shared" si="103"/>
        <v>0</v>
      </c>
      <c r="T296" s="176">
        <f t="shared" si="104"/>
        <v>6</v>
      </c>
      <c r="U296" s="251">
        <f t="shared" si="105"/>
        <v>0.59613136598657845</v>
      </c>
      <c r="V296" s="383">
        <f t="shared" si="106"/>
        <v>28.625548836554636</v>
      </c>
      <c r="W296" s="402"/>
      <c r="X296" s="157">
        <f t="shared" si="107"/>
        <v>44112</v>
      </c>
      <c r="Y296" s="385">
        <f t="shared" si="108"/>
        <v>26.626360416066667</v>
      </c>
      <c r="Z296" s="385">
        <f t="shared" si="109"/>
        <v>27.436658803019164</v>
      </c>
      <c r="AA296" s="386">
        <f t="shared" si="110"/>
        <v>30.584765629571482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0.10293055257250393</v>
      </c>
      <c r="AD296" s="231">
        <f>(INDEX(Models!$BJ296:$BT296,,AH296)*(1-AF296)+INDEX(Models!$BJ296:$BT296,,AH296+1)*AF296-ERP_i)*AE296*Ramure*Pc/MaxiM</f>
        <v>3.4216723699262729E-2</v>
      </c>
      <c r="AE296" s="305">
        <f t="shared" si="112"/>
        <v>0.8</v>
      </c>
      <c r="AF296" s="177">
        <f t="shared" si="113"/>
        <v>0.79606494013909979</v>
      </c>
      <c r="AG296" s="809">
        <f t="shared" si="119"/>
        <v>1</v>
      </c>
      <c r="AH296" s="176">
        <f t="shared" si="114"/>
        <v>7</v>
      </c>
      <c r="AI296" s="225">
        <f t="shared" si="115"/>
        <v>1.7960649401390998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6">
        <v>19.719000000000001</v>
      </c>
      <c r="C297" s="390"/>
      <c r="D297" s="393">
        <f t="shared" si="98"/>
        <v>20.319570581164921</v>
      </c>
      <c r="E297" s="385">
        <f t="shared" ref="E297:E360" si="120">Wh_pvt/(1-Psa)</f>
        <v>22.651808600298398</v>
      </c>
      <c r="F297" s="385">
        <f t="shared" si="99"/>
        <v>22.781593896751261</v>
      </c>
      <c r="G297" s="110">
        <f t="shared" ref="G297:G360" si="121">+Wh_hp/MaxiM</f>
        <v>0.6940572180202712</v>
      </c>
      <c r="H297" s="414" t="b">
        <f>Wh_hp&gt;='2019'!Maxi_hp</f>
        <v>0</v>
      </c>
      <c r="I297" s="380">
        <f>IF(H297,Wh_hp,'2019'!Maxi_hp)</f>
        <v>23.697092446987973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2.955626344395372E-2</v>
      </c>
      <c r="M297" s="843"/>
      <c r="N297" s="843"/>
      <c r="O297" s="48">
        <f>IF(t&lt;Tnet,'2019'!Resal+('2019'!Salim-'2019'!Resal)*(1-EXP(('2019'!Tnet-t)/('2019'!Tau_j))),Resal+(Salim-Resal)*(1-EXP((Tnet-t)/(Tau_j))))*Salcycl</f>
        <v>0.10296034459265004</v>
      </c>
      <c r="P297" s="169">
        <f>(INDEX(Models!$BJ297:$BT297,,T297)*(1-R297)+INDEX(Models!$BJ297:$BT297,,T297+1)*R297-ERP_i)*Q297*Ramure*Pc/MaxiM</f>
        <v>1.0042351249148299E-2</v>
      </c>
      <c r="Q297" s="305">
        <f t="shared" si="101"/>
        <v>0.8</v>
      </c>
      <c r="R297" s="177">
        <f t="shared" si="102"/>
        <v>0.59629669773688776</v>
      </c>
      <c r="S297" s="809">
        <f t="shared" si="103"/>
        <v>0</v>
      </c>
      <c r="T297" s="176">
        <f t="shared" si="104"/>
        <v>6</v>
      </c>
      <c r="U297" s="251">
        <f t="shared" si="105"/>
        <v>0.59629669773688776</v>
      </c>
      <c r="V297" s="383">
        <f t="shared" si="106"/>
        <v>28.287036439466199</v>
      </c>
      <c r="W297" s="402"/>
      <c r="X297" s="157">
        <f t="shared" si="107"/>
        <v>44113</v>
      </c>
      <c r="Y297" s="385">
        <f t="shared" si="108"/>
        <v>19.453417188040341</v>
      </c>
      <c r="Z297" s="385">
        <f t="shared" si="109"/>
        <v>20.045899061678206</v>
      </c>
      <c r="AA297" s="386">
        <f t="shared" si="110"/>
        <v>22.346725633411676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0.10296034459265004</v>
      </c>
      <c r="AD297" s="231">
        <f>(INDEX(Models!$BJ297:$BT297,,AH297)*(1-AF297)+INDEX(Models!$BJ297:$BT297,,AH297+1)*AF297-ERP_i)*AE297*Ramure*Pc/MaxiM</f>
        <v>3.3648648706129484E-2</v>
      </c>
      <c r="AE297" s="305">
        <f t="shared" si="112"/>
        <v>0.8</v>
      </c>
      <c r="AF297" s="177">
        <f t="shared" si="113"/>
        <v>0.79623027188940898</v>
      </c>
      <c r="AG297" s="809">
        <f t="shared" si="119"/>
        <v>1</v>
      </c>
      <c r="AH297" s="176">
        <f t="shared" si="114"/>
        <v>7</v>
      </c>
      <c r="AI297" s="225">
        <f t="shared" si="115"/>
        <v>1.796230271889409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6">
        <v>18.669</v>
      </c>
      <c r="C298" s="390"/>
      <c r="D298" s="393">
        <f t="shared" si="98"/>
        <v>19.238044140302719</v>
      </c>
      <c r="E298" s="385">
        <f t="shared" si="120"/>
        <v>21.44682049604749</v>
      </c>
      <c r="F298" s="385">
        <f t="shared" si="99"/>
        <v>21.559093980008463</v>
      </c>
      <c r="G298" s="110">
        <f t="shared" si="121"/>
        <v>0.66476533070070587</v>
      </c>
      <c r="H298" s="414" t="b">
        <f>Wh_hp&gt;='2019'!Maxi_hp</f>
        <v>0</v>
      </c>
      <c r="I298" s="380">
        <f>IF(H298,Wh_hp,'2019'!Maxi_hp)</f>
        <v>33.346419914552634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2.9579105659218327E-2</v>
      </c>
      <c r="M298" s="843"/>
      <c r="N298" s="843"/>
      <c r="O298" s="48">
        <f>IF(t&lt;Tnet,'2019'!Resal+('2019'!Salim-'2019'!Resal)*(1-EXP(('2019'!Tnet-t)/('2019'!Tau_j))),Resal+(Salim-Resal)*(1-EXP((Tnet-t)/(Tau_j))))*Salcycl</f>
        <v>0.10298852252490448</v>
      </c>
      <c r="P298" s="169">
        <f>(INDEX(Models!$BJ298:$BT298,,T298)*(1-R298)+INDEX(Models!$BJ298:$BT298,,T298+1)*R298-ERP_i)*Q298*Ramure*Pc/MaxiM</f>
        <v>9.9080881746409256E-3</v>
      </c>
      <c r="Q298" s="305">
        <f t="shared" si="101"/>
        <v>0.8</v>
      </c>
      <c r="R298" s="177">
        <f t="shared" si="102"/>
        <v>0.59645545890492735</v>
      </c>
      <c r="S298" s="809">
        <f t="shared" si="103"/>
        <v>0</v>
      </c>
      <c r="T298" s="176">
        <f t="shared" si="104"/>
        <v>6</v>
      </c>
      <c r="U298" s="251">
        <f t="shared" si="105"/>
        <v>0.59645545890492735</v>
      </c>
      <c r="V298" s="383">
        <f t="shared" si="106"/>
        <v>27.950899939949984</v>
      </c>
      <c r="W298" s="402"/>
      <c r="X298" s="157">
        <f t="shared" si="107"/>
        <v>44114</v>
      </c>
      <c r="Y298" s="385">
        <f t="shared" si="108"/>
        <v>18.440481346265532</v>
      </c>
      <c r="Z298" s="385">
        <f t="shared" si="109"/>
        <v>19.002560078626878</v>
      </c>
      <c r="AA298" s="386">
        <f t="shared" si="110"/>
        <v>21.184299817562216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0.10298852252490448</v>
      </c>
      <c r="AD298" s="231">
        <f>(INDEX(Models!$BJ298:$BT298,,AH298)*(1-AF298)+INDEX(Models!$BJ298:$BT298,,AH298+1)*AF298-ERP_i)*AE298*Ramure*Pc/MaxiM</f>
        <v>3.3075428657304208E-2</v>
      </c>
      <c r="AE298" s="305">
        <f t="shared" si="112"/>
        <v>0.8</v>
      </c>
      <c r="AF298" s="177">
        <f t="shared" si="113"/>
        <v>0.79638903305744857</v>
      </c>
      <c r="AG298" s="809">
        <f t="shared" si="119"/>
        <v>1</v>
      </c>
      <c r="AH298" s="176">
        <f t="shared" si="114"/>
        <v>7</v>
      </c>
      <c r="AI298" s="225">
        <f t="shared" si="115"/>
        <v>1.7963890330574486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6">
        <v>14.186</v>
      </c>
      <c r="C299" s="390"/>
      <c r="D299" s="393">
        <f t="shared" si="98"/>
        <v>14.61874326845226</v>
      </c>
      <c r="E299" s="385">
        <f t="shared" si="120"/>
        <v>16.29764693546495</v>
      </c>
      <c r="F299" s="385">
        <f t="shared" si="99"/>
        <v>16.346388454542566</v>
      </c>
      <c r="G299" s="110">
        <f t="shared" si="121"/>
        <v>0.51016997529149732</v>
      </c>
      <c r="H299" s="414" t="b">
        <f>Wh_hp&gt;='2019'!Maxi_hp</f>
        <v>0</v>
      </c>
      <c r="I299" s="380">
        <f>IF(H299,Wh_hp,'2019'!Maxi_hp)</f>
        <v>28.124270401966623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2.9601947342911147E-2</v>
      </c>
      <c r="M299" s="843"/>
      <c r="N299" s="843"/>
      <c r="O299" s="48">
        <f>IF(t&lt;Tnet,'2019'!Resal+('2019'!Salim-'2019'!Resal)*(1-EXP(('2019'!Tnet-t)/('2019'!Tau_j))),Resal+(Salim-Resal)*(1-EXP((Tnet-t)/(Tau_j))))*Salcycl</f>
        <v>0.10301509620749394</v>
      </c>
      <c r="P299" s="169">
        <f>(INDEX(Models!$BJ299:$BT299,,T299)*(1-R299)+INDEX(Models!$BJ299:$BT299,,T299+1)*R299-ERP_i)*Q299*Ramure*Pc/MaxiM</f>
        <v>9.7687407174450371E-3</v>
      </c>
      <c r="Q299" s="305">
        <f t="shared" si="101"/>
        <v>0.8</v>
      </c>
      <c r="R299" s="177">
        <f t="shared" si="102"/>
        <v>0.59660790730680913</v>
      </c>
      <c r="S299" s="809">
        <f t="shared" si="103"/>
        <v>0</v>
      </c>
      <c r="T299" s="176">
        <f t="shared" si="104"/>
        <v>6</v>
      </c>
      <c r="U299" s="251">
        <f t="shared" si="105"/>
        <v>0.59660790730680913</v>
      </c>
      <c r="V299" s="383">
        <f t="shared" si="106"/>
        <v>27.617133648895031</v>
      </c>
      <c r="W299" s="402"/>
      <c r="X299" s="157">
        <f t="shared" si="107"/>
        <v>44115</v>
      </c>
      <c r="Y299" s="385">
        <f t="shared" si="108"/>
        <v>14.087288743296432</v>
      </c>
      <c r="Z299" s="385">
        <f t="shared" si="109"/>
        <v>14.517020829466235</v>
      </c>
      <c r="AA299" s="386">
        <f t="shared" si="110"/>
        <v>16.184242084886154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0.10301509620749394</v>
      </c>
      <c r="AD299" s="231">
        <f>(INDEX(Models!$BJ299:$BT299,,AH299)*(1-AF299)+INDEX(Models!$BJ299:$BT299,,AH299+1)*AF299-ERP_i)*AE299*Ramure*Pc/MaxiM</f>
        <v>3.2497260516771931E-2</v>
      </c>
      <c r="AE299" s="305">
        <f t="shared" si="112"/>
        <v>0.8</v>
      </c>
      <c r="AF299" s="177">
        <f t="shared" si="113"/>
        <v>0.79654148145933035</v>
      </c>
      <c r="AG299" s="809">
        <f t="shared" si="119"/>
        <v>1</v>
      </c>
      <c r="AH299" s="176">
        <f t="shared" si="114"/>
        <v>7</v>
      </c>
      <c r="AI299" s="225">
        <f t="shared" si="115"/>
        <v>1.7965414814593303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6">
        <v>18.931999999999999</v>
      </c>
      <c r="C300" s="390"/>
      <c r="D300" s="393">
        <f t="shared" si="98"/>
        <v>19.509979001461044</v>
      </c>
      <c r="E300" s="385">
        <f t="shared" si="120"/>
        <v>21.751227202075917</v>
      </c>
      <c r="F300" s="385">
        <f t="shared" si="99"/>
        <v>21.869649762327438</v>
      </c>
      <c r="G300" s="110">
        <f t="shared" si="121"/>
        <v>0.69090596463204046</v>
      </c>
      <c r="H300" s="414" t="b">
        <f>Wh_hp&gt;='2019'!Maxi_hp</f>
        <v>0</v>
      </c>
      <c r="I300" s="380">
        <f>IF(H300,Wh_hp,'2019'!Maxi_hp)</f>
        <v>31.501015093356781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2.9624788495044616E-2</v>
      </c>
      <c r="M300" s="843"/>
      <c r="N300" s="843"/>
      <c r="O300" s="48">
        <f>IF(t&lt;Tnet,'2019'!Resal+('2019'!Salim-'2019'!Resal)*(1-EXP(('2019'!Tnet-t)/('2019'!Tau_j))),Resal+(Salim-Resal)*(1-EXP((Tnet-t)/(Tau_j))))*Salcycl</f>
        <v>0.1030400804420345</v>
      </c>
      <c r="P300" s="169">
        <f>(INDEX(Models!$BJ300:$BT300,,T300)*(1-R300)+INDEX(Models!$BJ300:$BT300,,T300+1)*R300-ERP_i)*Q300*Ramure*Pc/MaxiM</f>
        <v>9.624276431344175E-3</v>
      </c>
      <c r="Q300" s="305">
        <f t="shared" si="101"/>
        <v>0.8</v>
      </c>
      <c r="R300" s="177">
        <f t="shared" si="102"/>
        <v>0.59675429090232213</v>
      </c>
      <c r="S300" s="809">
        <f t="shared" si="103"/>
        <v>0</v>
      </c>
      <c r="T300" s="176">
        <f t="shared" si="104"/>
        <v>6</v>
      </c>
      <c r="U300" s="251">
        <f t="shared" si="105"/>
        <v>0.59675429090232213</v>
      </c>
      <c r="V300" s="383">
        <f t="shared" si="106"/>
        <v>27.285731621845773</v>
      </c>
      <c r="W300" s="402"/>
      <c r="X300" s="157">
        <f t="shared" si="107"/>
        <v>44116</v>
      </c>
      <c r="Y300" s="385">
        <f t="shared" si="108"/>
        <v>18.69327891447546</v>
      </c>
      <c r="Z300" s="385">
        <f t="shared" si="109"/>
        <v>19.263969949813582</v>
      </c>
      <c r="AA300" s="386">
        <f t="shared" si="110"/>
        <v>21.476957364279041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0.1030400804420345</v>
      </c>
      <c r="AD300" s="231">
        <f>(INDEX(Models!$BJ300:$BT300,,AH300)*(1-AF300)+INDEX(Models!$BJ300:$BT300,,AH300+1)*AF300-ERP_i)*AE300*Ramure*Pc/MaxiM</f>
        <v>3.1914359757786968E-2</v>
      </c>
      <c r="AE300" s="305">
        <f t="shared" si="112"/>
        <v>0.8</v>
      </c>
      <c r="AF300" s="177">
        <f t="shared" si="113"/>
        <v>0.79668786505484324</v>
      </c>
      <c r="AG300" s="809">
        <f t="shared" si="119"/>
        <v>1</v>
      </c>
      <c r="AH300" s="176">
        <f t="shared" si="114"/>
        <v>7</v>
      </c>
      <c r="AI300" s="225">
        <f t="shared" si="115"/>
        <v>1.7966878650548432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6">
        <v>16.927</v>
      </c>
      <c r="C301" s="390"/>
      <c r="D301" s="393">
        <f t="shared" si="98"/>
        <v>17.444178535445747</v>
      </c>
      <c r="E301" s="385">
        <f t="shared" si="120"/>
        <v>19.448621436532406</v>
      </c>
      <c r="F301" s="385">
        <f t="shared" si="99"/>
        <v>19.535332042259668</v>
      </c>
      <c r="G301" s="110">
        <f t="shared" si="121"/>
        <v>0.6247568524373418</v>
      </c>
      <c r="H301" s="414" t="b">
        <f>Wh_hp&gt;='2019'!Maxi_hp</f>
        <v>0</v>
      </c>
      <c r="I301" s="380">
        <f>IF(H301,Wh_hp,'2019'!Maxi_hp)</f>
        <v>27.239471377563756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2.9647629115631166E-2</v>
      </c>
      <c r="M301" s="843"/>
      <c r="N301" s="843"/>
      <c r="O301" s="48">
        <f>IF(t&lt;Tnet,'2019'!Resal+('2019'!Salim-'2019'!Resal)*(1-EXP(('2019'!Tnet-t)/('2019'!Tau_j))),Resal+(Salim-Resal)*(1-EXP((Tnet-t)/(Tau_j))))*Salcycl</f>
        <v>0.10306349514940438</v>
      </c>
      <c r="P301" s="169">
        <f>(INDEX(Models!$BJ301:$BT301,,T301)*(1-R301)+INDEX(Models!$BJ301:$BT301,,T301+1)*R301-ERP_i)*Q301*Ramure*Pc/MaxiM</f>
        <v>9.4746687259165269E-3</v>
      </c>
      <c r="Q301" s="305">
        <f t="shared" si="101"/>
        <v>0.8</v>
      </c>
      <c r="R301" s="177">
        <f t="shared" si="102"/>
        <v>0.59689484815125904</v>
      </c>
      <c r="S301" s="809">
        <f t="shared" si="103"/>
        <v>0</v>
      </c>
      <c r="T301" s="176">
        <f t="shared" si="104"/>
        <v>6</v>
      </c>
      <c r="U301" s="251">
        <f t="shared" si="105"/>
        <v>0.59689484815125904</v>
      </c>
      <c r="V301" s="383">
        <f t="shared" si="106"/>
        <v>26.956687673346842</v>
      </c>
      <c r="W301" s="402"/>
      <c r="X301" s="157">
        <f t="shared" si="107"/>
        <v>44117</v>
      </c>
      <c r="Y301" s="385">
        <f t="shared" si="108"/>
        <v>16.752941059342756</v>
      </c>
      <c r="Z301" s="385">
        <f t="shared" si="109"/>
        <v>17.264801490693841</v>
      </c>
      <c r="AA301" s="386">
        <f t="shared" si="110"/>
        <v>19.248632871252877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0.10306349514940438</v>
      </c>
      <c r="AD301" s="231">
        <f>(INDEX(Models!$BJ301:$BT301,,AH301)*(1-AF301)+INDEX(Models!$BJ301:$BT301,,AH301+1)*AF301-ERP_i)*AE301*Ramure*Pc/MaxiM</f>
        <v>3.1326959908783245E-2</v>
      </c>
      <c r="AE301" s="305">
        <f t="shared" si="112"/>
        <v>0.8</v>
      </c>
      <c r="AF301" s="177">
        <f t="shared" si="113"/>
        <v>0.79682842230378026</v>
      </c>
      <c r="AG301" s="809">
        <f t="shared" si="119"/>
        <v>1</v>
      </c>
      <c r="AH301" s="176">
        <f t="shared" si="114"/>
        <v>7</v>
      </c>
      <c r="AI301" s="225">
        <f t="shared" si="115"/>
        <v>1.7968284223037803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6">
        <v>12.199</v>
      </c>
      <c r="C302" s="390"/>
      <c r="D302" s="393">
        <f t="shared" si="98"/>
        <v>12.572017662908044</v>
      </c>
      <c r="E302" s="385">
        <f t="shared" si="120"/>
        <v>14.016961235003082</v>
      </c>
      <c r="F302" s="385">
        <f t="shared" si="99"/>
        <v>14.046527276271467</v>
      </c>
      <c r="G302" s="110">
        <f t="shared" si="121"/>
        <v>0.45478033295981141</v>
      </c>
      <c r="H302" s="414" t="b">
        <f>Wh_hp&gt;='2019'!Maxi_hp</f>
        <v>0</v>
      </c>
      <c r="I302" s="380">
        <f>IF(H302,Wh_hp,'2019'!Maxi_hp)</f>
        <v>26.712393796380066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2.9670469204683012E-2</v>
      </c>
      <c r="M302" s="843"/>
      <c r="N302" s="843"/>
      <c r="O302" s="48">
        <f>IF(t&lt;Tnet,'2019'!Resal+('2019'!Salim-'2019'!Resal)*(1-EXP(('2019'!Tnet-t)/('2019'!Tau_j))),Resal+(Salim-Resal)*(1-EXP((Tnet-t)/(Tau_j))))*Salcycl</f>
        <v>0.10308536549895937</v>
      </c>
      <c r="P302" s="169">
        <f>(INDEX(Models!$BJ302:$BT302,,T302)*(1-R302)+INDEX(Models!$BJ302:$BT302,,T302+1)*R302-ERP_i)*Q302*Ramure*Pc/MaxiM</f>
        <v>9.319896830497899E-3</v>
      </c>
      <c r="Q302" s="305">
        <f t="shared" si="101"/>
        <v>0.8</v>
      </c>
      <c r="R302" s="177">
        <f t="shared" si="102"/>
        <v>0.59702980835849828</v>
      </c>
      <c r="S302" s="809">
        <f t="shared" si="103"/>
        <v>0</v>
      </c>
      <c r="T302" s="176">
        <f t="shared" si="104"/>
        <v>6</v>
      </c>
      <c r="U302" s="251">
        <f t="shared" si="105"/>
        <v>0.59702980835849828</v>
      </c>
      <c r="V302" s="383">
        <f t="shared" si="106"/>
        <v>26.629995393375765</v>
      </c>
      <c r="W302" s="402"/>
      <c r="X302" s="157">
        <f t="shared" si="107"/>
        <v>44118</v>
      </c>
      <c r="Y302" s="385">
        <f t="shared" si="108"/>
        <v>12.139873941290293</v>
      </c>
      <c r="Z302" s="385">
        <f t="shared" si="109"/>
        <v>12.511083663855944</v>
      </c>
      <c r="AA302" s="386">
        <f t="shared" si="110"/>
        <v>13.949023889900001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0.10308536549895937</v>
      </c>
      <c r="AD302" s="231">
        <f>(INDEX(Models!$BJ302:$BT302,,AH302)*(1-AF302)+INDEX(Models!$BJ302:$BT302,,AH302+1)*AF302-ERP_i)*AE302*Ramure*Pc/MaxiM</f>
        <v>3.073531195324183E-2</v>
      </c>
      <c r="AE302" s="305">
        <f t="shared" si="112"/>
        <v>0.8</v>
      </c>
      <c r="AF302" s="177">
        <f t="shared" si="113"/>
        <v>0.79696338251101961</v>
      </c>
      <c r="AG302" s="809">
        <f t="shared" si="119"/>
        <v>1</v>
      </c>
      <c r="AH302" s="176">
        <f t="shared" si="114"/>
        <v>7</v>
      </c>
      <c r="AI302" s="225">
        <f t="shared" si="115"/>
        <v>1.7969633825110196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6">
        <v>15.125999999999999</v>
      </c>
      <c r="C303" s="390"/>
      <c r="D303" s="393">
        <f t="shared" si="98"/>
        <v>15.588885593177013</v>
      </c>
      <c r="E303" s="385">
        <f t="shared" si="120"/>
        <v>17.380962255773206</v>
      </c>
      <c r="F303" s="385">
        <f t="shared" si="99"/>
        <v>17.443739696856344</v>
      </c>
      <c r="G303" s="110">
        <f t="shared" si="121"/>
        <v>0.57180938173291607</v>
      </c>
      <c r="H303" s="414" t="b">
        <f>Wh_hp&gt;='2019'!Maxi_hp</f>
        <v>0</v>
      </c>
      <c r="I303" s="380">
        <f>IF(H303,Wh_hp,'2019'!Maxi_hp)</f>
        <v>27.841538379266765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2.9693308762212697E-2</v>
      </c>
      <c r="M303" s="843"/>
      <c r="N303" s="843"/>
      <c r="O303" s="48">
        <f>IF(t&lt;Tnet,'2019'!Resal+('2019'!Salim-'2019'!Resal)*(1-EXP(('2019'!Tnet-t)/('2019'!Tau_j))),Resal+(Salim-Resal)*(1-EXP((Tnet-t)/(Tau_j))))*Salcycl</f>
        <v>0.10310572200920247</v>
      </c>
      <c r="P303" s="169">
        <f>(INDEX(Models!$BJ303:$BT303,,T303)*(1-R303)+INDEX(Models!$BJ303:$BT303,,T303+1)*R303-ERP_i)*Q303*Ramure*Pc/MaxiM</f>
        <v>9.1600902240337664E-3</v>
      </c>
      <c r="Q303" s="305">
        <f t="shared" si="101"/>
        <v>0.8</v>
      </c>
      <c r="R303" s="177">
        <f t="shared" si="102"/>
        <v>0.5971593920080579</v>
      </c>
      <c r="S303" s="809">
        <f t="shared" si="103"/>
        <v>0</v>
      </c>
      <c r="T303" s="176">
        <f t="shared" si="104"/>
        <v>6</v>
      </c>
      <c r="U303" s="251">
        <f t="shared" si="105"/>
        <v>0.5971593920080579</v>
      </c>
      <c r="V303" s="383">
        <f t="shared" si="106"/>
        <v>26.305229273861457</v>
      </c>
      <c r="W303" s="402"/>
      <c r="X303" s="157">
        <f t="shared" si="107"/>
        <v>44119</v>
      </c>
      <c r="Y303" s="385">
        <f t="shared" si="108"/>
        <v>15.000870114307073</v>
      </c>
      <c r="Z303" s="385">
        <f t="shared" si="109"/>
        <v>15.459926484863226</v>
      </c>
      <c r="AA303" s="386">
        <f t="shared" si="110"/>
        <v>17.237178187262167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0.10310572200920247</v>
      </c>
      <c r="AD303" s="231">
        <f>(INDEX(Models!$BJ303:$BT303,,AH303)*(1-AF303)+INDEX(Models!$BJ303:$BT303,,AH303+1)*AF303-ERP_i)*AE303*Ramure*Pc/MaxiM</f>
        <v>3.0140159140757208E-2</v>
      </c>
      <c r="AE303" s="305">
        <f t="shared" si="112"/>
        <v>0.8</v>
      </c>
      <c r="AF303" s="177">
        <f t="shared" si="113"/>
        <v>0.79709296616057923</v>
      </c>
      <c r="AG303" s="809">
        <f t="shared" si="119"/>
        <v>1</v>
      </c>
      <c r="AH303" s="176">
        <f t="shared" si="114"/>
        <v>7</v>
      </c>
      <c r="AI303" s="225">
        <f t="shared" si="115"/>
        <v>1.7970929661605792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6">
        <v>9.0210000000000008</v>
      </c>
      <c r="C304" s="390"/>
      <c r="D304" s="393">
        <f t="shared" si="98"/>
        <v>9.297279326494591</v>
      </c>
      <c r="E304" s="385">
        <f t="shared" si="120"/>
        <v>10.366299859382055</v>
      </c>
      <c r="F304" s="385">
        <f t="shared" si="99"/>
        <v>10.372593663145388</v>
      </c>
      <c r="G304" s="110">
        <f t="shared" si="121"/>
        <v>0.34428638847146714</v>
      </c>
      <c r="H304" s="414" t="b">
        <f>Wh_hp&gt;='2019'!Maxi_hp</f>
        <v>0</v>
      </c>
      <c r="I304" s="380">
        <f>IF(H304,Wh_hp,'2019'!Maxi_hp)</f>
        <v>19.445154205243831</v>
      </c>
      <c r="J304" s="85">
        <f>IF(H304,An,'2019'!An_max)</f>
        <v>2019</v>
      </c>
      <c r="K304" s="197">
        <f t="shared" si="100"/>
        <v>44120</v>
      </c>
      <c r="L304" s="147">
        <f>IF(t&lt;Tvie,1-EXP((T0-t)*PertePVj)+'2019'!Pspv,1-EXP((T0-t)*PertePVj)+Pspv)</f>
        <v>2.9716147788232436E-2</v>
      </c>
      <c r="M304" s="843"/>
      <c r="N304" s="843"/>
      <c r="O304" s="48">
        <f>IF(t&lt;Tnet,'2019'!Resal+('2019'!Salim-'2019'!Resal)*(1-EXP(('2019'!Tnet-t)/('2019'!Tau_j))),Resal+(Salim-Resal)*(1-EXP((Tnet-t)/(Tau_j))))*Salcycl</f>
        <v>0.1031246006182181</v>
      </c>
      <c r="P304" s="169">
        <f>(INDEX(Models!$BJ304:$BT304,,T304)*(1-R304)+INDEX(Models!$BJ304:$BT304,,T304+1)*R304-ERP_i)*Q304*Ramure*Pc/MaxiM</f>
        <v>8.9984101396926378E-3</v>
      </c>
      <c r="Q304" s="305">
        <f t="shared" si="101"/>
        <v>0.8</v>
      </c>
      <c r="R304" s="177">
        <f t="shared" si="102"/>
        <v>0.59728381108635165</v>
      </c>
      <c r="S304" s="809">
        <f t="shared" si="103"/>
        <v>0</v>
      </c>
      <c r="T304" s="176">
        <f t="shared" si="104"/>
        <v>6</v>
      </c>
      <c r="U304" s="251">
        <f t="shared" si="105"/>
        <v>0.59728381108635165</v>
      </c>
      <c r="V304" s="383">
        <f t="shared" si="106"/>
        <v>25.982011995025545</v>
      </c>
      <c r="W304" s="402"/>
      <c r="X304" s="157">
        <f t="shared" si="107"/>
        <v>44120</v>
      </c>
      <c r="Y304" s="385">
        <f t="shared" si="108"/>
        <v>9.008481660047897</v>
      </c>
      <c r="Z304" s="385">
        <f t="shared" si="109"/>
        <v>9.2843775968372668</v>
      </c>
      <c r="AA304" s="386">
        <f t="shared" si="110"/>
        <v>10.351914661988729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0.1031246006182181</v>
      </c>
      <c r="AD304" s="231">
        <f>(INDEX(Models!$BJ304:$BT304,,AH304)*(1-AF304)+INDEX(Models!$BJ304:$BT304,,AH304+1)*AF304-ERP_i)*AE304*Ramure*Pc/MaxiM</f>
        <v>2.9565290035074375E-2</v>
      </c>
      <c r="AE304" s="305">
        <f t="shared" si="112"/>
        <v>0.8</v>
      </c>
      <c r="AF304" s="177">
        <f t="shared" si="113"/>
        <v>0.79721738523887287</v>
      </c>
      <c r="AG304" s="809">
        <f t="shared" si="119"/>
        <v>1</v>
      </c>
      <c r="AH304" s="176">
        <f t="shared" si="114"/>
        <v>7</v>
      </c>
      <c r="AI304" s="225">
        <f t="shared" si="115"/>
        <v>1.7972173852388729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6">
        <v>25.934000000000001</v>
      </c>
      <c r="C305" s="390"/>
      <c r="D305" s="393">
        <f t="shared" si="98"/>
        <v>26.728890095915698</v>
      </c>
      <c r="E305" s="385">
        <f t="shared" si="120"/>
        <v>29.802813119984794</v>
      </c>
      <c r="F305" s="385">
        <f t="shared" si="99"/>
        <v>30.068535736268366</v>
      </c>
      <c r="G305" s="110">
        <f t="shared" si="121"/>
        <v>1.0106596023211147</v>
      </c>
      <c r="H305" s="414" t="b">
        <f>Wh_hp&gt;='2019'!Maxi_hp</f>
        <v>1</v>
      </c>
      <c r="I305" s="380">
        <f>IF(H305,Wh_hp,'2019'!Maxi_hp)</f>
        <v>30.068535736268366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2.9738986282754773E-2</v>
      </c>
      <c r="M305" s="843"/>
      <c r="N305" s="843"/>
      <c r="O305" s="48">
        <f>IF(t&lt;Tnet,'2019'!Resal+('2019'!Salim-'2019'!Resal)*(1-EXP(('2019'!Tnet-t)/('2019'!Tau_j))),Resal+(Salim-Resal)*(1-EXP((Tnet-t)/(Tau_j))))*Salcycl</f>
        <v>0.10314204272239731</v>
      </c>
      <c r="P305" s="169">
        <f>(INDEX(Models!$BJ305:$BT305,,T305)*(1-R305)+INDEX(Models!$BJ305:$BT305,,T305+1)*R305-ERP_i)*Q305*Ramure*Pc/MaxiM</f>
        <v>8.8372316701494421E-3</v>
      </c>
      <c r="Q305" s="305">
        <f t="shared" si="101"/>
        <v>0.8</v>
      </c>
      <c r="R305" s="177">
        <f t="shared" si="102"/>
        <v>0.5974032693948802</v>
      </c>
      <c r="S305" s="809">
        <f t="shared" si="103"/>
        <v>0</v>
      </c>
      <c r="T305" s="176">
        <f t="shared" si="104"/>
        <v>6</v>
      </c>
      <c r="U305" s="251">
        <f t="shared" si="105"/>
        <v>0.5974032693948802</v>
      </c>
      <c r="V305" s="383">
        <f t="shared" si="106"/>
        <v>25.660469598704751</v>
      </c>
      <c r="W305" s="402"/>
      <c r="X305" s="157">
        <f t="shared" si="107"/>
        <v>44121</v>
      </c>
      <c r="Y305" s="385">
        <f t="shared" si="108"/>
        <v>25.40613351845273</v>
      </c>
      <c r="Z305" s="385">
        <f t="shared" si="109"/>
        <v>26.184844242187204</v>
      </c>
      <c r="AA305" s="386">
        <f t="shared" si="110"/>
        <v>29.196199944159343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0.10314204272239731</v>
      </c>
      <c r="AD305" s="231">
        <f>(INDEX(Models!$BJ305:$BT305,,AH305)*(1-AF305)+INDEX(Models!$BJ305:$BT305,,AH305+1)*AF305-ERP_i)*AE305*Ramure*Pc/MaxiM</f>
        <v>2.9011582065727987E-2</v>
      </c>
      <c r="AE305" s="305">
        <f t="shared" si="112"/>
        <v>0.8</v>
      </c>
      <c r="AF305" s="177">
        <f t="shared" si="113"/>
        <v>0.79733684354740131</v>
      </c>
      <c r="AG305" s="809">
        <f t="shared" si="119"/>
        <v>1</v>
      </c>
      <c r="AH305" s="176">
        <f t="shared" si="114"/>
        <v>7</v>
      </c>
      <c r="AI305" s="225">
        <f t="shared" si="115"/>
        <v>1.7973368435474013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6">
        <v>24.419</v>
      </c>
      <c r="C306" s="390"/>
      <c r="D306" s="393">
        <f t="shared" si="98"/>
        <v>25.168046991160757</v>
      </c>
      <c r="E306" s="385">
        <f t="shared" si="120"/>
        <v>28.062969466479512</v>
      </c>
      <c r="F306" s="385">
        <f t="shared" si="99"/>
        <v>28.295722291258635</v>
      </c>
      <c r="G306" s="110">
        <f t="shared" si="121"/>
        <v>0.96318615051972134</v>
      </c>
      <c r="H306" s="414" t="b">
        <f>Wh_hp&gt;='2019'!Maxi_hp</f>
        <v>1</v>
      </c>
      <c r="I306" s="380">
        <f>IF(H306,Wh_hp,'2019'!Maxi_hp)</f>
        <v>28.295722291258635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2.9761824245791921E-2</v>
      </c>
      <c r="M306" s="843"/>
      <c r="N306" s="843"/>
      <c r="O306" s="48">
        <f>IF(t&lt;Tnet,'2019'!Resal+('2019'!Salim-'2019'!Resal)*(1-EXP(('2019'!Tnet-t)/('2019'!Tau_j))),Resal+(Salim-Resal)*(1-EXP((Tnet-t)/(Tau_j))))*Salcycl</f>
        <v>0.10315809518221737</v>
      </c>
      <c r="P306" s="169">
        <f>(INDEX(Models!$BJ306:$BT306,,T306)*(1-R306)+INDEX(Models!$BJ306:$BT306,,T306+1)*R306-ERP_i)*Q306*Ramure*Pc/MaxiM</f>
        <v>8.6766080136563041E-3</v>
      </c>
      <c r="Q306" s="305">
        <f t="shared" si="101"/>
        <v>0.8</v>
      </c>
      <c r="R306" s="177">
        <f t="shared" si="102"/>
        <v>0.5975179628525964</v>
      </c>
      <c r="S306" s="809">
        <f t="shared" si="103"/>
        <v>0</v>
      </c>
      <c r="T306" s="176">
        <f t="shared" si="104"/>
        <v>6</v>
      </c>
      <c r="U306" s="251">
        <f t="shared" si="105"/>
        <v>0.5975179628525964</v>
      </c>
      <c r="V306" s="383">
        <f t="shared" si="106"/>
        <v>25.34079061711893</v>
      </c>
      <c r="W306" s="402"/>
      <c r="X306" s="157">
        <f t="shared" si="107"/>
        <v>44122</v>
      </c>
      <c r="Y306" s="385">
        <f t="shared" si="108"/>
        <v>23.956756415541591</v>
      </c>
      <c r="Z306" s="385">
        <f t="shared" si="109"/>
        <v>24.691624195181731</v>
      </c>
      <c r="AA306" s="386">
        <f t="shared" si="110"/>
        <v>27.53174674660022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0.10315809518221737</v>
      </c>
      <c r="AD306" s="231">
        <f>(INDEX(Models!$BJ306:$BT306,,AH306)*(1-AF306)+INDEX(Models!$BJ306:$BT306,,AH306+1)*AF306-ERP_i)*AE306*Ramure*Pc/MaxiM</f>
        <v>2.847963860078263E-2</v>
      </c>
      <c r="AE306" s="305">
        <f t="shared" si="112"/>
        <v>0.8</v>
      </c>
      <c r="AF306" s="177">
        <f t="shared" si="113"/>
        <v>0.79745153700511762</v>
      </c>
      <c r="AG306" s="809">
        <f t="shared" si="119"/>
        <v>1</v>
      </c>
      <c r="AH306" s="176">
        <f t="shared" si="114"/>
        <v>7</v>
      </c>
      <c r="AI306" s="225">
        <f t="shared" si="115"/>
        <v>1.7974515370051176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6">
        <v>21.218</v>
      </c>
      <c r="C307" s="390"/>
      <c r="D307" s="393">
        <f t="shared" si="98"/>
        <v>21.869371841392169</v>
      </c>
      <c r="E307" s="385">
        <f t="shared" si="120"/>
        <v>24.385268524879987</v>
      </c>
      <c r="F307" s="385">
        <f t="shared" si="99"/>
        <v>24.548923439144371</v>
      </c>
      <c r="G307" s="110">
        <f t="shared" si="121"/>
        <v>0.84635504718186938</v>
      </c>
      <c r="H307" s="414" t="b">
        <f>Wh_hp&gt;='2019'!Maxi_hp</f>
        <v>1</v>
      </c>
      <c r="I307" s="380">
        <f>IF(H307,Wh_hp,'2019'!Maxi_hp)</f>
        <v>24.548923439144371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2.9784661677356314E-2</v>
      </c>
      <c r="M307" s="843"/>
      <c r="N307" s="843"/>
      <c r="O307" s="48">
        <f>IF(t&lt;Tnet,'2019'!Resal+('2019'!Salim-'2019'!Resal)*(1-EXP(('2019'!Tnet-t)/('2019'!Tau_j))),Resal+(Salim-Resal)*(1-EXP((Tnet-t)/(Tau_j))))*Salcycl</f>
        <v>0.1031728102940872</v>
      </c>
      <c r="P307" s="169">
        <f>(INDEX(Models!$BJ307:$BT307,,T307)*(1-R307)+INDEX(Models!$BJ307:$BT307,,T307+1)*R307-ERP_i)*Q307*Ramure*Pc/MaxiM</f>
        <v>8.516597244210812E-3</v>
      </c>
      <c r="Q307" s="305">
        <f t="shared" si="101"/>
        <v>0.8</v>
      </c>
      <c r="R307" s="177">
        <f t="shared" si="102"/>
        <v>0.59762807978818844</v>
      </c>
      <c r="S307" s="809">
        <f t="shared" si="103"/>
        <v>0</v>
      </c>
      <c r="T307" s="176">
        <f t="shared" si="104"/>
        <v>6</v>
      </c>
      <c r="U307" s="251">
        <f t="shared" si="105"/>
        <v>0.59762807978818844</v>
      </c>
      <c r="V307" s="383">
        <f t="shared" si="106"/>
        <v>25.023163546779077</v>
      </c>
      <c r="W307" s="402"/>
      <c r="X307" s="157">
        <f t="shared" si="107"/>
        <v>44123</v>
      </c>
      <c r="Y307" s="385">
        <f t="shared" si="108"/>
        <v>20.892735134438301</v>
      </c>
      <c r="Z307" s="385">
        <f t="shared" si="109"/>
        <v>21.53412166268026</v>
      </c>
      <c r="AA307" s="386">
        <f t="shared" si="110"/>
        <v>24.011450488852507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0.1031728102940872</v>
      </c>
      <c r="AD307" s="231">
        <f>(INDEX(Models!$BJ307:$BT307,,AH307)*(1-AF307)+INDEX(Models!$BJ307:$BT307,,AH307+1)*AF307-ERP_i)*AE307*Ramure*Pc/MaxiM</f>
        <v>2.7970077573709357E-2</v>
      </c>
      <c r="AE307" s="305">
        <f t="shared" si="112"/>
        <v>0.8</v>
      </c>
      <c r="AF307" s="177">
        <f t="shared" si="113"/>
        <v>0.79756165394070955</v>
      </c>
      <c r="AG307" s="809">
        <f t="shared" si="119"/>
        <v>1</v>
      </c>
      <c r="AH307" s="176">
        <f t="shared" si="114"/>
        <v>7</v>
      </c>
      <c r="AI307" s="225">
        <f t="shared" si="115"/>
        <v>1.7975616539407095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6">
        <v>5.4550000000000001</v>
      </c>
      <c r="C308" s="390"/>
      <c r="D308" s="393">
        <f t="shared" si="98"/>
        <v>5.6225955075942498</v>
      </c>
      <c r="E308" s="385">
        <f t="shared" si="120"/>
        <v>6.2695241691019321</v>
      </c>
      <c r="F308" s="385">
        <f t="shared" si="99"/>
        <v>6.2695241691019321</v>
      </c>
      <c r="G308" s="110">
        <f t="shared" si="121"/>
        <v>0.21893556685994556</v>
      </c>
      <c r="H308" s="414" t="b">
        <f>Wh_hp&gt;='2019'!Maxi_hp</f>
        <v>0</v>
      </c>
      <c r="I308" s="380">
        <f>IF(H308,Wh_hp,'2019'!Maxi_hp)</f>
        <v>22.767117495614556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2.9807498577460276E-2</v>
      </c>
      <c r="M308" s="843"/>
      <c r="N308" s="843"/>
      <c r="O308" s="48">
        <f>IF(t&lt;Tnet,'2019'!Resal+('2019'!Salim-'2019'!Resal)*(1-EXP(('2019'!Tnet-t)/('2019'!Tau_j))),Resal+(Salim-Resal)*(1-EXP((Tnet-t)/(Tau_j))))*Salcycl</f>
        <v>0.10318624572753671</v>
      </c>
      <c r="P308" s="169">
        <f>(INDEX(Models!$BJ308:$BT308,,T308)*(1-R308)+INDEX(Models!$BJ308:$BT308,,T308+1)*R308-ERP_i)*Q308*Ramure*Pc/MaxiM</f>
        <v>8.3572620752087948E-3</v>
      </c>
      <c r="Q308" s="305">
        <f t="shared" si="101"/>
        <v>0.8</v>
      </c>
      <c r="R308" s="177">
        <f t="shared" si="102"/>
        <v>0.59773380122253084</v>
      </c>
      <c r="S308" s="809">
        <f t="shared" si="103"/>
        <v>0</v>
      </c>
      <c r="T308" s="176">
        <f t="shared" si="104"/>
        <v>6</v>
      </c>
      <c r="U308" s="251">
        <f t="shared" si="105"/>
        <v>0.59773380122253084</v>
      </c>
      <c r="V308" s="383">
        <f t="shared" si="106"/>
        <v>24.707776872271143</v>
      </c>
      <c r="W308" s="402"/>
      <c r="X308" s="157">
        <f t="shared" si="107"/>
        <v>44124</v>
      </c>
      <c r="Y308" s="385">
        <f t="shared" si="108"/>
        <v>5.4550000000000001</v>
      </c>
      <c r="Z308" s="385">
        <f t="shared" si="109"/>
        <v>5.6225955075942498</v>
      </c>
      <c r="AA308" s="386">
        <f t="shared" si="110"/>
        <v>6.2695241691019321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0.10318624572753671</v>
      </c>
      <c r="AD308" s="231">
        <f>(INDEX(Models!$BJ308:$BT308,,AH308)*(1-AF308)+INDEX(Models!$BJ308:$BT308,,AH308+1)*AF308-ERP_i)*AE308*Ramure*Pc/MaxiM</f>
        <v>2.7483529505489004E-2</v>
      </c>
      <c r="AE308" s="305">
        <f t="shared" si="112"/>
        <v>0.8</v>
      </c>
      <c r="AF308" s="177">
        <f t="shared" si="113"/>
        <v>0.79766737537505206</v>
      </c>
      <c r="AG308" s="809">
        <f t="shared" si="119"/>
        <v>1</v>
      </c>
      <c r="AH308" s="176">
        <f t="shared" si="114"/>
        <v>7</v>
      </c>
      <c r="AI308" s="225">
        <f t="shared" si="115"/>
        <v>1.7976673753750521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6">
        <v>19.225000000000001</v>
      </c>
      <c r="C309" s="390"/>
      <c r="D309" s="393">
        <f t="shared" si="98"/>
        <v>19.816121542959429</v>
      </c>
      <c r="E309" s="385">
        <f t="shared" si="120"/>
        <v>22.096440245616684</v>
      </c>
      <c r="F309" s="385">
        <f t="shared" si="99"/>
        <v>22.223481841777481</v>
      </c>
      <c r="G309" s="110">
        <f t="shared" si="121"/>
        <v>0.78610982026769294</v>
      </c>
      <c r="H309" s="414" t="b">
        <f>Wh_hp&gt;='2019'!Maxi_hp</f>
        <v>1</v>
      </c>
      <c r="I309" s="380">
        <f>IF(H309,Wh_hp,'2019'!Maxi_hp)</f>
        <v>22.223481841777481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2.9830334946116241E-2</v>
      </c>
      <c r="M309" s="843"/>
      <c r="N309" s="843"/>
      <c r="O309" s="48">
        <f>IF(t&lt;Tnet,'2019'!Resal+('2019'!Salim-'2019'!Resal)*(1-EXP(('2019'!Tnet-t)/('2019'!Tau_j))),Resal+(Salim-Resal)*(1-EXP((Tnet-t)/(Tau_j))))*Salcycl</f>
        <v>0.10319846442730099</v>
      </c>
      <c r="P309" s="169">
        <f>(INDEX(Models!$BJ309:$BT309,,T309)*(1-R309)+INDEX(Models!$BJ309:$BT309,,T309+1)*R309-ERP_i)*Q309*Ramure*Pc/MaxiM</f>
        <v>8.198669599294179E-3</v>
      </c>
      <c r="Q309" s="305">
        <f t="shared" si="101"/>
        <v>0.8</v>
      </c>
      <c r="R309" s="177">
        <f t="shared" si="102"/>
        <v>0.59783530114154593</v>
      </c>
      <c r="S309" s="809">
        <f t="shared" si="103"/>
        <v>0</v>
      </c>
      <c r="T309" s="176">
        <f t="shared" si="104"/>
        <v>6</v>
      </c>
      <c r="U309" s="251">
        <f t="shared" si="105"/>
        <v>0.59783530114154593</v>
      </c>
      <c r="V309" s="383">
        <f t="shared" si="106"/>
        <v>24.394819093724244</v>
      </c>
      <c r="W309" s="402"/>
      <c r="X309" s="157">
        <f t="shared" si="107"/>
        <v>44125</v>
      </c>
      <c r="Y309" s="385">
        <f t="shared" si="108"/>
        <v>18.971246773990831</v>
      </c>
      <c r="Z309" s="385">
        <f t="shared" si="109"/>
        <v>19.554566028342226</v>
      </c>
      <c r="AA309" s="386">
        <f t="shared" si="110"/>
        <v>21.804786513723624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0.10319846442730099</v>
      </c>
      <c r="AD309" s="231">
        <f>(INDEX(Models!$BJ309:$BT309,,AH309)*(1-AF309)+INDEX(Models!$BJ309:$BT309,,AH309+1)*AF309-ERP_i)*AE309*Ramure*Pc/MaxiM</f>
        <v>2.702063545499574E-2</v>
      </c>
      <c r="AE309" s="305">
        <f t="shared" si="112"/>
        <v>0.8</v>
      </c>
      <c r="AF309" s="177">
        <f t="shared" si="113"/>
        <v>0.79776887529406704</v>
      </c>
      <c r="AG309" s="809">
        <f t="shared" si="119"/>
        <v>1</v>
      </c>
      <c r="AH309" s="176">
        <f t="shared" si="114"/>
        <v>7</v>
      </c>
      <c r="AI309" s="225">
        <f t="shared" si="115"/>
        <v>1.797768875294067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6">
        <v>4.4039999999999999</v>
      </c>
      <c r="C310" s="390"/>
      <c r="D310" s="393">
        <f t="shared" si="98"/>
        <v>4.5395190370884073</v>
      </c>
      <c r="E310" s="385">
        <f t="shared" si="120"/>
        <v>5.0619617531915591</v>
      </c>
      <c r="F310" s="385">
        <f t="shared" si="99"/>
        <v>5.0619617531915591</v>
      </c>
      <c r="G310" s="110">
        <f t="shared" si="121"/>
        <v>0.18138602715612678</v>
      </c>
      <c r="H310" s="414" t="b">
        <f>Wh_hp&gt;='2019'!Maxi_hp</f>
        <v>0</v>
      </c>
      <c r="I310" s="380">
        <f>IF(H310,Wh_hp,'2019'!Maxi_hp)</f>
        <v>28.397562274413175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2.9853170783336533E-2</v>
      </c>
      <c r="M310" s="843"/>
      <c r="N310" s="843"/>
      <c r="O310" s="48">
        <f>IF(t&lt;Tnet,'2019'!Resal+('2019'!Salim-'2019'!Resal)*(1-EXP(('2019'!Tnet-t)/('2019'!Tau_j))),Resal+(Salim-Resal)*(1-EXP((Tnet-t)/(Tau_j))))*Salcycl</f>
        <v>0.10320953448013563</v>
      </c>
      <c r="P310" s="169">
        <f>(INDEX(Models!$BJ310:$BT310,,T310)*(1-R310)+INDEX(Models!$BJ310:$BT310,,T310+1)*R310-ERP_i)*Q310*Ramure*Pc/MaxiM</f>
        <v>8.0440483511194771E-3</v>
      </c>
      <c r="Q310" s="305">
        <f t="shared" si="101"/>
        <v>0.8</v>
      </c>
      <c r="R310" s="177">
        <f t="shared" si="102"/>
        <v>0.59793274675973207</v>
      </c>
      <c r="S310" s="809">
        <f t="shared" si="103"/>
        <v>0</v>
      </c>
      <c r="T310" s="176">
        <f t="shared" si="104"/>
        <v>6</v>
      </c>
      <c r="U310" s="251">
        <f t="shared" si="105"/>
        <v>0.59793274675973207</v>
      </c>
      <c r="V310" s="383">
        <f t="shared" si="106"/>
        <v>24.084402087385978</v>
      </c>
      <c r="W310" s="402"/>
      <c r="X310" s="157">
        <f t="shared" si="107"/>
        <v>44126</v>
      </c>
      <c r="Y310" s="385">
        <f t="shared" si="108"/>
        <v>4.4039999999999999</v>
      </c>
      <c r="Z310" s="385">
        <f t="shared" si="109"/>
        <v>4.5395190370884073</v>
      </c>
      <c r="AA310" s="386">
        <f t="shared" si="110"/>
        <v>5.0619617531915591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0.10320953448013563</v>
      </c>
      <c r="AD310" s="231">
        <f>(INDEX(Models!$BJ310:$BT310,,AH310)*(1-AF310)+INDEX(Models!$BJ310:$BT310,,AH310+1)*AF310-ERP_i)*AE310*Ramure*Pc/MaxiM</f>
        <v>2.6609533596332138E-2</v>
      </c>
      <c r="AE310" s="305">
        <f t="shared" si="112"/>
        <v>0.8</v>
      </c>
      <c r="AF310" s="177">
        <f t="shared" si="113"/>
        <v>0.79786632091225318</v>
      </c>
      <c r="AG310" s="809">
        <f t="shared" si="119"/>
        <v>1</v>
      </c>
      <c r="AH310" s="176">
        <f t="shared" si="114"/>
        <v>7</v>
      </c>
      <c r="AI310" s="225">
        <f t="shared" si="115"/>
        <v>1.7978663209122532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6">
        <v>8.4600000000000009</v>
      </c>
      <c r="C311" s="390"/>
      <c r="D311" s="393">
        <f t="shared" si="98"/>
        <v>8.7205347492696834</v>
      </c>
      <c r="E311" s="385">
        <f t="shared" si="120"/>
        <v>9.7242692395219628</v>
      </c>
      <c r="F311" s="385">
        <f t="shared" si="99"/>
        <v>9.7303921907773692</v>
      </c>
      <c r="G311" s="110">
        <f t="shared" si="121"/>
        <v>0.35322395067123713</v>
      </c>
      <c r="H311" s="414" t="b">
        <f>Wh_hp&gt;='2019'!Maxi_hp</f>
        <v>0</v>
      </c>
      <c r="I311" s="380">
        <f>IF(H311,Wh_hp,'2019'!Maxi_hp)</f>
        <v>28.410947539123171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2.9876006089133586E-2</v>
      </c>
      <c r="M311" s="843"/>
      <c r="N311" s="843"/>
      <c r="O311" s="48">
        <f>IF(t&lt;Tnet,'2019'!Resal+('2019'!Salim-'2019'!Resal)*(1-EXP(('2019'!Tnet-t)/('2019'!Tau_j))),Resal+(Salim-Resal)*(1-EXP((Tnet-t)/(Tau_j))))*Salcycl</f>
        <v>0.10321952894648788</v>
      </c>
      <c r="P311" s="169">
        <f>(INDEX(Models!$BJ311:$BT311,,T311)*(1-R311)+INDEX(Models!$BJ311:$BT311,,T311+1)*R311-ERP_i)*Q311*Ramure*Pc/MaxiM</f>
        <v>7.8925446256552425E-3</v>
      </c>
      <c r="Q311" s="305">
        <f t="shared" si="101"/>
        <v>0.8</v>
      </c>
      <c r="R311" s="177">
        <f t="shared" si="102"/>
        <v>0.59802629877460323</v>
      </c>
      <c r="S311" s="809">
        <f t="shared" si="103"/>
        <v>0</v>
      </c>
      <c r="T311" s="176">
        <f t="shared" si="104"/>
        <v>6</v>
      </c>
      <c r="U311" s="251">
        <f t="shared" si="105"/>
        <v>0.59802629877460323</v>
      </c>
      <c r="V311" s="383">
        <f t="shared" si="106"/>
        <v>23.776739684289943</v>
      </c>
      <c r="W311" s="402"/>
      <c r="X311" s="157">
        <f t="shared" si="107"/>
        <v>44127</v>
      </c>
      <c r="Y311" s="385">
        <f t="shared" si="108"/>
        <v>8.4476159422313746</v>
      </c>
      <c r="Z311" s="385">
        <f t="shared" si="109"/>
        <v>8.7077693111954186</v>
      </c>
      <c r="AA311" s="386">
        <f t="shared" si="110"/>
        <v>9.710034498148449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0.10321952894648788</v>
      </c>
      <c r="AD311" s="231">
        <f>(INDEX(Models!$BJ311:$BT311,,AH311)*(1-AF311)+INDEX(Models!$BJ311:$BT311,,AH311+1)*AF311-ERP_i)*AE311*Ramure*Pc/MaxiM</f>
        <v>2.6241266808595069E-2</v>
      </c>
      <c r="AE311" s="305">
        <f t="shared" si="112"/>
        <v>0.8</v>
      </c>
      <c r="AF311" s="177">
        <f t="shared" si="113"/>
        <v>0.79795987292712445</v>
      </c>
      <c r="AG311" s="809">
        <f t="shared" si="119"/>
        <v>1</v>
      </c>
      <c r="AH311" s="176">
        <f t="shared" si="114"/>
        <v>7</v>
      </c>
      <c r="AI311" s="225">
        <f t="shared" si="115"/>
        <v>1.7979598729271244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6">
        <v>21.209</v>
      </c>
      <c r="C312" s="390"/>
      <c r="D312" s="393">
        <f t="shared" si="98"/>
        <v>21.862668444679361</v>
      </c>
      <c r="E312" s="385">
        <f t="shared" si="120"/>
        <v>24.379308519717743</v>
      </c>
      <c r="F312" s="385">
        <f t="shared" si="99"/>
        <v>24.543200246420646</v>
      </c>
      <c r="G312" s="110">
        <f t="shared" si="121"/>
        <v>0.90261618049453873</v>
      </c>
      <c r="H312" s="414" t="b">
        <f>Wh_hp&gt;='2019'!Maxi_hp</f>
        <v>0</v>
      </c>
      <c r="I312" s="380">
        <f>IF(H312,Wh_hp,'2019'!Maxi_hp)</f>
        <v>27.544324929727701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2.9898840863519724E-2</v>
      </c>
      <c r="M312" s="843"/>
      <c r="N312" s="843"/>
      <c r="O312" s="48">
        <f>IF(t&lt;Tnet,'2019'!Resal+('2019'!Salim-'2019'!Resal)*(1-EXP(('2019'!Tnet-t)/('2019'!Tau_j))),Resal+(Salim-Resal)*(1-EXP((Tnet-t)/(Tau_j))))*Salcycl</f>
        <v>0.10322852565744225</v>
      </c>
      <c r="P312" s="169">
        <f>(INDEX(Models!$BJ312:$BT312,,T312)*(1-R312)+INDEX(Models!$BJ312:$BT312,,T312+1)*R312-ERP_i)*Q312*Ramure*Pc/MaxiM</f>
        <v>7.7443394369857733E-3</v>
      </c>
      <c r="Q312" s="305">
        <f t="shared" si="101"/>
        <v>0.8</v>
      </c>
      <c r="R312" s="177">
        <f t="shared" si="102"/>
        <v>0.59811611161229317</v>
      </c>
      <c r="S312" s="809">
        <f t="shared" si="103"/>
        <v>0</v>
      </c>
      <c r="T312" s="176">
        <f t="shared" si="104"/>
        <v>6</v>
      </c>
      <c r="U312" s="251">
        <f t="shared" si="105"/>
        <v>0.59811611161229317</v>
      </c>
      <c r="V312" s="383">
        <f t="shared" si="106"/>
        <v>23.472020192161935</v>
      </c>
      <c r="W312" s="402"/>
      <c r="X312" s="157">
        <f t="shared" si="107"/>
        <v>44128</v>
      </c>
      <c r="Y312" s="385">
        <f t="shared" si="108"/>
        <v>20.87442678500949</v>
      </c>
      <c r="Z312" s="385">
        <f t="shared" si="109"/>
        <v>21.517783571757114</v>
      </c>
      <c r="AA312" s="386">
        <f t="shared" si="110"/>
        <v>23.994723502475654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0.10322852565744225</v>
      </c>
      <c r="AD312" s="231">
        <f>(INDEX(Models!$BJ312:$BT312,,AH312)*(1-AF312)+INDEX(Models!$BJ312:$BT312,,AH312+1)*AF312-ERP_i)*AE312*Ramure*Pc/MaxiM</f>
        <v>2.5917050017434155E-2</v>
      </c>
      <c r="AE312" s="305">
        <f t="shared" si="112"/>
        <v>0.8</v>
      </c>
      <c r="AF312" s="177">
        <f t="shared" si="113"/>
        <v>0.7980496857648145</v>
      </c>
      <c r="AG312" s="809">
        <f t="shared" si="119"/>
        <v>1</v>
      </c>
      <c r="AH312" s="176">
        <f t="shared" si="114"/>
        <v>7</v>
      </c>
      <c r="AI312" s="225">
        <f t="shared" si="115"/>
        <v>1.7980496857648145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6">
        <v>16.376000000000001</v>
      </c>
      <c r="C313" s="390"/>
      <c r="D313" s="393">
        <f t="shared" si="98"/>
        <v>16.881111122442572</v>
      </c>
      <c r="E313" s="385">
        <f t="shared" si="120"/>
        <v>18.824487321620502</v>
      </c>
      <c r="F313" s="385">
        <f t="shared" si="99"/>
        <v>18.907985349065495</v>
      </c>
      <c r="G313" s="110">
        <f t="shared" si="121"/>
        <v>0.70450279391154891</v>
      </c>
      <c r="H313" s="414" t="b">
        <f>Wh_hp&gt;='2019'!Maxi_hp</f>
        <v>0</v>
      </c>
      <c r="I313" s="380">
        <f>IF(H313,Wh_hp,'2019'!Maxi_hp)</f>
        <v>27.696361546697236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2.9921675106507159E-2</v>
      </c>
      <c r="M313" s="843"/>
      <c r="N313" s="843"/>
      <c r="O313" s="48">
        <f>IF(t&lt;Tnet,'2019'!Resal+('2019'!Salim-'2019'!Resal)*(1-EXP(('2019'!Tnet-t)/('2019'!Tau_j))),Resal+(Salim-Resal)*(1-EXP((Tnet-t)/(Tau_j))))*Salcycl</f>
        <v>0.10323660697765208</v>
      </c>
      <c r="P313" s="169">
        <f>(INDEX(Models!$BJ313:$BT313,,T313)*(1-R313)+INDEX(Models!$BJ313:$BT313,,T313+1)*R313-ERP_i)*Q313*Ramure*Pc/MaxiM</f>
        <v>7.5995486266691257E-3</v>
      </c>
      <c r="Q313" s="305">
        <f t="shared" si="101"/>
        <v>0.8</v>
      </c>
      <c r="R313" s="177">
        <f t="shared" si="102"/>
        <v>0.59820233366456854</v>
      </c>
      <c r="S313" s="809">
        <f t="shared" si="103"/>
        <v>0</v>
      </c>
      <c r="T313" s="176">
        <f t="shared" si="104"/>
        <v>6</v>
      </c>
      <c r="U313" s="251">
        <f t="shared" si="105"/>
        <v>0.59820233366456854</v>
      </c>
      <c r="V313" s="383">
        <f t="shared" si="106"/>
        <v>23.170433702361517</v>
      </c>
      <c r="W313" s="402"/>
      <c r="X313" s="157">
        <f t="shared" si="107"/>
        <v>44129</v>
      </c>
      <c r="Y313" s="385">
        <f t="shared" si="108"/>
        <v>16.203587268481272</v>
      </c>
      <c r="Z313" s="385">
        <f t="shared" si="109"/>
        <v>16.70338038968173</v>
      </c>
      <c r="AA313" s="386">
        <f t="shared" si="110"/>
        <v>18.626295988049403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0.10323660697765208</v>
      </c>
      <c r="AD313" s="231">
        <f>(INDEX(Models!$BJ313:$BT313,,AH313)*(1-AF313)+INDEX(Models!$BJ313:$BT313,,AH313+1)*AF313-ERP_i)*AE313*Ramure*Pc/MaxiM</f>
        <v>2.5637875075161611E-2</v>
      </c>
      <c r="AE313" s="305">
        <f t="shared" si="112"/>
        <v>0.8</v>
      </c>
      <c r="AF313" s="177">
        <f t="shared" si="113"/>
        <v>0.79813590781708976</v>
      </c>
      <c r="AG313" s="809">
        <f t="shared" si="119"/>
        <v>1</v>
      </c>
      <c r="AH313" s="176">
        <f t="shared" si="114"/>
        <v>7</v>
      </c>
      <c r="AI313" s="225">
        <f t="shared" si="115"/>
        <v>1.7981359078170898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6">
        <v>20.292999999999999</v>
      </c>
      <c r="C314" s="390"/>
      <c r="D314" s="393">
        <f t="shared" si="98"/>
        <v>20.919421810885801</v>
      </c>
      <c r="E314" s="385">
        <f t="shared" si="120"/>
        <v>23.327882427484042</v>
      </c>
      <c r="F314" s="385">
        <f t="shared" si="99"/>
        <v>23.474759716838985</v>
      </c>
      <c r="G314" s="110">
        <f t="shared" si="121"/>
        <v>0.88616273015978908</v>
      </c>
      <c r="H314" s="414" t="b">
        <f>Wh_hp&gt;='2019'!Maxi_hp</f>
        <v>1</v>
      </c>
      <c r="I314" s="380">
        <f>IF(H314,Wh_hp,'2019'!Maxi_hp)</f>
        <v>23.474759716838985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2.9944508818108548E-2</v>
      </c>
      <c r="M314" s="843"/>
      <c r="N314" s="843"/>
      <c r="O314" s="48">
        <f>IF(t&lt;Tnet,'2019'!Resal+('2019'!Salim-'2019'!Resal)*(1-EXP(('2019'!Tnet-t)/('2019'!Tau_j))),Resal+(Salim-Resal)*(1-EXP((Tnet-t)/(Tau_j))))*Salcycl</f>
        <v>0.10324385953526087</v>
      </c>
      <c r="P314" s="169">
        <f>(INDEX(Models!$BJ314:$BT314,,T314)*(1-R314)+INDEX(Models!$BJ314:$BT314,,T314+1)*R314-ERP_i)*Q314*Ramure*Pc/MaxiM</f>
        <v>7.458290281790402E-3</v>
      </c>
      <c r="Q314" s="305">
        <f t="shared" si="101"/>
        <v>0.8</v>
      </c>
      <c r="R314" s="177">
        <f t="shared" si="102"/>
        <v>0.5982851075175013</v>
      </c>
      <c r="S314" s="809">
        <f t="shared" si="103"/>
        <v>0</v>
      </c>
      <c r="T314" s="176">
        <f t="shared" si="104"/>
        <v>6</v>
      </c>
      <c r="U314" s="251">
        <f t="shared" si="105"/>
        <v>0.5982851075175013</v>
      </c>
      <c r="V314" s="383">
        <f t="shared" si="106"/>
        <v>22.872170441960542</v>
      </c>
      <c r="W314" s="402"/>
      <c r="X314" s="157">
        <f t="shared" si="107"/>
        <v>44130</v>
      </c>
      <c r="Y314" s="385">
        <f t="shared" si="108"/>
        <v>19.985556977769445</v>
      </c>
      <c r="Z314" s="385">
        <f t="shared" si="109"/>
        <v>20.602488372515204</v>
      </c>
      <c r="AA314" s="386">
        <f t="shared" si="110"/>
        <v>22.974460327462126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0.10324385953526087</v>
      </c>
      <c r="AD314" s="231">
        <f>(INDEX(Models!$BJ314:$BT314,,AH314)*(1-AF314)+INDEX(Models!$BJ314:$BT314,,AH314+1)*AF314-ERP_i)*AE314*Ramure*Pc/MaxiM</f>
        <v>2.5404731324785667E-2</v>
      </c>
      <c r="AE314" s="305">
        <f t="shared" si="112"/>
        <v>0.8</v>
      </c>
      <c r="AF314" s="177">
        <f t="shared" si="113"/>
        <v>0.79821868167002252</v>
      </c>
      <c r="AG314" s="809">
        <f t="shared" si="119"/>
        <v>1</v>
      </c>
      <c r="AH314" s="176">
        <f t="shared" si="114"/>
        <v>7</v>
      </c>
      <c r="AI314" s="225">
        <f t="shared" si="115"/>
        <v>1.7982186816700225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6">
        <v>18.72</v>
      </c>
      <c r="C315" s="390"/>
      <c r="D315" s="393">
        <f t="shared" si="98"/>
        <v>19.298319335520649</v>
      </c>
      <c r="E315" s="385">
        <f t="shared" si="120"/>
        <v>21.520298168266251</v>
      </c>
      <c r="F315" s="385">
        <f t="shared" si="99"/>
        <v>21.640051676302527</v>
      </c>
      <c r="G315" s="110">
        <f t="shared" si="121"/>
        <v>0.82765720319206759</v>
      </c>
      <c r="H315" s="414" t="b">
        <f>Wh_hp&gt;='2019'!Maxi_hp</f>
        <v>1</v>
      </c>
      <c r="I315" s="380">
        <f>IF(H315,Wh_hp,'2019'!Maxi_hp)</f>
        <v>21.640051676302527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2.9967341998336103E-2</v>
      </c>
      <c r="M315" s="843"/>
      <c r="N315" s="843"/>
      <c r="O315" s="48">
        <f>IF(t&lt;Tnet,'2019'!Resal+('2019'!Salim-'2019'!Resal)*(1-EXP(('2019'!Tnet-t)/('2019'!Tau_j))),Resal+(Salim-Resal)*(1-EXP((Tnet-t)/(Tau_j))))*Salcycl</f>
        <v>0.10325037392010314</v>
      </c>
      <c r="P315" s="169">
        <f>(INDEX(Models!$BJ315:$BT315,,T315)*(1-R315)+INDEX(Models!$BJ315:$BT315,,T315+1)*R315-ERP_i)*Q315*Ramure*Pc/MaxiM</f>
        <v>7.3206842991183404E-3</v>
      </c>
      <c r="Q315" s="305">
        <f t="shared" si="101"/>
        <v>0.8</v>
      </c>
      <c r="R315" s="177">
        <f t="shared" si="102"/>
        <v>0.59836457017203981</v>
      </c>
      <c r="S315" s="809">
        <f t="shared" si="103"/>
        <v>0</v>
      </c>
      <c r="T315" s="176">
        <f t="shared" si="104"/>
        <v>6</v>
      </c>
      <c r="U315" s="251">
        <f t="shared" si="105"/>
        <v>0.59836457017203981</v>
      </c>
      <c r="V315" s="383">
        <f t="shared" si="106"/>
        <v>22.577420784725952</v>
      </c>
      <c r="W315" s="402"/>
      <c r="X315" s="157">
        <f t="shared" si="107"/>
        <v>44131</v>
      </c>
      <c r="Y315" s="385">
        <f t="shared" si="108"/>
        <v>18.465318942308688</v>
      </c>
      <c r="Z315" s="385">
        <f t="shared" si="109"/>
        <v>19.035770383595697</v>
      </c>
      <c r="AA315" s="386">
        <f t="shared" si="110"/>
        <v>21.227519733473169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0.10325037392010314</v>
      </c>
      <c r="AD315" s="231">
        <f>(INDEX(Models!$BJ315:$BT315,,AH315)*(1-AF315)+INDEX(Models!$BJ315:$BT315,,AH315+1)*AF315-ERP_i)*AE315*Ramure*Pc/MaxiM</f>
        <v>2.5218602496729255E-2</v>
      </c>
      <c r="AE315" s="305">
        <f t="shared" si="112"/>
        <v>0.8</v>
      </c>
      <c r="AF315" s="177">
        <f t="shared" si="113"/>
        <v>0.79829814432456114</v>
      </c>
      <c r="AG315" s="809">
        <f t="shared" si="119"/>
        <v>1</v>
      </c>
      <c r="AH315" s="176">
        <f t="shared" si="114"/>
        <v>7</v>
      </c>
      <c r="AI315" s="225">
        <f t="shared" si="115"/>
        <v>1.7982981443245611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6">
        <v>11.451000000000001</v>
      </c>
      <c r="C316" s="390"/>
      <c r="D316" s="393">
        <f t="shared" si="98"/>
        <v>11.80503506326362</v>
      </c>
      <c r="E316" s="385">
        <f t="shared" si="120"/>
        <v>13.164334838027273</v>
      </c>
      <c r="F316" s="385">
        <f t="shared" si="99"/>
        <v>13.193296629219606</v>
      </c>
      <c r="G316" s="110">
        <f t="shared" si="121"/>
        <v>0.51124126684401128</v>
      </c>
      <c r="H316" s="414" t="b">
        <f>Wh_hp&gt;='2019'!Maxi_hp</f>
        <v>0</v>
      </c>
      <c r="I316" s="380">
        <f>IF(H316,Wh_hp,'2019'!Maxi_hp)</f>
        <v>24.397649963595786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2.9990174647202147E-2</v>
      </c>
      <c r="M316" s="843"/>
      <c r="N316" s="843"/>
      <c r="O316" s="48">
        <f>IF(t&lt;Tnet,'2019'!Resal+('2019'!Salim-'2019'!Resal)*(1-EXP(('2019'!Tnet-t)/('2019'!Tau_j))),Resal+(Salim-Resal)*(1-EXP((Tnet-t)/(Tau_j))))*Salcycl</f>
        <v>0.10325624435175407</v>
      </c>
      <c r="P316" s="169">
        <f>(INDEX(Models!$BJ316:$BT316,,T316)*(1-R316)+INDEX(Models!$BJ316:$BT316,,T316+1)*R316-ERP_i)*Q316*Ramure*Pc/MaxiM</f>
        <v>7.186851937911483E-3</v>
      </c>
      <c r="Q316" s="305">
        <f t="shared" si="101"/>
        <v>0.8</v>
      </c>
      <c r="R316" s="177">
        <f t="shared" si="102"/>
        <v>0.59844085325672314</v>
      </c>
      <c r="S316" s="809">
        <f t="shared" si="103"/>
        <v>0</v>
      </c>
      <c r="T316" s="176">
        <f t="shared" si="104"/>
        <v>6</v>
      </c>
      <c r="U316" s="251">
        <f t="shared" si="105"/>
        <v>0.59844085325672314</v>
      </c>
      <c r="V316" s="383">
        <f t="shared" si="106"/>
        <v>22.286375268590998</v>
      </c>
      <c r="W316" s="402"/>
      <c r="X316" s="157">
        <f t="shared" si="107"/>
        <v>44132</v>
      </c>
      <c r="Y316" s="385">
        <f t="shared" si="108"/>
        <v>11.388276653628175</v>
      </c>
      <c r="Z316" s="385">
        <f t="shared" si="109"/>
        <v>11.740372474563539</v>
      </c>
      <c r="AA316" s="386">
        <f t="shared" si="110"/>
        <v>13.092226626185489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0.10325624435175407</v>
      </c>
      <c r="AD316" s="231">
        <f>(INDEX(Models!$BJ316:$BT316,,AH316)*(1-AF316)+INDEX(Models!$BJ316:$BT316,,AH316+1)*AF316-ERP_i)*AE316*Ramure*Pc/MaxiM</f>
        <v>2.5080463509548165E-2</v>
      </c>
      <c r="AE316" s="305">
        <f t="shared" si="112"/>
        <v>0.8</v>
      </c>
      <c r="AF316" s="177">
        <f t="shared" si="113"/>
        <v>0.79837442740924436</v>
      </c>
      <c r="AG316" s="809">
        <f t="shared" si="119"/>
        <v>1</v>
      </c>
      <c r="AH316" s="176">
        <f t="shared" si="114"/>
        <v>7</v>
      </c>
      <c r="AI316" s="225">
        <f t="shared" si="115"/>
        <v>1.7983744274092444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6">
        <v>20.154</v>
      </c>
      <c r="C317" s="390"/>
      <c r="D317" s="393">
        <f t="shared" si="98"/>
        <v>20.777598195186755</v>
      </c>
      <c r="E317" s="385">
        <f t="shared" si="120"/>
        <v>23.170188163167971</v>
      </c>
      <c r="F317" s="385">
        <f t="shared" si="99"/>
        <v>23.315037308519852</v>
      </c>
      <c r="G317" s="110">
        <f t="shared" si="121"/>
        <v>0.91542545785220275</v>
      </c>
      <c r="H317" s="414" t="b">
        <f>Wh_hp&gt;='2019'!Maxi_hp</f>
        <v>1</v>
      </c>
      <c r="I317" s="380">
        <f>IF(H317,Wh_hp,'2019'!Maxi_hp)</f>
        <v>23.315037308519852</v>
      </c>
      <c r="J317" s="85">
        <f>IF(H317,An,'2019'!An_max)</f>
        <v>2020</v>
      </c>
      <c r="K317" s="197">
        <f t="shared" si="100"/>
        <v>44133</v>
      </c>
      <c r="L317" s="147">
        <f>IF(t&lt;Tvie,1-EXP((T0-t)*PertePVj)+'2019'!Pspv,1-EXP((T0-t)*PertePVj)+Pspv)</f>
        <v>3.0013006764719116E-2</v>
      </c>
      <c r="M317" s="843"/>
      <c r="N317" s="843"/>
      <c r="O317" s="48">
        <f>IF(t&lt;Tnet,'2019'!Resal+('2019'!Salim-'2019'!Resal)*(1-EXP(('2019'!Tnet-t)/('2019'!Tau_j))),Resal+(Salim-Resal)*(1-EXP((Tnet-t)/(Tau_j))))*Salcycl</f>
        <v>0.10326156831926589</v>
      </c>
      <c r="P317" s="169">
        <f>(INDEX(Models!$BJ317:$BT317,,T317)*(1-R317)+INDEX(Models!$BJ317:$BT317,,T317+1)*R317-ERP_i)*Q317*Ramure*Pc/MaxiM</f>
        <v>7.057536044970409E-3</v>
      </c>
      <c r="Q317" s="305">
        <f t="shared" si="101"/>
        <v>0.8</v>
      </c>
      <c r="R317" s="177">
        <f t="shared" si="102"/>
        <v>0.59851408323277444</v>
      </c>
      <c r="S317" s="809">
        <f t="shared" si="103"/>
        <v>0</v>
      </c>
      <c r="T317" s="176">
        <f t="shared" si="104"/>
        <v>6</v>
      </c>
      <c r="U317" s="251">
        <f t="shared" si="105"/>
        <v>0.59851408323277444</v>
      </c>
      <c r="V317" s="383">
        <f t="shared" si="106"/>
        <v>21.997276124775489</v>
      </c>
      <c r="W317" s="402"/>
      <c r="X317" s="157">
        <f t="shared" si="107"/>
        <v>44133</v>
      </c>
      <c r="Y317" s="385">
        <f t="shared" si="108"/>
        <v>19.833801975244111</v>
      </c>
      <c r="Z317" s="385">
        <f t="shared" si="109"/>
        <v>20.447492712341148</v>
      </c>
      <c r="AA317" s="386">
        <f t="shared" si="110"/>
        <v>22.802070246969265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0.10326156831926589</v>
      </c>
      <c r="AD317" s="231">
        <f>(INDEX(Models!$BJ317:$BT317,,AH317)*(1-AF317)+INDEX(Models!$BJ317:$BT317,,AH317+1)*AF317-ERP_i)*AE317*Ramure*Pc/MaxiM</f>
        <v>2.4993475232326048E-2</v>
      </c>
      <c r="AE317" s="305">
        <f t="shared" si="112"/>
        <v>0.8</v>
      </c>
      <c r="AF317" s="177">
        <f t="shared" si="113"/>
        <v>0.79844765738529566</v>
      </c>
      <c r="AG317" s="809">
        <f t="shared" si="119"/>
        <v>1</v>
      </c>
      <c r="AH317" s="176">
        <f t="shared" si="114"/>
        <v>7</v>
      </c>
      <c r="AI317" s="225">
        <f t="shared" si="115"/>
        <v>1.7984476573852957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6">
        <v>21.652000000000001</v>
      </c>
      <c r="C318" s="390"/>
      <c r="D318" s="393">
        <f t="shared" si="98"/>
        <v>22.322474227488975</v>
      </c>
      <c r="E318" s="385">
        <f t="shared" si="120"/>
        <v>24.893095761570319</v>
      </c>
      <c r="F318" s="385">
        <f t="shared" si="99"/>
        <v>25.066473522391494</v>
      </c>
      <c r="G318" s="110">
        <f t="shared" si="121"/>
        <v>0.99737197382982634</v>
      </c>
      <c r="H318" s="414" t="b">
        <f>Wh_hp&gt;='2019'!Maxi_hp</f>
        <v>1</v>
      </c>
      <c r="I318" s="380">
        <f>IF(H318,Wh_hp,'2019'!Maxi_hp)</f>
        <v>25.066473522391494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3.0035838350899333E-2</v>
      </c>
      <c r="M318" s="843"/>
      <c r="N318" s="843"/>
      <c r="O318" s="48">
        <f>IF(t&lt;Tnet,'2019'!Resal+('2019'!Salim-'2019'!Resal)*(1-EXP(('2019'!Tnet-t)/('2019'!Tau_j))),Resal+(Salim-Resal)*(1-EXP((Tnet-t)/(Tau_j))))*Salcycl</f>
        <v>0.10326644619468506</v>
      </c>
      <c r="P318" s="169">
        <f>(INDEX(Models!$BJ318:$BT318,,T318)*(1-R318)+INDEX(Models!$BJ318:$BT318,,T318+1)*R318-ERP_i)*Q318*Ramure*Pc/MaxiM</f>
        <v>6.9425267061235313E-3</v>
      </c>
      <c r="Q318" s="305">
        <f t="shared" si="101"/>
        <v>0.8</v>
      </c>
      <c r="R318" s="177">
        <f t="shared" si="102"/>
        <v>0.59858438159180749</v>
      </c>
      <c r="S318" s="809">
        <f t="shared" si="103"/>
        <v>0</v>
      </c>
      <c r="T318" s="176">
        <f t="shared" si="104"/>
        <v>6</v>
      </c>
      <c r="U318" s="251">
        <f t="shared" si="105"/>
        <v>0.59858438159180749</v>
      </c>
      <c r="V318" s="383">
        <f t="shared" si="106"/>
        <v>21.708487799913478</v>
      </c>
      <c r="W318" s="402"/>
      <c r="X318" s="157">
        <f t="shared" si="107"/>
        <v>44134</v>
      </c>
      <c r="Y318" s="385">
        <f t="shared" si="108"/>
        <v>21.260279357927317</v>
      </c>
      <c r="Z318" s="385">
        <f t="shared" si="109"/>
        <v>21.918623593042138</v>
      </c>
      <c r="AA318" s="386">
        <f t="shared" si="110"/>
        <v>24.442738313995079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0.10326644619468506</v>
      </c>
      <c r="AD318" s="231">
        <f>(INDEX(Models!$BJ318:$BT318,,AH318)*(1-AF318)+INDEX(Models!$BJ318:$BT318,,AH318+1)*AF318-ERP_i)*AE318*Ramure*Pc/MaxiM</f>
        <v>2.4976088751705729E-2</v>
      </c>
      <c r="AE318" s="305">
        <f t="shared" si="112"/>
        <v>0.8</v>
      </c>
      <c r="AF318" s="177">
        <f t="shared" si="113"/>
        <v>0.79851795574432871</v>
      </c>
      <c r="AG318" s="809">
        <f t="shared" si="119"/>
        <v>1</v>
      </c>
      <c r="AH318" s="176">
        <f t="shared" si="114"/>
        <v>7</v>
      </c>
      <c r="AI318" s="225">
        <f t="shared" si="115"/>
        <v>1.7985179557443287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6">
        <v>21.041</v>
      </c>
      <c r="C319" s="390"/>
      <c r="D319" s="393">
        <f t="shared" si="98"/>
        <v>21.69306465898201</v>
      </c>
      <c r="E319" s="385">
        <f t="shared" si="120"/>
        <v>24.191326694081834</v>
      </c>
      <c r="F319" s="385">
        <f t="shared" si="99"/>
        <v>24.353652394890183</v>
      </c>
      <c r="G319" s="110">
        <f t="shared" si="121"/>
        <v>0.98210002366282667</v>
      </c>
      <c r="H319" s="414" t="b">
        <f>Wh_hp&gt;='2019'!Maxi_hp</f>
        <v>1</v>
      </c>
      <c r="I319" s="380">
        <f>IF(H319,Wh_hp,'2019'!Maxi_hp)</f>
        <v>24.353652394890183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3.005866940575512E-2</v>
      </c>
      <c r="M319" s="843"/>
      <c r="N319" s="843"/>
      <c r="O319" s="48">
        <f>IF(t&lt;Tnet,'2019'!Resal+('2019'!Salim-'2019'!Resal)*(1-EXP(('2019'!Tnet-t)/('2019'!Tau_j))),Resal+(Salim-Resal)*(1-EXP((Tnet-t)/(Tau_j))))*Salcycl</f>
        <v>0.10327098082268454</v>
      </c>
      <c r="P319" s="169">
        <f>(INDEX(Models!$BJ319:$BT319,,T319)*(1-R319)+INDEX(Models!$BJ319:$BT319,,T319+1)*R319-ERP_i)*Q319*Ramure*Pc/MaxiM</f>
        <v>6.8385515537115376E-3</v>
      </c>
      <c r="Q319" s="305">
        <f t="shared" si="101"/>
        <v>0.8</v>
      </c>
      <c r="R319" s="177">
        <f t="shared" si="102"/>
        <v>0.59865186504637746</v>
      </c>
      <c r="S319" s="809">
        <f t="shared" si="103"/>
        <v>0</v>
      </c>
      <c r="T319" s="176">
        <f t="shared" si="104"/>
        <v>6</v>
      </c>
      <c r="U319" s="251">
        <f t="shared" si="105"/>
        <v>0.59865186504637746</v>
      </c>
      <c r="V319" s="383">
        <f t="shared" si="106"/>
        <v>21.420762425790599</v>
      </c>
      <c r="W319" s="402"/>
      <c r="X319" s="157">
        <f t="shared" si="107"/>
        <v>44135</v>
      </c>
      <c r="Y319" s="385">
        <f t="shared" si="108"/>
        <v>20.665972804710972</v>
      </c>
      <c r="Z319" s="385">
        <f t="shared" si="109"/>
        <v>21.306415298386906</v>
      </c>
      <c r="AA319" s="386">
        <f t="shared" si="110"/>
        <v>23.760149212003885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0.10327098082268454</v>
      </c>
      <c r="AD319" s="231">
        <f>(INDEX(Models!$BJ319:$BT319,,AH319)*(1-AF319)+INDEX(Models!$BJ319:$BT319,,AH319+1)*AF319-ERP_i)*AE319*Ramure*Pc/MaxiM</f>
        <v>2.5003447348437492E-2</v>
      </c>
      <c r="AE319" s="305">
        <f t="shared" si="112"/>
        <v>0.8</v>
      </c>
      <c r="AF319" s="177">
        <f t="shared" si="113"/>
        <v>0.79858543919889868</v>
      </c>
      <c r="AG319" s="809">
        <f t="shared" si="119"/>
        <v>1</v>
      </c>
      <c r="AH319" s="176">
        <f t="shared" si="114"/>
        <v>7</v>
      </c>
      <c r="AI319" s="225">
        <f t="shared" si="115"/>
        <v>1.7985854391988987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6">
        <v>19.305</v>
      </c>
      <c r="C320" s="390"/>
      <c r="D320" s="393">
        <f t="shared" si="98"/>
        <v>19.903734178276615</v>
      </c>
      <c r="E320" s="385">
        <f t="shared" si="120"/>
        <v>22.196035940283942</v>
      </c>
      <c r="F320" s="385">
        <f t="shared" si="99"/>
        <v>22.328025328814988</v>
      </c>
      <c r="G320" s="110">
        <f t="shared" si="121"/>
        <v>0.91265678550238039</v>
      </c>
      <c r="H320" s="414" t="b">
        <f>Wh_hp&gt;='2019'!Maxi_hp</f>
        <v>1</v>
      </c>
      <c r="I320" s="380">
        <f>IF(H320,Wh_hp,'2019'!Maxi_hp)</f>
        <v>22.328025328814988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3.0081499929299024E-2</v>
      </c>
      <c r="M320" s="843"/>
      <c r="N320" s="843"/>
      <c r="O320" s="48">
        <f>IF(t&lt;Tnet,'2019'!Resal+('2019'!Salim-'2019'!Resal)*(1-EXP(('2019'!Tnet-t)/('2019'!Tau_j))),Resal+(Salim-Resal)*(1-EXP((Tnet-t)/(Tau_j))))*Salcycl</f>
        <v>0.10327527708886938</v>
      </c>
      <c r="P320" s="169">
        <f>(INDEX(Models!$BJ320:$BT320,,T320)*(1-R320)+INDEX(Models!$BJ320:$BT320,,T320+1)*R320-ERP_i)*Q320*Ramure*Pc/MaxiM</f>
        <v>6.7456903751267269E-3</v>
      </c>
      <c r="Q320" s="305">
        <f t="shared" si="101"/>
        <v>0.8</v>
      </c>
      <c r="R320" s="177">
        <f t="shared" si="102"/>
        <v>0.59871664571360239</v>
      </c>
      <c r="S320" s="809">
        <f t="shared" si="103"/>
        <v>0</v>
      </c>
      <c r="T320" s="176">
        <f t="shared" si="104"/>
        <v>6</v>
      </c>
      <c r="U320" s="251">
        <f t="shared" si="105"/>
        <v>0.59871664571360239</v>
      </c>
      <c r="V320" s="383">
        <f t="shared" si="106"/>
        <v>21.134777192069709</v>
      </c>
      <c r="W320" s="402"/>
      <c r="X320" s="157">
        <f t="shared" si="107"/>
        <v>44136</v>
      </c>
      <c r="Y320" s="385">
        <f t="shared" si="108"/>
        <v>18.993057463364622</v>
      </c>
      <c r="Z320" s="385">
        <f t="shared" si="109"/>
        <v>19.582116911864397</v>
      </c>
      <c r="AA320" s="386">
        <f t="shared" si="110"/>
        <v>21.837378195945057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0.10327527708886938</v>
      </c>
      <c r="AD320" s="231">
        <f>(INDEX(Models!$BJ320:$BT320,,AH320)*(1-AF320)+INDEX(Models!$BJ320:$BT320,,AH320+1)*AF320-ERP_i)*AE320*Ramure*Pc/MaxiM</f>
        <v>2.5075907075709478E-2</v>
      </c>
      <c r="AE320" s="305">
        <f t="shared" si="112"/>
        <v>0.8</v>
      </c>
      <c r="AF320" s="177">
        <f t="shared" si="113"/>
        <v>0.79865021986612361</v>
      </c>
      <c r="AG320" s="809">
        <f t="shared" si="119"/>
        <v>1</v>
      </c>
      <c r="AH320" s="176">
        <f t="shared" si="114"/>
        <v>7</v>
      </c>
      <c r="AI320" s="225">
        <f t="shared" si="115"/>
        <v>1.7986502198661236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6">
        <v>18.491</v>
      </c>
      <c r="C321" s="390"/>
      <c r="D321" s="393">
        <f t="shared" si="98"/>
        <v>19.0649371581422</v>
      </c>
      <c r="E321" s="385">
        <f t="shared" si="120"/>
        <v>21.260733878327912</v>
      </c>
      <c r="F321" s="385">
        <f t="shared" si="99"/>
        <v>21.380172638031031</v>
      </c>
      <c r="G321" s="110">
        <f t="shared" si="121"/>
        <v>0.88584607968512408</v>
      </c>
      <c r="H321" s="414" t="b">
        <f>Wh_hp&gt;='2019'!Maxi_hp</f>
        <v>0</v>
      </c>
      <c r="I321" s="380">
        <f>IF(H321,Wh_hp,'2019'!Maxi_hp)</f>
        <v>24.561857270116509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3.0104329921543257E-2</v>
      </c>
      <c r="M321" s="843"/>
      <c r="N321" s="843"/>
      <c r="O321" s="48">
        <f>IF(t&lt;Tnet,'2019'!Resal+('2019'!Salim-'2019'!Resal)*(1-EXP(('2019'!Tnet-t)/('2019'!Tau_j))),Resal+(Salim-Resal)*(1-EXP((Tnet-t)/(Tau_j))))*Salcycl</f>
        <v>0.10327944146951548</v>
      </c>
      <c r="P321" s="169">
        <f>(INDEX(Models!$BJ321:$BT321,,T321)*(1-R321)+INDEX(Models!$BJ321:$BT321,,T321+1)*R321-ERP_i)*Q321*Ramure*Pc/MaxiM</f>
        <v>6.6640274553995136E-3</v>
      </c>
      <c r="Q321" s="305">
        <f t="shared" si="101"/>
        <v>0.8</v>
      </c>
      <c r="R321" s="177">
        <f t="shared" si="102"/>
        <v>0.59877883129207432</v>
      </c>
      <c r="S321" s="809">
        <f t="shared" si="103"/>
        <v>0</v>
      </c>
      <c r="T321" s="176">
        <f t="shared" si="104"/>
        <v>6</v>
      </c>
      <c r="U321" s="251">
        <f t="shared" si="105"/>
        <v>0.59877883129207432</v>
      </c>
      <c r="V321" s="383">
        <f t="shared" si="106"/>
        <v>20.851209438559678</v>
      </c>
      <c r="W321" s="402"/>
      <c r="X321" s="157">
        <f t="shared" si="107"/>
        <v>44137</v>
      </c>
      <c r="Y321" s="385">
        <f t="shared" si="108"/>
        <v>18.202157625208795</v>
      </c>
      <c r="Z321" s="385">
        <f t="shared" si="109"/>
        <v>18.767129482840549</v>
      </c>
      <c r="AA321" s="386">
        <f t="shared" si="110"/>
        <v>20.928626319882181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0.10327944146951548</v>
      </c>
      <c r="AD321" s="231">
        <f>(INDEX(Models!$BJ321:$BT321,,AH321)*(1-AF321)+INDEX(Models!$BJ321:$BT321,,AH321+1)*AF321-ERP_i)*AE321*Ramure*Pc/MaxiM</f>
        <v>2.5193807010455278E-2</v>
      </c>
      <c r="AE321" s="305">
        <f t="shared" si="112"/>
        <v>0.8</v>
      </c>
      <c r="AF321" s="177">
        <f t="shared" si="113"/>
        <v>0.79871240544459554</v>
      </c>
      <c r="AG321" s="809">
        <f t="shared" si="119"/>
        <v>1</v>
      </c>
      <c r="AH321" s="176">
        <f t="shared" si="114"/>
        <v>7</v>
      </c>
      <c r="AI321" s="225">
        <f t="shared" si="115"/>
        <v>1.7987124054445955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6">
        <v>4.6520000000000001</v>
      </c>
      <c r="C322" s="390"/>
      <c r="D322" s="393">
        <f t="shared" si="98"/>
        <v>4.7965050728074399</v>
      </c>
      <c r="E322" s="385">
        <f t="shared" si="120"/>
        <v>5.3489653743401195</v>
      </c>
      <c r="F322" s="385">
        <f t="shared" si="99"/>
        <v>5.3489653743401195</v>
      </c>
      <c r="G322" s="110">
        <f t="shared" si="121"/>
        <v>0.22465536466718111</v>
      </c>
      <c r="H322" s="414" t="b">
        <f>Wh_hp&gt;='2019'!Maxi_hp</f>
        <v>0</v>
      </c>
      <c r="I322" s="380">
        <f>IF(H322,Wh_hp,'2019'!Maxi_hp)</f>
        <v>20.723995905929119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3.0127159382500143E-2</v>
      </c>
      <c r="M322" s="843"/>
      <c r="N322" s="843"/>
      <c r="O322" s="48">
        <f>IF(t&lt;Tnet,'2019'!Resal+('2019'!Salim-'2019'!Resal)*(1-EXP(('2019'!Tnet-t)/('2019'!Tau_j))),Resal+(Salim-Resal)*(1-EXP((Tnet-t)/(Tau_j))))*Salcycl</f>
        <v>0.10328358156568442</v>
      </c>
      <c r="P322" s="169">
        <f>(INDEX(Models!$BJ322:$BT322,,T322)*(1-R322)+INDEX(Models!$BJ322:$BT322,,T322+1)*R322-ERP_i)*Q322*Ramure*Pc/MaxiM</f>
        <v>6.5936490344328585E-3</v>
      </c>
      <c r="Q322" s="305">
        <f t="shared" si="101"/>
        <v>0.8</v>
      </c>
      <c r="R322" s="177">
        <f t="shared" si="102"/>
        <v>0.59883852523228109</v>
      </c>
      <c r="S322" s="809">
        <f t="shared" si="103"/>
        <v>0</v>
      </c>
      <c r="T322" s="176">
        <f t="shared" si="104"/>
        <v>6</v>
      </c>
      <c r="U322" s="251">
        <f t="shared" si="105"/>
        <v>0.59883852523228109</v>
      </c>
      <c r="V322" s="383">
        <f t="shared" si="106"/>
        <v>20.570736654956573</v>
      </c>
      <c r="W322" s="402"/>
      <c r="X322" s="157">
        <f t="shared" si="107"/>
        <v>44138</v>
      </c>
      <c r="Y322" s="385">
        <f t="shared" si="108"/>
        <v>4.6520000000000001</v>
      </c>
      <c r="Z322" s="385">
        <f t="shared" si="109"/>
        <v>4.7965050728074399</v>
      </c>
      <c r="AA322" s="386">
        <f t="shared" si="110"/>
        <v>5.3489653743401195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0.10328358156568442</v>
      </c>
      <c r="AD322" s="231">
        <f>(INDEX(Models!$BJ322:$BT322,,AH322)*(1-AF322)+INDEX(Models!$BJ322:$BT322,,AH322+1)*AF322-ERP_i)*AE322*Ramure*Pc/MaxiM</f>
        <v>2.5357456224382718E-2</v>
      </c>
      <c r="AE322" s="305">
        <f t="shared" si="112"/>
        <v>0.8</v>
      </c>
      <c r="AF322" s="177">
        <f t="shared" si="113"/>
        <v>0.7987720993848022</v>
      </c>
      <c r="AG322" s="809">
        <f t="shared" si="119"/>
        <v>1</v>
      </c>
      <c r="AH322" s="176">
        <f t="shared" si="114"/>
        <v>7</v>
      </c>
      <c r="AI322" s="225">
        <f t="shared" si="115"/>
        <v>1.7987720993848022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6">
        <v>13.553000000000001</v>
      </c>
      <c r="C323" s="390"/>
      <c r="D323" s="393">
        <f t="shared" si="98"/>
        <v>13.974325758282856</v>
      </c>
      <c r="E323" s="385">
        <f t="shared" si="120"/>
        <v>15.58395865021096</v>
      </c>
      <c r="F323" s="385">
        <f t="shared" si="99"/>
        <v>15.637654954165301</v>
      </c>
      <c r="G323" s="110">
        <f t="shared" si="121"/>
        <v>0.66575367054325318</v>
      </c>
      <c r="H323" s="414" t="b">
        <f>Wh_hp&gt;='2019'!Maxi_hp</f>
        <v>1</v>
      </c>
      <c r="I323" s="380">
        <f>IF(H323,Wh_hp,'2019'!Maxi_hp)</f>
        <v>15.637654954165301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3.0149988312182227E-2</v>
      </c>
      <c r="M323" s="843"/>
      <c r="N323" s="843"/>
      <c r="O323" s="48">
        <f>IF(t&lt;Tnet,'2019'!Resal+('2019'!Salim-'2019'!Resal)*(1-EXP(('2019'!Tnet-t)/('2019'!Tau_j))),Resal+(Salim-Resal)*(1-EXP((Tnet-t)/(Tau_j))))*Salcycl</f>
        <v>0.10328780562481246</v>
      </c>
      <c r="P323" s="169">
        <f>(INDEX(Models!$BJ323:$BT323,,T323)*(1-R323)+INDEX(Models!$BJ323:$BT323,,T323+1)*R323-ERP_i)*Q323*Ramure*Pc/MaxiM</f>
        <v>6.5346405486485784E-3</v>
      </c>
      <c r="Q323" s="305">
        <f t="shared" si="101"/>
        <v>0.8</v>
      </c>
      <c r="R323" s="177">
        <f t="shared" si="102"/>
        <v>0.59889582690074838</v>
      </c>
      <c r="S323" s="809">
        <f t="shared" si="103"/>
        <v>0</v>
      </c>
      <c r="T323" s="176">
        <f t="shared" si="104"/>
        <v>6</v>
      </c>
      <c r="U323" s="251">
        <f t="shared" si="105"/>
        <v>0.59889582690074838</v>
      </c>
      <c r="V323" s="383">
        <f t="shared" si="106"/>
        <v>20.294036460972237</v>
      </c>
      <c r="W323" s="402"/>
      <c r="X323" s="157">
        <f t="shared" si="107"/>
        <v>44139</v>
      </c>
      <c r="Y323" s="385">
        <f t="shared" si="108"/>
        <v>13.416988477731861</v>
      </c>
      <c r="Z323" s="385">
        <f t="shared" si="109"/>
        <v>13.834086009219554</v>
      </c>
      <c r="AA323" s="386">
        <f t="shared" si="110"/>
        <v>15.427565383850823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0.10328780562481246</v>
      </c>
      <c r="AD323" s="231">
        <f>(INDEX(Models!$BJ323:$BT323,,AH323)*(1-AF323)+INDEX(Models!$BJ323:$BT323,,AH323+1)*AF323-ERP_i)*AE323*Ramure*Pc/MaxiM</f>
        <v>2.5567119595280286E-2</v>
      </c>
      <c r="AE323" s="305">
        <f t="shared" si="112"/>
        <v>0.8</v>
      </c>
      <c r="AF323" s="177">
        <f t="shared" si="113"/>
        <v>0.79882940105326972</v>
      </c>
      <c r="AG323" s="809">
        <f t="shared" si="119"/>
        <v>1</v>
      </c>
      <c r="AH323" s="176">
        <f t="shared" si="114"/>
        <v>7</v>
      </c>
      <c r="AI323" s="225">
        <f t="shared" si="115"/>
        <v>1.7988294010532697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6">
        <v>17.242999999999999</v>
      </c>
      <c r="C324" s="390"/>
      <c r="D324" s="393">
        <f t="shared" si="98"/>
        <v>17.779456275412166</v>
      </c>
      <c r="E324" s="385">
        <f t="shared" si="120"/>
        <v>19.827480827832353</v>
      </c>
      <c r="F324" s="385">
        <f t="shared" si="99"/>
        <v>19.931335355516538</v>
      </c>
      <c r="G324" s="110">
        <f t="shared" si="121"/>
        <v>0.86010678856709211</v>
      </c>
      <c r="H324" s="414" t="b">
        <f>Wh_hp&gt;='2019'!Maxi_hp</f>
        <v>1</v>
      </c>
      <c r="I324" s="380">
        <f>IF(H324,Wh_hp,'2019'!Maxi_hp)</f>
        <v>19.931335355516538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3.0172816710601721E-2</v>
      </c>
      <c r="M324" s="843"/>
      <c r="N324" s="843"/>
      <c r="O324" s="48">
        <f>IF(t&lt;Tnet,'2019'!Resal+('2019'!Salim-'2019'!Resal)*(1-EXP(('2019'!Tnet-t)/('2019'!Tau_j))),Resal+(Salim-Resal)*(1-EXP((Tnet-t)/(Tau_j))))*Salcycl</f>
        <v>0.1032922220530065</v>
      </c>
      <c r="P324" s="169">
        <f>(INDEX(Models!$BJ324:$BT324,,T324)*(1-R324)+INDEX(Models!$BJ324:$BT324,,T324+1)*R324-ERP_i)*Q324*Ramure*Pc/MaxiM</f>
        <v>6.4990846101074988E-3</v>
      </c>
      <c r="Q324" s="305">
        <f t="shared" si="101"/>
        <v>0.8</v>
      </c>
      <c r="R324" s="177">
        <f t="shared" si="102"/>
        <v>0.59895083173811148</v>
      </c>
      <c r="S324" s="809">
        <f t="shared" si="103"/>
        <v>0</v>
      </c>
      <c r="T324" s="176">
        <f t="shared" si="104"/>
        <v>6</v>
      </c>
      <c r="U324" s="251">
        <f t="shared" si="105"/>
        <v>0.59895083173811148</v>
      </c>
      <c r="V324" s="383">
        <f t="shared" si="106"/>
        <v>20.021544751691653</v>
      </c>
      <c r="W324" s="402"/>
      <c r="X324" s="157">
        <f t="shared" si="107"/>
        <v>44140</v>
      </c>
      <c r="Y324" s="385">
        <f t="shared" si="108"/>
        <v>16.974415441082638</v>
      </c>
      <c r="Z324" s="385">
        <f t="shared" si="109"/>
        <v>17.502515637383862</v>
      </c>
      <c r="AA324" s="386">
        <f t="shared" si="110"/>
        <v>19.518639257769966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0.1032922220530065</v>
      </c>
      <c r="AD324" s="231">
        <f>(INDEX(Models!$BJ324:$BT324,,AH324)*(1-AF324)+INDEX(Models!$BJ324:$BT324,,AH324+1)*AF324-ERP_i)*AE324*Ramure*Pc/MaxiM</f>
        <v>2.5825998320193163E-2</v>
      </c>
      <c r="AE324" s="305">
        <f t="shared" si="112"/>
        <v>0.8</v>
      </c>
      <c r="AF324" s="177">
        <f t="shared" si="113"/>
        <v>0.79888440589063281</v>
      </c>
      <c r="AG324" s="809">
        <f t="shared" si="119"/>
        <v>1</v>
      </c>
      <c r="AH324" s="176">
        <f t="shared" si="114"/>
        <v>7</v>
      </c>
      <c r="AI324" s="225">
        <f t="shared" si="115"/>
        <v>1.7988844058906328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6">
        <v>11.797000000000001</v>
      </c>
      <c r="C325" s="390"/>
      <c r="D325" s="393">
        <f t="shared" si="98"/>
        <v>12.164309155802746</v>
      </c>
      <c r="E325" s="385">
        <f t="shared" si="120"/>
        <v>13.565593431978098</v>
      </c>
      <c r="F325" s="385">
        <f t="shared" si="99"/>
        <v>13.60303974842923</v>
      </c>
      <c r="G325" s="110">
        <f t="shared" si="121"/>
        <v>0.59496079564321647</v>
      </c>
      <c r="H325" s="414" t="b">
        <f>Wh_hp&gt;='2019'!Maxi_hp</f>
        <v>1</v>
      </c>
      <c r="I325" s="380">
        <f>IF(H325,Wh_hp,'2019'!Maxi_hp)</f>
        <v>13.60303974842923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3.0195644577771061E-2</v>
      </c>
      <c r="M325" s="843"/>
      <c r="N325" s="843"/>
      <c r="O325" s="48">
        <f>IF(t&lt;Tnet,'2019'!Resal+('2019'!Salim-'2019'!Resal)*(1-EXP(('2019'!Tnet-t)/('2019'!Tau_j))),Resal+(Salim-Resal)*(1-EXP((Tnet-t)/(Tau_j))))*Salcycl</f>
        <v>0.10329693892138267</v>
      </c>
      <c r="P325" s="169">
        <f>(INDEX(Models!$BJ325:$BT325,,T325)*(1-R325)+INDEX(Models!$BJ325:$BT325,,T325+1)*R325-ERP_i)*Q325*Ramure*Pc/MaxiM</f>
        <v>6.4837991232486345E-3</v>
      </c>
      <c r="Q325" s="305">
        <f t="shared" si="101"/>
        <v>0.8</v>
      </c>
      <c r="R325" s="177">
        <f t="shared" si="102"/>
        <v>0.59900363141131674</v>
      </c>
      <c r="S325" s="809">
        <f t="shared" si="103"/>
        <v>0</v>
      </c>
      <c r="T325" s="176">
        <f t="shared" si="104"/>
        <v>6</v>
      </c>
      <c r="U325" s="251">
        <f t="shared" si="105"/>
        <v>0.59900363141131674</v>
      </c>
      <c r="V325" s="383">
        <f t="shared" si="106"/>
        <v>19.754013840495173</v>
      </c>
      <c r="W325" s="402"/>
      <c r="X325" s="157">
        <f t="shared" si="107"/>
        <v>44141</v>
      </c>
      <c r="Y325" s="385">
        <f t="shared" si="108"/>
        <v>11.698459709133155</v>
      </c>
      <c r="Z325" s="385">
        <f t="shared" si="109"/>
        <v>12.062700733118417</v>
      </c>
      <c r="AA325" s="386">
        <f t="shared" si="110"/>
        <v>13.452280087689848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0.10329693892138267</v>
      </c>
      <c r="AD325" s="231">
        <f>(INDEX(Models!$BJ325:$BT325,,AH325)*(1-AF325)+INDEX(Models!$BJ325:$BT325,,AH325+1)*AF325-ERP_i)*AE325*Ramure*Pc/MaxiM</f>
        <v>2.6103912180491823E-2</v>
      </c>
      <c r="AE325" s="305">
        <f t="shared" si="112"/>
        <v>0.8</v>
      </c>
      <c r="AF325" s="177">
        <f t="shared" si="113"/>
        <v>0.79893720556383796</v>
      </c>
      <c r="AG325" s="809">
        <f t="shared" si="119"/>
        <v>1</v>
      </c>
      <c r="AH325" s="176">
        <f t="shared" si="114"/>
        <v>7</v>
      </c>
      <c r="AI325" s="225">
        <f t="shared" si="115"/>
        <v>1.798937205563838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6">
        <v>4.5679999999999996</v>
      </c>
      <c r="C326" s="390"/>
      <c r="D326" s="393">
        <f t="shared" si="98"/>
        <v>4.7103392544650626</v>
      </c>
      <c r="E326" s="385">
        <f t="shared" si="120"/>
        <v>5.2529832651251462</v>
      </c>
      <c r="F326" s="385">
        <f t="shared" si="99"/>
        <v>5.2529832651251462</v>
      </c>
      <c r="G326" s="110">
        <f t="shared" si="121"/>
        <v>0.23283034357570051</v>
      </c>
      <c r="H326" s="414" t="b">
        <f>Wh_hp&gt;='2019'!Maxi_hp</f>
        <v>0</v>
      </c>
      <c r="I326" s="380">
        <f>IF(H326,Wh_hp,'2019'!Maxi_hp)</f>
        <v>13.1579986577722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3.0218471913702569E-2</v>
      </c>
      <c r="M326" s="843"/>
      <c r="N326" s="843"/>
      <c r="O326" s="48">
        <f>IF(t&lt;Tnet,'2019'!Resal+('2019'!Salim-'2019'!Resal)*(1-EXP(('2019'!Tnet-t)/('2019'!Tau_j))),Resal+(Salim-Resal)*(1-EXP((Tnet-t)/(Tau_j))))*Salcycl</f>
        <v>0.10330206346986257</v>
      </c>
      <c r="P326" s="169">
        <f>(INDEX(Models!$BJ326:$BT326,,T326)*(1-R326)+INDEX(Models!$BJ326:$BT326,,T326+1)*R326-ERP_i)*Q326*Ramure*Pc/MaxiM</f>
        <v>6.4890079011675492E-3</v>
      </c>
      <c r="Q326" s="305">
        <f t="shared" si="101"/>
        <v>0.8</v>
      </c>
      <c r="R326" s="177">
        <f t="shared" si="102"/>
        <v>0.59905431396015596</v>
      </c>
      <c r="S326" s="809">
        <f t="shared" si="103"/>
        <v>0</v>
      </c>
      <c r="T326" s="176">
        <f t="shared" si="104"/>
        <v>6</v>
      </c>
      <c r="U326" s="251">
        <f t="shared" si="105"/>
        <v>0.59905431396015596</v>
      </c>
      <c r="V326" s="383">
        <f t="shared" si="106"/>
        <v>19.492125219631873</v>
      </c>
      <c r="W326" s="402"/>
      <c r="X326" s="157">
        <f t="shared" si="107"/>
        <v>44142</v>
      </c>
      <c r="Y326" s="385">
        <f t="shared" si="108"/>
        <v>4.5679999999999996</v>
      </c>
      <c r="Z326" s="385">
        <f t="shared" si="109"/>
        <v>4.7103392544650626</v>
      </c>
      <c r="AA326" s="386">
        <f t="shared" si="110"/>
        <v>5.2529832651251462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0.10330206346986257</v>
      </c>
      <c r="AD326" s="231">
        <f>(INDEX(Models!$BJ326:$BT326,,AH326)*(1-AF326)+INDEX(Models!$BJ326:$BT326,,AH326+1)*AF326-ERP_i)*AE326*Ramure*Pc/MaxiM</f>
        <v>2.6400374323295145E-2</v>
      </c>
      <c r="AE326" s="305">
        <f t="shared" si="112"/>
        <v>0.8</v>
      </c>
      <c r="AF326" s="177">
        <f t="shared" si="113"/>
        <v>0.79898788811267707</v>
      </c>
      <c r="AG326" s="809">
        <f t="shared" si="119"/>
        <v>1</v>
      </c>
      <c r="AH326" s="176">
        <f t="shared" si="114"/>
        <v>7</v>
      </c>
      <c r="AI326" s="225">
        <f t="shared" si="115"/>
        <v>1.7989878881126771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6">
        <v>14.759</v>
      </c>
      <c r="C327" s="390"/>
      <c r="D327" s="393">
        <f t="shared" si="98"/>
        <v>15.219249881950159</v>
      </c>
      <c r="E327" s="385">
        <f t="shared" si="120"/>
        <v>16.972655959361099</v>
      </c>
      <c r="F327" s="385">
        <f t="shared" si="99"/>
        <v>17.046785311293721</v>
      </c>
      <c r="G327" s="110">
        <f t="shared" si="121"/>
        <v>0.76556760660956824</v>
      </c>
      <c r="H327" s="414" t="b">
        <f>Wh_hp&gt;='2019'!Maxi_hp</f>
        <v>1</v>
      </c>
      <c r="I327" s="380">
        <f>IF(H327,Wh_hp,'2019'!Maxi_hp)</f>
        <v>17.046785311293721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3.0241298718408569E-2</v>
      </c>
      <c r="M327" s="843"/>
      <c r="N327" s="843"/>
      <c r="O327" s="48">
        <f>IF(t&lt;Tnet,'2019'!Resal+('2019'!Salim-'2019'!Resal)*(1-EXP(('2019'!Tnet-t)/('2019'!Tau_j))),Resal+(Salim-Resal)*(1-EXP((Tnet-t)/(Tau_j))))*Salcycl</f>
        <v>0.1033077016118898</v>
      </c>
      <c r="P327" s="169">
        <f>(INDEX(Models!$BJ327:$BT327,,T327)*(1-R327)+INDEX(Models!$BJ327:$BT327,,T327+1)*R327-ERP_i)*Q327*Ramure*Pc/MaxiM</f>
        <v>6.5149122059168663E-3</v>
      </c>
      <c r="Q327" s="305">
        <f t="shared" si="101"/>
        <v>0.8</v>
      </c>
      <c r="R327" s="177">
        <f t="shared" si="102"/>
        <v>0.59910296393831941</v>
      </c>
      <c r="S327" s="809">
        <f t="shared" si="103"/>
        <v>0</v>
      </c>
      <c r="T327" s="176">
        <f t="shared" si="104"/>
        <v>6</v>
      </c>
      <c r="U327" s="251">
        <f t="shared" si="105"/>
        <v>0.59910296393831941</v>
      </c>
      <c r="V327" s="383">
        <f t="shared" si="106"/>
        <v>19.236560388064362</v>
      </c>
      <c r="W327" s="402"/>
      <c r="X327" s="157">
        <f t="shared" si="107"/>
        <v>44143</v>
      </c>
      <c r="Y327" s="385">
        <f t="shared" si="108"/>
        <v>14.559134511903657</v>
      </c>
      <c r="Z327" s="385">
        <f t="shared" si="109"/>
        <v>15.013151717703519</v>
      </c>
      <c r="AA327" s="386">
        <f t="shared" si="110"/>
        <v>16.742813275736939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0.1033077016118898</v>
      </c>
      <c r="AD327" s="231">
        <f>(INDEX(Models!$BJ327:$BT327,,AH327)*(1-AF327)+INDEX(Models!$BJ327:$BT327,,AH327+1)*AF327-ERP_i)*AE327*Ramure*Pc/MaxiM</f>
        <v>2.6714804231747592E-2</v>
      </c>
      <c r="AE327" s="305">
        <f t="shared" si="112"/>
        <v>0.8</v>
      </c>
      <c r="AF327" s="177">
        <f t="shared" si="113"/>
        <v>0.79903653809084063</v>
      </c>
      <c r="AG327" s="809">
        <f t="shared" si="119"/>
        <v>1</v>
      </c>
      <c r="AH327" s="176">
        <f t="shared" si="114"/>
        <v>7</v>
      </c>
      <c r="AI327" s="225">
        <f t="shared" si="115"/>
        <v>1.7990365380908406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6">
        <v>12.69</v>
      </c>
      <c r="C328" s="390"/>
      <c r="D328" s="393">
        <f t="shared" si="98"/>
        <v>13.086037473754409</v>
      </c>
      <c r="E328" s="385">
        <f t="shared" si="120"/>
        <v>14.593778482874718</v>
      </c>
      <c r="F328" s="385">
        <f t="shared" si="99"/>
        <v>14.644338652337892</v>
      </c>
      <c r="G328" s="110">
        <f t="shared" si="121"/>
        <v>0.66623171226294131</v>
      </c>
      <c r="H328" s="414" t="b">
        <f>Wh_hp&gt;='2019'!Maxi_hp</f>
        <v>0</v>
      </c>
      <c r="I328" s="380">
        <f>IF(H328,Wh_hp,'2019'!Maxi_hp)</f>
        <v>15.743855645417897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3.0264124991901495E-2</v>
      </c>
      <c r="M328" s="843"/>
      <c r="N328" s="843"/>
      <c r="O328" s="48">
        <f>IF(t&lt;Tnet,'2019'!Resal+('2019'!Salim-'2019'!Resal)*(1-EXP(('2019'!Tnet-t)/('2019'!Tau_j))),Resal+(Salim-Resal)*(1-EXP((Tnet-t)/(Tau_j))))*Salcycl</f>
        <v>0.10331395744354965</v>
      </c>
      <c r="P328" s="169">
        <f>(INDEX(Models!$BJ328:$BT328,,T328)*(1-R328)+INDEX(Models!$BJ328:$BT328,,T328+1)*R328-ERP_i)*Q328*Ramure*Pc/MaxiM</f>
        <v>6.5616832872175236E-3</v>
      </c>
      <c r="Q328" s="305">
        <f t="shared" si="101"/>
        <v>0.8</v>
      </c>
      <c r="R328" s="177">
        <f t="shared" si="102"/>
        <v>0.59914966254916158</v>
      </c>
      <c r="S328" s="809">
        <f t="shared" si="103"/>
        <v>0</v>
      </c>
      <c r="T328" s="176">
        <f t="shared" si="104"/>
        <v>6</v>
      </c>
      <c r="U328" s="251">
        <f t="shared" si="105"/>
        <v>0.59914966254916158</v>
      </c>
      <c r="V328" s="383">
        <f t="shared" si="106"/>
        <v>18.988000797219076</v>
      </c>
      <c r="W328" s="402"/>
      <c r="X328" s="157">
        <f t="shared" si="107"/>
        <v>44144</v>
      </c>
      <c r="Y328" s="385">
        <f t="shared" si="108"/>
        <v>12.552747716716013</v>
      </c>
      <c r="Z328" s="385">
        <f t="shared" si="109"/>
        <v>12.944501735187616</v>
      </c>
      <c r="AA328" s="386">
        <f t="shared" si="110"/>
        <v>14.435935345087858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0.10331395744354965</v>
      </c>
      <c r="AD328" s="231">
        <f>(INDEX(Models!$BJ328:$BT328,,AH328)*(1-AF328)+INDEX(Models!$BJ328:$BT328,,AH328+1)*AF328-ERP_i)*AE328*Ramure*Pc/MaxiM</f>
        <v>2.7046517302111085E-2</v>
      </c>
      <c r="AE328" s="305">
        <f t="shared" si="112"/>
        <v>0.8</v>
      </c>
      <c r="AF328" s="177">
        <f t="shared" si="113"/>
        <v>0.79908323670168269</v>
      </c>
      <c r="AG328" s="809">
        <f t="shared" si="119"/>
        <v>1</v>
      </c>
      <c r="AH328" s="176">
        <f t="shared" si="114"/>
        <v>7</v>
      </c>
      <c r="AI328" s="225">
        <f t="shared" si="115"/>
        <v>1.7990832367016827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6">
        <v>8.5549999999999997</v>
      </c>
      <c r="C329" s="390"/>
      <c r="D329" s="393">
        <f t="shared" si="98"/>
        <v>8.8221974598332995</v>
      </c>
      <c r="E329" s="385">
        <f t="shared" si="120"/>
        <v>9.8387458591999746</v>
      </c>
      <c r="F329" s="385">
        <f t="shared" si="99"/>
        <v>9.853334793126896</v>
      </c>
      <c r="G329" s="110">
        <f t="shared" si="121"/>
        <v>0.45398347915735543</v>
      </c>
      <c r="H329" s="414" t="b">
        <f>Wh_hp&gt;='2019'!Maxi_hp</f>
        <v>0</v>
      </c>
      <c r="I329" s="380">
        <f>IF(H329,Wh_hp,'2019'!Maxi_hp)</f>
        <v>18.748346260015087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3.0286950734193782E-2</v>
      </c>
      <c r="M329" s="843"/>
      <c r="N329" s="843"/>
      <c r="O329" s="48">
        <f>IF(t&lt;Tnet,'2019'!Resal+('2019'!Salim-'2019'!Resal)*(1-EXP(('2019'!Tnet-t)/('2019'!Tau_j))),Resal+(Salim-Resal)*(1-EXP((Tnet-t)/(Tau_j))))*Salcycl</f>
        <v>0.10332093276056366</v>
      </c>
      <c r="P329" s="169">
        <f>(INDEX(Models!$BJ329:$BT329,,T329)*(1-R329)+INDEX(Models!$BJ329:$BT329,,T329+1)*R329-ERP_i)*Q329*Ramure*Pc/MaxiM</f>
        <v>6.6294542765791059E-3</v>
      </c>
      <c r="Q329" s="305">
        <f t="shared" si="101"/>
        <v>0.8</v>
      </c>
      <c r="R329" s="177">
        <f t="shared" si="102"/>
        <v>0.5991944877763582</v>
      </c>
      <c r="S329" s="809">
        <f t="shared" si="103"/>
        <v>0</v>
      </c>
      <c r="T329" s="176">
        <f t="shared" si="104"/>
        <v>6</v>
      </c>
      <c r="U329" s="251">
        <f t="shared" si="105"/>
        <v>0.5991944877763582</v>
      </c>
      <c r="V329" s="383">
        <f t="shared" si="106"/>
        <v>18.747127819255457</v>
      </c>
      <c r="W329" s="402"/>
      <c r="X329" s="157">
        <f t="shared" si="107"/>
        <v>44145</v>
      </c>
      <c r="Y329" s="385">
        <f t="shared" si="108"/>
        <v>8.5152658958177767</v>
      </c>
      <c r="Z329" s="385">
        <f t="shared" si="109"/>
        <v>8.7812223443470163</v>
      </c>
      <c r="AA329" s="386">
        <f t="shared" si="110"/>
        <v>9.7930493363487923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0.10332093276056366</v>
      </c>
      <c r="AD329" s="231">
        <f>(INDEX(Models!$BJ329:$BT329,,AH329)*(1-AF329)+INDEX(Models!$BJ329:$BT329,,AH329+1)*AF329-ERP_i)*AE329*Ramure*Pc/MaxiM</f>
        <v>2.7394714463377389E-2</v>
      </c>
      <c r="AE329" s="305">
        <f t="shared" si="112"/>
        <v>0.8</v>
      </c>
      <c r="AF329" s="177">
        <f t="shared" si="113"/>
        <v>0.79912806192887942</v>
      </c>
      <c r="AG329" s="809">
        <f t="shared" si="119"/>
        <v>1</v>
      </c>
      <c r="AH329" s="176">
        <f t="shared" si="114"/>
        <v>7</v>
      </c>
      <c r="AI329" s="225">
        <f t="shared" si="115"/>
        <v>1.7991280619288794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6">
        <v>16.782</v>
      </c>
      <c r="C330" s="390"/>
      <c r="D330" s="393">
        <f t="shared" si="98"/>
        <v>17.306557892093679</v>
      </c>
      <c r="E330" s="385">
        <f t="shared" si="120"/>
        <v>19.300894770735585</v>
      </c>
      <c r="F330" s="385">
        <f t="shared" si="99"/>
        <v>19.413886631225036</v>
      </c>
      <c r="G330" s="110">
        <f t="shared" si="121"/>
        <v>0.90559981672582335</v>
      </c>
      <c r="H330" s="414" t="b">
        <f>Wh_hp&gt;='2019'!Maxi_hp</f>
        <v>0</v>
      </c>
      <c r="I330" s="380">
        <f>IF(H330,Wh_hp,'2019'!Maxi_hp)</f>
        <v>20.456822041646511</v>
      </c>
      <c r="J330" s="85">
        <f>IF(H330,An,'2019'!An_max)</f>
        <v>2018</v>
      </c>
      <c r="K330" s="197">
        <f t="shared" si="100"/>
        <v>44146</v>
      </c>
      <c r="L330" s="147">
        <f>IF(t&lt;Tvie,1-EXP((T0-t)*PertePVj)+'2019'!Pspv,1-EXP((T0-t)*PertePVj)+Pspv)</f>
        <v>3.0309775945297532E-2</v>
      </c>
      <c r="M330" s="843"/>
      <c r="N330" s="843"/>
      <c r="O330" s="48">
        <f>IF(t&lt;Tnet,'2019'!Resal+('2019'!Salim-'2019'!Resal)*(1-EXP(('2019'!Tnet-t)/('2019'!Tau_j))),Resal+(Salim-Resal)*(1-EXP((Tnet-t)/(Tau_j))))*Salcycl</f>
        <v>0.10332872658659134</v>
      </c>
      <c r="P330" s="169">
        <f>(INDEX(Models!$BJ330:$BT330,,T330)*(1-R330)+INDEX(Models!$BJ330:$BT330,,T330+1)*R330-ERP_i)*Q330*Ramure*Pc/MaxiM</f>
        <v>6.7183114735978652E-3</v>
      </c>
      <c r="Q330" s="305">
        <f t="shared" si="101"/>
        <v>0.8</v>
      </c>
      <c r="R330" s="177">
        <f t="shared" si="102"/>
        <v>0.59923751450963403</v>
      </c>
      <c r="S330" s="809">
        <f t="shared" si="103"/>
        <v>0</v>
      </c>
      <c r="T330" s="176">
        <f t="shared" si="104"/>
        <v>6</v>
      </c>
      <c r="U330" s="251">
        <f t="shared" si="105"/>
        <v>0.59923751450963403</v>
      </c>
      <c r="V330" s="383">
        <f t="shared" si="106"/>
        <v>18.514622701417501</v>
      </c>
      <c r="W330" s="402"/>
      <c r="X330" s="157">
        <f t="shared" si="107"/>
        <v>44146</v>
      </c>
      <c r="Y330" s="385">
        <f t="shared" si="108"/>
        <v>16.474317815773279</v>
      </c>
      <c r="Z330" s="385">
        <f t="shared" si="109"/>
        <v>16.989258432334083</v>
      </c>
      <c r="AA330" s="386">
        <f t="shared" si="110"/>
        <v>18.947031020253522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0.10332872658659134</v>
      </c>
      <c r="AD330" s="231">
        <f>(INDEX(Models!$BJ330:$BT330,,AH330)*(1-AF330)+INDEX(Models!$BJ330:$BT330,,AH330+1)*AF330-ERP_i)*AE330*Ramure*Pc/MaxiM</f>
        <v>2.7758472106902837E-2</v>
      </c>
      <c r="AE330" s="305">
        <f t="shared" si="112"/>
        <v>0.8</v>
      </c>
      <c r="AF330" s="177">
        <f t="shared" si="113"/>
        <v>0.79917108866215525</v>
      </c>
      <c r="AG330" s="809">
        <f t="shared" si="119"/>
        <v>1</v>
      </c>
      <c r="AH330" s="176">
        <f t="shared" si="114"/>
        <v>7</v>
      </c>
      <c r="AI330" s="225">
        <f t="shared" si="115"/>
        <v>1.7991710886621552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6">
        <v>17.946999999999999</v>
      </c>
      <c r="C331" s="390"/>
      <c r="D331" s="393">
        <f t="shared" si="98"/>
        <v>18.508408152704654</v>
      </c>
      <c r="E331" s="385">
        <f t="shared" si="120"/>
        <v>20.641441796833181</v>
      </c>
      <c r="F331" s="385">
        <f t="shared" si="99"/>
        <v>20.779551428592494</v>
      </c>
      <c r="G331" s="110">
        <f t="shared" si="121"/>
        <v>0.98110555164124313</v>
      </c>
      <c r="H331" s="414" t="b">
        <f>Wh_hp&gt;='2019'!Maxi_hp</f>
        <v>1</v>
      </c>
      <c r="I331" s="380">
        <f>IF(H331,Wh_hp,'2019'!Maxi_hp)</f>
        <v>20.779551428592494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3.03326006252254E-2</v>
      </c>
      <c r="M331" s="843"/>
      <c r="N331" s="843"/>
      <c r="O331" s="48">
        <f>IF(t&lt;Tnet,'2019'!Resal+('2019'!Salim-'2019'!Resal)*(1-EXP(('2019'!Tnet-t)/('2019'!Tau_j))),Resal+(Salim-Resal)*(1-EXP((Tnet-t)/(Tau_j))))*Salcycl</f>
        <v>0.10333743471620181</v>
      </c>
      <c r="P331" s="169">
        <f>(INDEX(Models!$BJ331:$BT331,,T331)*(1-R331)+INDEX(Models!$BJ331:$BT331,,T331+1)*R331-ERP_i)*Q331*Ramure*Pc/MaxiM</f>
        <v>6.8289893682557988E-3</v>
      </c>
      <c r="Q331" s="305">
        <f t="shared" si="101"/>
        <v>0.8</v>
      </c>
      <c r="R331" s="177">
        <f t="shared" si="102"/>
        <v>0.59927881466573485</v>
      </c>
      <c r="S331" s="809">
        <f t="shared" si="103"/>
        <v>0</v>
      </c>
      <c r="T331" s="176">
        <f t="shared" si="104"/>
        <v>6</v>
      </c>
      <c r="U331" s="251">
        <f t="shared" si="105"/>
        <v>0.59927881466573485</v>
      </c>
      <c r="V331" s="383">
        <f t="shared" si="106"/>
        <v>18.289267122350786</v>
      </c>
      <c r="W331" s="402"/>
      <c r="X331" s="157">
        <f t="shared" si="107"/>
        <v>44147</v>
      </c>
      <c r="Y331" s="385">
        <f t="shared" si="108"/>
        <v>17.572272154993758</v>
      </c>
      <c r="Z331" s="385">
        <f t="shared" si="109"/>
        <v>18.121958277986934</v>
      </c>
      <c r="AA331" s="386">
        <f t="shared" si="110"/>
        <v>20.210454835093113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0.10333743471620181</v>
      </c>
      <c r="AD331" s="231">
        <f>(INDEX(Models!$BJ331:$BT331,,AH331)*(1-AF331)+INDEX(Models!$BJ331:$BT331,,AH331+1)*AF331-ERP_i)*AE331*Ramure*Pc/MaxiM</f>
        <v>2.8139634701877202E-2</v>
      </c>
      <c r="AE331" s="305">
        <f t="shared" si="112"/>
        <v>0.8</v>
      </c>
      <c r="AF331" s="177">
        <f t="shared" si="113"/>
        <v>0.79921238881825607</v>
      </c>
      <c r="AG331" s="809">
        <f t="shared" si="119"/>
        <v>1</v>
      </c>
      <c r="AH331" s="176">
        <f t="shared" si="114"/>
        <v>7</v>
      </c>
      <c r="AI331" s="225">
        <f t="shared" si="115"/>
        <v>1.7992123888182561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6">
        <v>13.968999999999999</v>
      </c>
      <c r="C332" s="390"/>
      <c r="D332" s="393">
        <f t="shared" si="98"/>
        <v>14.406309648815416</v>
      </c>
      <c r="E332" s="385">
        <f t="shared" si="120"/>
        <v>16.066763895502625</v>
      </c>
      <c r="F332" s="385">
        <f t="shared" si="99"/>
        <v>16.142697199455277</v>
      </c>
      <c r="G332" s="110">
        <f t="shared" si="121"/>
        <v>0.7713182581349185</v>
      </c>
      <c r="H332" s="414" t="b">
        <f>Wh_hp&gt;='2019'!Maxi_hp</f>
        <v>1</v>
      </c>
      <c r="I332" s="380">
        <f>IF(H332,Wh_hp,'2019'!Maxi_hp)</f>
        <v>16.142697199455277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3.03554247739896E-2</v>
      </c>
      <c r="M332" s="843"/>
      <c r="N332" s="843"/>
      <c r="O332" s="48">
        <f>IF(t&lt;Tnet,'2019'!Resal+('2019'!Salim-'2019'!Resal)*(1-EXP(('2019'!Tnet-t)/('2019'!Tau_j))),Resal+(Salim-Resal)*(1-EXP((Tnet-t)/(Tau_j))))*Salcycl</f>
        <v>0.10334714927577916</v>
      </c>
      <c r="P332" s="169">
        <f>(INDEX(Models!$BJ332:$BT332,,T332)*(1-R332)+INDEX(Models!$BJ332:$BT332,,T332+1)*R332-ERP_i)*Q332*Ramure*Pc/MaxiM</f>
        <v>6.9603010528819466E-3</v>
      </c>
      <c r="Q332" s="305">
        <f t="shared" si="101"/>
        <v>0.8</v>
      </c>
      <c r="R332" s="177">
        <f t="shared" si="102"/>
        <v>0.59931845730480893</v>
      </c>
      <c r="S332" s="809">
        <f t="shared" si="103"/>
        <v>0</v>
      </c>
      <c r="T332" s="176">
        <f t="shared" si="104"/>
        <v>6</v>
      </c>
      <c r="U332" s="251">
        <f t="shared" si="105"/>
        <v>0.59931845730480893</v>
      </c>
      <c r="V332" s="383">
        <f t="shared" si="106"/>
        <v>18.069494576165816</v>
      </c>
      <c r="W332" s="402"/>
      <c r="X332" s="157">
        <f t="shared" si="107"/>
        <v>44148</v>
      </c>
      <c r="Y332" s="385">
        <f t="shared" si="108"/>
        <v>13.764463122839601</v>
      </c>
      <c r="Z332" s="385">
        <f t="shared" si="109"/>
        <v>14.195369596773435</v>
      </c>
      <c r="AA332" s="386">
        <f t="shared" si="110"/>
        <v>15.831511142029967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0.10334714927577916</v>
      </c>
      <c r="AD332" s="231">
        <f>(INDEX(Models!$BJ332:$BT332,,AH332)*(1-AF332)+INDEX(Models!$BJ332:$BT332,,AH332+1)*AF332-ERP_i)*AE332*Ramure*Pc/MaxiM</f>
        <v>2.8524356644485688E-2</v>
      </c>
      <c r="AE332" s="305">
        <f t="shared" si="112"/>
        <v>0.8</v>
      </c>
      <c r="AF332" s="177">
        <f t="shared" si="113"/>
        <v>0.79925203145733015</v>
      </c>
      <c r="AG332" s="809">
        <f t="shared" si="119"/>
        <v>1</v>
      </c>
      <c r="AH332" s="176">
        <f t="shared" si="114"/>
        <v>7</v>
      </c>
      <c r="AI332" s="225">
        <f t="shared" si="115"/>
        <v>1.7992520314573301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6">
        <v>17.658000000000001</v>
      </c>
      <c r="C333" s="390"/>
      <c r="D333" s="393">
        <f t="shared" si="98"/>
        <v>18.211225120217357</v>
      </c>
      <c r="E333" s="385">
        <f t="shared" si="120"/>
        <v>20.310474273324534</v>
      </c>
      <c r="F333" s="385">
        <f t="shared" si="99"/>
        <v>20.45344773267831</v>
      </c>
      <c r="G333" s="110">
        <f t="shared" si="121"/>
        <v>0.988822380378796</v>
      </c>
      <c r="H333" s="414" t="b">
        <f>Wh_hp&gt;='2019'!Maxi_hp</f>
        <v>1</v>
      </c>
      <c r="I333" s="380">
        <f>IF(H333,Wh_hp,'2019'!Maxi_hp)</f>
        <v>20.45344773267831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3.0378248391602566E-2</v>
      </c>
      <c r="M333" s="843"/>
      <c r="N333" s="843"/>
      <c r="O333" s="48">
        <f>IF(t&lt;Tnet,'2019'!Resal+('2019'!Salim-'2019'!Resal)*(1-EXP(('2019'!Tnet-t)/('2019'!Tau_j))),Resal+(Salim-Resal)*(1-EXP((Tnet-t)/(Tau_j))))*Salcycl</f>
        <v>0.10335795830549845</v>
      </c>
      <c r="P333" s="169">
        <f>(INDEX(Models!$BJ333:$BT333,,T333)*(1-R333)+INDEX(Models!$BJ333:$BT333,,T333+1)*R333-ERP_i)*Q333*Ramure*Pc/MaxiM</f>
        <v>7.102466553589021E-3</v>
      </c>
      <c r="Q333" s="305">
        <f t="shared" si="101"/>
        <v>0.8</v>
      </c>
      <c r="R333" s="177">
        <f t="shared" si="102"/>
        <v>0.59935650874236301</v>
      </c>
      <c r="S333" s="809">
        <f t="shared" si="103"/>
        <v>0</v>
      </c>
      <c r="T333" s="176">
        <f t="shared" si="104"/>
        <v>6</v>
      </c>
      <c r="U333" s="251">
        <f t="shared" si="105"/>
        <v>0.59935650874236301</v>
      </c>
      <c r="V333" s="383">
        <f t="shared" si="106"/>
        <v>17.855586394287322</v>
      </c>
      <c r="W333" s="402"/>
      <c r="X333" s="157">
        <f t="shared" si="107"/>
        <v>44149</v>
      </c>
      <c r="Y333" s="385">
        <f t="shared" si="108"/>
        <v>17.276596655130543</v>
      </c>
      <c r="Z333" s="385">
        <f t="shared" si="109"/>
        <v>17.817872408980431</v>
      </c>
      <c r="AA333" s="386">
        <f t="shared" si="110"/>
        <v>19.871778904441811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0.10335795830549845</v>
      </c>
      <c r="AD333" s="231">
        <f>(INDEX(Models!$BJ333:$BT333,,AH333)*(1-AF333)+INDEX(Models!$BJ333:$BT333,,AH333+1)*AF333-ERP_i)*AE333*Ramure*Pc/MaxiM</f>
        <v>2.889545665669704E-2</v>
      </c>
      <c r="AE333" s="305">
        <f t="shared" si="112"/>
        <v>0.8</v>
      </c>
      <c r="AF333" s="177">
        <f t="shared" si="113"/>
        <v>0.79929008289488435</v>
      </c>
      <c r="AG333" s="809">
        <f t="shared" si="119"/>
        <v>1</v>
      </c>
      <c r="AH333" s="176">
        <f t="shared" si="114"/>
        <v>7</v>
      </c>
      <c r="AI333" s="225">
        <f t="shared" si="115"/>
        <v>1.7992900828948843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6">
        <v>13.253</v>
      </c>
      <c r="C334" s="390"/>
      <c r="D334" s="393">
        <f t="shared" si="98"/>
        <v>13.668538207032825</v>
      </c>
      <c r="E334" s="385">
        <f t="shared" si="120"/>
        <v>15.244345353337986</v>
      </c>
      <c r="F334" s="385">
        <f t="shared" si="99"/>
        <v>15.315938829828163</v>
      </c>
      <c r="G334" s="110">
        <f t="shared" si="121"/>
        <v>0.74903113521402009</v>
      </c>
      <c r="H334" s="414" t="b">
        <f>Wh_hp&gt;='2019'!Maxi_hp</f>
        <v>0</v>
      </c>
      <c r="I334" s="380">
        <f>IF(H334,Wh_hp,'2019'!Maxi_hp)</f>
        <v>17.939762584806399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3.0401071478076511E-2</v>
      </c>
      <c r="M334" s="843"/>
      <c r="N334" s="843"/>
      <c r="O334" s="48">
        <f>IF(t&lt;Tnet,'2019'!Resal+('2019'!Salim-'2019'!Resal)*(1-EXP(('2019'!Tnet-t)/('2019'!Tau_j))),Resal+(Salim-Resal)*(1-EXP((Tnet-t)/(Tau_j))))*Salcycl</f>
        <v>0.10336994536535575</v>
      </c>
      <c r="P334" s="169">
        <f>(INDEX(Models!$BJ334:$BT334,,T334)*(1-R334)+INDEX(Models!$BJ334:$BT334,,T334+1)*R334-ERP_i)*Q334*Ramure*Pc/MaxiM</f>
        <v>7.255576410785133E-3</v>
      </c>
      <c r="Q334" s="305">
        <f t="shared" si="101"/>
        <v>0.8</v>
      </c>
      <c r="R334" s="177">
        <f t="shared" si="102"/>
        <v>0.59939303265695054</v>
      </c>
      <c r="S334" s="809">
        <f t="shared" si="103"/>
        <v>0</v>
      </c>
      <c r="T334" s="176">
        <f t="shared" si="104"/>
        <v>6</v>
      </c>
      <c r="U334" s="251">
        <f t="shared" si="105"/>
        <v>0.59939303265695054</v>
      </c>
      <c r="V334" s="383">
        <f t="shared" si="106"/>
        <v>17.647639675548174</v>
      </c>
      <c r="W334" s="402"/>
      <c r="X334" s="157">
        <f t="shared" si="107"/>
        <v>44150</v>
      </c>
      <c r="Y334" s="385">
        <f t="shared" si="108"/>
        <v>13.064301155761136</v>
      </c>
      <c r="Z334" s="385">
        <f t="shared" si="109"/>
        <v>13.473922847332993</v>
      </c>
      <c r="AA334" s="386">
        <f t="shared" si="110"/>
        <v>15.027293338748612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0.10336994536535575</v>
      </c>
      <c r="AD334" s="231">
        <f>(INDEX(Models!$BJ334:$BT334,,AH334)*(1-AF334)+INDEX(Models!$BJ334:$BT334,,AH334+1)*AF334-ERP_i)*AE334*Ramure*Pc/MaxiM</f>
        <v>2.9252517391632118E-2</v>
      </c>
      <c r="AE334" s="305">
        <f t="shared" si="112"/>
        <v>0.8</v>
      </c>
      <c r="AF334" s="177">
        <f t="shared" si="113"/>
        <v>0.79932660680947176</v>
      </c>
      <c r="AG334" s="809">
        <f t="shared" si="119"/>
        <v>1</v>
      </c>
      <c r="AH334" s="176">
        <f t="shared" si="114"/>
        <v>7</v>
      </c>
      <c r="AI334" s="225">
        <f t="shared" si="115"/>
        <v>1.7993266068094718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6">
        <v>15.074999999999999</v>
      </c>
      <c r="C335" s="390"/>
      <c r="D335" s="393">
        <f t="shared" ref="D335:D380" si="122">Wh/(1-Ppv)</f>
        <v>15.548031667892271</v>
      </c>
      <c r="E335" s="385">
        <f t="shared" si="120"/>
        <v>17.340776438784037</v>
      </c>
      <c r="F335" s="385">
        <f t="shared" ref="F335:F380" si="123">Wh_sa/(1-Pvg*MEDIAN((-Sdif+Wh/Env_an)/Csdif,0,1))</f>
        <v>17.44508585595511</v>
      </c>
      <c r="G335" s="110">
        <f t="shared" si="121"/>
        <v>0.86285507785544624</v>
      </c>
      <c r="H335" s="414" t="b">
        <f>Wh_hp&gt;='2019'!Maxi_hp</f>
        <v>0</v>
      </c>
      <c r="I335" s="380">
        <f>IF(H335,Wh_hp,'2019'!Maxi_hp)</f>
        <v>19.633088626435899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3.0423894033423868E-2</v>
      </c>
      <c r="M335" s="843"/>
      <c r="N335" s="843"/>
      <c r="O335" s="48">
        <f>IF(t&lt;Tnet,'2019'!Resal+('2019'!Salim-'2019'!Resal)*(1-EXP(('2019'!Tnet-t)/('2019'!Tau_j))),Resal+(Salim-Resal)*(1-EXP((Tnet-t)/(Tau_j))))*Salcycl</f>
        <v>0.10338318916805526</v>
      </c>
      <c r="P335" s="169">
        <f>(INDEX(Models!$BJ335:$BT335,,T335)*(1-R335)+INDEX(Models!$BJ335:$BT335,,T335+1)*R335-ERP_i)*Q335*Ramure*Pc/MaxiM</f>
        <v>7.4197074378050407E-3</v>
      </c>
      <c r="Q335" s="305">
        <f t="shared" ref="Q335:Q380" si="125">IF(OR(t&lt;Ttai,Notai),Dd+PousD*Croivg,Dens+PousD*(Croivg-Croi_tai))</f>
        <v>0.8</v>
      </c>
      <c r="R335" s="177">
        <f t="shared" ref="R335:R379" si="126">(Hp_vg-S335)/(INDEX(Echel_vg,T335+1)-S335)</f>
        <v>0.59942809019374355</v>
      </c>
      <c r="S335" s="809">
        <f t="shared" ref="S335:S379" si="127">INDEX(Echel_vg,T335)</f>
        <v>0</v>
      </c>
      <c r="T335" s="176">
        <f t="shared" ref="T335:T380" si="128">MIN(MATCH(Hp_vg,Echel_vg),10)</f>
        <v>6</v>
      </c>
      <c r="U335" s="251">
        <f t="shared" ref="U335:U380" si="129">IF(OR(t&lt;Ttai,Notai),Hdd+PousH*Croivg,Hdtf+PousH*(Croivg-Croi_tai))</f>
        <v>0.59942809019374355</v>
      </c>
      <c r="V335" s="383">
        <f t="shared" ref="V335:V380" si="130">MaxiM*(1-Ppv)*(1-Pvg)*(1-Psa)</f>
        <v>17.445751483802482</v>
      </c>
      <c r="W335" s="402"/>
      <c r="X335" s="157">
        <f t="shared" ref="X335:X380" si="131">t</f>
        <v>44151</v>
      </c>
      <c r="Y335" s="385">
        <f t="shared" ref="Y335:Y380" si="132">Wh_pvt_s*(1-Ppv)</f>
        <v>14.803982758296401</v>
      </c>
      <c r="Z335" s="385">
        <f t="shared" ref="Z335:Z380" si="133">Wh_sa_s*(1-Psa_s)</f>
        <v>15.268510297640042</v>
      </c>
      <c r="AA335" s="386">
        <f t="shared" ref="AA335:AA380" si="134">Wh_hp*(1-Pvg_s*MEDIAN((-Sdif+Wh/Env_an)/Csdif,0,1))</f>
        <v>17.029025234841217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0.10338318916805526</v>
      </c>
      <c r="AD335" s="231">
        <f>(INDEX(Models!$BJ335:$BT335,,AH335)*(1-AF335)+INDEX(Models!$BJ335:$BT335,,AH335+1)*AF335-ERP_i)*AE335*Ramure*Pc/MaxiM</f>
        <v>2.959510434224397E-2</v>
      </c>
      <c r="AE335" s="305">
        <f t="shared" ref="AE335:AE380" si="136">IF(OR(t&lt;Ttai,Notai),Dd_s+PousD*Croivg,Dens_s+PousD*(Croivg-Croi_tai))</f>
        <v>0.8</v>
      </c>
      <c r="AF335" s="177">
        <f t="shared" ref="AF335:AF379" si="137">(Hp_vg_s-AG335)/(INDEX(Echel_vg,AH335+1)-AG335)</f>
        <v>0.79936166434626488</v>
      </c>
      <c r="AG335" s="809">
        <f t="shared" si="119"/>
        <v>1</v>
      </c>
      <c r="AH335" s="176">
        <f t="shared" ref="AH335:AH380" si="138">MIN(MATCH(Hp_vg_s,Echel_vg),10)</f>
        <v>7</v>
      </c>
      <c r="AI335" s="225">
        <f t="shared" ref="AI335:AI380" si="139">IF(OR(t&lt;Ttai,Notai),Hdd_s+PousH*Croivg,Hdtai_s+PousH*(Croivg-Croi_tai))</f>
        <v>1.7993616643462649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6">
        <v>15.919</v>
      </c>
      <c r="C336" s="390"/>
      <c r="D336" s="393">
        <f t="shared" si="122"/>
        <v>16.418901636092716</v>
      </c>
      <c r="E336" s="385">
        <f t="shared" si="120"/>
        <v>18.312358549817503</v>
      </c>
      <c r="F336" s="385">
        <f t="shared" si="123"/>
        <v>18.436950655926712</v>
      </c>
      <c r="G336" s="110">
        <f t="shared" si="121"/>
        <v>0.92206173065361752</v>
      </c>
      <c r="H336" s="414" t="b">
        <f>Wh_hp&gt;='2019'!Maxi_hp</f>
        <v>1</v>
      </c>
      <c r="I336" s="380">
        <f>IF(H336,Wh_hp,'2019'!Maxi_hp)</f>
        <v>18.436950655926712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3.0446716057657183E-2</v>
      </c>
      <c r="M336" s="843"/>
      <c r="N336" s="843"/>
      <c r="O336" s="48">
        <f>IF(t&lt;Tnet,'2019'!Resal+('2019'!Salim-'2019'!Resal)*(1-EXP(('2019'!Tnet-t)/('2019'!Tau_j))),Resal+(Salim-Resal)*(1-EXP((Tnet-t)/(Tau_j))))*Salcycl</f>
        <v>0.10339776324135248</v>
      </c>
      <c r="P336" s="169">
        <f>(INDEX(Models!$BJ336:$BT336,,T336)*(1-R336)+INDEX(Models!$BJ336:$BT336,,T336+1)*R336-ERP_i)*Q336*Ramure*Pc/MaxiM</f>
        <v>7.5949212733938233E-3</v>
      </c>
      <c r="Q336" s="305">
        <f t="shared" si="125"/>
        <v>0.8</v>
      </c>
      <c r="R336" s="177">
        <f t="shared" si="126"/>
        <v>0.59946174006413966</v>
      </c>
      <c r="S336" s="809">
        <f t="shared" si="127"/>
        <v>0</v>
      </c>
      <c r="T336" s="176">
        <f t="shared" si="128"/>
        <v>6</v>
      </c>
      <c r="U336" s="251">
        <f t="shared" si="129"/>
        <v>0.59946174006413966</v>
      </c>
      <c r="V336" s="383">
        <f t="shared" si="130"/>
        <v>17.250018841094334</v>
      </c>
      <c r="W336" s="402"/>
      <c r="X336" s="157">
        <f t="shared" si="131"/>
        <v>44152</v>
      </c>
      <c r="Y336" s="385">
        <f t="shared" si="132"/>
        <v>15.600590864629012</v>
      </c>
      <c r="Z336" s="385">
        <f t="shared" si="133"/>
        <v>16.0904935530668</v>
      </c>
      <c r="AA336" s="386">
        <f t="shared" si="134"/>
        <v>17.946077863062627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0.10339776324135248</v>
      </c>
      <c r="AD336" s="231">
        <f>(INDEX(Models!$BJ336:$BT336,,AH336)*(1-AF336)+INDEX(Models!$BJ336:$BT336,,AH336+1)*AF336-ERP_i)*AE336*Ramure*Pc/MaxiM</f>
        <v>2.9922764238256103E-2</v>
      </c>
      <c r="AE336" s="305">
        <f t="shared" si="136"/>
        <v>0.8</v>
      </c>
      <c r="AF336" s="177">
        <f t="shared" si="137"/>
        <v>0.79939531421666077</v>
      </c>
      <c r="AG336" s="809">
        <f t="shared" ref="AG336:AG379" si="143">INDEX(Echel_vg,AH336)</f>
        <v>1</v>
      </c>
      <c r="AH336" s="176">
        <f t="shared" si="138"/>
        <v>7</v>
      </c>
      <c r="AI336" s="225">
        <f t="shared" si="139"/>
        <v>1.7993953142166608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6">
        <v>16.096</v>
      </c>
      <c r="C337" s="390"/>
      <c r="D337" s="393">
        <f t="shared" si="122"/>
        <v>16.601850713734724</v>
      </c>
      <c r="E337" s="385">
        <f t="shared" si="120"/>
        <v>18.516735503701145</v>
      </c>
      <c r="F337" s="385">
        <f t="shared" si="123"/>
        <v>18.650136214640153</v>
      </c>
      <c r="G337" s="110">
        <f t="shared" si="121"/>
        <v>0.94286655698188671</v>
      </c>
      <c r="H337" s="414" t="b">
        <f>Wh_hp&gt;='2019'!Maxi_hp</f>
        <v>1</v>
      </c>
      <c r="I337" s="380">
        <f>IF(H337,Wh_hp,'2019'!Maxi_hp)</f>
        <v>18.650136214640153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3.0469537550788447E-2</v>
      </c>
      <c r="M337" s="843"/>
      <c r="N337" s="843"/>
      <c r="O337" s="48">
        <f>IF(t&lt;Tnet,'2019'!Resal+('2019'!Salim-'2019'!Resal)*(1-EXP(('2019'!Tnet-t)/('2019'!Tau_j))),Resal+(Salim-Resal)*(1-EXP((Tnet-t)/(Tau_j))))*Salcycl</f>
        <v>0.10341373562222518</v>
      </c>
      <c r="P337" s="169">
        <f>(INDEX(Models!$BJ337:$BT337,,T337)*(1-R337)+INDEX(Models!$BJ337:$BT337,,T337+1)*R337-ERP_i)*Q337*Ramure*Pc/MaxiM</f>
        <v>7.7812628115156435E-3</v>
      </c>
      <c r="Q337" s="305">
        <f t="shared" si="125"/>
        <v>0.8</v>
      </c>
      <c r="R337" s="177">
        <f t="shared" si="126"/>
        <v>0.59949403864154427</v>
      </c>
      <c r="S337" s="809">
        <f t="shared" si="127"/>
        <v>0</v>
      </c>
      <c r="T337" s="176">
        <f t="shared" si="128"/>
        <v>6</v>
      </c>
      <c r="U337" s="251">
        <f t="shared" si="129"/>
        <v>0.59949403864154427</v>
      </c>
      <c r="V337" s="383">
        <f t="shared" si="130"/>
        <v>17.060538716523215</v>
      </c>
      <c r="W337" s="402"/>
      <c r="X337" s="157">
        <f t="shared" si="131"/>
        <v>44153</v>
      </c>
      <c r="Y337" s="385">
        <f t="shared" si="132"/>
        <v>15.761380925591112</v>
      </c>
      <c r="Z337" s="385">
        <f t="shared" si="133"/>
        <v>16.256715529881316</v>
      </c>
      <c r="AA337" s="386">
        <f t="shared" si="134"/>
        <v>18.131791859608036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0.10341373562222518</v>
      </c>
      <c r="AD337" s="231">
        <f>(INDEX(Models!$BJ337:$BT337,,AH337)*(1-AF337)+INDEX(Models!$BJ337:$BT337,,AH337+1)*AF337-ERP_i)*AE337*Ramure*Pc/MaxiM</f>
        <v>3.0235023674008387E-2</v>
      </c>
      <c r="AE337" s="305">
        <f t="shared" si="136"/>
        <v>0.8</v>
      </c>
      <c r="AF337" s="177">
        <f t="shared" si="137"/>
        <v>0.79942761279406538</v>
      </c>
      <c r="AG337" s="809">
        <f t="shared" si="143"/>
        <v>1</v>
      </c>
      <c r="AH337" s="176">
        <f t="shared" si="138"/>
        <v>7</v>
      </c>
      <c r="AI337" s="225">
        <f t="shared" si="139"/>
        <v>1.7994276127940654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6">
        <v>6.968</v>
      </c>
      <c r="C338" s="390"/>
      <c r="D338" s="393">
        <f t="shared" si="122"/>
        <v>7.1871532536984279</v>
      </c>
      <c r="E338" s="385">
        <f t="shared" si="120"/>
        <v>8.0162872072580953</v>
      </c>
      <c r="F338" s="385">
        <f t="shared" si="123"/>
        <v>8.0265980571760931</v>
      </c>
      <c r="G338" s="110">
        <f t="shared" si="121"/>
        <v>0.41009229593294599</v>
      </c>
      <c r="H338" s="414" t="b">
        <f>Wh_hp&gt;='2019'!Maxi_hp</f>
        <v>0</v>
      </c>
      <c r="I338" s="380">
        <f>IF(H338,Wh_hp,'2019'!Maxi_hp)</f>
        <v>20.296414509075642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3.0492358512830428E-2</v>
      </c>
      <c r="M338" s="843"/>
      <c r="N338" s="843"/>
      <c r="O338" s="48">
        <f>IF(t&lt;Tnet,'2019'!Resal+('2019'!Salim-'2019'!Resal)*(1-EXP(('2019'!Tnet-t)/('2019'!Tau_j))),Resal+(Salim-Resal)*(1-EXP((Tnet-t)/(Tau_j))))*Salcycl</f>
        <v>0.1034311685849971</v>
      </c>
      <c r="P338" s="169">
        <f>(INDEX(Models!$BJ338:$BT338,,T338)*(1-R338)+INDEX(Models!$BJ338:$BT338,,T338+1)*R338-ERP_i)*Q338*Ramure*Pc/MaxiM</f>
        <v>7.967828370263776E-3</v>
      </c>
      <c r="Q338" s="305">
        <f t="shared" si="125"/>
        <v>0.8</v>
      </c>
      <c r="R338" s="177">
        <f t="shared" si="126"/>
        <v>0.59952504005347107</v>
      </c>
      <c r="S338" s="809">
        <f t="shared" si="127"/>
        <v>0</v>
      </c>
      <c r="T338" s="176">
        <f t="shared" si="128"/>
        <v>6</v>
      </c>
      <c r="U338" s="251">
        <f t="shared" si="129"/>
        <v>0.59952504005347107</v>
      </c>
      <c r="V338" s="383">
        <f t="shared" si="130"/>
        <v>16.877593976716717</v>
      </c>
      <c r="W338" s="402"/>
      <c r="X338" s="157">
        <f t="shared" si="131"/>
        <v>44154</v>
      </c>
      <c r="Y338" s="385">
        <f t="shared" si="132"/>
        <v>6.9426420446649235</v>
      </c>
      <c r="Z338" s="385">
        <f t="shared" si="133"/>
        <v>7.16099775553631</v>
      </c>
      <c r="AA338" s="386">
        <f t="shared" si="134"/>
        <v>7.98711432365379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0.1034311685849971</v>
      </c>
      <c r="AD338" s="231">
        <f>(INDEX(Models!$BJ338:$BT338,,AH338)*(1-AF338)+INDEX(Models!$BJ338:$BT338,,AH338+1)*AF338-ERP_i)*AE338*Ramure*Pc/MaxiM</f>
        <v>3.0511511138747255E-2</v>
      </c>
      <c r="AE338" s="305">
        <f t="shared" si="136"/>
        <v>0.8</v>
      </c>
      <c r="AF338" s="177">
        <f t="shared" si="137"/>
        <v>0.79945861420599229</v>
      </c>
      <c r="AG338" s="809">
        <f t="shared" si="143"/>
        <v>1</v>
      </c>
      <c r="AH338" s="176">
        <f t="shared" si="138"/>
        <v>7</v>
      </c>
      <c r="AI338" s="225">
        <f t="shared" si="139"/>
        <v>1.7994586142059923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6">
        <v>12.734</v>
      </c>
      <c r="C339" s="390"/>
      <c r="D339" s="393">
        <f t="shared" si="122"/>
        <v>13.134811111459124</v>
      </c>
      <c r="E339" s="385">
        <f t="shared" si="120"/>
        <v>14.650396348383584</v>
      </c>
      <c r="F339" s="385">
        <f t="shared" si="123"/>
        <v>14.729620881194958</v>
      </c>
      <c r="G339" s="110">
        <f t="shared" si="121"/>
        <v>0.76032866967946588</v>
      </c>
      <c r="H339" s="414" t="b">
        <f>Wh_hp&gt;='2019'!Maxi_hp</f>
        <v>0</v>
      </c>
      <c r="I339" s="380">
        <f>IF(H339,Wh_hp,'2019'!Maxi_hp)</f>
        <v>20.252187824566644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3.0515178943795115E-2</v>
      </c>
      <c r="M339" s="843"/>
      <c r="N339" s="843"/>
      <c r="O339" s="48">
        <f>IF(t&lt;Tnet,'2019'!Resal+('2019'!Salim-'2019'!Resal)*(1-EXP(('2019'!Tnet-t)/('2019'!Tau_j))),Resal+(Salim-Resal)*(1-EXP((Tnet-t)/(Tau_j))))*Salcycl</f>
        <v>0.10345011840527291</v>
      </c>
      <c r="P339" s="169">
        <f>(INDEX(Models!$BJ339:$BT339,,T339)*(1-R339)+INDEX(Models!$BJ339:$BT339,,T339+1)*R339-ERP_i)*Q339*Ramure*Pc/MaxiM</f>
        <v>8.1415019667414688E-3</v>
      </c>
      <c r="Q339" s="305">
        <f t="shared" si="125"/>
        <v>0.8</v>
      </c>
      <c r="R339" s="177">
        <f t="shared" si="126"/>
        <v>0.59955479627009323</v>
      </c>
      <c r="S339" s="809">
        <f t="shared" si="127"/>
        <v>0</v>
      </c>
      <c r="T339" s="176">
        <f t="shared" si="128"/>
        <v>6</v>
      </c>
      <c r="U339" s="251">
        <f t="shared" si="129"/>
        <v>0.59955479627009323</v>
      </c>
      <c r="V339" s="383">
        <f t="shared" si="130"/>
        <v>16.701496703534541</v>
      </c>
      <c r="W339" s="402"/>
      <c r="X339" s="157">
        <f t="shared" si="131"/>
        <v>44155</v>
      </c>
      <c r="Y339" s="385">
        <f t="shared" si="132"/>
        <v>12.542790932152208</v>
      </c>
      <c r="Z339" s="385">
        <f t="shared" si="133"/>
        <v>12.937583611146659</v>
      </c>
      <c r="AA339" s="386">
        <f t="shared" si="134"/>
        <v>14.430411376703425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0.10345011840527291</v>
      </c>
      <c r="AD339" s="231">
        <f>(INDEX(Models!$BJ339:$BT339,,AH339)*(1-AF339)+INDEX(Models!$BJ339:$BT339,,AH339+1)*AF339-ERP_i)*AE339*Ramure*Pc/MaxiM</f>
        <v>3.0748237734458252E-2</v>
      </c>
      <c r="AE339" s="305">
        <f t="shared" si="136"/>
        <v>0.8</v>
      </c>
      <c r="AF339" s="177">
        <f t="shared" si="137"/>
        <v>0.79948837042261456</v>
      </c>
      <c r="AG339" s="809">
        <f t="shared" si="143"/>
        <v>1</v>
      </c>
      <c r="AH339" s="176">
        <f t="shared" si="138"/>
        <v>7</v>
      </c>
      <c r="AI339" s="225">
        <f t="shared" si="139"/>
        <v>1.7994883704226146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6">
        <v>16.582000000000001</v>
      </c>
      <c r="C340" s="390"/>
      <c r="D340" s="393">
        <f t="shared" si="122"/>
        <v>17.104332073069578</v>
      </c>
      <c r="E340" s="385">
        <f t="shared" si="120"/>
        <v>19.07838465073165</v>
      </c>
      <c r="F340" s="385">
        <f t="shared" si="123"/>
        <v>19.238098983375799</v>
      </c>
      <c r="G340" s="110">
        <f t="shared" si="121"/>
        <v>1.0030040184627591</v>
      </c>
      <c r="H340" s="414" t="b">
        <f>Wh_hp&gt;='2019'!Maxi_hp</f>
        <v>1</v>
      </c>
      <c r="I340" s="380">
        <f>IF(H340,Wh_hp,'2019'!Maxi_hp)</f>
        <v>19.238098983375799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3.0537998843695166E-2</v>
      </c>
      <c r="M340" s="843"/>
      <c r="N340" s="843"/>
      <c r="O340" s="48">
        <f>IF(t&lt;Tnet,'2019'!Resal+('2019'!Salim-'2019'!Resal)*(1-EXP(('2019'!Tnet-t)/('2019'!Tau_j))),Resal+(Salim-Resal)*(1-EXP((Tnet-t)/(Tau_j))))*Salcycl</f>
        <v>0.10347063516126181</v>
      </c>
      <c r="P340" s="169">
        <f>(INDEX(Models!$BJ340:$BT340,,T340)*(1-R340)+INDEX(Models!$BJ340:$BT340,,T340+1)*R340-ERP_i)*Q340*Ramure*Pc/MaxiM</f>
        <v>8.301981021210195E-3</v>
      </c>
      <c r="Q340" s="305">
        <f t="shared" si="125"/>
        <v>0.8</v>
      </c>
      <c r="R340" s="177">
        <f t="shared" si="126"/>
        <v>0.5995833571893755</v>
      </c>
      <c r="S340" s="809">
        <f t="shared" si="127"/>
        <v>0</v>
      </c>
      <c r="T340" s="176">
        <f t="shared" si="128"/>
        <v>6</v>
      </c>
      <c r="U340" s="251">
        <f t="shared" si="129"/>
        <v>0.5995833571893755</v>
      </c>
      <c r="V340" s="383">
        <f t="shared" si="130"/>
        <v>16.532336555753972</v>
      </c>
      <c r="W340" s="402"/>
      <c r="X340" s="157">
        <f t="shared" si="131"/>
        <v>44156</v>
      </c>
      <c r="Y340" s="385">
        <f t="shared" si="132"/>
        <v>16.203400367363859</v>
      </c>
      <c r="Z340" s="385">
        <f t="shared" si="133"/>
        <v>16.713806573169038</v>
      </c>
      <c r="AA340" s="386">
        <f t="shared" si="134"/>
        <v>18.642787652778562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0.10347063516126181</v>
      </c>
      <c r="AD340" s="231">
        <f>(INDEX(Models!$BJ340:$BT340,,AH340)*(1-AF340)+INDEX(Models!$BJ340:$BT340,,AH340+1)*AF340-ERP_i)*AE340*Ramure*Pc/MaxiM</f>
        <v>3.0944394823608341E-2</v>
      </c>
      <c r="AE340" s="305">
        <f t="shared" si="136"/>
        <v>0.8</v>
      </c>
      <c r="AF340" s="177">
        <f t="shared" si="137"/>
        <v>0.79951693134189661</v>
      </c>
      <c r="AG340" s="809">
        <f t="shared" si="143"/>
        <v>1</v>
      </c>
      <c r="AH340" s="176">
        <f t="shared" si="138"/>
        <v>7</v>
      </c>
      <c r="AI340" s="225">
        <f t="shared" si="139"/>
        <v>1.7995169313418966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6">
        <v>16.271000000000001</v>
      </c>
      <c r="C341" s="390"/>
      <c r="D341" s="393">
        <f t="shared" si="122"/>
        <v>16.783930653596485</v>
      </c>
      <c r="E341" s="385">
        <f t="shared" si="120"/>
        <v>18.721466992035946</v>
      </c>
      <c r="F341" s="385">
        <f t="shared" si="123"/>
        <v>18.879598059880493</v>
      </c>
      <c r="G341" s="110">
        <f t="shared" si="121"/>
        <v>0.99386662536454307</v>
      </c>
      <c r="H341" s="414" t="b">
        <f>Wh_hp&gt;='2019'!Maxi_hp</f>
        <v>1</v>
      </c>
      <c r="I341" s="380">
        <f>IF(H341,Wh_hp,'2019'!Maxi_hp)</f>
        <v>18.879598059880493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3.0560818212542681E-2</v>
      </c>
      <c r="M341" s="843"/>
      <c r="N341" s="843"/>
      <c r="O341" s="48">
        <f>IF(t&lt;Tnet,'2019'!Resal+('2019'!Salim-'2019'!Resal)*(1-EXP(('2019'!Tnet-t)/('2019'!Tau_j))),Resal+(Salim-Resal)*(1-EXP((Tnet-t)/(Tau_j))))*Salcycl</f>
        <v>0.10349276257377077</v>
      </c>
      <c r="P341" s="169">
        <f>(INDEX(Models!$BJ341:$BT341,,T341)*(1-R341)+INDEX(Models!$BJ341:$BT341,,T341+1)*R341-ERP_i)*Q341*Ramure*Pc/MaxiM</f>
        <v>8.4489086637133254E-3</v>
      </c>
      <c r="Q341" s="305">
        <f t="shared" si="125"/>
        <v>0.8</v>
      </c>
      <c r="R341" s="177">
        <f t="shared" si="126"/>
        <v>0.59961077071891522</v>
      </c>
      <c r="S341" s="809">
        <f t="shared" si="127"/>
        <v>0</v>
      </c>
      <c r="T341" s="176">
        <f t="shared" si="128"/>
        <v>6</v>
      </c>
      <c r="U341" s="251">
        <f t="shared" si="129"/>
        <v>0.59961077071891522</v>
      </c>
      <c r="V341" s="383">
        <f t="shared" si="130"/>
        <v>16.370204415976456</v>
      </c>
      <c r="W341" s="402"/>
      <c r="X341" s="157">
        <f t="shared" si="131"/>
        <v>44157</v>
      </c>
      <c r="Y341" s="385">
        <f t="shared" si="132"/>
        <v>15.902565298479285</v>
      </c>
      <c r="Z341" s="385">
        <f t="shared" si="133"/>
        <v>16.403881333904874</v>
      </c>
      <c r="AA341" s="386">
        <f t="shared" si="134"/>
        <v>18.297544792832412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0.10349276257377077</v>
      </c>
      <c r="AD341" s="231">
        <f>(INDEX(Models!$BJ341:$BT341,,AH341)*(1-AF341)+INDEX(Models!$BJ341:$BT341,,AH341+1)*AF341-ERP_i)*AE341*Ramure*Pc/MaxiM</f>
        <v>3.1098979838292389E-2</v>
      </c>
      <c r="AE341" s="305">
        <f t="shared" si="136"/>
        <v>0.8</v>
      </c>
      <c r="AF341" s="177">
        <f t="shared" si="137"/>
        <v>0.79954434487143633</v>
      </c>
      <c r="AG341" s="809">
        <f t="shared" si="143"/>
        <v>1</v>
      </c>
      <c r="AH341" s="176">
        <f t="shared" si="138"/>
        <v>7</v>
      </c>
      <c r="AI341" s="225">
        <f t="shared" si="139"/>
        <v>1.7995443448714363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6">
        <v>15.397</v>
      </c>
      <c r="C342" s="390"/>
      <c r="D342" s="393">
        <f t="shared" si="122"/>
        <v>15.882752332704023</v>
      </c>
      <c r="E342" s="385">
        <f t="shared" si="120"/>
        <v>17.716726525270296</v>
      </c>
      <c r="F342" s="385">
        <f t="shared" si="123"/>
        <v>17.858943426555001</v>
      </c>
      <c r="G342" s="110">
        <f t="shared" si="121"/>
        <v>0.94894958312141531</v>
      </c>
      <c r="H342" s="414" t="b">
        <f>Wh_hp&gt;='2019'!Maxi_hp</f>
        <v>1</v>
      </c>
      <c r="I342" s="380">
        <f>IF(H342,Wh_hp,'2019'!Maxi_hp)</f>
        <v>17.858943426555001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3.0583637050350207E-2</v>
      </c>
      <c r="M342" s="843"/>
      <c r="N342" s="843"/>
      <c r="O342" s="48">
        <f>IF(t&lt;Tnet,'2019'!Resal+('2019'!Salim-'2019'!Resal)*(1-EXP(('2019'!Tnet-t)/('2019'!Tau_j))),Resal+(Salim-Resal)*(1-EXP((Tnet-t)/(Tau_j))))*Salcycl</f>
        <v>0.10351653788584356</v>
      </c>
      <c r="P342" s="169">
        <f>(INDEX(Models!$BJ342:$BT342,,T342)*(1-R342)+INDEX(Models!$BJ342:$BT342,,T342+1)*R342-ERP_i)*Q342*Ramure*Pc/MaxiM</f>
        <v>8.5819593417262915E-3</v>
      </c>
      <c r="Q342" s="305">
        <f t="shared" si="125"/>
        <v>0.8</v>
      </c>
      <c r="R342" s="177">
        <f t="shared" si="126"/>
        <v>0.59963708285461281</v>
      </c>
      <c r="S342" s="809">
        <f t="shared" si="127"/>
        <v>0</v>
      </c>
      <c r="T342" s="176">
        <f t="shared" si="128"/>
        <v>6</v>
      </c>
      <c r="U342" s="251">
        <f t="shared" si="129"/>
        <v>0.59963708285461281</v>
      </c>
      <c r="V342" s="383">
        <f t="shared" si="130"/>
        <v>16.215190972664718</v>
      </c>
      <c r="W342" s="402"/>
      <c r="X342" s="157">
        <f t="shared" si="131"/>
        <v>44158</v>
      </c>
      <c r="Y342" s="385">
        <f t="shared" si="132"/>
        <v>15.071098897694403</v>
      </c>
      <c r="Z342" s="385">
        <f t="shared" si="133"/>
        <v>15.54656953781703</v>
      </c>
      <c r="AA342" s="386">
        <f t="shared" si="134"/>
        <v>17.34172485586506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0.10351653788584356</v>
      </c>
      <c r="AD342" s="231">
        <f>(INDEX(Models!$BJ342:$BT342,,AH342)*(1-AF342)+INDEX(Models!$BJ342:$BT342,,AH342+1)*AF342-ERP_i)*AE342*Ramure*Pc/MaxiM</f>
        <v>3.1211119806083723E-2</v>
      </c>
      <c r="AE342" s="305">
        <f t="shared" si="136"/>
        <v>0.8</v>
      </c>
      <c r="AF342" s="177">
        <f t="shared" si="137"/>
        <v>0.79957065700713414</v>
      </c>
      <c r="AG342" s="809">
        <f t="shared" si="143"/>
        <v>1</v>
      </c>
      <c r="AH342" s="176">
        <f t="shared" si="138"/>
        <v>7</v>
      </c>
      <c r="AI342" s="225">
        <f t="shared" si="139"/>
        <v>1.7995706570071341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6">
        <v>15.462999999999999</v>
      </c>
      <c r="C343" s="390"/>
      <c r="D343" s="393">
        <f t="shared" si="122"/>
        <v>15.951209996654821</v>
      </c>
      <c r="E343" s="385">
        <f t="shared" si="120"/>
        <v>17.793594178912603</v>
      </c>
      <c r="F343" s="385">
        <f t="shared" si="123"/>
        <v>17.941310299000229</v>
      </c>
      <c r="G343" s="110">
        <f t="shared" si="121"/>
        <v>0.96193056090431484</v>
      </c>
      <c r="H343" s="414" t="b">
        <f>Wh_hp&gt;='2019'!Maxi_hp</f>
        <v>1</v>
      </c>
      <c r="I343" s="380">
        <f>IF(H343,Wh_hp,'2019'!Maxi_hp)</f>
        <v>17.941310299000229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3.0606455357130066E-2</v>
      </c>
      <c r="M343" s="843"/>
      <c r="N343" s="843"/>
      <c r="O343" s="48">
        <f>IF(t&lt;Tnet,'2019'!Resal+('2019'!Salim-'2019'!Resal)*(1-EXP(('2019'!Tnet-t)/('2019'!Tau_j))),Resal+(Salim-Resal)*(1-EXP((Tnet-t)/(Tau_j))))*Salcycl</f>
        <v>0.10354199178270637</v>
      </c>
      <c r="P343" s="169">
        <f>(INDEX(Models!$BJ343:$BT343,,T343)*(1-R343)+INDEX(Models!$BJ343:$BT343,,T343+1)*R343-ERP_i)*Q343*Ramure*Pc/MaxiM</f>
        <v>8.7008517221491572E-3</v>
      </c>
      <c r="Q343" s="305">
        <f t="shared" si="125"/>
        <v>0.8</v>
      </c>
      <c r="R343" s="177">
        <f t="shared" si="126"/>
        <v>0.59966233775628963</v>
      </c>
      <c r="S343" s="809">
        <f t="shared" si="127"/>
        <v>0</v>
      </c>
      <c r="T343" s="176">
        <f t="shared" si="128"/>
        <v>6</v>
      </c>
      <c r="U343" s="251">
        <f t="shared" si="129"/>
        <v>0.59966233775628963</v>
      </c>
      <c r="V343" s="383">
        <f t="shared" si="130"/>
        <v>16.067386562203954</v>
      </c>
      <c r="W343" s="402"/>
      <c r="X343" s="157">
        <f t="shared" si="131"/>
        <v>44159</v>
      </c>
      <c r="Y343" s="385">
        <f t="shared" si="132"/>
        <v>15.129876035008561</v>
      </c>
      <c r="Z343" s="385">
        <f t="shared" si="133"/>
        <v>15.607568379860103</v>
      </c>
      <c r="AA343" s="386">
        <f t="shared" si="134"/>
        <v>17.410261536842633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0.10354199178270637</v>
      </c>
      <c r="AD343" s="231">
        <f>(INDEX(Models!$BJ343:$BT343,,AH343)*(1-AF343)+INDEX(Models!$BJ343:$BT343,,AH343+1)*AF343-ERP_i)*AE343*Ramure*Pc/MaxiM</f>
        <v>3.1280110349657365E-2</v>
      </c>
      <c r="AE343" s="305">
        <f t="shared" si="136"/>
        <v>0.8</v>
      </c>
      <c r="AF343" s="177">
        <f t="shared" si="137"/>
        <v>0.79959591190881074</v>
      </c>
      <c r="AG343" s="809">
        <f t="shared" si="143"/>
        <v>1</v>
      </c>
      <c r="AH343" s="176">
        <f t="shared" si="138"/>
        <v>7</v>
      </c>
      <c r="AI343" s="225">
        <f t="shared" si="139"/>
        <v>1.7995959119088107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6">
        <v>15.491</v>
      </c>
      <c r="C344" s="390"/>
      <c r="D344" s="393">
        <f t="shared" si="122"/>
        <v>15.980470186122835</v>
      </c>
      <c r="E344" s="385">
        <f t="shared" si="120"/>
        <v>17.826773985690878</v>
      </c>
      <c r="F344" s="385">
        <f t="shared" si="123"/>
        <v>17.978894299225775</v>
      </c>
      <c r="G344" s="110">
        <f t="shared" si="121"/>
        <v>0.9722946211808543</v>
      </c>
      <c r="H344" s="414" t="b">
        <f>Wh_hp&gt;='2019'!Maxi_hp</f>
        <v>1</v>
      </c>
      <c r="I344" s="380">
        <f>IF(H344,Wh_hp,'2019'!Maxi_hp)</f>
        <v>17.978894299225775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3.0629273132894583E-2</v>
      </c>
      <c r="M344" s="843"/>
      <c r="N344" s="843"/>
      <c r="O344" s="48">
        <f>IF(t&lt;Tnet,'2019'!Resal+('2019'!Salim-'2019'!Resal)*(1-EXP(('2019'!Tnet-t)/('2019'!Tau_j))),Resal+(Salim-Resal)*(1-EXP((Tnet-t)/(Tau_j))))*Salcycl</f>
        <v>0.10356914835236185</v>
      </c>
      <c r="P344" s="169">
        <f>(INDEX(Models!$BJ344:$BT344,,T344)*(1-R344)+INDEX(Models!$BJ344:$BT344,,T344+1)*R344-ERP_i)*Q344*Ramure*Pc/MaxiM</f>
        <v>8.8053078526351206E-3</v>
      </c>
      <c r="Q344" s="305">
        <f t="shared" si="125"/>
        <v>0.8</v>
      </c>
      <c r="R344" s="177">
        <f t="shared" si="126"/>
        <v>0.59968657782036761</v>
      </c>
      <c r="S344" s="809">
        <f t="shared" si="127"/>
        <v>0</v>
      </c>
      <c r="T344" s="176">
        <f t="shared" si="128"/>
        <v>6</v>
      </c>
      <c r="U344" s="251">
        <f t="shared" si="129"/>
        <v>0.59968657782036761</v>
      </c>
      <c r="V344" s="383">
        <f t="shared" si="130"/>
        <v>15.926881881840032</v>
      </c>
      <c r="W344" s="402"/>
      <c r="X344" s="157">
        <f t="shared" si="131"/>
        <v>44160</v>
      </c>
      <c r="Y344" s="385">
        <f t="shared" si="132"/>
        <v>15.153222284821865</v>
      </c>
      <c r="Z344" s="385">
        <f t="shared" si="133"/>
        <v>15.632019685384284</v>
      </c>
      <c r="AA344" s="386">
        <f t="shared" si="134"/>
        <v>17.438065252498465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0.10356914835236185</v>
      </c>
      <c r="AD344" s="231">
        <f>(INDEX(Models!$BJ344:$BT344,,AH344)*(1-AF344)+INDEX(Models!$BJ344:$BT344,,AH344+1)*AF344-ERP_i)*AE344*Ramure*Pc/MaxiM</f>
        <v>3.1305261877392944E-2</v>
      </c>
      <c r="AE344" s="305">
        <f t="shared" si="136"/>
        <v>0.8</v>
      </c>
      <c r="AF344" s="177">
        <f t="shared" si="137"/>
        <v>0.79962015197288894</v>
      </c>
      <c r="AG344" s="809">
        <f t="shared" si="143"/>
        <v>1</v>
      </c>
      <c r="AH344" s="176">
        <f t="shared" si="138"/>
        <v>7</v>
      </c>
      <c r="AI344" s="225">
        <f t="shared" si="139"/>
        <v>1.7996201519728889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6">
        <v>11.849</v>
      </c>
      <c r="C345" s="390"/>
      <c r="D345" s="393">
        <f t="shared" si="122"/>
        <v>12.223681386610043</v>
      </c>
      <c r="E345" s="385">
        <f t="shared" si="120"/>
        <v>13.636383819652318</v>
      </c>
      <c r="F345" s="385">
        <f t="shared" si="123"/>
        <v>13.714866377777511</v>
      </c>
      <c r="G345" s="110">
        <f t="shared" si="121"/>
        <v>0.74789912755851773</v>
      </c>
      <c r="H345" s="414" t="b">
        <f>Wh_hp&gt;='2019'!Maxi_hp</f>
        <v>0</v>
      </c>
      <c r="I345" s="380">
        <f>IF(H345,Wh_hp,'2019'!Maxi_hp)</f>
        <v>16.263070033899286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3.065209037765608E-2</v>
      </c>
      <c r="M345" s="843"/>
      <c r="N345" s="843"/>
      <c r="O345" s="48">
        <f>IF(t&lt;Tnet,'2019'!Resal+('2019'!Salim-'2019'!Resal)*(1-EXP(('2019'!Tnet-t)/('2019'!Tau_j))),Resal+(Salim-Resal)*(1-EXP((Tnet-t)/(Tau_j))))*Salcycl</f>
        <v>0.10359802508685129</v>
      </c>
      <c r="P345" s="169">
        <f>(INDEX(Models!$BJ345:$BT345,,T345)*(1-R345)+INDEX(Models!$BJ345:$BT345,,T345+1)*R345-ERP_i)*Q345*Ramure*Pc/MaxiM</f>
        <v>8.8957727843022427E-3</v>
      </c>
      <c r="Q345" s="305">
        <f t="shared" si="125"/>
        <v>0.8</v>
      </c>
      <c r="R345" s="177">
        <f t="shared" si="126"/>
        <v>0.59970984374972036</v>
      </c>
      <c r="S345" s="809">
        <f t="shared" si="127"/>
        <v>0</v>
      </c>
      <c r="T345" s="176">
        <f t="shared" si="128"/>
        <v>6</v>
      </c>
      <c r="U345" s="251">
        <f t="shared" si="129"/>
        <v>0.59970984374972036</v>
      </c>
      <c r="V345" s="383">
        <f t="shared" si="130"/>
        <v>15.792481082265613</v>
      </c>
      <c r="W345" s="402"/>
      <c r="X345" s="157">
        <f t="shared" si="131"/>
        <v>44161</v>
      </c>
      <c r="Y345" s="385">
        <f t="shared" si="132"/>
        <v>11.677336640934723</v>
      </c>
      <c r="Z345" s="385">
        <f t="shared" si="133"/>
        <v>12.046589800234045</v>
      </c>
      <c r="AA345" s="386">
        <f t="shared" si="134"/>
        <v>13.438825590942306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0.10359802508685129</v>
      </c>
      <c r="AD345" s="231">
        <f>(INDEX(Models!$BJ345:$BT345,,AH345)*(1-AF345)+INDEX(Models!$BJ345:$BT345,,AH345+1)*AF345-ERP_i)*AE345*Ramure*Pc/MaxiM</f>
        <v>3.1288431181981741E-2</v>
      </c>
      <c r="AE345" s="305">
        <f t="shared" si="136"/>
        <v>0.8</v>
      </c>
      <c r="AF345" s="177">
        <f t="shared" si="137"/>
        <v>0.79964341790224158</v>
      </c>
      <c r="AG345" s="809">
        <f t="shared" si="143"/>
        <v>1</v>
      </c>
      <c r="AH345" s="176">
        <f t="shared" si="138"/>
        <v>7</v>
      </c>
      <c r="AI345" s="225">
        <f t="shared" si="139"/>
        <v>1.7996434179022416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6">
        <v>9.5510000000000002</v>
      </c>
      <c r="C346" s="390"/>
      <c r="D346" s="393">
        <f t="shared" si="122"/>
        <v>9.8532474500800458</v>
      </c>
      <c r="E346" s="385">
        <f t="shared" si="120"/>
        <v>10.992371925288573</v>
      </c>
      <c r="F346" s="385">
        <f t="shared" si="123"/>
        <v>11.036178098782525</v>
      </c>
      <c r="G346" s="110">
        <f t="shared" si="121"/>
        <v>0.60670841005267517</v>
      </c>
      <c r="H346" s="414" t="b">
        <f>Wh_hp&gt;='2019'!Maxi_hp</f>
        <v>0</v>
      </c>
      <c r="I346" s="380">
        <f>IF(H346,Wh_hp,'2019'!Maxi_hp)</f>
        <v>12.704962668086491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3.0674907091426992E-2</v>
      </c>
      <c r="M346" s="843"/>
      <c r="N346" s="843"/>
      <c r="O346" s="48">
        <f>IF(t&lt;Tnet,'2019'!Resal+('2019'!Salim-'2019'!Resal)*(1-EXP(('2019'!Tnet-t)/('2019'!Tau_j))),Resal+(Salim-Resal)*(1-EXP((Tnet-t)/(Tau_j))))*Salcycl</f>
        <v>0.10362863292388305</v>
      </c>
      <c r="P346" s="169">
        <f>(INDEX(Models!$BJ346:$BT346,,T346)*(1-R346)+INDEX(Models!$BJ346:$BT346,,T346+1)*R346-ERP_i)*Q346*Ramure*Pc/MaxiM</f>
        <v>8.9696572273694763E-3</v>
      </c>
      <c r="Q346" s="305">
        <f t="shared" si="125"/>
        <v>0.8</v>
      </c>
      <c r="R346" s="177">
        <f t="shared" si="126"/>
        <v>0.59973217462080197</v>
      </c>
      <c r="S346" s="809">
        <f t="shared" si="127"/>
        <v>0</v>
      </c>
      <c r="T346" s="176">
        <f t="shared" si="128"/>
        <v>6</v>
      </c>
      <c r="U346" s="251">
        <f t="shared" si="129"/>
        <v>0.59973217462080197</v>
      </c>
      <c r="V346" s="383">
        <f t="shared" si="130"/>
        <v>15.663292848254775</v>
      </c>
      <c r="W346" s="402"/>
      <c r="X346" s="157">
        <f t="shared" si="131"/>
        <v>44162</v>
      </c>
      <c r="Y346" s="385">
        <f t="shared" si="132"/>
        <v>9.4565321925120003</v>
      </c>
      <c r="Z346" s="385">
        <f t="shared" si="133"/>
        <v>9.7557901489340093</v>
      </c>
      <c r="AA346" s="386">
        <f t="shared" si="134"/>
        <v>10.88364767914946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0.10362863292388305</v>
      </c>
      <c r="AD346" s="231">
        <f>(INDEX(Models!$BJ346:$BT346,,AH346)*(1-AF346)+INDEX(Models!$BJ346:$BT346,,AH346+1)*AF346-ERP_i)*AE346*Ramure*Pc/MaxiM</f>
        <v>3.1231798436909937E-2</v>
      </c>
      <c r="AE346" s="305">
        <f t="shared" si="136"/>
        <v>0.8</v>
      </c>
      <c r="AF346" s="177">
        <f t="shared" si="137"/>
        <v>0.79966574877332319</v>
      </c>
      <c r="AG346" s="809">
        <f t="shared" si="143"/>
        <v>1</v>
      </c>
      <c r="AH346" s="176">
        <f t="shared" si="138"/>
        <v>7</v>
      </c>
      <c r="AI346" s="225">
        <f t="shared" si="139"/>
        <v>1.7996657487733232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6">
        <v>6.6260000000000003</v>
      </c>
      <c r="C347" s="390"/>
      <c r="D347" s="393">
        <f t="shared" si="122"/>
        <v>6.8358448742966518</v>
      </c>
      <c r="E347" s="385">
        <f t="shared" si="120"/>
        <v>7.626405515955418</v>
      </c>
      <c r="F347" s="385">
        <f t="shared" si="123"/>
        <v>7.6388584035487916</v>
      </c>
      <c r="G347" s="110">
        <f t="shared" si="121"/>
        <v>0.4232303041322652</v>
      </c>
      <c r="H347" s="414" t="b">
        <f>Wh_hp&gt;='2019'!Maxi_hp</f>
        <v>0</v>
      </c>
      <c r="I347" s="380">
        <f>IF(H347,Wh_hp,'2019'!Maxi_hp)</f>
        <v>18.062192612165116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3.0697723274219643E-2</v>
      </c>
      <c r="M347" s="843"/>
      <c r="N347" s="843"/>
      <c r="O347" s="48">
        <f>IF(t&lt;Tnet,'2019'!Resal+('2019'!Salim-'2019'!Resal)*(1-EXP(('2019'!Tnet-t)/('2019'!Tau_j))),Resal+(Salim-Resal)*(1-EXP((Tnet-t)/(Tau_j))))*Salcycl</f>
        <v>0.10366097632820756</v>
      </c>
      <c r="P347" s="169">
        <f>(INDEX(Models!$BJ347:$BT347,,T347)*(1-R347)+INDEX(Models!$BJ347:$BT347,,T347+1)*R347-ERP_i)*Q347*Ramure*Pc/MaxiM</f>
        <v>9.0287275011183988E-3</v>
      </c>
      <c r="Q347" s="305">
        <f t="shared" si="125"/>
        <v>0.8</v>
      </c>
      <c r="R347" s="177">
        <f t="shared" si="126"/>
        <v>0.59975360794815702</v>
      </c>
      <c r="S347" s="809">
        <f t="shared" si="127"/>
        <v>0</v>
      </c>
      <c r="T347" s="176">
        <f t="shared" si="128"/>
        <v>6</v>
      </c>
      <c r="U347" s="251">
        <f t="shared" si="129"/>
        <v>0.59975360794815702</v>
      </c>
      <c r="V347" s="383">
        <f t="shared" si="130"/>
        <v>15.53975994427382</v>
      </c>
      <c r="W347" s="402"/>
      <c r="X347" s="157">
        <f t="shared" si="131"/>
        <v>44163</v>
      </c>
      <c r="Y347" s="385">
        <f t="shared" si="132"/>
        <v>6.5994896979208768</v>
      </c>
      <c r="Z347" s="385">
        <f t="shared" si="133"/>
        <v>6.8084949931340146</v>
      </c>
      <c r="AA347" s="386">
        <f t="shared" si="134"/>
        <v>7.5958926403131191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0.10366097632820756</v>
      </c>
      <c r="AD347" s="231">
        <f>(INDEX(Models!$BJ347:$BT347,,AH347)*(1-AF347)+INDEX(Models!$BJ347:$BT347,,AH347+1)*AF347-ERP_i)*AE347*Ramure*Pc/MaxiM</f>
        <v>3.1151503233586234E-2</v>
      </c>
      <c r="AE347" s="305">
        <f t="shared" si="136"/>
        <v>0.8</v>
      </c>
      <c r="AF347" s="177">
        <f t="shared" si="137"/>
        <v>0.79968718210067813</v>
      </c>
      <c r="AG347" s="809">
        <f t="shared" si="143"/>
        <v>1</v>
      </c>
      <c r="AH347" s="176">
        <f t="shared" si="138"/>
        <v>7</v>
      </c>
      <c r="AI347" s="225">
        <f t="shared" si="139"/>
        <v>1.7996871821006781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6">
        <v>14.180999999999999</v>
      </c>
      <c r="C348" s="390"/>
      <c r="D348" s="393">
        <f t="shared" si="122"/>
        <v>14.630455476986553</v>
      </c>
      <c r="E348" s="385">
        <f t="shared" si="120"/>
        <v>16.323077913022516</v>
      </c>
      <c r="F348" s="385">
        <f t="shared" si="123"/>
        <v>16.455201820164742</v>
      </c>
      <c r="G348" s="110">
        <f t="shared" si="121"/>
        <v>0.91854200978102241</v>
      </c>
      <c r="H348" s="414" t="b">
        <f>Wh_hp&gt;='2019'!Maxi_hp</f>
        <v>1</v>
      </c>
      <c r="I348" s="380">
        <f>IF(H348,Wh_hp,'2019'!Maxi_hp)</f>
        <v>16.455201820164742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3.0720538926046467E-2</v>
      </c>
      <c r="M348" s="843"/>
      <c r="N348" s="843"/>
      <c r="O348" s="48">
        <f>IF(t&lt;Tnet,'2019'!Resal+('2019'!Salim-'2019'!Resal)*(1-EXP(('2019'!Tnet-t)/('2019'!Tau_j))),Resal+(Salim-Resal)*(1-EXP((Tnet-t)/(Tau_j))))*Salcycl</f>
        <v>0.10369505341180735</v>
      </c>
      <c r="P348" s="169">
        <f>(INDEX(Models!$BJ348:$BT348,,T348)*(1-R348)+INDEX(Models!$BJ348:$BT348,,T348+1)*R348-ERP_i)*Q348*Ramure*Pc/MaxiM</f>
        <v>9.0725338004933043E-3</v>
      </c>
      <c r="Q348" s="305">
        <f t="shared" si="125"/>
        <v>0.8</v>
      </c>
      <c r="R348" s="177">
        <f t="shared" si="126"/>
        <v>0.5997741797464079</v>
      </c>
      <c r="S348" s="809">
        <f t="shared" si="127"/>
        <v>0</v>
      </c>
      <c r="T348" s="176">
        <f t="shared" si="128"/>
        <v>6</v>
      </c>
      <c r="U348" s="251">
        <f t="shared" si="129"/>
        <v>0.5997741797464079</v>
      </c>
      <c r="V348" s="383">
        <f t="shared" si="130"/>
        <v>15.422360803911033</v>
      </c>
      <c r="W348" s="402"/>
      <c r="X348" s="157">
        <f t="shared" si="131"/>
        <v>44164</v>
      </c>
      <c r="Y348" s="385">
        <f t="shared" si="132"/>
        <v>13.902988315656883</v>
      </c>
      <c r="Z348" s="385">
        <f t="shared" si="133"/>
        <v>14.343632434192392</v>
      </c>
      <c r="AA348" s="386">
        <f t="shared" si="134"/>
        <v>16.003071821473025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0.10369505341180735</v>
      </c>
      <c r="AD348" s="231">
        <f>(INDEX(Models!$BJ348:$BT348,,AH348)*(1-AF348)+INDEX(Models!$BJ348:$BT348,,AH348+1)*AF348-ERP_i)*AE348*Ramure*Pc/MaxiM</f>
        <v>3.1046347205975149E-2</v>
      </c>
      <c r="AE348" s="305">
        <f t="shared" si="136"/>
        <v>0.8</v>
      </c>
      <c r="AF348" s="177">
        <f t="shared" si="137"/>
        <v>0.79970775389892923</v>
      </c>
      <c r="AG348" s="809">
        <f t="shared" si="143"/>
        <v>1</v>
      </c>
      <c r="AH348" s="176">
        <f t="shared" si="138"/>
        <v>7</v>
      </c>
      <c r="AI348" s="225">
        <f t="shared" si="139"/>
        <v>1.7997077538989292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6">
        <v>14.645</v>
      </c>
      <c r="C349" s="390"/>
      <c r="D349" s="393">
        <f t="shared" si="122"/>
        <v>15.109517237923516</v>
      </c>
      <c r="E349" s="385">
        <f t="shared" si="120"/>
        <v>16.858236547155819</v>
      </c>
      <c r="F349" s="385">
        <f t="shared" si="123"/>
        <v>17.003353982063814</v>
      </c>
      <c r="G349" s="110">
        <f t="shared" si="121"/>
        <v>0.95591999218438006</v>
      </c>
      <c r="H349" s="414" t="b">
        <f>Wh_hp&gt;='2019'!Maxi_hp</f>
        <v>1</v>
      </c>
      <c r="I349" s="380">
        <f>IF(H349,Wh_hp,'2019'!Maxi_hp)</f>
        <v>17.003353982063814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3.0743354046919566E-2</v>
      </c>
      <c r="M349" s="843"/>
      <c r="N349" s="843"/>
      <c r="O349" s="48">
        <f>IF(t&lt;Tnet,'2019'!Resal+('2019'!Salim-'2019'!Resal)*(1-EXP(('2019'!Tnet-t)/('2019'!Tau_j))),Resal+(Salim-Resal)*(1-EXP((Tnet-t)/(Tau_j))))*Salcycl</f>
        <v>0.1037308560916671</v>
      </c>
      <c r="P349" s="169">
        <f>(INDEX(Models!$BJ349:$BT349,,T349)*(1-R349)+INDEX(Models!$BJ349:$BT349,,T349+1)*R349-ERP_i)*Q349*Ramure*Pc/MaxiM</f>
        <v>9.100616293568925E-3</v>
      </c>
      <c r="Q349" s="305">
        <f t="shared" si="125"/>
        <v>0.8</v>
      </c>
      <c r="R349" s="177">
        <f t="shared" si="126"/>
        <v>0.59979392458981851</v>
      </c>
      <c r="S349" s="809">
        <f t="shared" si="127"/>
        <v>0</v>
      </c>
      <c r="T349" s="176">
        <f t="shared" si="128"/>
        <v>6</v>
      </c>
      <c r="U349" s="251">
        <f t="shared" si="129"/>
        <v>0.59979392458981851</v>
      </c>
      <c r="V349" s="383">
        <f t="shared" si="130"/>
        <v>15.31157417540758</v>
      </c>
      <c r="W349" s="402"/>
      <c r="X349" s="157">
        <f t="shared" si="131"/>
        <v>44165</v>
      </c>
      <c r="Y349" s="385">
        <f t="shared" si="132"/>
        <v>14.342816175307938</v>
      </c>
      <c r="Z349" s="385">
        <f t="shared" si="133"/>
        <v>14.797748599602835</v>
      </c>
      <c r="AA349" s="386">
        <f t="shared" si="134"/>
        <v>16.51038496659023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0.1037308560916671</v>
      </c>
      <c r="AD349" s="231">
        <f>(INDEX(Models!$BJ349:$BT349,,AH349)*(1-AF349)+INDEX(Models!$BJ349:$BT349,,AH349+1)*AF349-ERP_i)*AE349*Ramure*Pc/MaxiM</f>
        <v>3.0915112696747196E-2</v>
      </c>
      <c r="AE349" s="305">
        <f t="shared" si="136"/>
        <v>0.8</v>
      </c>
      <c r="AF349" s="177">
        <f t="shared" si="137"/>
        <v>0.79972749874233973</v>
      </c>
      <c r="AG349" s="809">
        <f t="shared" si="143"/>
        <v>1</v>
      </c>
      <c r="AH349" s="176">
        <f t="shared" si="138"/>
        <v>7</v>
      </c>
      <c r="AI349" s="225">
        <f t="shared" si="139"/>
        <v>1.7997274987423397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6">
        <v>4.3339999999999996</v>
      </c>
      <c r="C350" s="390"/>
      <c r="D350" s="393">
        <f t="shared" si="122"/>
        <v>4.4715731743542024</v>
      </c>
      <c r="E350" s="385">
        <f t="shared" si="120"/>
        <v>4.9893052488776402</v>
      </c>
      <c r="F350" s="385">
        <f t="shared" si="123"/>
        <v>4.9893052488776402</v>
      </c>
      <c r="G350" s="110">
        <f t="shared" si="121"/>
        <v>0.28238693581131707</v>
      </c>
      <c r="H350" s="414" t="b">
        <f>Wh_hp&gt;='2019'!Maxi_hp</f>
        <v>0</v>
      </c>
      <c r="I350" s="380">
        <f>IF(H350,Wh_hp,'2019'!Maxi_hp)</f>
        <v>6.48771593869815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3.0766168636851596E-2</v>
      </c>
      <c r="M350" s="843"/>
      <c r="N350" s="843"/>
      <c r="O350" s="48">
        <f>IF(t&lt;Tnet,'2019'!Resal+('2019'!Salim-'2019'!Resal)*(1-EXP(('2019'!Tnet-t)/('2019'!Tau_j))),Resal+(Salim-Resal)*(1-EXP((Tnet-t)/(Tau_j))))*Salcycl</f>
        <v>0.10376837028359877</v>
      </c>
      <c r="P350" s="169">
        <f>(INDEX(Models!$BJ350:$BT350,,T350)*(1-R350)+INDEX(Models!$BJ350:$BT350,,T350+1)*R350-ERP_i)*Q350*Ramure*Pc/MaxiM</f>
        <v>9.1125115417651763E-3</v>
      </c>
      <c r="Q350" s="305">
        <f t="shared" si="125"/>
        <v>0.8</v>
      </c>
      <c r="R350" s="177">
        <f t="shared" si="126"/>
        <v>0.59981287566952479</v>
      </c>
      <c r="S350" s="809">
        <f t="shared" si="127"/>
        <v>0</v>
      </c>
      <c r="T350" s="176">
        <f t="shared" si="128"/>
        <v>6</v>
      </c>
      <c r="U350" s="251">
        <f t="shared" si="129"/>
        <v>0.59981287566952479</v>
      </c>
      <c r="V350" s="383">
        <f t="shared" si="130"/>
        <v>15.207879084914383</v>
      </c>
      <c r="W350" s="402"/>
      <c r="X350" s="157">
        <f t="shared" si="131"/>
        <v>44166</v>
      </c>
      <c r="Y350" s="385">
        <f t="shared" si="132"/>
        <v>4.3339999999999996</v>
      </c>
      <c r="Z350" s="385">
        <f t="shared" si="133"/>
        <v>4.4715731743542024</v>
      </c>
      <c r="AA350" s="386">
        <f t="shared" si="134"/>
        <v>4.9893052488776402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0.10376837028359877</v>
      </c>
      <c r="AD350" s="231">
        <f>(INDEX(Models!$BJ350:$BT350,,AH350)*(1-AF350)+INDEX(Models!$BJ350:$BT350,,AH350+1)*AF350-ERP_i)*AE350*Ramure*Pc/MaxiM</f>
        <v>3.0756576545130559E-2</v>
      </c>
      <c r="AE350" s="305">
        <f t="shared" si="136"/>
        <v>0.8</v>
      </c>
      <c r="AF350" s="177">
        <f t="shared" si="137"/>
        <v>0.79974644982204612</v>
      </c>
      <c r="AG350" s="809">
        <f t="shared" si="143"/>
        <v>1</v>
      </c>
      <c r="AH350" s="176">
        <f t="shared" si="138"/>
        <v>7</v>
      </c>
      <c r="AI350" s="225">
        <f t="shared" si="139"/>
        <v>1.7997464498220461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6">
        <v>1.381</v>
      </c>
      <c r="C351" s="390"/>
      <c r="D351" s="393">
        <f t="shared" si="122"/>
        <v>1.4248703072332416</v>
      </c>
      <c r="E351" s="385">
        <f t="shared" si="120"/>
        <v>1.5899155909852214</v>
      </c>
      <c r="F351" s="385">
        <f t="shared" si="123"/>
        <v>1.5899155909852214</v>
      </c>
      <c r="G351" s="110">
        <f t="shared" si="121"/>
        <v>9.0553492957800616E-2</v>
      </c>
      <c r="H351" s="414" t="b">
        <f>Wh_hp&gt;='2019'!Maxi_hp</f>
        <v>0</v>
      </c>
      <c r="I351" s="380">
        <f>IF(H351,Wh_hp,'2019'!Maxi_hp)</f>
        <v>7.0296101581186381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3.0788982695854769E-2</v>
      </c>
      <c r="M351" s="843"/>
      <c r="N351" s="843"/>
      <c r="O351" s="48">
        <f>IF(t&lt;Tnet,'2019'!Resal+('2019'!Salim-'2019'!Resal)*(1-EXP(('2019'!Tnet-t)/('2019'!Tau_j))),Resal+(Salim-Resal)*(1-EXP((Tnet-t)/(Tau_j))))*Salcycl</f>
        <v>0.10380757613031916</v>
      </c>
      <c r="P351" s="169">
        <f>(INDEX(Models!$BJ351:$BT351,,T351)*(1-R351)+INDEX(Models!$BJ351:$BT351,,T351+1)*R351-ERP_i)*Q351*Ramure*Pc/MaxiM</f>
        <v>9.1077597151552683E-3</v>
      </c>
      <c r="Q351" s="305">
        <f t="shared" si="125"/>
        <v>0.8</v>
      </c>
      <c r="R351" s="177">
        <f t="shared" si="126"/>
        <v>0.59983106484851989</v>
      </c>
      <c r="S351" s="809">
        <f t="shared" si="127"/>
        <v>0</v>
      </c>
      <c r="T351" s="176">
        <f t="shared" si="128"/>
        <v>6</v>
      </c>
      <c r="U351" s="251">
        <f t="shared" si="129"/>
        <v>0.59983106484851989</v>
      </c>
      <c r="V351" s="383">
        <f t="shared" si="130"/>
        <v>15.111754821772333</v>
      </c>
      <c r="W351" s="402"/>
      <c r="X351" s="157">
        <f t="shared" si="131"/>
        <v>44167</v>
      </c>
      <c r="Y351" s="385">
        <f t="shared" si="132"/>
        <v>1.381</v>
      </c>
      <c r="Z351" s="385">
        <f t="shared" si="133"/>
        <v>1.4248703072332416</v>
      </c>
      <c r="AA351" s="386">
        <f t="shared" si="134"/>
        <v>1.5899155909852214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0.10380757613031916</v>
      </c>
      <c r="AD351" s="231">
        <f>(INDEX(Models!$BJ351:$BT351,,AH351)*(1-AF351)+INDEX(Models!$BJ351:$BT351,,AH351+1)*AF351-ERP_i)*AE351*Ramure*Pc/MaxiM</f>
        <v>3.0569525565656664E-2</v>
      </c>
      <c r="AE351" s="305">
        <f t="shared" si="136"/>
        <v>0.8</v>
      </c>
      <c r="AF351" s="177">
        <f t="shared" si="137"/>
        <v>0.79976463900104111</v>
      </c>
      <c r="AG351" s="809">
        <f t="shared" si="143"/>
        <v>1</v>
      </c>
      <c r="AH351" s="176">
        <f t="shared" si="138"/>
        <v>7</v>
      </c>
      <c r="AI351" s="225">
        <f t="shared" si="139"/>
        <v>1.7997646390010411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6">
        <v>9.2249999999999996</v>
      </c>
      <c r="C352" s="390"/>
      <c r="D352" s="393">
        <f t="shared" si="122"/>
        <v>9.5182751544627084</v>
      </c>
      <c r="E352" s="385">
        <f t="shared" si="120"/>
        <v>10.621278438897892</v>
      </c>
      <c r="F352" s="385">
        <f t="shared" si="123"/>
        <v>10.664758796556411</v>
      </c>
      <c r="G352" s="110">
        <f t="shared" si="121"/>
        <v>0.61094240392684329</v>
      </c>
      <c r="H352" s="414" t="b">
        <f>Wh_hp&gt;='2019'!Maxi_hp</f>
        <v>1</v>
      </c>
      <c r="I352" s="380">
        <f>IF(H352,Wh_hp,'2019'!Maxi_hp)</f>
        <v>10.664758796556411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3.0811796223941409E-2</v>
      </c>
      <c r="M352" s="843"/>
      <c r="N352" s="843"/>
      <c r="O352" s="48">
        <f>IF(t&lt;Tnet,'2019'!Resal+('2019'!Salim-'2019'!Resal)*(1-EXP(('2019'!Tnet-t)/('2019'!Tau_j))),Resal+(Salim-Resal)*(1-EXP((Tnet-t)/(Tau_j))))*Salcycl</f>
        <v>0.10384844826171759</v>
      </c>
      <c r="P352" s="169">
        <f>(INDEX(Models!$BJ352:$BT352,,T352)*(1-R352)+INDEX(Models!$BJ352:$BT352,,T352+1)*R352-ERP_i)*Q352*Ramure*Pc/MaxiM</f>
        <v>9.0879592340098198E-3</v>
      </c>
      <c r="Q352" s="305">
        <f t="shared" si="125"/>
        <v>0.8</v>
      </c>
      <c r="R352" s="177">
        <f t="shared" si="126"/>
        <v>0.59984852271448186</v>
      </c>
      <c r="S352" s="809">
        <f t="shared" si="127"/>
        <v>0</v>
      </c>
      <c r="T352" s="176">
        <f t="shared" si="128"/>
        <v>6</v>
      </c>
      <c r="U352" s="251">
        <f t="shared" si="129"/>
        <v>0.59984852271448186</v>
      </c>
      <c r="V352" s="383">
        <f t="shared" si="130"/>
        <v>15.02364989615862</v>
      </c>
      <c r="W352" s="402"/>
      <c r="X352" s="157">
        <f t="shared" si="131"/>
        <v>44168</v>
      </c>
      <c r="Y352" s="385">
        <f t="shared" si="132"/>
        <v>9.1365992910183866</v>
      </c>
      <c r="Z352" s="385">
        <f t="shared" si="133"/>
        <v>9.4270640680739195</v>
      </c>
      <c r="AA352" s="386">
        <f t="shared" si="134"/>
        <v>10.51949756688817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0.10384844826171759</v>
      </c>
      <c r="AD352" s="231">
        <f>(INDEX(Models!$BJ352:$BT352,,AH352)*(1-AF352)+INDEX(Models!$BJ352:$BT352,,AH352+1)*AF352-ERP_i)*AE352*Ramure*Pc/MaxiM</f>
        <v>3.0361482853361016E-2</v>
      </c>
      <c r="AE352" s="305">
        <f t="shared" si="136"/>
        <v>0.8</v>
      </c>
      <c r="AF352" s="177">
        <f t="shared" si="137"/>
        <v>0.79978209686700308</v>
      </c>
      <c r="AG352" s="809">
        <f t="shared" si="143"/>
        <v>1</v>
      </c>
      <c r="AH352" s="176">
        <f t="shared" si="138"/>
        <v>7</v>
      </c>
      <c r="AI352" s="225">
        <f t="shared" si="139"/>
        <v>1.7997820968670031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6">
        <v>7.5659999999999998</v>
      </c>
      <c r="C353" s="390"/>
      <c r="D353" s="393">
        <f t="shared" si="122"/>
        <v>7.8067170701582054</v>
      </c>
      <c r="E353" s="385">
        <f t="shared" si="120"/>
        <v>8.7117936407065208</v>
      </c>
      <c r="F353" s="385">
        <f t="shared" si="123"/>
        <v>8.7351274114322557</v>
      </c>
      <c r="G353" s="110">
        <f t="shared" si="121"/>
        <v>0.50304914370481613</v>
      </c>
      <c r="H353" s="414" t="b">
        <f>Wh_hp&gt;='2019'!Maxi_hp</f>
        <v>0</v>
      </c>
      <c r="I353" s="380">
        <f>IF(H353,Wh_hp,'2019'!Maxi_hp)</f>
        <v>13.372447869111131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3.0834609221123951E-2</v>
      </c>
      <c r="M353" s="843"/>
      <c r="N353" s="843"/>
      <c r="O353" s="48">
        <f>IF(t&lt;Tnet,'2019'!Resal+('2019'!Salim-'2019'!Resal)*(1-EXP(('2019'!Tnet-t)/('2019'!Tau_j))),Resal+(Salim-Resal)*(1-EXP((Tnet-t)/(Tau_j))))*Salcycl</f>
        <v>0.10389095608501048</v>
      </c>
      <c r="P353" s="169">
        <f>(INDEX(Models!$BJ353:$BT353,,T353)*(1-R353)+INDEX(Models!$BJ353:$BT353,,T353+1)*R353-ERP_i)*Q353*Ramure*Pc/MaxiM</f>
        <v>9.0641293848398863E-3</v>
      </c>
      <c r="Q353" s="305">
        <f t="shared" si="125"/>
        <v>0.8</v>
      </c>
      <c r="R353" s="177">
        <f t="shared" si="126"/>
        <v>0.59986527863052463</v>
      </c>
      <c r="S353" s="809">
        <f t="shared" si="127"/>
        <v>0</v>
      </c>
      <c r="T353" s="176">
        <f t="shared" si="128"/>
        <v>6</v>
      </c>
      <c r="U353" s="251">
        <f t="shared" si="129"/>
        <v>0.59986527863052463</v>
      </c>
      <c r="V353" s="383">
        <f t="shared" si="130"/>
        <v>14.943871928504153</v>
      </c>
      <c r="W353" s="402"/>
      <c r="X353" s="157">
        <f t="shared" si="131"/>
        <v>44169</v>
      </c>
      <c r="Y353" s="385">
        <f t="shared" si="132"/>
        <v>7.5188530993241782</v>
      </c>
      <c r="Z353" s="385">
        <f t="shared" si="133"/>
        <v>7.7580701610502238</v>
      </c>
      <c r="AA353" s="386">
        <f t="shared" si="134"/>
        <v>8.6575068221119338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0.10389095608501048</v>
      </c>
      <c r="AD353" s="231">
        <f>(INDEX(Models!$BJ353:$BT353,,AH353)*(1-AF353)+INDEX(Models!$BJ353:$BT353,,AH353+1)*AF353-ERP_i)*AE353*Ramure*Pc/MaxiM</f>
        <v>3.0152137551901652E-2</v>
      </c>
      <c r="AE353" s="305">
        <f t="shared" si="136"/>
        <v>0.8</v>
      </c>
      <c r="AF353" s="177">
        <f t="shared" si="137"/>
        <v>0.79979885278304597</v>
      </c>
      <c r="AG353" s="809">
        <f t="shared" si="143"/>
        <v>1</v>
      </c>
      <c r="AH353" s="176">
        <f t="shared" si="138"/>
        <v>7</v>
      </c>
      <c r="AI353" s="225">
        <f t="shared" si="139"/>
        <v>1.799798852783046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6">
        <v>11.516999999999999</v>
      </c>
      <c r="C354" s="390"/>
      <c r="D354" s="393">
        <f t="shared" si="122"/>
        <v>11.883700352999382</v>
      </c>
      <c r="E354" s="385">
        <f t="shared" si="120"/>
        <v>13.262097284382037</v>
      </c>
      <c r="F354" s="385">
        <f t="shared" si="123"/>
        <v>13.343805020579753</v>
      </c>
      <c r="G354" s="110">
        <f t="shared" si="121"/>
        <v>0.77209192762034951</v>
      </c>
      <c r="H354" s="414" t="b">
        <f>Wh_hp&gt;='2019'!Maxi_hp</f>
        <v>1</v>
      </c>
      <c r="I354" s="380">
        <f>IF(H354,Wh_hp,'2019'!Maxi_hp)</f>
        <v>13.343805020579753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3.0857421687414829E-2</v>
      </c>
      <c r="M354" s="843"/>
      <c r="N354" s="843"/>
      <c r="O354" s="48">
        <f>IF(t&lt;Tnet,'2019'!Resal+('2019'!Salim-'2019'!Resal)*(1-EXP(('2019'!Tnet-t)/('2019'!Tau_j))),Resal+(Salim-Resal)*(1-EXP((Tnet-t)/(Tau_j))))*Salcycl</f>
        <v>0.10393506410225993</v>
      </c>
      <c r="P354" s="169">
        <f>(INDEX(Models!$BJ354:$BT354,,T354)*(1-R354)+INDEX(Models!$BJ354:$BT354,,T354+1)*R354-ERP_i)*Q354*Ramure*Pc/MaxiM</f>
        <v>9.03591864897468E-3</v>
      </c>
      <c r="Q354" s="305">
        <f t="shared" si="125"/>
        <v>0.8</v>
      </c>
      <c r="R354" s="177">
        <f t="shared" si="126"/>
        <v>0.59988136078395216</v>
      </c>
      <c r="S354" s="809">
        <f t="shared" si="127"/>
        <v>0</v>
      </c>
      <c r="T354" s="176">
        <f t="shared" si="128"/>
        <v>6</v>
      </c>
      <c r="U354" s="251">
        <f t="shared" si="129"/>
        <v>0.59988136078395216</v>
      </c>
      <c r="V354" s="383">
        <f t="shared" si="130"/>
        <v>14.872903028080975</v>
      </c>
      <c r="W354" s="402"/>
      <c r="X354" s="157">
        <f t="shared" si="131"/>
        <v>44170</v>
      </c>
      <c r="Y354" s="385">
        <f t="shared" si="132"/>
        <v>11.352842879751442</v>
      </c>
      <c r="Z354" s="385">
        <f t="shared" si="133"/>
        <v>11.714316483255079</v>
      </c>
      <c r="AA354" s="386">
        <f t="shared" si="134"/>
        <v>13.0730664865475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0.10393506410225993</v>
      </c>
      <c r="AD354" s="231">
        <f>(INDEX(Models!$BJ354:$BT354,,AH354)*(1-AF354)+INDEX(Models!$BJ354:$BT354,,AH354+1)*AF354-ERP_i)*AE354*Ramure*Pc/MaxiM</f>
        <v>2.9940510929569477E-2</v>
      </c>
      <c r="AE354" s="305">
        <f t="shared" si="136"/>
        <v>0.8</v>
      </c>
      <c r="AF354" s="177">
        <f t="shared" si="137"/>
        <v>0.79981493493647338</v>
      </c>
      <c r="AG354" s="809">
        <f t="shared" si="143"/>
        <v>1</v>
      </c>
      <c r="AH354" s="176">
        <f t="shared" si="138"/>
        <v>7</v>
      </c>
      <c r="AI354" s="225">
        <f t="shared" si="139"/>
        <v>1.7998149349364734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6">
        <v>8.8140000000000001</v>
      </c>
      <c r="C355" s="390"/>
      <c r="D355" s="393">
        <f t="shared" si="122"/>
        <v>9.0948511275846364</v>
      </c>
      <c r="E355" s="385">
        <f t="shared" si="120"/>
        <v>10.150285217022756</v>
      </c>
      <c r="F355" s="385">
        <f t="shared" si="123"/>
        <v>10.188954956742977</v>
      </c>
      <c r="G355" s="110">
        <f t="shared" si="121"/>
        <v>0.59197832386342553</v>
      </c>
      <c r="H355" s="414" t="b">
        <f>Wh_hp&gt;='2019'!Maxi_hp</f>
        <v>0</v>
      </c>
      <c r="I355" s="380">
        <f>IF(H355,Wh_hp,'2019'!Maxi_hp)</f>
        <v>14.444482654849191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3.0880233622826145E-2</v>
      </c>
      <c r="M355" s="843"/>
      <c r="N355" s="843"/>
      <c r="O355" s="48">
        <f>IF(t&lt;Tnet,'2019'!Resal+('2019'!Salim-'2019'!Resal)*(1-EXP(('2019'!Tnet-t)/('2019'!Tau_j))),Resal+(Salim-Resal)*(1-EXP((Tnet-t)/(Tau_j))))*Salcycl</f>
        <v>0.10398073225253614</v>
      </c>
      <c r="P355" s="169">
        <f>(INDEX(Models!$BJ355:$BT355,,T355)*(1-R355)+INDEX(Models!$BJ355:$BT355,,T355+1)*R355-ERP_i)*Q355*Ramure*Pc/MaxiM</f>
        <v>9.0029813042878451E-3</v>
      </c>
      <c r="Q355" s="305">
        <f t="shared" si="125"/>
        <v>0.8</v>
      </c>
      <c r="R355" s="177">
        <f t="shared" si="126"/>
        <v>0.59989679623309422</v>
      </c>
      <c r="S355" s="809">
        <f t="shared" si="127"/>
        <v>0</v>
      </c>
      <c r="T355" s="176">
        <f t="shared" si="128"/>
        <v>6</v>
      </c>
      <c r="U355" s="251">
        <f t="shared" si="129"/>
        <v>0.59989679623309422</v>
      </c>
      <c r="V355" s="383">
        <f t="shared" si="130"/>
        <v>14.811225221031346</v>
      </c>
      <c r="W355" s="402"/>
      <c r="X355" s="157">
        <f t="shared" si="131"/>
        <v>44171</v>
      </c>
      <c r="Y355" s="385">
        <f t="shared" si="132"/>
        <v>8.7367096791316339</v>
      </c>
      <c r="Z355" s="385">
        <f t="shared" si="133"/>
        <v>9.0150980118708812</v>
      </c>
      <c r="AA355" s="386">
        <f t="shared" si="134"/>
        <v>10.061276957284937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0.10398073225253614</v>
      </c>
      <c r="AD355" s="231">
        <f>(INDEX(Models!$BJ355:$BT355,,AH355)*(1-AF355)+INDEX(Models!$BJ355:$BT355,,AH355+1)*AF355-ERP_i)*AE355*Ramure*Pc/MaxiM</f>
        <v>2.972563690384673E-2</v>
      </c>
      <c r="AE355" s="305">
        <f t="shared" si="136"/>
        <v>0.8</v>
      </c>
      <c r="AF355" s="177">
        <f t="shared" si="137"/>
        <v>0.79983037038561555</v>
      </c>
      <c r="AG355" s="809">
        <f t="shared" si="143"/>
        <v>1</v>
      </c>
      <c r="AH355" s="176">
        <f t="shared" si="138"/>
        <v>7</v>
      </c>
      <c r="AI355" s="225">
        <f t="shared" si="139"/>
        <v>1.7998303703856156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6">
        <v>2.5569999999999999</v>
      </c>
      <c r="C356" s="390"/>
      <c r="D356" s="393">
        <f t="shared" si="122"/>
        <v>2.6385388860005423</v>
      </c>
      <c r="E356" s="385">
        <f t="shared" si="120"/>
        <v>2.9448896164635854</v>
      </c>
      <c r="F356" s="385">
        <f t="shared" si="123"/>
        <v>2.9448896164635854</v>
      </c>
      <c r="G356" s="110">
        <f t="shared" si="121"/>
        <v>0.17169330746684605</v>
      </c>
      <c r="H356" s="414" t="b">
        <f>Wh_hp&gt;='2019'!Maxi_hp</f>
        <v>0</v>
      </c>
      <c r="I356" s="380">
        <f>IF(H356,Wh_hp,'2019'!Maxi_hp)</f>
        <v>13.163873636421526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3.0903045027370443E-2</v>
      </c>
      <c r="M356" s="843"/>
      <c r="N356" s="843"/>
      <c r="O356" s="48">
        <f>IF(t&lt;Tnet,'2019'!Resal+('2019'!Salim-'2019'!Resal)*(1-EXP(('2019'!Tnet-t)/('2019'!Tau_j))),Resal+(Salim-Resal)*(1-EXP((Tnet-t)/(Tau_j))))*Salcycl</f>
        <v>0.10402791627583276</v>
      </c>
      <c r="P356" s="169">
        <f>(INDEX(Models!$BJ356:$BT356,,T356)*(1-R356)+INDEX(Models!$BJ356:$BT356,,T356+1)*R356-ERP_i)*Q356*Ramure*Pc/MaxiM</f>
        <v>8.9649817464271999E-3</v>
      </c>
      <c r="Q356" s="305">
        <f t="shared" si="125"/>
        <v>0.8</v>
      </c>
      <c r="R356" s="177">
        <f t="shared" si="126"/>
        <v>0.59991161095229506</v>
      </c>
      <c r="S356" s="809">
        <f t="shared" si="127"/>
        <v>0</v>
      </c>
      <c r="T356" s="176">
        <f t="shared" si="128"/>
        <v>6</v>
      </c>
      <c r="U356" s="251">
        <f t="shared" si="129"/>
        <v>0.59991161095229506</v>
      </c>
      <c r="V356" s="383">
        <f t="shared" si="130"/>
        <v>14.759320436317619</v>
      </c>
      <c r="W356" s="402"/>
      <c r="X356" s="157">
        <f t="shared" si="131"/>
        <v>44172</v>
      </c>
      <c r="Y356" s="385">
        <f t="shared" si="132"/>
        <v>2.5569999999999999</v>
      </c>
      <c r="Z356" s="385">
        <f t="shared" si="133"/>
        <v>2.6385388860005423</v>
      </c>
      <c r="AA356" s="386">
        <f t="shared" si="134"/>
        <v>2.9448896164635854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0.10402791627583276</v>
      </c>
      <c r="AD356" s="231">
        <f>(INDEX(Models!$BJ356:$BT356,,AH356)*(1-AF356)+INDEX(Models!$BJ356:$BT356,,AH356+1)*AF356-ERP_i)*AE356*Ramure*Pc/MaxiM</f>
        <v>2.9506571047808985E-2</v>
      </c>
      <c r="AE356" s="305">
        <f t="shared" si="136"/>
        <v>0.8</v>
      </c>
      <c r="AF356" s="177">
        <f t="shared" si="137"/>
        <v>0.79984518510481628</v>
      </c>
      <c r="AG356" s="809">
        <f t="shared" si="143"/>
        <v>1</v>
      </c>
      <c r="AH356" s="176">
        <f t="shared" si="138"/>
        <v>7</v>
      </c>
      <c r="AI356" s="225">
        <f t="shared" si="139"/>
        <v>1.7998451851048163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6">
        <v>6.8170000000000002</v>
      </c>
      <c r="C357" s="390"/>
      <c r="D357" s="393">
        <f t="shared" si="122"/>
        <v>7.0345494630223069</v>
      </c>
      <c r="E357" s="385">
        <f t="shared" si="120"/>
        <v>7.8517306418364665</v>
      </c>
      <c r="F357" s="385">
        <f t="shared" si="123"/>
        <v>7.8680948020346388</v>
      </c>
      <c r="G357" s="110">
        <f t="shared" si="121"/>
        <v>0.46000909873124551</v>
      </c>
      <c r="H357" s="414" t="b">
        <f>Wh_hp&gt;='2019'!Maxi_hp</f>
        <v>0</v>
      </c>
      <c r="I357" s="380">
        <f>IF(H357,Wh_hp,'2019'!Maxi_hp)</f>
        <v>9.5730272396475531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3.0925855901060048E-2</v>
      </c>
      <c r="M357" s="843"/>
      <c r="N357" s="843"/>
      <c r="O357" s="48">
        <f>IF(t&lt;Tnet,'2019'!Resal+('2019'!Salim-'2019'!Resal)*(1-EXP(('2019'!Tnet-t)/('2019'!Tau_j))),Resal+(Salim-Resal)*(1-EXP((Tnet-t)/(Tau_j))))*Salcycl</f>
        <v>0.10407656809569646</v>
      </c>
      <c r="P357" s="169">
        <f>(INDEX(Models!$BJ357:$BT357,,T357)*(1-R357)+INDEX(Models!$BJ357:$BT357,,T357+1)*R357-ERP_i)*Q357*Ramure*Pc/MaxiM</f>
        <v>8.9215990691917726E-3</v>
      </c>
      <c r="Q357" s="305">
        <f t="shared" si="125"/>
        <v>0.8</v>
      </c>
      <c r="R357" s="177">
        <f t="shared" si="126"/>
        <v>0.59992582987512721</v>
      </c>
      <c r="S357" s="809">
        <f t="shared" si="127"/>
        <v>0</v>
      </c>
      <c r="T357" s="176">
        <f t="shared" si="128"/>
        <v>6</v>
      </c>
      <c r="U357" s="251">
        <f t="shared" si="129"/>
        <v>0.59992582987512721</v>
      </c>
      <c r="V357" s="383">
        <f t="shared" si="130"/>
        <v>14.717670482098654</v>
      </c>
      <c r="W357" s="402"/>
      <c r="X357" s="157">
        <f t="shared" si="131"/>
        <v>44173</v>
      </c>
      <c r="Y357" s="385">
        <f t="shared" si="132"/>
        <v>6.78457546302237</v>
      </c>
      <c r="Z357" s="385">
        <f t="shared" si="133"/>
        <v>7.0010901687308689</v>
      </c>
      <c r="AA357" s="386">
        <f t="shared" si="134"/>
        <v>7.8143844880247286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0.10407656809569646</v>
      </c>
      <c r="AD357" s="231">
        <f>(INDEX(Models!$BJ357:$BT357,,AH357)*(1-AF357)+INDEX(Models!$BJ357:$BT357,,AH357+1)*AF357-ERP_i)*AE357*Ramure*Pc/MaxiM</f>
        <v>2.9282400176595294E-2</v>
      </c>
      <c r="AE357" s="305">
        <f t="shared" si="136"/>
        <v>0.8</v>
      </c>
      <c r="AF357" s="177">
        <f t="shared" si="137"/>
        <v>0.79985940402764832</v>
      </c>
      <c r="AG357" s="809">
        <f t="shared" si="143"/>
        <v>1</v>
      </c>
      <c r="AH357" s="176">
        <f t="shared" si="138"/>
        <v>7</v>
      </c>
      <c r="AI357" s="225">
        <f t="shared" si="139"/>
        <v>1.7998594040276483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6">
        <v>7.3639999999999999</v>
      </c>
      <c r="C358" s="390"/>
      <c r="D358" s="393">
        <f t="shared" si="122"/>
        <v>7.599184628802643</v>
      </c>
      <c r="E358" s="385">
        <f t="shared" si="120"/>
        <v>8.4824317096750512</v>
      </c>
      <c r="F358" s="385">
        <f t="shared" si="123"/>
        <v>8.5041411318605888</v>
      </c>
      <c r="G358" s="110">
        <f t="shared" si="121"/>
        <v>0.49822724101512089</v>
      </c>
      <c r="H358" s="414" t="b">
        <f>Wh_hp&gt;='2019'!Maxi_hp</f>
        <v>0</v>
      </c>
      <c r="I358" s="380">
        <f>IF(H358,Wh_hp,'2019'!Maxi_hp)</f>
        <v>15.549770066457318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3.0948666243907283E-2</v>
      </c>
      <c r="M358" s="843"/>
      <c r="N358" s="843"/>
      <c r="O358" s="48">
        <f>IF(t&lt;Tnet,'2019'!Resal+('2019'!Salim-'2019'!Resal)*(1-EXP(('2019'!Tnet-t)/('2019'!Tau_j))),Resal+(Salim-Resal)*(1-EXP((Tnet-t)/(Tau_j))))*Salcycl</f>
        <v>0.10412663621741604</v>
      </c>
      <c r="P358" s="169">
        <f>(INDEX(Models!$BJ358:$BT358,,T358)*(1-R358)+INDEX(Models!$BJ358:$BT358,,T358+1)*R358-ERP_i)*Q358*Ramure*Pc/MaxiM</f>
        <v>8.8725318233267205E-3</v>
      </c>
      <c r="Q358" s="305">
        <f t="shared" si="125"/>
        <v>0.8</v>
      </c>
      <c r="R358" s="177">
        <f t="shared" si="126"/>
        <v>0.59993947693590066</v>
      </c>
      <c r="S358" s="809">
        <f t="shared" si="127"/>
        <v>0</v>
      </c>
      <c r="T358" s="176">
        <f t="shared" si="128"/>
        <v>6</v>
      </c>
      <c r="U358" s="251">
        <f t="shared" si="129"/>
        <v>0.59993947693590066</v>
      </c>
      <c r="V358" s="383">
        <f t="shared" si="130"/>
        <v>14.68675702302073</v>
      </c>
      <c r="W358" s="402"/>
      <c r="X358" s="157">
        <f t="shared" si="131"/>
        <v>44174</v>
      </c>
      <c r="Y358" s="385">
        <f t="shared" si="132"/>
        <v>7.321134365766695</v>
      </c>
      <c r="Z358" s="385">
        <f t="shared" si="133"/>
        <v>7.5549499915444125</v>
      </c>
      <c r="AA358" s="386">
        <f t="shared" si="134"/>
        <v>8.4330557163187336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0.10412663621741604</v>
      </c>
      <c r="AD358" s="231">
        <f>(INDEX(Models!$BJ358:$BT358,,AH358)*(1-AF358)+INDEX(Models!$BJ358:$BT358,,AH358+1)*AF358-ERP_i)*AE358*Ramure*Pc/MaxiM</f>
        <v>2.9052252343669469E-2</v>
      </c>
      <c r="AE358" s="305">
        <f t="shared" si="136"/>
        <v>0.8</v>
      </c>
      <c r="AF358" s="177">
        <f t="shared" si="137"/>
        <v>0.79987305108842177</v>
      </c>
      <c r="AG358" s="809">
        <f t="shared" si="143"/>
        <v>1</v>
      </c>
      <c r="AH358" s="176">
        <f t="shared" si="138"/>
        <v>7</v>
      </c>
      <c r="AI358" s="225">
        <f t="shared" si="139"/>
        <v>1.7998730510884218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6">
        <v>4.0869999999999997</v>
      </c>
      <c r="C359" s="390"/>
      <c r="D359" s="393">
        <f t="shared" si="122"/>
        <v>4.2176261059533768</v>
      </c>
      <c r="E359" s="385">
        <f t="shared" si="120"/>
        <v>4.7081076568120306</v>
      </c>
      <c r="F359" s="385">
        <f t="shared" si="123"/>
        <v>4.7081076568120306</v>
      </c>
      <c r="G359" s="110">
        <f t="shared" si="121"/>
        <v>0.27618326106069729</v>
      </c>
      <c r="H359" s="414" t="b">
        <f>Wh_hp&gt;='2019'!Maxi_hp</f>
        <v>0</v>
      </c>
      <c r="I359" s="380">
        <f>IF(H359,Wh_hp,'2019'!Maxi_hp)</f>
        <v>14.841331638958879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3.0971476055924471E-2</v>
      </c>
      <c r="M359" s="843"/>
      <c r="N359" s="843"/>
      <c r="O359" s="48">
        <f>IF(t&lt;Tnet,'2019'!Resal+('2019'!Salim-'2019'!Resal)*(1-EXP(('2019'!Tnet-t)/('2019'!Tau_j))),Resal+(Salim-Resal)*(1-EXP((Tnet-t)/(Tau_j))))*Salcycl</f>
        <v>0.1041780661385238</v>
      </c>
      <c r="P359" s="169">
        <f>(INDEX(Models!$BJ359:$BT359,,T359)*(1-R359)+INDEX(Models!$BJ359:$BT359,,T359+1)*R359-ERP_i)*Q359*Ramure*Pc/MaxiM</f>
        <v>8.8171415984667541E-3</v>
      </c>
      <c r="Q359" s="305">
        <f t="shared" si="125"/>
        <v>0.8</v>
      </c>
      <c r="R359" s="177">
        <f t="shared" si="126"/>
        <v>0.59995257510953026</v>
      </c>
      <c r="S359" s="809">
        <f t="shared" si="127"/>
        <v>0</v>
      </c>
      <c r="T359" s="176">
        <f t="shared" si="128"/>
        <v>6</v>
      </c>
      <c r="U359" s="251">
        <f t="shared" si="129"/>
        <v>0.59995257510953026</v>
      </c>
      <c r="V359" s="383">
        <f t="shared" si="130"/>
        <v>14.66766786201709</v>
      </c>
      <c r="W359" s="402"/>
      <c r="X359" s="157">
        <f t="shared" si="131"/>
        <v>44175</v>
      </c>
      <c r="Y359" s="385">
        <f t="shared" si="132"/>
        <v>4.0869999999999997</v>
      </c>
      <c r="Z359" s="385">
        <f t="shared" si="133"/>
        <v>4.2176261059533768</v>
      </c>
      <c r="AA359" s="386">
        <f t="shared" si="134"/>
        <v>4.7081076568120306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0.1041780661385238</v>
      </c>
      <c r="AD359" s="231">
        <f>(INDEX(Models!$BJ359:$BT359,,AH359)*(1-AF359)+INDEX(Models!$BJ359:$BT359,,AH359+1)*AF359-ERP_i)*AE359*Ramure*Pc/MaxiM</f>
        <v>2.8814126460811249E-2</v>
      </c>
      <c r="AE359" s="305">
        <f t="shared" si="136"/>
        <v>0.8</v>
      </c>
      <c r="AF359" s="177">
        <f t="shared" si="137"/>
        <v>0.79988614926205148</v>
      </c>
      <c r="AG359" s="809">
        <f t="shared" si="143"/>
        <v>1</v>
      </c>
      <c r="AH359" s="176">
        <f t="shared" si="138"/>
        <v>7</v>
      </c>
      <c r="AI359" s="225">
        <f t="shared" si="139"/>
        <v>1.7998861492620515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6">
        <v>5.1349999999999998</v>
      </c>
      <c r="C360" s="390"/>
      <c r="D360" s="393">
        <f t="shared" si="122"/>
        <v>5.2992463535537588</v>
      </c>
      <c r="E360" s="385">
        <f t="shared" si="120"/>
        <v>5.9158613157261151</v>
      </c>
      <c r="F360" s="385">
        <f t="shared" si="123"/>
        <v>5.9195824362505753</v>
      </c>
      <c r="G360" s="110">
        <f t="shared" si="121"/>
        <v>0.34740999047926041</v>
      </c>
      <c r="H360" s="414" t="b">
        <f>Wh_hp&gt;='2019'!Maxi_hp</f>
        <v>1</v>
      </c>
      <c r="I360" s="380">
        <f>IF(H360,Wh_hp,'2019'!Maxi_hp)</f>
        <v>5.9195824362505753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3.0994285337124047E-2</v>
      </c>
      <c r="M360" s="843"/>
      <c r="N360" s="843"/>
      <c r="O360" s="48">
        <f>IF(t&lt;Tnet,'2019'!Resal+('2019'!Salim-'2019'!Resal)*(1-EXP(('2019'!Tnet-t)/('2019'!Tau_j))),Resal+(Salim-Resal)*(1-EXP((Tnet-t)/(Tau_j))))*Salcycl</f>
        <v>0.10423080076830253</v>
      </c>
      <c r="P360" s="169">
        <f>(INDEX(Models!$BJ360:$BT360,,T360)*(1-R360)+INDEX(Models!$BJ360:$BT360,,T360+1)*R360-ERP_i)*Q360*Ramure*Pc/MaxiM</f>
        <v>8.7553487564632597E-3</v>
      </c>
      <c r="Q360" s="305">
        <f t="shared" si="125"/>
        <v>0.8</v>
      </c>
      <c r="R360" s="177">
        <f t="shared" si="126"/>
        <v>0.5999651464498279</v>
      </c>
      <c r="S360" s="809">
        <f t="shared" si="127"/>
        <v>0</v>
      </c>
      <c r="T360" s="176">
        <f t="shared" si="128"/>
        <v>6</v>
      </c>
      <c r="U360" s="251">
        <f t="shared" si="129"/>
        <v>0.5999651464498279</v>
      </c>
      <c r="V360" s="383">
        <f t="shared" si="130"/>
        <v>14.660611661529058</v>
      </c>
      <c r="W360" s="402"/>
      <c r="X360" s="157">
        <f t="shared" si="131"/>
        <v>44176</v>
      </c>
      <c r="Y360" s="385">
        <f t="shared" si="132"/>
        <v>5.1276909426627242</v>
      </c>
      <c r="Z360" s="385">
        <f t="shared" si="133"/>
        <v>5.291703511208584</v>
      </c>
      <c r="AA360" s="386">
        <f t="shared" si="134"/>
        <v>5.9074407958515271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0.10423080076830253</v>
      </c>
      <c r="AD360" s="231">
        <f>(INDEX(Models!$BJ360:$BT360,,AH360)*(1-AF360)+INDEX(Models!$BJ360:$BT360,,AH360+1)*AF360-ERP_i)*AE360*Ramure*Pc/MaxiM</f>
        <v>2.8567818610133439E-2</v>
      </c>
      <c r="AE360" s="305">
        <f t="shared" si="136"/>
        <v>0.8</v>
      </c>
      <c r="AF360" s="177">
        <f t="shared" si="137"/>
        <v>0.79989872060234912</v>
      </c>
      <c r="AG360" s="809">
        <f t="shared" si="143"/>
        <v>1</v>
      </c>
      <c r="AH360" s="176">
        <f t="shared" si="138"/>
        <v>7</v>
      </c>
      <c r="AI360" s="225">
        <f t="shared" si="139"/>
        <v>1.7998987206023491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6">
        <v>8.9879999999999995</v>
      </c>
      <c r="C361" s="390"/>
      <c r="D361" s="393">
        <f t="shared" si="122"/>
        <v>9.275705427988008</v>
      </c>
      <c r="E361" s="385">
        <f t="shared" ref="E361:E380" si="144">Wh_pvt/(1-Psa)</f>
        <v>10.355641201252492</v>
      </c>
      <c r="F361" s="385">
        <f t="shared" si="123"/>
        <v>10.396037335870668</v>
      </c>
      <c r="G361" s="110">
        <f t="shared" ref="G361:G380" si="145">+Wh_hp/MaxiM</f>
        <v>0.60994360077654519</v>
      </c>
      <c r="H361" s="414" t="b">
        <f>Wh_hp&gt;='2019'!Maxi_hp</f>
        <v>1</v>
      </c>
      <c r="I361" s="380">
        <f>IF(H361,Wh_hp,'2019'!Maxi_hp)</f>
        <v>10.396037335870668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3.1017094087518335E-2</v>
      </c>
      <c r="M361" s="843"/>
      <c r="N361" s="843"/>
      <c r="O361" s="48">
        <f>IF(t&lt;Tnet,'2019'!Resal+('2019'!Salim-'2019'!Resal)*(1-EXP(('2019'!Tnet-t)/('2019'!Tau_j))),Resal+(Salim-Resal)*(1-EXP((Tnet-t)/(Tau_j))))*Salcycl</f>
        <v>0.10428478085295843</v>
      </c>
      <c r="P361" s="169">
        <f>(INDEX(Models!$BJ361:$BT361,,T361)*(1-R361)+INDEX(Models!$BJ361:$BT361,,T361+1)*R361-ERP_i)*Q361*Ramure*Pc/MaxiM</f>
        <v>8.6928567890267837E-3</v>
      </c>
      <c r="Q361" s="305">
        <f t="shared" si="125"/>
        <v>0.8</v>
      </c>
      <c r="R361" s="177">
        <f t="shared" si="126"/>
        <v>0.59997721212627897</v>
      </c>
      <c r="S361" s="809">
        <f t="shared" si="127"/>
        <v>0</v>
      </c>
      <c r="T361" s="176">
        <f t="shared" si="128"/>
        <v>6</v>
      </c>
      <c r="U361" s="251">
        <f t="shared" si="129"/>
        <v>0.59997721212627897</v>
      </c>
      <c r="V361" s="383">
        <f t="shared" si="130"/>
        <v>14.664675452075766</v>
      </c>
      <c r="W361" s="402"/>
      <c r="X361" s="157">
        <f t="shared" si="131"/>
        <v>44177</v>
      </c>
      <c r="Y361" s="385">
        <f t="shared" si="132"/>
        <v>8.9088227958252464</v>
      </c>
      <c r="Z361" s="385">
        <f t="shared" si="133"/>
        <v>9.1939937654894912</v>
      </c>
      <c r="AA361" s="386">
        <f t="shared" si="134"/>
        <v>10.264416154773626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0.10428478085295843</v>
      </c>
      <c r="AD361" s="231">
        <f>(INDEX(Models!$BJ361:$BT361,,AH361)*(1-AF361)+INDEX(Models!$BJ361:$BT361,,AH361+1)*AF361-ERP_i)*AE361*Ramure*Pc/MaxiM</f>
        <v>2.8323602950970306E-2</v>
      </c>
      <c r="AE361" s="305">
        <f t="shared" si="136"/>
        <v>0.8</v>
      </c>
      <c r="AF361" s="177">
        <f t="shared" si="137"/>
        <v>0.79991078627880019</v>
      </c>
      <c r="AG361" s="809">
        <f t="shared" si="143"/>
        <v>1</v>
      </c>
      <c r="AH361" s="176">
        <f t="shared" si="138"/>
        <v>7</v>
      </c>
      <c r="AI361" s="225">
        <f t="shared" si="139"/>
        <v>1.7999107862788002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6">
        <v>7.68</v>
      </c>
      <c r="C362" s="390"/>
      <c r="D362" s="393">
        <f t="shared" si="122"/>
        <v>7.9260229789506127</v>
      </c>
      <c r="E362" s="385">
        <f t="shared" si="144"/>
        <v>8.84936526785037</v>
      </c>
      <c r="F362" s="385">
        <f t="shared" si="123"/>
        <v>8.8737836576576878</v>
      </c>
      <c r="G362" s="110">
        <f t="shared" si="145"/>
        <v>0.52011151825376223</v>
      </c>
      <c r="H362" s="414" t="b">
        <f>Wh_hp&gt;='2019'!Maxi_hp</f>
        <v>0</v>
      </c>
      <c r="I362" s="380">
        <f>IF(H362,Wh_hp,'2019'!Maxi_hp)</f>
        <v>15.505974615188814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3.1039902307119768E-2</v>
      </c>
      <c r="M362" s="843"/>
      <c r="N362" s="843"/>
      <c r="O362" s="48">
        <f>IF(t&lt;Tnet,'2019'!Resal+('2019'!Salim-'2019'!Resal)*(1-EXP(('2019'!Tnet-t)/('2019'!Tau_j))),Resal+(Salim-Resal)*(1-EXP((Tnet-t)/(Tau_j))))*Salcycl</f>
        <v>0.10433994540311819</v>
      </c>
      <c r="P362" s="169">
        <f>(INDEX(Models!$BJ362:$BT362,,T362)*(1-R362)+INDEX(Models!$BJ362:$BT362,,T362+1)*R362-ERP_i)*Q362*Ramure*Pc/MaxiM</f>
        <v>8.6301953843769992E-3</v>
      </c>
      <c r="Q362" s="305">
        <f t="shared" si="125"/>
        <v>0.8</v>
      </c>
      <c r="R362" s="177">
        <f t="shared" si="126"/>
        <v>0.59998879245936221</v>
      </c>
      <c r="S362" s="809">
        <f t="shared" si="127"/>
        <v>0</v>
      </c>
      <c r="T362" s="176">
        <f t="shared" si="128"/>
        <v>6</v>
      </c>
      <c r="U362" s="251">
        <f t="shared" si="129"/>
        <v>0.59998879245936221</v>
      </c>
      <c r="V362" s="383">
        <f t="shared" si="130"/>
        <v>14.679022976126269</v>
      </c>
      <c r="W362" s="402"/>
      <c r="X362" s="157">
        <f t="shared" si="131"/>
        <v>44178</v>
      </c>
      <c r="Y362" s="385">
        <f t="shared" si="132"/>
        <v>7.6322324355842994</v>
      </c>
      <c r="Z362" s="385">
        <f t="shared" si="133"/>
        <v>7.8767252168142399</v>
      </c>
      <c r="AA362" s="386">
        <f t="shared" si="134"/>
        <v>8.7943245614089509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0.10433994540311819</v>
      </c>
      <c r="AD362" s="231">
        <f>(INDEX(Models!$BJ362:$BT362,,AH362)*(1-AF362)+INDEX(Models!$BJ362:$BT362,,AH362+1)*AF362-ERP_i)*AE362*Ramure*Pc/MaxiM</f>
        <v>2.8083240995977546E-2</v>
      </c>
      <c r="AE362" s="305">
        <f t="shared" si="136"/>
        <v>0.8</v>
      </c>
      <c r="AF362" s="177">
        <f t="shared" si="137"/>
        <v>0.79992236661188354</v>
      </c>
      <c r="AG362" s="809">
        <f t="shared" si="143"/>
        <v>1</v>
      </c>
      <c r="AH362" s="176">
        <f t="shared" si="138"/>
        <v>7</v>
      </c>
      <c r="AI362" s="225">
        <f t="shared" si="139"/>
        <v>1.7999223666118835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6">
        <v>3.3849999999999998</v>
      </c>
      <c r="C363" s="390"/>
      <c r="D363" s="393">
        <f t="shared" si="122"/>
        <v>3.4935181408755747</v>
      </c>
      <c r="E363" s="385">
        <f t="shared" si="144"/>
        <v>3.9007407808773009</v>
      </c>
      <c r="F363" s="385">
        <f t="shared" si="123"/>
        <v>3.9007407808773009</v>
      </c>
      <c r="G363" s="110">
        <f t="shared" si="145"/>
        <v>0.22825540522612978</v>
      </c>
      <c r="H363" s="414" t="b">
        <f>Wh_hp&gt;='2019'!Maxi_hp</f>
        <v>0</v>
      </c>
      <c r="I363" s="380">
        <f>IF(H363,Wh_hp,'2019'!Maxi_hp)</f>
        <v>16.523910631894243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3.1062709995940449E-2</v>
      </c>
      <c r="M363" s="843"/>
      <c r="N363" s="843"/>
      <c r="O363" s="48">
        <f>IF(t&lt;Tnet,'2019'!Resal+('2019'!Salim-'2019'!Resal)*(1-EXP(('2019'!Tnet-t)/('2019'!Tau_j))),Resal+(Salim-Resal)*(1-EXP((Tnet-t)/(Tau_j))))*Salcycl</f>
        <v>0.10439623212033562</v>
      </c>
      <c r="P363" s="169">
        <f>(INDEX(Models!$BJ363:$BT363,,T363)*(1-R363)+INDEX(Models!$BJ363:$BT363,,T363+1)*R363-ERP_i)*Q363*Ramure*Pc/MaxiM</f>
        <v>8.56788342722253E-3</v>
      </c>
      <c r="Q363" s="305">
        <f t="shared" si="125"/>
        <v>0.8</v>
      </c>
      <c r="R363" s="177">
        <f t="shared" si="126"/>
        <v>0.59999990695447003</v>
      </c>
      <c r="S363" s="809">
        <f t="shared" si="127"/>
        <v>0</v>
      </c>
      <c r="T363" s="176">
        <f t="shared" si="128"/>
        <v>6</v>
      </c>
      <c r="U363" s="251">
        <f t="shared" si="129"/>
        <v>0.59999990695447003</v>
      </c>
      <c r="V363" s="383">
        <f t="shared" si="130"/>
        <v>14.70281814914353</v>
      </c>
      <c r="W363" s="402"/>
      <c r="X363" s="157">
        <f t="shared" si="131"/>
        <v>44179</v>
      </c>
      <c r="Y363" s="385">
        <f t="shared" si="132"/>
        <v>3.3849999999999998</v>
      </c>
      <c r="Z363" s="385">
        <f t="shared" si="133"/>
        <v>3.4935181408755747</v>
      </c>
      <c r="AA363" s="386">
        <f t="shared" si="134"/>
        <v>3.9007407808773009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0.10439623212033562</v>
      </c>
      <c r="AD363" s="231">
        <f>(INDEX(Models!$BJ363:$BT363,,AH363)*(1-AF363)+INDEX(Models!$BJ363:$BT363,,AH363+1)*AF363-ERP_i)*AE363*Ramure*Pc/MaxiM</f>
        <v>2.7848437100512571E-2</v>
      </c>
      <c r="AE363" s="305">
        <f t="shared" si="136"/>
        <v>0.8</v>
      </c>
      <c r="AF363" s="177">
        <f t="shared" si="137"/>
        <v>0.79993348110699136</v>
      </c>
      <c r="AG363" s="809">
        <f t="shared" si="143"/>
        <v>1</v>
      </c>
      <c r="AH363" s="176">
        <f t="shared" si="138"/>
        <v>7</v>
      </c>
      <c r="AI363" s="225">
        <f t="shared" si="139"/>
        <v>1.7999334811069914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6">
        <v>2.226</v>
      </c>
      <c r="C364" s="390"/>
      <c r="D364" s="393">
        <f t="shared" si="122"/>
        <v>2.2974163761713386</v>
      </c>
      <c r="E364" s="385">
        <f t="shared" si="144"/>
        <v>2.565379436810364</v>
      </c>
      <c r="F364" s="385">
        <f t="shared" si="123"/>
        <v>2.565379436810364</v>
      </c>
      <c r="G364" s="110">
        <f t="shared" si="145"/>
        <v>0.1497815396118484</v>
      </c>
      <c r="H364" s="414" t="b">
        <f>Wh_hp&gt;='2019'!Maxi_hp</f>
        <v>0</v>
      </c>
      <c r="I364" s="380">
        <f>IF(H364,Wh_hp,'2019'!Maxi_hp)</f>
        <v>12.099319299060008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3.1085517153993034E-2</v>
      </c>
      <c r="M364" s="843"/>
      <c r="N364" s="843"/>
      <c r="O364" s="48">
        <f>IF(t&lt;Tnet,'2019'!Resal+('2019'!Salim-'2019'!Resal)*(1-EXP(('2019'!Tnet-t)/('2019'!Tau_j))),Resal+(Salim-Resal)*(1-EXP((Tnet-t)/(Tau_j))))*Salcycl</f>
        <v>0.10445357781934754</v>
      </c>
      <c r="P364" s="169">
        <f>(INDEX(Models!$BJ364:$BT364,,T364)*(1-R364)+INDEX(Models!$BJ364:$BT364,,T364+1)*R364-ERP_i)*Q364*Ramure*Pc/MaxiM</f>
        <v>8.5064258698985089E-3</v>
      </c>
      <c r="Q364" s="305">
        <f t="shared" si="125"/>
        <v>0.8</v>
      </c>
      <c r="R364" s="177">
        <f t="shared" si="126"/>
        <v>0.60001057433448424</v>
      </c>
      <c r="S364" s="809">
        <f t="shared" si="127"/>
        <v>0</v>
      </c>
      <c r="T364" s="176">
        <f t="shared" si="128"/>
        <v>6</v>
      </c>
      <c r="U364" s="251">
        <f t="shared" si="129"/>
        <v>0.60001057433448424</v>
      </c>
      <c r="V364" s="383">
        <f t="shared" si="130"/>
        <v>14.735225059998099</v>
      </c>
      <c r="W364" s="402"/>
      <c r="X364" s="157">
        <f t="shared" si="131"/>
        <v>44180</v>
      </c>
      <c r="Y364" s="385">
        <f t="shared" si="132"/>
        <v>2.226</v>
      </c>
      <c r="Z364" s="385">
        <f t="shared" si="133"/>
        <v>2.2974163761713386</v>
      </c>
      <c r="AA364" s="386">
        <f t="shared" si="134"/>
        <v>2.565379436810364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0.10445357781934754</v>
      </c>
      <c r="AD364" s="231">
        <f>(INDEX(Models!$BJ364:$BT364,,AH364)*(1-AF364)+INDEX(Models!$BJ364:$BT364,,AH364+1)*AF364-ERP_i)*AE364*Ramure*Pc/MaxiM</f>
        <v>2.7620830524005248E-2</v>
      </c>
      <c r="AE364" s="305">
        <f t="shared" si="136"/>
        <v>0.8</v>
      </c>
      <c r="AF364" s="177">
        <f t="shared" si="137"/>
        <v>0.79994414848700535</v>
      </c>
      <c r="AG364" s="809">
        <f t="shared" si="143"/>
        <v>1</v>
      </c>
      <c r="AH364" s="176">
        <f t="shared" si="138"/>
        <v>7</v>
      </c>
      <c r="AI364" s="225">
        <f t="shared" si="139"/>
        <v>1.7999441484870053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6">
        <v>9.4789999999999992</v>
      </c>
      <c r="C365" s="390"/>
      <c r="D365" s="393">
        <f t="shared" si="122"/>
        <v>9.7833434146050813</v>
      </c>
      <c r="E365" s="385">
        <f t="shared" si="144"/>
        <v>10.925152015383199</v>
      </c>
      <c r="F365" s="385">
        <f t="shared" si="123"/>
        <v>10.970361572094673</v>
      </c>
      <c r="G365" s="110">
        <f t="shared" si="145"/>
        <v>0.63875267145065073</v>
      </c>
      <c r="H365" s="414" t="b">
        <f>Wh_hp&gt;='2019'!Maxi_hp</f>
        <v>0</v>
      </c>
      <c r="I365" s="380">
        <f>IF(H365,Wh_hp,'2019'!Maxi_hp)</f>
        <v>13.874025980325728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3.1108323781289623E-2</v>
      </c>
      <c r="M365" s="843"/>
      <c r="N365" s="843"/>
      <c r="O365" s="48">
        <f>IF(t&lt;Tnet,'2019'!Resal+('2019'!Salim-'2019'!Resal)*(1-EXP(('2019'!Tnet-t)/('2019'!Tau_j))),Resal+(Salim-Resal)*(1-EXP((Tnet-t)/(Tau_j))))*Salcycl</f>
        <v>0.10451191884290405</v>
      </c>
      <c r="P365" s="169">
        <f>(INDEX(Models!$BJ365:$BT365,,T365)*(1-R365)+INDEX(Models!$BJ365:$BT365,,T365+1)*R365-ERP_i)*Q365*Ramure*Pc/MaxiM</f>
        <v>8.4463113014320804E-3</v>
      </c>
      <c r="Q365" s="305">
        <f t="shared" si="125"/>
        <v>0.8</v>
      </c>
      <c r="R365" s="177">
        <f t="shared" si="126"/>
        <v>0.60002081257105921</v>
      </c>
      <c r="S365" s="809">
        <f t="shared" si="127"/>
        <v>0</v>
      </c>
      <c r="T365" s="176">
        <f t="shared" si="128"/>
        <v>6</v>
      </c>
      <c r="U365" s="251">
        <f t="shared" si="129"/>
        <v>0.60002081257105921</v>
      </c>
      <c r="V365" s="383">
        <f t="shared" si="130"/>
        <v>14.775407977469948</v>
      </c>
      <c r="W365" s="402"/>
      <c r="X365" s="157">
        <f t="shared" si="131"/>
        <v>44181</v>
      </c>
      <c r="Y365" s="385">
        <f t="shared" si="132"/>
        <v>9.390968614631559</v>
      </c>
      <c r="Z365" s="385">
        <f t="shared" si="133"/>
        <v>9.6924855947588018</v>
      </c>
      <c r="AA365" s="386">
        <f t="shared" si="134"/>
        <v>10.823690229617299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0.10451191884290405</v>
      </c>
      <c r="AD365" s="231">
        <f>(INDEX(Models!$BJ365:$BT365,,AH365)*(1-AF365)+INDEX(Models!$BJ365:$BT365,,AH365+1)*AF365-ERP_i)*AE365*Ramure*Pc/MaxiM</f>
        <v>2.7401989925914614E-2</v>
      </c>
      <c r="AE365" s="305">
        <f t="shared" si="136"/>
        <v>0.8</v>
      </c>
      <c r="AF365" s="177">
        <f t="shared" si="137"/>
        <v>0.79995438672358032</v>
      </c>
      <c r="AG365" s="809">
        <f t="shared" si="143"/>
        <v>1</v>
      </c>
      <c r="AH365" s="176">
        <f t="shared" si="138"/>
        <v>7</v>
      </c>
      <c r="AI365" s="225">
        <f t="shared" si="139"/>
        <v>1.7999543867235803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6">
        <v>7.7290000000000001</v>
      </c>
      <c r="C366" s="390"/>
      <c r="D366" s="393">
        <f t="shared" si="122"/>
        <v>7.9773437235376434</v>
      </c>
      <c r="E366" s="385">
        <f t="shared" si="144"/>
        <v>8.9089647859321612</v>
      </c>
      <c r="F366" s="385">
        <f t="shared" si="123"/>
        <v>8.9326731805989432</v>
      </c>
      <c r="G366" s="110">
        <f t="shared" si="145"/>
        <v>0.51843808932252677</v>
      </c>
      <c r="H366" s="414" t="b">
        <f>Wh_hp&gt;='2019'!Maxi_hp</f>
        <v>0</v>
      </c>
      <c r="I366" s="380">
        <f>IF(H366,Wh_hp,'2019'!Maxi_hp)</f>
        <v>13.946665292693172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3.1131129877842653E-2</v>
      </c>
      <c r="M366" s="843"/>
      <c r="N366" s="843"/>
      <c r="O366" s="48">
        <f>IF(t&lt;Tnet,'2019'!Resal+('2019'!Salim-'2019'!Resal)*(1-EXP(('2019'!Tnet-t)/('2019'!Tau_j))),Resal+(Salim-Resal)*(1-EXP((Tnet-t)/(Tau_j))))*Salcycl</f>
        <v>0.10457119146610713</v>
      </c>
      <c r="P366" s="169">
        <f>(INDEX(Models!$BJ366:$BT366,,T366)*(1-R366)+INDEX(Models!$BJ366:$BT366,,T366+1)*R366-ERP_i)*Q366*Ramure*Pc/MaxiM</f>
        <v>8.3901268257081055E-3</v>
      </c>
      <c r="Q366" s="305">
        <f t="shared" si="125"/>
        <v>0.8</v>
      </c>
      <c r="R366" s="177">
        <f t="shared" si="126"/>
        <v>0.60003063891466235</v>
      </c>
      <c r="S366" s="809">
        <f t="shared" si="127"/>
        <v>0</v>
      </c>
      <c r="T366" s="176">
        <f t="shared" si="128"/>
        <v>6</v>
      </c>
      <c r="U366" s="251">
        <f t="shared" si="129"/>
        <v>0.60003063891466235</v>
      </c>
      <c r="V366" s="383">
        <f t="shared" si="130"/>
        <v>14.822499713467414</v>
      </c>
      <c r="W366" s="402"/>
      <c r="X366" s="157">
        <f t="shared" si="131"/>
        <v>44182</v>
      </c>
      <c r="Y366" s="385">
        <f t="shared" si="132"/>
        <v>7.682881934510017</v>
      </c>
      <c r="Z366" s="385">
        <f t="shared" si="133"/>
        <v>7.9297438192449512</v>
      </c>
      <c r="AA366" s="386">
        <f t="shared" si="134"/>
        <v>8.8558060045315177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0.10457119146610713</v>
      </c>
      <c r="AD366" s="231">
        <f>(INDEX(Models!$BJ366:$BT366,,AH366)*(1-AF366)+INDEX(Models!$BJ366:$BT366,,AH366+1)*AF366-ERP_i)*AE366*Ramure*Pc/MaxiM</f>
        <v>2.7202405097605943E-2</v>
      </c>
      <c r="AE366" s="305">
        <f t="shared" si="136"/>
        <v>0.8</v>
      </c>
      <c r="AF366" s="177">
        <f t="shared" si="137"/>
        <v>0.79996421306718357</v>
      </c>
      <c r="AG366" s="809">
        <f t="shared" si="143"/>
        <v>1</v>
      </c>
      <c r="AH366" s="176">
        <f t="shared" si="138"/>
        <v>7</v>
      </c>
      <c r="AI366" s="225">
        <f t="shared" si="139"/>
        <v>1.7999642130671836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6">
        <v>7.8940000000000001</v>
      </c>
      <c r="C367" s="390"/>
      <c r="D367" s="393">
        <f t="shared" si="122"/>
        <v>8.1478371939456729</v>
      </c>
      <c r="E367" s="385">
        <f t="shared" si="144"/>
        <v>9.0999802514424886</v>
      </c>
      <c r="F367" s="385">
        <f t="shared" si="123"/>
        <v>9.1250465827903433</v>
      </c>
      <c r="G367" s="110">
        <f t="shared" si="145"/>
        <v>0.52769006167316701</v>
      </c>
      <c r="H367" s="414" t="b">
        <f>Wh_hp&gt;='2019'!Maxi_hp</f>
        <v>0</v>
      </c>
      <c r="I367" s="380">
        <f>IF(H367,Wh_hp,'2019'!Maxi_hp)</f>
        <v>16.044245688855455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3.1153935443664557E-2</v>
      </c>
      <c r="M367" s="843"/>
      <c r="N367" s="843"/>
      <c r="O367" s="48">
        <f>IF(t&lt;Tnet,'2019'!Resal+('2019'!Salim-'2019'!Resal)*(1-EXP(('2019'!Tnet-t)/('2019'!Tau_j))),Resal+(Salim-Resal)*(1-EXP((Tnet-t)/(Tau_j))))*Salcycl</f>
        <v>0.1046313322873296</v>
      </c>
      <c r="P367" s="169">
        <f>(INDEX(Models!$BJ367:$BT367,,T367)*(1-R367)+INDEX(Models!$BJ367:$BT367,,T367+1)*R367-ERP_i)*Q367*Ramure*Pc/MaxiM</f>
        <v>8.3363007109018006E-3</v>
      </c>
      <c r="Q367" s="305">
        <f t="shared" si="125"/>
        <v>0.8</v>
      </c>
      <c r="R367" s="177">
        <f t="shared" si="126"/>
        <v>0.60004006992342174</v>
      </c>
      <c r="S367" s="809">
        <f t="shared" si="127"/>
        <v>0</v>
      </c>
      <c r="T367" s="176">
        <f t="shared" si="128"/>
        <v>6</v>
      </c>
      <c r="U367" s="251">
        <f t="shared" si="129"/>
        <v>0.60004006992342174</v>
      </c>
      <c r="V367" s="383">
        <f t="shared" si="130"/>
        <v>14.875694930526038</v>
      </c>
      <c r="W367" s="402"/>
      <c r="X367" s="157">
        <f t="shared" si="131"/>
        <v>44183</v>
      </c>
      <c r="Y367" s="385">
        <f t="shared" si="132"/>
        <v>7.8452787833702651</v>
      </c>
      <c r="Z367" s="385">
        <f t="shared" si="133"/>
        <v>8.0975493118846078</v>
      </c>
      <c r="AA367" s="386">
        <f t="shared" si="134"/>
        <v>9.043815808934653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0.1046313322873296</v>
      </c>
      <c r="AD367" s="231">
        <f>(INDEX(Models!$BJ367:$BT367,,AH367)*(1-AF367)+INDEX(Models!$BJ367:$BT367,,AH367+1)*AF367-ERP_i)*AE367*Ramure*Pc/MaxiM</f>
        <v>2.701488895375365E-2</v>
      </c>
      <c r="AE367" s="305">
        <f t="shared" si="136"/>
        <v>0.8</v>
      </c>
      <c r="AF367" s="177">
        <f t="shared" si="137"/>
        <v>0.79997364407594285</v>
      </c>
      <c r="AG367" s="809">
        <f t="shared" si="143"/>
        <v>1</v>
      </c>
      <c r="AH367" s="176">
        <f t="shared" si="138"/>
        <v>7</v>
      </c>
      <c r="AI367" s="225">
        <f t="shared" si="139"/>
        <v>1.7999736440759428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6">
        <v>6.9059999999999997</v>
      </c>
      <c r="C368" s="390"/>
      <c r="D368" s="393">
        <f t="shared" si="122"/>
        <v>7.1282351369358823</v>
      </c>
      <c r="E368" s="385">
        <f t="shared" si="144"/>
        <v>7.9617710945381557</v>
      </c>
      <c r="F368" s="385">
        <f t="shared" si="123"/>
        <v>7.9771073508614316</v>
      </c>
      <c r="G368" s="110">
        <f t="shared" si="145"/>
        <v>0.45948182317656483</v>
      </c>
      <c r="H368" s="414" t="b">
        <f>Wh_hp&gt;='2019'!Maxi_hp</f>
        <v>0</v>
      </c>
      <c r="I368" s="380">
        <f>IF(H368,Wh_hp,'2019'!Maxi_hp)</f>
        <v>8.813334191633313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3.1176740478767659E-2</v>
      </c>
      <c r="M368" s="843"/>
      <c r="N368" s="843"/>
      <c r="O368" s="48">
        <f>IF(t&lt;Tnet,'2019'!Resal+('2019'!Salim-'2019'!Resal)*(1-EXP(('2019'!Tnet-t)/('2019'!Tau_j))),Resal+(Salim-Resal)*(1-EXP((Tnet-t)/(Tau_j))))*Salcycl</f>
        <v>0.10469227860294628</v>
      </c>
      <c r="P368" s="169">
        <f>(INDEX(Models!$BJ368:$BT368,,T368)*(1-R368)+INDEX(Models!$BJ368:$BT368,,T368+1)*R368-ERP_i)*Q368*Ramure*Pc/MaxiM</f>
        <v>8.2852618099323785E-3</v>
      </c>
      <c r="Q368" s="305">
        <f t="shared" si="125"/>
        <v>0.8</v>
      </c>
      <c r="R368" s="177">
        <f t="shared" si="126"/>
        <v>0.60004912149082779</v>
      </c>
      <c r="S368" s="809">
        <f t="shared" si="127"/>
        <v>0</v>
      </c>
      <c r="T368" s="176">
        <f t="shared" si="128"/>
        <v>6</v>
      </c>
      <c r="U368" s="251">
        <f t="shared" si="129"/>
        <v>0.60004912149082779</v>
      </c>
      <c r="V368" s="383">
        <f t="shared" si="130"/>
        <v>14.934158461936866</v>
      </c>
      <c r="W368" s="402"/>
      <c r="X368" s="157">
        <f t="shared" si="131"/>
        <v>44184</v>
      </c>
      <c r="Y368" s="385">
        <f t="shared" si="132"/>
        <v>6.8762077704777225</v>
      </c>
      <c r="Z368" s="385">
        <f t="shared" si="133"/>
        <v>7.097484193221959</v>
      </c>
      <c r="AA368" s="386">
        <f t="shared" si="134"/>
        <v>7.9274243074179251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0.10469227860294628</v>
      </c>
      <c r="AD368" s="231">
        <f>(INDEX(Models!$BJ368:$BT368,,AH368)*(1-AF368)+INDEX(Models!$BJ368:$BT368,,AH368+1)*AF368-ERP_i)*AE368*Ramure*Pc/MaxiM</f>
        <v>2.6840776116851185E-2</v>
      </c>
      <c r="AE368" s="305">
        <f t="shared" si="136"/>
        <v>0.8</v>
      </c>
      <c r="AF368" s="177">
        <f t="shared" si="137"/>
        <v>0.79998269564334912</v>
      </c>
      <c r="AG368" s="809">
        <f t="shared" si="143"/>
        <v>1</v>
      </c>
      <c r="AH368" s="176">
        <f t="shared" si="138"/>
        <v>7</v>
      </c>
      <c r="AI368" s="225">
        <f t="shared" si="139"/>
        <v>1.7999826956433491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6">
        <v>6.0170000000000003</v>
      </c>
      <c r="C369" s="390"/>
      <c r="D369" s="393">
        <f t="shared" si="122"/>
        <v>6.2107733009842949</v>
      </c>
      <c r="E369" s="385">
        <f t="shared" si="144"/>
        <v>6.9375044225604041</v>
      </c>
      <c r="F369" s="385">
        <f t="shared" si="123"/>
        <v>6.9457771064041616</v>
      </c>
      <c r="G369" s="110">
        <f t="shared" si="145"/>
        <v>0.39838163057672699</v>
      </c>
      <c r="H369" s="414" t="b">
        <f>Wh_hp&gt;='2019'!Maxi_hp</f>
        <v>0</v>
      </c>
      <c r="I369" s="380">
        <f>IF(H369,Wh_hp,'2019'!Maxi_hp)</f>
        <v>13.56700290615801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3.1199544983164282E-2</v>
      </c>
      <c r="M369" s="843"/>
      <c r="N369" s="843"/>
      <c r="O369" s="48">
        <f>IF(t&lt;Tnet,'2019'!Resal+('2019'!Salim-'2019'!Resal)*(1-EXP(('2019'!Tnet-t)/('2019'!Tau_j))),Resal+(Salim-Resal)*(1-EXP((Tnet-t)/(Tau_j))))*Salcycl</f>
        <v>0.10475396876329438</v>
      </c>
      <c r="P369" s="169">
        <f>(INDEX(Models!$BJ369:$BT369,,T369)*(1-R369)+INDEX(Models!$BJ369:$BT369,,T369+1)*R369-ERP_i)*Q369*Ramure*Pc/MaxiM</f>
        <v>8.2374199704546291E-3</v>
      </c>
      <c r="Q369" s="305">
        <f t="shared" si="125"/>
        <v>0.8</v>
      </c>
      <c r="R369" s="177">
        <f t="shared" si="126"/>
        <v>0.60005780887233207</v>
      </c>
      <c r="S369" s="809">
        <f t="shared" si="127"/>
        <v>0</v>
      </c>
      <c r="T369" s="176">
        <f t="shared" si="128"/>
        <v>6</v>
      </c>
      <c r="U369" s="251">
        <f t="shared" si="129"/>
        <v>0.60005780887233207</v>
      </c>
      <c r="V369" s="383">
        <f t="shared" si="130"/>
        <v>14.997055342514747</v>
      </c>
      <c r="W369" s="402"/>
      <c r="X369" s="157">
        <f t="shared" si="131"/>
        <v>44185</v>
      </c>
      <c r="Y369" s="385">
        <f t="shared" si="132"/>
        <v>6.0009348416231418</v>
      </c>
      <c r="Z369" s="385">
        <f t="shared" si="133"/>
        <v>6.1941907753530705</v>
      </c>
      <c r="AA369" s="386">
        <f t="shared" si="134"/>
        <v>6.9189815528099317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0.10475396876329438</v>
      </c>
      <c r="AD369" s="231">
        <f>(INDEX(Models!$BJ369:$BT369,,AH369)*(1-AF369)+INDEX(Models!$BJ369:$BT369,,AH369+1)*AF369-ERP_i)*AE369*Ramure*Pc/MaxiM</f>
        <v>2.6681332499253151E-2</v>
      </c>
      <c r="AE369" s="305">
        <f t="shared" si="136"/>
        <v>0.8</v>
      </c>
      <c r="AF369" s="177">
        <f t="shared" si="137"/>
        <v>0.79999138302485329</v>
      </c>
      <c r="AG369" s="809">
        <f t="shared" si="143"/>
        <v>1</v>
      </c>
      <c r="AH369" s="176">
        <f t="shared" si="138"/>
        <v>7</v>
      </c>
      <c r="AI369" s="225">
        <f t="shared" si="139"/>
        <v>1.7999913830248533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6">
        <v>6.4859999999999998</v>
      </c>
      <c r="C370" s="390"/>
      <c r="D370" s="393">
        <f t="shared" si="122"/>
        <v>6.6950347099937595</v>
      </c>
      <c r="E370" s="385">
        <f t="shared" si="144"/>
        <v>7.4789509995603538</v>
      </c>
      <c r="F370" s="385">
        <f t="shared" si="123"/>
        <v>7.4903987800715566</v>
      </c>
      <c r="G370" s="110">
        <f t="shared" si="145"/>
        <v>0.42770165967473661</v>
      </c>
      <c r="H370" s="414" t="b">
        <f>Wh_hp&gt;='2019'!Maxi_hp</f>
        <v>1</v>
      </c>
      <c r="I370" s="380">
        <f>IF(H370,Wh_hp,'2019'!Maxi_hp)</f>
        <v>7.4903987800715566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3.1222348956866749E-2</v>
      </c>
      <c r="M370" s="843"/>
      <c r="N370" s="843"/>
      <c r="O370" s="48">
        <f>IF(t&lt;Tnet,'2019'!Resal+('2019'!Salim-'2019'!Resal)*(1-EXP(('2019'!Tnet-t)/('2019'!Tau_j))),Resal+(Salim-Resal)*(1-EXP((Tnet-t)/(Tau_j))))*Salcycl</f>
        <v>0.10481634250748219</v>
      </c>
      <c r="P370" s="169">
        <f>(INDEX(Models!$BJ370:$BT370,,T370)*(1-R370)+INDEX(Models!$BJ370:$BT370,,T370+1)*R370-ERP_i)*Q370*Ramure*Pc/MaxiM</f>
        <v>8.19316680249591E-3</v>
      </c>
      <c r="Q370" s="305">
        <f t="shared" si="125"/>
        <v>0.8</v>
      </c>
      <c r="R370" s="177">
        <f t="shared" si="126"/>
        <v>0.60006614671088876</v>
      </c>
      <c r="S370" s="809">
        <f t="shared" si="127"/>
        <v>0</v>
      </c>
      <c r="T370" s="176">
        <f t="shared" si="128"/>
        <v>6</v>
      </c>
      <c r="U370" s="251">
        <f t="shared" si="129"/>
        <v>0.60006614671088876</v>
      </c>
      <c r="V370" s="383">
        <f t="shared" si="130"/>
        <v>15.063550811627911</v>
      </c>
      <c r="W370" s="402"/>
      <c r="X370" s="157">
        <f t="shared" si="131"/>
        <v>44186</v>
      </c>
      <c r="Y370" s="385">
        <f t="shared" si="132"/>
        <v>6.463771311213617</v>
      </c>
      <c r="Z370" s="385">
        <f t="shared" si="133"/>
        <v>6.6720896216523347</v>
      </c>
      <c r="AA370" s="386">
        <f t="shared" si="134"/>
        <v>7.4533192890734847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0.10481634250748219</v>
      </c>
      <c r="AD370" s="231">
        <f>(INDEX(Models!$BJ370:$BT370,,AH370)*(1-AF370)+INDEX(Models!$BJ370:$BT370,,AH370+1)*AF370-ERP_i)*AE370*Ramure*Pc/MaxiM</f>
        <v>2.6537760258554685E-2</v>
      </c>
      <c r="AE370" s="305">
        <f t="shared" si="136"/>
        <v>0.8</v>
      </c>
      <c r="AF370" s="177">
        <f t="shared" si="137"/>
        <v>0.79999972086340998</v>
      </c>
      <c r="AG370" s="809">
        <f t="shared" si="143"/>
        <v>1</v>
      </c>
      <c r="AH370" s="176">
        <f t="shared" si="138"/>
        <v>7</v>
      </c>
      <c r="AI370" s="225">
        <f t="shared" si="139"/>
        <v>1.79999972086341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6">
        <v>12.388</v>
      </c>
      <c r="C371" s="390"/>
      <c r="D371" s="393">
        <f t="shared" si="122"/>
        <v>12.787548914659551</v>
      </c>
      <c r="E371" s="385">
        <f t="shared" si="144"/>
        <v>14.285838216350005</v>
      </c>
      <c r="F371" s="385">
        <f t="shared" si="123"/>
        <v>14.372652723691925</v>
      </c>
      <c r="G371" s="110">
        <f t="shared" si="145"/>
        <v>0.81687866034491308</v>
      </c>
      <c r="H371" s="414" t="b">
        <f>Wh_hp&gt;='2019'!Maxi_hp</f>
        <v>1</v>
      </c>
      <c r="I371" s="380">
        <f>IF(H371,Wh_hp,'2019'!Maxi_hp)</f>
        <v>14.372652723691925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3.1245152399887385E-2</v>
      </c>
      <c r="M371" s="843"/>
      <c r="N371" s="843"/>
      <c r="O371" s="48">
        <f>IF(t&lt;Tnet,'2019'!Resal+('2019'!Salim-'2019'!Resal)*(1-EXP(('2019'!Tnet-t)/('2019'!Tau_j))),Resal+(Salim-Resal)*(1-EXP((Tnet-t)/(Tau_j))))*Salcycl</f>
        <v>0.10487934127489108</v>
      </c>
      <c r="P371" s="169">
        <f>(INDEX(Models!$BJ371:$BT371,,T371)*(1-R371)+INDEX(Models!$BJ371:$BT371,,T371+1)*R371-ERP_i)*Q371*Ramure*Pc/MaxiM</f>
        <v>8.1527738438149349E-3</v>
      </c>
      <c r="Q371" s="305">
        <f t="shared" si="125"/>
        <v>0.8</v>
      </c>
      <c r="R371" s="177">
        <f t="shared" si="126"/>
        <v>0.60006614671088876</v>
      </c>
      <c r="S371" s="809">
        <f t="shared" si="127"/>
        <v>0</v>
      </c>
      <c r="T371" s="176">
        <f t="shared" si="128"/>
        <v>6</v>
      </c>
      <c r="U371" s="251">
        <f t="shared" si="129"/>
        <v>0.60006614671088876</v>
      </c>
      <c r="V371" s="383">
        <f t="shared" si="130"/>
        <v>15.132811885624175</v>
      </c>
      <c r="W371" s="402"/>
      <c r="X371" s="157">
        <f t="shared" si="131"/>
        <v>44187</v>
      </c>
      <c r="Y371" s="385">
        <f t="shared" si="132"/>
        <v>12.219405577980639</v>
      </c>
      <c r="Z371" s="385">
        <f t="shared" si="133"/>
        <v>12.613516833749694</v>
      </c>
      <c r="AA371" s="386">
        <f t="shared" si="134"/>
        <v>14.091415174927047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0.10487934127489108</v>
      </c>
      <c r="AD371" s="231">
        <f>(INDEX(Models!$BJ371:$BT371,,AH371)*(1-AF371)+INDEX(Models!$BJ371:$BT371,,AH371+1)*AF371-ERP_i)*AE371*Ramure*Pc/MaxiM</f>
        <v>2.6411094201553586E-2</v>
      </c>
      <c r="AE371" s="305">
        <f t="shared" si="136"/>
        <v>0.8</v>
      </c>
      <c r="AF371" s="177">
        <f t="shared" si="137"/>
        <v>0.79999972086340998</v>
      </c>
      <c r="AG371" s="809">
        <f t="shared" si="143"/>
        <v>1</v>
      </c>
      <c r="AH371" s="176">
        <f t="shared" si="138"/>
        <v>7</v>
      </c>
      <c r="AI371" s="225">
        <f t="shared" si="139"/>
        <v>1.79999972086341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6">
        <v>7.2809999999999997</v>
      </c>
      <c r="C372" s="390"/>
      <c r="D372" s="393">
        <f t="shared" si="122"/>
        <v>7.5160102733535448</v>
      </c>
      <c r="E372" s="385">
        <f t="shared" si="144"/>
        <v>8.3972411868006276</v>
      </c>
      <c r="F372" s="385">
        <f t="shared" si="123"/>
        <v>8.4146953306128296</v>
      </c>
      <c r="G372" s="110">
        <f t="shared" si="145"/>
        <v>0.4759873818464429</v>
      </c>
      <c r="H372" s="414" t="b">
        <f>Wh_hp&gt;='2019'!Maxi_hp</f>
        <v>0</v>
      </c>
      <c r="I372" s="380">
        <f>IF(H372,Wh_hp,'2019'!Maxi_hp)</f>
        <v>13.298420047637212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3.1267955312238624E-2</v>
      </c>
      <c r="M372" s="843"/>
      <c r="N372" s="843"/>
      <c r="O372" s="48">
        <f>IF(t&lt;Tnet,'2019'!Resal+('2019'!Salim-'2019'!Resal)*(1-EXP(('2019'!Tnet-t)/('2019'!Tau_j))),Resal+(Salim-Resal)*(1-EXP((Tnet-t)/(Tau_j))))*Salcycl</f>
        <v>0.10494290849145353</v>
      </c>
      <c r="P372" s="169">
        <f>(INDEX(Models!$BJ372:$BT372,,T372)*(1-R372)+INDEX(Models!$BJ372:$BT372,,T372+1)*R372-ERP_i)*Q372*Ramure*Pc/MaxiM</f>
        <v>8.1166963052580546E-3</v>
      </c>
      <c r="Q372" s="305">
        <f t="shared" si="125"/>
        <v>0.8</v>
      </c>
      <c r="R372" s="177">
        <f t="shared" si="126"/>
        <v>0.60006614671088876</v>
      </c>
      <c r="S372" s="809">
        <f t="shared" si="127"/>
        <v>0</v>
      </c>
      <c r="T372" s="176">
        <f t="shared" si="128"/>
        <v>6</v>
      </c>
      <c r="U372" s="251">
        <f t="shared" si="129"/>
        <v>0.60006614671088876</v>
      </c>
      <c r="V372" s="383">
        <f t="shared" si="130"/>
        <v>15.204002764170042</v>
      </c>
      <c r="W372" s="402"/>
      <c r="X372" s="157">
        <f t="shared" si="131"/>
        <v>44188</v>
      </c>
      <c r="Y372" s="385">
        <f t="shared" si="132"/>
        <v>7.2470916795710094</v>
      </c>
      <c r="Z372" s="385">
        <f t="shared" si="133"/>
        <v>7.4810074873768304</v>
      </c>
      <c r="AA372" s="386">
        <f t="shared" si="134"/>
        <v>8.3581344233228698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0.10494290849145353</v>
      </c>
      <c r="AD372" s="231">
        <f>(INDEX(Models!$BJ372:$BT372,,AH372)*(1-AF372)+INDEX(Models!$BJ372:$BT372,,AH372+1)*AF372-ERP_i)*AE372*Ramure*Pc/MaxiM</f>
        <v>2.6302505133566894E-2</v>
      </c>
      <c r="AE372" s="305">
        <f t="shared" si="136"/>
        <v>0.8</v>
      </c>
      <c r="AF372" s="177">
        <f t="shared" si="137"/>
        <v>0.79999972086340998</v>
      </c>
      <c r="AG372" s="809">
        <f t="shared" si="143"/>
        <v>1</v>
      </c>
      <c r="AH372" s="176">
        <f t="shared" si="138"/>
        <v>7</v>
      </c>
      <c r="AI372" s="225">
        <f t="shared" si="139"/>
        <v>1.79999972086341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6">
        <v>7.7969999999999997</v>
      </c>
      <c r="C373" s="390"/>
      <c r="D373" s="393">
        <f t="shared" si="122"/>
        <v>8.0488547641383086</v>
      </c>
      <c r="E373" s="385">
        <f t="shared" si="144"/>
        <v>8.9932040503879147</v>
      </c>
      <c r="F373" s="385">
        <f t="shared" si="123"/>
        <v>9.0151056461154937</v>
      </c>
      <c r="G373" s="110">
        <f t="shared" si="145"/>
        <v>0.50745983510520876</v>
      </c>
      <c r="H373" s="414" t="b">
        <f>Wh_hp&gt;='2019'!Maxi_hp</f>
        <v>0</v>
      </c>
      <c r="I373" s="380">
        <f>IF(H373,Wh_hp,'2019'!Maxi_hp)</f>
        <v>13.575447760552157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3.1290757693932789E-2</v>
      </c>
      <c r="M373" s="843"/>
      <c r="N373" s="843"/>
      <c r="O373" s="48">
        <f>IF(t&lt;Tnet,'2019'!Resal+('2019'!Salim-'2019'!Resal)*(1-EXP(('2019'!Tnet-t)/('2019'!Tau_j))),Resal+(Salim-Resal)*(1-EXP((Tnet-t)/(Tau_j))))*Salcycl</f>
        <v>0.10500698982904452</v>
      </c>
      <c r="P373" s="169">
        <f>(INDEX(Models!$BJ373:$BT373,,T373)*(1-R373)+INDEX(Models!$BJ373:$BT373,,T373+1)*R373-ERP_i)*Q373*Ramure*Pc/MaxiM</f>
        <v>8.084522238694377E-3</v>
      </c>
      <c r="Q373" s="305">
        <f t="shared" si="125"/>
        <v>0.8</v>
      </c>
      <c r="R373" s="177">
        <f t="shared" si="126"/>
        <v>0.60006614671088876</v>
      </c>
      <c r="S373" s="809">
        <f t="shared" si="127"/>
        <v>0</v>
      </c>
      <c r="T373" s="176">
        <f t="shared" si="128"/>
        <v>6</v>
      </c>
      <c r="U373" s="251">
        <f t="shared" si="129"/>
        <v>0.60006614671088876</v>
      </c>
      <c r="V373" s="383">
        <f t="shared" si="130"/>
        <v>15.277662096905299</v>
      </c>
      <c r="W373" s="402"/>
      <c r="X373" s="157">
        <f t="shared" si="131"/>
        <v>44189</v>
      </c>
      <c r="Y373" s="385">
        <f t="shared" si="132"/>
        <v>7.7544266232266681</v>
      </c>
      <c r="Z373" s="385">
        <f t="shared" si="133"/>
        <v>8.0049062036063745</v>
      </c>
      <c r="AA373" s="386">
        <f t="shared" si="134"/>
        <v>8.9440991299779338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0.10500698982904452</v>
      </c>
      <c r="AD373" s="231">
        <f>(INDEX(Models!$BJ373:$BT373,,AH373)*(1-AF373)+INDEX(Models!$BJ373:$BT373,,AH373+1)*AF373-ERP_i)*AE373*Ramure*Pc/MaxiM</f>
        <v>2.6210590586488107E-2</v>
      </c>
      <c r="AE373" s="305">
        <f t="shared" si="136"/>
        <v>0.8</v>
      </c>
      <c r="AF373" s="177">
        <f t="shared" si="137"/>
        <v>0.79999972086340998</v>
      </c>
      <c r="AG373" s="809">
        <f t="shared" si="143"/>
        <v>1</v>
      </c>
      <c r="AH373" s="176">
        <f t="shared" si="138"/>
        <v>7</v>
      </c>
      <c r="AI373" s="225">
        <f t="shared" si="139"/>
        <v>1.79999972086341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6">
        <v>3.7749999999999999</v>
      </c>
      <c r="C374" s="390"/>
      <c r="D374" s="393">
        <f t="shared" si="122"/>
        <v>3.8970298771053118</v>
      </c>
      <c r="E374" s="385">
        <f t="shared" si="144"/>
        <v>4.3545713682236311</v>
      </c>
      <c r="F374" s="385">
        <f t="shared" si="123"/>
        <v>4.3545713682236311</v>
      </c>
      <c r="G374" s="110">
        <f t="shared" si="145"/>
        <v>0.24386641976872375</v>
      </c>
      <c r="H374" s="414" t="b">
        <f>Wh_hp&gt;='2019'!Maxi_hp</f>
        <v>0</v>
      </c>
      <c r="I374" s="380">
        <f>IF(H374,Wh_hp,'2019'!Maxi_hp)</f>
        <v>16.123708137993617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3.1313559544982203E-2</v>
      </c>
      <c r="M374" s="843"/>
      <c r="N374" s="843"/>
      <c r="O374" s="48">
        <f>IF(t&lt;Tnet,'2019'!Resal+('2019'!Salim-'2019'!Resal)*(1-EXP(('2019'!Tnet-t)/('2019'!Tau_j))),Resal+(Salim-Resal)*(1-EXP((Tnet-t)/(Tau_j))))*Salcycl</f>
        <v>0.10507153343658832</v>
      </c>
      <c r="P374" s="169">
        <f>(INDEX(Models!$BJ374:$BT374,,T374)*(1-R374)+INDEX(Models!$BJ374:$BT374,,T374+1)*R374-ERP_i)*Q374*Ramure*Pc/MaxiM</f>
        <v>8.0554573063995917E-3</v>
      </c>
      <c r="Q374" s="305">
        <f t="shared" si="125"/>
        <v>0.8</v>
      </c>
      <c r="R374" s="177">
        <f t="shared" si="126"/>
        <v>0.60006614671088876</v>
      </c>
      <c r="S374" s="809">
        <f t="shared" si="127"/>
        <v>0</v>
      </c>
      <c r="T374" s="176">
        <f t="shared" si="128"/>
        <v>6</v>
      </c>
      <c r="U374" s="251">
        <f t="shared" si="129"/>
        <v>0.60006614671088876</v>
      </c>
      <c r="V374" s="383">
        <f t="shared" si="130"/>
        <v>15.355089282975529</v>
      </c>
      <c r="W374" s="402"/>
      <c r="X374" s="157">
        <f t="shared" si="131"/>
        <v>44190</v>
      </c>
      <c r="Y374" s="385">
        <f t="shared" si="132"/>
        <v>3.7749999999999995</v>
      </c>
      <c r="Z374" s="385">
        <f t="shared" si="133"/>
        <v>3.8970298771053113</v>
      </c>
      <c r="AA374" s="386">
        <f t="shared" si="134"/>
        <v>4.3545713682236311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0.10507153343658832</v>
      </c>
      <c r="AD374" s="231">
        <f>(INDEX(Models!$BJ374:$BT374,,AH374)*(1-AF374)+INDEX(Models!$BJ374:$BT374,,AH374+1)*AF374-ERP_i)*AE374*Ramure*Pc/MaxiM</f>
        <v>2.6132705567662558E-2</v>
      </c>
      <c r="AE374" s="305">
        <f t="shared" si="136"/>
        <v>0.8</v>
      </c>
      <c r="AF374" s="177">
        <f t="shared" si="137"/>
        <v>0.79999972086340998</v>
      </c>
      <c r="AG374" s="809">
        <f t="shared" si="143"/>
        <v>1</v>
      </c>
      <c r="AH374" s="176">
        <f t="shared" si="138"/>
        <v>7</v>
      </c>
      <c r="AI374" s="225">
        <f t="shared" si="139"/>
        <v>1.79999972086341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6">
        <v>9.1280000000000001</v>
      </c>
      <c r="C375" s="390"/>
      <c r="D375" s="393">
        <f t="shared" si="122"/>
        <v>9.4232916682563932</v>
      </c>
      <c r="E375" s="385">
        <f t="shared" si="144"/>
        <v>10.53042342708685</v>
      </c>
      <c r="F375" s="385">
        <f t="shared" si="123"/>
        <v>10.565738082713308</v>
      </c>
      <c r="G375" s="110">
        <f t="shared" si="145"/>
        <v>0.58854149733468442</v>
      </c>
      <c r="H375" s="414" t="b">
        <f>Wh_hp&gt;='2019'!Maxi_hp</f>
        <v>0</v>
      </c>
      <c r="I375" s="380">
        <f>IF(H375,Wh_hp,'2019'!Maxi_hp)</f>
        <v>16.697654329104385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3.1336360865399301E-2</v>
      </c>
      <c r="M375" s="843"/>
      <c r="N375" s="843"/>
      <c r="O375" s="48">
        <f>IF(t&lt;Tnet,'2019'!Resal+('2019'!Salim-'2019'!Resal)*(1-EXP(('2019'!Tnet-t)/('2019'!Tau_j))),Resal+(Salim-Resal)*(1-EXP((Tnet-t)/(Tau_j))))*Salcycl</f>
        <v>0.10513649014175828</v>
      </c>
      <c r="P375" s="169">
        <f>(INDEX(Models!$BJ375:$BT375,,T375)*(1-R375)+INDEX(Models!$BJ375:$BT375,,T375+1)*R375-ERP_i)*Q375*Ramure*Pc/MaxiM</f>
        <v>8.0311518302183336E-3</v>
      </c>
      <c r="Q375" s="305">
        <f t="shared" si="125"/>
        <v>0.8</v>
      </c>
      <c r="R375" s="177">
        <f t="shared" si="126"/>
        <v>0.60006614671088876</v>
      </c>
      <c r="S375" s="809">
        <f t="shared" si="127"/>
        <v>0</v>
      </c>
      <c r="T375" s="176">
        <f t="shared" si="128"/>
        <v>6</v>
      </c>
      <c r="U375" s="251">
        <f t="shared" si="129"/>
        <v>0.60006614671088876</v>
      </c>
      <c r="V375" s="383">
        <f t="shared" si="130"/>
        <v>15.436561997615984</v>
      </c>
      <c r="W375" s="402"/>
      <c r="X375" s="157">
        <f t="shared" si="131"/>
        <v>44191</v>
      </c>
      <c r="Y375" s="385">
        <f t="shared" si="132"/>
        <v>9.0592201025909365</v>
      </c>
      <c r="Z375" s="385">
        <f t="shared" si="133"/>
        <v>9.3522867346237941</v>
      </c>
      <c r="AA375" s="386">
        <f t="shared" si="134"/>
        <v>10.451076205024073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0.10513649014175828</v>
      </c>
      <c r="AD375" s="231">
        <f>(INDEX(Models!$BJ375:$BT375,,AH375)*(1-AF375)+INDEX(Models!$BJ375:$BT375,,AH375+1)*AF375-ERP_i)*AE375*Ramure*Pc/MaxiM</f>
        <v>2.6076056314995075E-2</v>
      </c>
      <c r="AE375" s="305">
        <f t="shared" si="136"/>
        <v>0.8</v>
      </c>
      <c r="AF375" s="177">
        <f t="shared" si="137"/>
        <v>0.79999972086340998</v>
      </c>
      <c r="AG375" s="809">
        <f t="shared" si="143"/>
        <v>1</v>
      </c>
      <c r="AH375" s="176">
        <f t="shared" si="138"/>
        <v>7</v>
      </c>
      <c r="AI375" s="225">
        <f t="shared" si="139"/>
        <v>1.79999972086341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6">
        <v>5.8419999999999996</v>
      </c>
      <c r="C376" s="390"/>
      <c r="D376" s="393">
        <f t="shared" si="122"/>
        <v>6.0311312188557995</v>
      </c>
      <c r="E376" s="385">
        <f t="shared" si="144"/>
        <v>6.7402139506694034</v>
      </c>
      <c r="F376" s="385">
        <f t="shared" si="123"/>
        <v>6.7461079528680346</v>
      </c>
      <c r="G376" s="110">
        <f t="shared" si="145"/>
        <v>0.3736709653547215</v>
      </c>
      <c r="H376" s="414" t="b">
        <f>Wh_hp&gt;='2019'!Maxi_hp</f>
        <v>1</v>
      </c>
      <c r="I376" s="380">
        <f>IF(H376,Wh_hp,'2019'!Maxi_hp)</f>
        <v>6.7461079528680346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3.1359161655196297E-2</v>
      </c>
      <c r="M376" s="843"/>
      <c r="N376" s="843"/>
      <c r="O376" s="48">
        <f>IF(t&lt;Tnet,'2019'!Resal+('2019'!Salim-'2019'!Resal)*(1-EXP(('2019'!Tnet-t)/('2019'!Tau_j))),Resal+(Salim-Resal)*(1-EXP((Tnet-t)/(Tau_j))))*Salcycl</f>
        <v>0.10520181362242684</v>
      </c>
      <c r="P376" s="169">
        <f>(INDEX(Models!$BJ376:$BT376,,T376)*(1-R376)+INDEX(Models!$BJ376:$BT376,,T376+1)*R376-ERP_i)*Q376*Ramure*Pc/MaxiM</f>
        <v>8.0093182083743678E-3</v>
      </c>
      <c r="Q376" s="305">
        <f t="shared" si="125"/>
        <v>0.8</v>
      </c>
      <c r="R376" s="177">
        <f t="shared" si="126"/>
        <v>0.60006614671088876</v>
      </c>
      <c r="S376" s="809">
        <f t="shared" si="127"/>
        <v>0</v>
      </c>
      <c r="T376" s="176">
        <f t="shared" si="128"/>
        <v>6</v>
      </c>
      <c r="U376" s="251">
        <f t="shared" si="129"/>
        <v>0.60006614671088876</v>
      </c>
      <c r="V376" s="383">
        <f t="shared" si="130"/>
        <v>15.522418760934675</v>
      </c>
      <c r="W376" s="402"/>
      <c r="X376" s="157">
        <f t="shared" si="131"/>
        <v>44192</v>
      </c>
      <c r="Y376" s="385">
        <f t="shared" si="132"/>
        <v>5.8305052329317881</v>
      </c>
      <c r="Z376" s="385">
        <f t="shared" si="133"/>
        <v>6.0192643156516628</v>
      </c>
      <c r="AA376" s="386">
        <f t="shared" si="134"/>
        <v>6.726951850472064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0.10520181362242684</v>
      </c>
      <c r="AD376" s="231">
        <f>(INDEX(Models!$BJ376:$BT376,,AH376)*(1-AF376)+INDEX(Models!$BJ376:$BT376,,AH376+1)*AF376-ERP_i)*AE376*Ramure*Pc/MaxiM</f>
        <v>2.6031093058833766E-2</v>
      </c>
      <c r="AE376" s="305">
        <f t="shared" si="136"/>
        <v>0.8</v>
      </c>
      <c r="AF376" s="177">
        <f t="shared" si="137"/>
        <v>0.79999972086340998</v>
      </c>
      <c r="AG376" s="809">
        <f t="shared" si="143"/>
        <v>1</v>
      </c>
      <c r="AH376" s="176">
        <f t="shared" si="138"/>
        <v>7</v>
      </c>
      <c r="AI376" s="225">
        <f t="shared" si="139"/>
        <v>1.79999972086341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6">
        <v>5.9770000000000003</v>
      </c>
      <c r="C377" s="390"/>
      <c r="D377" s="393">
        <f t="shared" si="122"/>
        <v>6.1706470094372783</v>
      </c>
      <c r="E377" s="385">
        <f t="shared" si="144"/>
        <v>6.8966386460157754</v>
      </c>
      <c r="F377" s="385">
        <f t="shared" si="123"/>
        <v>6.9031644129275884</v>
      </c>
      <c r="G377" s="110">
        <f t="shared" si="145"/>
        <v>0.38012352641107516</v>
      </c>
      <c r="H377" s="414" t="b">
        <f>Wh_hp&gt;='2019'!Maxi_hp</f>
        <v>0</v>
      </c>
      <c r="I377" s="380">
        <f>IF(H377,Wh_hp,'2019'!Maxi_hp)</f>
        <v>18.884024419131489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3.1381961914385623E-2</v>
      </c>
      <c r="M377" s="843"/>
      <c r="N377" s="843"/>
      <c r="O377" s="48">
        <f>IF(t&lt;Tnet,'2019'!Resal+('2019'!Salim-'2019'!Resal)*(1-EXP(('2019'!Tnet-t)/('2019'!Tau_j))),Resal+(Salim-Resal)*(1-EXP((Tnet-t)/(Tau_j))))*Salcycl</f>
        <v>0.10526746054730682</v>
      </c>
      <c r="P377" s="169">
        <f>(INDEX(Models!$BJ377:$BT377,,T377)*(1-R377)+INDEX(Models!$BJ377:$BT377,,T377+1)*R377-ERP_i)*Q377*Ramure*Pc/MaxiM</f>
        <v>7.9897155055581159E-3</v>
      </c>
      <c r="Q377" s="305">
        <f t="shared" si="125"/>
        <v>0.8</v>
      </c>
      <c r="R377" s="177">
        <f t="shared" si="126"/>
        <v>0.60006614671088876</v>
      </c>
      <c r="S377" s="809">
        <f t="shared" si="127"/>
        <v>0</v>
      </c>
      <c r="T377" s="176">
        <f t="shared" si="128"/>
        <v>6</v>
      </c>
      <c r="U377" s="251">
        <f t="shared" si="129"/>
        <v>0.60006614671088876</v>
      </c>
      <c r="V377" s="383">
        <f t="shared" si="130"/>
        <v>15.612966454513801</v>
      </c>
      <c r="W377" s="402"/>
      <c r="X377" s="157">
        <f t="shared" si="131"/>
        <v>44193</v>
      </c>
      <c r="Y377" s="385">
        <f t="shared" si="132"/>
        <v>5.9642534379136105</v>
      </c>
      <c r="Z377" s="385">
        <f t="shared" si="133"/>
        <v>6.1574874753534585</v>
      </c>
      <c r="AA377" s="386">
        <f t="shared" si="134"/>
        <v>6.8819308607240171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0.10526746054730682</v>
      </c>
      <c r="AD377" s="231">
        <f>(INDEX(Models!$BJ377:$BT377,,AH377)*(1-AF377)+INDEX(Models!$BJ377:$BT377,,AH377+1)*AF377-ERP_i)*AE377*Ramure*Pc/MaxiM</f>
        <v>2.5996950790846709E-2</v>
      </c>
      <c r="AE377" s="305">
        <f t="shared" si="136"/>
        <v>0.8</v>
      </c>
      <c r="AF377" s="177">
        <f t="shared" si="137"/>
        <v>0.79999972086340998</v>
      </c>
      <c r="AG377" s="809">
        <f t="shared" si="143"/>
        <v>1</v>
      </c>
      <c r="AH377" s="176">
        <f t="shared" si="138"/>
        <v>7</v>
      </c>
      <c r="AI377" s="225">
        <f t="shared" si="139"/>
        <v>1.79999972086341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6">
        <v>7.2850000000000001</v>
      </c>
      <c r="C378" s="390"/>
      <c r="D378" s="393">
        <f t="shared" si="122"/>
        <v>7.5212015416854419</v>
      </c>
      <c r="E378" s="385">
        <f t="shared" si="144"/>
        <v>8.4067086704491523</v>
      </c>
      <c r="F378" s="385">
        <f t="shared" si="123"/>
        <v>8.4224167563456334</v>
      </c>
      <c r="G378" s="110">
        <f t="shared" si="145"/>
        <v>0.46092379347881951</v>
      </c>
      <c r="H378" s="414" t="b">
        <f>Wh_hp&gt;='2019'!Maxi_hp</f>
        <v>0</v>
      </c>
      <c r="I378" s="380">
        <f>IF(H378,Wh_hp,'2019'!Maxi_hp)</f>
        <v>17.411891706814348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3.1404761642979603E-2</v>
      </c>
      <c r="M378" s="843"/>
      <c r="N378" s="843"/>
      <c r="O378" s="48">
        <f>IF(t&lt;Tnet,'2019'!Resal+('2019'!Salim-'2019'!Resal)*(1-EXP(('2019'!Tnet-t)/('2019'!Tau_j))),Resal+(Salim-Resal)*(1-EXP((Tnet-t)/(Tau_j))))*Salcycl</f>
        <v>0.10533339068551296</v>
      </c>
      <c r="P378" s="169">
        <f>(INDEX(Models!$BJ378:$BT378,,T378)*(1-R378)+INDEX(Models!$BJ378:$BT378,,T378+1)*R378-ERP_i)*Q378*Ramure*Pc/MaxiM</f>
        <v>7.972109816786142E-3</v>
      </c>
      <c r="Q378" s="305">
        <f t="shared" si="125"/>
        <v>0.8</v>
      </c>
      <c r="R378" s="177">
        <f t="shared" si="126"/>
        <v>0.60006614671088876</v>
      </c>
      <c r="S378" s="809">
        <f t="shared" si="127"/>
        <v>0</v>
      </c>
      <c r="T378" s="176">
        <f t="shared" si="128"/>
        <v>6</v>
      </c>
      <c r="U378" s="251">
        <f t="shared" si="129"/>
        <v>0.60006614671088876</v>
      </c>
      <c r="V378" s="383">
        <f t="shared" si="130"/>
        <v>15.708511727914376</v>
      </c>
      <c r="W378" s="402"/>
      <c r="X378" s="157">
        <f t="shared" si="131"/>
        <v>44194</v>
      </c>
      <c r="Y378" s="385">
        <f t="shared" si="132"/>
        <v>7.2542643600042886</v>
      </c>
      <c r="Z378" s="385">
        <f t="shared" si="133"/>
        <v>7.4894693600903235</v>
      </c>
      <c r="AA378" s="386">
        <f t="shared" si="134"/>
        <v>8.371240506929075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0.10533339068551296</v>
      </c>
      <c r="AD378" s="231">
        <f>(INDEX(Models!$BJ378:$BT378,,AH378)*(1-AF378)+INDEX(Models!$BJ378:$BT378,,AH378+1)*AF378-ERP_i)*AE378*Ramure*Pc/MaxiM</f>
        <v>2.5972781346416153E-2</v>
      </c>
      <c r="AE378" s="305">
        <f t="shared" si="136"/>
        <v>0.8</v>
      </c>
      <c r="AF378" s="177">
        <f t="shared" si="137"/>
        <v>0.79999972086340998</v>
      </c>
      <c r="AG378" s="809">
        <f t="shared" si="143"/>
        <v>1</v>
      </c>
      <c r="AH378" s="176">
        <f t="shared" si="138"/>
        <v>7</v>
      </c>
      <c r="AI378" s="225">
        <f t="shared" si="139"/>
        <v>1.79999972086341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6">
        <v>8.7539999999999996</v>
      </c>
      <c r="C379" s="390"/>
      <c r="D379" s="393">
        <f t="shared" si="122"/>
        <v>9.0380436672355753</v>
      </c>
      <c r="E379" s="385">
        <f t="shared" si="144"/>
        <v>10.102883179673757</v>
      </c>
      <c r="F379" s="385">
        <f t="shared" si="123"/>
        <v>10.132102518113221</v>
      </c>
      <c r="G379" s="110">
        <f t="shared" si="145"/>
        <v>0.55090572379502234</v>
      </c>
      <c r="H379" s="414" t="b">
        <f>Wh_hp&gt;='2019'!Maxi_hp</f>
        <v>0</v>
      </c>
      <c r="I379" s="380">
        <f>IF(H379,Wh_hp,'2019'!Maxi_hp)</f>
        <v>10.763165137810226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3.1427560840990562E-2</v>
      </c>
      <c r="M379" s="843"/>
      <c r="N379" s="843"/>
      <c r="O379" s="48">
        <f>IF(t&lt;Tnet,'2019'!Resal+('2019'!Salim-'2019'!Resal)*(1-EXP(('2019'!Tnet-t)/('2019'!Tau_j))),Resal+(Salim-Resal)*(1-EXP((Tnet-t)/(Tau_j))))*Salcycl</f>
        <v>0.10539956698505228</v>
      </c>
      <c r="P379" s="169">
        <f>(INDEX(Models!$BJ379:$BT379,,T379)*(1-R379)+INDEX(Models!$BJ379:$BT379,,T379+1)*R379-ERP_i)*Q379*Ramure*Pc/MaxiM</f>
        <v>7.9562742014520453E-3</v>
      </c>
      <c r="Q379" s="306">
        <f t="shared" si="125"/>
        <v>0.8</v>
      </c>
      <c r="R379" s="177">
        <f t="shared" si="126"/>
        <v>0.60006614671088876</v>
      </c>
      <c r="S379" s="809">
        <f t="shared" si="127"/>
        <v>0</v>
      </c>
      <c r="T379" s="176">
        <f t="shared" si="128"/>
        <v>6</v>
      </c>
      <c r="U379" s="307">
        <f t="shared" si="129"/>
        <v>0.60006614671088876</v>
      </c>
      <c r="V379" s="383">
        <f t="shared" si="130"/>
        <v>15.809361002087885</v>
      </c>
      <c r="W379" s="402"/>
      <c r="X379" s="157">
        <f t="shared" si="131"/>
        <v>44195</v>
      </c>
      <c r="Y379" s="385">
        <f t="shared" si="132"/>
        <v>8.6967164368082344</v>
      </c>
      <c r="Z379" s="385">
        <f t="shared" si="133"/>
        <v>8.9789014070639936</v>
      </c>
      <c r="AA379" s="386">
        <f t="shared" si="134"/>
        <v>10.036772927555655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0.10539956698505228</v>
      </c>
      <c r="AD379" s="231">
        <f>(INDEX(Models!$BJ379:$BT379,,AH379)*(1-AF379)+INDEX(Models!$BJ379:$BT379,,AH379+1)*AF379-ERP_i)*AE379*Ramure*Pc/MaxiM</f>
        <v>2.5957752724605071E-2</v>
      </c>
      <c r="AE379" s="306">
        <f t="shared" si="136"/>
        <v>0.8</v>
      </c>
      <c r="AF379" s="177">
        <f t="shared" si="137"/>
        <v>0.79999972086340998</v>
      </c>
      <c r="AG379" s="809">
        <f t="shared" si="143"/>
        <v>1</v>
      </c>
      <c r="AH379" s="176">
        <f t="shared" si="138"/>
        <v>7</v>
      </c>
      <c r="AI379" s="222">
        <f t="shared" si="139"/>
        <v>1.79999972086341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7">
        <v>9.7859999999999996</v>
      </c>
      <c r="C380" s="390"/>
      <c r="D380" s="393">
        <f t="shared" si="122"/>
        <v>10.103767107933983</v>
      </c>
      <c r="E380" s="385">
        <f t="shared" si="144"/>
        <v>11.295005675209298</v>
      </c>
      <c r="F380" s="385">
        <f t="shared" si="123"/>
        <v>11.335499542840072</v>
      </c>
      <c r="G380" s="110">
        <f t="shared" si="145"/>
        <v>0.61216353826659198</v>
      </c>
      <c r="H380" s="414" t="b">
        <f>Wh_hp&gt;='2019'!Maxi_hp</f>
        <v>1</v>
      </c>
      <c r="I380" s="381">
        <f>IF(H380,Wh_hp,'2019'!Maxi_hp)</f>
        <v>11.335499542840072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3.1450359508430933E-2</v>
      </c>
      <c r="M380" s="843"/>
      <c r="N380" s="843"/>
      <c r="O380" s="324">
        <f>IF(t&lt;Tnet,'2019'!Resal+('2019'!Salim-'2019'!Resal)*(1-EXP(('2019'!Tnet-t)/('2019'!Tau_j))),Resal+(Salim-Resal)*(1-EXP((Tnet-t)/(Tau_j))))*Salcycl</f>
        <v>0.10546595562053501</v>
      </c>
      <c r="P380" s="231">
        <f>(INDEX(Models!$BJ380:$BT380,,T380)*(1-R380)+INDEX(Models!$BJ380:$BT380,,T380+1)*R380-ERP_i)*Q380*Ramure*Pc/MaxiM</f>
        <v>7.9419886718202909E-3</v>
      </c>
      <c r="Q380" s="328">
        <f t="shared" si="125"/>
        <v>0.8</v>
      </c>
      <c r="R380" s="314">
        <f>(Hp_vg-S380)/(INDEX(Echel_vg,T380+1)-S380)</f>
        <v>0.60006614671088876</v>
      </c>
      <c r="S380" s="810">
        <f>INDEX(Echel_vg,T380)</f>
        <v>0</v>
      </c>
      <c r="T380" s="233">
        <f t="shared" si="128"/>
        <v>6</v>
      </c>
      <c r="U380" s="301">
        <f t="shared" si="129"/>
        <v>0.60006614671088876</v>
      </c>
      <c r="V380" s="383">
        <f t="shared" si="130"/>
        <v>15.9158204729421</v>
      </c>
      <c r="W380" s="402"/>
      <c r="X380" s="326">
        <f t="shared" si="131"/>
        <v>44196</v>
      </c>
      <c r="Y380" s="398">
        <f t="shared" si="132"/>
        <v>9.7064445752049444</v>
      </c>
      <c r="Z380" s="398">
        <f t="shared" si="133"/>
        <v>10.021628390960551</v>
      </c>
      <c r="AA380" s="399">
        <f t="shared" si="134"/>
        <v>11.203182767529567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0.10546595562053501</v>
      </c>
      <c r="AD380" s="811">
        <f>(INDEX(Models!$BJ380:$BT380,,AH380)*(1-AF380)+INDEX(Models!$BJ380:$BT380,,AH380+1)*AF380-ERP_i)*AE380*Ramure*Pc/MaxiM</f>
        <v>2.5951048691856667E-2</v>
      </c>
      <c r="AE380" s="328">
        <f t="shared" si="136"/>
        <v>0.8</v>
      </c>
      <c r="AF380" s="314">
        <f>(Hp_vg_s-AG380)/(INDEX(Echel_vg,AH380+1)-AG380)</f>
        <v>0.79999972086340998</v>
      </c>
      <c r="AG380" s="810">
        <f>INDEX(Echel_vg,AH380)</f>
        <v>1</v>
      </c>
      <c r="AH380" s="233">
        <f t="shared" si="138"/>
        <v>7</v>
      </c>
      <c r="AI380" s="227">
        <f t="shared" si="139"/>
        <v>1.79999972086341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1.2190000000000001</v>
      </c>
      <c r="C381" s="375"/>
      <c r="D381" s="373">
        <f>MIN(D15:D380)</f>
        <v>1.2343867818854373</v>
      </c>
      <c r="E381" s="373">
        <f>MIN(E15:E380)</f>
        <v>1.33567399261228</v>
      </c>
      <c r="F381" s="374">
        <f>MIN(F15:F380)</f>
        <v>1.33567399261228</v>
      </c>
      <c r="G381" s="125">
        <f>+MIN(G15:G380)</f>
        <v>5.8169900731294702E-2</v>
      </c>
      <c r="H381" s="94"/>
      <c r="I381" s="374">
        <f>MIN(I15:I380)</f>
        <v>5.9195824362505753</v>
      </c>
      <c r="J381" s="57">
        <f>MIN(J15:J380)</f>
        <v>2018</v>
      </c>
      <c r="K381" s="200" t="s">
        <v>7</v>
      </c>
      <c r="L381" s="146">
        <f t="shared" ref="L381:T381" si="146">MIN(L15:L380)</f>
        <v>1.1982389515149627E-2</v>
      </c>
      <c r="M381" s="845"/>
      <c r="N381" s="845"/>
      <c r="O381" s="47">
        <f t="shared" si="146"/>
        <v>7.3678669690477289E-2</v>
      </c>
      <c r="P381" s="168">
        <f t="shared" si="146"/>
        <v>8.9568284778069109E-7</v>
      </c>
      <c r="Q381" s="310">
        <f t="shared" si="146"/>
        <v>0.8</v>
      </c>
      <c r="R381" s="311">
        <f t="shared" si="146"/>
        <v>6.7674354294075295E-5</v>
      </c>
      <c r="S381" s="809">
        <f t="shared" si="146"/>
        <v>0</v>
      </c>
      <c r="T381" s="176">
        <f t="shared" si="146"/>
        <v>6</v>
      </c>
      <c r="U381" s="252">
        <f>+MIN(U15:U380)</f>
        <v>6.7674354294075295E-5</v>
      </c>
      <c r="V381" s="373">
        <f>MIN(V15:V380)</f>
        <v>14.660611661529058</v>
      </c>
      <c r="W381" s="802" t="s">
        <v>40</v>
      </c>
      <c r="X381" s="112" t="s">
        <v>7</v>
      </c>
      <c r="Y381" s="375">
        <f>MIN(Y15:Y380)</f>
        <v>1.2190000000000001</v>
      </c>
      <c r="Z381" s="375">
        <f>MIN(Z15:Z380)</f>
        <v>1.2343867818854373</v>
      </c>
      <c r="AA381" s="375">
        <f>MIN(AA15:AA380)</f>
        <v>1.33567399261228</v>
      </c>
      <c r="AB381" s="200" t="s">
        <v>7</v>
      </c>
      <c r="AC381" s="48">
        <f t="shared" ref="AC381:AH381" si="147">MIN(AC15:AC380)</f>
        <v>7.3678669690477289E-2</v>
      </c>
      <c r="AD381" s="169">
        <f t="shared" si="147"/>
        <v>3.3590987574459419E-3</v>
      </c>
      <c r="AE381" s="310">
        <f t="shared" si="147"/>
        <v>0.8</v>
      </c>
      <c r="AF381" s="311">
        <f t="shared" si="147"/>
        <v>0.20000124850681522</v>
      </c>
      <c r="AG381" s="809">
        <f t="shared" si="147"/>
        <v>1</v>
      </c>
      <c r="AH381" s="176">
        <f t="shared" si="147"/>
        <v>7</v>
      </c>
      <c r="AI381" s="225">
        <f>MIN(AI15:AI380)</f>
        <v>1.2000012485068152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26.591278688524618</v>
      </c>
      <c r="C382" s="375"/>
      <c r="D382" s="375">
        <f>AVERAGE(D15:D380)</f>
        <v>27.120367863118837</v>
      </c>
      <c r="E382" s="375">
        <f>AVERAGE(E15:E380)</f>
        <v>29.885222930813271</v>
      </c>
      <c r="F382" s="376">
        <f>AVERAGE(F15:F380)</f>
        <v>29.937036068868359</v>
      </c>
      <c r="G382" s="126">
        <f>AVERAGE(G15:G380)</f>
        <v>0.70065908563833823</v>
      </c>
      <c r="H382" s="94"/>
      <c r="I382" s="376">
        <f>AVERAGE(I15:I380)</f>
        <v>36.292008524031012</v>
      </c>
      <c r="J382" s="59">
        <f>AVERAGE(J15:J380)</f>
        <v>2019.3169398907103</v>
      </c>
      <c r="K382" s="200" t="s">
        <v>8</v>
      </c>
      <c r="L382" s="147">
        <f t="shared" ref="L382:V382" si="148">AVERAGE(L15:L380)</f>
        <v>2.081152687583325E-2</v>
      </c>
      <c r="M382" s="843"/>
      <c r="N382" s="843"/>
      <c r="O382" s="48">
        <f t="shared" si="148"/>
        <v>9.2635606505147822E-2</v>
      </c>
      <c r="P382" s="169">
        <f t="shared" si="148"/>
        <v>3.3051667324125334E-3</v>
      </c>
      <c r="Q382" s="312">
        <f t="shared" si="148"/>
        <v>0.80000000000000548</v>
      </c>
      <c r="R382" s="177">
        <f t="shared" si="148"/>
        <v>0.33664967970397047</v>
      </c>
      <c r="S382" s="809">
        <f t="shared" si="148"/>
        <v>0</v>
      </c>
      <c r="T382" s="176">
        <f t="shared" si="148"/>
        <v>6</v>
      </c>
      <c r="U382" s="251">
        <f t="shared" si="148"/>
        <v>0.33664967970397047</v>
      </c>
      <c r="V382" s="375">
        <f t="shared" si="148"/>
        <v>36.728417534667948</v>
      </c>
      <c r="X382" s="112" t="s">
        <v>8</v>
      </c>
      <c r="Y382" s="375">
        <f>AVERAGE(Y15:Y380)</f>
        <v>26.393193849376722</v>
      </c>
      <c r="Z382" s="375">
        <f>AVERAGE(Z15:Z380)</f>
        <v>26.917774421673002</v>
      </c>
      <c r="AA382" s="375">
        <f>AVERAGE(AA15:AA380)</f>
        <v>29.661465992885521</v>
      </c>
      <c r="AB382" s="200" t="s">
        <v>8</v>
      </c>
      <c r="AC382" s="48">
        <f t="shared" ref="AC382:AH382" si="149">AVERAGE(AC15:AC380)</f>
        <v>9.2635606505147822E-2</v>
      </c>
      <c r="AD382" s="169">
        <f t="shared" si="149"/>
        <v>1.620717882639322E-2</v>
      </c>
      <c r="AE382" s="312">
        <f t="shared" si="149"/>
        <v>0.80000000000000548</v>
      </c>
      <c r="AF382" s="177">
        <f t="shared" si="149"/>
        <v>0.53658325385649175</v>
      </c>
      <c r="AG382" s="809">
        <f t="shared" si="149"/>
        <v>1</v>
      </c>
      <c r="AH382" s="176">
        <f t="shared" si="149"/>
        <v>7</v>
      </c>
      <c r="AI382" s="225">
        <f>AVERAGE(AI15:AI380)</f>
        <v>1.5365832538564921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56.738999999999997</v>
      </c>
      <c r="C383" s="377"/>
      <c r="D383" s="377">
        <f>MAX(D15:D380)</f>
        <v>57.610496916477551</v>
      </c>
      <c r="E383" s="377">
        <f>MAX(E15:E380)</f>
        <v>63.238994876163737</v>
      </c>
      <c r="F383" s="378">
        <f>MAX(F15:F380)</f>
        <v>63.269617508467668</v>
      </c>
      <c r="G383" s="127">
        <f>+MAX(G15:G380)</f>
        <v>1.0445752735025475</v>
      </c>
      <c r="H383" s="94"/>
      <c r="I383" s="378">
        <f>MAX(I15:I380)</f>
        <v>64.737412852018437</v>
      </c>
      <c r="J383" s="60">
        <f>MAX(J15:J380)</f>
        <v>2020</v>
      </c>
      <c r="K383" s="200" t="s">
        <v>9</v>
      </c>
      <c r="L383" s="148">
        <f t="shared" ref="L383:T383" si="150">MAX(L15:L380)</f>
        <v>3.1450359508430933E-2</v>
      </c>
      <c r="M383" s="846"/>
      <c r="N383" s="846"/>
      <c r="O383" s="49">
        <f t="shared" si="150"/>
        <v>0.10546595562053501</v>
      </c>
      <c r="P383" s="170">
        <f t="shared" si="150"/>
        <v>1.0720802878391361E-2</v>
      </c>
      <c r="Q383" s="313">
        <f t="shared" si="150"/>
        <v>0.8</v>
      </c>
      <c r="R383" s="314">
        <f t="shared" si="150"/>
        <v>0.60006614671088876</v>
      </c>
      <c r="S383" s="810">
        <f t="shared" si="150"/>
        <v>0</v>
      </c>
      <c r="T383" s="233">
        <f t="shared" si="150"/>
        <v>6</v>
      </c>
      <c r="U383" s="253">
        <f>+MAX(U15:U380)</f>
        <v>0.60006614671088876</v>
      </c>
      <c r="V383" s="377">
        <f>MAX(V15:V380)</f>
        <v>55.762379026867251</v>
      </c>
      <c r="X383" s="112" t="s">
        <v>9</v>
      </c>
      <c r="Y383" s="377">
        <f>MAX(Y15:Y380)</f>
        <v>56.522384273997304</v>
      </c>
      <c r="Z383" s="377">
        <f>MAX(Z15:Z380)</f>
        <v>57.390554026843638</v>
      </c>
      <c r="AA383" s="377">
        <f>MAX(AA15:AA380)</f>
        <v>62.997563747896045</v>
      </c>
      <c r="AB383" s="200" t="s">
        <v>9</v>
      </c>
      <c r="AC383" s="49">
        <f t="shared" ref="AC383:AH383" si="151">MAX(AC15:AC380)</f>
        <v>0.10546595562053501</v>
      </c>
      <c r="AD383" s="170">
        <f t="shared" si="151"/>
        <v>3.8380370230680992E-2</v>
      </c>
      <c r="AE383" s="313">
        <f t="shared" si="151"/>
        <v>0.8</v>
      </c>
      <c r="AF383" s="314">
        <f t="shared" si="151"/>
        <v>0.79999972086340998</v>
      </c>
      <c r="AG383" s="810">
        <f t="shared" si="151"/>
        <v>1</v>
      </c>
      <c r="AH383" s="233">
        <f t="shared" si="151"/>
        <v>7</v>
      </c>
      <c r="AI383" s="227">
        <f>MAX(AI15:AI380)</f>
        <v>1.79999972086341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8" priority="4" stopIfTrue="1" operator="lessThan">
      <formula>0.01</formula>
    </cfRule>
    <cfRule type="cellIs" dxfId="17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4" sqref="B14: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'2020'!An+1</f>
        <v>2021</v>
      </c>
      <c r="K1" s="1275"/>
      <c r="L1" s="113" t="str">
        <f>"Calcul pertes et enveloppes en "&amp;TEXT(An,0)</f>
        <v>Calcul pertes et enveloppes en 2021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-2.9306421550020332</v>
      </c>
      <c r="AK3" s="832">
        <f>AM11-AK11</f>
        <v>0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646.6184236347865</v>
      </c>
      <c r="AK4" s="832">
        <f>AM12-AK12</f>
        <v>83.540651782642328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644.28772157133847</v>
      </c>
      <c r="AA5" s="237">
        <f>Wh_Pvg_s-Wh_Pvg</f>
        <v>83.540651782642328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2390.8939999999993</v>
      </c>
      <c r="AK5" s="515">
        <f>SUMIF(AK15:AK380,"VRAI",Wh)</f>
        <v>0</v>
      </c>
      <c r="AL5" s="515">
        <f>SUMIF(AJ15:AJ380,"VRAI",Wh_s)</f>
        <v>2367.3139519621113</v>
      </c>
      <c r="AM5" s="515">
        <f>SUMIF(AK15:AK380,"VRAI",Wh_s)</f>
        <v>0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7311.2759999999989</v>
      </c>
      <c r="AK6" s="515">
        <f>SUMIF(AK15:AK380,"FAUX",Wh)</f>
        <v>9702.1699999999983</v>
      </c>
      <c r="AL6" s="515">
        <f>SUMIF(AJ15:AJ380,"FAUX",Wh_s)</f>
        <v>6592.0099619674893</v>
      </c>
      <c r="AM6" s="515">
        <f>SUMIF(AK15:AK380,"FAUX",Wh_s)</f>
        <v>8959.3239139295947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2472.6733010515336</v>
      </c>
      <c r="AK7" s="515">
        <f>SUMIF(AK15:AK380,"VRAI",Wh_sa)</f>
        <v>0</v>
      </c>
      <c r="AL7" s="515">
        <f>SUMIF(AJ15:AJ380,"VRAI",Wh_pvt_s)</f>
        <v>2448.2854908801978</v>
      </c>
      <c r="AM7" s="515">
        <f>SUMIF(AK15:AK380,"VRAI",Wh_sa_s)</f>
        <v>0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7586.0620927642531</v>
      </c>
      <c r="AK8" s="515">
        <f>SUMIF(AK15:AK380,"FAUX",Wh_sa)</f>
        <v>10699.292420690004</v>
      </c>
      <c r="AL8" s="515">
        <f>SUMIF(AJ15:AJ380,"FAUX",Wh_pvt_s)</f>
        <v>6839.7785648740273</v>
      </c>
      <c r="AM8" s="515">
        <f>SUMIF(AK15:AK380,"FAUX",Wh_sa_s)</f>
        <v>10596.513148059516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10058.735393815783</v>
      </c>
      <c r="E9" s="184">
        <f>SUM(E$15:E$380)</f>
        <v>10699.292420690004</v>
      </c>
      <c r="F9" s="184">
        <f>SUM(F$15:F$380)</f>
        <v>10754.081053226964</v>
      </c>
      <c r="H9" s="1276">
        <f>+SUM(Wh)</f>
        <v>9702.1699999999983</v>
      </c>
      <c r="I9" s="1277"/>
      <c r="J9" s="1278"/>
      <c r="K9" s="191" t="s">
        <v>10</v>
      </c>
      <c r="L9" s="232"/>
      <c r="M9" s="232"/>
      <c r="N9" s="232"/>
      <c r="O9" s="223">
        <f>Tnet_2021</f>
        <v>44307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8959.3239139295947</v>
      </c>
      <c r="Y9" s="1271"/>
      <c r="Z9" s="515">
        <f>SUM(Wh_pvt_s)</f>
        <v>9288.0640557542192</v>
      </c>
      <c r="AA9" s="515">
        <f>SUM(Wh_sa_s)</f>
        <v>10596.513148059516</v>
      </c>
      <c r="AB9" s="515">
        <f>F9</f>
        <v>10754.081053226964</v>
      </c>
      <c r="AC9" s="325">
        <f>IF(An_Tnet,Tnet,'2020'!Tnet_s)</f>
        <v>44307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2779.5831506496261</v>
      </c>
      <c r="AK9" s="515">
        <f>SUMIF(AK15:AK380,"VRAI",Wh_hp)</f>
        <v>0</v>
      </c>
      <c r="AL9" s="515">
        <f>SUMIF(AJ15:AJ380,"VRAI",Wh_sa_s)</f>
        <v>2752.1643059495682</v>
      </c>
      <c r="AM9" s="515">
        <f>SUMIF(AK15:AK380,"VRAI",Wh_hp)</f>
        <v>0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1.7999999999999999E-2</v>
      </c>
      <c r="P10" s="420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IF(OR(Inflex,GainD),'2020'!Resal_s+('2020'!Salim-'2020'!Resal_s)*(1-EXP(('2020'!Tnet_s-Tnet)/('2020'!Tau_j))),IF(Acti_net,'2020'!Resal+('2020'!Salim-'2020'!Resal)*(1-EXP(('2020'!Tnet-Tnet)/'2020'!Tau_j)),'2020'!Resal_s))</f>
        <v>0.11280403416393217</v>
      </c>
      <c r="AD10" s="427"/>
      <c r="AE10" s="427"/>
      <c r="AF10" s="260"/>
      <c r="AG10" s="261"/>
      <c r="AH10" s="262"/>
      <c r="AI10" s="472"/>
      <c r="AJ10" s="515">
        <f>SUMIF(AJ15:AJ380,"FAUX",Wh_sa)</f>
        <v>7919.7092700403855</v>
      </c>
      <c r="AK10" s="515">
        <f>SUMIF(AK15:AK380,"FAUX",Wh_hp)</f>
        <v>10754.081053226964</v>
      </c>
      <c r="AL10" s="515">
        <f>SUMIF(AJ15:AJ380,"FAUX",Wh_sa_s)</f>
        <v>7844.3488421099464</v>
      </c>
      <c r="AM10" s="515">
        <f>SUMIF(AK15:AK380,"FAUX",Wh_hp)</f>
        <v>10754.081053226964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356.56539381578477</v>
      </c>
      <c r="E11" s="51">
        <f>(E$9-D$9)*Prod_an/D$9</f>
        <v>617.85034858846996</v>
      </c>
      <c r="F11" s="186">
        <f>(F$9-E$9)*Prod_an/E$9</f>
        <v>49.682596384895881</v>
      </c>
      <c r="G11" s="185" t="s">
        <v>6</v>
      </c>
      <c r="K11" s="194"/>
      <c r="L11" s="211">
        <f>Tvie_2021</f>
        <v>44044</v>
      </c>
      <c r="M11" s="842"/>
      <c r="N11" s="842"/>
      <c r="O11" s="202">
        <f>IF(An_Tnet,Salim_2021,'2020'!Salim)</f>
        <v>0.2</v>
      </c>
      <c r="P11" s="256">
        <f>Ttai_2021</f>
        <v>43814</v>
      </c>
      <c r="Q11" s="272">
        <f>Dens_2021</f>
        <v>0.8</v>
      </c>
      <c r="R11" s="277"/>
      <c r="S11" s="230"/>
      <c r="T11" s="230"/>
      <c r="U11" s="266">
        <f>Htf_2021</f>
        <v>1.2000661467108888</v>
      </c>
      <c r="V11" s="19"/>
      <c r="W11" s="834"/>
      <c r="X11" s="235" t="s">
        <v>43</v>
      </c>
      <c r="Y11" s="50">
        <f>Z$9-Prod_an_s</f>
        <v>328.74014182462452</v>
      </c>
      <c r="Z11" s="51">
        <f>(AA$9-Z$9)*Prod_an_s/Z$9</f>
        <v>1262.1380701598084</v>
      </c>
      <c r="AA11" s="186">
        <f>(AB$9-AA$9)*Prod_an_s/AA$9</f>
        <v>133.2232481675382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296.75934852895006</v>
      </c>
      <c r="AK11" s="832">
        <f>IF($AK7=0,0,($AK9-$AK7)*$AK5/$AK7)</f>
        <v>0</v>
      </c>
      <c r="AL11" s="831">
        <f>IF($AL7=0,0,($AL9-$AL7)*$AL5/$AL7)</f>
        <v>293.82870637394802</v>
      </c>
      <c r="AM11" s="832">
        <f>IF($AM7=0,0,($AM9-$AM7)*$AM5/$AM7)</f>
        <v>0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4.6055850205999116E-2</v>
      </c>
      <c r="K12" s="191"/>
      <c r="L12" s="212">
        <f>Pspv_2021</f>
        <v>1.1111111111111112E-2</v>
      </c>
      <c r="M12" s="212"/>
      <c r="N12" s="212"/>
      <c r="O12" s="205">
        <f>IF(An_Tnet,Tau_2021*365,'2020'!Tau_j)</f>
        <v>730</v>
      </c>
      <c r="P12" s="281">
        <f>INDEX(Croivg,MIN(MAX(Ttai-$A$15,0)+1,366))</f>
        <v>2.3909964587625958E-6</v>
      </c>
      <c r="Q12" s="280">
        <f>'2020'!Df</f>
        <v>0.8</v>
      </c>
      <c r="R12" s="278"/>
      <c r="S12" s="279"/>
      <c r="T12" s="279"/>
      <c r="U12" s="267">
        <f>'2020'!Hdf</f>
        <v>0.60006614671088876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0.8</v>
      </c>
      <c r="AF12" s="203"/>
      <c r="AG12" s="203"/>
      <c r="AH12" s="203"/>
      <c r="AI12" s="297">
        <f>'2020'!Hdf_s</f>
        <v>1.79999972086341</v>
      </c>
      <c r="AJ12" s="831">
        <f>IF($AJ8=0,0,($AJ10-$AJ8)*$AJ6/$AJ8)</f>
        <v>321.56164421768585</v>
      </c>
      <c r="AK12" s="832">
        <f>IF($AK8=0,0,($AK10-$AK8)*$AK6/$AK8)</f>
        <v>49.682596384895881</v>
      </c>
      <c r="AL12" s="831">
        <f>IF($AL8=0,0,($AL10-$AL8)*$AL6/$AL8)</f>
        <v>968.18006785247235</v>
      </c>
      <c r="AM12" s="832">
        <f>IF($AM8=0,0,($AM10-$AM8)*$AM6/$AM8)</f>
        <v>133.2232481675382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272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618.32099274663597</v>
      </c>
      <c r="AK13" s="73">
        <f>+AK11+AK12</f>
        <v>49.682596384895881</v>
      </c>
      <c r="AL13" s="73">
        <f>+AL11+AL12</f>
        <v>1262.0087742264204</v>
      </c>
      <c r="AM13" s="73">
        <f>+AM11+AM12</f>
        <v>133.2232481675382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389" t="s">
        <v>188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2021</v>
      </c>
      <c r="W14" s="836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5">
        <v>6.766</v>
      </c>
      <c r="C15" s="390"/>
      <c r="D15" s="393">
        <f t="shared" ref="D15:D78" si="0">Wh/(1-Ppv)</f>
        <v>6.9858673029138441</v>
      </c>
      <c r="E15" s="400">
        <f t="shared" ref="E15:E79" si="1">Wh_pvt/(1-Psa)</f>
        <v>7.8101221813141928</v>
      </c>
      <c r="F15" s="400">
        <f t="shared" ref="F15:F78" si="2">Wh_sa/(1-Pvg*MEDIAN((-Sdif+Wh/Env_an)/Csdif,0,1))</f>
        <v>7.8212281474064813</v>
      </c>
      <c r="G15" s="123">
        <f>+Wh_hp/MaxiM</f>
        <v>0.42237844727676088</v>
      </c>
      <c r="H15" s="414" t="b">
        <f>Wh_hp&gt;='2020'!Maxi_hp</f>
        <v>0</v>
      </c>
      <c r="I15" s="379">
        <f>IF(H15,Wh_hp,'2020'!Maxi_hp)</f>
        <v>12.65814018720139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3.147315764531293E-2</v>
      </c>
      <c r="M15" s="843"/>
      <c r="N15" s="843"/>
      <c r="O15" s="48">
        <f>IF(t&lt;Tnet,'2020'!Resal+('2020'!Salim-'2020'!Resal)*(1-EXP(('2020'!Tnet-t)/('2020'!Tau_j))),Resal+(Salim-Resal)*(1-EXP((Tnet-t)/(Tau_j))))*Salcycl</f>
        <v>0.10553674568272284</v>
      </c>
      <c r="P15" s="302">
        <f>(INDEX(Models!$BJ15:$BT15,,T15)*(1-R15)+INDEX(Models!$BJ15:$BT15,,T15+1)*R15-ERP_i)*Q15*Ramure*Pc/MaxiM</f>
        <v>7.9420076585038617E-3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0.60006758130876403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0">
        <f t="shared" ref="U15:U78" si="8">IF(OR(t&lt;Ttai,Notai),Hdd+PousH*Croivg,Hdtf+PousH*(Croivg-Croi_tai))</f>
        <v>0.60006758130876403</v>
      </c>
      <c r="V15" s="382">
        <f t="shared" ref="V15:V78" si="9">MaxiM*(1-Ppv)*(1-Pvg)*(1-Psa)</f>
        <v>15.914186047372315</v>
      </c>
      <c r="W15" s="402"/>
      <c r="X15" s="156">
        <f t="shared" ref="X15:X78" si="10">t</f>
        <v>44197</v>
      </c>
      <c r="Y15" s="385">
        <f t="shared" ref="Y15:Y78" si="11">Wh_pvt_s*(1-Ppv)</f>
        <v>6.7441831852206207</v>
      </c>
      <c r="Z15" s="385">
        <f t="shared" ref="Z15:Z78" si="12">Wh_sa_s*(1-Psa_s)</f>
        <v>6.963341530962766</v>
      </c>
      <c r="AA15" s="386">
        <f t="shared" ref="AA15:AA78" si="13">Wh_hp*(1-Pvg_s*MEDIAN((-Sdif+Wh/Env_an)/Csdif,0,1))</f>
        <v>7.7849386180516955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0.10553674568272284</v>
      </c>
      <c r="AD15" s="231">
        <f>(INDEX(Models!$BJ15:$BT15,,AH15)*(1-AF15)+INDEX(Models!$BJ15:$BT15,,AH15+1)*AF15-ERP_i)*AE15*Ramure*Pc/MaxiM</f>
        <v>2.5951071492945749E-2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0.80000115546128514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1.8000011554612851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6">
        <v>4.0440000000000005</v>
      </c>
      <c r="C16" s="390"/>
      <c r="D16" s="393">
        <f t="shared" si="0"/>
        <v>4.1755117306203546</v>
      </c>
      <c r="E16" s="385">
        <f t="shared" si="1"/>
        <v>4.668522849514714</v>
      </c>
      <c r="F16" s="385">
        <f t="shared" si="2"/>
        <v>4.668522849514714</v>
      </c>
      <c r="G16" s="110">
        <f t="shared" ref="G16:G79" si="21">+Wh_hp/MaxiM</f>
        <v>0.25033051474599233</v>
      </c>
      <c r="H16" s="414" t="b">
        <f>Wh_hp&gt;='2020'!Maxi_hp</f>
        <v>0</v>
      </c>
      <c r="I16" s="380">
        <f>IF(H16,Wh_hp,'2020'!Maxi_hp)</f>
        <v>16.317377222864518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3.1495955251649096E-2</v>
      </c>
      <c r="M16" s="843"/>
      <c r="N16" s="843"/>
      <c r="O16" s="48">
        <f>IF(t&lt;Tnet,'2020'!Resal+('2020'!Salim-'2020'!Resal)*(1-EXP(('2020'!Tnet-t)/('2020'!Tau_j))),Resal+(Salim-Resal)*(1-EXP((Tnet-t)/(Tau_j))))*Salcycl</f>
        <v>0.1056032357099007</v>
      </c>
      <c r="P16" s="169">
        <f>(INDEX(Models!$BJ16:$BT16,,T16)*(1-R16)+INDEX(Models!$BJ16:$BT16,,T16+1)*R16-ERP_i)*Q16*Ramure*Pc/MaxiM</f>
        <v>7.9249074351529381E-3</v>
      </c>
      <c r="Q16" s="305">
        <f t="shared" si="4"/>
        <v>0.8</v>
      </c>
      <c r="R16" s="177">
        <f t="shared" si="5"/>
        <v>0.60010263884555715</v>
      </c>
      <c r="S16" s="809">
        <f t="shared" si="6"/>
        <v>0</v>
      </c>
      <c r="T16" s="176">
        <f t="shared" si="7"/>
        <v>6</v>
      </c>
      <c r="U16" s="251">
        <f t="shared" si="8"/>
        <v>0.60010263884555715</v>
      </c>
      <c r="V16" s="383">
        <f t="shared" si="9"/>
        <v>16.02661856227606</v>
      </c>
      <c r="W16" s="402"/>
      <c r="X16" s="157">
        <f t="shared" si="10"/>
        <v>44198</v>
      </c>
      <c r="Y16" s="385">
        <f t="shared" si="11"/>
        <v>4.0440000000000005</v>
      </c>
      <c r="Z16" s="385">
        <f t="shared" si="12"/>
        <v>4.1755117306203546</v>
      </c>
      <c r="AA16" s="386">
        <f t="shared" si="13"/>
        <v>4.668522849514714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0.1056032357099007</v>
      </c>
      <c r="AD16" s="231">
        <f>(INDEX(Models!$BJ16:$BT16,,AH16)*(1-AF16)+INDEX(Models!$BJ16:$BT16,,AH16+1)*AF16-ERP_i)*AE16*Ramure*Pc/MaxiM</f>
        <v>2.5944890058137698E-2</v>
      </c>
      <c r="AE16" s="305">
        <f t="shared" si="15"/>
        <v>0.8</v>
      </c>
      <c r="AF16" s="177">
        <f t="shared" ref="AF16:AF78" si="22">(Hp_vg_s-AG16)/(INDEX(Echel_vg,AH16+1)-AG16)</f>
        <v>0.80003621299807826</v>
      </c>
      <c r="AG16" s="809">
        <f t="shared" ref="AG16:AG79" si="23">INDEX(Echel_vg,AH16)</f>
        <v>1</v>
      </c>
      <c r="AH16" s="176">
        <f t="shared" si="16"/>
        <v>7</v>
      </c>
      <c r="AI16" s="225">
        <f t="shared" si="17"/>
        <v>1.8000362129980783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6">
        <v>16.231999999999999</v>
      </c>
      <c r="C17" s="390"/>
      <c r="D17" s="393">
        <f t="shared" si="0"/>
        <v>16.760262564720481</v>
      </c>
      <c r="E17" s="385">
        <f t="shared" si="1"/>
        <v>18.74057710600102</v>
      </c>
      <c r="F17" s="385">
        <f t="shared" si="2"/>
        <v>18.889891187353829</v>
      </c>
      <c r="G17" s="110">
        <f t="shared" si="21"/>
        <v>1.0053670877885372</v>
      </c>
      <c r="H17" s="414" t="b">
        <f>Wh_hp&gt;='2020'!Maxi_hp</f>
        <v>1</v>
      </c>
      <c r="I17" s="380">
        <f>IF(H17,Wh_hp,'2020'!Maxi_hp)</f>
        <v>18.889891187353829</v>
      </c>
      <c r="J17" s="85">
        <f>IF(H17,An,'2020'!An_max)</f>
        <v>2021</v>
      </c>
      <c r="K17" s="197">
        <f t="shared" si="3"/>
        <v>44199</v>
      </c>
      <c r="L17" s="147">
        <f>IF(t&lt;Tvie,1-EXP((T0-t)*PertePVj)+'2020'!Pspv,1-EXP((T0-t)*PertePVj)+Pspv)</f>
        <v>3.1518752327451535E-2</v>
      </c>
      <c r="M17" s="843"/>
      <c r="N17" s="843"/>
      <c r="O17" s="48">
        <f>IF(t&lt;Tnet,'2020'!Resal+('2020'!Salim-'2020'!Resal)*(1-EXP(('2020'!Tnet-t)/('2020'!Tau_j))),Resal+(Salim-Resal)*(1-EXP((Tnet-t)/(Tau_j))))*Salcycl</f>
        <v>0.10566988039265945</v>
      </c>
      <c r="P17" s="169">
        <f>(INDEX(Models!$BJ17:$BT17,,T17)*(1-R17)+INDEX(Models!$BJ17:$BT17,,T17+1)*R17-ERP_i)*Q17*Ramure*Pc/MaxiM</f>
        <v>7.9044436980542122E-3</v>
      </c>
      <c r="Q17" s="305">
        <f t="shared" si="4"/>
        <v>0.8</v>
      </c>
      <c r="R17" s="177">
        <f t="shared" si="5"/>
        <v>0.60013916276014456</v>
      </c>
      <c r="S17" s="809">
        <f t="shared" si="6"/>
        <v>0</v>
      </c>
      <c r="T17" s="176">
        <f t="shared" si="7"/>
        <v>6</v>
      </c>
      <c r="U17" s="251">
        <f t="shared" si="8"/>
        <v>0.60013916276014456</v>
      </c>
      <c r="V17" s="383">
        <f t="shared" si="9"/>
        <v>16.145346507915662</v>
      </c>
      <c r="W17" s="402"/>
      <c r="X17" s="157">
        <f t="shared" si="10"/>
        <v>44199</v>
      </c>
      <c r="Y17" s="385">
        <f t="shared" si="11"/>
        <v>15.936945727725783</v>
      </c>
      <c r="Z17" s="385">
        <f t="shared" si="12"/>
        <v>16.455605894306583</v>
      </c>
      <c r="AA17" s="386">
        <f t="shared" si="13"/>
        <v>18.399923622757431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0.10566988039265945</v>
      </c>
      <c r="AD17" s="231">
        <f>(INDEX(Models!$BJ17:$BT17,,AH17)*(1-AF17)+INDEX(Models!$BJ17:$BT17,,AH17+1)*AF17-ERP_i)*AE17*Ramure*Pc/MaxiM</f>
        <v>2.5938082953300256E-2</v>
      </c>
      <c r="AE17" s="305">
        <f t="shared" si="15"/>
        <v>0.8</v>
      </c>
      <c r="AF17" s="177">
        <f>(Hp_vg_s-AG17)/(INDEX(Echel_vg,AH17+1)-AG17)</f>
        <v>0.80007273691266589</v>
      </c>
      <c r="AG17" s="809">
        <f>INDEX(Echel_vg,AH17)</f>
        <v>1</v>
      </c>
      <c r="AH17" s="176">
        <f t="shared" si="16"/>
        <v>7</v>
      </c>
      <c r="AI17" s="225">
        <f t="shared" si="17"/>
        <v>1.8000727369126659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6">
        <v>13.509</v>
      </c>
      <c r="C18" s="390"/>
      <c r="D18" s="393">
        <f t="shared" si="0"/>
        <v>13.948972187991938</v>
      </c>
      <c r="E18" s="385">
        <f t="shared" si="1"/>
        <v>15.598282401562699</v>
      </c>
      <c r="F18" s="385">
        <f t="shared" si="2"/>
        <v>15.691958498533575</v>
      </c>
      <c r="G18" s="110">
        <f t="shared" si="21"/>
        <v>0.82867066928474553</v>
      </c>
      <c r="H18" s="414" t="b">
        <f>Wh_hp&gt;='2020'!Maxi_hp</f>
        <v>0</v>
      </c>
      <c r="I18" s="380">
        <f>IF(H18,Wh_hp,'2020'!Maxi_hp)</f>
        <v>18.708529066845525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3.1541548872732791E-2</v>
      </c>
      <c r="M18" s="843"/>
      <c r="N18" s="843"/>
      <c r="O18" s="48">
        <f>IF(t&lt;Tnet,'2020'!Resal+('2020'!Salim-'2020'!Resal)*(1-EXP(('2020'!Tnet-t)/('2020'!Tau_j))),Resal+(Salim-Resal)*(1-EXP((Tnet-t)/(Tau_j))))*Salcycl</f>
        <v>0.10573665555673786</v>
      </c>
      <c r="P18" s="169">
        <f>(INDEX(Models!$BJ18:$BT18,,T18)*(1-R18)+INDEX(Models!$BJ18:$BT18,,T18+1)*R18-ERP_i)*Q18*Ramure*Pc/MaxiM</f>
        <v>7.8805280377913806E-3</v>
      </c>
      <c r="Q18" s="305">
        <f t="shared" si="4"/>
        <v>0.8</v>
      </c>
      <c r="R18" s="177">
        <f t="shared" si="5"/>
        <v>0.60017721419769876</v>
      </c>
      <c r="S18" s="809">
        <f t="shared" si="6"/>
        <v>0</v>
      </c>
      <c r="T18" s="176">
        <f t="shared" si="7"/>
        <v>6</v>
      </c>
      <c r="U18" s="251">
        <f t="shared" si="8"/>
        <v>0.60017721419769876</v>
      </c>
      <c r="V18" s="383">
        <f t="shared" si="9"/>
        <v>16.270675357549859</v>
      </c>
      <c r="W18" s="402"/>
      <c r="X18" s="157">
        <f t="shared" si="10"/>
        <v>44200</v>
      </c>
      <c r="Y18" s="385">
        <f t="shared" si="11"/>
        <v>13.323182792055537</v>
      </c>
      <c r="Z18" s="385">
        <f>Wh_sa_s*(1-Psa_s)</f>
        <v>13.757103132868121</v>
      </c>
      <c r="AA18" s="386">
        <f t="shared" si="13"/>
        <v>15.383726972990068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0.10573665555673786</v>
      </c>
      <c r="AD18" s="231">
        <f>(INDEX(Models!$BJ18:$BT18,,AH18)*(1-AF18)+INDEX(Models!$BJ18:$BT18,,AH18+1)*AF18-ERP_i)*AE18*Ramure*Pc/MaxiM</f>
        <v>2.5930063887397426E-2</v>
      </c>
      <c r="AE18" s="305">
        <f t="shared" si="15"/>
        <v>0.8</v>
      </c>
      <c r="AF18" s="177">
        <f t="shared" si="22"/>
        <v>0.80011078835021987</v>
      </c>
      <c r="AG18" s="809">
        <f t="shared" si="23"/>
        <v>1</v>
      </c>
      <c r="AH18" s="176">
        <f t="shared" si="16"/>
        <v>7</v>
      </c>
      <c r="AI18" s="225">
        <f t="shared" si="17"/>
        <v>1.8001107883502199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6">
        <v>2.8879999999999999</v>
      </c>
      <c r="C19" s="390"/>
      <c r="D19" s="393">
        <f t="shared" si="0"/>
        <v>2.9821289465684999</v>
      </c>
      <c r="E19" s="385">
        <f t="shared" si="1"/>
        <v>3.3349818305977617</v>
      </c>
      <c r="F19" s="385">
        <f t="shared" si="2"/>
        <v>3.3349818305977617</v>
      </c>
      <c r="G19" s="110">
        <f t="shared" si="21"/>
        <v>0.17468365186512236</v>
      </c>
      <c r="H19" s="414" t="b">
        <f>Wh_hp&gt;='2020'!Maxi_hp</f>
        <v>0</v>
      </c>
      <c r="I19" s="380">
        <f>IF(H19,Wh_hp,'2020'!Maxi_hp)</f>
        <v>18.453425057954192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3.1564344887505077E-2</v>
      </c>
      <c r="M19" s="843"/>
      <c r="N19" s="843"/>
      <c r="O19" s="48">
        <f>IF(t&lt;Tnet,'2020'!Resal+('2020'!Salim-'2020'!Resal)*(1-EXP(('2020'!Tnet-t)/('2020'!Tau_j))),Resal+(Salim-Resal)*(1-EXP((Tnet-t)/(Tau_j))))*Salcycl</f>
        <v>0.10580354015482486</v>
      </c>
      <c r="P19" s="169">
        <f>(INDEX(Models!$BJ19:$BT19,,T19)*(1-R19)+INDEX(Models!$BJ19:$BT19,,T19+1)*R19-ERP_i)*Q19*Ramure*Pc/MaxiM</f>
        <v>7.8530868307298482E-3</v>
      </c>
      <c r="Q19" s="305">
        <f t="shared" si="4"/>
        <v>0.8</v>
      </c>
      <c r="R19" s="177">
        <f t="shared" si="5"/>
        <v>0.60021685683677273</v>
      </c>
      <c r="S19" s="809">
        <f t="shared" si="6"/>
        <v>0</v>
      </c>
      <c r="T19" s="176">
        <f t="shared" si="7"/>
        <v>6</v>
      </c>
      <c r="U19" s="251">
        <f t="shared" si="8"/>
        <v>0.60021685683677273</v>
      </c>
      <c r="V19" s="383">
        <f t="shared" si="9"/>
        <v>16.402910373348725</v>
      </c>
      <c r="W19" s="402"/>
      <c r="X19" s="157">
        <f t="shared" si="10"/>
        <v>44201</v>
      </c>
      <c r="Y19" s="385">
        <f t="shared" si="11"/>
        <v>2.8879999999999999</v>
      </c>
      <c r="Z19" s="385">
        <f t="shared" si="12"/>
        <v>2.9821289465684999</v>
      </c>
      <c r="AA19" s="386">
        <f t="shared" si="13"/>
        <v>3.3349818305977617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0.10580354015482486</v>
      </c>
      <c r="AD19" s="231">
        <f>(INDEX(Models!$BJ19:$BT19,,AH19)*(1-AF19)+INDEX(Models!$BJ19:$BT19,,AH19+1)*AF19-ERP_i)*AE19*Ramure*Pc/MaxiM</f>
        <v>2.5920275497957453E-2</v>
      </c>
      <c r="AE19" s="305">
        <f t="shared" si="15"/>
        <v>0.8</v>
      </c>
      <c r="AF19" s="177">
        <f t="shared" si="22"/>
        <v>0.80015043098929395</v>
      </c>
      <c r="AG19" s="809">
        <f t="shared" si="23"/>
        <v>1</v>
      </c>
      <c r="AH19" s="176">
        <f t="shared" si="16"/>
        <v>7</v>
      </c>
      <c r="AI19" s="225">
        <f t="shared" si="17"/>
        <v>1.8001504309892939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6">
        <v>6.43</v>
      </c>
      <c r="C20" s="390"/>
      <c r="D20" s="393">
        <f t="shared" si="0"/>
        <v>6.6397300862656072</v>
      </c>
      <c r="E20" s="385">
        <f t="shared" si="1"/>
        <v>7.4259156043623822</v>
      </c>
      <c r="F20" s="385">
        <f t="shared" si="2"/>
        <v>7.4332831585885675</v>
      </c>
      <c r="G20" s="110">
        <f t="shared" si="21"/>
        <v>0.386041351710047</v>
      </c>
      <c r="H20" s="414" t="b">
        <f>Wh_hp&gt;='2020'!Maxi_hp</f>
        <v>0</v>
      </c>
      <c r="I20" s="380">
        <f>IF(H20,Wh_hp,'2020'!Maxi_hp)</f>
        <v>17.976062678070381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3.1587140371780828E-2</v>
      </c>
      <c r="M20" s="843"/>
      <c r="N20" s="843"/>
      <c r="O20" s="48">
        <f>IF(t&lt;Tnet,'2020'!Resal+('2020'!Salim-'2020'!Resal)*(1-EXP(('2020'!Tnet-t)/('2020'!Tau_j))),Resal+(Salim-Resal)*(1-EXP((Tnet-t)/(Tau_j))))*Salcycl</f>
        <v>0.10587051617378032</v>
      </c>
      <c r="P20" s="169">
        <f>(INDEX(Models!$BJ20:$BT20,,T20)*(1-R20)+INDEX(Models!$BJ20:$BT20,,T20+1)*R20-ERP_i)*Q20*Ramure*Pc/MaxiM</f>
        <v>7.8220616241945484E-3</v>
      </c>
      <c r="Q20" s="305">
        <f t="shared" si="4"/>
        <v>0.8</v>
      </c>
      <c r="R20" s="177">
        <f t="shared" si="5"/>
        <v>0.60025815699287355</v>
      </c>
      <c r="S20" s="809">
        <f t="shared" si="6"/>
        <v>0</v>
      </c>
      <c r="T20" s="176">
        <f t="shared" si="7"/>
        <v>6</v>
      </c>
      <c r="U20" s="251">
        <f t="shared" si="8"/>
        <v>0.60025815699287355</v>
      </c>
      <c r="V20" s="383">
        <f t="shared" si="9"/>
        <v>16.542356616890114</v>
      </c>
      <c r="W20" s="402"/>
      <c r="X20" s="157">
        <f t="shared" si="10"/>
        <v>44202</v>
      </c>
      <c r="Y20" s="385">
        <f t="shared" si="11"/>
        <v>6.4152494338241191</v>
      </c>
      <c r="Z20" s="385">
        <f t="shared" si="12"/>
        <v>6.6244983945039522</v>
      </c>
      <c r="AA20" s="386">
        <f t="shared" si="13"/>
        <v>7.4088803851495291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0.10587051617378032</v>
      </c>
      <c r="AD20" s="231">
        <f>(INDEX(Models!$BJ20:$BT20,,AH20)*(1-AF20)+INDEX(Models!$BJ20:$BT20,,AH20+1)*AF20-ERP_i)*AE20*Ramure*Pc/MaxiM</f>
        <v>2.5908190395530339E-2</v>
      </c>
      <c r="AE20" s="305">
        <f t="shared" si="15"/>
        <v>0.8</v>
      </c>
      <c r="AF20" s="177">
        <f t="shared" si="22"/>
        <v>0.80019173114539477</v>
      </c>
      <c r="AG20" s="809">
        <f t="shared" si="23"/>
        <v>1</v>
      </c>
      <c r="AH20" s="176">
        <f t="shared" si="16"/>
        <v>7</v>
      </c>
      <c r="AI20" s="225">
        <f t="shared" si="17"/>
        <v>1.8001917311453948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6">
        <v>10.081</v>
      </c>
      <c r="C21" s="390"/>
      <c r="D21" s="393">
        <f t="shared" si="0"/>
        <v>10.410061366531293</v>
      </c>
      <c r="E21" s="385">
        <f t="shared" si="1"/>
        <v>11.643550830423269</v>
      </c>
      <c r="F21" s="385">
        <f t="shared" si="2"/>
        <v>11.683067578020008</v>
      </c>
      <c r="G21" s="110">
        <f t="shared" si="21"/>
        <v>0.60136919750494799</v>
      </c>
      <c r="H21" s="414" t="b">
        <f>Wh_hp&gt;='2020'!Maxi_hp</f>
        <v>1</v>
      </c>
      <c r="I21" s="380">
        <f>IF(H21,Wh_hp,'2020'!Maxi_hp)</f>
        <v>11.683067578020008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3.1609935325572366E-2</v>
      </c>
      <c r="M21" s="843"/>
      <c r="N21" s="843"/>
      <c r="O21" s="48">
        <f>IF(t&lt;Tnet,'2020'!Resal+('2020'!Salim-'2020'!Resal)*(1-EXP(('2020'!Tnet-t)/('2020'!Tau_j))),Resal+(Salim-Resal)*(1-EXP((Tnet-t)/(Tau_j))))*Salcycl</f>
        <v>0.10593756851810264</v>
      </c>
      <c r="P21" s="169">
        <f>(INDEX(Models!$BJ21:$BT21,,T21)*(1-R21)+INDEX(Models!$BJ21:$BT21,,T21+1)*R21-ERP_i)*Q21*Ramure*Pc/MaxiM</f>
        <v>7.7874094153276684E-3</v>
      </c>
      <c r="Q21" s="305">
        <f t="shared" si="4"/>
        <v>0.8</v>
      </c>
      <c r="R21" s="177">
        <f t="shared" si="5"/>
        <v>0.60030118372614938</v>
      </c>
      <c r="S21" s="809">
        <f t="shared" si="6"/>
        <v>0</v>
      </c>
      <c r="T21" s="176">
        <f t="shared" si="7"/>
        <v>6</v>
      </c>
      <c r="U21" s="251">
        <f t="shared" si="8"/>
        <v>0.60030118372614938</v>
      </c>
      <c r="V21" s="383">
        <f t="shared" si="9"/>
        <v>16.689318937828041</v>
      </c>
      <c r="W21" s="402"/>
      <c r="X21" s="157">
        <f t="shared" si="10"/>
        <v>44203</v>
      </c>
      <c r="Y21" s="385">
        <f t="shared" si="11"/>
        <v>10.0014524991689</v>
      </c>
      <c r="Z21" s="385">
        <f t="shared" si="12"/>
        <v>10.327917296974112</v>
      </c>
      <c r="AA21" s="386">
        <f t="shared" si="13"/>
        <v>11.551673499864789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0.10593756851810264</v>
      </c>
      <c r="AD21" s="231">
        <f>(INDEX(Models!$BJ21:$BT21,,AH21)*(1-AF21)+INDEX(Models!$BJ21:$BT21,,AH21+1)*AF21-ERP_i)*AE21*Ramure*Pc/MaxiM</f>
        <v>2.589331216693358E-2</v>
      </c>
      <c r="AE21" s="305">
        <f t="shared" si="15"/>
        <v>0.8</v>
      </c>
      <c r="AF21" s="177">
        <f t="shared" si="22"/>
        <v>0.8002347578786706</v>
      </c>
      <c r="AG21" s="809">
        <f t="shared" si="23"/>
        <v>1</v>
      </c>
      <c r="AH21" s="176">
        <f t="shared" si="16"/>
        <v>7</v>
      </c>
      <c r="AI21" s="225">
        <f t="shared" si="17"/>
        <v>1.8002347578786706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6">
        <v>12.239000000000001</v>
      </c>
      <c r="C22" s="390"/>
      <c r="D22" s="393">
        <f t="shared" si="0"/>
        <v>12.638799736412299</v>
      </c>
      <c r="E22" s="385">
        <f t="shared" si="1"/>
        <v>14.137433969211045</v>
      </c>
      <c r="F22" s="385">
        <f t="shared" si="2"/>
        <v>14.204515850119641</v>
      </c>
      <c r="G22" s="110">
        <f t="shared" si="21"/>
        <v>0.7243949578839185</v>
      </c>
      <c r="H22" s="414" t="b">
        <f>Wh_hp&gt;='2020'!Maxi_hp</f>
        <v>1</v>
      </c>
      <c r="I22" s="380">
        <f>IF(H22,Wh_hp,'2020'!Maxi_hp)</f>
        <v>14.204515850119641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3.1632729748892016E-2</v>
      </c>
      <c r="M22" s="843"/>
      <c r="N22" s="843"/>
      <c r="O22" s="48">
        <f>IF(t&lt;Tnet,'2020'!Resal+('2020'!Salim-'2020'!Resal)*(1-EXP(('2020'!Tnet-t)/('2020'!Tau_j))),Resal+(Salim-Resal)*(1-EXP((Tnet-t)/(Tau_j))))*Salcycl</f>
        <v>0.10600468487156305</v>
      </c>
      <c r="P22" s="169">
        <f>(INDEX(Models!$BJ22:$BT22,,T22)*(1-R22)+INDEX(Models!$BJ22:$BT22,,T22+1)*R22-ERP_i)*Q22*Ramure*Pc/MaxiM</f>
        <v>7.7491027933548826E-3</v>
      </c>
      <c r="Q22" s="305">
        <f t="shared" si="4"/>
        <v>0.8</v>
      </c>
      <c r="R22" s="177">
        <f t="shared" si="5"/>
        <v>0.600346008953346</v>
      </c>
      <c r="S22" s="809">
        <f t="shared" si="6"/>
        <v>0</v>
      </c>
      <c r="T22" s="176">
        <f t="shared" si="7"/>
        <v>6</v>
      </c>
      <c r="U22" s="251">
        <f t="shared" si="8"/>
        <v>0.600346008953346</v>
      </c>
      <c r="V22" s="383">
        <f t="shared" si="9"/>
        <v>16.844101994799271</v>
      </c>
      <c r="W22" s="402"/>
      <c r="X22" s="157">
        <f t="shared" si="10"/>
        <v>44204</v>
      </c>
      <c r="Y22" s="385">
        <f t="shared" si="11"/>
        <v>12.103158368250941</v>
      </c>
      <c r="Z22" s="385">
        <f t="shared" si="12"/>
        <v>12.498520695678264</v>
      </c>
      <c r="AA22" s="386">
        <f t="shared" si="13"/>
        <v>13.98052146826144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0.10600468487156305</v>
      </c>
      <c r="AD22" s="231">
        <f>(INDEX(Models!$BJ22:$BT22,,AH22)*(1-AF22)+INDEX(Models!$BJ22:$BT22,,AH22+1)*AF22-ERP_i)*AE22*Ramure*Pc/MaxiM</f>
        <v>2.5875176227069505E-2</v>
      </c>
      <c r="AE22" s="305">
        <f t="shared" si="15"/>
        <v>0.8</v>
      </c>
      <c r="AF22" s="177">
        <f t="shared" si="22"/>
        <v>0.80027958310586733</v>
      </c>
      <c r="AG22" s="809">
        <f t="shared" si="23"/>
        <v>1</v>
      </c>
      <c r="AH22" s="176">
        <f t="shared" si="16"/>
        <v>7</v>
      </c>
      <c r="AI22" s="225">
        <f t="shared" si="17"/>
        <v>1.8002795831058673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6">
        <v>5.8180000000000005</v>
      </c>
      <c r="C23" s="390"/>
      <c r="D23" s="393">
        <f t="shared" si="0"/>
        <v>6.0081924790652472</v>
      </c>
      <c r="E23" s="385">
        <f t="shared" si="1"/>
        <v>6.7211134544695561</v>
      </c>
      <c r="F23" s="385">
        <f t="shared" si="2"/>
        <v>6.7242289187079232</v>
      </c>
      <c r="G23" s="110">
        <f t="shared" si="21"/>
        <v>0.33960336462246121</v>
      </c>
      <c r="H23" s="414" t="b">
        <f>Wh_hp&gt;='2020'!Maxi_hp</f>
        <v>0</v>
      </c>
      <c r="I23" s="380">
        <f>IF(H23,Wh_hp,'2020'!Maxi_hp)</f>
        <v>18.029266819342844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3.1655523641752101E-2</v>
      </c>
      <c r="M23" s="843"/>
      <c r="N23" s="843"/>
      <c r="O23" s="48">
        <f>IF(t&lt;Tnet,'2020'!Resal+('2020'!Salim-'2020'!Resal)*(1-EXP(('2020'!Tnet-t)/('2020'!Tau_j))),Resal+(Salim-Resal)*(1-EXP((Tnet-t)/(Tau_j))))*Salcycl</f>
        <v>0.10607185553908705</v>
      </c>
      <c r="P23" s="169">
        <f>(INDEX(Models!$BJ23:$BT23,,T23)*(1-R23)+INDEX(Models!$BJ23:$BT23,,T23+1)*R23-ERP_i)*Q23*Ramure*Pc/MaxiM</f>
        <v>7.7068656706388182E-3</v>
      </c>
      <c r="Q23" s="305">
        <f t="shared" si="4"/>
        <v>0.8</v>
      </c>
      <c r="R23" s="177">
        <f t="shared" si="5"/>
        <v>0.60039270756418817</v>
      </c>
      <c r="S23" s="809">
        <f t="shared" si="6"/>
        <v>0</v>
      </c>
      <c r="T23" s="176">
        <f t="shared" si="7"/>
        <v>6</v>
      </c>
      <c r="U23" s="251">
        <f t="shared" si="8"/>
        <v>0.60039270756418817</v>
      </c>
      <c r="V23" s="383">
        <f t="shared" si="9"/>
        <v>17.007598020288494</v>
      </c>
      <c r="W23" s="402"/>
      <c r="X23" s="157">
        <f t="shared" si="10"/>
        <v>44205</v>
      </c>
      <c r="Y23" s="385">
        <f t="shared" si="11"/>
        <v>5.8116503649490028</v>
      </c>
      <c r="Z23" s="385">
        <f t="shared" si="12"/>
        <v>6.0016352721972144</v>
      </c>
      <c r="AA23" s="386">
        <f t="shared" si="13"/>
        <v>6.7137781815970516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0.10607185553908705</v>
      </c>
      <c r="AD23" s="231">
        <f>(INDEX(Models!$BJ23:$BT23,,AH23)*(1-AF23)+INDEX(Models!$BJ23:$BT23,,AH23+1)*AF23-ERP_i)*AE23*Ramure*Pc/MaxiM</f>
        <v>2.5852464002241796E-2</v>
      </c>
      <c r="AE23" s="305">
        <f t="shared" si="15"/>
        <v>0.8</v>
      </c>
      <c r="AF23" s="177">
        <f t="shared" si="22"/>
        <v>0.80032628171670939</v>
      </c>
      <c r="AG23" s="809">
        <f t="shared" si="23"/>
        <v>1</v>
      </c>
      <c r="AH23" s="176">
        <f t="shared" si="16"/>
        <v>7</v>
      </c>
      <c r="AI23" s="225">
        <f t="shared" si="17"/>
        <v>1.8003262817167094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6">
        <v>5.15</v>
      </c>
      <c r="C24" s="390"/>
      <c r="D24" s="393">
        <f t="shared" si="0"/>
        <v>5.3184805116278202</v>
      </c>
      <c r="E24" s="385">
        <f t="shared" si="1"/>
        <v>5.95000894724296</v>
      </c>
      <c r="F24" s="385">
        <f t="shared" si="2"/>
        <v>5.95000894724296</v>
      </c>
      <c r="G24" s="110">
        <f t="shared" si="21"/>
        <v>0.29746964808455661</v>
      </c>
      <c r="H24" s="414" t="b">
        <f>Wh_hp&gt;='2020'!Maxi_hp</f>
        <v>0</v>
      </c>
      <c r="I24" s="380">
        <f>IF(H24,Wh_hp,'2020'!Maxi_hp)</f>
        <v>8.9775811655834818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3.1678317004165055E-2</v>
      </c>
      <c r="M24" s="843"/>
      <c r="N24" s="843"/>
      <c r="O24" s="48">
        <f>IF(t&lt;Tnet,'2020'!Resal+('2020'!Salim-'2020'!Resal)*(1-EXP(('2020'!Tnet-t)/('2020'!Tau_j))),Resal+(Salim-Resal)*(1-EXP((Tnet-t)/(Tau_j))))*Salcycl</f>
        <v>0.10613907327110322</v>
      </c>
      <c r="P24" s="169">
        <f>(INDEX(Models!$BJ24:$BT24,,T24)*(1-R24)+INDEX(Models!$BJ24:$BT24,,T24+1)*R24-ERP_i)*Q24*Ramure*Pc/MaxiM</f>
        <v>7.6511870245224278E-3</v>
      </c>
      <c r="Q24" s="305">
        <f t="shared" si="4"/>
        <v>0.8</v>
      </c>
      <c r="R24" s="177">
        <f t="shared" si="5"/>
        <v>0.60044135754235162</v>
      </c>
      <c r="S24" s="809">
        <f t="shared" si="6"/>
        <v>0</v>
      </c>
      <c r="T24" s="176">
        <f t="shared" si="7"/>
        <v>6</v>
      </c>
      <c r="U24" s="251">
        <f t="shared" si="8"/>
        <v>0.60044135754235162</v>
      </c>
      <c r="V24" s="383">
        <f t="shared" si="9"/>
        <v>17.180228032444532</v>
      </c>
      <c r="W24" s="402"/>
      <c r="X24" s="157">
        <f t="shared" si="10"/>
        <v>44206</v>
      </c>
      <c r="Y24" s="385">
        <f t="shared" si="11"/>
        <v>5.15</v>
      </c>
      <c r="Z24" s="385">
        <f t="shared" si="12"/>
        <v>5.3184805116278202</v>
      </c>
      <c r="AA24" s="386">
        <f t="shared" si="13"/>
        <v>5.95000894724296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0.10613907327110322</v>
      </c>
      <c r="AD24" s="231">
        <f>(INDEX(Models!$BJ24:$BT24,,AH24)*(1-AF24)+INDEX(Models!$BJ24:$BT24,,AH24+1)*AF24-ERP_i)*AE24*Ramure*Pc/MaxiM</f>
        <v>2.5807538343639774E-2</v>
      </c>
      <c r="AE24" s="305">
        <f t="shared" si="15"/>
        <v>0.8</v>
      </c>
      <c r="AF24" s="177">
        <f t="shared" si="22"/>
        <v>0.80037493169487273</v>
      </c>
      <c r="AG24" s="809">
        <f t="shared" si="23"/>
        <v>1</v>
      </c>
      <c r="AH24" s="176">
        <f t="shared" si="16"/>
        <v>7</v>
      </c>
      <c r="AI24" s="225">
        <f t="shared" si="17"/>
        <v>1.8003749316948727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6">
        <v>4.923</v>
      </c>
      <c r="C25" s="390"/>
      <c r="D25" s="393">
        <f t="shared" si="0"/>
        <v>5.0841739570381232</v>
      </c>
      <c r="E25" s="385">
        <f t="shared" si="1"/>
        <v>5.6883083256973146</v>
      </c>
      <c r="F25" s="385">
        <f t="shared" si="2"/>
        <v>5.6883083256973146</v>
      </c>
      <c r="G25" s="110">
        <f t="shared" si="21"/>
        <v>0.28141084141228395</v>
      </c>
      <c r="H25" s="414" t="b">
        <f>Wh_hp&gt;='2020'!Maxi_hp</f>
        <v>0</v>
      </c>
      <c r="I25" s="380">
        <f>IF(H25,Wh_hp,'2020'!Maxi_hp)</f>
        <v>19.826279561395662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3.170110983614309E-2</v>
      </c>
      <c r="M25" s="843"/>
      <c r="N25" s="843"/>
      <c r="O25" s="48">
        <f>IF(t&lt;Tnet,'2020'!Resal+('2020'!Salim-'2020'!Resal)*(1-EXP(('2020'!Tnet-t)/('2020'!Tau_j))),Resal+(Salim-Resal)*(1-EXP((Tnet-t)/(Tau_j))))*Salcycl</f>
        <v>0.10620633307269463</v>
      </c>
      <c r="P25" s="169">
        <f>(INDEX(Models!$BJ25:$BT25,,T25)*(1-R25)+INDEX(Models!$BJ25:$BT25,,T25+1)*R25-ERP_i)*Q25*Ramure*Pc/MaxiM</f>
        <v>7.5811145447933206E-3</v>
      </c>
      <c r="Q25" s="305">
        <f t="shared" si="4"/>
        <v>0.8</v>
      </c>
      <c r="R25" s="177">
        <f t="shared" si="5"/>
        <v>0.60049204009119084</v>
      </c>
      <c r="S25" s="809">
        <f t="shared" si="6"/>
        <v>0</v>
      </c>
      <c r="T25" s="176">
        <f t="shared" si="7"/>
        <v>6</v>
      </c>
      <c r="U25" s="251">
        <f t="shared" si="8"/>
        <v>0.60049204009119084</v>
      </c>
      <c r="V25" s="383">
        <f t="shared" si="9"/>
        <v>17.36137153983406</v>
      </c>
      <c r="W25" s="402"/>
      <c r="X25" s="157">
        <f t="shared" si="10"/>
        <v>44207</v>
      </c>
      <c r="Y25" s="385">
        <f t="shared" si="11"/>
        <v>4.923</v>
      </c>
      <c r="Z25" s="385">
        <f t="shared" si="12"/>
        <v>5.0841739570381232</v>
      </c>
      <c r="AA25" s="386">
        <f t="shared" si="13"/>
        <v>5.6883083256973146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0.10620633307269463</v>
      </c>
      <c r="AD25" s="231">
        <f>(INDEX(Models!$BJ25:$BT25,,AH25)*(1-AF25)+INDEX(Models!$BJ25:$BT25,,AH25+1)*AF25-ERP_i)*AE25*Ramure*Pc/MaxiM</f>
        <v>2.57348061351408E-2</v>
      </c>
      <c r="AE25" s="305">
        <f t="shared" si="15"/>
        <v>0.8</v>
      </c>
      <c r="AF25" s="177">
        <f t="shared" si="22"/>
        <v>0.80042561424371206</v>
      </c>
      <c r="AG25" s="809">
        <f t="shared" si="23"/>
        <v>1</v>
      </c>
      <c r="AH25" s="176">
        <f t="shared" si="16"/>
        <v>7</v>
      </c>
      <c r="AI25" s="225">
        <f t="shared" si="17"/>
        <v>1.8004256142437121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6">
        <v>9.5640000000000001</v>
      </c>
      <c r="C26" s="390"/>
      <c r="D26" s="393">
        <f t="shared" si="0"/>
        <v>9.8773480220309011</v>
      </c>
      <c r="E26" s="385">
        <f t="shared" si="1"/>
        <v>11.051870433379301</v>
      </c>
      <c r="F26" s="385">
        <f t="shared" si="2"/>
        <v>11.080941517163239</v>
      </c>
      <c r="G26" s="110">
        <f t="shared" si="21"/>
        <v>0.54228250075825568</v>
      </c>
      <c r="H26" s="414" t="b">
        <f>Wh_hp&gt;='2020'!Maxi_hp</f>
        <v>0</v>
      </c>
      <c r="I26" s="380">
        <f>IF(H26,Wh_hp,'2020'!Maxi_hp)</f>
        <v>19.450333694535168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3.1723902137698753E-2</v>
      </c>
      <c r="M26" s="843"/>
      <c r="N26" s="843"/>
      <c r="O26" s="48">
        <f>IF(t&lt;Tnet,'2020'!Resal+('2020'!Salim-'2020'!Resal)*(1-EXP(('2020'!Tnet-t)/('2020'!Tau_j))),Resal+(Salim-Resal)*(1-EXP((Tnet-t)/(Tau_j))))*Salcycl</f>
        <v>0.106273631999979</v>
      </c>
      <c r="P26" s="169">
        <f>(INDEX(Models!$BJ26:$BT26,,T26)*(1-R26)+INDEX(Models!$BJ26:$BT26,,T26+1)*R26-ERP_i)*Q26*Ramure*Pc/MaxiM</f>
        <v>7.4974420832527823E-3</v>
      </c>
      <c r="Q26" s="305">
        <f t="shared" si="4"/>
        <v>0.8</v>
      </c>
      <c r="R26" s="177">
        <f t="shared" si="5"/>
        <v>0.60054483976439621</v>
      </c>
      <c r="S26" s="809">
        <f t="shared" si="6"/>
        <v>0</v>
      </c>
      <c r="T26" s="176">
        <f t="shared" si="7"/>
        <v>6</v>
      </c>
      <c r="U26" s="251">
        <f t="shared" si="8"/>
        <v>0.60054483976439621</v>
      </c>
      <c r="V26" s="383">
        <f t="shared" si="9"/>
        <v>17.550378615129354</v>
      </c>
      <c r="W26" s="402"/>
      <c r="X26" s="157">
        <f t="shared" si="10"/>
        <v>44208</v>
      </c>
      <c r="Y26" s="385">
        <f t="shared" si="11"/>
        <v>9.5031364927340132</v>
      </c>
      <c r="Z26" s="385">
        <f t="shared" si="12"/>
        <v>9.814490426557505</v>
      </c>
      <c r="AA26" s="386">
        <f t="shared" si="13"/>
        <v>10.981538396948443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0.106273631999979</v>
      </c>
      <c r="AD26" s="231">
        <f>(INDEX(Models!$BJ26:$BT26,,AH26)*(1-AF26)+INDEX(Models!$BJ26:$BT26,,AH26+1)*AF26-ERP_i)*AE26*Ramure*Pc/MaxiM</f>
        <v>2.5636097444595777E-2</v>
      </c>
      <c r="AE26" s="305">
        <f t="shared" si="15"/>
        <v>0.8</v>
      </c>
      <c r="AF26" s="177">
        <f t="shared" si="22"/>
        <v>0.80047841391691743</v>
      </c>
      <c r="AG26" s="809">
        <f t="shared" si="23"/>
        <v>1</v>
      </c>
      <c r="AH26" s="176">
        <f t="shared" si="16"/>
        <v>7</v>
      </c>
      <c r="AI26" s="225">
        <f t="shared" si="17"/>
        <v>1.8004784139169174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6">
        <v>8.593</v>
      </c>
      <c r="C27" s="390"/>
      <c r="D27" s="393">
        <f t="shared" si="0"/>
        <v>8.8747437741162898</v>
      </c>
      <c r="E27" s="385">
        <f t="shared" si="1"/>
        <v>9.9307940341086525</v>
      </c>
      <c r="F27" s="385">
        <f t="shared" si="2"/>
        <v>9.9501726540099629</v>
      </c>
      <c r="G27" s="110">
        <f t="shared" si="21"/>
        <v>0.48155972461174168</v>
      </c>
      <c r="H27" s="414" t="b">
        <f>Wh_hp&gt;='2020'!Maxi_hp</f>
        <v>0</v>
      </c>
      <c r="I27" s="380">
        <f>IF(H27,Wh_hp,'2020'!Maxi_hp)</f>
        <v>13.955743056810109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3.1746693908844145E-2</v>
      </c>
      <c r="M27" s="843"/>
      <c r="N27" s="843"/>
      <c r="O27" s="48">
        <f>IF(t&lt;Tnet,'2020'!Resal+('2020'!Salim-'2020'!Resal)*(1-EXP(('2020'!Tnet-t)/('2020'!Tau_j))),Resal+(Salim-Resal)*(1-EXP((Tnet-t)/(Tau_j))))*Salcycl</f>
        <v>0.10634096894621065</v>
      </c>
      <c r="P27" s="169">
        <f>(INDEX(Models!$BJ27:$BT27,,T27)*(1-R27)+INDEX(Models!$BJ27:$BT27,,T27+1)*R27-ERP_i)*Q27*Ramure*Pc/MaxiM</f>
        <v>7.4009559626729551E-3</v>
      </c>
      <c r="Q27" s="305">
        <f t="shared" si="4"/>
        <v>0.8</v>
      </c>
      <c r="R27" s="177">
        <f t="shared" si="5"/>
        <v>0.60059984460175908</v>
      </c>
      <c r="S27" s="809">
        <f t="shared" si="6"/>
        <v>0</v>
      </c>
      <c r="T27" s="176">
        <f t="shared" si="7"/>
        <v>6</v>
      </c>
      <c r="U27" s="251">
        <f t="shared" si="8"/>
        <v>0.60059984460175908</v>
      </c>
      <c r="V27" s="383">
        <f t="shared" si="9"/>
        <v>17.746599522361265</v>
      </c>
      <c r="W27" s="402"/>
      <c r="X27" s="157">
        <f t="shared" si="10"/>
        <v>44209</v>
      </c>
      <c r="Y27" s="385">
        <f t="shared" si="11"/>
        <v>8.5519636507708956</v>
      </c>
      <c r="Z27" s="385">
        <f t="shared" si="12"/>
        <v>8.8323619418303068</v>
      </c>
      <c r="AA27" s="386">
        <f t="shared" si="13"/>
        <v>9.8833689750948057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0.10634096894621065</v>
      </c>
      <c r="AD27" s="231">
        <f>(INDEX(Models!$BJ27:$BT27,,AH27)*(1-AF27)+INDEX(Models!$BJ27:$BT27,,AH27+1)*AF27-ERP_i)*AE27*Ramure*Pc/MaxiM</f>
        <v>2.5513224796890725E-2</v>
      </c>
      <c r="AE27" s="305">
        <f t="shared" si="15"/>
        <v>0.8</v>
      </c>
      <c r="AF27" s="177">
        <f t="shared" si="22"/>
        <v>0.8005334187542803</v>
      </c>
      <c r="AG27" s="809">
        <f t="shared" si="23"/>
        <v>1</v>
      </c>
      <c r="AH27" s="176">
        <f t="shared" si="16"/>
        <v>7</v>
      </c>
      <c r="AI27" s="225">
        <f t="shared" si="17"/>
        <v>1.8005334187542803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6">
        <v>9.2650000000000006</v>
      </c>
      <c r="C28" s="390"/>
      <c r="D28" s="393">
        <f t="shared" si="0"/>
        <v>9.5690022756940731</v>
      </c>
      <c r="E28" s="385">
        <f t="shared" si="1"/>
        <v>10.708473177812548</v>
      </c>
      <c r="F28" s="385">
        <f t="shared" si="2"/>
        <v>10.732643565026088</v>
      </c>
      <c r="G28" s="110">
        <f t="shared" si="21"/>
        <v>0.51356609644816076</v>
      </c>
      <c r="H28" s="414" t="b">
        <f>Wh_hp&gt;='2020'!Maxi_hp</f>
        <v>0</v>
      </c>
      <c r="I28" s="380">
        <f>IF(H28,Wh_hp,'2020'!Maxi_hp)</f>
        <v>19.478553246550526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3.1769485149591811E-2</v>
      </c>
      <c r="M28" s="843"/>
      <c r="N28" s="843"/>
      <c r="O28" s="48">
        <f>IF(t&lt;Tnet,'2020'!Resal+('2020'!Salim-'2020'!Resal)*(1-EXP(('2020'!Tnet-t)/('2020'!Tau_j))),Resal+(Salim-Resal)*(1-EXP((Tnet-t)/(Tau_j))))*Salcycl</f>
        <v>0.10640834442013697</v>
      </c>
      <c r="P28" s="169">
        <f>(INDEX(Models!$BJ28:$BT28,,T28)*(1-R28)+INDEX(Models!$BJ28:$BT28,,T28+1)*R28-ERP_i)*Q28*Ramure*Pc/MaxiM</f>
        <v>7.2924275222415996E-3</v>
      </c>
      <c r="Q28" s="305">
        <f t="shared" si="4"/>
        <v>0.8</v>
      </c>
      <c r="R28" s="177">
        <f t="shared" si="5"/>
        <v>0.60065714627022648</v>
      </c>
      <c r="S28" s="809">
        <f t="shared" si="6"/>
        <v>0</v>
      </c>
      <c r="T28" s="176">
        <f t="shared" si="7"/>
        <v>6</v>
      </c>
      <c r="U28" s="251">
        <f t="shared" si="8"/>
        <v>0.60065714627022648</v>
      </c>
      <c r="V28" s="383">
        <f t="shared" si="9"/>
        <v>17.949384715870941</v>
      </c>
      <c r="W28" s="402"/>
      <c r="X28" s="157">
        <f t="shared" si="10"/>
        <v>44210</v>
      </c>
      <c r="Y28" s="385">
        <f t="shared" si="11"/>
        <v>9.2131652938859947</v>
      </c>
      <c r="Z28" s="385">
        <f t="shared" si="12"/>
        <v>9.5154667742623573</v>
      </c>
      <c r="AA28" s="386">
        <f t="shared" si="13"/>
        <v>10.648562701816692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0.10640834442013697</v>
      </c>
      <c r="AD28" s="231">
        <f>(INDEX(Models!$BJ28:$BT28,,AH28)*(1-AF28)+INDEX(Models!$BJ28:$BT28,,AH28+1)*AF28-ERP_i)*AE28*Ramure*Pc/MaxiM</f>
        <v>2.5367967651695737E-2</v>
      </c>
      <c r="AE28" s="305">
        <f t="shared" si="15"/>
        <v>0.8</v>
      </c>
      <c r="AF28" s="177">
        <f t="shared" si="22"/>
        <v>0.80059072042274781</v>
      </c>
      <c r="AG28" s="809">
        <f t="shared" si="23"/>
        <v>1</v>
      </c>
      <c r="AH28" s="176">
        <f t="shared" si="16"/>
        <v>7</v>
      </c>
      <c r="AI28" s="225">
        <f t="shared" si="17"/>
        <v>1.8005907204227478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6">
        <v>12.258000000000001</v>
      </c>
      <c r="C29" s="390"/>
      <c r="D29" s="393">
        <f t="shared" si="0"/>
        <v>12.660506309105779</v>
      </c>
      <c r="E29" s="385">
        <f t="shared" si="1"/>
        <v>14.169180584992301</v>
      </c>
      <c r="F29" s="385">
        <f t="shared" si="2"/>
        <v>14.223845631175303</v>
      </c>
      <c r="G29" s="110">
        <f t="shared" si="21"/>
        <v>0.67281493323246577</v>
      </c>
      <c r="H29" s="414" t="b">
        <f>Wh_hp&gt;='2020'!Maxi_hp</f>
        <v>0</v>
      </c>
      <c r="I29" s="380">
        <f>IF(H29,Wh_hp,'2020'!Maxi_hp)</f>
        <v>20.589721557964918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3.1792275859953964E-2</v>
      </c>
      <c r="M29" s="843"/>
      <c r="N29" s="843"/>
      <c r="O29" s="48">
        <f>IF(t&lt;Tnet,'2020'!Resal+('2020'!Salim-'2020'!Resal)*(1-EXP(('2020'!Tnet-t)/('2020'!Tau_j))),Resal+(Salim-Resal)*(1-EXP((Tnet-t)/(Tau_j))))*Salcycl</f>
        <v>0.10647576031915912</v>
      </c>
      <c r="P29" s="169">
        <f>(INDEX(Models!$BJ29:$BT29,,T29)*(1-R29)+INDEX(Models!$BJ29:$BT29,,T29+1)*R29-ERP_i)*Q29*Ramure*Pc/MaxiM</f>
        <v>7.1726067303664312E-3</v>
      </c>
      <c r="Q29" s="305">
        <f t="shared" si="4"/>
        <v>0.8</v>
      </c>
      <c r="R29" s="177">
        <f t="shared" si="5"/>
        <v>0.60071684021043326</v>
      </c>
      <c r="S29" s="809">
        <f t="shared" si="6"/>
        <v>0</v>
      </c>
      <c r="T29" s="176">
        <f t="shared" si="7"/>
        <v>6</v>
      </c>
      <c r="U29" s="251">
        <f t="shared" si="8"/>
        <v>0.60071684021043326</v>
      </c>
      <c r="V29" s="383">
        <f t="shared" si="9"/>
        <v>18.158084851220565</v>
      </c>
      <c r="W29" s="402"/>
      <c r="X29" s="157">
        <f t="shared" si="10"/>
        <v>44211</v>
      </c>
      <c r="Y29" s="385">
        <f t="shared" si="11"/>
        <v>12.139125112189156</v>
      </c>
      <c r="Z29" s="385">
        <f t="shared" si="12"/>
        <v>12.537728020059976</v>
      </c>
      <c r="AA29" s="386">
        <f t="shared" si="13"/>
        <v>14.031771566195388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0.10647576031915912</v>
      </c>
      <c r="AD29" s="231">
        <f>(INDEX(Models!$BJ29:$BT29,,AH29)*(1-AF29)+INDEX(Models!$BJ29:$BT29,,AH29+1)*AF29-ERP_i)*AE29*Ramure*Pc/MaxiM</f>
        <v>2.5202059220653158E-2</v>
      </c>
      <c r="AE29" s="305">
        <f t="shared" si="15"/>
        <v>0.8</v>
      </c>
      <c r="AF29" s="177">
        <f t="shared" si="22"/>
        <v>0.80065041436295448</v>
      </c>
      <c r="AG29" s="809">
        <f t="shared" si="23"/>
        <v>1</v>
      </c>
      <c r="AH29" s="176">
        <f t="shared" si="16"/>
        <v>7</v>
      </c>
      <c r="AI29" s="225">
        <f t="shared" si="17"/>
        <v>1.8006504143629545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6">
        <v>11.261000000000001</v>
      </c>
      <c r="C30" s="390"/>
      <c r="D30" s="393">
        <f t="shared" si="0"/>
        <v>11.631042381480167</v>
      </c>
      <c r="E30" s="385">
        <f t="shared" si="1"/>
        <v>13.018024640847916</v>
      </c>
      <c r="F30" s="385">
        <f t="shared" si="2"/>
        <v>13.05912818280874</v>
      </c>
      <c r="G30" s="110">
        <f t="shared" si="21"/>
        <v>0.61054714018333511</v>
      </c>
      <c r="H30" s="414" t="b">
        <f>Wh_hp&gt;='2020'!Maxi_hp</f>
        <v>0</v>
      </c>
      <c r="I30" s="380">
        <f>IF(H30,Wh_hp,'2020'!Maxi_hp)</f>
        <v>20.060195797271877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3.1815066039942927E-2</v>
      </c>
      <c r="M30" s="843"/>
      <c r="N30" s="843"/>
      <c r="O30" s="48">
        <f>IF(t&lt;Tnet,'2020'!Resal+('2020'!Salim-'2020'!Resal)*(1-EXP(('2020'!Tnet-t)/('2020'!Tau_j))),Resal+(Salim-Resal)*(1-EXP((Tnet-t)/(Tau_j))))*Salcycl</f>
        <v>0.10654321969983686</v>
      </c>
      <c r="P30" s="169">
        <f>(INDEX(Models!$BJ30:$BT30,,T30)*(1-R30)+INDEX(Models!$BJ30:$BT30,,T30+1)*R30-ERP_i)*Q30*Ramure*Pc/MaxiM</f>
        <v>7.0404573635701739E-3</v>
      </c>
      <c r="Q30" s="305">
        <f t="shared" si="4"/>
        <v>0.8</v>
      </c>
      <c r="R30" s="177">
        <f t="shared" si="5"/>
        <v>0.60077902578890519</v>
      </c>
      <c r="S30" s="809">
        <f t="shared" si="6"/>
        <v>0</v>
      </c>
      <c r="T30" s="176">
        <f t="shared" si="7"/>
        <v>6</v>
      </c>
      <c r="U30" s="251">
        <f t="shared" si="8"/>
        <v>0.60077902578890519</v>
      </c>
      <c r="V30" s="383">
        <f t="shared" si="9"/>
        <v>18.372083326733595</v>
      </c>
      <c r="W30" s="402"/>
      <c r="X30" s="157">
        <f t="shared" si="10"/>
        <v>44212</v>
      </c>
      <c r="Y30" s="385">
        <f t="shared" si="11"/>
        <v>11.170283462045962</v>
      </c>
      <c r="Z30" s="385">
        <f t="shared" si="12"/>
        <v>11.537344850386607</v>
      </c>
      <c r="AA30" s="386">
        <f t="shared" si="13"/>
        <v>12.913153836619331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0.10654321969983686</v>
      </c>
      <c r="AD30" s="231">
        <f>(INDEX(Models!$BJ30:$BT30,,AH30)*(1-AF30)+INDEX(Models!$BJ30:$BT30,,AH30+1)*AF30-ERP_i)*AE30*Ramure*Pc/MaxiM</f>
        <v>2.5003347923181048E-2</v>
      </c>
      <c r="AE30" s="305">
        <f t="shared" si="15"/>
        <v>0.8</v>
      </c>
      <c r="AF30" s="177">
        <f t="shared" si="22"/>
        <v>0.80071259994142641</v>
      </c>
      <c r="AG30" s="809">
        <f t="shared" si="23"/>
        <v>1</v>
      </c>
      <c r="AH30" s="176">
        <f t="shared" si="16"/>
        <v>7</v>
      </c>
      <c r="AI30" s="225">
        <f t="shared" si="17"/>
        <v>1.8007125999414264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6">
        <v>8.3209999999999997</v>
      </c>
      <c r="C31" s="390"/>
      <c r="D31" s="393">
        <f t="shared" si="0"/>
        <v>8.5946347405750014</v>
      </c>
      <c r="E31" s="385">
        <f t="shared" si="1"/>
        <v>9.6202573681774961</v>
      </c>
      <c r="F31" s="385">
        <f t="shared" si="2"/>
        <v>9.6342714837577628</v>
      </c>
      <c r="G31" s="110">
        <f t="shared" si="21"/>
        <v>0.44514925472821937</v>
      </c>
      <c r="H31" s="414" t="b">
        <f>Wh_hp&gt;='2020'!Maxi_hp</f>
        <v>0</v>
      </c>
      <c r="I31" s="380">
        <f>IF(H31,Wh_hp,'2020'!Maxi_hp)</f>
        <v>9.7288381419914938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3.1837855689571246E-2</v>
      </c>
      <c r="M31" s="843"/>
      <c r="N31" s="843"/>
      <c r="O31" s="48">
        <f>IF(t&lt;Tnet,'2020'!Resal+('2020'!Salim-'2020'!Resal)*(1-EXP(('2020'!Tnet-t)/('2020'!Tau_j))),Resal+(Salim-Resal)*(1-EXP((Tnet-t)/(Tau_j))))*Salcycl</f>
        <v>0.10661072654824337</v>
      </c>
      <c r="P31" s="169">
        <f>(INDEX(Models!$BJ31:$BT31,,T31)*(1-R31)+INDEX(Models!$BJ31:$BT31,,T31+1)*R31-ERP_i)*Q31*Ramure*Pc/MaxiM</f>
        <v>6.8990433587081349E-3</v>
      </c>
      <c r="Q31" s="305">
        <f t="shared" si="4"/>
        <v>0.8</v>
      </c>
      <c r="R31" s="177">
        <f t="shared" si="5"/>
        <v>0.60084380645613011</v>
      </c>
      <c r="S31" s="809">
        <f t="shared" si="6"/>
        <v>0</v>
      </c>
      <c r="T31" s="176">
        <f t="shared" si="7"/>
        <v>6</v>
      </c>
      <c r="U31" s="251">
        <f t="shared" si="8"/>
        <v>0.60084380645613011</v>
      </c>
      <c r="V31" s="383">
        <f t="shared" si="9"/>
        <v>18.590687942453535</v>
      </c>
      <c r="W31" s="402"/>
      <c r="X31" s="157">
        <f t="shared" si="10"/>
        <v>44213</v>
      </c>
      <c r="Y31" s="385">
        <f t="shared" si="11"/>
        <v>8.2895953113282488</v>
      </c>
      <c r="Z31" s="385">
        <f t="shared" si="12"/>
        <v>8.5621973137903407</v>
      </c>
      <c r="AA31" s="386">
        <f t="shared" si="13"/>
        <v>9.5839490894141584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0.10661072654824337</v>
      </c>
      <c r="AD31" s="231">
        <f>(INDEX(Models!$BJ31:$BT31,,AH31)*(1-AF31)+INDEX(Models!$BJ31:$BT31,,AH31+1)*AF31-ERP_i)*AE31*Ramure*Pc/MaxiM</f>
        <v>2.4773335035097245E-2</v>
      </c>
      <c r="AE31" s="305">
        <f t="shared" si="15"/>
        <v>0.8</v>
      </c>
      <c r="AF31" s="177">
        <f t="shared" si="22"/>
        <v>0.80077738060865133</v>
      </c>
      <c r="AG31" s="809">
        <f t="shared" si="23"/>
        <v>1</v>
      </c>
      <c r="AH31" s="176">
        <f t="shared" si="16"/>
        <v>7</v>
      </c>
      <c r="AI31" s="225">
        <f t="shared" si="17"/>
        <v>1.8007773806086513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6">
        <v>18.361000000000001</v>
      </c>
      <c r="C32" s="390"/>
      <c r="D32" s="393">
        <f t="shared" si="0"/>
        <v>18.965244932507481</v>
      </c>
      <c r="E32" s="385">
        <f t="shared" si="1"/>
        <v>21.230027912440921</v>
      </c>
      <c r="F32" s="385">
        <f t="shared" si="2"/>
        <v>21.36929658640063</v>
      </c>
      <c r="G32" s="110">
        <f t="shared" si="21"/>
        <v>0.9757334121008191</v>
      </c>
      <c r="H32" s="414" t="b">
        <f>Wh_hp&gt;='2020'!Maxi_hp</f>
        <v>1</v>
      </c>
      <c r="I32" s="380">
        <f>IF(H32,Wh_hp,'2020'!Maxi_hp)</f>
        <v>21.36929658640063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3.1860644808851021E-2</v>
      </c>
      <c r="M32" s="843"/>
      <c r="N32" s="843"/>
      <c r="O32" s="48">
        <f>IF(t&lt;Tnet,'2020'!Resal+('2020'!Salim-'2020'!Resal)*(1-EXP(('2020'!Tnet-t)/('2020'!Tau_j))),Resal+(Salim-Resal)*(1-EXP((Tnet-t)/(Tau_j))))*Salcycl</f>
        <v>0.10667828555261877</v>
      </c>
      <c r="P32" s="169">
        <f>(INDEX(Models!$BJ32:$BT32,,T32)*(1-R32)+INDEX(Models!$BJ32:$BT32,,T32+1)*R32-ERP_i)*Q32*Ramure*Pc/MaxiM</f>
        <v>6.7490019508094001E-3</v>
      </c>
      <c r="Q32" s="305">
        <f t="shared" si="4"/>
        <v>0.8</v>
      </c>
      <c r="R32" s="177">
        <f t="shared" si="5"/>
        <v>0.6009112899107002</v>
      </c>
      <c r="S32" s="809">
        <f t="shared" si="6"/>
        <v>0</v>
      </c>
      <c r="T32" s="176">
        <f t="shared" si="7"/>
        <v>6</v>
      </c>
      <c r="U32" s="251">
        <f t="shared" si="8"/>
        <v>0.6009112899107002</v>
      </c>
      <c r="V32" s="383">
        <f t="shared" si="9"/>
        <v>18.813249948290395</v>
      </c>
      <c r="W32" s="402"/>
      <c r="X32" s="157">
        <f t="shared" si="10"/>
        <v>44214</v>
      </c>
      <c r="Y32" s="385">
        <f t="shared" si="11"/>
        <v>18.043951177540031</v>
      </c>
      <c r="Z32" s="385">
        <f t="shared" si="12"/>
        <v>18.637762302284923</v>
      </c>
      <c r="AA32" s="386">
        <f t="shared" si="13"/>
        <v>20.863438110663694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0.10667828555261877</v>
      </c>
      <c r="AD32" s="231">
        <f>(INDEX(Models!$BJ32:$BT32,,AH32)*(1-AF32)+INDEX(Models!$BJ32:$BT32,,AH32+1)*AF32-ERP_i)*AE32*Ramure*Pc/MaxiM</f>
        <v>2.4514054327606689E-2</v>
      </c>
      <c r="AE32" s="305">
        <f t="shared" si="15"/>
        <v>0.8</v>
      </c>
      <c r="AF32" s="177">
        <f t="shared" si="22"/>
        <v>0.80084486406322131</v>
      </c>
      <c r="AG32" s="809">
        <f t="shared" si="23"/>
        <v>1</v>
      </c>
      <c r="AH32" s="176">
        <f t="shared" si="16"/>
        <v>7</v>
      </c>
      <c r="AI32" s="225">
        <f t="shared" si="17"/>
        <v>1.8008448640632213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6">
        <v>18.834</v>
      </c>
      <c r="C33" s="390"/>
      <c r="D33" s="393">
        <f t="shared" si="0"/>
        <v>19.454268886340426</v>
      </c>
      <c r="E33" s="385">
        <f t="shared" si="1"/>
        <v>21.779098385666703</v>
      </c>
      <c r="F33" s="385">
        <f t="shared" si="2"/>
        <v>21.921356868547587</v>
      </c>
      <c r="G33" s="110">
        <f t="shared" si="21"/>
        <v>0.98912534767288451</v>
      </c>
      <c r="H33" s="414" t="b">
        <f>Wh_hp&gt;='2020'!Maxi_hp</f>
        <v>0</v>
      </c>
      <c r="I33" s="380">
        <f>IF(H33,Wh_hp,'2020'!Maxi_hp)</f>
        <v>22.802724307103638</v>
      </c>
      <c r="J33" s="85">
        <f>IF(H33,An,'2020'!An_max)</f>
        <v>2020</v>
      </c>
      <c r="K33" s="197">
        <f t="shared" si="3"/>
        <v>44215</v>
      </c>
      <c r="L33" s="147">
        <f>IF(t&lt;Tvie,1-EXP((T0-t)*PertePVj)+'2020'!Pspv,1-EXP((T0-t)*PertePVj)+Pspv)</f>
        <v>3.18834333977948E-2</v>
      </c>
      <c r="M33" s="843"/>
      <c r="N33" s="843"/>
      <c r="O33" s="48">
        <f>IF(t&lt;Tnet,'2020'!Resal+('2020'!Salim-'2020'!Resal)*(1-EXP(('2020'!Tnet-t)/('2020'!Tau_j))),Resal+(Salim-Resal)*(1-EXP((Tnet-t)/(Tau_j))))*Salcycl</f>
        <v>0.10674590188069021</v>
      </c>
      <c r="P33" s="169">
        <f>(INDEX(Models!$BJ33:$BT33,,T33)*(1-R33)+INDEX(Models!$BJ33:$BT33,,T33+1)*R33-ERP_i)*Q33*Ramure*Pc/MaxiM</f>
        <v>6.5909331600958691E-3</v>
      </c>
      <c r="Q33" s="305">
        <f t="shared" si="4"/>
        <v>0.8</v>
      </c>
      <c r="R33" s="177">
        <f t="shared" si="5"/>
        <v>0.60098158826973325</v>
      </c>
      <c r="S33" s="809">
        <f t="shared" si="6"/>
        <v>0</v>
      </c>
      <c r="T33" s="176">
        <f t="shared" si="7"/>
        <v>6</v>
      </c>
      <c r="U33" s="251">
        <f t="shared" si="8"/>
        <v>0.60098158826973325</v>
      </c>
      <c r="V33" s="383">
        <f t="shared" si="9"/>
        <v>19.039120808271235</v>
      </c>
      <c r="W33" s="402"/>
      <c r="X33" s="157">
        <f t="shared" si="10"/>
        <v>44215</v>
      </c>
      <c r="Y33" s="385">
        <f t="shared" si="11"/>
        <v>18.504809885716771</v>
      </c>
      <c r="Z33" s="385">
        <f t="shared" si="12"/>
        <v>19.114237400835961</v>
      </c>
      <c r="AA33" s="386">
        <f t="shared" si="13"/>
        <v>21.398432362168595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0.10674590188069021</v>
      </c>
      <c r="AD33" s="231">
        <f>(INDEX(Models!$BJ33:$BT33,,AH33)*(1-AF33)+INDEX(Models!$BJ33:$BT33,,AH33+1)*AF33-ERP_i)*AE33*Ramure*Pc/MaxiM</f>
        <v>2.4227451323278519E-2</v>
      </c>
      <c r="AE33" s="305">
        <f t="shared" si="15"/>
        <v>0.8</v>
      </c>
      <c r="AF33" s="177">
        <f t="shared" si="22"/>
        <v>0.80091516242225436</v>
      </c>
      <c r="AG33" s="809">
        <f t="shared" si="23"/>
        <v>1</v>
      </c>
      <c r="AH33" s="176">
        <f t="shared" si="16"/>
        <v>7</v>
      </c>
      <c r="AI33" s="225">
        <f t="shared" si="17"/>
        <v>1.8009151624222544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6">
        <v>5.4859999999999998</v>
      </c>
      <c r="C34" s="390"/>
      <c r="D34" s="393">
        <f t="shared" si="0"/>
        <v>5.6668063792881922</v>
      </c>
      <c r="E34" s="385">
        <f t="shared" si="1"/>
        <v>6.3444833670935061</v>
      </c>
      <c r="F34" s="385">
        <f t="shared" si="2"/>
        <v>6.3444833670935061</v>
      </c>
      <c r="G34" s="110">
        <f t="shared" si="21"/>
        <v>0.2828964427032773</v>
      </c>
      <c r="H34" s="414" t="b">
        <f>Wh_hp&gt;='2020'!Maxi_hp</f>
        <v>0</v>
      </c>
      <c r="I34" s="380">
        <f>IF(H34,Wh_hp,'2020'!Maxi_hp)</f>
        <v>11.121827175647727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3.1906221456414682E-2</v>
      </c>
      <c r="M34" s="843"/>
      <c r="N34" s="843"/>
      <c r="O34" s="48">
        <f>IF(t&lt;Tnet,'2020'!Resal+('2020'!Salim-'2020'!Resal)*(1-EXP(('2020'!Tnet-t)/('2020'!Tau_j))),Resal+(Salim-Resal)*(1-EXP((Tnet-t)/(Tau_j))))*Salcycl</f>
        <v>0.10681358096392445</v>
      </c>
      <c r="P34" s="169">
        <f>(INDEX(Models!$BJ34:$BT34,,T34)*(1-R34)+INDEX(Models!$BJ34:$BT34,,T34+1)*R34-ERP_i)*Q34*Ramure*Pc/MaxiM</f>
        <v>6.4254338894667853E-3</v>
      </c>
      <c r="Q34" s="305">
        <f t="shared" si="4"/>
        <v>0.8</v>
      </c>
      <c r="R34" s="177">
        <f t="shared" si="5"/>
        <v>0.60105481824578444</v>
      </c>
      <c r="S34" s="809">
        <f t="shared" si="6"/>
        <v>0</v>
      </c>
      <c r="T34" s="176">
        <f t="shared" si="7"/>
        <v>6</v>
      </c>
      <c r="U34" s="251">
        <f t="shared" si="8"/>
        <v>0.60105481824578444</v>
      </c>
      <c r="V34" s="383">
        <f t="shared" si="9"/>
        <v>19.267651503838575</v>
      </c>
      <c r="W34" s="402"/>
      <c r="X34" s="157">
        <f t="shared" si="10"/>
        <v>44216</v>
      </c>
      <c r="Y34" s="385">
        <f t="shared" si="11"/>
        <v>5.4859999999999998</v>
      </c>
      <c r="Z34" s="385">
        <f t="shared" si="12"/>
        <v>5.6668063792881922</v>
      </c>
      <c r="AA34" s="386">
        <f t="shared" si="13"/>
        <v>6.3444833670935061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0.10681358096392445</v>
      </c>
      <c r="AD34" s="231">
        <f>(INDEX(Models!$BJ34:$BT34,,AH34)*(1-AF34)+INDEX(Models!$BJ34:$BT34,,AH34+1)*AF34-ERP_i)*AE34*Ramure*Pc/MaxiM</f>
        <v>2.3915508708580314E-2</v>
      </c>
      <c r="AE34" s="305">
        <f t="shared" si="15"/>
        <v>0.8</v>
      </c>
      <c r="AF34" s="177">
        <f t="shared" si="22"/>
        <v>0.80098839239830566</v>
      </c>
      <c r="AG34" s="809">
        <f t="shared" si="23"/>
        <v>1</v>
      </c>
      <c r="AH34" s="176">
        <f t="shared" si="16"/>
        <v>7</v>
      </c>
      <c r="AI34" s="225">
        <f t="shared" si="17"/>
        <v>1.8009883923983057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6">
        <v>10.048</v>
      </c>
      <c r="C35" s="390"/>
      <c r="D35" s="393">
        <f t="shared" si="0"/>
        <v>10.379404086328453</v>
      </c>
      <c r="E35" s="385">
        <f t="shared" si="1"/>
        <v>11.621528487883454</v>
      </c>
      <c r="F35" s="385">
        <f t="shared" si="2"/>
        <v>11.64392596148052</v>
      </c>
      <c r="G35" s="110">
        <f t="shared" si="21"/>
        <v>0.51309436503656547</v>
      </c>
      <c r="H35" s="414" t="b">
        <f>Wh_hp&gt;='2020'!Maxi_hp</f>
        <v>1</v>
      </c>
      <c r="I35" s="380">
        <f>IF(H35,Wh_hp,'2020'!Maxi_hp)</f>
        <v>11.64392596148052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3.1929008984723214E-2</v>
      </c>
      <c r="M35" s="843"/>
      <c r="N35" s="843"/>
      <c r="O35" s="48">
        <f>IF(t&lt;Tnet,'2020'!Resal+('2020'!Salim-'2020'!Resal)*(1-EXP(('2020'!Tnet-t)/('2020'!Tau_j))),Resal+(Salim-Resal)*(1-EXP((Tnet-t)/(Tau_j))))*Salcycl</f>
        <v>0.10688132829085553</v>
      </c>
      <c r="P35" s="169">
        <f>(INDEX(Models!$BJ35:$BT35,,T35)*(1-R35)+INDEX(Models!$BJ35:$BT35,,T35+1)*R35-ERP_i)*Q35*Ramure*Pc/MaxiM</f>
        <v>6.2530728573754694E-3</v>
      </c>
      <c r="Q35" s="305">
        <f t="shared" si="4"/>
        <v>0.8</v>
      </c>
      <c r="R35" s="177">
        <f t="shared" si="5"/>
        <v>0.60113110133046788</v>
      </c>
      <c r="S35" s="809">
        <f t="shared" si="6"/>
        <v>0</v>
      </c>
      <c r="T35" s="176">
        <f t="shared" si="7"/>
        <v>6</v>
      </c>
      <c r="U35" s="251">
        <f t="shared" si="8"/>
        <v>0.60113110133046788</v>
      </c>
      <c r="V35" s="383">
        <f t="shared" si="9"/>
        <v>19.498192968321948</v>
      </c>
      <c r="W35" s="402"/>
      <c r="X35" s="157">
        <f t="shared" si="10"/>
        <v>44217</v>
      </c>
      <c r="Y35" s="385">
        <f t="shared" si="11"/>
        <v>9.9943403974026683</v>
      </c>
      <c r="Z35" s="385">
        <f t="shared" si="12"/>
        <v>10.323974677643193</v>
      </c>
      <c r="AA35" s="386">
        <f t="shared" si="13"/>
        <v>11.559465729102266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0.10688132829085553</v>
      </c>
      <c r="AD35" s="231">
        <f>(INDEX(Models!$BJ35:$BT35,,AH35)*(1-AF35)+INDEX(Models!$BJ35:$BT35,,AH35+1)*AF35-ERP_i)*AE35*Ramure*Pc/MaxiM</f>
        <v>2.3580158910480337E-2</v>
      </c>
      <c r="AE35" s="305">
        <f t="shared" si="15"/>
        <v>0.8</v>
      </c>
      <c r="AF35" s="177">
        <f t="shared" si="22"/>
        <v>0.8010646754829891</v>
      </c>
      <c r="AG35" s="809">
        <f t="shared" si="23"/>
        <v>1</v>
      </c>
      <c r="AH35" s="176">
        <f t="shared" si="16"/>
        <v>7</v>
      </c>
      <c r="AI35" s="225">
        <f t="shared" si="17"/>
        <v>1.8010646754829891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6">
        <v>6.016</v>
      </c>
      <c r="C36" s="390"/>
      <c r="D36" s="393">
        <f t="shared" si="0"/>
        <v>6.2145665629401767</v>
      </c>
      <c r="E36" s="385">
        <f t="shared" si="1"/>
        <v>6.9588048177246415</v>
      </c>
      <c r="F36" s="385">
        <f t="shared" si="2"/>
        <v>6.9591016197873863</v>
      </c>
      <c r="G36" s="110">
        <f t="shared" si="21"/>
        <v>0.30307564019443545</v>
      </c>
      <c r="H36" s="414" t="b">
        <f>Wh_hp&gt;='2020'!Maxi_hp</f>
        <v>0</v>
      </c>
      <c r="I36" s="380">
        <f>IF(H36,Wh_hp,'2020'!Maxi_hp)</f>
        <v>9.3865830332541673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3.195179598273272E-2</v>
      </c>
      <c r="M36" s="843"/>
      <c r="N36" s="843"/>
      <c r="O36" s="48">
        <f>IF(t&lt;Tnet,'2020'!Resal+('2020'!Salim-'2020'!Resal)*(1-EXP(('2020'!Tnet-t)/('2020'!Tau_j))),Resal+(Salim-Resal)*(1-EXP((Tnet-t)/(Tau_j))))*Salcycl</f>
        <v>0.10694914921148962</v>
      </c>
      <c r="P36" s="169">
        <f>(INDEX(Models!$BJ36:$BT36,,T36)*(1-R36)+INDEX(Models!$BJ36:$BT36,,T36+1)*R36-ERP_i)*Q36*Ramure*Pc/MaxiM</f>
        <v>6.0743458438077954E-3</v>
      </c>
      <c r="Q36" s="305">
        <f t="shared" si="4"/>
        <v>0.8</v>
      </c>
      <c r="R36" s="177">
        <f t="shared" si="5"/>
        <v>0.60121056398500639</v>
      </c>
      <c r="S36" s="809">
        <f t="shared" si="6"/>
        <v>0</v>
      </c>
      <c r="T36" s="176">
        <f t="shared" si="7"/>
        <v>6</v>
      </c>
      <c r="U36" s="251">
        <f t="shared" si="8"/>
        <v>0.60121056398500639</v>
      </c>
      <c r="V36" s="383">
        <f t="shared" si="9"/>
        <v>19.730096959170307</v>
      </c>
      <c r="W36" s="402"/>
      <c r="X36" s="157">
        <f t="shared" si="10"/>
        <v>44218</v>
      </c>
      <c r="Y36" s="385">
        <f t="shared" si="11"/>
        <v>6.0152756081801915</v>
      </c>
      <c r="Z36" s="385">
        <f t="shared" si="12"/>
        <v>6.2138182615469173</v>
      </c>
      <c r="AA36" s="386">
        <f t="shared" si="13"/>
        <v>6.9579669019524344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0.10694914921148962</v>
      </c>
      <c r="AD36" s="231">
        <f>(INDEX(Models!$BJ36:$BT36,,AH36)*(1-AF36)+INDEX(Models!$BJ36:$BT36,,AH36+1)*AF36-ERP_i)*AE36*Ramure*Pc/MaxiM</f>
        <v>2.3223115435515931E-2</v>
      </c>
      <c r="AE36" s="305">
        <f t="shared" si="15"/>
        <v>0.8</v>
      </c>
      <c r="AF36" s="177">
        <f t="shared" si="22"/>
        <v>0.8011441381375275</v>
      </c>
      <c r="AG36" s="809">
        <f t="shared" si="23"/>
        <v>1</v>
      </c>
      <c r="AH36" s="176">
        <f t="shared" si="16"/>
        <v>7</v>
      </c>
      <c r="AI36" s="225">
        <f t="shared" si="17"/>
        <v>1.8011441381375275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6">
        <v>6.9370000000000003</v>
      </c>
      <c r="C37" s="390"/>
      <c r="D37" s="393">
        <f t="shared" si="0"/>
        <v>7.1661341471387106</v>
      </c>
      <c r="E37" s="385">
        <f t="shared" si="1"/>
        <v>8.0249394875284956</v>
      </c>
      <c r="F37" s="385">
        <f t="shared" si="2"/>
        <v>8.0281451402837067</v>
      </c>
      <c r="G37" s="110">
        <f t="shared" si="21"/>
        <v>0.34555414650927019</v>
      </c>
      <c r="H37" s="414" t="b">
        <f>Wh_hp&gt;='2020'!Maxi_hp</f>
        <v>0</v>
      </c>
      <c r="I37" s="380">
        <f>IF(H37,Wh_hp,'2020'!Maxi_hp)</f>
        <v>12.179434160869439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3.197458245045541E-2</v>
      </c>
      <c r="M37" s="843"/>
      <c r="N37" s="843"/>
      <c r="O37" s="48">
        <f>IF(t&lt;Tnet,'2020'!Resal+('2020'!Salim-'2020'!Resal)*(1-EXP(('2020'!Tnet-t)/('2020'!Tau_j))),Resal+(Salim-Resal)*(1-EXP((Tnet-t)/(Tau_j))))*Salcycl</f>
        <v>0.10701704875462911</v>
      </c>
      <c r="P37" s="169">
        <f>(INDEX(Models!$BJ37:$BT37,,T37)*(1-R37)+INDEX(Models!$BJ37:$BT37,,T37+1)*R37-ERP_i)*Q37*Ramure*Pc/MaxiM</f>
        <v>5.8891079703809884E-3</v>
      </c>
      <c r="Q37" s="305">
        <f t="shared" si="4"/>
        <v>0.8</v>
      </c>
      <c r="R37" s="177">
        <f t="shared" si="5"/>
        <v>0.60129333783793915</v>
      </c>
      <c r="S37" s="809">
        <f t="shared" si="6"/>
        <v>0</v>
      </c>
      <c r="T37" s="176">
        <f t="shared" si="7"/>
        <v>6</v>
      </c>
      <c r="U37" s="251">
        <f t="shared" si="8"/>
        <v>0.60129333783793915</v>
      </c>
      <c r="V37" s="383">
        <f t="shared" si="9"/>
        <v>19.964749581637147</v>
      </c>
      <c r="W37" s="402"/>
      <c r="X37" s="157">
        <f t="shared" si="10"/>
        <v>44219</v>
      </c>
      <c r="Y37" s="385">
        <f t="shared" si="11"/>
        <v>6.9290221980595819</v>
      </c>
      <c r="Z37" s="385">
        <f t="shared" si="12"/>
        <v>7.1578928326073079</v>
      </c>
      <c r="AA37" s="386">
        <f t="shared" si="13"/>
        <v>8.0157105156652495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0.10701704875462911</v>
      </c>
      <c r="AD37" s="231">
        <f>(INDEX(Models!$BJ37:$BT37,,AH37)*(1-AF37)+INDEX(Models!$BJ37:$BT37,,AH37+1)*AF37-ERP_i)*AE37*Ramure*Pc/MaxiM</f>
        <v>2.2843661663042705E-2</v>
      </c>
      <c r="AE37" s="305">
        <f t="shared" si="15"/>
        <v>0.8</v>
      </c>
      <c r="AF37" s="177">
        <f t="shared" si="22"/>
        <v>0.80122691199046026</v>
      </c>
      <c r="AG37" s="809">
        <f t="shared" si="23"/>
        <v>1</v>
      </c>
      <c r="AH37" s="176">
        <f t="shared" si="16"/>
        <v>7</v>
      </c>
      <c r="AI37" s="225">
        <f t="shared" si="17"/>
        <v>1.8012269119904603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6">
        <v>11.670999999999999</v>
      </c>
      <c r="C38" s="390"/>
      <c r="D38" s="393">
        <f t="shared" si="0"/>
        <v>12.056785404150505</v>
      </c>
      <c r="E38" s="385">
        <f t="shared" si="1"/>
        <v>13.502725151826711</v>
      </c>
      <c r="F38" s="385">
        <f t="shared" si="2"/>
        <v>13.533360842621182</v>
      </c>
      <c r="G38" s="110">
        <f t="shared" si="21"/>
        <v>0.5756745805048592</v>
      </c>
      <c r="H38" s="414" t="b">
        <f>Wh_hp&gt;='2020'!Maxi_hp</f>
        <v>0</v>
      </c>
      <c r="I38" s="380">
        <f>IF(H38,Wh_hp,'2020'!Maxi_hp)</f>
        <v>15.563398582789198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3.1997368387903832E-2</v>
      </c>
      <c r="M38" s="843"/>
      <c r="N38" s="843"/>
      <c r="O38" s="48">
        <f>IF(t&lt;Tnet,'2020'!Resal+('2020'!Salim-'2020'!Resal)*(1-EXP(('2020'!Tnet-t)/('2020'!Tau_j))),Resal+(Salim-Resal)*(1-EXP((Tnet-t)/(Tau_j))))*Salcycl</f>
        <v>0.10708503145978597</v>
      </c>
      <c r="P38" s="169">
        <f>(INDEX(Models!$BJ38:$BT38,,T38)*(1-R38)+INDEX(Models!$BJ38:$BT38,,T38+1)*R38-ERP_i)*Q38*Ramure*Pc/MaxiM</f>
        <v>5.706819335201437E-3</v>
      </c>
      <c r="Q38" s="305">
        <f t="shared" si="4"/>
        <v>0.8</v>
      </c>
      <c r="R38" s="177">
        <f t="shared" si="5"/>
        <v>0.60137955989021452</v>
      </c>
      <c r="S38" s="809">
        <f t="shared" si="6"/>
        <v>0</v>
      </c>
      <c r="T38" s="176">
        <f t="shared" si="7"/>
        <v>6</v>
      </c>
      <c r="U38" s="251">
        <f t="shared" si="8"/>
        <v>0.60137955989021452</v>
      </c>
      <c r="V38" s="383">
        <f t="shared" si="9"/>
        <v>20.203644153901479</v>
      </c>
      <c r="W38" s="402"/>
      <c r="X38" s="157">
        <f t="shared" si="10"/>
        <v>44220</v>
      </c>
      <c r="Y38" s="385">
        <f t="shared" si="11"/>
        <v>11.593342575484794</v>
      </c>
      <c r="Z38" s="385">
        <f t="shared" si="12"/>
        <v>11.976561010146662</v>
      </c>
      <c r="AA38" s="386">
        <f t="shared" si="13"/>
        <v>13.412879649365266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0.10708503145978597</v>
      </c>
      <c r="AD38" s="231">
        <f>(INDEX(Models!$BJ38:$BT38,,AH38)*(1-AF38)+INDEX(Models!$BJ38:$BT38,,AH38+1)*AF38-ERP_i)*AE38*Ramure*Pc/MaxiM</f>
        <v>2.2443247903686944E-2</v>
      </c>
      <c r="AE38" s="305">
        <f t="shared" si="15"/>
        <v>0.8</v>
      </c>
      <c r="AF38" s="177">
        <f t="shared" si="22"/>
        <v>0.80131313404273574</v>
      </c>
      <c r="AG38" s="809">
        <f t="shared" si="23"/>
        <v>1</v>
      </c>
      <c r="AH38" s="176">
        <f t="shared" si="16"/>
        <v>7</v>
      </c>
      <c r="AI38" s="225">
        <f t="shared" si="17"/>
        <v>1.8013131340427357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6">
        <v>7.3310000000000004</v>
      </c>
      <c r="C39" s="390"/>
      <c r="D39" s="393">
        <f t="shared" si="0"/>
        <v>7.5735047880822446</v>
      </c>
      <c r="E39" s="385">
        <f t="shared" si="1"/>
        <v>8.482422684644602</v>
      </c>
      <c r="F39" s="385">
        <f t="shared" si="2"/>
        <v>8.4863517661637911</v>
      </c>
      <c r="G39" s="110">
        <f t="shared" si="21"/>
        <v>0.35672723608300644</v>
      </c>
      <c r="H39" s="414" t="b">
        <f>Wh_hp&gt;='2020'!Maxi_hp</f>
        <v>0</v>
      </c>
      <c r="I39" s="380">
        <f>IF(H39,Wh_hp,'2020'!Maxi_hp)</f>
        <v>13.715145356651767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3.2020153795090087E-2</v>
      </c>
      <c r="M39" s="843"/>
      <c r="N39" s="843"/>
      <c r="O39" s="48">
        <f>IF(t&lt;Tnet,'2020'!Resal+('2020'!Salim-'2020'!Resal)*(1-EXP(('2020'!Tnet-t)/('2020'!Tau_j))),Resal+(Salim-Resal)*(1-EXP((Tnet-t)/(Tau_j))))*Salcycl</f>
        <v>0.10715310122516469</v>
      </c>
      <c r="P39" s="169">
        <f>(INDEX(Models!$BJ39:$BT39,,T39)*(1-R39)+INDEX(Models!$BJ39:$BT39,,T39+1)*R39-ERP_i)*Q39*Ramure*Pc/MaxiM</f>
        <v>5.5355979567982159E-3</v>
      </c>
      <c r="Q39" s="305">
        <f t="shared" si="4"/>
        <v>0.8</v>
      </c>
      <c r="R39" s="177">
        <f t="shared" si="5"/>
        <v>0.60146937272790435</v>
      </c>
      <c r="S39" s="809">
        <f t="shared" si="6"/>
        <v>0</v>
      </c>
      <c r="T39" s="176">
        <f t="shared" si="7"/>
        <v>6</v>
      </c>
      <c r="U39" s="251">
        <f t="shared" si="8"/>
        <v>0.60146937272790435</v>
      </c>
      <c r="V39" s="383">
        <f t="shared" si="9"/>
        <v>20.446421622817191</v>
      </c>
      <c r="W39" s="402"/>
      <c r="X39" s="157">
        <f t="shared" si="10"/>
        <v>44221</v>
      </c>
      <c r="Y39" s="385">
        <f t="shared" si="11"/>
        <v>7.3208770146694446</v>
      </c>
      <c r="Z39" s="385">
        <f t="shared" si="12"/>
        <v>7.5630469408757719</v>
      </c>
      <c r="AA39" s="386">
        <f t="shared" si="13"/>
        <v>8.4707097613866242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0.10715310122516469</v>
      </c>
      <c r="AD39" s="231">
        <f>(INDEX(Models!$BJ39:$BT39,,AH39)*(1-AF39)+INDEX(Models!$BJ39:$BT39,,AH39+1)*AF39-ERP_i)*AE39*Ramure*Pc/MaxiM</f>
        <v>2.2037682155950124E-2</v>
      </c>
      <c r="AE39" s="305">
        <f t="shared" si="15"/>
        <v>0.8</v>
      </c>
      <c r="AF39" s="177">
        <f t="shared" si="22"/>
        <v>0.80140294688042557</v>
      </c>
      <c r="AG39" s="809">
        <f t="shared" si="23"/>
        <v>1</v>
      </c>
      <c r="AH39" s="176">
        <f t="shared" si="16"/>
        <v>7</v>
      </c>
      <c r="AI39" s="225">
        <f t="shared" si="17"/>
        <v>1.8014029468804256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6">
        <v>14.099</v>
      </c>
      <c r="C40" s="390"/>
      <c r="D40" s="393">
        <f t="shared" si="0"/>
        <v>14.565728753150578</v>
      </c>
      <c r="E40" s="385">
        <f t="shared" si="1"/>
        <v>16.315048868981943</v>
      </c>
      <c r="F40" s="385">
        <f t="shared" si="2"/>
        <v>16.362964624536801</v>
      </c>
      <c r="G40" s="110">
        <f t="shared" si="21"/>
        <v>0.67967310016848703</v>
      </c>
      <c r="H40" s="414" t="b">
        <f>Wh_hp&gt;='2020'!Maxi_hp</f>
        <v>1</v>
      </c>
      <c r="I40" s="380">
        <f>IF(H40,Wh_hp,'2020'!Maxi_hp)</f>
        <v>16.362964624536801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3.2042938672026608E-2</v>
      </c>
      <c r="M40" s="843"/>
      <c r="N40" s="843"/>
      <c r="O40" s="48">
        <f>IF(t&lt;Tnet,'2020'!Resal+('2020'!Salim-'2020'!Resal)*(1-EXP(('2020'!Tnet-t)/('2020'!Tau_j))),Resal+(Salim-Resal)*(1-EXP((Tnet-t)/(Tau_j))))*Salcycl</f>
        <v>0.10722126117299954</v>
      </c>
      <c r="P40" s="169">
        <f>(INDEX(Models!$BJ40:$BT40,,T40)*(1-R40)+INDEX(Models!$BJ40:$BT40,,T40+1)*R40-ERP_i)*Q40*Ramure*Pc/MaxiM</f>
        <v>5.3752184327608594E-3</v>
      </c>
      <c r="Q40" s="305">
        <f t="shared" si="4"/>
        <v>0.8</v>
      </c>
      <c r="R40" s="177">
        <f t="shared" si="5"/>
        <v>0.60156292474277551</v>
      </c>
      <c r="S40" s="809">
        <f t="shared" si="6"/>
        <v>0</v>
      </c>
      <c r="T40" s="176">
        <f t="shared" si="7"/>
        <v>6</v>
      </c>
      <c r="U40" s="251">
        <f t="shared" si="8"/>
        <v>0.60156292474277551</v>
      </c>
      <c r="V40" s="383">
        <f t="shared" si="9"/>
        <v>20.692888459845747</v>
      </c>
      <c r="W40" s="402"/>
      <c r="X40" s="157">
        <f t="shared" si="10"/>
        <v>44222</v>
      </c>
      <c r="Y40" s="385">
        <f t="shared" si="11"/>
        <v>13.97380137696892</v>
      </c>
      <c r="Z40" s="385">
        <f t="shared" si="12"/>
        <v>14.436385595243021</v>
      </c>
      <c r="AA40" s="386">
        <f t="shared" si="13"/>
        <v>16.170171810106751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0.10722126117299954</v>
      </c>
      <c r="AD40" s="231">
        <f>(INDEX(Models!$BJ40:$BT40,,AH40)*(1-AF40)+INDEX(Models!$BJ40:$BT40,,AH40+1)*AF40-ERP_i)*AE40*Ramure*Pc/MaxiM</f>
        <v>2.1627614504414996E-2</v>
      </c>
      <c r="AE40" s="305">
        <f t="shared" si="15"/>
        <v>0.8</v>
      </c>
      <c r="AF40" s="177">
        <f t="shared" si="22"/>
        <v>0.80149649889529684</v>
      </c>
      <c r="AG40" s="809">
        <f t="shared" si="23"/>
        <v>1</v>
      </c>
      <c r="AH40" s="176">
        <f t="shared" si="16"/>
        <v>7</v>
      </c>
      <c r="AI40" s="225">
        <f t="shared" si="17"/>
        <v>1.8014964988952968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6">
        <v>5.4480000000000004</v>
      </c>
      <c r="C41" s="390"/>
      <c r="D41" s="393">
        <f t="shared" si="0"/>
        <v>5.6284813231233448</v>
      </c>
      <c r="E41" s="385">
        <f t="shared" si="1"/>
        <v>6.3049346999391735</v>
      </c>
      <c r="F41" s="385">
        <f t="shared" si="2"/>
        <v>6.3049346999391735</v>
      </c>
      <c r="G41" s="110">
        <f t="shared" si="21"/>
        <v>0.25877716947809243</v>
      </c>
      <c r="H41" s="414" t="b">
        <f>Wh_hp&gt;='2020'!Maxi_hp</f>
        <v>0</v>
      </c>
      <c r="I41" s="380">
        <f>IF(H41,Wh_hp,'2020'!Maxi_hp)</f>
        <v>12.936592620258565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3.2065723018725831E-2</v>
      </c>
      <c r="M41" s="843"/>
      <c r="N41" s="843"/>
      <c r="O41" s="48">
        <f>IF(t&lt;Tnet,'2020'!Resal+('2020'!Salim-'2020'!Resal)*(1-EXP(('2020'!Tnet-t)/('2020'!Tau_j))),Resal+(Salim-Resal)*(1-EXP((Tnet-t)/(Tau_j))))*Salcycl</f>
        <v>0.10728951353332092</v>
      </c>
      <c r="P41" s="169">
        <f>(INDEX(Models!$BJ41:$BT41,,T41)*(1-R41)+INDEX(Models!$BJ41:$BT41,,T41+1)*R41-ERP_i)*Q41*Ramure*Pc/MaxiM</f>
        <v>5.2254467930020251E-3</v>
      </c>
      <c r="Q41" s="305">
        <f t="shared" si="4"/>
        <v>0.8</v>
      </c>
      <c r="R41" s="177">
        <f t="shared" si="5"/>
        <v>0.60166037036096165</v>
      </c>
      <c r="S41" s="809">
        <f t="shared" si="6"/>
        <v>0</v>
      </c>
      <c r="T41" s="176">
        <f t="shared" si="7"/>
        <v>6</v>
      </c>
      <c r="U41" s="251">
        <f t="shared" si="8"/>
        <v>0.60166037036096165</v>
      </c>
      <c r="V41" s="383">
        <f t="shared" si="9"/>
        <v>20.942851244574467</v>
      </c>
      <c r="W41" s="402"/>
      <c r="X41" s="157">
        <f t="shared" si="10"/>
        <v>44223</v>
      </c>
      <c r="Y41" s="385">
        <f t="shared" si="11"/>
        <v>5.4480000000000004</v>
      </c>
      <c r="Z41" s="385">
        <f t="shared" si="12"/>
        <v>5.6284813231233448</v>
      </c>
      <c r="AA41" s="386">
        <f t="shared" si="13"/>
        <v>6.3049346999391735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0.10728951353332092</v>
      </c>
      <c r="AD41" s="231">
        <f>(INDEX(Models!$BJ41:$BT41,,AH41)*(1-AF41)+INDEX(Models!$BJ41:$BT41,,AH41+1)*AF41-ERP_i)*AE41*Ramure*Pc/MaxiM</f>
        <v>2.121365105484092E-2</v>
      </c>
      <c r="AE41" s="305">
        <f t="shared" si="15"/>
        <v>0.8</v>
      </c>
      <c r="AF41" s="177">
        <f t="shared" si="22"/>
        <v>0.80159394451348276</v>
      </c>
      <c r="AG41" s="809">
        <f t="shared" si="23"/>
        <v>1</v>
      </c>
      <c r="AH41" s="176">
        <f t="shared" si="16"/>
        <v>7</v>
      </c>
      <c r="AI41" s="225">
        <f t="shared" si="17"/>
        <v>1.8015939445134828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6">
        <v>14.530000000000001</v>
      </c>
      <c r="C42" s="390"/>
      <c r="D42" s="393">
        <f t="shared" si="0"/>
        <v>15.011703138776626</v>
      </c>
      <c r="E42" s="385">
        <f t="shared" si="1"/>
        <v>16.81715713215004</v>
      </c>
      <c r="F42" s="385">
        <f t="shared" si="2"/>
        <v>16.864393920494742</v>
      </c>
      <c r="G42" s="110">
        <f t="shared" si="21"/>
        <v>0.68393210758506873</v>
      </c>
      <c r="H42" s="414" t="b">
        <f>Wh_hp&gt;='2020'!Maxi_hp</f>
        <v>1</v>
      </c>
      <c r="I42" s="380">
        <f>IF(H42,Wh_hp,'2020'!Maxi_hp)</f>
        <v>16.864393920494742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3.2088506835199967E-2</v>
      </c>
      <c r="M42" s="843"/>
      <c r="N42" s="843"/>
      <c r="O42" s="48">
        <f>IF(t&lt;Tnet,'2020'!Resal+('2020'!Salim-'2020'!Resal)*(1-EXP(('2020'!Tnet-t)/('2020'!Tau_j))),Resal+(Salim-Resal)*(1-EXP((Tnet-t)/(Tau_j))))*Salcycl</f>
        <v>0.10735785954701314</v>
      </c>
      <c r="P42" s="169">
        <f>(INDEX(Models!$BJ42:$BT42,,T42)*(1-R42)+INDEX(Models!$BJ42:$BT42,,T42+1)*R42-ERP_i)*Q42*Ramure*Pc/MaxiM</f>
        <v>5.0860425033627281E-3</v>
      </c>
      <c r="Q42" s="305">
        <f t="shared" si="4"/>
        <v>0.8</v>
      </c>
      <c r="R42" s="177">
        <f t="shared" si="5"/>
        <v>0.60176187027997674</v>
      </c>
      <c r="S42" s="809">
        <f t="shared" si="6"/>
        <v>0</v>
      </c>
      <c r="T42" s="176">
        <f t="shared" si="7"/>
        <v>6</v>
      </c>
      <c r="U42" s="251">
        <f t="shared" si="8"/>
        <v>0.60176187027997674</v>
      </c>
      <c r="V42" s="383">
        <f t="shared" si="9"/>
        <v>21.196116669819279</v>
      </c>
      <c r="W42" s="402"/>
      <c r="X42" s="157">
        <f t="shared" si="10"/>
        <v>44224</v>
      </c>
      <c r="Y42" s="385">
        <f t="shared" si="11"/>
        <v>14.403933927262772</v>
      </c>
      <c r="Z42" s="385">
        <f t="shared" si="12"/>
        <v>14.881457683869352</v>
      </c>
      <c r="AA42" s="386">
        <f t="shared" si="13"/>
        <v>16.671247087122165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0.10735785954701314</v>
      </c>
      <c r="AD42" s="231">
        <f>(INDEX(Models!$BJ42:$BT42,,AH42)*(1-AF42)+INDEX(Models!$BJ42:$BT42,,AH42+1)*AF42-ERP_i)*AE42*Ramure*Pc/MaxiM</f>
        <v>2.0796354670734936E-2</v>
      </c>
      <c r="AE42" s="305">
        <f t="shared" si="15"/>
        <v>0.8</v>
      </c>
      <c r="AF42" s="177">
        <f t="shared" si="22"/>
        <v>0.80169544443249796</v>
      </c>
      <c r="AG42" s="809">
        <f t="shared" si="23"/>
        <v>1</v>
      </c>
      <c r="AH42" s="176">
        <f t="shared" si="16"/>
        <v>7</v>
      </c>
      <c r="AI42" s="225">
        <f t="shared" si="17"/>
        <v>1.801695444432498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6">
        <v>12.677</v>
      </c>
      <c r="C43" s="390"/>
      <c r="D43" s="393">
        <f t="shared" si="0"/>
        <v>13.097580197614713</v>
      </c>
      <c r="E43" s="385">
        <f t="shared" si="1"/>
        <v>14.67394814416568</v>
      </c>
      <c r="F43" s="385">
        <f t="shared" si="2"/>
        <v>14.704240740616575</v>
      </c>
      <c r="G43" s="110">
        <f t="shared" si="21"/>
        <v>0.58921843845019684</v>
      </c>
      <c r="H43" s="414" t="b">
        <f>Wh_hp&gt;='2020'!Maxi_hp</f>
        <v>0</v>
      </c>
      <c r="I43" s="380">
        <f>IF(H43,Wh_hp,'2020'!Maxi_hp)</f>
        <v>15.521194705525005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3.2111290121461453E-2</v>
      </c>
      <c r="M43" s="843"/>
      <c r="N43" s="843"/>
      <c r="O43" s="48">
        <f>IF(t&lt;Tnet,'2020'!Resal+('2020'!Salim-'2020'!Resal)*(1-EXP(('2020'!Tnet-t)/('2020'!Tau_j))),Resal+(Salim-Resal)*(1-EXP((Tnet-t)/(Tau_j))))*Salcycl</f>
        <v>0.10742629938880666</v>
      </c>
      <c r="P43" s="169">
        <f>(INDEX(Models!$BJ43:$BT43,,T43)*(1-R43)+INDEX(Models!$BJ43:$BT43,,T43+1)*R43-ERP_i)*Q43*Ramure*Pc/MaxiM</f>
        <v>4.9567603120284232E-3</v>
      </c>
      <c r="Q43" s="305">
        <f t="shared" si="4"/>
        <v>0.8</v>
      </c>
      <c r="R43" s="177">
        <f t="shared" si="5"/>
        <v>0.60186759171431914</v>
      </c>
      <c r="S43" s="809">
        <f t="shared" si="6"/>
        <v>0</v>
      </c>
      <c r="T43" s="176">
        <f t="shared" si="7"/>
        <v>6</v>
      </c>
      <c r="U43" s="251">
        <f t="shared" si="8"/>
        <v>0.60186759171431914</v>
      </c>
      <c r="V43" s="383">
        <f t="shared" si="9"/>
        <v>21.452491543688041</v>
      </c>
      <c r="W43" s="402"/>
      <c r="X43" s="157">
        <f t="shared" si="10"/>
        <v>44225</v>
      </c>
      <c r="Y43" s="385">
        <f t="shared" si="11"/>
        <v>12.595589958174648</v>
      </c>
      <c r="Z43" s="385">
        <f t="shared" si="12"/>
        <v>13.013469244573875</v>
      </c>
      <c r="AA43" s="386">
        <f t="shared" si="13"/>
        <v>14.579713961617792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0.10742629938880666</v>
      </c>
      <c r="AD43" s="231">
        <f>(INDEX(Models!$BJ43:$BT43,,AH43)*(1-AF43)+INDEX(Models!$BJ43:$BT43,,AH43+1)*AF43-ERP_i)*AE43*Ramure*Pc/MaxiM</f>
        <v>2.037624595588804E-2</v>
      </c>
      <c r="AE43" s="305">
        <f t="shared" si="15"/>
        <v>0.8</v>
      </c>
      <c r="AF43" s="177">
        <f t="shared" si="22"/>
        <v>0.80180116586684025</v>
      </c>
      <c r="AG43" s="809">
        <f t="shared" si="23"/>
        <v>1</v>
      </c>
      <c r="AH43" s="176">
        <f t="shared" si="16"/>
        <v>7</v>
      </c>
      <c r="AI43" s="225">
        <f t="shared" si="17"/>
        <v>1.8018011658668402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6">
        <v>7.8740000000000006</v>
      </c>
      <c r="C44" s="390"/>
      <c r="D44" s="393">
        <f t="shared" si="0"/>
        <v>8.1354243179216645</v>
      </c>
      <c r="E44" s="385">
        <f t="shared" si="1"/>
        <v>9.1152685840022603</v>
      </c>
      <c r="F44" s="385">
        <f t="shared" si="2"/>
        <v>9.1192233134035163</v>
      </c>
      <c r="G44" s="110">
        <f t="shared" si="21"/>
        <v>0.36106249028713777</v>
      </c>
      <c r="H44" s="414" t="b">
        <f>Wh_hp&gt;='2020'!Maxi_hp</f>
        <v>0</v>
      </c>
      <c r="I44" s="380">
        <f>IF(H44,Wh_hp,'2020'!Maxi_hp)</f>
        <v>11.334187659797209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3.213407287752261E-2</v>
      </c>
      <c r="M44" s="843"/>
      <c r="N44" s="843"/>
      <c r="O44" s="48">
        <f>IF(t&lt;Tnet,'2020'!Resal+('2020'!Salim-'2020'!Resal)*(1-EXP(('2020'!Tnet-t)/('2020'!Tau_j))),Resal+(Salim-Resal)*(1-EXP((Tnet-t)/(Tau_j))))*Salcycl</f>
        <v>0.10749483211062705</v>
      </c>
      <c r="P44" s="169">
        <f>(INDEX(Models!$BJ44:$BT44,,T44)*(1-R44)+INDEX(Models!$BJ44:$BT44,,T44+1)*R44-ERP_i)*Q44*Ramure*Pc/MaxiM</f>
        <v>4.8444783749677731E-3</v>
      </c>
      <c r="Q44" s="305">
        <f t="shared" si="4"/>
        <v>0.8</v>
      </c>
      <c r="R44" s="177">
        <f t="shared" si="5"/>
        <v>0.60197770864991129</v>
      </c>
      <c r="S44" s="809">
        <f t="shared" si="6"/>
        <v>0</v>
      </c>
      <c r="T44" s="176">
        <f t="shared" si="7"/>
        <v>6</v>
      </c>
      <c r="U44" s="251">
        <f t="shared" si="8"/>
        <v>0.60197770864991129</v>
      </c>
      <c r="V44" s="383">
        <f t="shared" si="9"/>
        <v>21.711627305381</v>
      </c>
      <c r="W44" s="402"/>
      <c r="X44" s="157">
        <f t="shared" si="10"/>
        <v>44226</v>
      </c>
      <c r="Y44" s="385">
        <f t="shared" si="11"/>
        <v>7.8633368170185776</v>
      </c>
      <c r="Z44" s="385">
        <f t="shared" si="12"/>
        <v>8.124407107084286</v>
      </c>
      <c r="AA44" s="386">
        <f t="shared" si="13"/>
        <v>9.1029244416557997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0.10749483211062705</v>
      </c>
      <c r="AD44" s="231">
        <f>(INDEX(Models!$BJ44:$BT44,,AH44)*(1-AF44)+INDEX(Models!$BJ44:$BT44,,AH44+1)*AF44-ERP_i)*AE44*Ramure*Pc/MaxiM</f>
        <v>1.9965849418955722E-2</v>
      </c>
      <c r="AE44" s="305">
        <f t="shared" si="15"/>
        <v>0.8</v>
      </c>
      <c r="AF44" s="177">
        <f t="shared" si="22"/>
        <v>0.8019112828024324</v>
      </c>
      <c r="AG44" s="809">
        <f t="shared" si="23"/>
        <v>1</v>
      </c>
      <c r="AH44" s="176">
        <f t="shared" si="16"/>
        <v>7</v>
      </c>
      <c r="AI44" s="225">
        <f t="shared" si="17"/>
        <v>1.8019112828024324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6">
        <v>7.6420000000000003</v>
      </c>
      <c r="C45" s="390"/>
      <c r="D45" s="393">
        <f t="shared" si="0"/>
        <v>7.8959075551611235</v>
      </c>
      <c r="E45" s="385">
        <f t="shared" si="1"/>
        <v>8.8475842957757376</v>
      </c>
      <c r="F45" s="385">
        <f t="shared" si="2"/>
        <v>8.8504542514483528</v>
      </c>
      <c r="G45" s="110">
        <f t="shared" si="21"/>
        <v>0.34624598344516583</v>
      </c>
      <c r="H45" s="414" t="b">
        <f>Wh_hp&gt;='2020'!Maxi_hp</f>
        <v>0</v>
      </c>
      <c r="I45" s="380">
        <f>IF(H45,Wh_hp,'2020'!Maxi_hp)</f>
        <v>19.643738017718885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3.2156855103395651E-2</v>
      </c>
      <c r="M45" s="843"/>
      <c r="N45" s="843"/>
      <c r="O45" s="48">
        <f>IF(t&lt;Tnet,'2020'!Resal+('2020'!Salim-'2020'!Resal)*(1-EXP(('2020'!Tnet-t)/('2020'!Tau_j))),Resal+(Salim-Resal)*(1-EXP((Tnet-t)/(Tau_j))))*Salcycl</f>
        <v>0.10756345560550244</v>
      </c>
      <c r="P45" s="169">
        <f>(INDEX(Models!$BJ45:$BT45,,T45)*(1-R45)+INDEX(Models!$BJ45:$BT45,,T45+1)*R45-ERP_i)*Q45*Ramure*Pc/MaxiM</f>
        <v>4.750171438051772E-3</v>
      </c>
      <c r="Q45" s="305">
        <f t="shared" si="4"/>
        <v>0.8</v>
      </c>
      <c r="R45" s="177">
        <f t="shared" si="5"/>
        <v>0.60209240210762738</v>
      </c>
      <c r="S45" s="809">
        <f t="shared" si="6"/>
        <v>0</v>
      </c>
      <c r="T45" s="176">
        <f t="shared" si="7"/>
        <v>6</v>
      </c>
      <c r="U45" s="251">
        <f t="shared" si="8"/>
        <v>0.60209240210762738</v>
      </c>
      <c r="V45" s="383">
        <f t="shared" si="9"/>
        <v>21.973298377299081</v>
      </c>
      <c r="W45" s="402"/>
      <c r="X45" s="157">
        <f t="shared" si="10"/>
        <v>44227</v>
      </c>
      <c r="Y45" s="385">
        <f t="shared" si="11"/>
        <v>7.634262700445392</v>
      </c>
      <c r="Z45" s="385">
        <f t="shared" si="12"/>
        <v>7.8879131816973995</v>
      </c>
      <c r="AA45" s="386">
        <f t="shared" si="13"/>
        <v>8.838626377687401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0.10756345560550244</v>
      </c>
      <c r="AD45" s="231">
        <f>(INDEX(Models!$BJ45:$BT45,,AH45)*(1-AF45)+INDEX(Models!$BJ45:$BT45,,AH45+1)*AF45-ERP_i)*AE45*Ramure*Pc/MaxiM</f>
        <v>1.9576758152841697E-2</v>
      </c>
      <c r="AE45" s="305">
        <f t="shared" si="15"/>
        <v>0.8</v>
      </c>
      <c r="AF45" s="177">
        <f t="shared" si="22"/>
        <v>0.80202597626014849</v>
      </c>
      <c r="AG45" s="809">
        <f t="shared" si="23"/>
        <v>1</v>
      </c>
      <c r="AH45" s="176">
        <f t="shared" si="16"/>
        <v>7</v>
      </c>
      <c r="AI45" s="225">
        <f t="shared" si="17"/>
        <v>1.8020259762601485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6">
        <v>7.28</v>
      </c>
      <c r="C46" s="390"/>
      <c r="D46" s="393">
        <f t="shared" si="0"/>
        <v>7.5220570643115998</v>
      </c>
      <c r="E46" s="385">
        <f t="shared" si="1"/>
        <v>8.4293234053322763</v>
      </c>
      <c r="F46" s="385">
        <f t="shared" si="2"/>
        <v>8.4308643752647896</v>
      </c>
      <c r="G46" s="110">
        <f t="shared" si="21"/>
        <v>0.32590733584901382</v>
      </c>
      <c r="H46" s="414" t="b">
        <f>Wh_hp&gt;='2020'!Maxi_hp</f>
        <v>0</v>
      </c>
      <c r="I46" s="380">
        <f>IF(H46,Wh_hp,'2020'!Maxi_hp)</f>
        <v>19.85137426834298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3.2179636799093123E-2</v>
      </c>
      <c r="M46" s="843"/>
      <c r="N46" s="843"/>
      <c r="O46" s="48">
        <f>IF(t&lt;Tnet,'2020'!Resal+('2020'!Salim-'2020'!Resal)*(1-EXP(('2020'!Tnet-t)/('2020'!Tau_j))),Resal+(Salim-Resal)*(1-EXP((Tnet-t)/(Tau_j))))*Salcycl</f>
        <v>0.10763216659201284</v>
      </c>
      <c r="P46" s="169">
        <f>(INDEX(Models!$BJ46:$BT46,,T46)*(1-R46)+INDEX(Models!$BJ46:$BT46,,T46+1)*R46-ERP_i)*Q46*Ramure*Pc/MaxiM</f>
        <v>4.6732944427985406E-3</v>
      </c>
      <c r="Q46" s="305">
        <f t="shared" si="4"/>
        <v>0.8</v>
      </c>
      <c r="R46" s="177">
        <f t="shared" si="5"/>
        <v>0.60221186041615593</v>
      </c>
      <c r="S46" s="809">
        <f t="shared" si="6"/>
        <v>0</v>
      </c>
      <c r="T46" s="176">
        <f t="shared" si="7"/>
        <v>6</v>
      </c>
      <c r="U46" s="251">
        <f t="shared" si="8"/>
        <v>0.60221186041615593</v>
      </c>
      <c r="V46" s="383">
        <f t="shared" si="9"/>
        <v>22.237311840387957</v>
      </c>
      <c r="W46" s="402"/>
      <c r="X46" s="157">
        <f t="shared" si="10"/>
        <v>44228</v>
      </c>
      <c r="Y46" s="385">
        <f t="shared" si="11"/>
        <v>7.2758606491289086</v>
      </c>
      <c r="Z46" s="385">
        <f t="shared" si="12"/>
        <v>7.5177800816932541</v>
      </c>
      <c r="AA46" s="386">
        <f t="shared" si="13"/>
        <v>8.4245305581920871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0.10763216659201284</v>
      </c>
      <c r="AD46" s="231">
        <f>(INDEX(Models!$BJ46:$BT46,,AH46)*(1-AF46)+INDEX(Models!$BJ46:$BT46,,AH46+1)*AF46-ERP_i)*AE46*Ramure*Pc/MaxiM</f>
        <v>1.9208546190969452E-2</v>
      </c>
      <c r="AE46" s="305">
        <f t="shared" si="15"/>
        <v>0.8</v>
      </c>
      <c r="AF46" s="177">
        <f t="shared" si="22"/>
        <v>0.80214543456867715</v>
      </c>
      <c r="AG46" s="809">
        <f t="shared" si="23"/>
        <v>1</v>
      </c>
      <c r="AH46" s="176">
        <f t="shared" si="16"/>
        <v>7</v>
      </c>
      <c r="AI46" s="225">
        <f t="shared" si="17"/>
        <v>1.8021454345686772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6">
        <v>20.093</v>
      </c>
      <c r="C47" s="390"/>
      <c r="D47" s="393">
        <f t="shared" si="0"/>
        <v>20.76157284640292</v>
      </c>
      <c r="E47" s="385">
        <f t="shared" si="1"/>
        <v>23.267505544785394</v>
      </c>
      <c r="F47" s="385">
        <f t="shared" si="2"/>
        <v>23.358776993635303</v>
      </c>
      <c r="G47" s="110">
        <f t="shared" si="21"/>
        <v>0.8922515309488841</v>
      </c>
      <c r="H47" s="414" t="b">
        <f>Wh_hp&gt;='2020'!Maxi_hp</f>
        <v>1</v>
      </c>
      <c r="I47" s="380">
        <f>IF(H47,Wh_hp,'2020'!Maxi_hp)</f>
        <v>23.358776993635303</v>
      </c>
      <c r="J47" s="85">
        <f>IF(H47,An,'2020'!An_max)</f>
        <v>2021</v>
      </c>
      <c r="K47" s="197">
        <f t="shared" si="3"/>
        <v>44229</v>
      </c>
      <c r="L47" s="147">
        <f>IF(t&lt;Tvie,1-EXP((T0-t)*PertePVj)+'2020'!Pspv,1-EXP((T0-t)*PertePVj)+Pspv)</f>
        <v>3.2202417964627236E-2</v>
      </c>
      <c r="M47" s="843"/>
      <c r="N47" s="843"/>
      <c r="O47" s="48">
        <f>IF(t&lt;Tnet,'2020'!Resal+('2020'!Salim-'2020'!Resal)*(1-EXP(('2020'!Tnet-t)/('2020'!Tau_j))),Resal+(Salim-Resal)*(1-EXP((Tnet-t)/(Tau_j))))*Salcycl</f>
        <v>0.10770096061905064</v>
      </c>
      <c r="P47" s="169">
        <f>(INDEX(Models!$BJ47:$BT47,,T47)*(1-R47)+INDEX(Models!$BJ47:$BT47,,T47+1)*R47-ERP_i)*Q47*Ramure*Pc/MaxiM</f>
        <v>4.6133129306978457E-3</v>
      </c>
      <c r="Q47" s="305">
        <f t="shared" si="4"/>
        <v>0.8</v>
      </c>
      <c r="R47" s="177">
        <f t="shared" si="5"/>
        <v>0.60233627949444979</v>
      </c>
      <c r="S47" s="809">
        <f t="shared" si="6"/>
        <v>0</v>
      </c>
      <c r="T47" s="176">
        <f t="shared" si="7"/>
        <v>6</v>
      </c>
      <c r="U47" s="251">
        <f t="shared" si="8"/>
        <v>0.60233627949444979</v>
      </c>
      <c r="V47" s="383">
        <f t="shared" si="9"/>
        <v>22.503474868077053</v>
      </c>
      <c r="W47" s="402"/>
      <c r="X47" s="157">
        <f t="shared" si="10"/>
        <v>44229</v>
      </c>
      <c r="Y47" s="385">
        <f t="shared" si="11"/>
        <v>19.849580961942017</v>
      </c>
      <c r="Z47" s="385">
        <f t="shared" si="12"/>
        <v>20.510054303087234</v>
      </c>
      <c r="AA47" s="386">
        <f t="shared" si="13"/>
        <v>22.985628581777362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0.10770096061905064</v>
      </c>
      <c r="AD47" s="231">
        <f>(INDEX(Models!$BJ47:$BT47,,AH47)*(1-AF47)+INDEX(Models!$BJ47:$BT47,,AH47+1)*AF47-ERP_i)*AE47*Ramure*Pc/MaxiM</f>
        <v>1.8860776455126328E-2</v>
      </c>
      <c r="AE47" s="305">
        <f t="shared" si="15"/>
        <v>0.8</v>
      </c>
      <c r="AF47" s="177">
        <f t="shared" si="22"/>
        <v>0.80226985364697101</v>
      </c>
      <c r="AG47" s="809">
        <f t="shared" si="23"/>
        <v>1</v>
      </c>
      <c r="AH47" s="176">
        <f t="shared" si="16"/>
        <v>7</v>
      </c>
      <c r="AI47" s="225">
        <f t="shared" si="17"/>
        <v>1.802269853646971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6">
        <v>15.756</v>
      </c>
      <c r="C48" s="390"/>
      <c r="D48" s="393">
        <f t="shared" si="0"/>
        <v>16.280647085672474</v>
      </c>
      <c r="E48" s="385">
        <f t="shared" si="1"/>
        <v>18.247138094217672</v>
      </c>
      <c r="F48" s="385">
        <f t="shared" si="2"/>
        <v>18.293942733982956</v>
      </c>
      <c r="G48" s="110">
        <f t="shared" si="21"/>
        <v>0.69051948318568901</v>
      </c>
      <c r="H48" s="414" t="b">
        <f>Wh_hp&gt;='2020'!Maxi_hp</f>
        <v>0</v>
      </c>
      <c r="I48" s="380">
        <f>IF(H48,Wh_hp,'2020'!Maxi_hp)</f>
        <v>21.831324615372054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3.2225198600010316E-2</v>
      </c>
      <c r="M48" s="843"/>
      <c r="N48" s="843"/>
      <c r="O48" s="48">
        <f>IF(t&lt;Tnet,'2020'!Resal+('2020'!Salim-'2020'!Resal)*(1-EXP(('2020'!Tnet-t)/('2020'!Tau_j))),Resal+(Salim-Resal)*(1-EXP((Tnet-t)/(Tau_j))))*Salcycl</f>
        <v>0.10776983209045572</v>
      </c>
      <c r="P48" s="169">
        <f>(INDEX(Models!$BJ48:$BT48,,T48)*(1-R48)+INDEX(Models!$BJ48:$BT48,,T48+1)*R48-ERP_i)*Q48*Ramure*Pc/MaxiM</f>
        <v>4.569704670204346E-3</v>
      </c>
      <c r="Q48" s="305">
        <f t="shared" si="4"/>
        <v>0.8</v>
      </c>
      <c r="R48" s="177">
        <f t="shared" si="5"/>
        <v>0.60246586314400941</v>
      </c>
      <c r="S48" s="809">
        <f t="shared" si="6"/>
        <v>0</v>
      </c>
      <c r="T48" s="176">
        <f t="shared" si="7"/>
        <v>6</v>
      </c>
      <c r="U48" s="251">
        <f t="shared" si="8"/>
        <v>0.60246586314400941</v>
      </c>
      <c r="V48" s="383">
        <f t="shared" si="9"/>
        <v>22.771594724486231</v>
      </c>
      <c r="W48" s="402"/>
      <c r="X48" s="157">
        <f t="shared" si="10"/>
        <v>44230</v>
      </c>
      <c r="Y48" s="385">
        <f t="shared" si="11"/>
        <v>15.632507656953887</v>
      </c>
      <c r="Z48" s="385">
        <f t="shared" si="12"/>
        <v>16.153042664822223</v>
      </c>
      <c r="AA48" s="386">
        <f t="shared" si="13"/>
        <v>18.104120714353435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0.10776983209045572</v>
      </c>
      <c r="AD48" s="231">
        <f>(INDEX(Models!$BJ48:$BT48,,AH48)*(1-AF48)+INDEX(Models!$BJ48:$BT48,,AH48+1)*AF48-ERP_i)*AE48*Ramure*Pc/MaxiM</f>
        <v>1.8533003863690358E-2</v>
      </c>
      <c r="AE48" s="305">
        <f t="shared" si="15"/>
        <v>0.8</v>
      </c>
      <c r="AF48" s="177">
        <f t="shared" si="22"/>
        <v>0.80239943729653063</v>
      </c>
      <c r="AG48" s="809">
        <f t="shared" si="23"/>
        <v>1</v>
      </c>
      <c r="AH48" s="176">
        <f t="shared" si="16"/>
        <v>7</v>
      </c>
      <c r="AI48" s="225">
        <f t="shared" si="17"/>
        <v>1.8023994372965306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6">
        <v>14.068</v>
      </c>
      <c r="C49" s="390"/>
      <c r="D49" s="393">
        <f t="shared" si="0"/>
        <v>14.536781830926655</v>
      </c>
      <c r="E49" s="385">
        <f t="shared" si="1"/>
        <v>16.29389555645141</v>
      </c>
      <c r="F49" s="385">
        <f t="shared" si="2"/>
        <v>16.326794302581504</v>
      </c>
      <c r="G49" s="110">
        <f t="shared" si="21"/>
        <v>0.60900514687167284</v>
      </c>
      <c r="H49" s="414" t="b">
        <f>Wh_hp&gt;='2020'!Maxi_hp</f>
        <v>0</v>
      </c>
      <c r="I49" s="380">
        <f>IF(H49,Wh_hp,'2020'!Maxi_hp)</f>
        <v>19.89663781404116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3.2247978705254685E-2</v>
      </c>
      <c r="M49" s="843"/>
      <c r="N49" s="843"/>
      <c r="O49" s="48">
        <f>IF(t&lt;Tnet,'2020'!Resal+('2020'!Salim-'2020'!Resal)*(1-EXP(('2020'!Tnet-t)/('2020'!Tau_j))),Resal+(Salim-Resal)*(1-EXP((Tnet-t)/(Tau_j))))*Salcycl</f>
        <v>0.10783877430888796</v>
      </c>
      <c r="P49" s="169">
        <f>(INDEX(Models!$BJ49:$BT49,,T49)*(1-R49)+INDEX(Models!$BJ49:$BT49,,T49+1)*R49-ERP_i)*Q49*Ramure*Pc/MaxiM</f>
        <v>4.5419610457357717E-3</v>
      </c>
      <c r="Q49" s="305">
        <f t="shared" si="4"/>
        <v>0.8</v>
      </c>
      <c r="R49" s="177">
        <f t="shared" si="5"/>
        <v>0.60260082335124854</v>
      </c>
      <c r="S49" s="809">
        <f t="shared" si="6"/>
        <v>0</v>
      </c>
      <c r="T49" s="176">
        <f t="shared" si="7"/>
        <v>6</v>
      </c>
      <c r="U49" s="251">
        <f t="shared" si="8"/>
        <v>0.60260082335124854</v>
      </c>
      <c r="V49" s="383">
        <f t="shared" si="9"/>
        <v>23.04147875888717</v>
      </c>
      <c r="W49" s="402"/>
      <c r="X49" s="157">
        <f t="shared" si="10"/>
        <v>44231</v>
      </c>
      <c r="Y49" s="385">
        <f t="shared" si="11"/>
        <v>13.982430519555095</v>
      </c>
      <c r="Z49" s="385">
        <f t="shared" si="12"/>
        <v>14.448360955989683</v>
      </c>
      <c r="AA49" s="386">
        <f t="shared" si="13"/>
        <v>16.194786928559097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0.10783877430888796</v>
      </c>
      <c r="AD49" s="231">
        <f>(INDEX(Models!$BJ49:$BT49,,AH49)*(1-AF49)+INDEX(Models!$BJ49:$BT49,,AH49+1)*AF49-ERP_i)*AE49*Ramure*Pc/MaxiM</f>
        <v>1.8224778178132846E-2</v>
      </c>
      <c r="AE49" s="305">
        <f t="shared" si="15"/>
        <v>0.8</v>
      </c>
      <c r="AF49" s="177">
        <f t="shared" si="22"/>
        <v>0.80253439750376976</v>
      </c>
      <c r="AG49" s="809">
        <f t="shared" si="23"/>
        <v>1</v>
      </c>
      <c r="AH49" s="176">
        <f t="shared" si="16"/>
        <v>7</v>
      </c>
      <c r="AI49" s="225">
        <f t="shared" si="17"/>
        <v>1.8025343975037698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6">
        <v>11</v>
      </c>
      <c r="C50" s="390"/>
      <c r="D50" s="393">
        <f t="shared" si="0"/>
        <v>11.366815763935493</v>
      </c>
      <c r="E50" s="385">
        <f t="shared" si="1"/>
        <v>12.741749679254314</v>
      </c>
      <c r="F50" s="385">
        <f t="shared" si="2"/>
        <v>12.755933718186055</v>
      </c>
      <c r="G50" s="110">
        <f t="shared" si="21"/>
        <v>0.47022669932821992</v>
      </c>
      <c r="H50" s="414" t="b">
        <f>Wh_hp&gt;='2020'!Maxi_hp</f>
        <v>0</v>
      </c>
      <c r="I50" s="380">
        <f>IF(H50,Wh_hp,'2020'!Maxi_hp)</f>
        <v>27.074904186376749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3.2270758280372777E-2</v>
      </c>
      <c r="M50" s="843"/>
      <c r="N50" s="843"/>
      <c r="O50" s="48">
        <f>IF(t&lt;Tnet,'2020'!Resal+('2020'!Salim-'2020'!Resal)*(1-EXP(('2020'!Tnet-t)/('2020'!Tau_j))),Resal+(Salim-Resal)*(1-EXP((Tnet-t)/(Tau_j))))*Salcycl</f>
        <v>0.10790777953811491</v>
      </c>
      <c r="P50" s="169">
        <f>(INDEX(Models!$BJ50:$BT50,,T50)*(1-R50)+INDEX(Models!$BJ50:$BT50,,T50+1)*R50-ERP_i)*Q50*Ramure*Pc/MaxiM</f>
        <v>4.5295882277695768E-3</v>
      </c>
      <c r="Q50" s="305">
        <f t="shared" si="4"/>
        <v>0.8</v>
      </c>
      <c r="R50" s="177">
        <f t="shared" si="5"/>
        <v>0.60274138060018556</v>
      </c>
      <c r="S50" s="809">
        <f t="shared" si="6"/>
        <v>0</v>
      </c>
      <c r="T50" s="176">
        <f t="shared" si="7"/>
        <v>6</v>
      </c>
      <c r="U50" s="251">
        <f t="shared" si="8"/>
        <v>0.60274138060018556</v>
      </c>
      <c r="V50" s="383">
        <f t="shared" si="9"/>
        <v>23.312934406810367</v>
      </c>
      <c r="W50" s="402"/>
      <c r="X50" s="157">
        <f t="shared" si="10"/>
        <v>44232</v>
      </c>
      <c r="Y50" s="385">
        <f t="shared" si="11"/>
        <v>10.963758520946179</v>
      </c>
      <c r="Z50" s="385">
        <f t="shared" si="12"/>
        <v>11.329365744352101</v>
      </c>
      <c r="AA50" s="386">
        <f t="shared" si="13"/>
        <v>12.699769692517066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0.10790777953811491</v>
      </c>
      <c r="AD50" s="231">
        <f>(INDEX(Models!$BJ50:$BT50,,AH50)*(1-AF50)+INDEX(Models!$BJ50:$BT50,,AH50+1)*AF50-ERP_i)*AE50*Ramure*Pc/MaxiM</f>
        <v>1.7935646589709871E-2</v>
      </c>
      <c r="AE50" s="305">
        <f t="shared" si="15"/>
        <v>0.8</v>
      </c>
      <c r="AF50" s="177">
        <f t="shared" si="22"/>
        <v>0.80267495475270678</v>
      </c>
      <c r="AG50" s="809">
        <f t="shared" si="23"/>
        <v>1</v>
      </c>
      <c r="AH50" s="176">
        <f t="shared" si="16"/>
        <v>7</v>
      </c>
      <c r="AI50" s="225">
        <f t="shared" si="17"/>
        <v>1.8026749547527068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6">
        <v>8.6910000000000007</v>
      </c>
      <c r="C51" s="390"/>
      <c r="D51" s="393">
        <f t="shared" si="0"/>
        <v>8.9810292017469138</v>
      </c>
      <c r="E51" s="385">
        <f t="shared" si="1"/>
        <v>10.068156966363452</v>
      </c>
      <c r="F51" s="385">
        <f t="shared" si="2"/>
        <v>10.072623606728243</v>
      </c>
      <c r="G51" s="110">
        <f t="shared" si="21"/>
        <v>0.36698307456539569</v>
      </c>
      <c r="H51" s="414" t="b">
        <f>Wh_hp&gt;='2020'!Maxi_hp</f>
        <v>0</v>
      </c>
      <c r="I51" s="380">
        <f>IF(H51,Wh_hp,'2020'!Maxi_hp)</f>
        <v>27.752705659425114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3.2293537325376917E-2</v>
      </c>
      <c r="M51" s="843"/>
      <c r="N51" s="843"/>
      <c r="O51" s="48">
        <f>IF(t&lt;Tnet,'2020'!Resal+('2020'!Salim-'2020'!Resal)*(1-EXP(('2020'!Tnet-t)/('2020'!Tau_j))),Resal+(Salim-Resal)*(1-EXP((Tnet-t)/(Tau_j))))*Salcycl</f>
        <v>0.10797683908271455</v>
      </c>
      <c r="P51" s="169">
        <f>(INDEX(Models!$BJ51:$BT51,,T51)*(1-R51)+INDEX(Models!$BJ51:$BT51,,T51+1)*R51-ERP_i)*Q51*Ramure*Pc/MaxiM</f>
        <v>4.53217540069689E-3</v>
      </c>
      <c r="Q51" s="305">
        <f t="shared" si="4"/>
        <v>0.8</v>
      </c>
      <c r="R51" s="177">
        <f t="shared" si="5"/>
        <v>0.60288776419569856</v>
      </c>
      <c r="S51" s="809">
        <f t="shared" si="6"/>
        <v>0</v>
      </c>
      <c r="T51" s="176">
        <f t="shared" si="7"/>
        <v>6</v>
      </c>
      <c r="U51" s="251">
        <f t="shared" si="8"/>
        <v>0.60288776419569856</v>
      </c>
      <c r="V51" s="383">
        <f t="shared" si="9"/>
        <v>23.585417603368334</v>
      </c>
      <c r="W51" s="402"/>
      <c r="X51" s="157">
        <f t="shared" si="10"/>
        <v>44233</v>
      </c>
      <c r="Y51" s="385">
        <f t="shared" si="11"/>
        <v>8.6798270971449405</v>
      </c>
      <c r="Z51" s="385">
        <f t="shared" si="12"/>
        <v>8.9694834455842667</v>
      </c>
      <c r="AA51" s="386">
        <f t="shared" si="13"/>
        <v>10.055213629611101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0.10797683908271455</v>
      </c>
      <c r="AD51" s="231">
        <f>(INDEX(Models!$BJ51:$BT51,,AH51)*(1-AF51)+INDEX(Models!$BJ51:$BT51,,AH51+1)*AF51-ERP_i)*AE51*Ramure*Pc/MaxiM</f>
        <v>1.7665418205367253E-2</v>
      </c>
      <c r="AE51" s="305">
        <f t="shared" si="15"/>
        <v>0.8</v>
      </c>
      <c r="AF51" s="177">
        <f t="shared" si="22"/>
        <v>0.80282133834821967</v>
      </c>
      <c r="AG51" s="809">
        <f t="shared" si="23"/>
        <v>1</v>
      </c>
      <c r="AH51" s="176">
        <f t="shared" si="16"/>
        <v>7</v>
      </c>
      <c r="AI51" s="225">
        <f t="shared" si="17"/>
        <v>1.8028213383482197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6">
        <v>13.992000000000001</v>
      </c>
      <c r="C52" s="390"/>
      <c r="D52" s="393">
        <f t="shared" si="0"/>
        <v>14.459270347365447</v>
      </c>
      <c r="E52" s="385">
        <f t="shared" si="1"/>
        <v>16.210779288591677</v>
      </c>
      <c r="F52" s="385">
        <f t="shared" si="2"/>
        <v>16.241029863743595</v>
      </c>
      <c r="G52" s="110">
        <f t="shared" si="21"/>
        <v>0.58487253914769355</v>
      </c>
      <c r="H52" s="414" t="b">
        <f>Wh_hp&gt;='2020'!Maxi_hp</f>
        <v>0</v>
      </c>
      <c r="I52" s="380">
        <f>IF(H52,Wh_hp,'2020'!Maxi_hp)</f>
        <v>19.538155508149512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3.2316315840279317E-2</v>
      </c>
      <c r="M52" s="843"/>
      <c r="N52" s="843"/>
      <c r="O52" s="48">
        <f>IF(t&lt;Tnet,'2020'!Resal+('2020'!Salim-'2020'!Resal)*(1-EXP(('2020'!Tnet-t)/('2020'!Tau_j))),Resal+(Salim-Resal)*(1-EXP((Tnet-t)/(Tau_j))))*Salcycl</f>
        <v>0.10804594338403305</v>
      </c>
      <c r="P52" s="169">
        <f>(INDEX(Models!$BJ52:$BT52,,T52)*(1-R52)+INDEX(Models!$BJ52:$BT52,,T52+1)*R52-ERP_i)*Q52*Ramure*Pc/MaxiM</f>
        <v>4.551615361917608E-3</v>
      </c>
      <c r="Q52" s="305">
        <f t="shared" si="4"/>
        <v>0.8</v>
      </c>
      <c r="R52" s="177">
        <f t="shared" si="5"/>
        <v>0.60304021259758023</v>
      </c>
      <c r="S52" s="809">
        <f t="shared" si="6"/>
        <v>0</v>
      </c>
      <c r="T52" s="176">
        <f t="shared" si="7"/>
        <v>6</v>
      </c>
      <c r="U52" s="251">
        <f t="shared" si="8"/>
        <v>0.60304021259758023</v>
      </c>
      <c r="V52" s="383">
        <f t="shared" si="9"/>
        <v>23.858711395801588</v>
      </c>
      <c r="W52" s="402"/>
      <c r="X52" s="157">
        <f t="shared" si="10"/>
        <v>44234</v>
      </c>
      <c r="Y52" s="385">
        <f t="shared" si="11"/>
        <v>13.918100157001723</v>
      </c>
      <c r="Z52" s="385">
        <f t="shared" si="12"/>
        <v>14.382902579459504</v>
      </c>
      <c r="AA52" s="386">
        <f t="shared" si="13"/>
        <v>16.125160789141518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0.10804594338403305</v>
      </c>
      <c r="AD52" s="231">
        <f>(INDEX(Models!$BJ52:$BT52,,AH52)*(1-AF52)+INDEX(Models!$BJ52:$BT52,,AH52+1)*AF52-ERP_i)*AE52*Ramure*Pc/MaxiM</f>
        <v>1.7434096947956352E-2</v>
      </c>
      <c r="AE52" s="305">
        <f t="shared" si="15"/>
        <v>0.8</v>
      </c>
      <c r="AF52" s="177">
        <f t="shared" si="22"/>
        <v>0.80297378675010145</v>
      </c>
      <c r="AG52" s="809">
        <f t="shared" si="23"/>
        <v>1</v>
      </c>
      <c r="AH52" s="176">
        <f t="shared" si="16"/>
        <v>7</v>
      </c>
      <c r="AI52" s="225">
        <f t="shared" si="17"/>
        <v>1.8029737867501014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6">
        <v>4.5910000000000002</v>
      </c>
      <c r="C53" s="390"/>
      <c r="D53" s="393">
        <f t="shared" si="0"/>
        <v>4.7444305858628573</v>
      </c>
      <c r="E53" s="385">
        <f t="shared" si="1"/>
        <v>5.3195546766272361</v>
      </c>
      <c r="F53" s="385">
        <f t="shared" si="2"/>
        <v>5.3195546766272361</v>
      </c>
      <c r="G53" s="110">
        <f t="shared" si="21"/>
        <v>0.18936320353891994</v>
      </c>
      <c r="H53" s="414" t="b">
        <f>Wh_hp&gt;='2020'!Maxi_hp</f>
        <v>0</v>
      </c>
      <c r="I53" s="380">
        <f>IF(H53,Wh_hp,'2020'!Maxi_hp)</f>
        <v>23.3052638935118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3.233909382509241E-2</v>
      </c>
      <c r="M53" s="843"/>
      <c r="N53" s="843"/>
      <c r="O53" s="48">
        <f>IF(t&lt;Tnet,'2020'!Resal+('2020'!Salim-'2020'!Resal)*(1-EXP(('2020'!Tnet-t)/('2020'!Tau_j))),Resal+(Salim-Resal)*(1-EXP((Tnet-t)/(Tau_j))))*Salcycl</f>
        <v>0.10811508213109024</v>
      </c>
      <c r="P53" s="169">
        <f>(INDEX(Models!$BJ53:$BT53,,T53)*(1-R53)+INDEX(Models!$BJ53:$BT53,,T53+1)*R53-ERP_i)*Q53*Ramure*Pc/MaxiM</f>
        <v>4.5791911130760128E-3</v>
      </c>
      <c r="Q53" s="305">
        <f t="shared" si="4"/>
        <v>0.8</v>
      </c>
      <c r="R53" s="177">
        <f t="shared" si="5"/>
        <v>0.60319897376561982</v>
      </c>
      <c r="S53" s="809">
        <f t="shared" si="6"/>
        <v>0</v>
      </c>
      <c r="T53" s="176">
        <f t="shared" si="7"/>
        <v>6</v>
      </c>
      <c r="U53" s="251">
        <f t="shared" si="8"/>
        <v>0.60319897376561982</v>
      </c>
      <c r="V53" s="383">
        <f t="shared" si="9"/>
        <v>24.13339470495702</v>
      </c>
      <c r="W53" s="402"/>
      <c r="X53" s="157">
        <f t="shared" si="10"/>
        <v>44235</v>
      </c>
      <c r="Y53" s="385">
        <f t="shared" si="11"/>
        <v>4.5910000000000002</v>
      </c>
      <c r="Z53" s="385">
        <f t="shared" si="12"/>
        <v>4.7444305858628573</v>
      </c>
      <c r="AA53" s="386">
        <f t="shared" si="13"/>
        <v>5.3195546766272361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0.10811508213109024</v>
      </c>
      <c r="AD53" s="231">
        <f>(INDEX(Models!$BJ53:$BT53,,AH53)*(1-AF53)+INDEX(Models!$BJ53:$BT53,,AH53+1)*AF53-ERP_i)*AE53*Ramure*Pc/MaxiM</f>
        <v>1.7238174652610138E-2</v>
      </c>
      <c r="AE53" s="305">
        <f t="shared" si="15"/>
        <v>0.8</v>
      </c>
      <c r="AF53" s="177">
        <f t="shared" si="22"/>
        <v>0.80313254791814104</v>
      </c>
      <c r="AG53" s="809">
        <f t="shared" si="23"/>
        <v>1</v>
      </c>
      <c r="AH53" s="176">
        <f t="shared" si="16"/>
        <v>7</v>
      </c>
      <c r="AI53" s="225">
        <f t="shared" si="17"/>
        <v>1.803132547918141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6">
        <v>10.78</v>
      </c>
      <c r="C54" s="390"/>
      <c r="D54" s="393">
        <f t="shared" si="0"/>
        <v>11.14052834426643</v>
      </c>
      <c r="E54" s="385">
        <f t="shared" si="1"/>
        <v>12.491961791574123</v>
      </c>
      <c r="F54" s="385">
        <f t="shared" si="2"/>
        <v>12.503635494752277</v>
      </c>
      <c r="G54" s="110">
        <f t="shared" si="21"/>
        <v>0.43999787904035803</v>
      </c>
      <c r="H54" s="414" t="b">
        <f>Wh_hp&gt;='2020'!Maxi_hp</f>
        <v>0</v>
      </c>
      <c r="I54" s="380">
        <f>IF(H54,Wh_hp,'2020'!Maxi_hp)</f>
        <v>25.049785639672507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3.2361871279828522E-2</v>
      </c>
      <c r="M54" s="843"/>
      <c r="N54" s="843"/>
      <c r="O54" s="48">
        <f>IF(t&lt;Tnet,'2020'!Resal+('2020'!Salim-'2020'!Resal)*(1-EXP(('2020'!Tnet-t)/('2020'!Tau_j))),Resal+(Salim-Resal)*(1-EXP((Tnet-t)/(Tau_j))))*Salcycl</f>
        <v>0.10818424438499644</v>
      </c>
      <c r="P54" s="169">
        <f>(INDEX(Models!$BJ54:$BT54,,T54)*(1-R54)+INDEX(Models!$BJ54:$BT54,,T54+1)*R54-ERP_i)*Q54*Ramure*Pc/MaxiM</f>
        <v>4.6145619783844504E-3</v>
      </c>
      <c r="Q54" s="305">
        <f t="shared" si="4"/>
        <v>0.8</v>
      </c>
      <c r="R54" s="177">
        <f t="shared" si="5"/>
        <v>0.60336430551592912</v>
      </c>
      <c r="S54" s="809">
        <f t="shared" si="6"/>
        <v>0</v>
      </c>
      <c r="T54" s="176">
        <f t="shared" si="7"/>
        <v>6</v>
      </c>
      <c r="U54" s="251">
        <f t="shared" si="8"/>
        <v>0.60336430551592912</v>
      </c>
      <c r="V54" s="383">
        <f t="shared" si="9"/>
        <v>24.409850425760965</v>
      </c>
      <c r="W54" s="402"/>
      <c r="X54" s="157">
        <f t="shared" si="10"/>
        <v>44236</v>
      </c>
      <c r="Y54" s="385">
        <f t="shared" si="11"/>
        <v>10.752795393231832</v>
      </c>
      <c r="Z54" s="385">
        <f t="shared" si="12"/>
        <v>11.112413901521032</v>
      </c>
      <c r="AA54" s="386">
        <f t="shared" si="13"/>
        <v>12.460436846462551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0.10818424438499644</v>
      </c>
      <c r="AD54" s="231">
        <f>(INDEX(Models!$BJ54:$BT54,,AH54)*(1-AF54)+INDEX(Models!$BJ54:$BT54,,AH54+1)*AF54-ERP_i)*AE54*Ramure*Pc/MaxiM</f>
        <v>1.7076229956610577E-2</v>
      </c>
      <c r="AE54" s="305">
        <f t="shared" si="15"/>
        <v>0.8</v>
      </c>
      <c r="AF54" s="177">
        <f t="shared" si="22"/>
        <v>0.80329787966845045</v>
      </c>
      <c r="AG54" s="809">
        <f t="shared" si="23"/>
        <v>1</v>
      </c>
      <c r="AH54" s="176">
        <f t="shared" si="16"/>
        <v>7</v>
      </c>
      <c r="AI54" s="225">
        <f t="shared" si="17"/>
        <v>1.8032978796684505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6">
        <v>13.063000000000001</v>
      </c>
      <c r="C55" s="390"/>
      <c r="D55" s="393">
        <f t="shared" si="0"/>
        <v>13.500199201842337</v>
      </c>
      <c r="E55" s="385">
        <f t="shared" si="1"/>
        <v>15.139053499250522</v>
      </c>
      <c r="F55" s="385">
        <f t="shared" si="2"/>
        <v>15.162166555796647</v>
      </c>
      <c r="G55" s="110">
        <f t="shared" si="21"/>
        <v>0.52745332644041409</v>
      </c>
      <c r="H55" s="414" t="b">
        <f>Wh_hp&gt;='2020'!Maxi_hp</f>
        <v>1</v>
      </c>
      <c r="I55" s="380">
        <f>IF(H55,Wh_hp,'2020'!Maxi_hp)</f>
        <v>15.162166555796647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3.2384648204500086E-2</v>
      </c>
      <c r="M55" s="843"/>
      <c r="N55" s="843"/>
      <c r="O55" s="48">
        <f>IF(t&lt;Tnet,'2020'!Resal+('2020'!Salim-'2020'!Resal)*(1-EXP(('2020'!Tnet-t)/('2020'!Tau_j))),Resal+(Salim-Resal)*(1-EXP((Tnet-t)/(Tau_j))))*Salcycl</f>
        <v>0.10825341871533246</v>
      </c>
      <c r="P55" s="169">
        <f>(INDEX(Models!$BJ55:$BT55,,T55)*(1-R55)+INDEX(Models!$BJ55:$BT55,,T55+1)*R55-ERP_i)*Q55*Ramure*Pc/MaxiM</f>
        <v>4.6573978492219607E-3</v>
      </c>
      <c r="Q55" s="305">
        <f t="shared" si="4"/>
        <v>0.8</v>
      </c>
      <c r="R55" s="177">
        <f t="shared" si="5"/>
        <v>0.60353647588872417</v>
      </c>
      <c r="S55" s="809">
        <f t="shared" si="6"/>
        <v>0</v>
      </c>
      <c r="T55" s="176">
        <f t="shared" si="7"/>
        <v>6</v>
      </c>
      <c r="U55" s="251">
        <f t="shared" si="8"/>
        <v>0.60353647588872417</v>
      </c>
      <c r="V55" s="383">
        <f t="shared" si="9"/>
        <v>24.688461298448836</v>
      </c>
      <c r="W55" s="402"/>
      <c r="X55" s="157">
        <f t="shared" si="10"/>
        <v>44237</v>
      </c>
      <c r="Y55" s="385">
        <f t="shared" si="11"/>
        <v>13.010374941557227</v>
      </c>
      <c r="Z55" s="385">
        <f t="shared" si="12"/>
        <v>13.44581286088038</v>
      </c>
      <c r="AA55" s="386">
        <f t="shared" si="13"/>
        <v>15.078064938034391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0.10825341871533246</v>
      </c>
      <c r="AD55" s="231">
        <f>(INDEX(Models!$BJ55:$BT55,,AH55)*(1-AF55)+INDEX(Models!$BJ55:$BT55,,AH55+1)*AF55-ERP_i)*AE55*Ramure*Pc/MaxiM</f>
        <v>1.6946901544601996E-2</v>
      </c>
      <c r="AE55" s="305">
        <f t="shared" si="15"/>
        <v>0.8</v>
      </c>
      <c r="AF55" s="177">
        <f t="shared" si="22"/>
        <v>0.80347005004124528</v>
      </c>
      <c r="AG55" s="809">
        <f t="shared" si="23"/>
        <v>1</v>
      </c>
      <c r="AH55" s="176">
        <f t="shared" si="16"/>
        <v>7</v>
      </c>
      <c r="AI55" s="225">
        <f t="shared" si="17"/>
        <v>1.8034700500412453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6">
        <v>19.751000000000001</v>
      </c>
      <c r="C56" s="390"/>
      <c r="D56" s="393">
        <f t="shared" si="0"/>
        <v>20.412517109091102</v>
      </c>
      <c r="E56" s="385">
        <f t="shared" si="1"/>
        <v>22.892266818454097</v>
      </c>
      <c r="F56" s="385">
        <f t="shared" si="2"/>
        <v>22.96810519767752</v>
      </c>
      <c r="G56" s="110">
        <f t="shared" si="21"/>
        <v>0.78988612597831154</v>
      </c>
      <c r="H56" s="414" t="b">
        <f>Wh_hp&gt;='2020'!Maxi_hp</f>
        <v>1</v>
      </c>
      <c r="I56" s="380">
        <f>IF(H56,Wh_hp,'2020'!Maxi_hp)</f>
        <v>22.96810519767752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3.2407424599119203E-2</v>
      </c>
      <c r="M56" s="843"/>
      <c r="N56" s="843"/>
      <c r="O56" s="48">
        <f>IF(t&lt;Tnet,'2020'!Resal+('2020'!Salim-'2020'!Resal)*(1-EXP(('2020'!Tnet-t)/('2020'!Tau_j))),Resal+(Salim-Resal)*(1-EXP((Tnet-t)/(Tau_j))))*Salcycl</f>
        <v>0.10832259334685018</v>
      </c>
      <c r="P56" s="169">
        <f>(INDEX(Models!$BJ56:$BT56,,T56)*(1-R56)+INDEX(Models!$BJ56:$BT56,,T56+1)*R56-ERP_i)*Q56*Ramure*Pc/MaxiM</f>
        <v>4.7073778142409624E-3</v>
      </c>
      <c r="Q56" s="305">
        <f t="shared" si="4"/>
        <v>0.8</v>
      </c>
      <c r="R56" s="177">
        <f t="shared" si="5"/>
        <v>0.60371576352775758</v>
      </c>
      <c r="S56" s="809">
        <f t="shared" si="6"/>
        <v>0</v>
      </c>
      <c r="T56" s="176">
        <f t="shared" si="7"/>
        <v>6</v>
      </c>
      <c r="U56" s="251">
        <f t="shared" si="8"/>
        <v>0.60371576352775758</v>
      </c>
      <c r="V56" s="383">
        <f t="shared" si="9"/>
        <v>24.969609909147362</v>
      </c>
      <c r="W56" s="402"/>
      <c r="X56" s="157">
        <f t="shared" si="10"/>
        <v>44238</v>
      </c>
      <c r="Y56" s="385">
        <f t="shared" si="11"/>
        <v>19.582234860855134</v>
      </c>
      <c r="Z56" s="385">
        <f t="shared" si="12"/>
        <v>20.238099545918971</v>
      </c>
      <c r="AA56" s="386">
        <f t="shared" si="13"/>
        <v>22.696660692437295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0.10832259334685018</v>
      </c>
      <c r="AD56" s="231">
        <f>(INDEX(Models!$BJ56:$BT56,,AH56)*(1-AF56)+INDEX(Models!$BJ56:$BT56,,AH56+1)*AF56-ERP_i)*AE56*Ramure*Pc/MaxiM</f>
        <v>1.6848881197751069E-2</v>
      </c>
      <c r="AE56" s="305">
        <f t="shared" si="15"/>
        <v>0.8</v>
      </c>
      <c r="AF56" s="177">
        <f t="shared" si="22"/>
        <v>0.80364933768027891</v>
      </c>
      <c r="AG56" s="809">
        <f t="shared" si="23"/>
        <v>1</v>
      </c>
      <c r="AH56" s="176">
        <f t="shared" si="16"/>
        <v>7</v>
      </c>
      <c r="AI56" s="225">
        <f t="shared" si="17"/>
        <v>1.8036493376802789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6">
        <v>5.0760000000000005</v>
      </c>
      <c r="C57" s="390"/>
      <c r="D57" s="393">
        <f t="shared" si="0"/>
        <v>5.2461331497041597</v>
      </c>
      <c r="E57" s="385">
        <f t="shared" si="1"/>
        <v>5.8838993323129021</v>
      </c>
      <c r="F57" s="385">
        <f t="shared" si="2"/>
        <v>5.8838993323129021</v>
      </c>
      <c r="G57" s="110">
        <f t="shared" si="21"/>
        <v>0.20004281520720929</v>
      </c>
      <c r="H57" s="414" t="b">
        <f>Wh_hp&gt;='2020'!Maxi_hp</f>
        <v>0</v>
      </c>
      <c r="I57" s="380">
        <f>IF(H57,Wh_hp,'2020'!Maxi_hp)</f>
        <v>29.947194156112754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3.2430200463698419E-2</v>
      </c>
      <c r="M57" s="843"/>
      <c r="N57" s="843"/>
      <c r="O57" s="48">
        <f>IF(t&lt;Tnet,'2020'!Resal+('2020'!Salim-'2020'!Resal)*(1-EXP(('2020'!Tnet-t)/('2020'!Tau_j))),Resal+(Salim-Resal)*(1-EXP((Tnet-t)/(Tau_j))))*Salcycl</f>
        <v>0.10839175631477761</v>
      </c>
      <c r="P57" s="169">
        <f>(INDEX(Models!$BJ57:$BT57,,T57)*(1-R57)+INDEX(Models!$BJ57:$BT57,,T57+1)*R57-ERP_i)*Q57*Ramure*Pc/MaxiM</f>
        <v>4.7641889808728586E-3</v>
      </c>
      <c r="Q57" s="305">
        <f t="shared" si="4"/>
        <v>0.8</v>
      </c>
      <c r="R57" s="177">
        <f t="shared" si="5"/>
        <v>0.60390245807158505</v>
      </c>
      <c r="S57" s="809">
        <f t="shared" si="6"/>
        <v>0</v>
      </c>
      <c r="T57" s="176">
        <f t="shared" si="7"/>
        <v>6</v>
      </c>
      <c r="U57" s="251">
        <f t="shared" si="8"/>
        <v>0.60390245807158505</v>
      </c>
      <c r="V57" s="383">
        <f t="shared" si="9"/>
        <v>25.253678676238849</v>
      </c>
      <c r="W57" s="402"/>
      <c r="X57" s="157">
        <f t="shared" si="10"/>
        <v>44239</v>
      </c>
      <c r="Y57" s="385">
        <f t="shared" si="11"/>
        <v>5.0760000000000005</v>
      </c>
      <c r="Z57" s="385">
        <f t="shared" si="12"/>
        <v>5.2461331497041597</v>
      </c>
      <c r="AA57" s="386">
        <f t="shared" si="13"/>
        <v>5.8838993323129021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0.10839175631477761</v>
      </c>
      <c r="AD57" s="231">
        <f>(INDEX(Models!$BJ57:$BT57,,AH57)*(1-AF57)+INDEX(Models!$BJ57:$BT57,,AH57+1)*AF57-ERP_i)*AE57*Ramure*Pc/MaxiM</f>
        <v>1.6780907651045743E-2</v>
      </c>
      <c r="AE57" s="305">
        <f t="shared" si="15"/>
        <v>0.8</v>
      </c>
      <c r="AF57" s="177">
        <f t="shared" si="22"/>
        <v>0.80383603222410627</v>
      </c>
      <c r="AG57" s="809">
        <f t="shared" si="23"/>
        <v>1</v>
      </c>
      <c r="AH57" s="176">
        <f t="shared" si="16"/>
        <v>7</v>
      </c>
      <c r="AI57" s="225">
        <f t="shared" si="17"/>
        <v>1.8038360322241063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6">
        <v>7.1139999999999999</v>
      </c>
      <c r="C58" s="390"/>
      <c r="D58" s="393">
        <f t="shared" si="0"/>
        <v>7.3526142110449086</v>
      </c>
      <c r="E58" s="385">
        <f t="shared" si="1"/>
        <v>8.2471023143908972</v>
      </c>
      <c r="F58" s="385">
        <f t="shared" si="2"/>
        <v>8.2471023143908972</v>
      </c>
      <c r="G58" s="110">
        <f t="shared" si="21"/>
        <v>0.27718739147889687</v>
      </c>
      <c r="H58" s="414" t="b">
        <f>Wh_hp&gt;='2020'!Maxi_hp</f>
        <v>0</v>
      </c>
      <c r="I58" s="380">
        <f>IF(H58,Wh_hp,'2020'!Maxi_hp)</f>
        <v>30.793710907907265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3.2452975798249947E-2</v>
      </c>
      <c r="M58" s="843"/>
      <c r="N58" s="843"/>
      <c r="O58" s="48">
        <f>IF(t&lt;Tnet,'2020'!Resal+('2020'!Salim-'2020'!Resal)*(1-EXP(('2020'!Tnet-t)/('2020'!Tau_j))),Resal+(Salim-Resal)*(1-EXP((Tnet-t)/(Tau_j))))*Salcycl</f>
        <v>0.10846089562695717</v>
      </c>
      <c r="P58" s="169">
        <f>(INDEX(Models!$BJ58:$BT58,,T58)*(1-R58)+INDEX(Models!$BJ58:$BT58,,T58+1)*R58-ERP_i)*Q58*Ramure*Pc/MaxiM</f>
        <v>4.8297736156967469E-3</v>
      </c>
      <c r="Q58" s="305">
        <f t="shared" si="4"/>
        <v>0.8</v>
      </c>
      <c r="R58" s="177">
        <f t="shared" si="5"/>
        <v>0.60409686055683198</v>
      </c>
      <c r="S58" s="809">
        <f t="shared" si="6"/>
        <v>0</v>
      </c>
      <c r="T58" s="176">
        <f t="shared" si="7"/>
        <v>6</v>
      </c>
      <c r="U58" s="251">
        <f t="shared" si="8"/>
        <v>0.60409686055683198</v>
      </c>
      <c r="V58" s="383">
        <f t="shared" si="9"/>
        <v>25.540992152368261</v>
      </c>
      <c r="W58" s="402"/>
      <c r="X58" s="157">
        <f t="shared" si="10"/>
        <v>44240</v>
      </c>
      <c r="Y58" s="385">
        <f t="shared" si="11"/>
        <v>7.1140000000000008</v>
      </c>
      <c r="Z58" s="385">
        <f t="shared" si="12"/>
        <v>7.3526142110449095</v>
      </c>
      <c r="AA58" s="386">
        <f t="shared" si="13"/>
        <v>8.2471023143908972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0.10846089562695717</v>
      </c>
      <c r="AD58" s="231">
        <f>(INDEX(Models!$BJ58:$BT58,,AH58)*(1-AF58)+INDEX(Models!$BJ58:$BT58,,AH58+1)*AF58-ERP_i)*AE58*Ramure*Pc/MaxiM</f>
        <v>1.675864218108853E-2</v>
      </c>
      <c r="AE58" s="305">
        <f t="shared" si="15"/>
        <v>0.8</v>
      </c>
      <c r="AF58" s="177">
        <f t="shared" si="22"/>
        <v>0.8040304347093532</v>
      </c>
      <c r="AG58" s="809">
        <f t="shared" si="23"/>
        <v>1</v>
      </c>
      <c r="AH58" s="176">
        <f t="shared" si="16"/>
        <v>7</v>
      </c>
      <c r="AI58" s="225">
        <f t="shared" si="17"/>
        <v>1.8040304347093532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6">
        <v>24.829000000000001</v>
      </c>
      <c r="C59" s="390"/>
      <c r="D59" s="393">
        <f t="shared" si="0"/>
        <v>25.662405893670307</v>
      </c>
      <c r="E59" s="385">
        <f t="shared" si="1"/>
        <v>28.786617471469604</v>
      </c>
      <c r="F59" s="385">
        <f t="shared" si="2"/>
        <v>28.920404892122161</v>
      </c>
      <c r="G59" s="110">
        <f t="shared" si="21"/>
        <v>0.96090654653280427</v>
      </c>
      <c r="H59" s="414" t="b">
        <f>Wh_hp&gt;='2020'!Maxi_hp</f>
        <v>0</v>
      </c>
      <c r="I59" s="380">
        <f>IF(H59,Wh_hp,'2020'!Maxi_hp)</f>
        <v>30.902600245057862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3.2475750602786221E-2</v>
      </c>
      <c r="M59" s="843"/>
      <c r="N59" s="843"/>
      <c r="O59" s="48">
        <f>IF(t&lt;Tnet,'2020'!Resal+('2020'!Salim-'2020'!Resal)*(1-EXP(('2020'!Tnet-t)/('2020'!Tau_j))),Resal+(Salim-Resal)*(1-EXP((Tnet-t)/(Tau_j))))*Salcycl</f>
        <v>0.10852999943100998</v>
      </c>
      <c r="P59" s="169">
        <f>(INDEX(Models!$BJ59:$BT59,,T59)*(1-R59)+INDEX(Models!$BJ59:$BT59,,T59+1)*R59-ERP_i)*Q59*Ramure*Pc/MaxiM</f>
        <v>4.8977490946332759E-3</v>
      </c>
      <c r="Q59" s="305">
        <f t="shared" si="4"/>
        <v>0.8</v>
      </c>
      <c r="R59" s="177">
        <f t="shared" si="5"/>
        <v>0.60429928383361009</v>
      </c>
      <c r="S59" s="809">
        <f t="shared" si="6"/>
        <v>0</v>
      </c>
      <c r="T59" s="176">
        <f t="shared" si="7"/>
        <v>6</v>
      </c>
      <c r="U59" s="251">
        <f t="shared" si="8"/>
        <v>0.60429928383361009</v>
      </c>
      <c r="V59" s="383">
        <f t="shared" si="9"/>
        <v>25.832088330428157</v>
      </c>
      <c r="W59" s="402"/>
      <c r="X59" s="157">
        <f t="shared" si="10"/>
        <v>44241</v>
      </c>
      <c r="Y59" s="385">
        <f t="shared" si="11"/>
        <v>24.549276793083987</v>
      </c>
      <c r="Z59" s="385">
        <f t="shared" si="12"/>
        <v>25.373293546263731</v>
      </c>
      <c r="AA59" s="386">
        <f t="shared" si="13"/>
        <v>28.462307795067652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0.10852999943100998</v>
      </c>
      <c r="AD59" s="231">
        <f>(INDEX(Models!$BJ59:$BT59,,AH59)*(1-AF59)+INDEX(Models!$BJ59:$BT59,,AH59+1)*AF59-ERP_i)*AE59*Ramure*Pc/MaxiM</f>
        <v>1.6770221231632444E-2</v>
      </c>
      <c r="AE59" s="305">
        <f t="shared" si="15"/>
        <v>0.8</v>
      </c>
      <c r="AF59" s="177">
        <f t="shared" si="22"/>
        <v>0.80423285798613131</v>
      </c>
      <c r="AG59" s="809">
        <f t="shared" si="23"/>
        <v>1</v>
      </c>
      <c r="AH59" s="176">
        <f t="shared" si="16"/>
        <v>7</v>
      </c>
      <c r="AI59" s="225">
        <f t="shared" si="17"/>
        <v>1.8042328579861313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6">
        <v>23.379000000000001</v>
      </c>
      <c r="C60" s="390"/>
      <c r="D60" s="393">
        <f t="shared" si="0"/>
        <v>24.164304242570285</v>
      </c>
      <c r="E60" s="385">
        <f t="shared" si="1"/>
        <v>27.108232732113091</v>
      </c>
      <c r="F60" s="385">
        <f t="shared" si="2"/>
        <v>27.223152621832366</v>
      </c>
      <c r="G60" s="110">
        <f t="shared" si="21"/>
        <v>0.89413864278379018</v>
      </c>
      <c r="H60" s="414" t="b">
        <f>Wh_hp&gt;='2020'!Maxi_hp</f>
        <v>0</v>
      </c>
      <c r="I60" s="380">
        <f>IF(H60,Wh_hp,'2020'!Maxi_hp)</f>
        <v>31.193309368180032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3.2498524877319454E-2</v>
      </c>
      <c r="M60" s="843"/>
      <c r="N60" s="843"/>
      <c r="O60" s="48">
        <f>IF(t&lt;Tnet,'2020'!Resal+('2020'!Salim-'2020'!Resal)*(1-EXP(('2020'!Tnet-t)/('2020'!Tau_j))),Resal+(Salim-Resal)*(1-EXP((Tnet-t)/(Tau_j))))*Salcycl</f>
        <v>0.10859905618470489</v>
      </c>
      <c r="P60" s="169">
        <f>(INDEX(Models!$BJ60:$BT60,,T60)*(1-R60)+INDEX(Models!$BJ60:$BT60,,T60+1)*R60-ERP_i)*Q60*Ramure*Pc/MaxiM</f>
        <v>4.9679467725646511E-3</v>
      </c>
      <c r="Q60" s="305">
        <f t="shared" si="4"/>
        <v>0.8</v>
      </c>
      <c r="R60" s="177">
        <f t="shared" si="5"/>
        <v>0.60451005299320659</v>
      </c>
      <c r="S60" s="809">
        <f t="shared" si="6"/>
        <v>0</v>
      </c>
      <c r="T60" s="176">
        <f t="shared" si="7"/>
        <v>6</v>
      </c>
      <c r="U60" s="251">
        <f t="shared" si="8"/>
        <v>0.60451005299320659</v>
      </c>
      <c r="V60" s="383">
        <f t="shared" si="9"/>
        <v>26.127349202545275</v>
      </c>
      <c r="W60" s="402"/>
      <c r="X60" s="157">
        <f t="shared" si="10"/>
        <v>44242</v>
      </c>
      <c r="Y60" s="385">
        <f t="shared" si="11"/>
        <v>23.142665478322396</v>
      </c>
      <c r="Z60" s="385">
        <f t="shared" si="12"/>
        <v>23.920031207588465</v>
      </c>
      <c r="AA60" s="386">
        <f t="shared" si="13"/>
        <v>26.83420000118922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0.10859905618470489</v>
      </c>
      <c r="AD60" s="231">
        <f>(INDEX(Models!$BJ60:$BT60,,AH60)*(1-AF60)+INDEX(Models!$BJ60:$BT60,,AH60+1)*AF60-ERP_i)*AE60*Ramure*Pc/MaxiM</f>
        <v>1.6814286205154794E-2</v>
      </c>
      <c r="AE60" s="305">
        <f t="shared" si="15"/>
        <v>0.8</v>
      </c>
      <c r="AF60" s="177">
        <f t="shared" si="22"/>
        <v>0.80444362714572781</v>
      </c>
      <c r="AG60" s="809">
        <f t="shared" si="23"/>
        <v>1</v>
      </c>
      <c r="AH60" s="176">
        <f t="shared" si="16"/>
        <v>7</v>
      </c>
      <c r="AI60" s="225">
        <f t="shared" si="17"/>
        <v>1.8044436271457278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6">
        <v>22.905999999999999</v>
      </c>
      <c r="C61" s="390"/>
      <c r="D61" s="393">
        <f t="shared" si="0"/>
        <v>23.675973401141793</v>
      </c>
      <c r="E61" s="385">
        <f t="shared" si="1"/>
        <v>26.562464780240127</v>
      </c>
      <c r="F61" s="385">
        <f t="shared" si="2"/>
        <v>26.671305947742184</v>
      </c>
      <c r="G61" s="110">
        <f t="shared" si="21"/>
        <v>0.86592496746396341</v>
      </c>
      <c r="H61" s="414" t="b">
        <f>Wh_hp&gt;='2020'!Maxi_hp</f>
        <v>0</v>
      </c>
      <c r="I61" s="380">
        <f>IF(H61,Wh_hp,'2020'!Maxi_hp)</f>
        <v>31.828917483030121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3.252129862186208E-2</v>
      </c>
      <c r="M61" s="843"/>
      <c r="N61" s="843"/>
      <c r="O61" s="48">
        <f>IF(t&lt;Tnet,'2020'!Resal+('2020'!Salim-'2020'!Resal)*(1-EXP(('2020'!Tnet-t)/('2020'!Tau_j))),Resal+(Salim-Resal)*(1-EXP((Tnet-t)/(Tau_j))))*Salcycl</f>
        <v>0.10866805482771316</v>
      </c>
      <c r="P61" s="169">
        <f>(INDEX(Models!$BJ61:$BT61,,T61)*(1-R61)+INDEX(Models!$BJ61:$BT61,,T61+1)*R61-ERP_i)*Q61*Ramure*Pc/MaxiM</f>
        <v>5.040200622181021E-3</v>
      </c>
      <c r="Q61" s="305">
        <f t="shared" si="4"/>
        <v>0.8</v>
      </c>
      <c r="R61" s="177">
        <f t="shared" si="5"/>
        <v>0.60472950580815232</v>
      </c>
      <c r="S61" s="809">
        <f t="shared" si="6"/>
        <v>0</v>
      </c>
      <c r="T61" s="176">
        <f t="shared" si="7"/>
        <v>6</v>
      </c>
      <c r="U61" s="251">
        <f t="shared" si="8"/>
        <v>0.60472950580815232</v>
      </c>
      <c r="V61" s="383">
        <f t="shared" si="9"/>
        <v>26.427156577281242</v>
      </c>
      <c r="W61" s="402"/>
      <c r="X61" s="157">
        <f t="shared" si="10"/>
        <v>44243</v>
      </c>
      <c r="Y61" s="385">
        <f t="shared" si="11"/>
        <v>22.685342181039019</v>
      </c>
      <c r="Z61" s="385">
        <f t="shared" si="12"/>
        <v>23.447898283160736</v>
      </c>
      <c r="AA61" s="386">
        <f t="shared" si="13"/>
        <v>26.306583546299866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0.10866805482771316</v>
      </c>
      <c r="AD61" s="231">
        <f>(INDEX(Models!$BJ61:$BT61,,AH61)*(1-AF61)+INDEX(Models!$BJ61:$BT61,,AH61+1)*AF61-ERP_i)*AE61*Ramure*Pc/MaxiM</f>
        <v>1.6889510806085629E-2</v>
      </c>
      <c r="AE61" s="305">
        <f t="shared" si="15"/>
        <v>0.8</v>
      </c>
      <c r="AF61" s="177">
        <f t="shared" si="22"/>
        <v>0.80466307996067354</v>
      </c>
      <c r="AG61" s="809">
        <f t="shared" si="23"/>
        <v>1</v>
      </c>
      <c r="AH61" s="176">
        <f t="shared" si="16"/>
        <v>7</v>
      </c>
      <c r="AI61" s="225">
        <f t="shared" si="17"/>
        <v>1.8046630799606735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6">
        <v>24.853000000000002</v>
      </c>
      <c r="C62" s="390"/>
      <c r="D62" s="393">
        <f t="shared" si="0"/>
        <v>25.689025490986452</v>
      </c>
      <c r="E62" s="385">
        <f t="shared" si="1"/>
        <v>28.823170104989071</v>
      </c>
      <c r="F62" s="385">
        <f t="shared" si="2"/>
        <v>28.956393230159296</v>
      </c>
      <c r="G62" s="110">
        <f t="shared" si="21"/>
        <v>0.92923382418805711</v>
      </c>
      <c r="H62" s="414" t="b">
        <f>Wh_hp&gt;='2020'!Maxi_hp</f>
        <v>0</v>
      </c>
      <c r="I62" s="380">
        <f>IF(H62,Wh_hp,'2020'!Maxi_hp)</f>
        <v>32.141014438582829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3.2544071836426422E-2</v>
      </c>
      <c r="M62" s="843"/>
      <c r="N62" s="843"/>
      <c r="O62" s="48">
        <f>IF(t&lt;Tnet,'2020'!Resal+('2020'!Salim-'2020'!Resal)*(1-EXP(('2020'!Tnet-t)/('2020'!Tau_j))),Resal+(Salim-Resal)*(1-EXP((Tnet-t)/(Tau_j))))*Salcycl</f>
        <v>0.10873698495295361</v>
      </c>
      <c r="P62" s="169">
        <f>(INDEX(Models!$BJ62:$BT62,,T62)*(1-R62)+INDEX(Models!$BJ62:$BT62,,T62+1)*R62-ERP_i)*Q62*Ramure*Pc/MaxiM</f>
        <v>5.1143472447251559E-3</v>
      </c>
      <c r="Q62" s="305">
        <f t="shared" si="4"/>
        <v>0.8</v>
      </c>
      <c r="R62" s="177">
        <f t="shared" si="5"/>
        <v>0.60495799318473986</v>
      </c>
      <c r="S62" s="809">
        <f t="shared" si="6"/>
        <v>0</v>
      </c>
      <c r="T62" s="176">
        <f t="shared" si="7"/>
        <v>6</v>
      </c>
      <c r="U62" s="251">
        <f t="shared" si="8"/>
        <v>0.60495799318473986</v>
      </c>
      <c r="V62" s="383">
        <f t="shared" si="9"/>
        <v>26.731892066849145</v>
      </c>
      <c r="W62" s="402"/>
      <c r="X62" s="157">
        <f t="shared" si="10"/>
        <v>44244</v>
      </c>
      <c r="Y62" s="385">
        <f t="shared" si="11"/>
        <v>24.58615930231705</v>
      </c>
      <c r="Z62" s="385">
        <f t="shared" si="12"/>
        <v>25.413208588205705</v>
      </c>
      <c r="AA62" s="386">
        <f t="shared" si="13"/>
        <v>28.513702643505564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0.10873698495295361</v>
      </c>
      <c r="AD62" s="231">
        <f>(INDEX(Models!$BJ62:$BT62,,AH62)*(1-AF62)+INDEX(Models!$BJ62:$BT62,,AH62+1)*AF62-ERP_i)*AE62*Ramure*Pc/MaxiM</f>
        <v>1.6994597441137353E-2</v>
      </c>
      <c r="AE62" s="305">
        <f t="shared" si="15"/>
        <v>0.8</v>
      </c>
      <c r="AF62" s="177">
        <f t="shared" si="22"/>
        <v>0.80489156733726119</v>
      </c>
      <c r="AG62" s="809">
        <f t="shared" si="23"/>
        <v>1</v>
      </c>
      <c r="AH62" s="176">
        <f t="shared" si="16"/>
        <v>7</v>
      </c>
      <c r="AI62" s="225">
        <f t="shared" si="17"/>
        <v>1.8048915673372612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6">
        <v>13.885</v>
      </c>
      <c r="C63" s="390"/>
      <c r="D63" s="393">
        <f t="shared" si="0"/>
        <v>14.352412796029871</v>
      </c>
      <c r="E63" s="385">
        <f t="shared" si="1"/>
        <v>16.104697933978429</v>
      </c>
      <c r="F63" s="385">
        <f t="shared" si="2"/>
        <v>16.130227813476001</v>
      </c>
      <c r="G63" s="110">
        <f t="shared" si="21"/>
        <v>0.51160649264313907</v>
      </c>
      <c r="H63" s="414" t="b">
        <f>Wh_hp&gt;='2020'!Maxi_hp</f>
        <v>0</v>
      </c>
      <c r="I63" s="380">
        <f>IF(H63,Wh_hp,'2020'!Maxi_hp)</f>
        <v>31.856589753625187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3.2566844521024804E-2</v>
      </c>
      <c r="M63" s="843"/>
      <c r="N63" s="843"/>
      <c r="O63" s="48">
        <f>IF(t&lt;Tnet,'2020'!Resal+('2020'!Salim-'2020'!Resal)*(1-EXP(('2020'!Tnet-t)/('2020'!Tau_j))),Resal+(Salim-Resal)*(1-EXP((Tnet-t)/(Tau_j))))*Salcycl</f>
        <v>0.10880583697577489</v>
      </c>
      <c r="P63" s="169">
        <f>(INDEX(Models!$BJ63:$BT63,,T63)*(1-R63)+INDEX(Models!$BJ63:$BT63,,T63+1)*R63-ERP_i)*Q63*Ramure*Pc/MaxiM</f>
        <v>5.1902259384733534E-3</v>
      </c>
      <c r="Q63" s="305">
        <f t="shared" si="4"/>
        <v>0.8</v>
      </c>
      <c r="R63" s="177">
        <f t="shared" si="5"/>
        <v>0.60519587962803778</v>
      </c>
      <c r="S63" s="809">
        <f t="shared" si="6"/>
        <v>0</v>
      </c>
      <c r="T63" s="176">
        <f t="shared" si="7"/>
        <v>6</v>
      </c>
      <c r="U63" s="251">
        <f t="shared" si="8"/>
        <v>0.60519587962803778</v>
      </c>
      <c r="V63" s="383">
        <f t="shared" si="9"/>
        <v>27.041937084994931</v>
      </c>
      <c r="W63" s="402"/>
      <c r="X63" s="157">
        <f t="shared" si="10"/>
        <v>44245</v>
      </c>
      <c r="Y63" s="385">
        <f t="shared" si="11"/>
        <v>13.834372191010127</v>
      </c>
      <c r="Z63" s="385">
        <f t="shared" si="12"/>
        <v>14.300080695663921</v>
      </c>
      <c r="AA63" s="386">
        <f t="shared" si="13"/>
        <v>16.04597661090741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0.10880583697577489</v>
      </c>
      <c r="AD63" s="231">
        <f>(INDEX(Models!$BJ63:$BT63,,AH63)*(1-AF63)+INDEX(Models!$BJ63:$BT63,,AH63+1)*AF63-ERP_i)*AE63*Ramure*Pc/MaxiM</f>
        <v>1.712827422317529E-2</v>
      </c>
      <c r="AE63" s="305">
        <f t="shared" si="15"/>
        <v>0.8</v>
      </c>
      <c r="AF63" s="177">
        <f t="shared" si="22"/>
        <v>0.80512945378055911</v>
      </c>
      <c r="AG63" s="809">
        <f t="shared" si="23"/>
        <v>1</v>
      </c>
      <c r="AH63" s="176">
        <f t="shared" si="16"/>
        <v>7</v>
      </c>
      <c r="AI63" s="225">
        <f t="shared" si="17"/>
        <v>1.8051294537805591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6">
        <v>27.164000000000001</v>
      </c>
      <c r="C64" s="390"/>
      <c r="D64" s="393">
        <f t="shared" si="0"/>
        <v>28.079086671217894</v>
      </c>
      <c r="E64" s="385">
        <f t="shared" si="1"/>
        <v>31.509691838732746</v>
      </c>
      <c r="F64" s="385">
        <f t="shared" si="2"/>
        <v>31.674857385546339</v>
      </c>
      <c r="G64" s="110">
        <f t="shared" si="21"/>
        <v>0.99286753928092408</v>
      </c>
      <c r="H64" s="414" t="b">
        <f>Wh_hp&gt;='2020'!Maxi_hp</f>
        <v>1</v>
      </c>
      <c r="I64" s="380">
        <f>IF(H64,Wh_hp,'2020'!Maxi_hp)</f>
        <v>31.674857385546339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3.258961667566955E-2</v>
      </c>
      <c r="M64" s="843"/>
      <c r="N64" s="843"/>
      <c r="O64" s="48">
        <f>IF(t&lt;Tnet,'2020'!Resal+('2020'!Salim-'2020'!Resal)*(1-EXP(('2020'!Tnet-t)/('2020'!Tau_j))),Resal+(Salim-Resal)*(1-EXP((Tnet-t)/(Tau_j))))*Salcycl</f>
        <v>0.10887460229927864</v>
      </c>
      <c r="P64" s="169">
        <f>(INDEX(Models!$BJ64:$BT64,,T64)*(1-R64)+INDEX(Models!$BJ64:$BT64,,T64+1)*R64-ERP_i)*Q64*Ramure*Pc/MaxiM</f>
        <v>5.2676788259057462E-3</v>
      </c>
      <c r="Q64" s="305">
        <f t="shared" si="4"/>
        <v>0.8</v>
      </c>
      <c r="R64" s="177">
        <f t="shared" si="5"/>
        <v>0.60544354371940856</v>
      </c>
      <c r="S64" s="809">
        <f t="shared" si="6"/>
        <v>0</v>
      </c>
      <c r="T64" s="176">
        <f t="shared" si="7"/>
        <v>6</v>
      </c>
      <c r="U64" s="251">
        <f t="shared" si="8"/>
        <v>0.60544354371940856</v>
      </c>
      <c r="V64" s="383">
        <f t="shared" si="9"/>
        <v>27.357672821501463</v>
      </c>
      <c r="W64" s="402"/>
      <c r="X64" s="157">
        <f t="shared" si="10"/>
        <v>44246</v>
      </c>
      <c r="Y64" s="385">
        <f t="shared" si="11"/>
        <v>26.839053018380771</v>
      </c>
      <c r="Z64" s="385">
        <f t="shared" si="12"/>
        <v>27.743193045078996</v>
      </c>
      <c r="AA64" s="386">
        <f t="shared" si="13"/>
        <v>31.132759897385807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0.10887460229927864</v>
      </c>
      <c r="AD64" s="231">
        <f>(INDEX(Models!$BJ64:$BT64,,AH64)*(1-AF64)+INDEX(Models!$BJ64:$BT64,,AH64+1)*AF64-ERP_i)*AE64*Ramure*Pc/MaxiM</f>
        <v>1.7289292561618558E-2</v>
      </c>
      <c r="AE64" s="305">
        <f t="shared" si="15"/>
        <v>0.8</v>
      </c>
      <c r="AF64" s="177">
        <f t="shared" si="22"/>
        <v>0.80537711787192978</v>
      </c>
      <c r="AG64" s="809">
        <f t="shared" si="23"/>
        <v>1</v>
      </c>
      <c r="AH64" s="176">
        <f t="shared" si="16"/>
        <v>7</v>
      </c>
      <c r="AI64" s="225">
        <f t="shared" si="17"/>
        <v>1.8053771178719298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6">
        <v>21.464000000000002</v>
      </c>
      <c r="C65" s="390"/>
      <c r="D65" s="393">
        <f t="shared" si="0"/>
        <v>22.187590310660866</v>
      </c>
      <c r="E65" s="385">
        <f t="shared" si="1"/>
        <v>24.900311787296243</v>
      </c>
      <c r="F65" s="385">
        <f t="shared" si="2"/>
        <v>24.991066425175166</v>
      </c>
      <c r="G65" s="110">
        <f t="shared" si="21"/>
        <v>0.77411684486880117</v>
      </c>
      <c r="H65" s="414" t="b">
        <f>Wh_hp&gt;='2020'!Maxi_hp</f>
        <v>0</v>
      </c>
      <c r="I65" s="380">
        <f>IF(H65,Wh_hp,'2020'!Maxi_hp)</f>
        <v>32.961384862018924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3.2612388300372983E-2</v>
      </c>
      <c r="M65" s="843"/>
      <c r="N65" s="843"/>
      <c r="O65" s="48">
        <f>IF(t&lt;Tnet,'2020'!Resal+('2020'!Salim-'2020'!Resal)*(1-EXP(('2020'!Tnet-t)/('2020'!Tau_j))),Resal+(Salim-Resal)*(1-EXP((Tnet-t)/(Tau_j))))*Salcycl</f>
        <v>0.10894327347416452</v>
      </c>
      <c r="P65" s="169">
        <f>(INDEX(Models!$BJ65:$BT65,,T65)*(1-R65)+INDEX(Models!$BJ65:$BT65,,T65+1)*R65-ERP_i)*Q65*Ramure*Pc/MaxiM</f>
        <v>5.3465755523433335E-3</v>
      </c>
      <c r="Q65" s="305">
        <f t="shared" si="4"/>
        <v>0.8</v>
      </c>
      <c r="R65" s="177">
        <f t="shared" si="5"/>
        <v>0.60570137860650097</v>
      </c>
      <c r="S65" s="809">
        <f t="shared" si="6"/>
        <v>0</v>
      </c>
      <c r="T65" s="176">
        <f t="shared" si="7"/>
        <v>6</v>
      </c>
      <c r="U65" s="251">
        <f t="shared" si="8"/>
        <v>0.60570137860650097</v>
      </c>
      <c r="V65" s="383">
        <f t="shared" si="9"/>
        <v>27.679352577952304</v>
      </c>
      <c r="W65" s="402"/>
      <c r="X65" s="157">
        <f t="shared" si="10"/>
        <v>44247</v>
      </c>
      <c r="Y65" s="385">
        <f t="shared" si="11"/>
        <v>21.286516785694655</v>
      </c>
      <c r="Z65" s="385">
        <f t="shared" si="12"/>
        <v>22.004123815784503</v>
      </c>
      <c r="AA65" s="386">
        <f t="shared" si="13"/>
        <v>24.694414127344015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0.10894327347416452</v>
      </c>
      <c r="AD65" s="231">
        <f>(INDEX(Models!$BJ65:$BT65,,AH65)*(1-AF65)+INDEX(Models!$BJ65:$BT65,,AH65+1)*AF65-ERP_i)*AE65*Ramure*Pc/MaxiM</f>
        <v>1.747650544588707E-2</v>
      </c>
      <c r="AE65" s="305">
        <f t="shared" si="15"/>
        <v>0.8</v>
      </c>
      <c r="AF65" s="177">
        <f t="shared" si="22"/>
        <v>0.80563495275902208</v>
      </c>
      <c r="AG65" s="809">
        <f t="shared" si="23"/>
        <v>1</v>
      </c>
      <c r="AH65" s="176">
        <f t="shared" si="16"/>
        <v>7</v>
      </c>
      <c r="AI65" s="225">
        <f t="shared" si="17"/>
        <v>1.8056349527590221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6">
        <v>10.583</v>
      </c>
      <c r="C66" s="390"/>
      <c r="D66" s="393">
        <f t="shared" si="0"/>
        <v>10.940029610113692</v>
      </c>
      <c r="E66" s="385">
        <f t="shared" si="1"/>
        <v>12.278535400004154</v>
      </c>
      <c r="F66" s="385">
        <f t="shared" si="2"/>
        <v>12.28595377777947</v>
      </c>
      <c r="G66" s="110">
        <f t="shared" si="21"/>
        <v>0.37604999657950117</v>
      </c>
      <c r="H66" s="414" t="b">
        <f>Wh_hp&gt;='2020'!Maxi_hp</f>
        <v>0</v>
      </c>
      <c r="I66" s="380">
        <f>IF(H66,Wh_hp,'2020'!Maxi_hp)</f>
        <v>32.315694426247191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3.2635159395147426E-2</v>
      </c>
      <c r="M66" s="843"/>
      <c r="N66" s="843"/>
      <c r="O66" s="48">
        <f>IF(t&lt;Tnet,'2020'!Resal+('2020'!Salim-'2020'!Resal)*(1-EXP(('2020'!Tnet-t)/('2020'!Tau_j))),Resal+(Salim-Resal)*(1-EXP((Tnet-t)/(Tau_j))))*Salcycl</f>
        <v>0.10901184435156731</v>
      </c>
      <c r="P66" s="169">
        <f>(INDEX(Models!$BJ66:$BT66,,T66)*(1-R66)+INDEX(Models!$BJ66:$BT66,,T66+1)*R66-ERP_i)*Q66*Ramure*Pc/MaxiM</f>
        <v>5.4275811134441463E-3</v>
      </c>
      <c r="Q66" s="305">
        <f t="shared" si="4"/>
        <v>0.8</v>
      </c>
      <c r="R66" s="177">
        <f t="shared" si="5"/>
        <v>0.60596979250564487</v>
      </c>
      <c r="S66" s="809">
        <f t="shared" si="6"/>
        <v>0</v>
      </c>
      <c r="T66" s="176">
        <f t="shared" si="7"/>
        <v>6</v>
      </c>
      <c r="U66" s="251">
        <f t="shared" si="8"/>
        <v>0.60596979250564487</v>
      </c>
      <c r="V66" s="383">
        <f t="shared" si="9"/>
        <v>28.006699320802973</v>
      </c>
      <c r="W66" s="402"/>
      <c r="X66" s="157">
        <f t="shared" si="10"/>
        <v>44248</v>
      </c>
      <c r="Y66" s="385">
        <f t="shared" si="11"/>
        <v>10.568547444024567</v>
      </c>
      <c r="Z66" s="385">
        <f t="shared" si="12"/>
        <v>10.925089480631215</v>
      </c>
      <c r="AA66" s="386">
        <f t="shared" si="13"/>
        <v>12.261767355010779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0.10901184435156731</v>
      </c>
      <c r="AD66" s="231">
        <f>(INDEX(Models!$BJ66:$BT66,,AH66)*(1-AF66)+INDEX(Models!$BJ66:$BT66,,AH66+1)*AF66-ERP_i)*AE66*Ramure*Pc/MaxiM</f>
        <v>1.769575173940616E-2</v>
      </c>
      <c r="AE66" s="305">
        <f t="shared" si="15"/>
        <v>0.8</v>
      </c>
      <c r="AF66" s="177">
        <f t="shared" si="22"/>
        <v>0.80590336665816609</v>
      </c>
      <c r="AG66" s="809">
        <f t="shared" si="23"/>
        <v>1</v>
      </c>
      <c r="AH66" s="176">
        <f t="shared" si="16"/>
        <v>7</v>
      </c>
      <c r="AI66" s="225">
        <f t="shared" si="17"/>
        <v>1.8059033666581661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6">
        <v>6.9729999999999999</v>
      </c>
      <c r="C67" s="390"/>
      <c r="D67" s="393">
        <f t="shared" si="0"/>
        <v>7.2084118079468009</v>
      </c>
      <c r="E67" s="385">
        <f t="shared" si="1"/>
        <v>8.0909782225008335</v>
      </c>
      <c r="F67" s="385">
        <f t="shared" si="2"/>
        <v>8.0909782225008335</v>
      </c>
      <c r="G67" s="110">
        <f t="shared" si="21"/>
        <v>0.24469790205817754</v>
      </c>
      <c r="H67" s="414" t="b">
        <f>Wh_hp&gt;='2020'!Maxi_hp</f>
        <v>0</v>
      </c>
      <c r="I67" s="380">
        <f>IF(H67,Wh_hp,'2020'!Maxi_hp)</f>
        <v>32.908275792453587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3.2657929960005203E-2</v>
      </c>
      <c r="M67" s="843"/>
      <c r="N67" s="843"/>
      <c r="O67" s="48">
        <f>IF(t&lt;Tnet,'2020'!Resal+('2020'!Salim-'2020'!Resal)*(1-EXP(('2020'!Tnet-t)/('2020'!Tau_j))),Resal+(Salim-Resal)*(1-EXP((Tnet-t)/(Tau_j))))*Salcycl</f>
        <v>0.1090803102274623</v>
      </c>
      <c r="P67" s="169">
        <f>(INDEX(Models!$BJ67:$BT67,,T67)*(1-R67)+INDEX(Models!$BJ67:$BT67,,T67+1)*R67-ERP_i)*Q67*Ramure*Pc/MaxiM</f>
        <v>5.508644742952192E-3</v>
      </c>
      <c r="Q67" s="305">
        <f t="shared" si="4"/>
        <v>0.8</v>
      </c>
      <c r="R67" s="177">
        <f t="shared" si="5"/>
        <v>0.60624920921652803</v>
      </c>
      <c r="S67" s="809">
        <f t="shared" si="6"/>
        <v>0</v>
      </c>
      <c r="T67" s="176">
        <f t="shared" si="7"/>
        <v>6</v>
      </c>
      <c r="U67" s="251">
        <f t="shared" si="8"/>
        <v>0.60624920921652803</v>
      </c>
      <c r="V67" s="383">
        <f t="shared" si="9"/>
        <v>28.339385674662132</v>
      </c>
      <c r="W67" s="402"/>
      <c r="X67" s="157">
        <f t="shared" si="10"/>
        <v>44249</v>
      </c>
      <c r="Y67" s="385">
        <f t="shared" si="11"/>
        <v>6.9729999999999999</v>
      </c>
      <c r="Z67" s="385">
        <f t="shared" si="12"/>
        <v>7.2084118079468009</v>
      </c>
      <c r="AA67" s="386">
        <f t="shared" si="13"/>
        <v>8.0909782225008335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0.1090803102274623</v>
      </c>
      <c r="AD67" s="231">
        <f>(INDEX(Models!$BJ67:$BT67,,AH67)*(1-AF67)+INDEX(Models!$BJ67:$BT67,,AH67+1)*AF67-ERP_i)*AE67*Ramure*Pc/MaxiM</f>
        <v>1.7928695591603455E-2</v>
      </c>
      <c r="AE67" s="305">
        <f t="shared" si="15"/>
        <v>0.8</v>
      </c>
      <c r="AF67" s="177">
        <f t="shared" si="22"/>
        <v>0.80618278336904914</v>
      </c>
      <c r="AG67" s="809">
        <f t="shared" si="23"/>
        <v>1</v>
      </c>
      <c r="AH67" s="176">
        <f t="shared" si="16"/>
        <v>7</v>
      </c>
      <c r="AI67" s="225">
        <f t="shared" si="17"/>
        <v>1.8061827833690491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6">
        <v>24.052</v>
      </c>
      <c r="C68" s="390"/>
      <c r="D68" s="393">
        <f t="shared" si="0"/>
        <v>24.86459228082666</v>
      </c>
      <c r="E68" s="385">
        <f t="shared" si="1"/>
        <v>27.911045745839406</v>
      </c>
      <c r="F68" s="385">
        <f t="shared" si="2"/>
        <v>28.031634900429125</v>
      </c>
      <c r="G68" s="110">
        <f t="shared" si="21"/>
        <v>0.83763527392803638</v>
      </c>
      <c r="H68" s="414" t="b">
        <f>Wh_hp&gt;='2020'!Maxi_hp</f>
        <v>0</v>
      </c>
      <c r="I68" s="380">
        <f>IF(H68,Wh_hp,'2020'!Maxi_hp)</f>
        <v>33.900366462796477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3.2680699994958637E-2</v>
      </c>
      <c r="M68" s="843"/>
      <c r="N68" s="843"/>
      <c r="O68" s="48">
        <f>IF(t&lt;Tnet,'2020'!Resal+('2020'!Salim-'2020'!Resal)*(1-EXP(('2020'!Tnet-t)/('2020'!Tau_j))),Resal+(Salim-Resal)*(1-EXP((Tnet-t)/(Tau_j))))*Salcycl</f>
        <v>0.10914866797733187</v>
      </c>
      <c r="P68" s="169">
        <f>(INDEX(Models!$BJ68:$BT68,,T68)*(1-R68)+INDEX(Models!$BJ68:$BT68,,T68+1)*R68-ERP_i)*Q68*Ramure*Pc/MaxiM</f>
        <v>5.5897794215445194E-3</v>
      </c>
      <c r="Q68" s="305">
        <f t="shared" si="4"/>
        <v>0.8</v>
      </c>
      <c r="R68" s="177">
        <f t="shared" si="5"/>
        <v>0.60654006864898147</v>
      </c>
      <c r="S68" s="809">
        <f t="shared" si="6"/>
        <v>0</v>
      </c>
      <c r="T68" s="176">
        <f t="shared" si="7"/>
        <v>6</v>
      </c>
      <c r="U68" s="251">
        <f t="shared" si="8"/>
        <v>0.60654006864898147</v>
      </c>
      <c r="V68" s="383">
        <f t="shared" si="9"/>
        <v>28.677027727243075</v>
      </c>
      <c r="W68" s="402"/>
      <c r="X68" s="157">
        <f t="shared" si="10"/>
        <v>44250</v>
      </c>
      <c r="Y68" s="385">
        <f t="shared" si="11"/>
        <v>23.818037484996633</v>
      </c>
      <c r="Z68" s="385">
        <f t="shared" si="12"/>
        <v>24.622725386408089</v>
      </c>
      <c r="AA68" s="386">
        <f t="shared" si="13"/>
        <v>27.639544895221139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0.10914866797733187</v>
      </c>
      <c r="AD68" s="231">
        <f>(INDEX(Models!$BJ68:$BT68,,AH68)*(1-AF68)+INDEX(Models!$BJ68:$BT68,,AH68+1)*AF68-ERP_i)*AE68*Ramure*Pc/MaxiM</f>
        <v>1.8174906773015299E-2</v>
      </c>
      <c r="AE68" s="305">
        <f t="shared" si="15"/>
        <v>0.8</v>
      </c>
      <c r="AF68" s="177">
        <f t="shared" si="22"/>
        <v>0.80647364280150269</v>
      </c>
      <c r="AG68" s="809">
        <f t="shared" si="23"/>
        <v>1</v>
      </c>
      <c r="AH68" s="176">
        <f t="shared" si="16"/>
        <v>7</v>
      </c>
      <c r="AI68" s="225">
        <f t="shared" si="17"/>
        <v>1.8064736428015027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6">
        <v>28.39</v>
      </c>
      <c r="C69" s="390"/>
      <c r="D69" s="393">
        <f t="shared" si="0"/>
        <v>29.349841651272822</v>
      </c>
      <c r="E69" s="385">
        <f t="shared" si="1"/>
        <v>32.948359914298379</v>
      </c>
      <c r="F69" s="385">
        <f t="shared" si="2"/>
        <v>33.130423510017025</v>
      </c>
      <c r="G69" s="110">
        <f t="shared" si="21"/>
        <v>0.97814361575573028</v>
      </c>
      <c r="H69" s="414" t="b">
        <f>Wh_hp&gt;='2020'!Maxi_hp</f>
        <v>0</v>
      </c>
      <c r="I69" s="380">
        <f>IF(H69,Wh_hp,'2020'!Maxi_hp)</f>
        <v>34.946187395768554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3.2703469500020163E-2</v>
      </c>
      <c r="M69" s="843"/>
      <c r="N69" s="843"/>
      <c r="O69" s="48">
        <f>IF(t&lt;Tnet,'2020'!Resal+('2020'!Salim-'2020'!Resal)*(1-EXP(('2020'!Tnet-t)/('2020'!Tau_j))),Resal+(Salim-Resal)*(1-EXP((Tnet-t)/(Tau_j))))*Salcycl</f>
        <v>0.10921691617991373</v>
      </c>
      <c r="P69" s="169">
        <f>(INDEX(Models!$BJ69:$BT69,,T69)*(1-R69)+INDEX(Models!$BJ69:$BT69,,T69+1)*R69-ERP_i)*Q69*Ramure*Pc/MaxiM</f>
        <v>5.6710285638856177E-3</v>
      </c>
      <c r="Q69" s="305">
        <f t="shared" si="4"/>
        <v>0.8</v>
      </c>
      <c r="R69" s="177">
        <f t="shared" si="5"/>
        <v>0.60684282736164341</v>
      </c>
      <c r="S69" s="809">
        <f t="shared" si="6"/>
        <v>0</v>
      </c>
      <c r="T69" s="176">
        <f t="shared" si="7"/>
        <v>6</v>
      </c>
      <c r="U69" s="251">
        <f t="shared" si="8"/>
        <v>0.60684282736164341</v>
      </c>
      <c r="V69" s="383">
        <f t="shared" si="9"/>
        <v>29.019240883371626</v>
      </c>
      <c r="W69" s="402"/>
      <c r="X69" s="157">
        <f t="shared" si="10"/>
        <v>44251</v>
      </c>
      <c r="Y69" s="385">
        <f t="shared" si="11"/>
        <v>28.03694144383601</v>
      </c>
      <c r="Z69" s="385">
        <f t="shared" si="12"/>
        <v>28.984846486882539</v>
      </c>
      <c r="AA69" s="386">
        <f t="shared" si="13"/>
        <v>32.538613511363764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0.10921691617991373</v>
      </c>
      <c r="AD69" s="231">
        <f>(INDEX(Models!$BJ69:$BT69,,AH69)*(1-AF69)+INDEX(Models!$BJ69:$BT69,,AH69+1)*AF69-ERP_i)*AE69*Ramure*Pc/MaxiM</f>
        <v>1.8434060875861375E-2</v>
      </c>
      <c r="AE69" s="305">
        <f t="shared" si="15"/>
        <v>0.8</v>
      </c>
      <c r="AF69" s="177">
        <f t="shared" si="22"/>
        <v>0.80677640151416452</v>
      </c>
      <c r="AG69" s="809">
        <f t="shared" si="23"/>
        <v>1</v>
      </c>
      <c r="AH69" s="176">
        <f t="shared" si="16"/>
        <v>7</v>
      </c>
      <c r="AI69" s="225">
        <f t="shared" si="17"/>
        <v>1.8067764015141645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6">
        <v>25.523</v>
      </c>
      <c r="C70" s="390"/>
      <c r="D70" s="393">
        <f t="shared" si="0"/>
        <v>26.386531936693771</v>
      </c>
      <c r="E70" s="385">
        <f t="shared" si="1"/>
        <v>29.623991481895946</v>
      </c>
      <c r="F70" s="385">
        <f t="shared" si="2"/>
        <v>29.763197025372754</v>
      </c>
      <c r="G70" s="110">
        <f t="shared" si="21"/>
        <v>0.86820599522021669</v>
      </c>
      <c r="H70" s="414" t="b">
        <f>Wh_hp&gt;='2020'!Maxi_hp</f>
        <v>0</v>
      </c>
      <c r="I70" s="380">
        <f>IF(H70,Wh_hp,'2020'!Maxi_hp)</f>
        <v>34.047177423693249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3.2726238475201994E-2</v>
      </c>
      <c r="M70" s="843"/>
      <c r="N70" s="843"/>
      <c r="O70" s="48">
        <f>IF(t&lt;Tnet,'2020'!Resal+('2020'!Salim-'2020'!Resal)*(1-EXP(('2020'!Tnet-t)/('2020'!Tau_j))),Resal+(Salim-Resal)*(1-EXP((Tnet-t)/(Tau_j))))*Salcycl</f>
        <v>0.10928505522899157</v>
      </c>
      <c r="P70" s="169">
        <f>(INDEX(Models!$BJ70:$BT70,,T70)*(1-R70)+INDEX(Models!$BJ70:$BT70,,T70+1)*R70-ERP_i)*Q70*Ramure*Pc/MaxiM</f>
        <v>5.7524394793210401E-3</v>
      </c>
      <c r="Q70" s="305">
        <f t="shared" si="4"/>
        <v>0.8</v>
      </c>
      <c r="R70" s="177">
        <f t="shared" si="5"/>
        <v>0.60715795911220671</v>
      </c>
      <c r="S70" s="809">
        <f t="shared" si="6"/>
        <v>0</v>
      </c>
      <c r="T70" s="176">
        <f t="shared" si="7"/>
        <v>6</v>
      </c>
      <c r="U70" s="251">
        <f t="shared" si="8"/>
        <v>0.60715795911220671</v>
      </c>
      <c r="V70" s="383">
        <f t="shared" si="9"/>
        <v>29.365640599038919</v>
      </c>
      <c r="W70" s="402"/>
      <c r="X70" s="157">
        <f t="shared" si="10"/>
        <v>44252</v>
      </c>
      <c r="Y70" s="385">
        <f t="shared" si="11"/>
        <v>25.252929654927698</v>
      </c>
      <c r="Z70" s="385">
        <f t="shared" si="12"/>
        <v>26.107324171720837</v>
      </c>
      <c r="AA70" s="386">
        <f t="shared" si="13"/>
        <v>29.310526701034192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0.10928505522899157</v>
      </c>
      <c r="AD70" s="231">
        <f>(INDEX(Models!$BJ70:$BT70,,AH70)*(1-AF70)+INDEX(Models!$BJ70:$BT70,,AH70+1)*AF70-ERP_i)*AE70*Ramure*Pc/MaxiM</f>
        <v>1.8705854521346734E-2</v>
      </c>
      <c r="AE70" s="305">
        <f t="shared" si="15"/>
        <v>0.8</v>
      </c>
      <c r="AF70" s="177">
        <f t="shared" si="22"/>
        <v>0.80709153326472793</v>
      </c>
      <c r="AG70" s="809">
        <f t="shared" si="23"/>
        <v>1</v>
      </c>
      <c r="AH70" s="176">
        <f t="shared" si="16"/>
        <v>7</v>
      </c>
      <c r="AI70" s="225">
        <f t="shared" si="17"/>
        <v>1.8070915332647279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6">
        <v>7.8090000000000002</v>
      </c>
      <c r="C71" s="390"/>
      <c r="D71" s="393">
        <f t="shared" si="0"/>
        <v>8.0733956913687024</v>
      </c>
      <c r="E71" s="385">
        <f t="shared" si="1"/>
        <v>9.0646423149816986</v>
      </c>
      <c r="F71" s="385">
        <f t="shared" si="2"/>
        <v>9.0646423149816986</v>
      </c>
      <c r="G71" s="110">
        <f t="shared" si="21"/>
        <v>0.26125598952179147</v>
      </c>
      <c r="H71" s="414" t="b">
        <f>Wh_hp&gt;='2020'!Maxi_hp</f>
        <v>0</v>
      </c>
      <c r="I71" s="380">
        <f>IF(H71,Wh_hp,'2020'!Maxi_hp)</f>
        <v>30.798434522266472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3.2749006920516563E-2</v>
      </c>
      <c r="M71" s="843"/>
      <c r="N71" s="843"/>
      <c r="O71" s="48">
        <f>IF(t&lt;Tnet,'2020'!Resal+('2020'!Salim-'2020'!Resal)*(1-EXP(('2020'!Tnet-t)/('2020'!Tau_j))),Resal+(Salim-Resal)*(1-EXP((Tnet-t)/(Tau_j))))*Salcycl</f>
        <v>0.10935308743233051</v>
      </c>
      <c r="P71" s="169">
        <f>(INDEX(Models!$BJ71:$BT71,,T71)*(1-R71)+INDEX(Models!$BJ71:$BT71,,T71+1)*R71-ERP_i)*Q71*Ramure*Pc/MaxiM</f>
        <v>5.8340633541644205E-3</v>
      </c>
      <c r="Q71" s="305">
        <f t="shared" si="4"/>
        <v>0.8</v>
      </c>
      <c r="R71" s="177">
        <f t="shared" si="5"/>
        <v>0.60748595541888506</v>
      </c>
      <c r="S71" s="809">
        <f t="shared" si="6"/>
        <v>0</v>
      </c>
      <c r="T71" s="176">
        <f t="shared" si="7"/>
        <v>6</v>
      </c>
      <c r="U71" s="251">
        <f t="shared" si="8"/>
        <v>0.60748595541888506</v>
      </c>
      <c r="V71" s="383">
        <f t="shared" si="9"/>
        <v>29.715842356294679</v>
      </c>
      <c r="W71" s="402"/>
      <c r="X71" s="157">
        <f t="shared" si="10"/>
        <v>44253</v>
      </c>
      <c r="Y71" s="385">
        <f t="shared" si="11"/>
        <v>7.8090000000000002</v>
      </c>
      <c r="Z71" s="385">
        <f t="shared" si="12"/>
        <v>8.0733956913687024</v>
      </c>
      <c r="AA71" s="386">
        <f t="shared" si="13"/>
        <v>9.0646423149816986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0.10935308743233051</v>
      </c>
      <c r="AD71" s="231">
        <f>(INDEX(Models!$BJ71:$BT71,,AH71)*(1-AF71)+INDEX(Models!$BJ71:$BT71,,AH71+1)*AF71-ERP_i)*AE71*Ramure*Pc/MaxiM</f>
        <v>1.8990007022910774E-2</v>
      </c>
      <c r="AE71" s="305">
        <f t="shared" si="15"/>
        <v>0.8</v>
      </c>
      <c r="AF71" s="177">
        <f t="shared" si="22"/>
        <v>0.80741952957140617</v>
      </c>
      <c r="AG71" s="809">
        <f t="shared" si="23"/>
        <v>1</v>
      </c>
      <c r="AH71" s="176">
        <f t="shared" si="16"/>
        <v>7</v>
      </c>
      <c r="AI71" s="225">
        <f t="shared" si="17"/>
        <v>1.8074195295714062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6">
        <v>30.073</v>
      </c>
      <c r="C72" s="390"/>
      <c r="D72" s="393">
        <f t="shared" si="0"/>
        <v>31.091937991057051</v>
      </c>
      <c r="E72" s="385">
        <f t="shared" si="1"/>
        <v>34.912050012350242</v>
      </c>
      <c r="F72" s="385">
        <f t="shared" si="2"/>
        <v>35.119765108958404</v>
      </c>
      <c r="G72" s="110">
        <f t="shared" si="21"/>
        <v>1.0001161867595281</v>
      </c>
      <c r="H72" s="414" t="b">
        <f>Wh_hp&gt;='2020'!Maxi_hp</f>
        <v>1</v>
      </c>
      <c r="I72" s="380">
        <f>IF(H72,Wh_hp,'2020'!Maxi_hp)</f>
        <v>35.119765108958404</v>
      </c>
      <c r="J72" s="85">
        <f>IF(H72,An,'2020'!An_max)</f>
        <v>2021</v>
      </c>
      <c r="K72" s="197">
        <f t="shared" si="3"/>
        <v>44254</v>
      </c>
      <c r="L72" s="147">
        <f>IF(t&lt;Tvie,1-EXP((T0-t)*PertePVj)+'2020'!Pspv,1-EXP((T0-t)*PertePVj)+Pspv)</f>
        <v>3.2771774835976084E-2</v>
      </c>
      <c r="M72" s="843"/>
      <c r="N72" s="843"/>
      <c r="O72" s="48">
        <f>IF(t&lt;Tnet,'2020'!Resal+('2020'!Salim-'2020'!Resal)*(1-EXP(('2020'!Tnet-t)/('2020'!Tau_j))),Resal+(Salim-Resal)*(1-EXP((Tnet-t)/(Tau_j))))*Salcycl</f>
        <v>0.10942101709701411</v>
      </c>
      <c r="P72" s="169">
        <f>(INDEX(Models!$BJ72:$BT72,,T72)*(1-R72)+INDEX(Models!$BJ72:$BT72,,T72+1)*R72-ERP_i)*Q72*Ramure*Pc/MaxiM</f>
        <v>5.9144785269413282E-3</v>
      </c>
      <c r="Q72" s="305">
        <f t="shared" si="4"/>
        <v>0.8</v>
      </c>
      <c r="R72" s="177">
        <f t="shared" si="5"/>
        <v>0.60782732613265722</v>
      </c>
      <c r="S72" s="809">
        <f t="shared" si="6"/>
        <v>0</v>
      </c>
      <c r="T72" s="176">
        <f t="shared" si="7"/>
        <v>6</v>
      </c>
      <c r="U72" s="251">
        <f t="shared" si="8"/>
        <v>0.60782732613265722</v>
      </c>
      <c r="V72" s="383">
        <f t="shared" si="9"/>
        <v>30.069506321499897</v>
      </c>
      <c r="W72" s="402"/>
      <c r="X72" s="157">
        <f t="shared" si="10"/>
        <v>44254</v>
      </c>
      <c r="Y72" s="385">
        <f t="shared" si="11"/>
        <v>29.668482378524097</v>
      </c>
      <c r="Z72" s="385">
        <f t="shared" si="12"/>
        <v>30.673714441586807</v>
      </c>
      <c r="AA72" s="386">
        <f t="shared" si="13"/>
        <v>34.442441412215778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0.10942101709701411</v>
      </c>
      <c r="AD72" s="231">
        <f>(INDEX(Models!$BJ72:$BT72,,AH72)*(1-AF72)+INDEX(Models!$BJ72:$BT72,,AH72+1)*AF72-ERP_i)*AE72*Ramure*Pc/MaxiM</f>
        <v>1.9286111243661235E-2</v>
      </c>
      <c r="AE72" s="305">
        <f t="shared" si="15"/>
        <v>0.8</v>
      </c>
      <c r="AF72" s="177">
        <f t="shared" si="22"/>
        <v>0.80776090028517844</v>
      </c>
      <c r="AG72" s="809">
        <f t="shared" si="23"/>
        <v>1</v>
      </c>
      <c r="AH72" s="176">
        <f t="shared" si="16"/>
        <v>7</v>
      </c>
      <c r="AI72" s="225">
        <f t="shared" si="17"/>
        <v>1.8077609002851784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6">
        <v>26.157</v>
      </c>
      <c r="C73" s="390"/>
      <c r="D73" s="393">
        <f t="shared" si="0"/>
        <v>27.043892059997802</v>
      </c>
      <c r="E73" s="385">
        <f t="shared" si="1"/>
        <v>30.368953918473874</v>
      </c>
      <c r="F73" s="385">
        <f t="shared" si="2"/>
        <v>30.515146112920245</v>
      </c>
      <c r="G73" s="110">
        <f t="shared" si="21"/>
        <v>0.85864619117102714</v>
      </c>
      <c r="H73" s="414" t="b">
        <f>Wh_hp&gt;='2020'!Maxi_hp</f>
        <v>1</v>
      </c>
      <c r="I73" s="380">
        <f>IF(H73,Wh_hp,'2020'!Maxi_hp)</f>
        <v>30.515146112920245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3.279454222159299E-2</v>
      </c>
      <c r="M73" s="843"/>
      <c r="N73" s="843"/>
      <c r="O73" s="48">
        <f>IF(t&lt;Tnet,'2020'!Resal+('2020'!Salim-'2020'!Resal)*(1-EXP(('2020'!Tnet-t)/('2020'!Tau_j))),Resal+(Salim-Resal)*(1-EXP((Tnet-t)/(Tau_j))))*Salcycl</f>
        <v>0.10948885060059275</v>
      </c>
      <c r="P73" s="169">
        <f>(INDEX(Models!$BJ73:$BT73,,T73)*(1-R73)+INDEX(Models!$BJ73:$BT73,,T73+1)*R73-ERP_i)*Q73*Ramure*Pc/MaxiM</f>
        <v>5.9918937016824238E-3</v>
      </c>
      <c r="Q73" s="305">
        <f t="shared" si="4"/>
        <v>0.8</v>
      </c>
      <c r="R73" s="177">
        <f t="shared" si="5"/>
        <v>0.60818260001976243</v>
      </c>
      <c r="S73" s="809">
        <f t="shared" si="6"/>
        <v>0</v>
      </c>
      <c r="T73" s="176">
        <f t="shared" si="7"/>
        <v>6</v>
      </c>
      <c r="U73" s="251">
        <f t="shared" si="8"/>
        <v>0.60818260001976243</v>
      </c>
      <c r="V73" s="383">
        <f t="shared" si="9"/>
        <v>30.426306228918868</v>
      </c>
      <c r="W73" s="402"/>
      <c r="X73" s="157">
        <f t="shared" si="10"/>
        <v>44255</v>
      </c>
      <c r="Y73" s="385">
        <f t="shared" si="11"/>
        <v>25.871459198383217</v>
      </c>
      <c r="Z73" s="385">
        <f t="shared" si="12"/>
        <v>26.74866957203475</v>
      </c>
      <c r="AA73" s="386">
        <f t="shared" si="13"/>
        <v>30.037433658270327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0.10948885060059275</v>
      </c>
      <c r="AD73" s="231">
        <f>(INDEX(Models!$BJ73:$BT73,,AH73)*(1-AF73)+INDEX(Models!$BJ73:$BT73,,AH73+1)*AF73-ERP_i)*AE73*Ramure*Pc/MaxiM</f>
        <v>1.9579720101145299E-2</v>
      </c>
      <c r="AE73" s="305">
        <f t="shared" si="15"/>
        <v>0.8</v>
      </c>
      <c r="AF73" s="177">
        <f t="shared" si="22"/>
        <v>0.80811617417228354</v>
      </c>
      <c r="AG73" s="809">
        <f t="shared" si="23"/>
        <v>1</v>
      </c>
      <c r="AH73" s="176">
        <f t="shared" si="16"/>
        <v>7</v>
      </c>
      <c r="AI73" s="225">
        <f t="shared" si="17"/>
        <v>1.8081161741722835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6">
        <v>27.775000000000002</v>
      </c>
      <c r="C74" s="390"/>
      <c r="D74" s="393">
        <f t="shared" si="0"/>
        <v>28.717428734694078</v>
      </c>
      <c r="E74" s="385">
        <f t="shared" si="1"/>
        <v>32.250706356099691</v>
      </c>
      <c r="F74" s="385">
        <f t="shared" si="2"/>
        <v>32.419902846445815</v>
      </c>
      <c r="G74" s="110">
        <f t="shared" si="21"/>
        <v>0.90143127783852117</v>
      </c>
      <c r="H74" s="414" t="b">
        <f>Wh_hp&gt;='2020'!Maxi_hp</f>
        <v>1</v>
      </c>
      <c r="I74" s="380">
        <f>IF(H74,Wh_hp,'2020'!Maxi_hp)</f>
        <v>32.419902846445815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3.2817309077379606E-2</v>
      </c>
      <c r="M74" s="843"/>
      <c r="N74" s="843"/>
      <c r="O74" s="48">
        <f>IF(t&lt;Tnet,'2020'!Resal+('2020'!Salim-'2020'!Resal)*(1-EXP(('2020'!Tnet-t)/('2020'!Tau_j))),Resal+(Salim-Resal)*(1-EXP((Tnet-t)/(Tau_j))))*Salcycl</f>
        <v>0.10955659644761087</v>
      </c>
      <c r="P74" s="169">
        <f>(INDEX(Models!$BJ74:$BT74,,T74)*(1-R74)+INDEX(Models!$BJ74:$BT74,,T74+1)*R74-ERP_i)*Q74*Ramure*Pc/MaxiM</f>
        <v>6.066482521835578E-3</v>
      </c>
      <c r="Q74" s="305">
        <f t="shared" si="4"/>
        <v>0.8</v>
      </c>
      <c r="R74" s="177">
        <f t="shared" si="5"/>
        <v>0.60855232535383297</v>
      </c>
      <c r="S74" s="809">
        <f t="shared" si="6"/>
        <v>0</v>
      </c>
      <c r="T74" s="176">
        <f t="shared" si="7"/>
        <v>6</v>
      </c>
      <c r="U74" s="251">
        <f t="shared" si="8"/>
        <v>0.60855232535383297</v>
      </c>
      <c r="V74" s="383">
        <f t="shared" si="9"/>
        <v>30.785857774259149</v>
      </c>
      <c r="W74" s="402"/>
      <c r="X74" s="157">
        <f t="shared" si="10"/>
        <v>44256</v>
      </c>
      <c r="Y74" s="385">
        <f t="shared" si="11"/>
        <v>27.443415463018773</v>
      </c>
      <c r="Z74" s="385">
        <f t="shared" si="12"/>
        <v>28.374593259976347</v>
      </c>
      <c r="AA74" s="386">
        <f t="shared" si="13"/>
        <v>31.865689775203023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0.10955659644761087</v>
      </c>
      <c r="AD74" s="231">
        <f>(INDEX(Models!$BJ74:$BT74,,AH74)*(1-AF74)+INDEX(Models!$BJ74:$BT74,,AH74+1)*AF74-ERP_i)*AE74*Ramure*Pc/MaxiM</f>
        <v>1.9871120867752144E-2</v>
      </c>
      <c r="AE74" s="305">
        <f t="shared" si="15"/>
        <v>0.8</v>
      </c>
      <c r="AF74" s="177">
        <f t="shared" si="22"/>
        <v>0.80848589950635419</v>
      </c>
      <c r="AG74" s="809">
        <f t="shared" si="23"/>
        <v>1</v>
      </c>
      <c r="AH74" s="176">
        <f t="shared" si="16"/>
        <v>7</v>
      </c>
      <c r="AI74" s="225">
        <f t="shared" si="17"/>
        <v>1.8084858995063542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6">
        <v>14.641</v>
      </c>
      <c r="C75" s="390"/>
      <c r="D75" s="393">
        <f t="shared" si="0"/>
        <v>15.138137579579656</v>
      </c>
      <c r="E75" s="385">
        <f t="shared" si="1"/>
        <v>17.001965563303813</v>
      </c>
      <c r="F75" s="385">
        <f t="shared" si="2"/>
        <v>17.027356650336262</v>
      </c>
      <c r="G75" s="110">
        <f t="shared" si="21"/>
        <v>0.46786191327343024</v>
      </c>
      <c r="H75" s="414" t="b">
        <f>Wh_hp&gt;='2020'!Maxi_hp</f>
        <v>0</v>
      </c>
      <c r="I75" s="380">
        <f>IF(H75,Wh_hp,'2020'!Maxi_hp)</f>
        <v>24.299923659656329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3.2840075403348254E-2</v>
      </c>
      <c r="M75" s="843"/>
      <c r="N75" s="843"/>
      <c r="O75" s="48">
        <f>IF(t&lt;Tnet,'2020'!Resal+('2020'!Salim-'2020'!Resal)*(1-EXP(('2020'!Tnet-t)/('2020'!Tau_j))),Resal+(Salim-Resal)*(1-EXP((Tnet-t)/(Tau_j))))*Salcycl</f>
        <v>0.10962426531123839</v>
      </c>
      <c r="P75" s="169">
        <f>(INDEX(Models!$BJ75:$BT75,,T75)*(1-R75)+INDEX(Models!$BJ75:$BT75,,T75+1)*R75-ERP_i)*Q75*Ramure*Pc/MaxiM</f>
        <v>6.1384183367418181E-3</v>
      </c>
      <c r="Q75" s="305">
        <f t="shared" si="4"/>
        <v>0.8</v>
      </c>
      <c r="R75" s="177">
        <f t="shared" si="5"/>
        <v>0.60893707051694679</v>
      </c>
      <c r="S75" s="809">
        <f t="shared" si="6"/>
        <v>0</v>
      </c>
      <c r="T75" s="176">
        <f t="shared" si="7"/>
        <v>6</v>
      </c>
      <c r="U75" s="251">
        <f t="shared" si="8"/>
        <v>0.60893707051694679</v>
      </c>
      <c r="V75" s="383">
        <f t="shared" si="9"/>
        <v>31.147776637394415</v>
      </c>
      <c r="W75" s="402"/>
      <c r="X75" s="157">
        <f t="shared" si="10"/>
        <v>44257</v>
      </c>
      <c r="Y75" s="385">
        <f t="shared" si="11"/>
        <v>14.591052660861422</v>
      </c>
      <c r="Z75" s="385">
        <f t="shared" si="12"/>
        <v>15.086494270269245</v>
      </c>
      <c r="AA75" s="386">
        <f t="shared" si="13"/>
        <v>16.943963859867381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0.10962426531123839</v>
      </c>
      <c r="AD75" s="231">
        <f>(INDEX(Models!$BJ75:$BT75,,AH75)*(1-AF75)+INDEX(Models!$BJ75:$BT75,,AH75+1)*AF75-ERP_i)*AE75*Ramure*Pc/MaxiM</f>
        <v>2.0160611222041495E-2</v>
      </c>
      <c r="AE75" s="305">
        <f t="shared" si="15"/>
        <v>0.8</v>
      </c>
      <c r="AF75" s="177">
        <f t="shared" si="22"/>
        <v>0.80887064466946801</v>
      </c>
      <c r="AG75" s="809">
        <f t="shared" si="23"/>
        <v>1</v>
      </c>
      <c r="AH75" s="176">
        <f t="shared" si="16"/>
        <v>7</v>
      </c>
      <c r="AI75" s="225">
        <f t="shared" si="17"/>
        <v>1.808870644669468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6">
        <v>13.854000000000001</v>
      </c>
      <c r="C76" s="390"/>
      <c r="D76" s="393">
        <f t="shared" si="0"/>
        <v>14.324752051904095</v>
      </c>
      <c r="E76" s="385">
        <f t="shared" si="1"/>
        <v>16.089656569650391</v>
      </c>
      <c r="F76" s="385">
        <f t="shared" si="2"/>
        <v>16.109607352674313</v>
      </c>
      <c r="G76" s="110">
        <f t="shared" si="21"/>
        <v>0.43745902356613636</v>
      </c>
      <c r="H76" s="414" t="b">
        <f>Wh_hp&gt;='2020'!Maxi_hp</f>
        <v>0</v>
      </c>
      <c r="I76" s="380">
        <f>IF(H76,Wh_hp,'2020'!Maxi_hp)</f>
        <v>32.941895220548325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3.2862841199511147E-2</v>
      </c>
      <c r="M76" s="843"/>
      <c r="N76" s="843"/>
      <c r="O76" s="48">
        <f>IF(t&lt;Tnet,'2020'!Resal+('2020'!Salim-'2020'!Resal)*(1-EXP(('2020'!Tnet-t)/('2020'!Tau_j))),Resal+(Salim-Resal)*(1-EXP((Tnet-t)/(Tau_j))))*Salcycl</f>
        <v>0.10969187005988684</v>
      </c>
      <c r="P76" s="169">
        <f>(INDEX(Models!$BJ76:$BT76,,T76)*(1-R76)+INDEX(Models!$BJ76:$BT76,,T76+1)*R76-ERP_i)*Q76*Ramure*Pc/MaxiM</f>
        <v>6.2078739613101418E-3</v>
      </c>
      <c r="Q76" s="305">
        <f t="shared" si="4"/>
        <v>0.8</v>
      </c>
      <c r="R76" s="177">
        <f t="shared" si="5"/>
        <v>0.60933742460877627</v>
      </c>
      <c r="S76" s="809">
        <f t="shared" si="6"/>
        <v>0</v>
      </c>
      <c r="T76" s="176">
        <f t="shared" si="7"/>
        <v>6</v>
      </c>
      <c r="U76" s="251">
        <f t="shared" si="8"/>
        <v>0.60933742460877627</v>
      </c>
      <c r="V76" s="383">
        <f t="shared" si="9"/>
        <v>31.511678470502801</v>
      </c>
      <c r="W76" s="402"/>
      <c r="X76" s="157">
        <f t="shared" si="10"/>
        <v>44258</v>
      </c>
      <c r="Y76" s="385">
        <f t="shared" si="11"/>
        <v>13.814592896414142</v>
      </c>
      <c r="Z76" s="385">
        <f t="shared" si="12"/>
        <v>14.284005914474392</v>
      </c>
      <c r="AA76" s="386">
        <f t="shared" si="13"/>
        <v>16.043890237681204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0.10969187005988684</v>
      </c>
      <c r="AD76" s="231">
        <f>(INDEX(Models!$BJ76:$BT76,,AH76)*(1-AF76)+INDEX(Models!$BJ76:$BT76,,AH76+1)*AF76-ERP_i)*AE76*Ramure*Pc/MaxiM</f>
        <v>2.0448499013244179E-2</v>
      </c>
      <c r="AE76" s="305">
        <f t="shared" si="15"/>
        <v>0.8</v>
      </c>
      <c r="AF76" s="177">
        <f t="shared" si="22"/>
        <v>0.80927099876129738</v>
      </c>
      <c r="AG76" s="809">
        <f t="shared" si="23"/>
        <v>1</v>
      </c>
      <c r="AH76" s="176">
        <f t="shared" si="16"/>
        <v>7</v>
      </c>
      <c r="AI76" s="225">
        <f t="shared" si="17"/>
        <v>1.8092709987612974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6">
        <v>24.709</v>
      </c>
      <c r="C77" s="390"/>
      <c r="D77" s="393">
        <f t="shared" si="0"/>
        <v>25.549200968570094</v>
      </c>
      <c r="E77" s="385">
        <f t="shared" si="1"/>
        <v>28.699209750842126</v>
      </c>
      <c r="F77" s="385">
        <f t="shared" si="2"/>
        <v>28.821969075833852</v>
      </c>
      <c r="G77" s="110">
        <f t="shared" si="21"/>
        <v>0.77356213945551178</v>
      </c>
      <c r="H77" s="414" t="b">
        <f>Wh_hp&gt;='2020'!Maxi_hp</f>
        <v>1</v>
      </c>
      <c r="I77" s="380">
        <f>IF(H77,Wh_hp,'2020'!Maxi_hp)</f>
        <v>28.821969075833852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3.2885606465880721E-2</v>
      </c>
      <c r="M77" s="843"/>
      <c r="N77" s="843"/>
      <c r="O77" s="48">
        <f>IF(t&lt;Tnet,'2020'!Resal+('2020'!Salim-'2020'!Resal)*(1-EXP(('2020'!Tnet-t)/('2020'!Tau_j))),Resal+(Salim-Resal)*(1-EXP((Tnet-t)/(Tau_j))))*Salcycl</f>
        <v>0.10975942576884373</v>
      </c>
      <c r="P77" s="169">
        <f>(INDEX(Models!$BJ77:$BT77,,T77)*(1-R77)+INDEX(Models!$BJ77:$BT77,,T77+1)*R77-ERP_i)*Q77*Ramure*Pc/MaxiM</f>
        <v>6.2750214846383897E-3</v>
      </c>
      <c r="Q77" s="305">
        <f t="shared" si="4"/>
        <v>0.8</v>
      </c>
      <c r="R77" s="177">
        <f t="shared" si="5"/>
        <v>0.60975399806289421</v>
      </c>
      <c r="S77" s="809">
        <f t="shared" si="6"/>
        <v>0</v>
      </c>
      <c r="T77" s="176">
        <f t="shared" si="7"/>
        <v>6</v>
      </c>
      <c r="U77" s="251">
        <f t="shared" si="8"/>
        <v>0.60975399806289421</v>
      </c>
      <c r="V77" s="383">
        <f t="shared" si="9"/>
        <v>31.877178882009453</v>
      </c>
      <c r="W77" s="402"/>
      <c r="X77" s="157">
        <f t="shared" si="10"/>
        <v>44259</v>
      </c>
      <c r="Y77" s="385">
        <f t="shared" si="11"/>
        <v>24.465446026140182</v>
      </c>
      <c r="Z77" s="385">
        <f t="shared" si="12"/>
        <v>25.297365223503988</v>
      </c>
      <c r="AA77" s="386">
        <f t="shared" si="13"/>
        <v>28.416324705658017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0.10975942576884373</v>
      </c>
      <c r="AD77" s="231">
        <f>(INDEX(Models!$BJ77:$BT77,,AH77)*(1-AF77)+INDEX(Models!$BJ77:$BT77,,AH77+1)*AF77-ERP_i)*AE77*Ramure*Pc/MaxiM</f>
        <v>2.0735102104443161E-2</v>
      </c>
      <c r="AE77" s="305">
        <f t="shared" si="15"/>
        <v>0.8</v>
      </c>
      <c r="AF77" s="177">
        <f t="shared" si="22"/>
        <v>0.80968757221541532</v>
      </c>
      <c r="AG77" s="809">
        <f t="shared" si="23"/>
        <v>1</v>
      </c>
      <c r="AH77" s="176">
        <f t="shared" si="16"/>
        <v>7</v>
      </c>
      <c r="AI77" s="225">
        <f t="shared" si="17"/>
        <v>1.8096875722154153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6">
        <v>28.782</v>
      </c>
      <c r="C78" s="390"/>
      <c r="D78" s="393">
        <f t="shared" si="0"/>
        <v>29.761399171438562</v>
      </c>
      <c r="E78" s="385">
        <f t="shared" si="1"/>
        <v>33.433273633683342</v>
      </c>
      <c r="F78" s="385">
        <f t="shared" si="2"/>
        <v>33.613698496093072</v>
      </c>
      <c r="G78" s="110">
        <f t="shared" si="21"/>
        <v>0.89176142624647559</v>
      </c>
      <c r="H78" s="414" t="b">
        <f>Wh_hp&gt;='2020'!Maxi_hp</f>
        <v>0</v>
      </c>
      <c r="I78" s="380">
        <f>IF(H78,Wh_hp,'2020'!Maxi_hp)</f>
        <v>37.277702445333496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3.2908371202469297E-2</v>
      </c>
      <c r="M78" s="843"/>
      <c r="N78" s="843"/>
      <c r="O78" s="48">
        <f>IF(t&lt;Tnet,'2020'!Resal+('2020'!Salim-'2020'!Resal)*(1-EXP(('2020'!Tnet-t)/('2020'!Tau_j))),Resal+(Salim-Resal)*(1-EXP((Tnet-t)/(Tau_j))))*Salcycl</f>
        <v>0.10982694971710578</v>
      </c>
      <c r="P78" s="169">
        <f>(INDEX(Models!$BJ78:$BT78,,T78)*(1-R78)+INDEX(Models!$BJ78:$BT78,,T78+1)*R78-ERP_i)*Q78*Ramure*Pc/MaxiM</f>
        <v>6.3400321193067379E-3</v>
      </c>
      <c r="Q78" s="305">
        <f t="shared" si="4"/>
        <v>0.8</v>
      </c>
      <c r="R78" s="177">
        <f t="shared" si="5"/>
        <v>0.61018742326916897</v>
      </c>
      <c r="S78" s="809">
        <f t="shared" si="6"/>
        <v>0</v>
      </c>
      <c r="T78" s="176">
        <f t="shared" si="7"/>
        <v>6</v>
      </c>
      <c r="U78" s="251">
        <f t="shared" si="8"/>
        <v>0.61018742326916897</v>
      </c>
      <c r="V78" s="383">
        <f t="shared" si="9"/>
        <v>32.243893432006324</v>
      </c>
      <c r="W78" s="402"/>
      <c r="X78" s="157">
        <f t="shared" si="10"/>
        <v>44260</v>
      </c>
      <c r="Y78" s="385">
        <f t="shared" si="11"/>
        <v>28.422338266879986</v>
      </c>
      <c r="Z78" s="385">
        <f t="shared" si="12"/>
        <v>29.38949880294172</v>
      </c>
      <c r="AA78" s="386">
        <f t="shared" si="13"/>
        <v>33.015489284473205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0.10982694971710578</v>
      </c>
      <c r="AD78" s="231">
        <f>(INDEX(Models!$BJ78:$BT78,,AH78)*(1-AF78)+INDEX(Models!$BJ78:$BT78,,AH78+1)*AF78-ERP_i)*AE78*Ramure*Pc/MaxiM</f>
        <v>2.1020748277598131E-2</v>
      </c>
      <c r="AE78" s="305">
        <f t="shared" si="15"/>
        <v>0.8</v>
      </c>
      <c r="AF78" s="177">
        <f t="shared" si="22"/>
        <v>0.81012099742169008</v>
      </c>
      <c r="AG78" s="809">
        <f t="shared" si="23"/>
        <v>1</v>
      </c>
      <c r="AH78" s="176">
        <f t="shared" si="16"/>
        <v>7</v>
      </c>
      <c r="AI78" s="225">
        <f t="shared" si="17"/>
        <v>1.8101209974216901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6">
        <v>10.26</v>
      </c>
      <c r="C79" s="390"/>
      <c r="D79" s="393">
        <f t="shared" ref="D79:D142" si="24">Wh/(1-Ppv)</f>
        <v>10.609378892931584</v>
      </c>
      <c r="E79" s="385">
        <f t="shared" si="1"/>
        <v>11.919237025822538</v>
      </c>
      <c r="F79" s="385">
        <f t="shared" ref="F79:F142" si="25">Wh_sa/(1-Pvg*MEDIAN((-Sdif+Wh/Env_an)/Csdif,0,1))</f>
        <v>11.920827652069056</v>
      </c>
      <c r="G79" s="110">
        <f t="shared" si="21"/>
        <v>0.31261587430202314</v>
      </c>
      <c r="H79" s="414" t="b">
        <f>Wh_hp&gt;='2020'!Maxi_hp</f>
        <v>0</v>
      </c>
      <c r="I79" s="380">
        <f>IF(H79,Wh_hp,'2020'!Maxi_hp)</f>
        <v>22.684826096802258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3.29311354092892E-2</v>
      </c>
      <c r="M79" s="843"/>
      <c r="N79" s="843"/>
      <c r="O79" s="48">
        <f>IF(t&lt;Tnet,'2020'!Resal+('2020'!Salim-'2020'!Resal)*(1-EXP(('2020'!Tnet-t)/('2020'!Tau_j))),Resal+(Salim-Resal)*(1-EXP((Tnet-t)/(Tau_j))))*Salcycl</f>
        <v>0.10989446136973371</v>
      </c>
      <c r="P79" s="169">
        <f>(INDEX(Models!$BJ79:$BT79,,T79)*(1-R79)+INDEX(Models!$BJ79:$BT79,,T79+1)*R79-ERP_i)*Q79*Ramure*Pc/MaxiM</f>
        <v>6.4025662710380567E-3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0.6106383552010467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0.6106383552010467</v>
      </c>
      <c r="V79" s="383">
        <f t="shared" ref="V79:V142" si="32">MaxiM*(1-Ppv)*(1-Pvg)*(1-Psa)</f>
        <v>32.614051116007957</v>
      </c>
      <c r="W79" s="402"/>
      <c r="X79" s="157">
        <f t="shared" ref="X79:X142" si="33">t</f>
        <v>44261</v>
      </c>
      <c r="Y79" s="385">
        <f t="shared" ref="Y79:Y142" si="34">Wh_pvt_s*(1-Ppv)</f>
        <v>10.256813284304945</v>
      </c>
      <c r="Z79" s="385">
        <f t="shared" ref="Z79:Z142" si="35">Wh_sa_s*(1-Psa_s)</f>
        <v>10.60608366152487</v>
      </c>
      <c r="AA79" s="386">
        <f t="shared" ref="AA79:AA142" si="36">Wh_hp*(1-Pvg_s*MEDIAN((-Sdif+Wh/Env_an)/Csdif,0,1))</f>
        <v>11.91553495762534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0.10989446136973371</v>
      </c>
      <c r="AD79" s="231">
        <f>(INDEX(Models!$BJ79:$BT79,,AH79)*(1-AF79)+INDEX(Models!$BJ79:$BT79,,AH79+1)*AF79-ERP_i)*AE79*Ramure*Pc/MaxiM</f>
        <v>2.1304078819537928E-2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0.81057192935356803</v>
      </c>
      <c r="AG79" s="809">
        <f t="shared" si="23"/>
        <v>1</v>
      </c>
      <c r="AH79" s="176">
        <f t="shared" ref="AH79:AH142" si="40">MIN(MATCH(Hp_vg_s,Echel_vg),10)</f>
        <v>7</v>
      </c>
      <c r="AI79" s="225">
        <f t="shared" ref="AI79:AI142" si="41">IF(OR(t&lt;Ttai,Notai),Hdd_s+PousH*Croivg,Hdtai_s+PousH*(Croivg-Croi_tai))</f>
        <v>1.810571929353568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6">
        <v>9.5540000000000003</v>
      </c>
      <c r="C80" s="390"/>
      <c r="D80" s="393">
        <f t="shared" si="24"/>
        <v>9.8795703648187576</v>
      </c>
      <c r="E80" s="385">
        <f t="shared" ref="E80:E143" si="45">Wh_pvt/(1-Psa)</f>
        <v>11.10016669946501</v>
      </c>
      <c r="F80" s="385">
        <f t="shared" si="25"/>
        <v>11.10016669946501</v>
      </c>
      <c r="G80" s="110">
        <f t="shared" ref="G80:G143" si="46">+Wh_hp/MaxiM</f>
        <v>0.28773467015547866</v>
      </c>
      <c r="H80" s="414" t="b">
        <f>Wh_hp&gt;='2020'!Maxi_hp</f>
        <v>0</v>
      </c>
      <c r="I80" s="380">
        <f>IF(H80,Wh_hp,'2020'!Maxi_hp)</f>
        <v>36.795227645060514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3.2953899086352753E-2</v>
      </c>
      <c r="M80" s="843"/>
      <c r="N80" s="843"/>
      <c r="O80" s="48">
        <f>IF(t&lt;Tnet,'2020'!Resal+('2020'!Salim-'2020'!Resal)*(1-EXP(('2020'!Tnet-t)/('2020'!Tau_j))),Resal+(Salim-Resal)*(1-EXP((Tnet-t)/(Tau_j))))*Salcycl</f>
        <v>0.1099619823461824</v>
      </c>
      <c r="P80" s="169">
        <f>(INDEX(Models!$BJ80:$BT80,,T80)*(1-R80)+INDEX(Models!$BJ80:$BT80,,T80+1)*R80-ERP_i)*Q80*Ramure*Pc/MaxiM</f>
        <v>6.4559515457893145E-3</v>
      </c>
      <c r="Q80" s="305">
        <f t="shared" si="27"/>
        <v>0.8</v>
      </c>
      <c r="R80" s="177">
        <f t="shared" si="28"/>
        <v>0.61110747204636939</v>
      </c>
      <c r="S80" s="809">
        <f t="shared" si="29"/>
        <v>0</v>
      </c>
      <c r="T80" s="176">
        <f t="shared" si="30"/>
        <v>6</v>
      </c>
      <c r="U80" s="251">
        <f t="shared" si="31"/>
        <v>0.61110747204636939</v>
      </c>
      <c r="V80" s="383">
        <f t="shared" si="32"/>
        <v>32.989836900093799</v>
      </c>
      <c r="W80" s="402"/>
      <c r="X80" s="157">
        <f t="shared" si="33"/>
        <v>44262</v>
      </c>
      <c r="Y80" s="385">
        <f t="shared" si="34"/>
        <v>9.5540000000000003</v>
      </c>
      <c r="Z80" s="385">
        <f t="shared" si="35"/>
        <v>9.8795703648187576</v>
      </c>
      <c r="AA80" s="386">
        <f t="shared" si="36"/>
        <v>11.10016669946501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0.1099619823461824</v>
      </c>
      <c r="AD80" s="231">
        <f>(INDEX(Models!$BJ80:$BT80,,AH80)*(1-AF80)+INDEX(Models!$BJ80:$BT80,,AH80+1)*AF80-ERP_i)*AE80*Ramure*Pc/MaxiM</f>
        <v>2.1573667317522072E-2</v>
      </c>
      <c r="AE80" s="305">
        <f t="shared" si="38"/>
        <v>0.8</v>
      </c>
      <c r="AF80" s="177">
        <f t="shared" si="39"/>
        <v>0.81104104619889061</v>
      </c>
      <c r="AG80" s="809">
        <f t="shared" ref="AG80:AG143" si="47">INDEX(Echel_vg,AH80)</f>
        <v>1</v>
      </c>
      <c r="AH80" s="176">
        <f t="shared" si="40"/>
        <v>7</v>
      </c>
      <c r="AI80" s="225">
        <f t="shared" si="41"/>
        <v>1.8110410461988906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6">
        <v>23.100999999999999</v>
      </c>
      <c r="C81" s="390"/>
      <c r="D81" s="393">
        <f t="shared" si="24"/>
        <v>23.888771964242029</v>
      </c>
      <c r="E81" s="385">
        <f t="shared" si="45"/>
        <v>26.842207624446321</v>
      </c>
      <c r="F81" s="385">
        <f t="shared" si="25"/>
        <v>26.940335800468706</v>
      </c>
      <c r="G81" s="110">
        <f t="shared" si="46"/>
        <v>0.69027263186487486</v>
      </c>
      <c r="H81" s="414" t="b">
        <f>Wh_hp&gt;='2020'!Maxi_hp</f>
        <v>1</v>
      </c>
      <c r="I81" s="380">
        <f>IF(H81,Wh_hp,'2020'!Maxi_hp)</f>
        <v>26.940335800468706</v>
      </c>
      <c r="J81" s="85">
        <f>IF(H81,An,'2020'!An_max)</f>
        <v>2021</v>
      </c>
      <c r="K81" s="197">
        <f t="shared" si="26"/>
        <v>44263</v>
      </c>
      <c r="L81" s="147">
        <f>IF(t&lt;Tvie,1-EXP((T0-t)*PertePVj)+'2020'!Pspv,1-EXP((T0-t)*PertePVj)+Pspv)</f>
        <v>3.297666223367228E-2</v>
      </c>
      <c r="M81" s="843"/>
      <c r="N81" s="843"/>
      <c r="O81" s="48">
        <f>IF(t&lt;Tnet,'2020'!Resal+('2020'!Salim-'2020'!Resal)*(1-EXP(('2020'!Tnet-t)/('2020'!Tau_j))),Resal+(Salim-Resal)*(1-EXP((Tnet-t)/(Tau_j))))*Salcycl</f>
        <v>0.11002953637518528</v>
      </c>
      <c r="P81" s="169">
        <f>(INDEX(Models!$BJ81:$BT81,,T81)*(1-R81)+INDEX(Models!$BJ81:$BT81,,T81+1)*R81-ERP_i)*Q81*Ramure*Pc/MaxiM</f>
        <v>6.5000525048333853E-3</v>
      </c>
      <c r="Q81" s="305">
        <f t="shared" si="27"/>
        <v>0.8</v>
      </c>
      <c r="R81" s="177">
        <f t="shared" si="28"/>
        <v>0.61159547584022145</v>
      </c>
      <c r="S81" s="809">
        <f t="shared" si="29"/>
        <v>0</v>
      </c>
      <c r="T81" s="176">
        <f t="shared" si="30"/>
        <v>6</v>
      </c>
      <c r="U81" s="251">
        <f t="shared" si="31"/>
        <v>0.61159547584022145</v>
      </c>
      <c r="V81" s="383">
        <f t="shared" si="32"/>
        <v>33.370502571702204</v>
      </c>
      <c r="W81" s="402"/>
      <c r="X81" s="157">
        <f t="shared" si="33"/>
        <v>44263</v>
      </c>
      <c r="Y81" s="385">
        <f t="shared" si="34"/>
        <v>22.901894152213266</v>
      </c>
      <c r="Z81" s="385">
        <f t="shared" si="35"/>
        <v>23.682876366885882</v>
      </c>
      <c r="AA81" s="386">
        <f t="shared" si="36"/>
        <v>26.610856578797524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0.11002953637518528</v>
      </c>
      <c r="AD81" s="231">
        <f>(INDEX(Models!$BJ81:$BT81,,AH81)*(1-AF81)+INDEX(Models!$BJ81:$BT81,,AH81+1)*AF81-ERP_i)*AE81*Ramure*Pc/MaxiM</f>
        <v>2.1824845084512132E-2</v>
      </c>
      <c r="AE81" s="305">
        <f t="shared" si="38"/>
        <v>0.8</v>
      </c>
      <c r="AF81" s="177">
        <f t="shared" si="39"/>
        <v>0.81152904999274278</v>
      </c>
      <c r="AG81" s="809">
        <f t="shared" si="47"/>
        <v>1</v>
      </c>
      <c r="AH81" s="176">
        <f t="shared" si="40"/>
        <v>7</v>
      </c>
      <c r="AI81" s="225">
        <f t="shared" si="41"/>
        <v>1.8115290499927428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6">
        <v>32.805</v>
      </c>
      <c r="C82" s="390"/>
      <c r="D82" s="393">
        <f t="shared" si="24"/>
        <v>33.92448861258854</v>
      </c>
      <c r="E82" s="385">
        <f t="shared" si="45"/>
        <v>38.121564149948902</v>
      </c>
      <c r="F82" s="385">
        <f t="shared" si="25"/>
        <v>38.36219098507231</v>
      </c>
      <c r="G82" s="110">
        <f t="shared" si="46"/>
        <v>0.97159090330257925</v>
      </c>
      <c r="H82" s="414" t="b">
        <f>Wh_hp&gt;='2020'!Maxi_hp</f>
        <v>1</v>
      </c>
      <c r="I82" s="380">
        <f>IF(H82,Wh_hp,'2020'!Maxi_hp)</f>
        <v>38.36219098507231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3.2999424851260103E-2</v>
      </c>
      <c r="M82" s="843"/>
      <c r="N82" s="843"/>
      <c r="O82" s="48">
        <f>IF(t&lt;Tnet,'2020'!Resal+('2020'!Salim-'2020'!Resal)*(1-EXP(('2020'!Tnet-t)/('2020'!Tau_j))),Resal+(Salim-Resal)*(1-EXP((Tnet-t)/(Tau_j))))*Salcycl</f>
        <v>0.11009714923688377</v>
      </c>
      <c r="P82" s="169">
        <f>(INDEX(Models!$BJ82:$BT82,,T82)*(1-R82)+INDEX(Models!$BJ82:$BT82,,T82+1)*R82-ERP_i)*Q82*Ramure*Pc/MaxiM</f>
        <v>6.5353326778944312E-3</v>
      </c>
      <c r="Q82" s="305">
        <f t="shared" si="27"/>
        <v>0.8</v>
      </c>
      <c r="R82" s="177">
        <f t="shared" si="28"/>
        <v>0.61210309309812583</v>
      </c>
      <c r="S82" s="809">
        <f t="shared" si="29"/>
        <v>0</v>
      </c>
      <c r="T82" s="176">
        <f t="shared" si="30"/>
        <v>6</v>
      </c>
      <c r="U82" s="251">
        <f t="shared" si="31"/>
        <v>0.61210309309812583</v>
      </c>
      <c r="V82" s="383">
        <f t="shared" si="32"/>
        <v>33.755280366969927</v>
      </c>
      <c r="W82" s="402"/>
      <c r="X82" s="157">
        <f t="shared" si="33"/>
        <v>44264</v>
      </c>
      <c r="Y82" s="385">
        <f t="shared" si="34"/>
        <v>32.313149940512467</v>
      </c>
      <c r="Z82" s="385">
        <f t="shared" si="35"/>
        <v>33.415853900130507</v>
      </c>
      <c r="AA82" s="386">
        <f t="shared" si="36"/>
        <v>37.550002083345944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0.11009714923688377</v>
      </c>
      <c r="AD82" s="231">
        <f>(INDEX(Models!$BJ82:$BT82,,AH82)*(1-AF82)+INDEX(Models!$BJ82:$BT82,,AH82+1)*AF82-ERP_i)*AE82*Ramure*Pc/MaxiM</f>
        <v>2.2058739489106943E-2</v>
      </c>
      <c r="AE82" s="305">
        <f t="shared" si="38"/>
        <v>0.8</v>
      </c>
      <c r="AF82" s="177">
        <f t="shared" si="39"/>
        <v>0.81203666725064694</v>
      </c>
      <c r="AG82" s="809">
        <f t="shared" si="47"/>
        <v>1</v>
      </c>
      <c r="AH82" s="176">
        <f t="shared" si="40"/>
        <v>7</v>
      </c>
      <c r="AI82" s="225">
        <f t="shared" si="41"/>
        <v>1.8120366672506469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6">
        <v>32.849000000000004</v>
      </c>
      <c r="C83" s="390"/>
      <c r="D83" s="393">
        <f t="shared" si="24"/>
        <v>33.97078977026348</v>
      </c>
      <c r="E83" s="385">
        <f t="shared" si="45"/>
        <v>38.176497883193896</v>
      </c>
      <c r="F83" s="385">
        <f t="shared" si="25"/>
        <v>38.414933458593104</v>
      </c>
      <c r="G83" s="110">
        <f t="shared" si="46"/>
        <v>0.96174516922152631</v>
      </c>
      <c r="H83" s="414" t="b">
        <f>Wh_hp&gt;='2020'!Maxi_hp</f>
        <v>1</v>
      </c>
      <c r="I83" s="380">
        <f>IF(H83,Wh_hp,'2020'!Maxi_hp)</f>
        <v>38.414933458593104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3.3022186939128548E-2</v>
      </c>
      <c r="M83" s="843"/>
      <c r="N83" s="843"/>
      <c r="O83" s="48">
        <f>IF(t&lt;Tnet,'2020'!Resal+('2020'!Salim-'2020'!Resal)*(1-EXP(('2020'!Tnet-t)/('2020'!Tau_j))),Resal+(Salim-Resal)*(1-EXP((Tnet-t)/(Tau_j))))*Salcycl</f>
        <v>0.11016484869299283</v>
      </c>
      <c r="P83" s="169">
        <f>(INDEX(Models!$BJ83:$BT83,,T83)*(1-R83)+INDEX(Models!$BJ83:$BT83,,T83+1)*R83-ERP_i)*Q83*Ramure*Pc/MaxiM</f>
        <v>6.5622456678100655E-3</v>
      </c>
      <c r="Q83" s="305">
        <f t="shared" si="27"/>
        <v>0.8</v>
      </c>
      <c r="R83" s="177">
        <f t="shared" si="28"/>
        <v>0.61263107544772988</v>
      </c>
      <c r="S83" s="809">
        <f t="shared" si="29"/>
        <v>0</v>
      </c>
      <c r="T83" s="176">
        <f t="shared" si="30"/>
        <v>6</v>
      </c>
      <c r="U83" s="251">
        <f t="shared" si="31"/>
        <v>0.61263107544772988</v>
      </c>
      <c r="V83" s="383">
        <f t="shared" si="32"/>
        <v>34.143402651835778</v>
      </c>
      <c r="W83" s="402"/>
      <c r="X83" s="157">
        <f t="shared" si="33"/>
        <v>44265</v>
      </c>
      <c r="Y83" s="385">
        <f t="shared" si="34"/>
        <v>32.357710332001808</v>
      </c>
      <c r="Z83" s="385">
        <f t="shared" si="35"/>
        <v>33.462722613641688</v>
      </c>
      <c r="AA83" s="386">
        <f t="shared" si="36"/>
        <v>37.605530152962594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0.11016484869299283</v>
      </c>
      <c r="AD83" s="231">
        <f>(INDEX(Models!$BJ83:$BT83,,AH83)*(1-AF83)+INDEX(Models!$BJ83:$BT83,,AH83+1)*AF83-ERP_i)*AE83*Ramure*Pc/MaxiM</f>
        <v>2.2276471650641845E-2</v>
      </c>
      <c r="AE83" s="305">
        <f t="shared" si="38"/>
        <v>0.8</v>
      </c>
      <c r="AF83" s="177">
        <f t="shared" si="39"/>
        <v>0.81256464960025121</v>
      </c>
      <c r="AG83" s="809">
        <f t="shared" si="47"/>
        <v>1</v>
      </c>
      <c r="AH83" s="176">
        <f t="shared" si="40"/>
        <v>7</v>
      </c>
      <c r="AI83" s="225">
        <f t="shared" si="41"/>
        <v>1.8125646496002512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6">
        <v>25.554000000000002</v>
      </c>
      <c r="C84" s="390"/>
      <c r="D84" s="393">
        <f t="shared" si="24"/>
        <v>26.427288383557695</v>
      </c>
      <c r="E84" s="385">
        <f t="shared" si="45"/>
        <v>29.701346999788022</v>
      </c>
      <c r="F84" s="385">
        <f t="shared" si="25"/>
        <v>29.82471510776854</v>
      </c>
      <c r="G84" s="110">
        <f t="shared" si="46"/>
        <v>0.73814765130860394</v>
      </c>
      <c r="H84" s="414" t="b">
        <f>Wh_hp&gt;='2020'!Maxi_hp</f>
        <v>0</v>
      </c>
      <c r="I84" s="380">
        <f>IF(H84,Wh_hp,'2020'!Maxi_hp)</f>
        <v>32.677588662609999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3.3044948497290047E-2</v>
      </c>
      <c r="M84" s="843"/>
      <c r="N84" s="843"/>
      <c r="O84" s="48">
        <f>IF(t&lt;Tnet,'2020'!Resal+('2020'!Salim-'2020'!Resal)*(1-EXP(('2020'!Tnet-t)/('2020'!Tau_j))),Resal+(Salim-Resal)*(1-EXP((Tnet-t)/(Tau_j))))*Salcycl</f>
        <v>0.11023266440588358</v>
      </c>
      <c r="P84" s="169">
        <f>(INDEX(Models!$BJ84:$BT84,,T84)*(1-R84)+INDEX(Models!$BJ84:$BT84,,T84+1)*R84-ERP_i)*Q84*Ramure*Pc/MaxiM</f>
        <v>6.5812331355401118E-3</v>
      </c>
      <c r="Q84" s="305">
        <f t="shared" si="27"/>
        <v>0.8</v>
      </c>
      <c r="R84" s="177">
        <f t="shared" si="28"/>
        <v>0.61318020025692777</v>
      </c>
      <c r="S84" s="809">
        <f t="shared" si="29"/>
        <v>0</v>
      </c>
      <c r="T84" s="176">
        <f t="shared" si="30"/>
        <v>6</v>
      </c>
      <c r="U84" s="251">
        <f t="shared" si="31"/>
        <v>0.61318020025692777</v>
      </c>
      <c r="V84" s="383">
        <f t="shared" si="32"/>
        <v>34.534101931076286</v>
      </c>
      <c r="W84" s="402"/>
      <c r="X84" s="157">
        <f t="shared" si="33"/>
        <v>44266</v>
      </c>
      <c r="Y84" s="385">
        <f t="shared" si="34"/>
        <v>25.297599627521674</v>
      </c>
      <c r="Z84" s="385">
        <f t="shared" si="35"/>
        <v>26.162125724673125</v>
      </c>
      <c r="AA84" s="386">
        <f t="shared" si="36"/>
        <v>29.403333521121137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0.11023266440588358</v>
      </c>
      <c r="AD84" s="231">
        <f>(INDEX(Models!$BJ84:$BT84,,AH84)*(1-AF84)+INDEX(Models!$BJ84:$BT84,,AH84+1)*AF84-ERP_i)*AE84*Ramure*Pc/MaxiM</f>
        <v>2.2479152077036976E-2</v>
      </c>
      <c r="AE84" s="305">
        <f t="shared" si="38"/>
        <v>0.8</v>
      </c>
      <c r="AF84" s="177">
        <f t="shared" si="39"/>
        <v>0.81311377440944899</v>
      </c>
      <c r="AG84" s="809">
        <f t="shared" si="47"/>
        <v>1</v>
      </c>
      <c r="AH84" s="176">
        <f t="shared" si="40"/>
        <v>7</v>
      </c>
      <c r="AI84" s="225">
        <f t="shared" si="41"/>
        <v>1.813113774409449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6">
        <v>28.837</v>
      </c>
      <c r="C85" s="390"/>
      <c r="D85" s="393">
        <f t="shared" si="24"/>
        <v>29.82318439883371</v>
      </c>
      <c r="E85" s="385">
        <f t="shared" si="45"/>
        <v>33.520518651914983</v>
      </c>
      <c r="F85" s="385">
        <f t="shared" si="25"/>
        <v>33.687291699229945</v>
      </c>
      <c r="G85" s="110">
        <f t="shared" si="46"/>
        <v>0.82428298741716821</v>
      </c>
      <c r="H85" s="414" t="b">
        <f>Wh_hp&gt;='2020'!Maxi_hp</f>
        <v>0</v>
      </c>
      <c r="I85" s="380">
        <f>IF(H85,Wh_hp,'2020'!Maxi_hp)</f>
        <v>39.534128612030948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3.3067709525756703E-2</v>
      </c>
      <c r="M85" s="843"/>
      <c r="N85" s="843"/>
      <c r="O85" s="48">
        <f>IF(t&lt;Tnet,'2020'!Resal+('2020'!Salim-'2020'!Resal)*(1-EXP(('2020'!Tnet-t)/('2020'!Tau_j))),Resal+(Salim-Resal)*(1-EXP((Tnet-t)/(Tau_j))))*Salcycl</f>
        <v>0.11030062784753621</v>
      </c>
      <c r="P85" s="169">
        <f>(INDEX(Models!$BJ85:$BT85,,T85)*(1-R85)+INDEX(Models!$BJ85:$BT85,,T85+1)*R85-ERP_i)*Q85*Ramure*Pc/MaxiM</f>
        <v>6.5927230900255035E-3</v>
      </c>
      <c r="Q85" s="305">
        <f t="shared" si="27"/>
        <v>0.8</v>
      </c>
      <c r="R85" s="177">
        <f t="shared" si="28"/>
        <v>0.61375127125615403</v>
      </c>
      <c r="S85" s="809">
        <f t="shared" si="29"/>
        <v>0</v>
      </c>
      <c r="T85" s="176">
        <f t="shared" si="30"/>
        <v>6</v>
      </c>
      <c r="U85" s="251">
        <f t="shared" si="31"/>
        <v>0.61375127125615403</v>
      </c>
      <c r="V85" s="383">
        <f t="shared" si="32"/>
        <v>34.926610855481364</v>
      </c>
      <c r="W85" s="402"/>
      <c r="X85" s="157">
        <f t="shared" si="33"/>
        <v>44267</v>
      </c>
      <c r="Y85" s="385">
        <f t="shared" si="34"/>
        <v>28.487171234501638</v>
      </c>
      <c r="Z85" s="385">
        <f t="shared" si="35"/>
        <v>29.461391986950574</v>
      </c>
      <c r="AA85" s="386">
        <f t="shared" si="36"/>
        <v>33.11387296550987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0.11030062784753621</v>
      </c>
      <c r="AD85" s="231">
        <f>(INDEX(Models!$BJ85:$BT85,,AH85)*(1-AF85)+INDEX(Models!$BJ85:$BT85,,AH85+1)*AF85-ERP_i)*AE85*Ramure*Pc/MaxiM</f>
        <v>2.2667877015582805E-2</v>
      </c>
      <c r="AE85" s="305">
        <f t="shared" si="38"/>
        <v>0.8</v>
      </c>
      <c r="AF85" s="177">
        <f t="shared" si="39"/>
        <v>0.81368484540867514</v>
      </c>
      <c r="AG85" s="809">
        <f t="shared" si="47"/>
        <v>1</v>
      </c>
      <c r="AH85" s="176">
        <f t="shared" si="40"/>
        <v>7</v>
      </c>
      <c r="AI85" s="225">
        <f t="shared" si="41"/>
        <v>1.8136848454086751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6">
        <v>32.744</v>
      </c>
      <c r="C86" s="390"/>
      <c r="D86" s="393">
        <f t="shared" si="24"/>
        <v>33.864595378257441</v>
      </c>
      <c r="E86" s="385">
        <f t="shared" si="45"/>
        <v>38.065879793786848</v>
      </c>
      <c r="F86" s="385">
        <f t="shared" si="25"/>
        <v>38.291818478565958</v>
      </c>
      <c r="G86" s="110">
        <f t="shared" si="46"/>
        <v>0.9264128547466125</v>
      </c>
      <c r="H86" s="414" t="b">
        <f>Wh_hp&gt;='2020'!Maxi_hp</f>
        <v>1</v>
      </c>
      <c r="I86" s="380">
        <f>IF(H86,Wh_hp,'2020'!Maxi_hp)</f>
        <v>38.291818478565958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3.309047002454106E-2</v>
      </c>
      <c r="M86" s="843"/>
      <c r="N86" s="843"/>
      <c r="O86" s="48">
        <f>IF(t&lt;Tnet,'2020'!Resal+('2020'!Salim-'2020'!Resal)*(1-EXP(('2020'!Tnet-t)/('2020'!Tau_j))),Resal+(Salim-Resal)*(1-EXP((Tnet-t)/(Tau_j))))*Salcycl</f>
        <v>0.11036877219937904</v>
      </c>
      <c r="P86" s="169">
        <f>(INDEX(Models!$BJ86:$BT86,,T86)*(1-R86)+INDEX(Models!$BJ86:$BT86,,T86+1)*R86-ERP_i)*Q86*Ramure*Pc/MaxiM</f>
        <v>6.5868596705570019E-3</v>
      </c>
      <c r="Q86" s="305">
        <f t="shared" si="27"/>
        <v>0.8</v>
      </c>
      <c r="R86" s="177">
        <f t="shared" si="28"/>
        <v>0.614345119152369</v>
      </c>
      <c r="S86" s="809">
        <f t="shared" si="29"/>
        <v>0</v>
      </c>
      <c r="T86" s="176">
        <f t="shared" si="30"/>
        <v>6</v>
      </c>
      <c r="U86" s="251">
        <f t="shared" si="31"/>
        <v>0.614345119152369</v>
      </c>
      <c r="V86" s="383">
        <f t="shared" si="32"/>
        <v>35.320527335896486</v>
      </c>
      <c r="W86" s="402"/>
      <c r="X86" s="157">
        <f t="shared" si="33"/>
        <v>44268</v>
      </c>
      <c r="Y86" s="385">
        <f t="shared" si="34"/>
        <v>32.265157848098767</v>
      </c>
      <c r="Z86" s="385">
        <f t="shared" si="35"/>
        <v>33.369365848444666</v>
      </c>
      <c r="AA86" s="386">
        <f t="shared" si="36"/>
        <v>37.509211463879971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0.11036877219937904</v>
      </c>
      <c r="AD86" s="231">
        <f>(INDEX(Models!$BJ86:$BT86,,AH86)*(1-AF86)+INDEX(Models!$BJ86:$BT86,,AH86+1)*AF86-ERP_i)*AE86*Ramure*Pc/MaxiM</f>
        <v>2.2815581970701423E-2</v>
      </c>
      <c r="AE86" s="305">
        <f t="shared" si="38"/>
        <v>0.8</v>
      </c>
      <c r="AF86" s="177">
        <f t="shared" si="39"/>
        <v>0.81427869330489022</v>
      </c>
      <c r="AG86" s="809">
        <f t="shared" si="47"/>
        <v>1</v>
      </c>
      <c r="AH86" s="176">
        <f t="shared" si="40"/>
        <v>7</v>
      </c>
      <c r="AI86" s="225">
        <f t="shared" si="41"/>
        <v>1.8142786933048902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6">
        <v>24.565000000000001</v>
      </c>
      <c r="C87" s="390"/>
      <c r="D87" s="393">
        <f t="shared" si="24"/>
        <v>25.406284129669917</v>
      </c>
      <c r="E87" s="385">
        <f t="shared" si="45"/>
        <v>28.56041439067889</v>
      </c>
      <c r="F87" s="385">
        <f t="shared" si="25"/>
        <v>28.664679122845666</v>
      </c>
      <c r="G87" s="110">
        <f t="shared" si="46"/>
        <v>0.68578407602681979</v>
      </c>
      <c r="H87" s="414" t="b">
        <f>Wh_hp&gt;='2020'!Maxi_hp</f>
        <v>0</v>
      </c>
      <c r="I87" s="380">
        <f>IF(H87,Wh_hp,'2020'!Maxi_hp)</f>
        <v>37.562812339887081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3.3113229993655333E-2</v>
      </c>
      <c r="M87" s="843"/>
      <c r="N87" s="843"/>
      <c r="O87" s="48">
        <f>IF(t&lt;Tnet,'2020'!Resal+('2020'!Salim-'2020'!Resal)*(1-EXP(('2020'!Tnet-t)/('2020'!Tau_j))),Resal+(Salim-Resal)*(1-EXP((Tnet-t)/(Tau_j))))*Salcycl</f>
        <v>0.11043713224407442</v>
      </c>
      <c r="P87" s="169">
        <f>(INDEX(Models!$BJ87:$BT87,,T87)*(1-R87)+INDEX(Models!$BJ87:$BT87,,T87+1)*R87-ERP_i)*Q87*Ramure*Pc/MaxiM</f>
        <v>6.5656006337508196E-3</v>
      </c>
      <c r="Q87" s="305">
        <f t="shared" si="27"/>
        <v>0.8</v>
      </c>
      <c r="R87" s="177">
        <f t="shared" si="28"/>
        <v>0.61496260223201415</v>
      </c>
      <c r="S87" s="809">
        <f t="shared" si="29"/>
        <v>0</v>
      </c>
      <c r="T87" s="176">
        <f t="shared" si="30"/>
        <v>6</v>
      </c>
      <c r="U87" s="251">
        <f t="shared" si="31"/>
        <v>0.61496260223201415</v>
      </c>
      <c r="V87" s="383">
        <f t="shared" si="32"/>
        <v>35.715040436944122</v>
      </c>
      <c r="W87" s="402"/>
      <c r="X87" s="157">
        <f t="shared" si="33"/>
        <v>44269</v>
      </c>
      <c r="Y87" s="385">
        <f t="shared" si="34"/>
        <v>24.341558120389404</v>
      </c>
      <c r="Z87" s="385">
        <f t="shared" si="35"/>
        <v>25.175189976205463</v>
      </c>
      <c r="AA87" s="386">
        <f t="shared" si="36"/>
        <v>28.300630443033427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0.11043713224407442</v>
      </c>
      <c r="AD87" s="231">
        <f>(INDEX(Models!$BJ87:$BT87,,AH87)*(1-AF87)+INDEX(Models!$BJ87:$BT87,,AH87+1)*AF87-ERP_i)*AE87*Ramure*Pc/MaxiM</f>
        <v>2.2924321515238259E-2</v>
      </c>
      <c r="AE87" s="305">
        <f t="shared" si="38"/>
        <v>0.8</v>
      </c>
      <c r="AF87" s="177">
        <f t="shared" si="39"/>
        <v>0.81489617638453526</v>
      </c>
      <c r="AG87" s="809">
        <f t="shared" si="47"/>
        <v>1</v>
      </c>
      <c r="AH87" s="176">
        <f t="shared" si="40"/>
        <v>7</v>
      </c>
      <c r="AI87" s="225">
        <f t="shared" si="41"/>
        <v>1.8148961763845353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6">
        <v>17.262</v>
      </c>
      <c r="C88" s="390"/>
      <c r="D88" s="393">
        <f t="shared" si="24"/>
        <v>17.853596587879004</v>
      </c>
      <c r="E88" s="385">
        <f t="shared" si="45"/>
        <v>20.071626626562281</v>
      </c>
      <c r="F88" s="385">
        <f t="shared" si="25"/>
        <v>20.105017435622322</v>
      </c>
      <c r="G88" s="110">
        <f t="shared" si="46"/>
        <v>0.47571610373030848</v>
      </c>
      <c r="H88" s="414" t="b">
        <f>Wh_hp&gt;='2020'!Maxi_hp</f>
        <v>0</v>
      </c>
      <c r="I88" s="380">
        <f>IF(H88,Wh_hp,'2020'!Maxi_hp)</f>
        <v>29.969159838266769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3.3135989433111954E-2</v>
      </c>
      <c r="M88" s="843"/>
      <c r="N88" s="843"/>
      <c r="O88" s="48">
        <f>IF(t&lt;Tnet,'2020'!Resal+('2020'!Salim-'2020'!Resal)*(1-EXP(('2020'!Tnet-t)/('2020'!Tau_j))),Resal+(Salim-Resal)*(1-EXP((Tnet-t)/(Tau_j))))*Salcycl</f>
        <v>0.11050574425034351</v>
      </c>
      <c r="P88" s="169">
        <f>(INDEX(Models!$BJ88:$BT88,,T88)*(1-R88)+INDEX(Models!$BJ88:$BT88,,T88+1)*R88-ERP_i)*Q88*Ramure*Pc/MaxiM</f>
        <v>6.5295720750293629E-3</v>
      </c>
      <c r="Q88" s="305">
        <f t="shared" si="27"/>
        <v>0.8</v>
      </c>
      <c r="R88" s="177">
        <f t="shared" si="28"/>
        <v>0.61560460694997199</v>
      </c>
      <c r="S88" s="809">
        <f t="shared" si="29"/>
        <v>0</v>
      </c>
      <c r="T88" s="176">
        <f t="shared" si="30"/>
        <v>6</v>
      </c>
      <c r="U88" s="251">
        <f t="shared" si="31"/>
        <v>0.61560460694997199</v>
      </c>
      <c r="V88" s="383">
        <f t="shared" si="32"/>
        <v>36.109384666661704</v>
      </c>
      <c r="W88" s="402"/>
      <c r="X88" s="157">
        <f t="shared" si="33"/>
        <v>44270</v>
      </c>
      <c r="Y88" s="385">
        <f t="shared" si="34"/>
        <v>17.189581564779008</v>
      </c>
      <c r="Z88" s="385">
        <f t="shared" si="35"/>
        <v>17.778696256054122</v>
      </c>
      <c r="AA88" s="386">
        <f t="shared" si="36"/>
        <v>19.987421100398702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0.11050574425034351</v>
      </c>
      <c r="AD88" s="231">
        <f>(INDEX(Models!$BJ88:$BT88,,AH88)*(1-AF88)+INDEX(Models!$BJ88:$BT88,,AH88+1)*AF88-ERP_i)*AE88*Ramure*Pc/MaxiM</f>
        <v>2.2995961110773934E-2</v>
      </c>
      <c r="AE88" s="305">
        <f t="shared" si="38"/>
        <v>0.8</v>
      </c>
      <c r="AF88" s="177">
        <f t="shared" si="39"/>
        <v>0.81553818110249332</v>
      </c>
      <c r="AG88" s="809">
        <f t="shared" si="47"/>
        <v>1</v>
      </c>
      <c r="AH88" s="176">
        <f t="shared" si="40"/>
        <v>7</v>
      </c>
      <c r="AI88" s="225">
        <f t="shared" si="41"/>
        <v>1.8155381811024933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6">
        <v>26.901</v>
      </c>
      <c r="C89" s="390"/>
      <c r="D89" s="393">
        <f t="shared" si="24"/>
        <v>27.823595604649842</v>
      </c>
      <c r="E89" s="385">
        <f t="shared" si="45"/>
        <v>31.282665234229558</v>
      </c>
      <c r="F89" s="385">
        <f t="shared" si="25"/>
        <v>31.409704261550427</v>
      </c>
      <c r="G89" s="110">
        <f t="shared" si="46"/>
        <v>0.73515564846671078</v>
      </c>
      <c r="H89" s="414" t="b">
        <f>Wh_hp&gt;='2020'!Maxi_hp</f>
        <v>0</v>
      </c>
      <c r="I89" s="380">
        <f>IF(H89,Wh_hp,'2020'!Maxi_hp)</f>
        <v>42.898084527524084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3.3158748342923025E-2</v>
      </c>
      <c r="M89" s="843"/>
      <c r="N89" s="843"/>
      <c r="O89" s="48">
        <f>IF(t&lt;Tnet,'2020'!Resal+('2020'!Salim-'2020'!Resal)*(1-EXP(('2020'!Tnet-t)/('2020'!Tau_j))),Resal+(Salim-Resal)*(1-EXP((Tnet-t)/(Tau_j))))*Salcycl</f>
        <v>0.1105746458519395</v>
      </c>
      <c r="P89" s="169">
        <f>(INDEX(Models!$BJ89:$BT89,,T89)*(1-R89)+INDEX(Models!$BJ89:$BT89,,T89+1)*R89-ERP_i)*Q89*Ramure*Pc/MaxiM</f>
        <v>6.4793640995090196E-3</v>
      </c>
      <c r="Q89" s="305">
        <f t="shared" si="27"/>
        <v>0.8</v>
      </c>
      <c r="R89" s="177">
        <f t="shared" si="28"/>
        <v>0.61627204850129835</v>
      </c>
      <c r="S89" s="809">
        <f t="shared" si="29"/>
        <v>0</v>
      </c>
      <c r="T89" s="176">
        <f t="shared" si="30"/>
        <v>6</v>
      </c>
      <c r="U89" s="251">
        <f t="shared" si="31"/>
        <v>0.61627204850129835</v>
      </c>
      <c r="V89" s="383">
        <f t="shared" si="32"/>
        <v>36.50279489958897</v>
      </c>
      <c r="W89" s="402"/>
      <c r="X89" s="157">
        <f t="shared" si="33"/>
        <v>44271</v>
      </c>
      <c r="Y89" s="385">
        <f t="shared" si="34"/>
        <v>26.621910038259703</v>
      </c>
      <c r="Z89" s="385">
        <f t="shared" si="35"/>
        <v>27.534933984904136</v>
      </c>
      <c r="AA89" s="386">
        <f t="shared" si="36"/>
        <v>30.958116784604798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0.1105746458519395</v>
      </c>
      <c r="AD89" s="231">
        <f>(INDEX(Models!$BJ89:$BT89,,AH89)*(1-AF89)+INDEX(Models!$BJ89:$BT89,,AH89+1)*AF89-ERP_i)*AE89*Ramure*Pc/MaxiM</f>
        <v>2.3032289742891496E-2</v>
      </c>
      <c r="AE89" s="305">
        <f t="shared" si="38"/>
        <v>0.8</v>
      </c>
      <c r="AF89" s="177">
        <f t="shared" si="39"/>
        <v>0.81620562265381946</v>
      </c>
      <c r="AG89" s="809">
        <f t="shared" si="47"/>
        <v>1</v>
      </c>
      <c r="AH89" s="176">
        <f t="shared" si="40"/>
        <v>7</v>
      </c>
      <c r="AI89" s="225">
        <f t="shared" si="41"/>
        <v>1.8162056226538195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6">
        <v>21.579000000000001</v>
      </c>
      <c r="C90" s="390"/>
      <c r="D90" s="393">
        <f t="shared" si="24"/>
        <v>22.319597887356224</v>
      </c>
      <c r="E90" s="385">
        <f t="shared" si="45"/>
        <v>25.096355985058327</v>
      </c>
      <c r="F90" s="385">
        <f t="shared" si="25"/>
        <v>25.162053403230466</v>
      </c>
      <c r="G90" s="110">
        <f t="shared" si="46"/>
        <v>0.58265277507542024</v>
      </c>
      <c r="H90" s="414" t="b">
        <f>Wh_hp&gt;='2020'!Maxi_hp</f>
        <v>1</v>
      </c>
      <c r="I90" s="380">
        <f>IF(H90,Wh_hp,'2020'!Maxi_hp)</f>
        <v>25.162053403230466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3.3181506723101092E-2</v>
      </c>
      <c r="M90" s="843"/>
      <c r="N90" s="843"/>
      <c r="O90" s="48">
        <f>IF(t&lt;Tnet,'2020'!Resal+('2020'!Salim-'2020'!Resal)*(1-EXP(('2020'!Tnet-t)/('2020'!Tau_j))),Resal+(Salim-Resal)*(1-EXP((Tnet-t)/(Tau_j))))*Salcycl</f>
        <v>0.11064387592187915</v>
      </c>
      <c r="P90" s="169">
        <f>(INDEX(Models!$BJ90:$BT90,,T90)*(1-R90)+INDEX(Models!$BJ90:$BT90,,T90+1)*R90-ERP_i)*Q90*Ramure*Pc/MaxiM</f>
        <v>6.4155290010206529E-3</v>
      </c>
      <c r="Q90" s="305">
        <f t="shared" si="27"/>
        <v>0.8</v>
      </c>
      <c r="R90" s="177">
        <f t="shared" si="28"/>
        <v>0.61696587137221548</v>
      </c>
      <c r="S90" s="809">
        <f t="shared" si="29"/>
        <v>0</v>
      </c>
      <c r="T90" s="176">
        <f t="shared" si="30"/>
        <v>6</v>
      </c>
      <c r="U90" s="251">
        <f t="shared" si="31"/>
        <v>0.61696587137221548</v>
      </c>
      <c r="V90" s="383">
        <f t="shared" si="32"/>
        <v>36.894506414494948</v>
      </c>
      <c r="W90" s="402"/>
      <c r="X90" s="157">
        <f t="shared" si="33"/>
        <v>44272</v>
      </c>
      <c r="Y90" s="385">
        <f t="shared" si="34"/>
        <v>21.432663023235815</v>
      </c>
      <c r="Z90" s="385">
        <f t="shared" si="35"/>
        <v>22.168238580742013</v>
      </c>
      <c r="AA90" s="386">
        <f t="shared" si="36"/>
        <v>24.92616622359342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0.11064387592187915</v>
      </c>
      <c r="AD90" s="231">
        <f>(INDEX(Models!$BJ90:$BT90,,AH90)*(1-AF90)+INDEX(Models!$BJ90:$BT90,,AH90+1)*AF90-ERP_i)*AE90*Ramure*Pc/MaxiM</f>
        <v>2.3035015439499193E-2</v>
      </c>
      <c r="AE90" s="305">
        <f t="shared" si="38"/>
        <v>0.8</v>
      </c>
      <c r="AF90" s="177">
        <f t="shared" si="39"/>
        <v>0.8168994455247367</v>
      </c>
      <c r="AG90" s="809">
        <f t="shared" si="47"/>
        <v>1</v>
      </c>
      <c r="AH90" s="176">
        <f t="shared" si="40"/>
        <v>7</v>
      </c>
      <c r="AI90" s="225">
        <f t="shared" si="41"/>
        <v>1.8168994455247367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6">
        <v>17.647000000000002</v>
      </c>
      <c r="C91" s="390"/>
      <c r="D91" s="393">
        <f t="shared" si="24"/>
        <v>18.253080100956335</v>
      </c>
      <c r="E91" s="385">
        <f t="shared" si="45"/>
        <v>20.525533195866512</v>
      </c>
      <c r="F91" s="385">
        <f t="shared" si="25"/>
        <v>20.55779653314525</v>
      </c>
      <c r="G91" s="110">
        <f t="shared" si="46"/>
        <v>0.47105518114874856</v>
      </c>
      <c r="H91" s="414" t="b">
        <f>Wh_hp&gt;='2020'!Maxi_hp</f>
        <v>0</v>
      </c>
      <c r="I91" s="380">
        <f>IF(H91,Wh_hp,'2020'!Maxi_hp)</f>
        <v>31.721839412381989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3.3204264573658479E-2</v>
      </c>
      <c r="M91" s="843"/>
      <c r="N91" s="843"/>
      <c r="O91" s="48">
        <f>IF(t&lt;Tnet,'2020'!Resal+('2020'!Salim-'2020'!Resal)*(1-EXP(('2020'!Tnet-t)/('2020'!Tau_j))),Resal+(Salim-Resal)*(1-EXP((Tnet-t)/(Tau_j))))*Salcycl</f>
        <v>0.11071347444303216</v>
      </c>
      <c r="P91" s="169">
        <f>(INDEX(Models!$BJ91:$BT91,,T91)*(1-R91)+INDEX(Models!$BJ91:$BT91,,T91+1)*R91-ERP_i)*Q91*Ramure*Pc/MaxiM</f>
        <v>6.3385797152581171E-3</v>
      </c>
      <c r="Q91" s="305">
        <f t="shared" si="27"/>
        <v>0.8</v>
      </c>
      <c r="R91" s="177">
        <f t="shared" si="28"/>
        <v>0.61768704986656597</v>
      </c>
      <c r="S91" s="809">
        <f t="shared" si="29"/>
        <v>0</v>
      </c>
      <c r="T91" s="176">
        <f t="shared" si="30"/>
        <v>6</v>
      </c>
      <c r="U91" s="251">
        <f t="shared" si="31"/>
        <v>0.61768704986656597</v>
      </c>
      <c r="V91" s="383">
        <f t="shared" si="32"/>
        <v>37.28375493721353</v>
      </c>
      <c r="W91" s="402"/>
      <c r="X91" s="157">
        <f t="shared" si="33"/>
        <v>44273</v>
      </c>
      <c r="Y91" s="385">
        <f t="shared" si="34"/>
        <v>17.574061648201411</v>
      </c>
      <c r="Z91" s="385">
        <f t="shared" si="35"/>
        <v>18.177636706735708</v>
      </c>
      <c r="AA91" s="386">
        <f t="shared" si="36"/>
        <v>20.440697327951636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0.11071347444303216</v>
      </c>
      <c r="AD91" s="231">
        <f>(INDEX(Models!$BJ91:$BT91,,AH91)*(1-AF91)+INDEX(Models!$BJ91:$BT91,,AH91+1)*AF91-ERP_i)*AE91*Ramure*Pc/MaxiM</f>
        <v>2.3005761626593169E-2</v>
      </c>
      <c r="AE91" s="305">
        <f t="shared" si="38"/>
        <v>0.8</v>
      </c>
      <c r="AF91" s="177">
        <f t="shared" si="39"/>
        <v>0.81762062401908708</v>
      </c>
      <c r="AG91" s="809">
        <f t="shared" si="47"/>
        <v>1</v>
      </c>
      <c r="AH91" s="176">
        <f t="shared" si="40"/>
        <v>7</v>
      </c>
      <c r="AI91" s="225">
        <f t="shared" si="41"/>
        <v>1.8176206240190871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6">
        <v>8.9489999999999998</v>
      </c>
      <c r="C92" s="390"/>
      <c r="D92" s="393">
        <f t="shared" si="24"/>
        <v>9.2565681940527149</v>
      </c>
      <c r="E92" s="385">
        <f t="shared" si="45"/>
        <v>10.409802349137493</v>
      </c>
      <c r="F92" s="385">
        <f t="shared" si="25"/>
        <v>10.409802349137493</v>
      </c>
      <c r="G92" s="110">
        <f t="shared" si="46"/>
        <v>0.2360799182919901</v>
      </c>
      <c r="H92" s="414" t="b">
        <f>Wh_hp&gt;='2020'!Maxi_hp</f>
        <v>0</v>
      </c>
      <c r="I92" s="380">
        <f>IF(H92,Wh_hp,'2020'!Maxi_hp)</f>
        <v>41.177223902410979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3.3227021894607287E-2</v>
      </c>
      <c r="M92" s="843"/>
      <c r="N92" s="843"/>
      <c r="O92" s="48">
        <f>IF(t&lt;Tnet,'2020'!Resal+('2020'!Salim-'2020'!Resal)*(1-EXP(('2020'!Tnet-t)/('2020'!Tau_j))),Resal+(Salim-Resal)*(1-EXP((Tnet-t)/(Tau_j))))*Salcycl</f>
        <v>0.11078348237614037</v>
      </c>
      <c r="P92" s="169">
        <f>(INDEX(Models!$BJ92:$BT92,,T92)*(1-R92)+INDEX(Models!$BJ92:$BT92,,T92+1)*R92-ERP_i)*Q92*Ramure*Pc/MaxiM</f>
        <v>6.2489885035210968E-3</v>
      </c>
      <c r="Q92" s="305">
        <f t="shared" si="27"/>
        <v>0.8</v>
      </c>
      <c r="R92" s="177">
        <f t="shared" si="28"/>
        <v>0.61843658860361383</v>
      </c>
      <c r="S92" s="809">
        <f t="shared" si="29"/>
        <v>0</v>
      </c>
      <c r="T92" s="176">
        <f t="shared" si="30"/>
        <v>6</v>
      </c>
      <c r="U92" s="251">
        <f t="shared" si="31"/>
        <v>0.61843658860361383</v>
      </c>
      <c r="V92" s="383">
        <f t="shared" si="32"/>
        <v>37.669776685040993</v>
      </c>
      <c r="W92" s="402"/>
      <c r="X92" s="157">
        <f t="shared" si="33"/>
        <v>44274</v>
      </c>
      <c r="Y92" s="385">
        <f t="shared" si="34"/>
        <v>8.9489999999999998</v>
      </c>
      <c r="Z92" s="385">
        <f t="shared" si="35"/>
        <v>9.2565681940527149</v>
      </c>
      <c r="AA92" s="386">
        <f t="shared" si="36"/>
        <v>10.409802349137493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0.11078348237614037</v>
      </c>
      <c r="AD92" s="231">
        <f>(INDEX(Models!$BJ92:$BT92,,AH92)*(1-AF92)+INDEX(Models!$BJ92:$BT92,,AH92+1)*AF92-ERP_i)*AE92*Ramure*Pc/MaxiM</f>
        <v>2.294606421401053E-2</v>
      </c>
      <c r="AE92" s="305">
        <f t="shared" si="38"/>
        <v>0.8</v>
      </c>
      <c r="AF92" s="177">
        <f t="shared" si="39"/>
        <v>0.81837016275613506</v>
      </c>
      <c r="AG92" s="809">
        <f t="shared" si="47"/>
        <v>1</v>
      </c>
      <c r="AH92" s="176">
        <f t="shared" si="40"/>
        <v>7</v>
      </c>
      <c r="AI92" s="225">
        <f t="shared" si="41"/>
        <v>1.8183701627561351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6">
        <v>36.721000000000004</v>
      </c>
      <c r="C93" s="390"/>
      <c r="D93" s="393">
        <f t="shared" si="24"/>
        <v>37.983958203896314</v>
      </c>
      <c r="E93" s="385">
        <f t="shared" si="45"/>
        <v>42.71959352673646</v>
      </c>
      <c r="F93" s="385">
        <f t="shared" si="25"/>
        <v>42.970476153957868</v>
      </c>
      <c r="G93" s="110">
        <f t="shared" si="46"/>
        <v>0.96462131239909854</v>
      </c>
      <c r="H93" s="414" t="b">
        <f>Wh_hp&gt;='2020'!Maxi_hp</f>
        <v>0</v>
      </c>
      <c r="I93" s="380">
        <f>IF(H93,Wh_hp,'2020'!Maxi_hp)</f>
        <v>44.675068559280305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3.324977868596006E-2</v>
      </c>
      <c r="M93" s="843"/>
      <c r="N93" s="843"/>
      <c r="O93" s="48">
        <f>IF(t&lt;Tnet,'2020'!Resal+('2020'!Salim-'2020'!Resal)*(1-EXP(('2020'!Tnet-t)/('2020'!Tau_j))),Resal+(Salim-Resal)*(1-EXP((Tnet-t)/(Tau_j))))*Salcycl</f>
        <v>0.11085394152629989</v>
      </c>
      <c r="P93" s="169">
        <f>(INDEX(Models!$BJ93:$BT93,,T93)*(1-R93)+INDEX(Models!$BJ93:$BT93,,T93+1)*R93-ERP_i)*Q93*Ramure*Pc/MaxiM</f>
        <v>6.1465141383262615E-3</v>
      </c>
      <c r="Q93" s="305">
        <f t="shared" si="27"/>
        <v>0.8</v>
      </c>
      <c r="R93" s="177">
        <f t="shared" si="28"/>
        <v>0.61921552298275961</v>
      </c>
      <c r="S93" s="809">
        <f t="shared" si="29"/>
        <v>0</v>
      </c>
      <c r="T93" s="176">
        <f t="shared" si="30"/>
        <v>6</v>
      </c>
      <c r="U93" s="251">
        <f t="shared" si="31"/>
        <v>0.61921552298275961</v>
      </c>
      <c r="V93" s="383">
        <f t="shared" si="32"/>
        <v>38.055993671829945</v>
      </c>
      <c r="W93" s="402"/>
      <c r="X93" s="157">
        <f t="shared" si="33"/>
        <v>44275</v>
      </c>
      <c r="Y93" s="385">
        <f t="shared" si="34"/>
        <v>36.134777000087702</v>
      </c>
      <c r="Z93" s="385">
        <f t="shared" si="35"/>
        <v>37.377573031193187</v>
      </c>
      <c r="AA93" s="386">
        <f t="shared" si="36"/>
        <v>42.037607516761852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0.11085394152629989</v>
      </c>
      <c r="AD93" s="231">
        <f>(INDEX(Models!$BJ93:$BT93,,AH93)*(1-AF93)+INDEX(Models!$BJ93:$BT93,,AH93+1)*AF93-ERP_i)*AE93*Ramure*Pc/MaxiM</f>
        <v>2.2854871743136319E-2</v>
      </c>
      <c r="AE93" s="305">
        <f t="shared" si="38"/>
        <v>0.8</v>
      </c>
      <c r="AF93" s="177">
        <f t="shared" si="39"/>
        <v>0.81914909713528083</v>
      </c>
      <c r="AG93" s="809">
        <f t="shared" si="47"/>
        <v>1</v>
      </c>
      <c r="AH93" s="176">
        <f t="shared" si="40"/>
        <v>7</v>
      </c>
      <c r="AI93" s="225">
        <f t="shared" si="41"/>
        <v>1.8191490971352808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6">
        <v>30.740000000000002</v>
      </c>
      <c r="C94" s="390"/>
      <c r="D94" s="393">
        <f t="shared" si="24"/>
        <v>31.798000068548681</v>
      </c>
      <c r="E94" s="385">
        <f t="shared" si="45"/>
        <v>35.765257477777922</v>
      </c>
      <c r="F94" s="385">
        <f t="shared" si="25"/>
        <v>35.919783568919385</v>
      </c>
      <c r="G94" s="110">
        <f t="shared" si="46"/>
        <v>0.79818216541727049</v>
      </c>
      <c r="H94" s="414" t="b">
        <f>Wh_hp&gt;='2020'!Maxi_hp</f>
        <v>0</v>
      </c>
      <c r="I94" s="380">
        <f>IF(H94,Wh_hp,'2020'!Maxi_hp)</f>
        <v>46.027750309068139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3.3272534947729124E-2</v>
      </c>
      <c r="M94" s="843"/>
      <c r="N94" s="843"/>
      <c r="O94" s="48">
        <f>IF(t&lt;Tnet,'2020'!Resal+('2020'!Salim-'2020'!Resal)*(1-EXP(('2020'!Tnet-t)/('2020'!Tau_j))),Resal+(Salim-Resal)*(1-EXP((Tnet-t)/(Tau_j))))*Salcycl</f>
        <v>0.1109248944088889</v>
      </c>
      <c r="P94" s="169">
        <f>(INDEX(Models!$BJ94:$BT94,,T94)*(1-R94)+INDEX(Models!$BJ94:$BT94,,T94+1)*R94-ERP_i)*Q94*Ramure*Pc/MaxiM</f>
        <v>6.0279741237251171E-3</v>
      </c>
      <c r="Q94" s="305">
        <f t="shared" si="27"/>
        <v>0.8</v>
      </c>
      <c r="R94" s="177">
        <f t="shared" si="28"/>
        <v>0.62002491961039985</v>
      </c>
      <c r="S94" s="809">
        <f t="shared" si="29"/>
        <v>0</v>
      </c>
      <c r="T94" s="176">
        <f t="shared" si="30"/>
        <v>6</v>
      </c>
      <c r="U94" s="251">
        <f t="shared" si="31"/>
        <v>0.62002491961039985</v>
      </c>
      <c r="V94" s="383">
        <f t="shared" si="32"/>
        <v>38.445752045524273</v>
      </c>
      <c r="W94" s="402"/>
      <c r="X94" s="157">
        <f t="shared" si="33"/>
        <v>44276</v>
      </c>
      <c r="Y94" s="385">
        <f t="shared" si="34"/>
        <v>30.372460205566686</v>
      </c>
      <c r="Z94" s="385">
        <f t="shared" si="35"/>
        <v>31.417810400084626</v>
      </c>
      <c r="AA94" s="386">
        <f t="shared" si="36"/>
        <v>35.337633685284842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0.1109248944088889</v>
      </c>
      <c r="AD94" s="231">
        <f>(INDEX(Models!$BJ94:$BT94,,AH94)*(1-AF94)+INDEX(Models!$BJ94:$BT94,,AH94+1)*AF94-ERP_i)*AE94*Ramure*Pc/MaxiM</f>
        <v>2.2709332830182581E-2</v>
      </c>
      <c r="AE94" s="305">
        <f t="shared" si="38"/>
        <v>0.8</v>
      </c>
      <c r="AF94" s="177">
        <f t="shared" si="39"/>
        <v>0.81995849376292118</v>
      </c>
      <c r="AG94" s="809">
        <f t="shared" si="47"/>
        <v>1</v>
      </c>
      <c r="AH94" s="176">
        <f t="shared" si="40"/>
        <v>7</v>
      </c>
      <c r="AI94" s="225">
        <f t="shared" si="41"/>
        <v>1.8199584937629212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6">
        <v>35.447000000000003</v>
      </c>
      <c r="C95" s="390"/>
      <c r="D95" s="393">
        <f t="shared" si="24"/>
        <v>36.6678673003791</v>
      </c>
      <c r="E95" s="385">
        <f t="shared" si="45"/>
        <v>41.246027176067017</v>
      </c>
      <c r="F95" s="385">
        <f t="shared" si="25"/>
        <v>41.460114631438877</v>
      </c>
      <c r="G95" s="110">
        <f t="shared" si="46"/>
        <v>0.91201861637914772</v>
      </c>
      <c r="H95" s="414" t="b">
        <f>Wh_hp&gt;='2020'!Maxi_hp</f>
        <v>0</v>
      </c>
      <c r="I95" s="380">
        <f>IF(H95,Wh_hp,'2020'!Maxi_hp)</f>
        <v>44.110203483465384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3.329529067992669E-2</v>
      </c>
      <c r="M95" s="843"/>
      <c r="N95" s="843"/>
      <c r="O95" s="48">
        <f>IF(t&lt;Tnet,'2020'!Resal+('2020'!Salim-'2020'!Resal)*(1-EXP(('2020'!Tnet-t)/('2020'!Tau_j))),Resal+(Salim-Resal)*(1-EXP((Tnet-t)/(Tau_j))))*Salcycl</f>
        <v>0.11099638411585952</v>
      </c>
      <c r="P95" s="169">
        <f>(INDEX(Models!$BJ95:$BT95,,T95)*(1-R95)+INDEX(Models!$BJ95:$BT95,,T95+1)*R95-ERP_i)*Q95*Ramure*Pc/MaxiM</f>
        <v>5.8995022375533147E-3</v>
      </c>
      <c r="Q95" s="305">
        <f t="shared" si="27"/>
        <v>0.8</v>
      </c>
      <c r="R95" s="177">
        <f t="shared" si="28"/>
        <v>0.62086587668380955</v>
      </c>
      <c r="S95" s="809">
        <f t="shared" si="29"/>
        <v>0</v>
      </c>
      <c r="T95" s="176">
        <f t="shared" si="30"/>
        <v>6</v>
      </c>
      <c r="U95" s="251">
        <f t="shared" si="31"/>
        <v>0.62086587668380955</v>
      </c>
      <c r="V95" s="383">
        <f t="shared" si="32"/>
        <v>38.837784541223662</v>
      </c>
      <c r="W95" s="402"/>
      <c r="X95" s="157">
        <f t="shared" si="33"/>
        <v>44277</v>
      </c>
      <c r="Y95" s="385">
        <f t="shared" si="34"/>
        <v>34.928642150365889</v>
      </c>
      <c r="Z95" s="385">
        <f t="shared" si="35"/>
        <v>36.131656144442253</v>
      </c>
      <c r="AA95" s="386">
        <f t="shared" si="36"/>
        <v>40.642867474175851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0.11099638411585952</v>
      </c>
      <c r="AD95" s="231">
        <f>(INDEX(Models!$BJ95:$BT95,,AH95)*(1-AF95)+INDEX(Models!$BJ95:$BT95,,AH95+1)*AF95-ERP_i)*AE95*Ramure*Pc/MaxiM</f>
        <v>2.2520476150892699E-2</v>
      </c>
      <c r="AE95" s="305">
        <f t="shared" si="38"/>
        <v>0.8</v>
      </c>
      <c r="AF95" s="177">
        <f t="shared" si="39"/>
        <v>0.82079945083633077</v>
      </c>
      <c r="AG95" s="809">
        <f t="shared" si="47"/>
        <v>1</v>
      </c>
      <c r="AH95" s="176">
        <f t="shared" si="40"/>
        <v>7</v>
      </c>
      <c r="AI95" s="225">
        <f t="shared" si="41"/>
        <v>1.8207994508363308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6">
        <v>40.264000000000003</v>
      </c>
      <c r="C96" s="390"/>
      <c r="D96" s="393">
        <f t="shared" si="24"/>
        <v>41.651755087080723</v>
      </c>
      <c r="E96" s="385">
        <f t="shared" si="45"/>
        <v>46.855975899483539</v>
      </c>
      <c r="F96" s="385">
        <f t="shared" si="25"/>
        <v>47.127501005079935</v>
      </c>
      <c r="G96" s="110">
        <f t="shared" si="46"/>
        <v>1.026330158871908</v>
      </c>
      <c r="H96" s="414" t="b">
        <f>Wh_hp&gt;='2020'!Maxi_hp</f>
        <v>1</v>
      </c>
      <c r="I96" s="380">
        <f>IF(H96,Wh_hp,'2020'!Maxi_hp)</f>
        <v>47.127501005079935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3.3318045882565081E-2</v>
      </c>
      <c r="M96" s="843"/>
      <c r="N96" s="843"/>
      <c r="O96" s="48">
        <f>IF(t&lt;Tnet,'2020'!Resal+('2020'!Salim-'2020'!Resal)*(1-EXP(('2020'!Tnet-t)/('2020'!Tau_j))),Resal+(Salim-Resal)*(1-EXP((Tnet-t)/(Tau_j))))*Salcycl</f>
        <v>0.11106845418324061</v>
      </c>
      <c r="P96" s="169">
        <f>(INDEX(Models!$BJ96:$BT96,,T96)*(1-R96)+INDEX(Models!$BJ96:$BT96,,T96+1)*R96-ERP_i)*Q96*Ramure*Pc/MaxiM</f>
        <v>5.7615001815422172E-3</v>
      </c>
      <c r="Q96" s="305">
        <f t="shared" si="27"/>
        <v>0.8</v>
      </c>
      <c r="R96" s="177">
        <f t="shared" si="28"/>
        <v>0.6217395243265631</v>
      </c>
      <c r="S96" s="809">
        <f t="shared" si="29"/>
        <v>0</v>
      </c>
      <c r="T96" s="176">
        <f t="shared" si="30"/>
        <v>6</v>
      </c>
      <c r="U96" s="251">
        <f t="shared" si="31"/>
        <v>0.6217395243265631</v>
      </c>
      <c r="V96" s="383">
        <f t="shared" si="32"/>
        <v>39.23104047167066</v>
      </c>
      <c r="W96" s="402"/>
      <c r="X96" s="157">
        <f t="shared" si="33"/>
        <v>44278</v>
      </c>
      <c r="Y96" s="385">
        <f t="shared" si="34"/>
        <v>39.59463290478697</v>
      </c>
      <c r="Z96" s="385">
        <f t="shared" si="35"/>
        <v>40.959317318524093</v>
      </c>
      <c r="AA96" s="386">
        <f t="shared" si="36"/>
        <v>46.077020791168181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0.11106845418324061</v>
      </c>
      <c r="AD96" s="231">
        <f>(INDEX(Models!$BJ96:$BT96,,AH96)*(1-AF96)+INDEX(Models!$BJ96:$BT96,,AH96+1)*AF96-ERP_i)*AE96*Ramure*Pc/MaxiM</f>
        <v>2.2290174346365602E-2</v>
      </c>
      <c r="AE96" s="305">
        <f t="shared" si="38"/>
        <v>0.8</v>
      </c>
      <c r="AF96" s="177">
        <f t="shared" si="39"/>
        <v>0.82167309847908432</v>
      </c>
      <c r="AG96" s="809">
        <f t="shared" si="47"/>
        <v>1</v>
      </c>
      <c r="AH96" s="176">
        <f t="shared" si="40"/>
        <v>7</v>
      </c>
      <c r="AI96" s="225">
        <f t="shared" si="41"/>
        <v>1.8216730984790843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6">
        <v>39.631</v>
      </c>
      <c r="C97" s="390"/>
      <c r="D97" s="393">
        <f t="shared" si="24"/>
        <v>40.997902903919766</v>
      </c>
      <c r="E97" s="385">
        <f t="shared" si="45"/>
        <v>46.124199396694891</v>
      </c>
      <c r="F97" s="385">
        <f t="shared" si="25"/>
        <v>46.384617938296579</v>
      </c>
      <c r="G97" s="110">
        <f t="shared" si="46"/>
        <v>1.0001647987138009</v>
      </c>
      <c r="H97" s="414" t="b">
        <f>Wh_hp&gt;='2020'!Maxi_hp</f>
        <v>1</v>
      </c>
      <c r="I97" s="380">
        <f>IF(H97,Wh_hp,'2020'!Maxi_hp)</f>
        <v>46.384617938296579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3.3340800555656622E-2</v>
      </c>
      <c r="M97" s="843"/>
      <c r="N97" s="843"/>
      <c r="O97" s="48">
        <f>IF(t&lt;Tnet,'2020'!Resal+('2020'!Salim-'2020'!Resal)*(1-EXP(('2020'!Tnet-t)/('2020'!Tau_j))),Resal+(Salim-Resal)*(1-EXP((Tnet-t)/(Tau_j))))*Salcycl</f>
        <v>0.11114114846061605</v>
      </c>
      <c r="P97" s="169">
        <f>(INDEX(Models!$BJ97:$BT97,,T97)*(1-R97)+INDEX(Models!$BJ97:$BT97,,T97+1)*R97-ERP_i)*Q97*Ramure*Pc/MaxiM</f>
        <v>5.6143297751876948E-3</v>
      </c>
      <c r="Q97" s="305">
        <f t="shared" si="27"/>
        <v>0.8</v>
      </c>
      <c r="R97" s="177">
        <f t="shared" si="28"/>
        <v>0.62264702486963486</v>
      </c>
      <c r="S97" s="809">
        <f t="shared" si="29"/>
        <v>0</v>
      </c>
      <c r="T97" s="176">
        <f t="shared" si="30"/>
        <v>6</v>
      </c>
      <c r="U97" s="251">
        <f t="shared" si="31"/>
        <v>0.62264702486963486</v>
      </c>
      <c r="V97" s="383">
        <f t="shared" si="32"/>
        <v>39.62446993831913</v>
      </c>
      <c r="W97" s="402"/>
      <c r="X97" s="157">
        <f t="shared" si="33"/>
        <v>44279</v>
      </c>
      <c r="Y97" s="385">
        <f t="shared" si="34"/>
        <v>38.977148671750726</v>
      </c>
      <c r="Z97" s="385">
        <f t="shared" si="35"/>
        <v>40.321499753124613</v>
      </c>
      <c r="AA97" s="386">
        <f t="shared" si="36"/>
        <v>45.363220137025358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0.11114114846061605</v>
      </c>
      <c r="AD97" s="231">
        <f>(INDEX(Models!$BJ97:$BT97,,AH97)*(1-AF97)+INDEX(Models!$BJ97:$BT97,,AH97+1)*AF97-ERP_i)*AE97*Ramure*Pc/MaxiM</f>
        <v>2.2020183558048186E-2</v>
      </c>
      <c r="AE97" s="305">
        <f t="shared" si="38"/>
        <v>0.8</v>
      </c>
      <c r="AF97" s="177">
        <f t="shared" si="39"/>
        <v>0.82258059902215619</v>
      </c>
      <c r="AG97" s="809">
        <f t="shared" si="47"/>
        <v>1</v>
      </c>
      <c r="AH97" s="176">
        <f t="shared" si="40"/>
        <v>7</v>
      </c>
      <c r="AI97" s="225">
        <f t="shared" si="41"/>
        <v>1.8225805990221562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6">
        <v>32.26</v>
      </c>
      <c r="C98" s="390"/>
      <c r="D98" s="393">
        <f t="shared" si="24"/>
        <v>33.373457163578927</v>
      </c>
      <c r="E98" s="385">
        <f t="shared" si="45"/>
        <v>37.549507250056045</v>
      </c>
      <c r="F98" s="385">
        <f t="shared" si="25"/>
        <v>37.698294989473602</v>
      </c>
      <c r="G98" s="110">
        <f t="shared" si="46"/>
        <v>0.80493356066834421</v>
      </c>
      <c r="H98" s="414" t="b">
        <f>Wh_hp&gt;='2020'!Maxi_hp</f>
        <v>0</v>
      </c>
      <c r="I98" s="380">
        <f>IF(H98,Wh_hp,'2020'!Maxi_hp)</f>
        <v>41.699061468930026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3.3363554699213746E-2</v>
      </c>
      <c r="M98" s="843"/>
      <c r="N98" s="843"/>
      <c r="O98" s="48">
        <f>IF(t&lt;Tnet,'2020'!Resal+('2020'!Salim-'2020'!Resal)*(1-EXP(('2020'!Tnet-t)/('2020'!Tau_j))),Resal+(Salim-Resal)*(1-EXP((Tnet-t)/(Tau_j))))*Salcycl</f>
        <v>0.11121451098325358</v>
      </c>
      <c r="P98" s="169">
        <f>(INDEX(Models!$BJ98:$BT98,,T98)*(1-R98)+INDEX(Models!$BJ98:$BT98,,T98+1)*R98-ERP_i)*Q98*Ramure*Pc/MaxiM</f>
        <v>5.4583114609668198E-3</v>
      </c>
      <c r="Q98" s="305">
        <f t="shared" si="27"/>
        <v>0.8</v>
      </c>
      <c r="R98" s="177">
        <f t="shared" si="28"/>
        <v>0.62358957307193152</v>
      </c>
      <c r="S98" s="809">
        <f t="shared" si="29"/>
        <v>0</v>
      </c>
      <c r="T98" s="176">
        <f t="shared" si="30"/>
        <v>6</v>
      </c>
      <c r="U98" s="251">
        <f t="shared" si="31"/>
        <v>0.62358957307193152</v>
      </c>
      <c r="V98" s="383">
        <f t="shared" si="32"/>
        <v>40.017023880709282</v>
      </c>
      <c r="W98" s="402"/>
      <c r="X98" s="157">
        <f t="shared" si="33"/>
        <v>44280</v>
      </c>
      <c r="Y98" s="385">
        <f t="shared" si="34"/>
        <v>31.879351164180537</v>
      </c>
      <c r="Z98" s="385">
        <f t="shared" si="35"/>
        <v>32.979670194682868</v>
      </c>
      <c r="AA98" s="386">
        <f t="shared" si="36"/>
        <v>37.106445370938623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0.11121451098325358</v>
      </c>
      <c r="AD98" s="231">
        <f>(INDEX(Models!$BJ98:$BT98,,AH98)*(1-AF98)+INDEX(Models!$BJ98:$BT98,,AH98+1)*AF98-ERP_i)*AE98*Ramure*Pc/MaxiM</f>
        <v>2.1712135480143984E-2</v>
      </c>
      <c r="AE98" s="305">
        <f t="shared" si="38"/>
        <v>0.8</v>
      </c>
      <c r="AF98" s="177">
        <f t="shared" si="39"/>
        <v>0.82352314722445286</v>
      </c>
      <c r="AG98" s="809">
        <f t="shared" si="47"/>
        <v>1</v>
      </c>
      <c r="AH98" s="176">
        <f t="shared" si="40"/>
        <v>7</v>
      </c>
      <c r="AI98" s="225">
        <f t="shared" si="41"/>
        <v>1.8235231472244529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6">
        <v>31.670999999999999</v>
      </c>
      <c r="C99" s="390"/>
      <c r="D99" s="393">
        <f t="shared" si="24"/>
        <v>32.764899020552633</v>
      </c>
      <c r="E99" s="385">
        <f t="shared" si="45"/>
        <v>36.867872403548247</v>
      </c>
      <c r="F99" s="385">
        <f t="shared" si="25"/>
        <v>37.00325330863194</v>
      </c>
      <c r="G99" s="110">
        <f t="shared" si="46"/>
        <v>0.78250087091693066</v>
      </c>
      <c r="H99" s="414" t="b">
        <f>Wh_hp&gt;='2020'!Maxi_hp</f>
        <v>0</v>
      </c>
      <c r="I99" s="380">
        <f>IF(H99,Wh_hp,'2020'!Maxi_hp)</f>
        <v>48.874468185394626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3.3386308313248778E-2</v>
      </c>
      <c r="M99" s="843"/>
      <c r="N99" s="843"/>
      <c r="O99" s="48">
        <f>IF(t&lt;Tnet,'2020'!Resal+('2020'!Salim-'2020'!Resal)*(1-EXP(('2020'!Tnet-t)/('2020'!Tau_j))),Resal+(Salim-Resal)*(1-EXP((Tnet-t)/(Tau_j))))*Salcycl</f>
        <v>0.11128858584746359</v>
      </c>
      <c r="P99" s="169">
        <f>(INDEX(Models!$BJ99:$BT99,,T99)*(1-R99)+INDEX(Models!$BJ99:$BT99,,T99+1)*R99-ERP_i)*Q99*Ramure*Pc/MaxiM</f>
        <v>5.2937230563734746E-3</v>
      </c>
      <c r="Q99" s="305">
        <f t="shared" si="27"/>
        <v>0.8</v>
      </c>
      <c r="R99" s="177">
        <f t="shared" si="28"/>
        <v>0.62456839627361593</v>
      </c>
      <c r="S99" s="809">
        <f t="shared" si="29"/>
        <v>0</v>
      </c>
      <c r="T99" s="176">
        <f t="shared" si="30"/>
        <v>6</v>
      </c>
      <c r="U99" s="251">
        <f t="shared" si="31"/>
        <v>0.62456839627361593</v>
      </c>
      <c r="V99" s="383">
        <f t="shared" si="32"/>
        <v>40.40765412694045</v>
      </c>
      <c r="W99" s="402"/>
      <c r="X99" s="157">
        <f t="shared" si="33"/>
        <v>44281</v>
      </c>
      <c r="Y99" s="385">
        <f t="shared" si="34"/>
        <v>31.317874838534564</v>
      </c>
      <c r="Z99" s="385">
        <f t="shared" si="35"/>
        <v>32.399577109118468</v>
      </c>
      <c r="AA99" s="386">
        <f t="shared" si="36"/>
        <v>36.456803179482378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0.11128858584746359</v>
      </c>
      <c r="AD99" s="231">
        <f>(INDEX(Models!$BJ99:$BT99,,AH99)*(1-AF99)+INDEX(Models!$BJ99:$BT99,,AH99+1)*AF99-ERP_i)*AE99*Ramure*Pc/MaxiM</f>
        <v>2.1367530716751001E-2</v>
      </c>
      <c r="AE99" s="305">
        <f t="shared" si="38"/>
        <v>0.8</v>
      </c>
      <c r="AF99" s="177">
        <f t="shared" si="39"/>
        <v>0.82450197042613715</v>
      </c>
      <c r="AG99" s="809">
        <f t="shared" si="47"/>
        <v>1</v>
      </c>
      <c r="AH99" s="176">
        <f t="shared" si="40"/>
        <v>7</v>
      </c>
      <c r="AI99" s="225">
        <f t="shared" si="41"/>
        <v>1.8245019704261372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6">
        <v>38.201999999999998</v>
      </c>
      <c r="C100" s="390"/>
      <c r="D100" s="393">
        <f t="shared" si="24"/>
        <v>39.522406505531059</v>
      </c>
      <c r="E100" s="385">
        <f t="shared" si="45"/>
        <v>44.475331384729905</v>
      </c>
      <c r="F100" s="385">
        <f t="shared" si="25"/>
        <v>44.683459416252809</v>
      </c>
      <c r="G100" s="110">
        <f t="shared" si="46"/>
        <v>0.93599552830533594</v>
      </c>
      <c r="H100" s="414" t="b">
        <f>Wh_hp&gt;='2020'!Maxi_hp</f>
        <v>0</v>
      </c>
      <c r="I100" s="380">
        <f>IF(H100,Wh_hp,'2020'!Maxi_hp)</f>
        <v>48.250977884589958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3.3409061397773818E-2</v>
      </c>
      <c r="M100" s="843"/>
      <c r="N100" s="843"/>
      <c r="O100" s="48">
        <f>IF(t&lt;Tnet,'2020'!Resal+('2020'!Salim-'2020'!Resal)*(1-EXP(('2020'!Tnet-t)/('2020'!Tau_j))),Resal+(Salim-Resal)*(1-EXP((Tnet-t)/(Tau_j))))*Salcycl</f>
        <v>0.11136341708966727</v>
      </c>
      <c r="P100" s="169">
        <f>(INDEX(Models!$BJ100:$BT100,,T100)*(1-R100)+INDEX(Models!$BJ100:$BT100,,T100+1)*R100-ERP_i)*Q100*Ramure*Pc/MaxiM</f>
        <v>5.1230546535369357E-3</v>
      </c>
      <c r="Q100" s="305">
        <f t="shared" si="27"/>
        <v>0.8</v>
      </c>
      <c r="R100" s="177">
        <f t="shared" si="28"/>
        <v>0.62558475447517337</v>
      </c>
      <c r="S100" s="809">
        <f t="shared" si="29"/>
        <v>0</v>
      </c>
      <c r="T100" s="176">
        <f t="shared" si="30"/>
        <v>6</v>
      </c>
      <c r="U100" s="251">
        <f t="shared" si="31"/>
        <v>0.62558475447517337</v>
      </c>
      <c r="V100" s="383">
        <f t="shared" si="32"/>
        <v>40.795220946740329</v>
      </c>
      <c r="W100" s="402"/>
      <c r="X100" s="157">
        <f t="shared" si="33"/>
        <v>44282</v>
      </c>
      <c r="Y100" s="385">
        <f t="shared" si="34"/>
        <v>37.648689116747995</v>
      </c>
      <c r="Z100" s="385">
        <f t="shared" si="35"/>
        <v>38.949971092416035</v>
      </c>
      <c r="AA100" s="386">
        <f t="shared" si="36"/>
        <v>43.83115870027855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0.11136341708966727</v>
      </c>
      <c r="AD100" s="231">
        <f>(INDEX(Models!$BJ100:$BT100,,AH100)*(1-AF100)+INDEX(Models!$BJ100:$BT100,,AH100+1)*AF100-ERP_i)*AE100*Ramure*Pc/MaxiM</f>
        <v>2.0979313152751842E-2</v>
      </c>
      <c r="AE100" s="305">
        <f t="shared" si="38"/>
        <v>0.8</v>
      </c>
      <c r="AF100" s="177">
        <f t="shared" si="39"/>
        <v>0.82551832862769459</v>
      </c>
      <c r="AG100" s="809">
        <f t="shared" si="47"/>
        <v>1</v>
      </c>
      <c r="AH100" s="176">
        <f t="shared" si="40"/>
        <v>7</v>
      </c>
      <c r="AI100" s="225">
        <f t="shared" si="41"/>
        <v>1.8255183286276946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6">
        <v>40.634999999999998</v>
      </c>
      <c r="C101" s="390"/>
      <c r="D101" s="393">
        <f t="shared" si="24"/>
        <v>42.04048983463619</v>
      </c>
      <c r="E101" s="385">
        <f t="shared" si="45"/>
        <v>47.313006234358227</v>
      </c>
      <c r="F101" s="385">
        <f t="shared" si="25"/>
        <v>47.544172268799947</v>
      </c>
      <c r="G101" s="110">
        <f t="shared" si="46"/>
        <v>0.98671350095747978</v>
      </c>
      <c r="H101" s="414" t="b">
        <f>Wh_hp&gt;='2020'!Maxi_hp</f>
        <v>1</v>
      </c>
      <c r="I101" s="380">
        <f>IF(H101,Wh_hp,'2020'!Maxi_hp)</f>
        <v>47.544172268799947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3.3431813952801412E-2</v>
      </c>
      <c r="M101" s="843"/>
      <c r="N101" s="843"/>
      <c r="O101" s="48">
        <f>IF(t&lt;Tnet,'2020'!Resal+('2020'!Salim-'2020'!Resal)*(1-EXP(('2020'!Tnet-t)/('2020'!Tau_j))),Resal+(Salim-Resal)*(1-EXP((Tnet-t)/(Tau_j))))*Salcycl</f>
        <v>0.11143904856954938</v>
      </c>
      <c r="P101" s="169">
        <f>(INDEX(Models!$BJ101:$BT101,,T101)*(1-R101)+INDEX(Models!$BJ101:$BT101,,T101+1)*R101-ERP_i)*Q101*Ramure*Pc/MaxiM</f>
        <v>4.9555357536209613E-3</v>
      </c>
      <c r="Q101" s="305">
        <f t="shared" si="27"/>
        <v>0.8</v>
      </c>
      <c r="R101" s="177">
        <f t="shared" si="28"/>
        <v>0.62663994033477044</v>
      </c>
      <c r="S101" s="809">
        <f t="shared" si="29"/>
        <v>0</v>
      </c>
      <c r="T101" s="176">
        <f t="shared" si="30"/>
        <v>6</v>
      </c>
      <c r="U101" s="251">
        <f t="shared" si="31"/>
        <v>0.62663994033477044</v>
      </c>
      <c r="V101" s="383">
        <f t="shared" si="32"/>
        <v>41.17830145109793</v>
      </c>
      <c r="W101" s="402"/>
      <c r="X101" s="157">
        <f t="shared" si="33"/>
        <v>44283</v>
      </c>
      <c r="Y101" s="385">
        <f t="shared" si="34"/>
        <v>40.00928694571072</v>
      </c>
      <c r="Z101" s="385">
        <f t="shared" si="35"/>
        <v>41.393134517834234</v>
      </c>
      <c r="AA101" s="386">
        <f t="shared" si="36"/>
        <v>46.584462721659619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0.11143904856954938</v>
      </c>
      <c r="AD101" s="231">
        <f>(INDEX(Models!$BJ101:$BT101,,AH101)*(1-AF101)+INDEX(Models!$BJ101:$BT101,,AH101+1)*AF101-ERP_i)*AE101*Ramure*Pc/MaxiM</f>
        <v>2.0573415923455074E-2</v>
      </c>
      <c r="AE101" s="305">
        <f t="shared" si="38"/>
        <v>0.8</v>
      </c>
      <c r="AF101" s="177">
        <f t="shared" si="39"/>
        <v>0.82657351448729166</v>
      </c>
      <c r="AG101" s="809">
        <f t="shared" si="47"/>
        <v>1</v>
      </c>
      <c r="AH101" s="176">
        <f t="shared" si="40"/>
        <v>7</v>
      </c>
      <c r="AI101" s="225">
        <f t="shared" si="41"/>
        <v>1.8265735144872917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6">
        <v>42.273000000000003</v>
      </c>
      <c r="C102" s="390"/>
      <c r="D102" s="393">
        <f t="shared" si="24"/>
        <v>43.736174743600152</v>
      </c>
      <c r="E102" s="385">
        <f t="shared" si="45"/>
        <v>49.225592475730288</v>
      </c>
      <c r="F102" s="385">
        <f t="shared" si="25"/>
        <v>49.462573168637149</v>
      </c>
      <c r="G102" s="110">
        <f t="shared" si="46"/>
        <v>1.0172575910299191</v>
      </c>
      <c r="H102" s="414" t="b">
        <f>Wh_hp&gt;='2020'!Maxi_hp</f>
        <v>1</v>
      </c>
      <c r="I102" s="380">
        <f>IF(H102,Wh_hp,'2020'!Maxi_hp)</f>
        <v>49.462573168637149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3.3454565978343884E-2</v>
      </c>
      <c r="M102" s="843"/>
      <c r="N102" s="843"/>
      <c r="O102" s="48">
        <f>IF(t&lt;Tnet,'2020'!Resal+('2020'!Salim-'2020'!Resal)*(1-EXP(('2020'!Tnet-t)/('2020'!Tau_j))),Resal+(Salim-Resal)*(1-EXP((Tnet-t)/(Tau_j))))*Salcycl</f>
        <v>0.11151552385756625</v>
      </c>
      <c r="P102" s="169">
        <f>(INDEX(Models!$BJ102:$BT102,,T102)*(1-R102)+INDEX(Models!$BJ102:$BT102,,T102+1)*R102-ERP_i)*Q102*Ramure*Pc/MaxiM</f>
        <v>4.7911112933592187E-3</v>
      </c>
      <c r="Q102" s="305">
        <f t="shared" si="27"/>
        <v>0.8</v>
      </c>
      <c r="R102" s="177">
        <f t="shared" si="28"/>
        <v>0.6277352790760341</v>
      </c>
      <c r="S102" s="809">
        <f t="shared" si="29"/>
        <v>0</v>
      </c>
      <c r="T102" s="176">
        <f t="shared" si="30"/>
        <v>6</v>
      </c>
      <c r="U102" s="251">
        <f t="shared" si="31"/>
        <v>0.6277352790760341</v>
      </c>
      <c r="V102" s="383">
        <f t="shared" si="32"/>
        <v>41.555846201354804</v>
      </c>
      <c r="W102" s="402"/>
      <c r="X102" s="157">
        <f t="shared" si="33"/>
        <v>44284</v>
      </c>
      <c r="Y102" s="385">
        <f t="shared" si="34"/>
        <v>41.620585682112925</v>
      </c>
      <c r="Z102" s="385">
        <f t="shared" si="35"/>
        <v>43.061178726938543</v>
      </c>
      <c r="AA102" s="386">
        <f t="shared" si="36"/>
        <v>48.465876313223696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0.11151552385756625</v>
      </c>
      <c r="AD102" s="231">
        <f>(INDEX(Models!$BJ102:$BT102,,AH102)*(1-AF102)+INDEX(Models!$BJ102:$BT102,,AH102+1)*AF102-ERP_i)*AE102*Ramure*Pc/MaxiM</f>
        <v>2.0150525772594404E-2</v>
      </c>
      <c r="AE102" s="305">
        <f t="shared" si="38"/>
        <v>0.8</v>
      </c>
      <c r="AF102" s="177">
        <f t="shared" si="39"/>
        <v>0.82766885322855543</v>
      </c>
      <c r="AG102" s="809">
        <f t="shared" si="47"/>
        <v>1</v>
      </c>
      <c r="AH102" s="176">
        <f t="shared" si="40"/>
        <v>7</v>
      </c>
      <c r="AI102" s="225">
        <f t="shared" si="41"/>
        <v>1.8276688532285554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6">
        <v>39.154000000000003</v>
      </c>
      <c r="C103" s="390"/>
      <c r="D103" s="393">
        <f t="shared" si="24"/>
        <v>40.510171885141951</v>
      </c>
      <c r="E103" s="385">
        <f t="shared" si="45"/>
        <v>45.59865770157689</v>
      </c>
      <c r="F103" s="385">
        <f t="shared" si="25"/>
        <v>45.790625973161582</v>
      </c>
      <c r="G103" s="110">
        <f t="shared" si="46"/>
        <v>0.93345535084292286</v>
      </c>
      <c r="H103" s="414" t="b">
        <f>Wh_hp&gt;='2020'!Maxi_hp</f>
        <v>0</v>
      </c>
      <c r="I103" s="380">
        <f>IF(H103,Wh_hp,'2020'!Maxi_hp)</f>
        <v>48.853038467776038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3.3477317474413334E-2</v>
      </c>
      <c r="M103" s="843"/>
      <c r="N103" s="843"/>
      <c r="O103" s="48">
        <f>IF(t&lt;Tnet,'2020'!Resal+('2020'!Salim-'2020'!Resal)*(1-EXP(('2020'!Tnet-t)/('2020'!Tau_j))),Resal+(Salim-Resal)*(1-EXP((Tnet-t)/(Tau_j))))*Salcycl</f>
        <v>0.11159288612697406</v>
      </c>
      <c r="P103" s="169">
        <f>(INDEX(Models!$BJ103:$BT103,,T103)*(1-R103)+INDEX(Models!$BJ103:$BT103,,T103+1)*R103-ERP_i)*Q103*Ramure*Pc/MaxiM</f>
        <v>4.6297097726018177E-3</v>
      </c>
      <c r="Q103" s="305">
        <f t="shared" si="27"/>
        <v>0.8</v>
      </c>
      <c r="R103" s="177">
        <f t="shared" si="28"/>
        <v>0.62887212829797612</v>
      </c>
      <c r="S103" s="809">
        <f t="shared" si="29"/>
        <v>0</v>
      </c>
      <c r="T103" s="176">
        <f t="shared" si="30"/>
        <v>6</v>
      </c>
      <c r="U103" s="251">
        <f t="shared" si="31"/>
        <v>0.62887212829797612</v>
      </c>
      <c r="V103" s="383">
        <f t="shared" si="32"/>
        <v>41.926806374903251</v>
      </c>
      <c r="W103" s="402"/>
      <c r="X103" s="157">
        <f t="shared" si="33"/>
        <v>44285</v>
      </c>
      <c r="Y103" s="385">
        <f t="shared" si="34"/>
        <v>38.617036759280097</v>
      </c>
      <c r="Z103" s="385">
        <f t="shared" si="35"/>
        <v>39.954609920143071</v>
      </c>
      <c r="AA103" s="386">
        <f t="shared" si="36"/>
        <v>44.973311555284901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0.11159288612697406</v>
      </c>
      <c r="AD103" s="231">
        <f>(INDEX(Models!$BJ103:$BT103,,AH103)*(1-AF103)+INDEX(Models!$BJ103:$BT103,,AH103+1)*AF103-ERP_i)*AE103*Ramure*Pc/MaxiM</f>
        <v>1.9711218507599076E-2</v>
      </c>
      <c r="AE103" s="305">
        <f t="shared" si="38"/>
        <v>0.8</v>
      </c>
      <c r="AF103" s="177">
        <f t="shared" si="39"/>
        <v>0.82880570245049734</v>
      </c>
      <c r="AG103" s="809">
        <f t="shared" si="47"/>
        <v>1</v>
      </c>
      <c r="AH103" s="176">
        <f t="shared" si="40"/>
        <v>7</v>
      </c>
      <c r="AI103" s="225">
        <f t="shared" si="41"/>
        <v>1.8288057024504973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6">
        <v>38.038000000000004</v>
      </c>
      <c r="C104" s="390"/>
      <c r="D104" s="393">
        <f t="shared" si="24"/>
        <v>39.356443552607587</v>
      </c>
      <c r="E104" s="385">
        <f t="shared" si="45"/>
        <v>44.30391379876022</v>
      </c>
      <c r="F104" s="385">
        <f t="shared" si="25"/>
        <v>44.47420567428135</v>
      </c>
      <c r="G104" s="110">
        <f t="shared" si="46"/>
        <v>0.89887340441649233</v>
      </c>
      <c r="H104" s="414" t="b">
        <f>Wh_hp&gt;='2020'!Maxi_hp</f>
        <v>1</v>
      </c>
      <c r="I104" s="380">
        <f>IF(H104,Wh_hp,'2020'!Maxi_hp)</f>
        <v>44.47420567428135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3.350006844102231E-2</v>
      </c>
      <c r="M104" s="843"/>
      <c r="N104" s="843"/>
      <c r="O104" s="48">
        <f>IF(t&lt;Tnet,'2020'!Resal+('2020'!Salim-'2020'!Resal)*(1-EXP(('2020'!Tnet-t)/('2020'!Tau_j))),Resal+(Salim-Resal)*(1-EXP((Tnet-t)/(Tau_j))))*Salcycl</f>
        <v>0.11167117805043845</v>
      </c>
      <c r="P104" s="169">
        <f>(INDEX(Models!$BJ104:$BT104,,T104)*(1-R104)+INDEX(Models!$BJ104:$BT104,,T104+1)*R104-ERP_i)*Q104*Ramure*Pc/MaxiM</f>
        <v>4.4712445085255152E-3</v>
      </c>
      <c r="Q104" s="305">
        <f t="shared" si="27"/>
        <v>0.8</v>
      </c>
      <c r="R104" s="177">
        <f t="shared" si="28"/>
        <v>0.63005187767837323</v>
      </c>
      <c r="S104" s="809">
        <f t="shared" si="29"/>
        <v>0</v>
      </c>
      <c r="T104" s="176">
        <f t="shared" si="30"/>
        <v>6</v>
      </c>
      <c r="U104" s="251">
        <f t="shared" si="31"/>
        <v>0.63005187767837323</v>
      </c>
      <c r="V104" s="383">
        <f t="shared" si="32"/>
        <v>42.290133780340334</v>
      </c>
      <c r="W104" s="402"/>
      <c r="X104" s="157">
        <f t="shared" si="33"/>
        <v>44286</v>
      </c>
      <c r="Y104" s="385">
        <f t="shared" si="34"/>
        <v>37.554547268598448</v>
      </c>
      <c r="Z104" s="385">
        <f t="shared" si="35"/>
        <v>38.856233758881331</v>
      </c>
      <c r="AA104" s="386">
        <f t="shared" si="36"/>
        <v>43.740822991204887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0.11167117805043845</v>
      </c>
      <c r="AD104" s="231">
        <f>(INDEX(Models!$BJ104:$BT104,,AH104)*(1-AF104)+INDEX(Models!$BJ104:$BT104,,AH104+1)*AF104-ERP_i)*AE104*Ramure*Pc/MaxiM</f>
        <v>1.9255958537766762E-2</v>
      </c>
      <c r="AE104" s="305">
        <f t="shared" si="38"/>
        <v>0.8</v>
      </c>
      <c r="AF104" s="177">
        <f t="shared" si="39"/>
        <v>0.82998545183089445</v>
      </c>
      <c r="AG104" s="809">
        <f t="shared" si="47"/>
        <v>1</v>
      </c>
      <c r="AH104" s="176">
        <f t="shared" si="40"/>
        <v>7</v>
      </c>
      <c r="AI104" s="225">
        <f t="shared" si="41"/>
        <v>1.8299854518308944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6">
        <v>38.94</v>
      </c>
      <c r="C105" s="390"/>
      <c r="D105" s="393">
        <f t="shared" si="24"/>
        <v>40.290656376181857</v>
      </c>
      <c r="E105" s="385">
        <f t="shared" si="45"/>
        <v>45.359613185000626</v>
      </c>
      <c r="F105" s="385">
        <f t="shared" si="25"/>
        <v>45.531723733193161</v>
      </c>
      <c r="G105" s="110">
        <f t="shared" si="46"/>
        <v>0.91263370924799403</v>
      </c>
      <c r="H105" s="414" t="b">
        <f>Wh_hp&gt;='2020'!Maxi_hp</f>
        <v>1</v>
      </c>
      <c r="I105" s="380">
        <f>IF(H105,Wh_hp,'2020'!Maxi_hp)</f>
        <v>45.531723733193161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3.3522818878183133E-2</v>
      </c>
      <c r="M105" s="843"/>
      <c r="N105" s="843"/>
      <c r="O105" s="48">
        <f>IF(t&lt;Tnet,'2020'!Resal+('2020'!Salim-'2020'!Resal)*(1-EXP(('2020'!Tnet-t)/('2020'!Tau_j))),Resal+(Salim-Resal)*(1-EXP((Tnet-t)/(Tau_j))))*Salcycl</f>
        <v>0.11175044170118623</v>
      </c>
      <c r="P105" s="169">
        <f>(INDEX(Models!$BJ105:$BT105,,T105)*(1-R105)+INDEX(Models!$BJ105:$BT105,,T105+1)*R105-ERP_i)*Q105*Ramure*Pc/MaxiM</f>
        <v>4.3156147565369587E-3</v>
      </c>
      <c r="Q105" s="305">
        <f t="shared" si="27"/>
        <v>0.8</v>
      </c>
      <c r="R105" s="177">
        <f t="shared" si="28"/>
        <v>0.63127594856151559</v>
      </c>
      <c r="S105" s="809">
        <f t="shared" si="29"/>
        <v>0</v>
      </c>
      <c r="T105" s="176">
        <f t="shared" si="30"/>
        <v>6</v>
      </c>
      <c r="U105" s="251">
        <f t="shared" si="31"/>
        <v>0.63127594856151559</v>
      </c>
      <c r="V105" s="383">
        <f t="shared" si="32"/>
        <v>42.644780892581686</v>
      </c>
      <c r="W105" s="402"/>
      <c r="X105" s="157">
        <f t="shared" si="33"/>
        <v>44287</v>
      </c>
      <c r="Y105" s="385">
        <f t="shared" si="34"/>
        <v>38.444613168470305</v>
      </c>
      <c r="Z105" s="385">
        <f t="shared" si="35"/>
        <v>39.778086766463097</v>
      </c>
      <c r="AA105" s="386">
        <f t="shared" si="36"/>
        <v>44.782557328423067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0.11175044170118623</v>
      </c>
      <c r="AD105" s="231">
        <f>(INDEX(Models!$BJ105:$BT105,,AH105)*(1-AF105)+INDEX(Models!$BJ105:$BT105,,AH105+1)*AF105-ERP_i)*AE105*Ramure*Pc/MaxiM</f>
        <v>1.8785098446788738E-2</v>
      </c>
      <c r="AE105" s="305">
        <f t="shared" si="38"/>
        <v>0.8</v>
      </c>
      <c r="AF105" s="177">
        <f t="shared" si="39"/>
        <v>0.83120952271403681</v>
      </c>
      <c r="AG105" s="809">
        <f t="shared" si="47"/>
        <v>1</v>
      </c>
      <c r="AH105" s="176">
        <f t="shared" si="40"/>
        <v>7</v>
      </c>
      <c r="AI105" s="225">
        <f t="shared" si="41"/>
        <v>1.8312095227140368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6">
        <v>35.805</v>
      </c>
      <c r="C106" s="390"/>
      <c r="D106" s="393">
        <f t="shared" si="24"/>
        <v>37.047789159619839</v>
      </c>
      <c r="E106" s="385">
        <f t="shared" si="45"/>
        <v>41.712531529262762</v>
      </c>
      <c r="F106" s="385">
        <f t="shared" si="25"/>
        <v>41.845132643511377</v>
      </c>
      <c r="G106" s="110">
        <f t="shared" si="46"/>
        <v>0.83204351873026561</v>
      </c>
      <c r="H106" s="414" t="b">
        <f>Wh_hp&gt;='2020'!Maxi_hp</f>
        <v>1</v>
      </c>
      <c r="I106" s="380">
        <f>IF(H106,Wh_hp,'2020'!Maxi_hp)</f>
        <v>41.845132643511377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3.3545568785907906E-2</v>
      </c>
      <c r="M106" s="843"/>
      <c r="N106" s="843"/>
      <c r="O106" s="48">
        <f>IF(t&lt;Tnet,'2020'!Resal+('2020'!Salim-'2020'!Resal)*(1-EXP(('2020'!Tnet-t)/('2020'!Tau_j))),Resal+(Salim-Resal)*(1-EXP((Tnet-t)/(Tau_j))))*Salcycl</f>
        <v>0.11183071845856313</v>
      </c>
      <c r="P106" s="169">
        <f>(INDEX(Models!$BJ106:$BT106,,T106)*(1-R106)+INDEX(Models!$BJ106:$BT106,,T106+1)*R106-ERP_i)*Q106*Ramure*Pc/MaxiM</f>
        <v>4.1627067009344819E-3</v>
      </c>
      <c r="Q106" s="305">
        <f t="shared" si="27"/>
        <v>0.8</v>
      </c>
      <c r="R106" s="177">
        <f t="shared" si="28"/>
        <v>0.63254579342084283</v>
      </c>
      <c r="S106" s="809">
        <f t="shared" si="29"/>
        <v>0</v>
      </c>
      <c r="T106" s="176">
        <f t="shared" si="30"/>
        <v>6</v>
      </c>
      <c r="U106" s="251">
        <f t="shared" si="31"/>
        <v>0.63254579342084283</v>
      </c>
      <c r="V106" s="383">
        <f t="shared" si="32"/>
        <v>42.989700869680945</v>
      </c>
      <c r="W106" s="402"/>
      <c r="X106" s="157">
        <f t="shared" si="33"/>
        <v>44288</v>
      </c>
      <c r="Y106" s="385">
        <f t="shared" si="34"/>
        <v>35.418472581044085</v>
      </c>
      <c r="Z106" s="385">
        <f t="shared" si="35"/>
        <v>36.647845399756946</v>
      </c>
      <c r="AA106" s="386">
        <f t="shared" si="36"/>
        <v>41.26223025429772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0.11183071845856313</v>
      </c>
      <c r="AD106" s="231">
        <f>(INDEX(Models!$BJ106:$BT106,,AH106)*(1-AF106)+INDEX(Models!$BJ106:$BT106,,AH106+1)*AF106-ERP_i)*AE106*Ramure*Pc/MaxiM</f>
        <v>1.8298878522400953E-2</v>
      </c>
      <c r="AE106" s="305">
        <f t="shared" si="38"/>
        <v>0.8</v>
      </c>
      <c r="AF106" s="177">
        <f t="shared" si="39"/>
        <v>0.83247936757336394</v>
      </c>
      <c r="AG106" s="809">
        <f t="shared" si="47"/>
        <v>1</v>
      </c>
      <c r="AH106" s="176">
        <f t="shared" si="40"/>
        <v>7</v>
      </c>
      <c r="AI106" s="225">
        <f t="shared" si="41"/>
        <v>1.8324793675733639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6">
        <v>43.35</v>
      </c>
      <c r="C107" s="390"/>
      <c r="D107" s="393">
        <f t="shared" si="24"/>
        <v>44.855731465316055</v>
      </c>
      <c r="E107" s="385">
        <f t="shared" si="45"/>
        <v>50.508208573998374</v>
      </c>
      <c r="F107" s="385">
        <f t="shared" si="25"/>
        <v>50.711672503234396</v>
      </c>
      <c r="G107" s="110">
        <f t="shared" si="46"/>
        <v>1.0005478716982859</v>
      </c>
      <c r="H107" s="414" t="b">
        <f>Wh_hp&gt;='2020'!Maxi_hp</f>
        <v>1</v>
      </c>
      <c r="I107" s="380">
        <f>IF(H107,Wh_hp,'2020'!Maxi_hp)</f>
        <v>50.711672503234396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3.3568318164209174E-2</v>
      </c>
      <c r="M107" s="843"/>
      <c r="N107" s="843"/>
      <c r="O107" s="48">
        <f>IF(t&lt;Tnet,'2020'!Resal+('2020'!Salim-'2020'!Resal)*(1-EXP(('2020'!Tnet-t)/('2020'!Tau_j))),Resal+(Salim-Resal)*(1-EXP((Tnet-t)/(Tau_j))))*Salcycl</f>
        <v>0.11191204891777157</v>
      </c>
      <c r="P107" s="169">
        <f>(INDEX(Models!$BJ107:$BT107,,T107)*(1-R107)+INDEX(Models!$BJ107:$BT107,,T107+1)*R107-ERP_i)*Q107*Ramure*Pc/MaxiM</f>
        <v>4.0121715414345258E-3</v>
      </c>
      <c r="Q107" s="305">
        <f t="shared" si="27"/>
        <v>0.8</v>
      </c>
      <c r="R107" s="177">
        <f t="shared" si="28"/>
        <v>0.63386289518661909</v>
      </c>
      <c r="S107" s="809">
        <f t="shared" si="29"/>
        <v>0</v>
      </c>
      <c r="T107" s="176">
        <f t="shared" si="30"/>
        <v>6</v>
      </c>
      <c r="U107" s="251">
        <f t="shared" si="31"/>
        <v>0.63386289518661909</v>
      </c>
      <c r="V107" s="383">
        <f t="shared" si="32"/>
        <v>43.326262766837552</v>
      </c>
      <c r="W107" s="402"/>
      <c r="X107" s="157">
        <f t="shared" si="33"/>
        <v>44289</v>
      </c>
      <c r="Y107" s="385">
        <f t="shared" si="34"/>
        <v>42.750044925629965</v>
      </c>
      <c r="Z107" s="385">
        <f t="shared" si="35"/>
        <v>44.234937377491462</v>
      </c>
      <c r="AA107" s="386">
        <f t="shared" si="36"/>
        <v>49.809185366817047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0.11191204891777157</v>
      </c>
      <c r="AD107" s="231">
        <f>(INDEX(Models!$BJ107:$BT107,,AH107)*(1-AF107)+INDEX(Models!$BJ107:$BT107,,AH107+1)*AF107-ERP_i)*AE107*Ramure*Pc/MaxiM</f>
        <v>1.7796438016509691E-2</v>
      </c>
      <c r="AE107" s="305">
        <f t="shared" si="38"/>
        <v>0.8</v>
      </c>
      <c r="AF107" s="177">
        <f t="shared" si="39"/>
        <v>0.8337964693391402</v>
      </c>
      <c r="AG107" s="809">
        <f t="shared" si="47"/>
        <v>1</v>
      </c>
      <c r="AH107" s="176">
        <f t="shared" si="40"/>
        <v>7</v>
      </c>
      <c r="AI107" s="225">
        <f t="shared" si="41"/>
        <v>1.8337964693391402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6">
        <v>42.987000000000002</v>
      </c>
      <c r="C108" s="390"/>
      <c r="D108" s="393">
        <f t="shared" si="24"/>
        <v>44.481169960980345</v>
      </c>
      <c r="E108" s="385">
        <f t="shared" si="45"/>
        <v>50.091095830686619</v>
      </c>
      <c r="F108" s="385">
        <f t="shared" si="25"/>
        <v>50.281055581705836</v>
      </c>
      <c r="G108" s="110">
        <f t="shared" si="46"/>
        <v>0.98457749289583263</v>
      </c>
      <c r="H108" s="414" t="b">
        <f>Wh_hp&gt;='2020'!Maxi_hp</f>
        <v>0</v>
      </c>
      <c r="I108" s="380">
        <f>IF(H108,Wh_hp,'2020'!Maxi_hp)</f>
        <v>52.742592428937442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3.3591067013099149E-2</v>
      </c>
      <c r="M108" s="843"/>
      <c r="N108" s="843"/>
      <c r="O108" s="48">
        <f>IF(t&lt;Tnet,'2020'!Resal+('2020'!Salim-'2020'!Resal)*(1-EXP(('2020'!Tnet-t)/('2020'!Tau_j))),Resal+(Salim-Resal)*(1-EXP((Tnet-t)/(Tau_j))))*Salcycl</f>
        <v>0.1119944728034786</v>
      </c>
      <c r="P108" s="169">
        <f>(INDEX(Models!$BJ108:$BT108,,T108)*(1-R108)+INDEX(Models!$BJ108:$BT108,,T108+1)*R108-ERP_i)*Q108*Ramure*Pc/MaxiM</f>
        <v>3.8625984304570624E-3</v>
      </c>
      <c r="Q108" s="305">
        <f t="shared" si="27"/>
        <v>0.8</v>
      </c>
      <c r="R108" s="177">
        <f t="shared" si="28"/>
        <v>0.63522876642844228</v>
      </c>
      <c r="S108" s="809">
        <f t="shared" si="29"/>
        <v>0</v>
      </c>
      <c r="T108" s="176">
        <f t="shared" si="30"/>
        <v>6</v>
      </c>
      <c r="U108" s="251">
        <f t="shared" si="31"/>
        <v>0.63522876642844228</v>
      </c>
      <c r="V108" s="383">
        <f t="shared" si="32"/>
        <v>43.656642675521155</v>
      </c>
      <c r="W108" s="402"/>
      <c r="X108" s="157">
        <f t="shared" si="33"/>
        <v>44290</v>
      </c>
      <c r="Y108" s="385">
        <f t="shared" si="34"/>
        <v>42.421151624870411</v>
      </c>
      <c r="Z108" s="385">
        <f t="shared" si="35"/>
        <v>43.895653461892621</v>
      </c>
      <c r="AA108" s="386">
        <f t="shared" si="36"/>
        <v>49.431734507862167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0.1119944728034786</v>
      </c>
      <c r="AD108" s="231">
        <f>(INDEX(Models!$BJ108:$BT108,,AH108)*(1-AF108)+INDEX(Models!$BJ108:$BT108,,AH108+1)*AF108-ERP_i)*AE108*Ramure*Pc/MaxiM</f>
        <v>1.7269901803834711E-2</v>
      </c>
      <c r="AE108" s="305">
        <f t="shared" si="38"/>
        <v>0.8</v>
      </c>
      <c r="AF108" s="177">
        <f t="shared" si="39"/>
        <v>0.83516234058096339</v>
      </c>
      <c r="AG108" s="809">
        <f t="shared" si="47"/>
        <v>1</v>
      </c>
      <c r="AH108" s="176">
        <f t="shared" si="40"/>
        <v>7</v>
      </c>
      <c r="AI108" s="225">
        <f t="shared" si="41"/>
        <v>1.8351623405809634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6">
        <v>42.486000000000004</v>
      </c>
      <c r="C109" s="390"/>
      <c r="D109" s="393">
        <f t="shared" si="24"/>
        <v>43.963790743368222</v>
      </c>
      <c r="E109" s="385">
        <f t="shared" si="45"/>
        <v>49.513124096091104</v>
      </c>
      <c r="F109" s="385">
        <f t="shared" si="25"/>
        <v>49.688830674804521</v>
      </c>
      <c r="G109" s="110">
        <f t="shared" si="46"/>
        <v>0.96583715506976553</v>
      </c>
      <c r="H109" s="414" t="b">
        <f>Wh_hp&gt;='2020'!Maxi_hp</f>
        <v>0</v>
      </c>
      <c r="I109" s="380">
        <f>IF(H109,Wh_hp,'2020'!Maxi_hp)</f>
        <v>53.625563554782609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3.3613815332590155E-2</v>
      </c>
      <c r="M109" s="843"/>
      <c r="N109" s="843"/>
      <c r="O109" s="48">
        <f>IF(t&lt;Tnet,'2020'!Resal+('2020'!Salim-'2020'!Resal)*(1-EXP(('2020'!Tnet-t)/('2020'!Tau_j))),Resal+(Salim-Resal)*(1-EXP((Tnet-t)/(Tau_j))))*Salcycl</f>
        <v>0.1120780288869104</v>
      </c>
      <c r="P109" s="169">
        <f>(INDEX(Models!$BJ109:$BT109,,T109)*(1-R109)+INDEX(Models!$BJ109:$BT109,,T109+1)*R109-ERP_i)*Q109*Ramure*Pc/MaxiM</f>
        <v>3.7165944043936398E-3</v>
      </c>
      <c r="Q109" s="305">
        <f t="shared" si="27"/>
        <v>0.8</v>
      </c>
      <c r="R109" s="177">
        <f t="shared" si="28"/>
        <v>0.63664494838206476</v>
      </c>
      <c r="S109" s="809">
        <f t="shared" si="29"/>
        <v>0</v>
      </c>
      <c r="T109" s="176">
        <f t="shared" si="30"/>
        <v>6</v>
      </c>
      <c r="U109" s="251">
        <f t="shared" si="31"/>
        <v>0.63664494838206476</v>
      </c>
      <c r="V109" s="383">
        <f t="shared" si="32"/>
        <v>43.980815723405009</v>
      </c>
      <c r="W109" s="402"/>
      <c r="X109" s="157">
        <f t="shared" si="33"/>
        <v>44291</v>
      </c>
      <c r="Y109" s="385">
        <f t="shared" si="34"/>
        <v>41.957722249769041</v>
      </c>
      <c r="Z109" s="385">
        <f t="shared" si="35"/>
        <v>43.417137905597393</v>
      </c>
      <c r="AA109" s="386">
        <f t="shared" si="36"/>
        <v>48.897469955800425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0.1120780288869104</v>
      </c>
      <c r="AD109" s="231">
        <f>(INDEX(Models!$BJ109:$BT109,,AH109)*(1-AF109)+INDEX(Models!$BJ109:$BT109,,AH109+1)*AF109-ERP_i)*AE109*Ramure*Pc/MaxiM</f>
        <v>1.6739081949257641E-2</v>
      </c>
      <c r="AE109" s="305">
        <f t="shared" si="38"/>
        <v>0.8</v>
      </c>
      <c r="AF109" s="177">
        <f t="shared" si="39"/>
        <v>0.83657852253458609</v>
      </c>
      <c r="AG109" s="809">
        <f t="shared" si="47"/>
        <v>1</v>
      </c>
      <c r="AH109" s="176">
        <f t="shared" si="40"/>
        <v>7</v>
      </c>
      <c r="AI109" s="225">
        <f t="shared" si="41"/>
        <v>1.8365785225345861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6">
        <v>32.090000000000003</v>
      </c>
      <c r="C110" s="390"/>
      <c r="D110" s="393">
        <f t="shared" si="24"/>
        <v>33.206968284825862</v>
      </c>
      <c r="E110" s="385">
        <f t="shared" si="45"/>
        <v>37.402089705427308</v>
      </c>
      <c r="F110" s="385">
        <f t="shared" si="25"/>
        <v>37.483309801506778</v>
      </c>
      <c r="G110" s="110">
        <f t="shared" si="46"/>
        <v>0.72337603669943884</v>
      </c>
      <c r="H110" s="414" t="b">
        <f>Wh_hp&gt;='2020'!Maxi_hp</f>
        <v>0</v>
      </c>
      <c r="I110" s="380">
        <f>IF(H110,Wh_hp,'2020'!Maxi_hp)</f>
        <v>54.126950024967606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3.3636563122694627E-2</v>
      </c>
      <c r="M110" s="843"/>
      <c r="N110" s="843"/>
      <c r="O110" s="48">
        <f>IF(t&lt;Tnet,'2020'!Resal+('2020'!Salim-'2020'!Resal)*(1-EXP(('2020'!Tnet-t)/('2020'!Tau_j))),Resal+(Salim-Resal)*(1-EXP((Tnet-t)/(Tau_j))))*Salcycl</f>
        <v>0.11216275490598331</v>
      </c>
      <c r="P110" s="169">
        <f>(INDEX(Models!$BJ110:$BT110,,T110)*(1-R110)+INDEX(Models!$BJ110:$BT110,,T110+1)*R110-ERP_i)*Q110*Ramure*Pc/MaxiM</f>
        <v>3.5739684353444478E-3</v>
      </c>
      <c r="Q110" s="305">
        <f t="shared" si="27"/>
        <v>0.8</v>
      </c>
      <c r="R110" s="177">
        <f t="shared" si="28"/>
        <v>0.63811300980971297</v>
      </c>
      <c r="S110" s="809">
        <f t="shared" si="29"/>
        <v>0</v>
      </c>
      <c r="T110" s="176">
        <f t="shared" si="30"/>
        <v>6</v>
      </c>
      <c r="U110" s="251">
        <f t="shared" si="31"/>
        <v>0.63811300980971297</v>
      </c>
      <c r="V110" s="383">
        <f t="shared" si="32"/>
        <v>44.298878263124713</v>
      </c>
      <c r="W110" s="402"/>
      <c r="X110" s="157">
        <f t="shared" si="33"/>
        <v>44292</v>
      </c>
      <c r="Y110" s="385">
        <f t="shared" si="34"/>
        <v>31.843751273963932</v>
      </c>
      <c r="Z110" s="385">
        <f t="shared" si="35"/>
        <v>32.952148289947132</v>
      </c>
      <c r="AA110" s="386">
        <f t="shared" si="36"/>
        <v>37.115077647432656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0.11216275490598331</v>
      </c>
      <c r="AD110" s="231">
        <f>(INDEX(Models!$BJ110:$BT110,,AH110)*(1-AF110)+INDEX(Models!$BJ110:$BT110,,AH110+1)*AF110-ERP_i)*AE110*Ramure*Pc/MaxiM</f>
        <v>1.6203503308493038E-2</v>
      </c>
      <c r="AE110" s="305">
        <f t="shared" si="38"/>
        <v>0.8</v>
      </c>
      <c r="AF110" s="177">
        <f t="shared" si="39"/>
        <v>0.83804658396223419</v>
      </c>
      <c r="AG110" s="809">
        <f t="shared" si="47"/>
        <v>1</v>
      </c>
      <c r="AH110" s="176">
        <f t="shared" si="40"/>
        <v>7</v>
      </c>
      <c r="AI110" s="225">
        <f t="shared" si="41"/>
        <v>1.8380465839622342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6">
        <v>45.688000000000002</v>
      </c>
      <c r="C111" s="390"/>
      <c r="D111" s="393">
        <f t="shared" si="24"/>
        <v>47.279391720665394</v>
      </c>
      <c r="E111" s="385">
        <f t="shared" si="45"/>
        <v>53.257473184557625</v>
      </c>
      <c r="F111" s="385">
        <f t="shared" si="25"/>
        <v>53.441018311123912</v>
      </c>
      <c r="G111" s="110">
        <f t="shared" si="46"/>
        <v>1.0241437092634975</v>
      </c>
      <c r="H111" s="414" t="b">
        <f>Wh_hp&gt;='2020'!Maxi_hp</f>
        <v>1</v>
      </c>
      <c r="I111" s="380">
        <f>IF(H111,Wh_hp,'2020'!Maxi_hp)</f>
        <v>53.441018311123912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3.3659310383424665E-2</v>
      </c>
      <c r="M111" s="843"/>
      <c r="N111" s="843"/>
      <c r="O111" s="48">
        <f>IF(t&lt;Tnet,'2020'!Resal+('2020'!Salim-'2020'!Resal)*(1-EXP(('2020'!Tnet-t)/('2020'!Tau_j))),Resal+(Salim-Resal)*(1-EXP((Tnet-t)/(Tau_j))))*Salcycl</f>
        <v>0.11224868748796776</v>
      </c>
      <c r="P111" s="169">
        <f>(INDEX(Models!$BJ111:$BT111,,T111)*(1-R111)+INDEX(Models!$BJ111:$BT111,,T111+1)*R111-ERP_i)*Q111*Ramure*Pc/MaxiM</f>
        <v>3.4345364734204666E-3</v>
      </c>
      <c r="Q111" s="305">
        <f t="shared" si="27"/>
        <v>0.8</v>
      </c>
      <c r="R111" s="177">
        <f t="shared" si="28"/>
        <v>0.63963454568285183</v>
      </c>
      <c r="S111" s="809">
        <f t="shared" si="29"/>
        <v>0</v>
      </c>
      <c r="T111" s="176">
        <f t="shared" si="30"/>
        <v>6</v>
      </c>
      <c r="U111" s="251">
        <f t="shared" si="31"/>
        <v>0.63963454568285183</v>
      </c>
      <c r="V111" s="383">
        <f t="shared" si="32"/>
        <v>44.610926754465012</v>
      </c>
      <c r="W111" s="402"/>
      <c r="X111" s="157">
        <f t="shared" si="33"/>
        <v>44293</v>
      </c>
      <c r="Y111" s="385">
        <f t="shared" si="34"/>
        <v>45.127395363183226</v>
      </c>
      <c r="Z111" s="385">
        <f t="shared" si="35"/>
        <v>46.69926025891435</v>
      </c>
      <c r="AA111" s="386">
        <f t="shared" si="36"/>
        <v>52.603988978367639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0.11224868748796776</v>
      </c>
      <c r="AD111" s="231">
        <f>(INDEX(Models!$BJ111:$BT111,,AH111)*(1-AF111)+INDEX(Models!$BJ111:$BT111,,AH111+1)*AF111-ERP_i)*AE111*Ramure*Pc/MaxiM</f>
        <v>1.5662675585319891E-2</v>
      </c>
      <c r="AE111" s="305">
        <f t="shared" si="38"/>
        <v>0.8</v>
      </c>
      <c r="AF111" s="177">
        <f t="shared" si="39"/>
        <v>0.83956811983537305</v>
      </c>
      <c r="AG111" s="809">
        <f t="shared" si="47"/>
        <v>1</v>
      </c>
      <c r="AH111" s="176">
        <f t="shared" si="40"/>
        <v>7</v>
      </c>
      <c r="AI111" s="225">
        <f t="shared" si="41"/>
        <v>1.8395681198353731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6">
        <v>43.783999999999999</v>
      </c>
      <c r="C112" s="390"/>
      <c r="D112" s="393">
        <f t="shared" si="24"/>
        <v>45.310138678860561</v>
      </c>
      <c r="E112" s="385">
        <f t="shared" si="45"/>
        <v>51.044237052015319</v>
      </c>
      <c r="F112" s="385">
        <f t="shared" si="25"/>
        <v>51.207037958344102</v>
      </c>
      <c r="G112" s="110">
        <f t="shared" si="46"/>
        <v>0.97465821954403331</v>
      </c>
      <c r="H112" s="414" t="b">
        <f>Wh_hp&gt;='2020'!Maxi_hp</f>
        <v>1</v>
      </c>
      <c r="I112" s="380">
        <f>IF(H112,Wh_hp,'2020'!Maxi_hp)</f>
        <v>51.207037958344102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3.3682057114792815E-2</v>
      </c>
      <c r="M112" s="843"/>
      <c r="N112" s="843"/>
      <c r="O112" s="48">
        <f>IF(t&lt;Tnet,'2020'!Resal+('2020'!Salim-'2020'!Resal)*(1-EXP(('2020'!Tnet-t)/('2020'!Tau_j))),Resal+(Salim-Resal)*(1-EXP((Tnet-t)/(Tau_j))))*Salcycl</f>
        <v>0.1123358620741372</v>
      </c>
      <c r="P112" s="169">
        <f>(INDEX(Models!$BJ112:$BT112,,T112)*(1-R112)+INDEX(Models!$BJ112:$BT112,,T112+1)*R112-ERP_i)*Q112*Ramure*Pc/MaxiM</f>
        <v>3.2981209442759216E-3</v>
      </c>
      <c r="Q112" s="305">
        <f t="shared" si="27"/>
        <v>0.8</v>
      </c>
      <c r="R112" s="177">
        <f t="shared" si="28"/>
        <v>0.64121117567614405</v>
      </c>
      <c r="S112" s="809">
        <f t="shared" si="29"/>
        <v>0</v>
      </c>
      <c r="T112" s="176">
        <f t="shared" si="30"/>
        <v>6</v>
      </c>
      <c r="U112" s="251">
        <f t="shared" si="31"/>
        <v>0.64121117567614405</v>
      </c>
      <c r="V112" s="383">
        <f t="shared" si="32"/>
        <v>44.917057770068183</v>
      </c>
      <c r="W112" s="402"/>
      <c r="X112" s="157">
        <f t="shared" si="33"/>
        <v>44294</v>
      </c>
      <c r="Y112" s="385">
        <f t="shared" si="34"/>
        <v>43.283617750752803</v>
      </c>
      <c r="Z112" s="385">
        <f t="shared" si="35"/>
        <v>44.792315065078576</v>
      </c>
      <c r="AA112" s="386">
        <f t="shared" si="36"/>
        <v>50.460881713371194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0.1123358620741372</v>
      </c>
      <c r="AD112" s="231">
        <f>(INDEX(Models!$BJ112:$BT112,,AH112)*(1-AF112)+INDEX(Models!$BJ112:$BT112,,AH112+1)*AF112-ERP_i)*AE112*Ramure*Pc/MaxiM</f>
        <v>1.5116092377750275E-2</v>
      </c>
      <c r="AE112" s="305">
        <f t="shared" si="38"/>
        <v>0.8</v>
      </c>
      <c r="AF112" s="177">
        <f t="shared" si="39"/>
        <v>0.84114474982866527</v>
      </c>
      <c r="AG112" s="809">
        <f t="shared" si="47"/>
        <v>1</v>
      </c>
      <c r="AH112" s="176">
        <f t="shared" si="40"/>
        <v>7</v>
      </c>
      <c r="AI112" s="225">
        <f t="shared" si="41"/>
        <v>1.8411447498286653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6">
        <v>26.622</v>
      </c>
      <c r="C113" s="390"/>
      <c r="D113" s="393">
        <f t="shared" si="24"/>
        <v>27.550587120147235</v>
      </c>
      <c r="E113" s="385">
        <f t="shared" si="45"/>
        <v>31.040267910539971</v>
      </c>
      <c r="F113" s="385">
        <f t="shared" si="25"/>
        <v>31.080840978600801</v>
      </c>
      <c r="G113" s="110">
        <f t="shared" si="46"/>
        <v>0.58766005842077207</v>
      </c>
      <c r="H113" s="414" t="b">
        <f>Wh_hp&gt;='2020'!Maxi_hp</f>
        <v>0</v>
      </c>
      <c r="I113" s="380">
        <f>IF(H113,Wh_hp,'2020'!Maxi_hp)</f>
        <v>43.332487476984227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3.3704803316811291E-2</v>
      </c>
      <c r="M113" s="843"/>
      <c r="N113" s="843"/>
      <c r="O113" s="48">
        <f>IF(t&lt;Tnet,'2020'!Resal+('2020'!Salim-'2020'!Resal)*(1-EXP(('2020'!Tnet-t)/('2020'!Tau_j))),Resal+(Salim-Resal)*(1-EXP((Tnet-t)/(Tau_j))))*Salcycl</f>
        <v>0.11242431284582395</v>
      </c>
      <c r="P113" s="169">
        <f>(INDEX(Models!$BJ113:$BT113,,T113)*(1-R113)+INDEX(Models!$BJ113:$BT113,,T113+1)*R113-ERP_i)*Q113*Ramure*Pc/MaxiM</f>
        <v>3.1645502914268166E-3</v>
      </c>
      <c r="Q113" s="305">
        <f t="shared" si="27"/>
        <v>0.8</v>
      </c>
      <c r="R113" s="177">
        <f t="shared" si="28"/>
        <v>0.64284454246122336</v>
      </c>
      <c r="S113" s="809">
        <f t="shared" si="29"/>
        <v>0</v>
      </c>
      <c r="T113" s="176">
        <f t="shared" si="30"/>
        <v>6</v>
      </c>
      <c r="U113" s="251">
        <f t="shared" si="31"/>
        <v>0.64284454246122336</v>
      </c>
      <c r="V113" s="383">
        <f t="shared" si="32"/>
        <v>45.217368007600768</v>
      </c>
      <c r="W113" s="402"/>
      <c r="X113" s="157">
        <f t="shared" si="33"/>
        <v>44295</v>
      </c>
      <c r="Y113" s="385">
        <f t="shared" si="34"/>
        <v>26.496658286716031</v>
      </c>
      <c r="Z113" s="385">
        <f t="shared" si="35"/>
        <v>27.42087343253479</v>
      </c>
      <c r="AA113" s="386">
        <f t="shared" si="36"/>
        <v>30.894124106141337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0.11242431284582395</v>
      </c>
      <c r="AD113" s="231">
        <f>(INDEX(Models!$BJ113:$BT113,,AH113)*(1-AF113)+INDEX(Models!$BJ113:$BT113,,AH113+1)*AF113-ERP_i)*AE113*Ramure*Pc/MaxiM</f>
        <v>1.4563230275561443E-2</v>
      </c>
      <c r="AE113" s="305">
        <f t="shared" si="38"/>
        <v>0.8</v>
      </c>
      <c r="AF113" s="177">
        <f t="shared" si="39"/>
        <v>0.84277811661374447</v>
      </c>
      <c r="AG113" s="809">
        <f t="shared" si="47"/>
        <v>1</v>
      </c>
      <c r="AH113" s="176">
        <f t="shared" si="40"/>
        <v>7</v>
      </c>
      <c r="AI113" s="225">
        <f t="shared" si="41"/>
        <v>1.8427781166137445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6">
        <v>29.611000000000001</v>
      </c>
      <c r="C114" s="390"/>
      <c r="D114" s="393">
        <f t="shared" si="24"/>
        <v>30.644566104553046</v>
      </c>
      <c r="E114" s="385">
        <f t="shared" si="45"/>
        <v>34.529636087978218</v>
      </c>
      <c r="F114" s="385">
        <f t="shared" si="25"/>
        <v>34.582206184486068</v>
      </c>
      <c r="G114" s="110">
        <f t="shared" si="46"/>
        <v>0.6496340510227866</v>
      </c>
      <c r="H114" s="414" t="b">
        <f>Wh_hp&gt;='2020'!Maxi_hp</f>
        <v>0</v>
      </c>
      <c r="I114" s="380">
        <f>IF(H114,Wh_hp,'2020'!Maxi_hp)</f>
        <v>53.455243179157556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3.3727548989492304E-2</v>
      </c>
      <c r="M114" s="843"/>
      <c r="N114" s="843"/>
      <c r="O114" s="48">
        <f>IF(t&lt;Tnet,'2020'!Resal+('2020'!Salim-'2020'!Resal)*(1-EXP(('2020'!Tnet-t)/('2020'!Tau_j))),Resal+(Salim-Resal)*(1-EXP((Tnet-t)/(Tau_j))))*Salcycl</f>
        <v>0.11251407265128378</v>
      </c>
      <c r="P114" s="169">
        <f>(INDEX(Models!$BJ114:$BT114,,T114)*(1-R114)+INDEX(Models!$BJ114:$BT114,,T114+1)*R114-ERP_i)*Q114*Ramure*Pc/MaxiM</f>
        <v>3.034911875803081E-3</v>
      </c>
      <c r="Q114" s="305">
        <f t="shared" si="27"/>
        <v>0.8</v>
      </c>
      <c r="R114" s="177">
        <f t="shared" si="28"/>
        <v>0.64453630978883436</v>
      </c>
      <c r="S114" s="809">
        <f t="shared" si="29"/>
        <v>0</v>
      </c>
      <c r="T114" s="176">
        <f t="shared" si="30"/>
        <v>6</v>
      </c>
      <c r="U114" s="251">
        <f t="shared" si="31"/>
        <v>0.64453630978883436</v>
      </c>
      <c r="V114" s="383">
        <f t="shared" si="32"/>
        <v>45.511897065203009</v>
      </c>
      <c r="W114" s="402"/>
      <c r="X114" s="157">
        <f t="shared" si="33"/>
        <v>44296</v>
      </c>
      <c r="Y114" s="385">
        <f t="shared" si="34"/>
        <v>29.44792578076229</v>
      </c>
      <c r="Z114" s="385">
        <f t="shared" si="35"/>
        <v>30.47579981191253</v>
      </c>
      <c r="AA114" s="386">
        <f t="shared" si="36"/>
        <v>34.33947386969416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0.11251407265128378</v>
      </c>
      <c r="AD114" s="231">
        <f>(INDEX(Models!$BJ114:$BT114,,AH114)*(1-AF114)+INDEX(Models!$BJ114:$BT114,,AH114+1)*AF114-ERP_i)*AE114*Ramure*Pc/MaxiM</f>
        <v>1.4013122169047031E-2</v>
      </c>
      <c r="AE114" s="305">
        <f t="shared" si="38"/>
        <v>0.8</v>
      </c>
      <c r="AF114" s="177">
        <f t="shared" si="39"/>
        <v>0.84446988394135558</v>
      </c>
      <c r="AG114" s="809">
        <f t="shared" si="47"/>
        <v>1</v>
      </c>
      <c r="AH114" s="176">
        <f t="shared" si="40"/>
        <v>7</v>
      </c>
      <c r="AI114" s="225">
        <f t="shared" si="41"/>
        <v>1.8444698839413556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6">
        <v>7.8890000000000002</v>
      </c>
      <c r="C115" s="390"/>
      <c r="D115" s="393">
        <f t="shared" si="24"/>
        <v>8.164556172278564</v>
      </c>
      <c r="E115" s="385">
        <f t="shared" si="45"/>
        <v>9.2005902257304637</v>
      </c>
      <c r="F115" s="385">
        <f t="shared" si="25"/>
        <v>9.2005902257304637</v>
      </c>
      <c r="G115" s="110">
        <f t="shared" si="46"/>
        <v>0.17174505048250899</v>
      </c>
      <c r="H115" s="414" t="b">
        <f>Wh_hp&gt;='2020'!Maxi_hp</f>
        <v>0</v>
      </c>
      <c r="I115" s="380">
        <f>IF(H115,Wh_hp,'2020'!Maxi_hp)</f>
        <v>54.340445908416534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3.3750294132848399E-2</v>
      </c>
      <c r="M115" s="843"/>
      <c r="N115" s="843"/>
      <c r="O115" s="48">
        <f>IF(t&lt;Tnet,'2020'!Resal+('2020'!Salim-'2020'!Resal)*(1-EXP(('2020'!Tnet-t)/('2020'!Tau_j))),Resal+(Salim-Resal)*(1-EXP((Tnet-t)/(Tau_j))))*Salcycl</f>
        <v>0.1126051729327664</v>
      </c>
      <c r="P115" s="169">
        <f>(INDEX(Models!$BJ115:$BT115,,T115)*(1-R115)+INDEX(Models!$BJ115:$BT115,,T115+1)*R115-ERP_i)*Q115*Ramure*Pc/MaxiM</f>
        <v>2.9068999192772864E-3</v>
      </c>
      <c r="Q115" s="305">
        <f t="shared" si="27"/>
        <v>0.8</v>
      </c>
      <c r="R115" s="177">
        <f t="shared" si="28"/>
        <v>0.64628816034791092</v>
      </c>
      <c r="S115" s="809">
        <f t="shared" si="29"/>
        <v>0</v>
      </c>
      <c r="T115" s="176">
        <f t="shared" si="30"/>
        <v>6</v>
      </c>
      <c r="U115" s="251">
        <f t="shared" si="31"/>
        <v>0.64628816034791092</v>
      </c>
      <c r="V115" s="383">
        <f t="shared" si="32"/>
        <v>45.800839351337963</v>
      </c>
      <c r="W115" s="402"/>
      <c r="X115" s="157">
        <f t="shared" si="33"/>
        <v>44297</v>
      </c>
      <c r="Y115" s="385">
        <f t="shared" si="34"/>
        <v>7.8890000000000002</v>
      </c>
      <c r="Z115" s="385">
        <f t="shared" si="35"/>
        <v>8.164556172278564</v>
      </c>
      <c r="AA115" s="386">
        <f t="shared" si="36"/>
        <v>9.2005902257304637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0.1126051729327664</v>
      </c>
      <c r="AD115" s="231">
        <f>(INDEX(Models!$BJ115:$BT115,,AH115)*(1-AF115)+INDEX(Models!$BJ115:$BT115,,AH115+1)*AF115-ERP_i)*AE115*Ramure*Pc/MaxiM</f>
        <v>1.3473178519876105E-2</v>
      </c>
      <c r="AE115" s="305">
        <f t="shared" si="38"/>
        <v>0.8</v>
      </c>
      <c r="AF115" s="177">
        <f t="shared" si="39"/>
        <v>0.84622173450043214</v>
      </c>
      <c r="AG115" s="809">
        <f t="shared" si="47"/>
        <v>1</v>
      </c>
      <c r="AH115" s="176">
        <f t="shared" si="40"/>
        <v>7</v>
      </c>
      <c r="AI115" s="225">
        <f t="shared" si="41"/>
        <v>1.8462217345004321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6">
        <v>38.422000000000004</v>
      </c>
      <c r="C116" s="390"/>
      <c r="D116" s="393">
        <f t="shared" si="24"/>
        <v>39.764984357474532</v>
      </c>
      <c r="E116" s="385">
        <f t="shared" si="45"/>
        <v>44.815596479642707</v>
      </c>
      <c r="F116" s="385">
        <f t="shared" si="25"/>
        <v>44.910805494339421</v>
      </c>
      <c r="G116" s="110">
        <f t="shared" si="46"/>
        <v>0.83318132761341601</v>
      </c>
      <c r="H116" s="414" t="b">
        <f>Wh_hp&gt;='2020'!Maxi_hp</f>
        <v>0</v>
      </c>
      <c r="I116" s="380">
        <f>IF(H116,Wh_hp,'2020'!Maxi_hp)</f>
        <v>55.077370568801221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3.3773038746891679E-2</v>
      </c>
      <c r="M116" s="843"/>
      <c r="N116" s="843"/>
      <c r="O116" s="48">
        <f>IF(t&lt;Tnet,'2020'!Resal+('2020'!Salim-'2020'!Resal)*(1-EXP(('2020'!Tnet-t)/('2020'!Tau_j))),Resal+(Salim-Resal)*(1-EXP((Tnet-t)/(Tau_j))))*Salcycl</f>
        <v>0.11269764365319544</v>
      </c>
      <c r="P116" s="169">
        <f>(INDEX(Models!$BJ116:$BT116,,T116)*(1-R116)+INDEX(Models!$BJ116:$BT116,,T116+1)*R116-ERP_i)*Q116*Ramure*Pc/MaxiM</f>
        <v>2.7803606408122387E-3</v>
      </c>
      <c r="Q116" s="305">
        <f t="shared" si="27"/>
        <v>0.8</v>
      </c>
      <c r="R116" s="177">
        <f t="shared" si="28"/>
        <v>0.64810179339026486</v>
      </c>
      <c r="S116" s="809">
        <f t="shared" si="29"/>
        <v>0</v>
      </c>
      <c r="T116" s="176">
        <f t="shared" si="30"/>
        <v>6</v>
      </c>
      <c r="U116" s="251">
        <f t="shared" si="31"/>
        <v>0.64810179339026486</v>
      </c>
      <c r="V116" s="383">
        <f t="shared" si="32"/>
        <v>46.084292608799011</v>
      </c>
      <c r="W116" s="402"/>
      <c r="X116" s="157">
        <f t="shared" si="33"/>
        <v>44298</v>
      </c>
      <c r="Y116" s="385">
        <f t="shared" si="34"/>
        <v>38.123650475617609</v>
      </c>
      <c r="Z116" s="385">
        <f t="shared" si="35"/>
        <v>39.45620646537818</v>
      </c>
      <c r="AA116" s="386">
        <f t="shared" si="36"/>
        <v>44.467600230238332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0.11269764365319544</v>
      </c>
      <c r="AD116" s="231">
        <f>(INDEX(Models!$BJ116:$BT116,,AH116)*(1-AF116)+INDEX(Models!$BJ116:$BT116,,AH116+1)*AF116-ERP_i)*AE116*Ramure*Pc/MaxiM</f>
        <v>1.2942791982806109E-2</v>
      </c>
      <c r="AE116" s="305">
        <f t="shared" si="38"/>
        <v>0.8</v>
      </c>
      <c r="AF116" s="177">
        <f t="shared" si="39"/>
        <v>0.84803536754278608</v>
      </c>
      <c r="AG116" s="809">
        <f t="shared" si="47"/>
        <v>1</v>
      </c>
      <c r="AH116" s="176">
        <f t="shared" si="40"/>
        <v>7</v>
      </c>
      <c r="AI116" s="225">
        <f t="shared" si="41"/>
        <v>1.8480353675427861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6">
        <v>41.649000000000001</v>
      </c>
      <c r="C117" s="390"/>
      <c r="D117" s="393">
        <f t="shared" si="24"/>
        <v>43.105794054656336</v>
      </c>
      <c r="E117" s="385">
        <f t="shared" si="45"/>
        <v>48.585867580228296</v>
      </c>
      <c r="F117" s="385">
        <f t="shared" si="25"/>
        <v>48.696385354460595</v>
      </c>
      <c r="G117" s="110">
        <f t="shared" si="46"/>
        <v>0.89798939613768736</v>
      </c>
      <c r="H117" s="414" t="b">
        <f>Wh_hp&gt;='2020'!Maxi_hp</f>
        <v>0</v>
      </c>
      <c r="I117" s="380">
        <f>IF(H117,Wh_hp,'2020'!Maxi_hp)</f>
        <v>54.846872874129055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3.3795782831634688E-2</v>
      </c>
      <c r="M117" s="843"/>
      <c r="N117" s="843"/>
      <c r="O117" s="48">
        <f>IF(t&lt;Tnet,'2020'!Resal+('2020'!Salim-'2020'!Resal)*(1-EXP(('2020'!Tnet-t)/('2020'!Tau_j))),Resal+(Salim-Resal)*(1-EXP((Tnet-t)/(Tau_j))))*Salcycl</f>
        <v>0.11279151322188263</v>
      </c>
      <c r="P117" s="169">
        <f>(INDEX(Models!$BJ117:$BT117,,T117)*(1-R117)+INDEX(Models!$BJ117:$BT117,,T117+1)*R117-ERP_i)*Q117*Ramure*Pc/MaxiM</f>
        <v>2.655142763973317E-3</v>
      </c>
      <c r="Q117" s="305">
        <f t="shared" si="27"/>
        <v>0.8</v>
      </c>
      <c r="R117" s="177">
        <f t="shared" si="28"/>
        <v>0.64997892210977071</v>
      </c>
      <c r="S117" s="809">
        <f t="shared" si="29"/>
        <v>0</v>
      </c>
      <c r="T117" s="176">
        <f t="shared" si="30"/>
        <v>6</v>
      </c>
      <c r="U117" s="251">
        <f t="shared" si="31"/>
        <v>0.64997892210977071</v>
      </c>
      <c r="V117" s="383">
        <f t="shared" si="32"/>
        <v>46.362354774414385</v>
      </c>
      <c r="W117" s="402"/>
      <c r="X117" s="157">
        <f t="shared" si="33"/>
        <v>44299</v>
      </c>
      <c r="Y117" s="385">
        <f t="shared" si="34"/>
        <v>41.300529619406092</v>
      </c>
      <c r="Z117" s="385">
        <f t="shared" si="35"/>
        <v>42.745134916140913</v>
      </c>
      <c r="AA117" s="386">
        <f t="shared" si="36"/>
        <v>48.179357561568359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0.11279151322188263</v>
      </c>
      <c r="AD117" s="231">
        <f>(INDEX(Models!$BJ117:$BT117,,AH117)*(1-AF117)+INDEX(Models!$BJ117:$BT117,,AH117+1)*AF117-ERP_i)*AE117*Ramure*Pc/MaxiM</f>
        <v>1.2421373960946473E-2</v>
      </c>
      <c r="AE117" s="305">
        <f t="shared" si="38"/>
        <v>0.8</v>
      </c>
      <c r="AF117" s="177">
        <f t="shared" si="39"/>
        <v>0.84991249626229193</v>
      </c>
      <c r="AG117" s="809">
        <f t="shared" si="47"/>
        <v>1</v>
      </c>
      <c r="AH117" s="176">
        <f t="shared" si="40"/>
        <v>7</v>
      </c>
      <c r="AI117" s="225">
        <f t="shared" si="41"/>
        <v>1.8499124962622919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6">
        <v>46.902999999999999</v>
      </c>
      <c r="C118" s="390"/>
      <c r="D118" s="393">
        <f t="shared" si="24"/>
        <v>48.544710575552962</v>
      </c>
      <c r="E118" s="385">
        <f t="shared" si="45"/>
        <v>54.722115549902554</v>
      </c>
      <c r="F118" s="385">
        <f t="shared" si="25"/>
        <v>54.86097401033841</v>
      </c>
      <c r="G118" s="110">
        <f t="shared" si="46"/>
        <v>1.0057440826318818</v>
      </c>
      <c r="H118" s="414" t="b">
        <f>Wh_hp&gt;='2020'!Maxi_hp</f>
        <v>1</v>
      </c>
      <c r="I118" s="380">
        <f>IF(H118,Wh_hp,'2020'!Maxi_hp)</f>
        <v>54.86097401033841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3.3818526387089529E-2</v>
      </c>
      <c r="M118" s="843"/>
      <c r="N118" s="843"/>
      <c r="O118" s="48">
        <f>IF(t&lt;Tnet,'2020'!Resal+('2020'!Salim-'2020'!Resal)*(1-EXP(('2020'!Tnet-t)/('2020'!Tau_j))),Resal+(Salim-Resal)*(1-EXP((Tnet-t)/(Tau_j))))*Salcycl</f>
        <v>0.11288680841873251</v>
      </c>
      <c r="P118" s="169">
        <f>(INDEX(Models!$BJ118:$BT118,,T118)*(1-R118)+INDEX(Models!$BJ118:$BT118,,T118+1)*R118-ERP_i)*Q118*Ramure*Pc/MaxiM</f>
        <v>2.531097249744253E-3</v>
      </c>
      <c r="Q118" s="305">
        <f t="shared" si="27"/>
        <v>0.8</v>
      </c>
      <c r="R118" s="177">
        <f t="shared" si="28"/>
        <v>0.65192127076524709</v>
      </c>
      <c r="S118" s="809">
        <f t="shared" si="29"/>
        <v>0</v>
      </c>
      <c r="T118" s="176">
        <f t="shared" si="30"/>
        <v>6</v>
      </c>
      <c r="U118" s="251">
        <f t="shared" si="31"/>
        <v>0.65192127076524709</v>
      </c>
      <c r="V118" s="383">
        <f t="shared" si="32"/>
        <v>46.635123994229097</v>
      </c>
      <c r="W118" s="402"/>
      <c r="X118" s="157">
        <f t="shared" si="33"/>
        <v>44300</v>
      </c>
      <c r="Y118" s="385">
        <f t="shared" si="34"/>
        <v>46.462062493355681</v>
      </c>
      <c r="Z118" s="385">
        <f t="shared" si="35"/>
        <v>48.088339263654909</v>
      </c>
      <c r="AA118" s="386">
        <f t="shared" si="36"/>
        <v>54.207670137266341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0.11288680841873251</v>
      </c>
      <c r="AD118" s="231">
        <f>(INDEX(Models!$BJ118:$BT118,,AH118)*(1-AF118)+INDEX(Models!$BJ118:$BT118,,AH118+1)*AF118-ERP_i)*AE118*Ramure*Pc/MaxiM</f>
        <v>1.1908353521921647E-2</v>
      </c>
      <c r="AE118" s="305">
        <f t="shared" si="38"/>
        <v>0.8</v>
      </c>
      <c r="AF118" s="177">
        <f t="shared" si="39"/>
        <v>0.85185484491776831</v>
      </c>
      <c r="AG118" s="809">
        <f t="shared" si="47"/>
        <v>1</v>
      </c>
      <c r="AH118" s="176">
        <f t="shared" si="40"/>
        <v>7</v>
      </c>
      <c r="AI118" s="225">
        <f t="shared" si="41"/>
        <v>1.8518548449177683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6">
        <v>47.861000000000004</v>
      </c>
      <c r="C119" s="390"/>
      <c r="D119" s="393">
        <f t="shared" si="24"/>
        <v>49.537408797139214</v>
      </c>
      <c r="E119" s="385">
        <f t="shared" si="45"/>
        <v>55.847227002611419</v>
      </c>
      <c r="F119" s="385">
        <f t="shared" si="25"/>
        <v>55.982036059106356</v>
      </c>
      <c r="G119" s="110">
        <f t="shared" si="46"/>
        <v>1.0204316896927341</v>
      </c>
      <c r="H119" s="414" t="b">
        <f>Wh_hp&gt;='2020'!Maxi_hp</f>
        <v>1</v>
      </c>
      <c r="I119" s="380">
        <f>IF(H119,Wh_hp,'2020'!Maxi_hp)</f>
        <v>55.982036059106356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3.3841269413268635E-2</v>
      </c>
      <c r="M119" s="843"/>
      <c r="N119" s="843"/>
      <c r="O119" s="48">
        <f>IF(t&lt;Tnet,'2020'!Resal+('2020'!Salim-'2020'!Resal)*(1-EXP(('2020'!Tnet-t)/('2020'!Tau_j))),Resal+(Salim-Resal)*(1-EXP((Tnet-t)/(Tau_j))))*Salcycl</f>
        <v>0.11298355431644178</v>
      </c>
      <c r="P119" s="169">
        <f>(INDEX(Models!$BJ119:$BT119,,T119)*(1-R119)+INDEX(Models!$BJ119:$BT119,,T119+1)*R119-ERP_i)*Q119*Ramure*Pc/MaxiM</f>
        <v>2.4080770544429738E-3</v>
      </c>
      <c r="Q119" s="305">
        <f t="shared" si="27"/>
        <v>0.8</v>
      </c>
      <c r="R119" s="177">
        <f t="shared" si="28"/>
        <v>0.65393057153668488</v>
      </c>
      <c r="S119" s="809">
        <f t="shared" si="29"/>
        <v>0</v>
      </c>
      <c r="T119" s="176">
        <f t="shared" si="30"/>
        <v>6</v>
      </c>
      <c r="U119" s="251">
        <f t="shared" si="31"/>
        <v>0.65393057153668488</v>
      </c>
      <c r="V119" s="383">
        <f t="shared" si="32"/>
        <v>46.902698616123544</v>
      </c>
      <c r="W119" s="402"/>
      <c r="X119" s="157">
        <f t="shared" si="33"/>
        <v>44301</v>
      </c>
      <c r="Y119" s="385">
        <f t="shared" si="34"/>
        <v>47.429446334388714</v>
      </c>
      <c r="Z119" s="385">
        <f t="shared" si="35"/>
        <v>49.090739267641496</v>
      </c>
      <c r="AA119" s="386">
        <f t="shared" si="36"/>
        <v>55.343663025109848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0.11298355431644178</v>
      </c>
      <c r="AD119" s="231">
        <f>(INDEX(Models!$BJ119:$BT119,,AH119)*(1-AF119)+INDEX(Models!$BJ119:$BT119,,AH119+1)*AF119-ERP_i)*AE119*Ramure*Pc/MaxiM</f>
        <v>1.1403176428283373E-2</v>
      </c>
      <c r="AE119" s="305">
        <f t="shared" si="38"/>
        <v>0.8</v>
      </c>
      <c r="AF119" s="177">
        <f t="shared" si="39"/>
        <v>0.85386414568920599</v>
      </c>
      <c r="AG119" s="809">
        <f t="shared" si="47"/>
        <v>1</v>
      </c>
      <c r="AH119" s="176">
        <f t="shared" si="40"/>
        <v>7</v>
      </c>
      <c r="AI119" s="225">
        <f t="shared" si="41"/>
        <v>1.853864145689206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6">
        <v>39.547000000000004</v>
      </c>
      <c r="C120" s="390"/>
      <c r="D120" s="393">
        <f t="shared" si="24"/>
        <v>40.933161053435022</v>
      </c>
      <c r="E120" s="385">
        <f t="shared" si="45"/>
        <v>46.152125261069038</v>
      </c>
      <c r="F120" s="385">
        <f t="shared" si="25"/>
        <v>46.233425319837082</v>
      </c>
      <c r="G120" s="110">
        <f t="shared" si="46"/>
        <v>0.83803572526051251</v>
      </c>
      <c r="H120" s="414" t="b">
        <f>Wh_hp&gt;='2020'!Maxi_hp</f>
        <v>1</v>
      </c>
      <c r="I120" s="380">
        <f>IF(H120,Wh_hp,'2020'!Maxi_hp)</f>
        <v>46.233425319837082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3.386401191018433E-2</v>
      </c>
      <c r="M120" s="843"/>
      <c r="N120" s="843"/>
      <c r="O120" s="48">
        <f>IF(t&lt;Tnet,'2020'!Resal+('2020'!Salim-'2020'!Resal)*(1-EXP(('2020'!Tnet-t)/('2020'!Tau_j))),Resal+(Salim-Resal)*(1-EXP((Tnet-t)/(Tau_j))))*Salcycl</f>
        <v>0.11308177420025335</v>
      </c>
      <c r="P120" s="169">
        <f>(INDEX(Models!$BJ120:$BT120,,T120)*(1-R120)+INDEX(Models!$BJ120:$BT120,,T120+1)*R120-ERP_i)*Q120*Ramure*Pc/MaxiM</f>
        <v>2.2859369084186837E-3</v>
      </c>
      <c r="Q120" s="305">
        <f t="shared" si="27"/>
        <v>0.8</v>
      </c>
      <c r="R120" s="177">
        <f t="shared" si="28"/>
        <v>0.65600856110505568</v>
      </c>
      <c r="S120" s="809">
        <f t="shared" si="29"/>
        <v>0</v>
      </c>
      <c r="T120" s="176">
        <f t="shared" si="30"/>
        <v>6</v>
      </c>
      <c r="U120" s="251">
        <f t="shared" si="31"/>
        <v>0.65600856110505568</v>
      </c>
      <c r="V120" s="383">
        <f t="shared" si="32"/>
        <v>47.165177212566995</v>
      </c>
      <c r="W120" s="402"/>
      <c r="X120" s="157">
        <f t="shared" si="33"/>
        <v>44302</v>
      </c>
      <c r="Y120" s="385">
        <f t="shared" si="34"/>
        <v>39.284321910190371</v>
      </c>
      <c r="Z120" s="385">
        <f t="shared" si="35"/>
        <v>40.661275839502572</v>
      </c>
      <c r="AA120" s="386">
        <f t="shared" si="36"/>
        <v>45.84557477419942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0.11308177420025335</v>
      </c>
      <c r="AD120" s="231">
        <f>(INDEX(Models!$BJ120:$BT120,,AH120)*(1-AF120)+INDEX(Models!$BJ120:$BT120,,AH120+1)*AF120-ERP_i)*AE120*Ramure*Pc/MaxiM</f>
        <v>1.0905304260024781E-2</v>
      </c>
      <c r="AE120" s="305">
        <f t="shared" si="38"/>
        <v>0.8</v>
      </c>
      <c r="AF120" s="177">
        <f t="shared" si="39"/>
        <v>0.8559421352575769</v>
      </c>
      <c r="AG120" s="809">
        <f t="shared" si="47"/>
        <v>1</v>
      </c>
      <c r="AH120" s="176">
        <f t="shared" si="40"/>
        <v>7</v>
      </c>
      <c r="AI120" s="225">
        <f t="shared" si="41"/>
        <v>1.8559421352575769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6">
        <v>41.148000000000003</v>
      </c>
      <c r="C121" s="390"/>
      <c r="D121" s="393">
        <f t="shared" si="24"/>
        <v>42.591280230513917</v>
      </c>
      <c r="E121" s="385">
        <f t="shared" si="45"/>
        <v>48.027053704342414</v>
      </c>
      <c r="F121" s="385">
        <f t="shared" si="25"/>
        <v>48.111509457380997</v>
      </c>
      <c r="G121" s="110">
        <f t="shared" si="46"/>
        <v>0.86733521976639627</v>
      </c>
      <c r="H121" s="414" t="b">
        <f>Wh_hp&gt;='2020'!Maxi_hp</f>
        <v>1</v>
      </c>
      <c r="I121" s="380">
        <f>IF(H121,Wh_hp,'2020'!Maxi_hp)</f>
        <v>48.111509457380997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3.3886753877848827E-2</v>
      </c>
      <c r="M121" s="843"/>
      <c r="N121" s="843"/>
      <c r="O121" s="48">
        <f>IF(t&lt;Tnet,'2020'!Resal+('2020'!Salim-'2020'!Resal)*(1-EXP(('2020'!Tnet-t)/('2020'!Tau_j))),Resal+(Salim-Resal)*(1-EXP((Tnet-t)/(Tau_j))))*Salcycl</f>
        <v>0.11318148948489463</v>
      </c>
      <c r="P121" s="169">
        <f>(INDEX(Models!$BJ121:$BT121,,T121)*(1-R121)+INDEX(Models!$BJ121:$BT121,,T121+1)*R121-ERP_i)*Q121*Ramure*Pc/MaxiM</f>
        <v>2.1645439544319646E-3</v>
      </c>
      <c r="Q121" s="305">
        <f t="shared" si="27"/>
        <v>0.8</v>
      </c>
      <c r="R121" s="177">
        <f t="shared" si="28"/>
        <v>0.65815697694666786</v>
      </c>
      <c r="S121" s="809">
        <f t="shared" si="29"/>
        <v>0</v>
      </c>
      <c r="T121" s="176">
        <f t="shared" si="30"/>
        <v>6</v>
      </c>
      <c r="U121" s="251">
        <f t="shared" si="31"/>
        <v>0.65815697694666786</v>
      </c>
      <c r="V121" s="383">
        <f t="shared" si="32"/>
        <v>47.422420645898974</v>
      </c>
      <c r="W121" s="402"/>
      <c r="X121" s="157">
        <f t="shared" si="33"/>
        <v>44303</v>
      </c>
      <c r="Y121" s="385">
        <f t="shared" si="34"/>
        <v>40.872218632973826</v>
      </c>
      <c r="Z121" s="385">
        <f t="shared" si="35"/>
        <v>42.305825737334025</v>
      </c>
      <c r="AA121" s="386">
        <f t="shared" si="36"/>
        <v>47.705167670396094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0.11318148948489463</v>
      </c>
      <c r="AD121" s="231">
        <f>(INDEX(Models!$BJ121:$BT121,,AH121)*(1-AF121)+INDEX(Models!$BJ121:$BT121,,AH121+1)*AF121-ERP_i)*AE121*Ramure*Pc/MaxiM</f>
        <v>1.0414265775944015E-2</v>
      </c>
      <c r="AE121" s="305">
        <f t="shared" si="38"/>
        <v>0.8</v>
      </c>
      <c r="AF121" s="177">
        <f t="shared" si="39"/>
        <v>0.85809055109918919</v>
      </c>
      <c r="AG121" s="809">
        <f t="shared" si="47"/>
        <v>1</v>
      </c>
      <c r="AH121" s="176">
        <f t="shared" si="40"/>
        <v>7</v>
      </c>
      <c r="AI121" s="225">
        <f t="shared" si="41"/>
        <v>1.8580905510991892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6">
        <v>34.015999999999998</v>
      </c>
      <c r="C122" s="390"/>
      <c r="D122" s="393">
        <f t="shared" si="24"/>
        <v>35.209951691985637</v>
      </c>
      <c r="E122" s="385">
        <f t="shared" si="45"/>
        <v>39.708205164593672</v>
      </c>
      <c r="F122" s="385">
        <f t="shared" si="25"/>
        <v>39.756355268584521</v>
      </c>
      <c r="G122" s="110">
        <f t="shared" si="46"/>
        <v>0.71291439887925656</v>
      </c>
      <c r="H122" s="414" t="b">
        <f>Wh_hp&gt;='2020'!Maxi_hp</f>
        <v>1</v>
      </c>
      <c r="I122" s="380">
        <f>IF(H122,Wh_hp,'2020'!Maxi_hp)</f>
        <v>39.756355268584521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3.390949531627456E-2</v>
      </c>
      <c r="M122" s="843"/>
      <c r="N122" s="843"/>
      <c r="O122" s="48">
        <f>IF(t&lt;Tnet,'2020'!Resal+('2020'!Salim-'2020'!Resal)*(1-EXP(('2020'!Tnet-t)/('2020'!Tau_j))),Resal+(Salim-Resal)*(1-EXP((Tnet-t)/(Tau_j))))*Salcycl</f>
        <v>0.11328271962840965</v>
      </c>
      <c r="P122" s="169">
        <f>(INDEX(Models!$BJ122:$BT122,,T122)*(1-R122)+INDEX(Models!$BJ122:$BT122,,T122+1)*R122-ERP_i)*Q122*Ramure*Pc/MaxiM</f>
        <v>2.0502115533565868E-3</v>
      </c>
      <c r="Q122" s="305">
        <f t="shared" si="27"/>
        <v>0.8</v>
      </c>
      <c r="R122" s="177">
        <f t="shared" si="28"/>
        <v>0.66037755333393533</v>
      </c>
      <c r="S122" s="809">
        <f t="shared" si="29"/>
        <v>0</v>
      </c>
      <c r="T122" s="176">
        <f t="shared" si="30"/>
        <v>6</v>
      </c>
      <c r="U122" s="251">
        <f t="shared" si="31"/>
        <v>0.66037755333393533</v>
      </c>
      <c r="V122" s="383">
        <f t="shared" si="32"/>
        <v>47.673918826773537</v>
      </c>
      <c r="W122" s="402"/>
      <c r="X122" s="157">
        <f t="shared" si="33"/>
        <v>44304</v>
      </c>
      <c r="Y122" s="385">
        <f t="shared" si="34"/>
        <v>33.857184848388961</v>
      </c>
      <c r="Z122" s="385">
        <f t="shared" si="35"/>
        <v>35.045562174811955</v>
      </c>
      <c r="AA122" s="386">
        <f t="shared" si="36"/>
        <v>39.52281403620065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0.11328271962840965</v>
      </c>
      <c r="AD122" s="231">
        <f>(INDEX(Models!$BJ122:$BT122,,AH122)*(1-AF122)+INDEX(Models!$BJ122:$BT122,,AH122+1)*AF122-ERP_i)*AE122*Ramure*Pc/MaxiM</f>
        <v>9.9440892777611974E-3</v>
      </c>
      <c r="AE122" s="305">
        <f t="shared" si="38"/>
        <v>0.8</v>
      </c>
      <c r="AF122" s="177">
        <f t="shared" si="39"/>
        <v>0.86031112748645655</v>
      </c>
      <c r="AG122" s="809">
        <f t="shared" si="47"/>
        <v>1</v>
      </c>
      <c r="AH122" s="176">
        <f t="shared" si="40"/>
        <v>7</v>
      </c>
      <c r="AI122" s="225">
        <f t="shared" si="41"/>
        <v>1.8603111274864566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6">
        <v>48.085999999999999</v>
      </c>
      <c r="C123" s="390"/>
      <c r="D123" s="393">
        <f t="shared" si="24"/>
        <v>49.774976252310751</v>
      </c>
      <c r="E123" s="385">
        <f t="shared" si="45"/>
        <v>56.140493127710037</v>
      </c>
      <c r="F123" s="385">
        <f t="shared" si="25"/>
        <v>56.249835170849416</v>
      </c>
      <c r="G123" s="110">
        <f t="shared" si="46"/>
        <v>1.0034720593238584</v>
      </c>
      <c r="H123" s="414" t="b">
        <f>Wh_hp&gt;='2020'!Maxi_hp</f>
        <v>1</v>
      </c>
      <c r="I123" s="380">
        <f>IF(H123,Wh_hp,'2020'!Maxi_hp)</f>
        <v>56.249835170849416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3.3932236225473741E-2</v>
      </c>
      <c r="M123" s="843"/>
      <c r="N123" s="843"/>
      <c r="O123" s="48">
        <f>IF(t&lt;Tnet,'2020'!Resal+('2020'!Salim-'2020'!Resal)*(1-EXP(('2020'!Tnet-t)/('2020'!Tau_j))),Resal+(Salim-Resal)*(1-EXP((Tnet-t)/(Tau_j))))*Salcycl</f>
        <v>0.1133854820426822</v>
      </c>
      <c r="P123" s="169">
        <f>(INDEX(Models!$BJ123:$BT123,,T123)*(1-R123)+INDEX(Models!$BJ123:$BT123,,T123+1)*R123-ERP_i)*Q123*Ramure*Pc/MaxiM</f>
        <v>1.9438642407977585E-3</v>
      </c>
      <c r="Q123" s="305">
        <f t="shared" si="27"/>
        <v>0.8</v>
      </c>
      <c r="R123" s="177">
        <f t="shared" si="28"/>
        <v>0.66267201703549961</v>
      </c>
      <c r="S123" s="809">
        <f t="shared" si="29"/>
        <v>0</v>
      </c>
      <c r="T123" s="176">
        <f t="shared" si="30"/>
        <v>6</v>
      </c>
      <c r="U123" s="251">
        <f t="shared" si="31"/>
        <v>0.66267201703549961</v>
      </c>
      <c r="V123" s="383">
        <f t="shared" si="32"/>
        <v>47.919620235764654</v>
      </c>
      <c r="W123" s="402"/>
      <c r="X123" s="157">
        <f t="shared" si="33"/>
        <v>44305</v>
      </c>
      <c r="Y123" s="385">
        <f t="shared" si="34"/>
        <v>47.721905805910772</v>
      </c>
      <c r="Z123" s="385">
        <f t="shared" si="35"/>
        <v>49.398093586578618</v>
      </c>
      <c r="AA123" s="386">
        <f t="shared" si="36"/>
        <v>55.715412488831674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0.1133854820426822</v>
      </c>
      <c r="AD123" s="231">
        <f>(INDEX(Models!$BJ123:$BT123,,AH123)*(1-AF123)+INDEX(Models!$BJ123:$BT123,,AH123+1)*AF123-ERP_i)*AE123*Ramure*Pc/MaxiM</f>
        <v>9.5008755206929668E-3</v>
      </c>
      <c r="AE123" s="305">
        <f t="shared" si="38"/>
        <v>0.8</v>
      </c>
      <c r="AF123" s="177">
        <f t="shared" si="39"/>
        <v>0.86260559118802083</v>
      </c>
      <c r="AG123" s="809">
        <f t="shared" si="47"/>
        <v>1</v>
      </c>
      <c r="AH123" s="176">
        <f t="shared" si="40"/>
        <v>7</v>
      </c>
      <c r="AI123" s="225">
        <f t="shared" si="41"/>
        <v>1.8626055911880208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6">
        <v>33.015000000000001</v>
      </c>
      <c r="C124" s="390"/>
      <c r="D124" s="393">
        <f t="shared" si="24"/>
        <v>34.175425782941367</v>
      </c>
      <c r="E124" s="385">
        <f t="shared" si="45"/>
        <v>38.550515802929588</v>
      </c>
      <c r="F124" s="385">
        <f t="shared" si="25"/>
        <v>38.589738249879694</v>
      </c>
      <c r="G124" s="110">
        <f t="shared" si="46"/>
        <v>0.68496531816576356</v>
      </c>
      <c r="H124" s="414" t="b">
        <f>Wh_hp&gt;='2020'!Maxi_hp</f>
        <v>0</v>
      </c>
      <c r="I124" s="380">
        <f>IF(H124,Wh_hp,'2020'!Maxi_hp)</f>
        <v>47.97247568092412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3.3954976605458806E-2</v>
      </c>
      <c r="M124" s="843"/>
      <c r="N124" s="843"/>
      <c r="O124" s="48">
        <f>IF(t&lt;Tnet,'2020'!Resal+('2020'!Salim-'2020'!Resal)*(1-EXP(('2020'!Tnet-t)/('2020'!Tau_j))),Resal+(Salim-Resal)*(1-EXP((Tnet-t)/(Tau_j))))*Salcycl</f>
        <v>0.11348979200054544</v>
      </c>
      <c r="P124" s="169">
        <f>(INDEX(Models!$BJ124:$BT124,,T124)*(1-R124)+INDEX(Models!$BJ124:$BT124,,T124+1)*R124-ERP_i)*Q124*Ramure*Pc/MaxiM</f>
        <v>1.8454315853850723E-3</v>
      </c>
      <c r="Q124" s="305">
        <f t="shared" si="27"/>
        <v>0.8</v>
      </c>
      <c r="R124" s="177">
        <f t="shared" si="28"/>
        <v>0.66504208270990262</v>
      </c>
      <c r="S124" s="809">
        <f t="shared" si="29"/>
        <v>0</v>
      </c>
      <c r="T124" s="176">
        <f t="shared" si="30"/>
        <v>6</v>
      </c>
      <c r="U124" s="251">
        <f t="shared" si="31"/>
        <v>0.66504208270990262</v>
      </c>
      <c r="V124" s="383">
        <f t="shared" si="32"/>
        <v>48.159520869467727</v>
      </c>
      <c r="W124" s="402"/>
      <c r="X124" s="157">
        <f t="shared" si="33"/>
        <v>44306</v>
      </c>
      <c r="Y124" s="385">
        <f t="shared" si="34"/>
        <v>32.88324055772906</v>
      </c>
      <c r="Z124" s="385">
        <f t="shared" si="35"/>
        <v>34.039035201674295</v>
      </c>
      <c r="AA124" s="386">
        <f t="shared" si="36"/>
        <v>38.396664690966801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0.11348979200054544</v>
      </c>
      <c r="AD124" s="231">
        <f>(INDEX(Models!$BJ124:$BT124,,AH124)*(1-AF124)+INDEX(Models!$BJ124:$BT124,,AH124+1)*AF124-ERP_i)*AE124*Ramure*Pc/MaxiM</f>
        <v>9.0841870313135512E-3</v>
      </c>
      <c r="AE124" s="305">
        <f t="shared" si="38"/>
        <v>0.8</v>
      </c>
      <c r="AF124" s="177">
        <f t="shared" si="39"/>
        <v>0.86497565686242384</v>
      </c>
      <c r="AG124" s="809">
        <f t="shared" si="47"/>
        <v>1</v>
      </c>
      <c r="AH124" s="176">
        <f t="shared" si="40"/>
        <v>7</v>
      </c>
      <c r="AI124" s="225">
        <f t="shared" si="41"/>
        <v>1.8649756568624238</v>
      </c>
      <c r="AJ124" s="265" t="b">
        <f t="shared" si="42"/>
        <v>1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6">
        <v>51.613</v>
      </c>
      <c r="C125" s="390"/>
      <c r="D125" s="393">
        <f t="shared" si="24"/>
        <v>53.42837414750182</v>
      </c>
      <c r="E125" s="385">
        <f t="shared" si="45"/>
        <v>54.414712594958935</v>
      </c>
      <c r="F125" s="385">
        <f t="shared" si="25"/>
        <v>54.505282357520926</v>
      </c>
      <c r="G125" s="110">
        <f t="shared" si="46"/>
        <v>0.96273494891086542</v>
      </c>
      <c r="H125" s="414" t="b">
        <f>Wh_hp&gt;='2020'!Maxi_hp</f>
        <v>1</v>
      </c>
      <c r="I125" s="380">
        <f>IF(H125,Wh_hp,'2020'!Maxi_hp)</f>
        <v>54.505282357520926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3.3977716456241966E-2</v>
      </c>
      <c r="M125" s="843"/>
      <c r="N125" s="843"/>
      <c r="O125" s="48">
        <f>IF(t&lt;Tnet,'2020'!Resal+('2020'!Salim-'2020'!Resal)*(1-EXP(('2020'!Tnet-t)/('2020'!Tau_j))),Resal+(Salim-Resal)*(1-EXP((Tnet-t)/(Tau_j))))*Salcycl</f>
        <v>1.8126319159287287E-2</v>
      </c>
      <c r="P125" s="169">
        <f>(INDEX(Models!$BJ125:$BT125,,T125)*(1-R125)+INDEX(Models!$BJ125:$BT125,,T125+1)*R125-ERP_i)*Q125*Ramure*Pc/MaxiM</f>
        <v>1.7548657841445687E-3</v>
      </c>
      <c r="Q125" s="305">
        <f t="shared" si="27"/>
        <v>0.8</v>
      </c>
      <c r="R125" s="177">
        <f t="shared" si="28"/>
        <v>0.66748944798847032</v>
      </c>
      <c r="S125" s="809">
        <f t="shared" si="29"/>
        <v>0</v>
      </c>
      <c r="T125" s="176">
        <f t="shared" si="30"/>
        <v>6</v>
      </c>
      <c r="U125" s="251">
        <f t="shared" si="31"/>
        <v>0.66748944798847032</v>
      </c>
      <c r="V125" s="383">
        <f t="shared" si="32"/>
        <v>53.605804910088779</v>
      </c>
      <c r="W125" s="402"/>
      <c r="X125" s="157">
        <f t="shared" si="33"/>
        <v>44307</v>
      </c>
      <c r="Y125" s="385">
        <f t="shared" si="34"/>
        <v>46.287925621849347</v>
      </c>
      <c r="Z125" s="385">
        <f t="shared" si="35"/>
        <v>47.916001949816966</v>
      </c>
      <c r="AA125" s="386">
        <f t="shared" si="36"/>
        <v>54.056596887930894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0.11359566253947675</v>
      </c>
      <c r="AD125" s="231">
        <f>(INDEX(Models!$BJ125:$BT125,,AH125)*(1-AF125)+INDEX(Models!$BJ125:$BT125,,AH125+1)*AF125-ERP_i)*AE125*Ramure*Pc/MaxiM</f>
        <v>8.6936606230750401E-3</v>
      </c>
      <c r="AE125" s="305">
        <f t="shared" si="38"/>
        <v>0.8</v>
      </c>
      <c r="AF125" s="177">
        <f t="shared" si="39"/>
        <v>0.86742302214099154</v>
      </c>
      <c r="AG125" s="809">
        <f t="shared" si="47"/>
        <v>1</v>
      </c>
      <c r="AH125" s="176">
        <f t="shared" si="40"/>
        <v>7</v>
      </c>
      <c r="AI125" s="225">
        <f t="shared" si="41"/>
        <v>1.8674230221409915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6">
        <v>54.535000000000004</v>
      </c>
      <c r="C126" s="390"/>
      <c r="D126" s="393">
        <f t="shared" si="24"/>
        <v>56.454477982090879</v>
      </c>
      <c r="E126" s="385">
        <f t="shared" si="45"/>
        <v>57.511796929167588</v>
      </c>
      <c r="F126" s="385">
        <f t="shared" si="25"/>
        <v>57.608125541806146</v>
      </c>
      <c r="G126" s="110">
        <f t="shared" si="46"/>
        <v>1.0127007972915485</v>
      </c>
      <c r="H126" s="414" t="b">
        <f>Wh_hp&gt;='2020'!Maxi_hp</f>
        <v>1</v>
      </c>
      <c r="I126" s="380">
        <f>IF(H126,Wh_hp,'2020'!Maxi_hp)</f>
        <v>57.608125541806146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3.4000455777835656E-2</v>
      </c>
      <c r="M126" s="843"/>
      <c r="N126" s="843"/>
      <c r="O126" s="48">
        <f>IF(t&lt;Tnet,'2020'!Resal+('2020'!Salim-'2020'!Resal)*(1-EXP(('2020'!Tnet-t)/('2020'!Tau_j))),Resal+(Salim-Resal)*(1-EXP((Tnet-t)/(Tau_j))))*Salcycl</f>
        <v>1.8384383787884782E-2</v>
      </c>
      <c r="P126" s="169">
        <f>(INDEX(Models!$BJ126:$BT126,,T126)*(1-R126)+INDEX(Models!$BJ126:$BT126,,T126+1)*R126-ERP_i)*Q126*Ramure*Pc/MaxiM</f>
        <v>1.6721358616094877E-3</v>
      </c>
      <c r="Q126" s="305">
        <f t="shared" si="27"/>
        <v>0.8</v>
      </c>
      <c r="R126" s="177">
        <f t="shared" si="28"/>
        <v>0.67001578824472929</v>
      </c>
      <c r="S126" s="809">
        <f t="shared" si="29"/>
        <v>0</v>
      </c>
      <c r="T126" s="176">
        <f t="shared" si="30"/>
        <v>6</v>
      </c>
      <c r="U126" s="251">
        <f t="shared" si="31"/>
        <v>0.67001578824472929</v>
      </c>
      <c r="V126" s="383">
        <f t="shared" si="32"/>
        <v>53.85104874594051</v>
      </c>
      <c r="W126" s="402"/>
      <c r="X126" s="157">
        <f t="shared" si="33"/>
        <v>44308</v>
      </c>
      <c r="Y126" s="385">
        <f t="shared" si="34"/>
        <v>48.907956471618839</v>
      </c>
      <c r="Z126" s="385">
        <f t="shared" si="35"/>
        <v>50.629378413423758</v>
      </c>
      <c r="AA126" s="386">
        <f t="shared" si="36"/>
        <v>57.12830870943786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0.11376024326343216</v>
      </c>
      <c r="AD126" s="231">
        <f>(INDEX(Models!$BJ126:$BT126,,AH126)*(1-AF126)+INDEX(Models!$BJ126:$BT126,,AH126+1)*AF126-ERP_i)*AE126*Ramure*Pc/MaxiM</f>
        <v>8.3289783837886804E-3</v>
      </c>
      <c r="AE126" s="305">
        <f t="shared" si="38"/>
        <v>0.8</v>
      </c>
      <c r="AF126" s="177">
        <f t="shared" si="39"/>
        <v>0.86994936239725051</v>
      </c>
      <c r="AG126" s="809">
        <f t="shared" si="47"/>
        <v>1</v>
      </c>
      <c r="AH126" s="176">
        <f t="shared" si="40"/>
        <v>7</v>
      </c>
      <c r="AI126" s="225">
        <f t="shared" si="41"/>
        <v>1.8699493623972505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6">
        <v>54.679000000000002</v>
      </c>
      <c r="C127" s="390"/>
      <c r="D127" s="393">
        <f t="shared" si="24"/>
        <v>56.604878805215378</v>
      </c>
      <c r="E127" s="385">
        <f t="shared" si="45"/>
        <v>57.68018526479387</v>
      </c>
      <c r="F127" s="385">
        <f t="shared" si="25"/>
        <v>57.772460785382194</v>
      </c>
      <c r="G127" s="110">
        <f t="shared" si="46"/>
        <v>1.0108917022748138</v>
      </c>
      <c r="H127" s="414" t="b">
        <f>Wh_hp&gt;='2020'!Maxi_hp</f>
        <v>1</v>
      </c>
      <c r="I127" s="380">
        <f>IF(H127,Wh_hp,'2020'!Maxi_hp)</f>
        <v>57.772460785382194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3.4023194570252088E-2</v>
      </c>
      <c r="M127" s="843"/>
      <c r="N127" s="843"/>
      <c r="O127" s="48">
        <f>IF(t&lt;Tnet,'2020'!Resal+('2020'!Salim-'2020'!Resal)*(1-EXP(('2020'!Tnet-t)/('2020'!Tau_j))),Resal+(Salim-Resal)*(1-EXP((Tnet-t)/(Tau_j))))*Salcycl</f>
        <v>1.8642562513314635E-2</v>
      </c>
      <c r="P127" s="169">
        <f>(INDEX(Models!$BJ127:$BT127,,T127)*(1-R127)+INDEX(Models!$BJ127:$BT127,,T127+1)*R127-ERP_i)*Q127*Ramure*Pc/MaxiM</f>
        <v>1.5972233021389606E-3</v>
      </c>
      <c r="Q127" s="305">
        <f t="shared" si="27"/>
        <v>0.8</v>
      </c>
      <c r="R127" s="177">
        <f t="shared" si="28"/>
        <v>0.67262275104956937</v>
      </c>
      <c r="S127" s="809">
        <f t="shared" si="29"/>
        <v>0</v>
      </c>
      <c r="T127" s="176">
        <f t="shared" si="30"/>
        <v>6</v>
      </c>
      <c r="U127" s="251">
        <f t="shared" si="31"/>
        <v>0.67262275104956937</v>
      </c>
      <c r="V127" s="383">
        <f t="shared" si="32"/>
        <v>54.089869248066456</v>
      </c>
      <c r="W127" s="402"/>
      <c r="X127" s="157">
        <f t="shared" si="33"/>
        <v>44309</v>
      </c>
      <c r="Y127" s="385">
        <f t="shared" si="34"/>
        <v>49.053895632588393</v>
      </c>
      <c r="Z127" s="385">
        <f t="shared" si="35"/>
        <v>50.781649576736044</v>
      </c>
      <c r="AA127" s="386">
        <f t="shared" si="36"/>
        <v>57.310867801125724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0.11392635419597391</v>
      </c>
      <c r="AD127" s="231">
        <f>(INDEX(Models!$BJ127:$BT127,,AH127)*(1-AF127)+INDEX(Models!$BJ127:$BT127,,AH127+1)*AF127-ERP_i)*AE127*Ramure*Pc/MaxiM</f>
        <v>7.9898446072988166E-3</v>
      </c>
      <c r="AE127" s="305">
        <f t="shared" si="38"/>
        <v>0.8</v>
      </c>
      <c r="AF127" s="177">
        <f t="shared" si="39"/>
        <v>0.87255632520209048</v>
      </c>
      <c r="AG127" s="809">
        <f t="shared" si="47"/>
        <v>1</v>
      </c>
      <c r="AH127" s="176">
        <f t="shared" si="40"/>
        <v>7</v>
      </c>
      <c r="AI127" s="225">
        <f t="shared" si="41"/>
        <v>1.8725563252020905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6">
        <v>49.99</v>
      </c>
      <c r="C128" s="390"/>
      <c r="D128" s="393">
        <f t="shared" si="24"/>
        <v>51.75194318156278</v>
      </c>
      <c r="E128" s="385">
        <f t="shared" si="45"/>
        <v>52.7489439272114</v>
      </c>
      <c r="F128" s="385">
        <f t="shared" si="25"/>
        <v>52.820731246679635</v>
      </c>
      <c r="G128" s="110">
        <f t="shared" si="46"/>
        <v>0.92009120765919217</v>
      </c>
      <c r="H128" s="414" t="b">
        <f>Wh_hp&gt;='2020'!Maxi_hp</f>
        <v>1</v>
      </c>
      <c r="I128" s="380">
        <f>IF(H128,Wh_hp,'2020'!Maxi_hp)</f>
        <v>52.820731246679635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3.4045932833503587E-2</v>
      </c>
      <c r="M128" s="843"/>
      <c r="N128" s="843"/>
      <c r="O128" s="48">
        <f>IF(t&lt;Tnet,'2020'!Resal+('2020'!Salim-'2020'!Resal)*(1-EXP(('2020'!Tnet-t)/('2020'!Tau_j))),Resal+(Salim-Resal)*(1-EXP((Tnet-t)/(Tau_j))))*Salcycl</f>
        <v>1.8900866470888757E-2</v>
      </c>
      <c r="P128" s="169">
        <f>(INDEX(Models!$BJ128:$BT128,,T128)*(1-R128)+INDEX(Models!$BJ128:$BT128,,T128+1)*R128-ERP_i)*Q128*Ramure*Pc/MaxiM</f>
        <v>1.5338151821629102E-3</v>
      </c>
      <c r="Q128" s="305">
        <f t="shared" si="27"/>
        <v>0.8</v>
      </c>
      <c r="R128" s="177">
        <f t="shared" si="28"/>
        <v>0.67531195031346714</v>
      </c>
      <c r="S128" s="809">
        <f t="shared" si="29"/>
        <v>0</v>
      </c>
      <c r="T128" s="176">
        <f t="shared" si="30"/>
        <v>6</v>
      </c>
      <c r="U128" s="251">
        <f t="shared" si="31"/>
        <v>0.67531195031346714</v>
      </c>
      <c r="V128" s="383">
        <f t="shared" si="32"/>
        <v>54.322063311961749</v>
      </c>
      <c r="W128" s="402"/>
      <c r="X128" s="157">
        <f t="shared" si="33"/>
        <v>44310</v>
      </c>
      <c r="Y128" s="385">
        <f t="shared" si="34"/>
        <v>44.89330213750884</v>
      </c>
      <c r="Z128" s="385">
        <f t="shared" si="35"/>
        <v>46.47560755057188</v>
      </c>
      <c r="AA128" s="386">
        <f t="shared" si="36"/>
        <v>52.461105054446016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0.11409400350339879</v>
      </c>
      <c r="AD128" s="231">
        <f>(INDEX(Models!$BJ128:$BT128,,AH128)*(1-AF128)+INDEX(Models!$BJ128:$BT128,,AH128+1)*AF128-ERP_i)*AE128*Ramure*Pc/MaxiM</f>
        <v>7.6838098655486005E-3</v>
      </c>
      <c r="AE128" s="305">
        <f t="shared" si="38"/>
        <v>0.8</v>
      </c>
      <c r="AF128" s="177">
        <f t="shared" si="39"/>
        <v>0.87524552446598847</v>
      </c>
      <c r="AG128" s="809">
        <f t="shared" si="47"/>
        <v>1</v>
      </c>
      <c r="AH128" s="176">
        <f t="shared" si="40"/>
        <v>7</v>
      </c>
      <c r="AI128" s="225">
        <f t="shared" si="41"/>
        <v>1.8752455244659885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6">
        <v>27.757000000000001</v>
      </c>
      <c r="C129" s="390"/>
      <c r="D129" s="393">
        <f t="shared" si="24"/>
        <v>28.735997222815644</v>
      </c>
      <c r="E129" s="385">
        <f t="shared" si="45"/>
        <v>29.297313425932195</v>
      </c>
      <c r="F129" s="385">
        <f t="shared" si="25"/>
        <v>29.310262402069323</v>
      </c>
      <c r="G129" s="110">
        <f t="shared" si="46"/>
        <v>0.50832856495870293</v>
      </c>
      <c r="H129" s="414" t="b">
        <f>Wh_hp&gt;='2020'!Maxi_hp</f>
        <v>0</v>
      </c>
      <c r="I129" s="380">
        <f>IF(H129,Wh_hp,'2020'!Maxi_hp)</f>
        <v>55.359840587650929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3.4068670567602363E-2</v>
      </c>
      <c r="M129" s="843"/>
      <c r="N129" s="843"/>
      <c r="O129" s="48">
        <f>IF(t&lt;Tnet,'2020'!Resal+('2020'!Salim-'2020'!Resal)*(1-EXP(('2020'!Tnet-t)/('2020'!Tau_j))),Resal+(Salim-Resal)*(1-EXP((Tnet-t)/(Tau_j))))*Salcycl</f>
        <v>1.9159306348537315E-2</v>
      </c>
      <c r="P129" s="169">
        <f>(INDEX(Models!$BJ129:$BT129,,T129)*(1-R129)+INDEX(Models!$BJ129:$BT129,,T129+1)*R129-ERP_i)*Q129*Ramure*Pc/MaxiM</f>
        <v>1.480688804094557E-3</v>
      </c>
      <c r="Q129" s="305">
        <f t="shared" si="27"/>
        <v>0.8</v>
      </c>
      <c r="R129" s="177">
        <f t="shared" si="28"/>
        <v>0.67808496011942609</v>
      </c>
      <c r="S129" s="809">
        <f t="shared" si="29"/>
        <v>0</v>
      </c>
      <c r="T129" s="176">
        <f t="shared" si="30"/>
        <v>6</v>
      </c>
      <c r="U129" s="251">
        <f t="shared" si="31"/>
        <v>0.67808496011942609</v>
      </c>
      <c r="V129" s="383">
        <f t="shared" si="32"/>
        <v>54.547693062077627</v>
      </c>
      <c r="W129" s="402"/>
      <c r="X129" s="157">
        <f t="shared" si="33"/>
        <v>44311</v>
      </c>
      <c r="Y129" s="385">
        <f t="shared" si="34"/>
        <v>25.021340183290626</v>
      </c>
      <c r="Z129" s="385">
        <f t="shared" si="35"/>
        <v>25.903849912388399</v>
      </c>
      <c r="AA129" s="386">
        <f t="shared" si="36"/>
        <v>29.245538647262038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0.11426319669398491</v>
      </c>
      <c r="AD129" s="231">
        <f>(INDEX(Models!$BJ129:$BT129,,AH129)*(1-AF129)+INDEX(Models!$BJ129:$BT129,,AH129+1)*AF129-ERP_i)*AE129*Ramure*Pc/MaxiM</f>
        <v>7.4010283197088102E-3</v>
      </c>
      <c r="AE129" s="305">
        <f t="shared" si="38"/>
        <v>0.8</v>
      </c>
      <c r="AF129" s="177">
        <f t="shared" si="39"/>
        <v>0.87801853427194732</v>
      </c>
      <c r="AG129" s="809">
        <f t="shared" si="47"/>
        <v>1</v>
      </c>
      <c r="AH129" s="176">
        <f t="shared" si="40"/>
        <v>7</v>
      </c>
      <c r="AI129" s="225">
        <f t="shared" si="41"/>
        <v>1.8780185342719473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6">
        <v>7.6459999999999999</v>
      </c>
      <c r="C130" s="390"/>
      <c r="D130" s="393">
        <f t="shared" si="24"/>
        <v>7.9158629103483769</v>
      </c>
      <c r="E130" s="385">
        <f t="shared" si="45"/>
        <v>8.0726161006966883</v>
      </c>
      <c r="F130" s="385">
        <f t="shared" si="25"/>
        <v>8.0726161006966883</v>
      </c>
      <c r="G130" s="110">
        <f t="shared" si="46"/>
        <v>0.13940950553835421</v>
      </c>
      <c r="H130" s="414" t="b">
        <f>Wh_hp&gt;='2020'!Maxi_hp</f>
        <v>0</v>
      </c>
      <c r="I130" s="380">
        <f>IF(H130,Wh_hp,'2020'!Maxi_hp)</f>
        <v>44.879309576129749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3.4091407772560964E-2</v>
      </c>
      <c r="M130" s="843"/>
      <c r="N130" s="843"/>
      <c r="O130" s="48">
        <f>IF(t&lt;Tnet,'2020'!Resal+('2020'!Salim-'2020'!Resal)*(1-EXP(('2020'!Tnet-t)/('2020'!Tau_j))),Resal+(Salim-Resal)*(1-EXP((Tnet-t)/(Tau_j))))*Salcycl</f>
        <v>1.9417892340350917E-2</v>
      </c>
      <c r="P130" s="169">
        <f>(INDEX(Models!$BJ130:$BT130,,T130)*(1-R130)+INDEX(Models!$BJ130:$BT130,,T130+1)*R130-ERP_i)*Q130*Ramure*Pc/MaxiM</f>
        <v>1.4379212652657163E-3</v>
      </c>
      <c r="Q130" s="305">
        <f t="shared" si="27"/>
        <v>0.8</v>
      </c>
      <c r="R130" s="177">
        <f t="shared" si="28"/>
        <v>0.68094330825285687</v>
      </c>
      <c r="S130" s="809">
        <f t="shared" si="29"/>
        <v>0</v>
      </c>
      <c r="T130" s="176">
        <f t="shared" si="30"/>
        <v>6</v>
      </c>
      <c r="U130" s="251">
        <f t="shared" si="31"/>
        <v>0.68094330825285687</v>
      </c>
      <c r="V130" s="383">
        <f t="shared" si="32"/>
        <v>54.766750836120288</v>
      </c>
      <c r="W130" s="402"/>
      <c r="X130" s="157">
        <f t="shared" si="33"/>
        <v>44312</v>
      </c>
      <c r="Y130" s="385">
        <f t="shared" si="34"/>
        <v>6.9051210180333742</v>
      </c>
      <c r="Z130" s="385">
        <f t="shared" si="35"/>
        <v>7.1488348624270754</v>
      </c>
      <c r="AA130" s="386">
        <f t="shared" si="36"/>
        <v>8.0726161006966883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0.114433936501686</v>
      </c>
      <c r="AD130" s="231">
        <f>(INDEX(Models!$BJ130:$BT130,,AH130)*(1-AF130)+INDEX(Models!$BJ130:$BT130,,AH130+1)*AF130-ERP_i)*AE130*Ramure*Pc/MaxiM</f>
        <v>7.1412964902288377E-3</v>
      </c>
      <c r="AE130" s="305">
        <f t="shared" si="38"/>
        <v>0.8</v>
      </c>
      <c r="AF130" s="177">
        <f t="shared" si="39"/>
        <v>0.88087688240537809</v>
      </c>
      <c r="AG130" s="809">
        <f t="shared" si="47"/>
        <v>1</v>
      </c>
      <c r="AH130" s="176">
        <f t="shared" si="40"/>
        <v>7</v>
      </c>
      <c r="AI130" s="225">
        <f t="shared" si="41"/>
        <v>1.8808768824053781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6">
        <v>19.516999999999999</v>
      </c>
      <c r="C131" s="390"/>
      <c r="D131" s="393">
        <f t="shared" si="24"/>
        <v>20.20632136584506</v>
      </c>
      <c r="E131" s="385">
        <f t="shared" si="45"/>
        <v>20.611894063413654</v>
      </c>
      <c r="F131" s="385">
        <f t="shared" si="25"/>
        <v>20.614170243334971</v>
      </c>
      <c r="G131" s="110">
        <f t="shared" si="46"/>
        <v>0.35452878466560395</v>
      </c>
      <c r="H131" s="414" t="b">
        <f>Wh_hp&gt;='2020'!Maxi_hp</f>
        <v>0</v>
      </c>
      <c r="I131" s="380">
        <f>IF(H131,Wh_hp,'2020'!Maxi_hp)</f>
        <v>31.030789783278504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3.4114144448391601E-2</v>
      </c>
      <c r="M131" s="843"/>
      <c r="N131" s="843"/>
      <c r="O131" s="48">
        <f>IF(t&lt;Tnet,'2020'!Resal+('2020'!Salim-'2020'!Resal)*(1-EXP(('2020'!Tnet-t)/('2020'!Tau_j))),Resal+(Salim-Resal)*(1-EXP((Tnet-t)/(Tau_j))))*Salcycl</f>
        <v>1.9676634098779438E-2</v>
      </c>
      <c r="P131" s="169">
        <f>(INDEX(Models!$BJ131:$BT131,,T131)*(1-R131)+INDEX(Models!$BJ131:$BT131,,T131+1)*R131-ERP_i)*Q131*Ramure*Pc/MaxiM</f>
        <v>1.4056137202084096E-3</v>
      </c>
      <c r="Q131" s="305">
        <f t="shared" si="27"/>
        <v>0.8</v>
      </c>
      <c r="R131" s="177">
        <f t="shared" si="28"/>
        <v>0.68388846943741888</v>
      </c>
      <c r="S131" s="809">
        <f t="shared" si="29"/>
        <v>0</v>
      </c>
      <c r="T131" s="176">
        <f t="shared" si="30"/>
        <v>6</v>
      </c>
      <c r="U131" s="251">
        <f t="shared" si="31"/>
        <v>0.68388846943741888</v>
      </c>
      <c r="V131" s="383">
        <f t="shared" si="32"/>
        <v>54.979227980742117</v>
      </c>
      <c r="W131" s="402"/>
      <c r="X131" s="157">
        <f t="shared" si="33"/>
        <v>44313</v>
      </c>
      <c r="Y131" s="385">
        <f t="shared" si="34"/>
        <v>17.619456724617354</v>
      </c>
      <c r="Z131" s="385">
        <f t="shared" si="35"/>
        <v>18.241758716463497</v>
      </c>
      <c r="AA131" s="386">
        <f t="shared" si="36"/>
        <v>20.602989523490265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0.11460622276852775</v>
      </c>
      <c r="AD131" s="231">
        <f>(INDEX(Models!$BJ131:$BT131,,AH131)*(1-AF131)+INDEX(Models!$BJ131:$BT131,,AH131+1)*AF131-ERP_i)*AE131*Ramure*Pc/MaxiM</f>
        <v>6.9044512115848727E-3</v>
      </c>
      <c r="AE131" s="305">
        <f t="shared" si="38"/>
        <v>0.8</v>
      </c>
      <c r="AF131" s="177">
        <f t="shared" si="39"/>
        <v>0.88382204358993999</v>
      </c>
      <c r="AG131" s="809">
        <f t="shared" si="47"/>
        <v>1</v>
      </c>
      <c r="AH131" s="176">
        <f t="shared" si="40"/>
        <v>7</v>
      </c>
      <c r="AI131" s="225">
        <f t="shared" si="41"/>
        <v>1.88382204358994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6">
        <v>18.054000000000002</v>
      </c>
      <c r="C132" s="390"/>
      <c r="D132" s="393">
        <f t="shared" si="24"/>
        <v>18.692089631834982</v>
      </c>
      <c r="E132" s="385">
        <f t="shared" si="45"/>
        <v>19.072306371472116</v>
      </c>
      <c r="F132" s="385">
        <f t="shared" si="25"/>
        <v>19.073330266313324</v>
      </c>
      <c r="G132" s="110">
        <f t="shared" si="46"/>
        <v>0.32671823127433675</v>
      </c>
      <c r="H132" s="414" t="b">
        <f>Wh_hp&gt;='2020'!Maxi_hp</f>
        <v>0</v>
      </c>
      <c r="I132" s="380">
        <f>IF(H132,Wh_hp,'2020'!Maxi_hp)</f>
        <v>43.833448045184817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3.4136880595106597E-2</v>
      </c>
      <c r="M132" s="843"/>
      <c r="N132" s="843"/>
      <c r="O132" s="48">
        <f>IF(t&lt;Tnet,'2020'!Resal+('2020'!Salim-'2020'!Resal)*(1-EXP(('2020'!Tnet-t)/('2020'!Tau_j))),Resal+(Salim-Resal)*(1-EXP((Tnet-t)/(Tau_j))))*Salcycl</f>
        <v>1.9935540685622342E-2</v>
      </c>
      <c r="P132" s="169">
        <f>(INDEX(Models!$BJ132:$BT132,,T132)*(1-R132)+INDEX(Models!$BJ132:$BT132,,T132+1)*R132-ERP_i)*Q132*Ramure*Pc/MaxiM</f>
        <v>1.3838915349311588E-3</v>
      </c>
      <c r="Q132" s="305">
        <f t="shared" si="27"/>
        <v>0.8</v>
      </c>
      <c r="R132" s="177">
        <f t="shared" si="28"/>
        <v>0.68692185828887165</v>
      </c>
      <c r="S132" s="809">
        <f t="shared" si="29"/>
        <v>0</v>
      </c>
      <c r="T132" s="176">
        <f t="shared" si="30"/>
        <v>6</v>
      </c>
      <c r="U132" s="251">
        <f t="shared" si="31"/>
        <v>0.68692185828887165</v>
      </c>
      <c r="V132" s="383">
        <f t="shared" si="32"/>
        <v>55.185114824370736</v>
      </c>
      <c r="W132" s="402"/>
      <c r="X132" s="157">
        <f t="shared" si="33"/>
        <v>44314</v>
      </c>
      <c r="Y132" s="385">
        <f t="shared" si="34"/>
        <v>16.303489934763789</v>
      </c>
      <c r="Z132" s="385">
        <f t="shared" si="35"/>
        <v>16.8797105999958</v>
      </c>
      <c r="AA132" s="386">
        <f t="shared" si="36"/>
        <v>19.068380287134875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0.11478005232650693</v>
      </c>
      <c r="AD132" s="231">
        <f>(INDEX(Models!$BJ132:$BT132,,AH132)*(1-AF132)+INDEX(Models!$BJ132:$BT132,,AH132+1)*AF132-ERP_i)*AE132*Ramure*Pc/MaxiM</f>
        <v>6.6903689787802438E-3</v>
      </c>
      <c r="AE132" s="305">
        <f t="shared" si="38"/>
        <v>0.8</v>
      </c>
      <c r="AF132" s="177">
        <f t="shared" si="39"/>
        <v>0.88685543244139287</v>
      </c>
      <c r="AG132" s="809">
        <f t="shared" si="47"/>
        <v>1</v>
      </c>
      <c r="AH132" s="176">
        <f t="shared" si="40"/>
        <v>7</v>
      </c>
      <c r="AI132" s="225">
        <f t="shared" si="41"/>
        <v>1.8868554324413929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6">
        <v>26.696999999999999</v>
      </c>
      <c r="C133" s="390"/>
      <c r="D133" s="393">
        <f t="shared" si="24"/>
        <v>27.641213235788438</v>
      </c>
      <c r="E133" s="385">
        <f t="shared" si="45"/>
        <v>28.210922102217783</v>
      </c>
      <c r="F133" s="385">
        <f t="shared" si="25"/>
        <v>28.22099745052823</v>
      </c>
      <c r="G133" s="110">
        <f t="shared" si="46"/>
        <v>0.48154117086834752</v>
      </c>
      <c r="H133" s="414" t="b">
        <f>Wh_hp&gt;='2020'!Maxi_hp</f>
        <v>0</v>
      </c>
      <c r="I133" s="380">
        <f>IF(H133,Wh_hp,'2020'!Maxi_hp)</f>
        <v>53.521315436728898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3.4159616212718166E-2</v>
      </c>
      <c r="M133" s="843"/>
      <c r="N133" s="843"/>
      <c r="O133" s="48">
        <f>IF(t&lt;Tnet,'2020'!Resal+('2020'!Salim-'2020'!Resal)*(1-EXP(('2020'!Tnet-t)/('2020'!Tau_j))),Resal+(Salim-Resal)*(1-EXP((Tnet-t)/(Tau_j))))*Salcycl</f>
        <v>2.0194620521977083E-2</v>
      </c>
      <c r="P133" s="169">
        <f>(INDEX(Models!$BJ133:$BT133,,T133)*(1-R133)+INDEX(Models!$BJ133:$BT133,,T133+1)*R133-ERP_i)*Q133*Ramure*Pc/MaxiM</f>
        <v>1.3729044406706476E-3</v>
      </c>
      <c r="Q133" s="305">
        <f t="shared" si="27"/>
        <v>0.8</v>
      </c>
      <c r="R133" s="177">
        <f t="shared" si="28"/>
        <v>0.69004482200223016</v>
      </c>
      <c r="S133" s="809">
        <f t="shared" si="29"/>
        <v>0</v>
      </c>
      <c r="T133" s="176">
        <f t="shared" si="30"/>
        <v>6</v>
      </c>
      <c r="U133" s="251">
        <f t="shared" si="31"/>
        <v>0.69004482200223016</v>
      </c>
      <c r="V133" s="383">
        <f t="shared" si="32"/>
        <v>55.384400658208932</v>
      </c>
      <c r="W133" s="402"/>
      <c r="X133" s="157">
        <f t="shared" si="33"/>
        <v>44315</v>
      </c>
      <c r="Y133" s="385">
        <f t="shared" si="34"/>
        <v>24.082872153696261</v>
      </c>
      <c r="Z133" s="385">
        <f t="shared" si="35"/>
        <v>24.934629528806603</v>
      </c>
      <c r="AA133" s="386">
        <f t="shared" si="36"/>
        <v>28.1733034252916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0.11495541887990278</v>
      </c>
      <c r="AD133" s="231">
        <f>(INDEX(Models!$BJ133:$BT133,,AH133)*(1-AF133)+INDEX(Models!$BJ133:$BT133,,AH133+1)*AF133-ERP_i)*AE133*Ramure*Pc/MaxiM</f>
        <v>6.4989652985924544E-3</v>
      </c>
      <c r="AE133" s="305">
        <f t="shared" si="38"/>
        <v>0.8</v>
      </c>
      <c r="AF133" s="177">
        <f t="shared" si="39"/>
        <v>0.88997839615475138</v>
      </c>
      <c r="AG133" s="809">
        <f t="shared" si="47"/>
        <v>1</v>
      </c>
      <c r="AH133" s="176">
        <f t="shared" si="40"/>
        <v>7</v>
      </c>
      <c r="AI133" s="225">
        <f t="shared" si="41"/>
        <v>1.8899783961547514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6">
        <v>16.596</v>
      </c>
      <c r="C134" s="390"/>
      <c r="D134" s="393">
        <f t="shared" si="24"/>
        <v>17.183367918736693</v>
      </c>
      <c r="E134" s="385">
        <f t="shared" si="45"/>
        <v>17.54217345294229</v>
      </c>
      <c r="F134" s="385">
        <f t="shared" si="25"/>
        <v>17.54217345294229</v>
      </c>
      <c r="G134" s="110">
        <f t="shared" si="46"/>
        <v>0.29820239642379864</v>
      </c>
      <c r="H134" s="414" t="b">
        <f>Wh_hp&gt;='2020'!Maxi_hp</f>
        <v>0</v>
      </c>
      <c r="I134" s="380">
        <f>IF(H134,Wh_hp,'2020'!Maxi_hp)</f>
        <v>59.130369018521904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3.4182351301238742E-2</v>
      </c>
      <c r="M134" s="843"/>
      <c r="N134" s="843"/>
      <c r="O134" s="48">
        <f>IF(t&lt;Tnet,'2020'!Resal+('2020'!Salim-'2020'!Resal)*(1-EXP(('2020'!Tnet-t)/('2020'!Tau_j))),Resal+(Salim-Resal)*(1-EXP((Tnet-t)/(Tau_j))))*Salcycl</f>
        <v>2.0453881337344552E-2</v>
      </c>
      <c r="P134" s="169">
        <f>(INDEX(Models!$BJ134:$BT134,,T134)*(1-R134)+INDEX(Models!$BJ134:$BT134,,T134+1)*R134-ERP_i)*Q134*Ramure*Pc/MaxiM</f>
        <v>1.3728266819883958E-3</v>
      </c>
      <c r="Q134" s="305">
        <f t="shared" si="27"/>
        <v>0.8</v>
      </c>
      <c r="R134" s="177">
        <f t="shared" si="28"/>
        <v>0.69325863279096511</v>
      </c>
      <c r="S134" s="809">
        <f t="shared" si="29"/>
        <v>0</v>
      </c>
      <c r="T134" s="176">
        <f t="shared" si="30"/>
        <v>6</v>
      </c>
      <c r="U134" s="251">
        <f t="shared" si="31"/>
        <v>0.69325863279096511</v>
      </c>
      <c r="V134" s="383">
        <f t="shared" si="32"/>
        <v>55.577073716175747</v>
      </c>
      <c r="W134" s="402"/>
      <c r="X134" s="157">
        <f t="shared" si="33"/>
        <v>44316</v>
      </c>
      <c r="Y134" s="385">
        <f t="shared" si="34"/>
        <v>14.991906818377551</v>
      </c>
      <c r="Z134" s="385">
        <f t="shared" si="35"/>
        <v>15.52250245020479</v>
      </c>
      <c r="AA134" s="386">
        <f t="shared" si="36"/>
        <v>17.54217345294229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0.11513231288901356</v>
      </c>
      <c r="AD134" s="231">
        <f>(INDEX(Models!$BJ134:$BT134,,AH134)*(1-AF134)+INDEX(Models!$BJ134:$BT134,,AH134+1)*AF134-ERP_i)*AE134*Ramure*Pc/MaxiM</f>
        <v>6.3301940404393679E-3</v>
      </c>
      <c r="AE134" s="305">
        <f t="shared" si="38"/>
        <v>0.8</v>
      </c>
      <c r="AF134" s="177">
        <f t="shared" si="39"/>
        <v>0.89319220694348633</v>
      </c>
      <c r="AG134" s="809">
        <f t="shared" si="47"/>
        <v>1</v>
      </c>
      <c r="AH134" s="176">
        <f t="shared" si="40"/>
        <v>7</v>
      </c>
      <c r="AI134" s="225">
        <f t="shared" si="41"/>
        <v>1.8931922069434863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6">
        <v>19.331</v>
      </c>
      <c r="C135" s="390"/>
      <c r="D135" s="393">
        <f t="shared" si="24"/>
        <v>20.015636567342113</v>
      </c>
      <c r="E135" s="385">
        <f t="shared" si="45"/>
        <v>20.438996243823517</v>
      </c>
      <c r="F135" s="385">
        <f t="shared" si="25"/>
        <v>20.440881775402609</v>
      </c>
      <c r="G135" s="110">
        <f t="shared" si="46"/>
        <v>0.34621218671496756</v>
      </c>
      <c r="H135" s="414" t="b">
        <f>Wh_hp&gt;='2020'!Maxi_hp</f>
        <v>0</v>
      </c>
      <c r="I135" s="380">
        <f>IF(H135,Wh_hp,'2020'!Maxi_hp)</f>
        <v>53.619994148118579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3.4205085860680537E-2</v>
      </c>
      <c r="M135" s="843"/>
      <c r="N135" s="843"/>
      <c r="O135" s="48">
        <f>IF(t&lt;Tnet,'2020'!Resal+('2020'!Salim-'2020'!Resal)*(1-EXP(('2020'!Tnet-t)/('2020'!Tau_j))),Resal+(Salim-Resal)*(1-EXP((Tnet-t)/(Tau_j))))*Salcycl</f>
        <v>2.0713330118123471E-2</v>
      </c>
      <c r="P135" s="169">
        <f>(INDEX(Models!$BJ135:$BT135,,T135)*(1-R135)+INDEX(Models!$BJ135:$BT135,,T135+1)*R135-ERP_i)*Q135*Ramure*Pc/MaxiM</f>
        <v>1.3838458714948831E-3</v>
      </c>
      <c r="Q135" s="305">
        <f t="shared" si="27"/>
        <v>0.8</v>
      </c>
      <c r="R135" s="177">
        <f t="shared" si="28"/>
        <v>0.6965644801006371</v>
      </c>
      <c r="S135" s="809">
        <f t="shared" si="29"/>
        <v>0</v>
      </c>
      <c r="T135" s="176">
        <f t="shared" si="30"/>
        <v>6</v>
      </c>
      <c r="U135" s="251">
        <f t="shared" si="31"/>
        <v>0.6965644801006371</v>
      </c>
      <c r="V135" s="383">
        <f t="shared" si="32"/>
        <v>55.763576400589088</v>
      </c>
      <c r="W135" s="402"/>
      <c r="X135" s="157">
        <f t="shared" si="33"/>
        <v>44317</v>
      </c>
      <c r="Y135" s="385">
        <f t="shared" si="34"/>
        <v>17.458070716784292</v>
      </c>
      <c r="Z135" s="385">
        <f t="shared" si="35"/>
        <v>18.076374664223898</v>
      </c>
      <c r="AA135" s="386">
        <f t="shared" si="36"/>
        <v>20.432455894551115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0.11531072145642231</v>
      </c>
      <c r="AD135" s="231">
        <f>(INDEX(Models!$BJ135:$BT135,,AH135)*(1-AF135)+INDEX(Models!$BJ135:$BT135,,AH135+1)*AF135-ERP_i)*AE135*Ramure*Pc/MaxiM</f>
        <v>6.1839963643921525E-3</v>
      </c>
      <c r="AE135" s="305">
        <f t="shared" si="38"/>
        <v>0.8</v>
      </c>
      <c r="AF135" s="177">
        <f t="shared" si="39"/>
        <v>0.89649805425315821</v>
      </c>
      <c r="AG135" s="809">
        <f t="shared" si="47"/>
        <v>1</v>
      </c>
      <c r="AH135" s="176">
        <f t="shared" si="40"/>
        <v>7</v>
      </c>
      <c r="AI135" s="225">
        <f t="shared" si="41"/>
        <v>1.8964980542531582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6">
        <v>46.535000000000004</v>
      </c>
      <c r="C136" s="390"/>
      <c r="D136" s="393">
        <f t="shared" si="24"/>
        <v>48.184241541054348</v>
      </c>
      <c r="E136" s="385">
        <f t="shared" si="45"/>
        <v>49.21645696692142</v>
      </c>
      <c r="F136" s="385">
        <f t="shared" si="25"/>
        <v>49.269090767711724</v>
      </c>
      <c r="G136" s="110">
        <f t="shared" si="46"/>
        <v>0.83152948562478113</v>
      </c>
      <c r="H136" s="414" t="b">
        <f>Wh_hp&gt;='2020'!Maxi_hp</f>
        <v>1</v>
      </c>
      <c r="I136" s="380">
        <f>IF(H136,Wh_hp,'2020'!Maxi_hp)</f>
        <v>49.269090767711724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3.4227819891055986E-2</v>
      </c>
      <c r="M136" s="843"/>
      <c r="N136" s="843"/>
      <c r="O136" s="48">
        <f>IF(t&lt;Tnet,'2020'!Resal+('2020'!Salim-'2020'!Resal)*(1-EXP(('2020'!Tnet-t)/('2020'!Tau_j))),Resal+(Salim-Resal)*(1-EXP((Tnet-t)/(Tau_j))))*Salcycl</f>
        <v>2.0972973055757044E-2</v>
      </c>
      <c r="P136" s="169">
        <f>(INDEX(Models!$BJ136:$BT136,,T136)*(1-R136)+INDEX(Models!$BJ136:$BT136,,T136+1)*R136-ERP_i)*Q136*Ramure*Pc/MaxiM</f>
        <v>1.4061480768806475E-3</v>
      </c>
      <c r="Q136" s="305">
        <f t="shared" si="27"/>
        <v>0.8</v>
      </c>
      <c r="R136" s="177">
        <f t="shared" si="28"/>
        <v>0.69996346262315923</v>
      </c>
      <c r="S136" s="809">
        <f t="shared" si="29"/>
        <v>0</v>
      </c>
      <c r="T136" s="176">
        <f t="shared" si="30"/>
        <v>6</v>
      </c>
      <c r="U136" s="251">
        <f t="shared" si="31"/>
        <v>0.69996346262315923</v>
      </c>
      <c r="V136" s="383">
        <f t="shared" si="32"/>
        <v>55.944211097469051</v>
      </c>
      <c r="W136" s="402"/>
      <c r="X136" s="157">
        <f t="shared" si="33"/>
        <v>44318</v>
      </c>
      <c r="Y136" s="385">
        <f t="shared" si="34"/>
        <v>41.89327185272721</v>
      </c>
      <c r="Z136" s="385">
        <f t="shared" si="35"/>
        <v>43.378006444544134</v>
      </c>
      <c r="AA136" s="386">
        <f t="shared" si="36"/>
        <v>49.041884493661783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0.1154906282169816</v>
      </c>
      <c r="AD136" s="231">
        <f>(INDEX(Models!$BJ136:$BT136,,AH136)*(1-AF136)+INDEX(Models!$BJ136:$BT136,,AH136+1)*AF136-ERP_i)*AE136*Ramure*Pc/MaxiM</f>
        <v>6.0699713969623063E-3</v>
      </c>
      <c r="AE136" s="305">
        <f t="shared" si="38"/>
        <v>0.8</v>
      </c>
      <c r="AF136" s="177">
        <f t="shared" si="39"/>
        <v>0.89989703677568045</v>
      </c>
      <c r="AG136" s="809">
        <f t="shared" si="47"/>
        <v>1</v>
      </c>
      <c r="AH136" s="176">
        <f t="shared" si="40"/>
        <v>7</v>
      </c>
      <c r="AI136" s="225">
        <f t="shared" si="41"/>
        <v>1.8998970367756804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6">
        <v>54.785000000000004</v>
      </c>
      <c r="C137" s="390"/>
      <c r="D137" s="393">
        <f t="shared" si="24"/>
        <v>56.727964165491017</v>
      </c>
      <c r="E137" s="385">
        <f t="shared" si="45"/>
        <v>57.958588174541745</v>
      </c>
      <c r="F137" s="385">
        <f t="shared" si="25"/>
        <v>58.038935188367326</v>
      </c>
      <c r="G137" s="110">
        <f t="shared" si="46"/>
        <v>0.97617902162547765</v>
      </c>
      <c r="H137" s="414" t="b">
        <f>Wh_hp&gt;='2020'!Maxi_hp</f>
        <v>1</v>
      </c>
      <c r="I137" s="380">
        <f>IF(H137,Wh_hp,'2020'!Maxi_hp)</f>
        <v>58.038935188367326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3.42505533923773E-2</v>
      </c>
      <c r="M137" s="843"/>
      <c r="N137" s="843"/>
      <c r="O137" s="48">
        <f>IF(t&lt;Tnet,'2020'!Resal+('2020'!Salim-'2020'!Resal)*(1-EXP(('2020'!Tnet-t)/('2020'!Tau_j))),Resal+(Salim-Resal)*(1-EXP((Tnet-t)/(Tau_j))))*Salcycl</f>
        <v>2.12328154948274E-2</v>
      </c>
      <c r="P137" s="169">
        <f>(INDEX(Models!$BJ137:$BT137,,T137)*(1-R137)+INDEX(Models!$BJ137:$BT137,,T137+1)*R137-ERP_i)*Q137*Ramure*Pc/MaxiM</f>
        <v>1.4330326809996884E-3</v>
      </c>
      <c r="Q137" s="305">
        <f t="shared" si="27"/>
        <v>0.8</v>
      </c>
      <c r="R137" s="177">
        <f t="shared" si="28"/>
        <v>0.70345658014183565</v>
      </c>
      <c r="S137" s="809">
        <f t="shared" si="29"/>
        <v>0</v>
      </c>
      <c r="T137" s="176">
        <f t="shared" si="30"/>
        <v>6</v>
      </c>
      <c r="U137" s="251">
        <f t="shared" si="31"/>
        <v>0.70345658014183565</v>
      </c>
      <c r="V137" s="383">
        <f t="shared" si="32"/>
        <v>56.119142880271816</v>
      </c>
      <c r="W137" s="402"/>
      <c r="X137" s="157">
        <f t="shared" si="33"/>
        <v>44319</v>
      </c>
      <c r="Y137" s="385">
        <f t="shared" si="34"/>
        <v>49.281494160906462</v>
      </c>
      <c r="Z137" s="385">
        <f t="shared" si="35"/>
        <v>51.029275071310693</v>
      </c>
      <c r="AA137" s="386">
        <f t="shared" si="36"/>
        <v>57.704014613237533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0.11567201323277823</v>
      </c>
      <c r="AD137" s="231">
        <f>(INDEX(Models!$BJ137:$BT137,,AH137)*(1-AF137)+INDEX(Models!$BJ137:$BT137,,AH137+1)*AF137-ERP_i)*AE137*Ramure*Pc/MaxiM</f>
        <v>5.9734905735521083E-3</v>
      </c>
      <c r="AE137" s="305">
        <f t="shared" si="38"/>
        <v>0.8</v>
      </c>
      <c r="AF137" s="177">
        <f t="shared" si="39"/>
        <v>0.90339015429435698</v>
      </c>
      <c r="AG137" s="809">
        <f t="shared" si="47"/>
        <v>1</v>
      </c>
      <c r="AH137" s="176">
        <f t="shared" si="40"/>
        <v>7</v>
      </c>
      <c r="AI137" s="225">
        <f t="shared" si="41"/>
        <v>1.903390154294357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6">
        <v>48.573</v>
      </c>
      <c r="C138" s="390"/>
      <c r="D138" s="393">
        <f t="shared" si="24"/>
        <v>50.296837929597835</v>
      </c>
      <c r="E138" s="385">
        <f t="shared" si="45"/>
        <v>51.40160553790745</v>
      </c>
      <c r="F138" s="385">
        <f t="shared" si="25"/>
        <v>51.462219251468426</v>
      </c>
      <c r="G138" s="110">
        <f t="shared" si="46"/>
        <v>0.86268684866804335</v>
      </c>
      <c r="H138" s="414" t="b">
        <f>Wh_hp&gt;='2020'!Maxi_hp</f>
        <v>0</v>
      </c>
      <c r="I138" s="380">
        <f>IF(H138,Wh_hp,'2020'!Maxi_hp)</f>
        <v>56.165663952413723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3.4273286364656805E-2</v>
      </c>
      <c r="M138" s="843"/>
      <c r="N138" s="843"/>
      <c r="O138" s="48">
        <f>IF(t&lt;Tnet,'2020'!Resal+('2020'!Salim-'2020'!Resal)*(1-EXP(('2020'!Tnet-t)/('2020'!Tau_j))),Resal+(Salim-Resal)*(1-EXP((Tnet-t)/(Tau_j))))*Salcycl</f>
        <v>2.1492861881422669E-2</v>
      </c>
      <c r="P138" s="169">
        <f>(INDEX(Models!$BJ138:$BT138,,T138)*(1-R138)+INDEX(Models!$BJ138:$BT138,,T138+1)*R138-ERP_i)*Q138*Ramure*Pc/MaxiM</f>
        <v>1.4646115928101985E-3</v>
      </c>
      <c r="Q138" s="305">
        <f t="shared" si="27"/>
        <v>0.8</v>
      </c>
      <c r="R138" s="177">
        <f t="shared" si="28"/>
        <v>0.70704472524138418</v>
      </c>
      <c r="S138" s="809">
        <f t="shared" si="29"/>
        <v>0</v>
      </c>
      <c r="T138" s="176">
        <f t="shared" si="30"/>
        <v>6</v>
      </c>
      <c r="U138" s="251">
        <f t="shared" si="31"/>
        <v>0.70704472524138418</v>
      </c>
      <c r="V138" s="383">
        <f t="shared" si="32"/>
        <v>56.288158067982152</v>
      </c>
      <c r="W138" s="402"/>
      <c r="X138" s="157">
        <f t="shared" si="33"/>
        <v>44320</v>
      </c>
      <c r="Y138" s="385">
        <f t="shared" si="34"/>
        <v>43.732335062798775</v>
      </c>
      <c r="Z138" s="385">
        <f t="shared" si="35"/>
        <v>45.284379571705657</v>
      </c>
      <c r="AA138" s="386">
        <f t="shared" si="36"/>
        <v>51.218264014626754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0.11585485289439942</v>
      </c>
      <c r="AD138" s="231">
        <f>(INDEX(Models!$BJ138:$BT138,,AH138)*(1-AF138)+INDEX(Models!$BJ138:$BT138,,AH138+1)*AF138-ERP_i)*AE138*Ramure*Pc/MaxiM</f>
        <v>5.8947001761515301E-3</v>
      </c>
      <c r="AE138" s="305">
        <f t="shared" si="38"/>
        <v>0.8</v>
      </c>
      <c r="AF138" s="177">
        <f t="shared" si="39"/>
        <v>0.90697829939390529</v>
      </c>
      <c r="AG138" s="809">
        <f t="shared" si="47"/>
        <v>1</v>
      </c>
      <c r="AH138" s="176">
        <f t="shared" si="40"/>
        <v>7</v>
      </c>
      <c r="AI138" s="225">
        <f t="shared" si="41"/>
        <v>1.9069782993939053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6">
        <v>34.103000000000002</v>
      </c>
      <c r="C139" s="390"/>
      <c r="D139" s="393">
        <f t="shared" si="24"/>
        <v>35.314134211088437</v>
      </c>
      <c r="E139" s="385">
        <f t="shared" si="45"/>
        <v>36.099408828473699</v>
      </c>
      <c r="F139" s="385">
        <f t="shared" si="25"/>
        <v>36.122965150801527</v>
      </c>
      <c r="G139" s="110">
        <f t="shared" si="46"/>
        <v>0.60360322233092312</v>
      </c>
      <c r="H139" s="414" t="b">
        <f>Wh_hp&gt;='2020'!Maxi_hp</f>
        <v>0</v>
      </c>
      <c r="I139" s="380">
        <f>IF(H139,Wh_hp,'2020'!Maxi_hp)</f>
        <v>56.298681599981336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3.4296018807906933E-2</v>
      </c>
      <c r="M139" s="843"/>
      <c r="N139" s="843"/>
      <c r="O139" s="48">
        <f>IF(t&lt;Tnet,'2020'!Resal+('2020'!Salim-'2020'!Resal)*(1-EXP(('2020'!Tnet-t)/('2020'!Tau_j))),Resal+(Salim-Resal)*(1-EXP((Tnet-t)/(Tau_j))))*Salcycl</f>
        <v>2.175311571212964E-2</v>
      </c>
      <c r="P139" s="169">
        <f>(INDEX(Models!$BJ139:$BT139,,T139)*(1-R139)+INDEX(Models!$BJ139:$BT139,,T139+1)*R139-ERP_i)*Q139*Ramure*Pc/MaxiM</f>
        <v>1.5010056105899663E-3</v>
      </c>
      <c r="Q139" s="305">
        <f t="shared" si="27"/>
        <v>0.8</v>
      </c>
      <c r="R139" s="177">
        <f t="shared" si="28"/>
        <v>0.71072867492127589</v>
      </c>
      <c r="S139" s="809">
        <f t="shared" si="29"/>
        <v>0</v>
      </c>
      <c r="T139" s="176">
        <f t="shared" si="30"/>
        <v>6</v>
      </c>
      <c r="U139" s="251">
        <f t="shared" si="31"/>
        <v>0.71072867492127589</v>
      </c>
      <c r="V139" s="383">
        <f t="shared" si="32"/>
        <v>56.451042882532661</v>
      </c>
      <c r="W139" s="402"/>
      <c r="X139" s="157">
        <f t="shared" si="33"/>
        <v>44321</v>
      </c>
      <c r="Y139" s="385">
        <f t="shared" si="34"/>
        <v>30.758017875631186</v>
      </c>
      <c r="Z139" s="385">
        <f t="shared" si="35"/>
        <v>31.850358365161334</v>
      </c>
      <c r="AA139" s="386">
        <f t="shared" si="36"/>
        <v>36.031411660469871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0.11603911982986709</v>
      </c>
      <c r="AD139" s="231">
        <f>(INDEX(Models!$BJ139:$BT139,,AH139)*(1-AF139)+INDEX(Models!$BJ139:$BT139,,AH139+1)*AF139-ERP_i)*AE139*Ramure*Pc/MaxiM</f>
        <v>5.8337757797853615E-3</v>
      </c>
      <c r="AE139" s="305">
        <f t="shared" si="38"/>
        <v>0.8</v>
      </c>
      <c r="AF139" s="177">
        <f t="shared" si="39"/>
        <v>0.910662249073797</v>
      </c>
      <c r="AG139" s="809">
        <f t="shared" si="47"/>
        <v>1</v>
      </c>
      <c r="AH139" s="176">
        <f t="shared" si="40"/>
        <v>7</v>
      </c>
      <c r="AI139" s="225">
        <f t="shared" si="41"/>
        <v>1.910662249073797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6">
        <v>32.237000000000002</v>
      </c>
      <c r="C140" s="390"/>
      <c r="D140" s="393">
        <f t="shared" si="24"/>
        <v>33.382650873781529</v>
      </c>
      <c r="E140" s="385">
        <f t="shared" si="45"/>
        <v>34.134063800363833</v>
      </c>
      <c r="F140" s="385">
        <f t="shared" si="25"/>
        <v>34.154343385659658</v>
      </c>
      <c r="G140" s="110">
        <f t="shared" si="46"/>
        <v>0.56894148178435999</v>
      </c>
      <c r="H140" s="414" t="b">
        <f>Wh_hp&gt;='2020'!Maxi_hp</f>
        <v>0</v>
      </c>
      <c r="I140" s="380">
        <f>IF(H140,Wh_hp,'2020'!Maxi_hp)</f>
        <v>61.556815865324921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3.4318750722139788E-2</v>
      </c>
      <c r="M140" s="843"/>
      <c r="N140" s="843"/>
      <c r="O140" s="48">
        <f>IF(t&lt;Tnet,'2020'!Resal+('2020'!Salim-'2020'!Resal)*(1-EXP(('2020'!Tnet-t)/('2020'!Tau_j))),Resal+(Salim-Resal)*(1-EXP((Tnet-t)/(Tau_j))))*Salcycl</f>
        <v>2.2013579484031272E-2</v>
      </c>
      <c r="P140" s="169">
        <f>(INDEX(Models!$BJ140:$BT140,,T140)*(1-R140)+INDEX(Models!$BJ140:$BT140,,T140+1)*R140-ERP_i)*Q140*Ramure*Pc/MaxiM</f>
        <v>1.5423445485899796E-3</v>
      </c>
      <c r="Q140" s="305">
        <f t="shared" si="27"/>
        <v>0.8</v>
      </c>
      <c r="R140" s="177">
        <f t="shared" si="28"/>
        <v>0.71450908215488551</v>
      </c>
      <c r="S140" s="809">
        <f t="shared" si="29"/>
        <v>0</v>
      </c>
      <c r="T140" s="176">
        <f t="shared" si="30"/>
        <v>6</v>
      </c>
      <c r="U140" s="251">
        <f t="shared" si="31"/>
        <v>0.71450908215488551</v>
      </c>
      <c r="V140" s="383">
        <f t="shared" si="32"/>
        <v>56.607583450940957</v>
      </c>
      <c r="W140" s="402"/>
      <c r="X140" s="157">
        <f t="shared" si="33"/>
        <v>44322</v>
      </c>
      <c r="Y140" s="385">
        <f t="shared" si="34"/>
        <v>29.083875719137708</v>
      </c>
      <c r="Z140" s="385">
        <f t="shared" si="35"/>
        <v>30.117469652524299</v>
      </c>
      <c r="AA140" s="386">
        <f t="shared" si="36"/>
        <v>34.078201184136788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0.11622478282263872</v>
      </c>
      <c r="AD140" s="231">
        <f>(INDEX(Models!$BJ140:$BT140,,AH140)*(1-AF140)+INDEX(Models!$BJ140:$BT140,,AH140+1)*AF140-ERP_i)*AE140*Ramure*Pc/MaxiM</f>
        <v>5.7909226309789301E-3</v>
      </c>
      <c r="AE140" s="305">
        <f t="shared" si="38"/>
        <v>0.8</v>
      </c>
      <c r="AF140" s="177">
        <f t="shared" si="39"/>
        <v>0.91444265630740684</v>
      </c>
      <c r="AG140" s="809">
        <f t="shared" si="47"/>
        <v>1</v>
      </c>
      <c r="AH140" s="176">
        <f t="shared" si="40"/>
        <v>7</v>
      </c>
      <c r="AI140" s="225">
        <f t="shared" si="41"/>
        <v>1.9144426563074068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6">
        <v>29.759</v>
      </c>
      <c r="C141" s="390"/>
      <c r="D141" s="393">
        <f t="shared" si="24"/>
        <v>30.817312174642662</v>
      </c>
      <c r="E141" s="385">
        <f t="shared" si="45"/>
        <v>31.519382936457603</v>
      </c>
      <c r="F141" s="385">
        <f t="shared" si="25"/>
        <v>31.535438472397939</v>
      </c>
      <c r="G141" s="110">
        <f t="shared" si="46"/>
        <v>0.52375140086666061</v>
      </c>
      <c r="H141" s="414" t="b">
        <f>Wh_hp&gt;='2020'!Maxi_hp</f>
        <v>0</v>
      </c>
      <c r="I141" s="380">
        <f>IF(H141,Wh_hp,'2020'!Maxi_hp)</f>
        <v>58.403819725398094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3.4341482107367913E-2</v>
      </c>
      <c r="M141" s="843"/>
      <c r="N141" s="843"/>
      <c r="O141" s="48">
        <f>IF(t&lt;Tnet,'2020'!Resal+('2020'!Salim-'2020'!Resal)*(1-EXP(('2020'!Tnet-t)/('2020'!Tau_j))),Resal+(Salim-Resal)*(1-EXP((Tnet-t)/(Tau_j))))*Salcycl</f>
        <v>2.2274254646111043E-2</v>
      </c>
      <c r="P141" s="169">
        <f>(INDEX(Models!$BJ141:$BT141,,T141)*(1-R141)+INDEX(Models!$BJ141:$BT141,,T141+1)*R141-ERP_i)*Q141*Ramure*Pc/MaxiM</f>
        <v>1.5887673492805739E-3</v>
      </c>
      <c r="Q141" s="305">
        <f t="shared" si="27"/>
        <v>0.8</v>
      </c>
      <c r="R141" s="177">
        <f t="shared" si="28"/>
        <v>0.71838646744106827</v>
      </c>
      <c r="S141" s="809">
        <f t="shared" si="29"/>
        <v>0</v>
      </c>
      <c r="T141" s="176">
        <f t="shared" si="30"/>
        <v>6</v>
      </c>
      <c r="U141" s="251">
        <f t="shared" si="31"/>
        <v>0.71838646744106827</v>
      </c>
      <c r="V141" s="383">
        <f t="shared" si="32"/>
        <v>56.757565823676622</v>
      </c>
      <c r="W141" s="402"/>
      <c r="X141" s="157">
        <f t="shared" si="33"/>
        <v>44323</v>
      </c>
      <c r="Y141" s="385">
        <f t="shared" si="34"/>
        <v>26.857717208139423</v>
      </c>
      <c r="Z141" s="385">
        <f t="shared" si="35"/>
        <v>27.812851759182255</v>
      </c>
      <c r="AA141" s="386">
        <f t="shared" si="36"/>
        <v>31.477165461626978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0.11641180674008905</v>
      </c>
      <c r="AD141" s="231">
        <f>(INDEX(Models!$BJ141:$BT141,,AH141)*(1-AF141)+INDEX(Models!$BJ141:$BT141,,AH141+1)*AF141-ERP_i)*AE141*Ramure*Pc/MaxiM</f>
        <v>5.7663759840355776E-3</v>
      </c>
      <c r="AE141" s="305">
        <f t="shared" si="38"/>
        <v>0.8</v>
      </c>
      <c r="AF141" s="177">
        <f t="shared" si="39"/>
        <v>0.91832004159358949</v>
      </c>
      <c r="AG141" s="809">
        <f t="shared" si="47"/>
        <v>1</v>
      </c>
      <c r="AH141" s="176">
        <f t="shared" si="40"/>
        <v>7</v>
      </c>
      <c r="AI141" s="225">
        <f t="shared" si="41"/>
        <v>1.9183200415935895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6">
        <v>52.555</v>
      </c>
      <c r="C142" s="390"/>
      <c r="D142" s="393">
        <f t="shared" si="24"/>
        <v>54.425281980584984</v>
      </c>
      <c r="E142" s="385">
        <f t="shared" si="45"/>
        <v>55.680039553572762</v>
      </c>
      <c r="F142" s="385">
        <f t="shared" si="25"/>
        <v>55.761522255902449</v>
      </c>
      <c r="G142" s="110">
        <f t="shared" si="46"/>
        <v>0.92345965476814074</v>
      </c>
      <c r="H142" s="414" t="b">
        <f>Wh_hp&gt;='2020'!Maxi_hp</f>
        <v>1</v>
      </c>
      <c r="I142" s="380">
        <f>IF(H142,Wh_hp,'2020'!Maxi_hp)</f>
        <v>55.761522255902449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3.436421296360341E-2</v>
      </c>
      <c r="M142" s="843"/>
      <c r="N142" s="843"/>
      <c r="O142" s="48">
        <f>IF(t&lt;Tnet,'2020'!Resal+('2020'!Salim-'2020'!Resal)*(1-EXP(('2020'!Tnet-t)/('2020'!Tau_j))),Resal+(Salim-Resal)*(1-EXP((Tnet-t)/(Tau_j))))*Salcycl</f>
        <v>2.2535141552485913E-2</v>
      </c>
      <c r="P142" s="169">
        <f>(INDEX(Models!$BJ142:$BT142,,T142)*(1-R142)+INDEX(Models!$BJ142:$BT142,,T142+1)*R142-ERP_i)*Q142*Ramure*Pc/MaxiM</f>
        <v>1.6402316727548601E-3</v>
      </c>
      <c r="Q142" s="305">
        <f t="shared" si="27"/>
        <v>0.8</v>
      </c>
      <c r="R142" s="177">
        <f t="shared" si="28"/>
        <v>0.72236121039882784</v>
      </c>
      <c r="S142" s="809">
        <f t="shared" si="29"/>
        <v>0</v>
      </c>
      <c r="T142" s="176">
        <f t="shared" si="30"/>
        <v>6</v>
      </c>
      <c r="U142" s="251">
        <f t="shared" si="31"/>
        <v>0.72236121039882784</v>
      </c>
      <c r="V142" s="383">
        <f t="shared" si="32"/>
        <v>56.90078683276537</v>
      </c>
      <c r="W142" s="402"/>
      <c r="X142" s="157">
        <f t="shared" si="33"/>
        <v>44324</v>
      </c>
      <c r="Y142" s="385">
        <f t="shared" si="34"/>
        <v>47.322655419179171</v>
      </c>
      <c r="Z142" s="385">
        <f t="shared" si="35"/>
        <v>49.006733236778317</v>
      </c>
      <c r="AA142" s="386">
        <f t="shared" si="36"/>
        <v>55.475143417805008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0.11660015247388479</v>
      </c>
      <c r="AD142" s="231">
        <f>(INDEX(Models!$BJ142:$BT142,,AH142)*(1-AF142)+INDEX(Models!$BJ142:$BT142,,AH142+1)*AF142-ERP_i)*AE142*Ramure*Pc/MaxiM</f>
        <v>5.7647528521280952E-3</v>
      </c>
      <c r="AE142" s="305">
        <f t="shared" si="38"/>
        <v>0.8</v>
      </c>
      <c r="AF142" s="177">
        <f t="shared" si="39"/>
        <v>0.92229478455134917</v>
      </c>
      <c r="AG142" s="809">
        <f t="shared" si="47"/>
        <v>1</v>
      </c>
      <c r="AH142" s="176">
        <f t="shared" si="40"/>
        <v>7</v>
      </c>
      <c r="AI142" s="225">
        <f t="shared" si="41"/>
        <v>1.9222947845513492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6">
        <v>20.966999999999999</v>
      </c>
      <c r="C143" s="390"/>
      <c r="D143" s="393">
        <f t="shared" ref="D143:D206" si="48">Wh/(1-Ppv)</f>
        <v>21.713666622794648</v>
      </c>
      <c r="E143" s="385">
        <f t="shared" si="45"/>
        <v>22.22020370640039</v>
      </c>
      <c r="F143" s="385">
        <f t="shared" ref="F143:F206" si="49">Wh_sa/(1-Pvg*MEDIAN((-Sdif+Wh/Env_an)/Csdif,0,1))</f>
        <v>22.223836834779345</v>
      </c>
      <c r="G143" s="110">
        <f t="shared" si="46"/>
        <v>0.36703949519814633</v>
      </c>
      <c r="H143" s="414" t="b">
        <f>Wh_hp&gt;='2020'!Maxi_hp</f>
        <v>0</v>
      </c>
      <c r="I143" s="380">
        <f>IF(H143,Wh_hp,'2020'!Maxi_hp)</f>
        <v>53.486841224080671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3.4386943290858604E-2</v>
      </c>
      <c r="M143" s="843"/>
      <c r="N143" s="843"/>
      <c r="O143" s="48">
        <f>IF(t&lt;Tnet,'2020'!Resal+('2020'!Salim-'2020'!Resal)*(1-EXP(('2020'!Tnet-t)/('2020'!Tau_j))),Resal+(Salim-Resal)*(1-EXP((Tnet-t)/(Tau_j))))*Salcycl</f>
        <v>2.2796239417905911E-2</v>
      </c>
      <c r="P143" s="169">
        <f>(INDEX(Models!$BJ143:$BT143,,T143)*(1-R143)+INDEX(Models!$BJ143:$BT143,,T143+1)*R143-ERP_i)*Q143*Ramure*Pc/MaxiM</f>
        <v>1.6927846983477016E-3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0.72643354145964234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0.72643354145964234</v>
      </c>
      <c r="V143" s="383">
        <f t="shared" ref="V143:V206" si="56">MaxiM*(1-Ppv)*(1-Pvg)*(1-Psa)</f>
        <v>57.037267314255466</v>
      </c>
      <c r="W143" s="402"/>
      <c r="X143" s="157">
        <f t="shared" ref="X143:X206" si="57">t</f>
        <v>44325</v>
      </c>
      <c r="Y143" s="385">
        <f t="shared" ref="Y143:Y206" si="58">Wh_pvt_s*(1-Ppv)</f>
        <v>18.9427854532377</v>
      </c>
      <c r="Z143" s="385">
        <f t="shared" ref="Z143:Z206" si="59">Wh_sa_s*(1-Psa_s)</f>
        <v>19.617366730515926</v>
      </c>
      <c r="AA143" s="386">
        <f t="shared" ref="AA143:AA206" si="60">Wh_hp*(1-Pvg_s*MEDIAN((-Sdif+Wh/Env_an)/Csdif,0,1))</f>
        <v>22.211435304178636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0.11678977689364757</v>
      </c>
      <c r="AD143" s="231">
        <f>(INDEX(Models!$BJ143:$BT143,,AH143)*(1-AF143)+INDEX(Models!$BJ143:$BT143,,AH143+1)*AF143-ERP_i)*AE143*Ramure*Pc/MaxiM</f>
        <v>5.7782492241620085E-3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0.92636711561216356</v>
      </c>
      <c r="AG143" s="809">
        <f t="shared" si="47"/>
        <v>1</v>
      </c>
      <c r="AH143" s="176">
        <f t="shared" ref="AH143:AH206" si="64">MIN(MATCH(Hp_vg_s,Echel_vg),10)</f>
        <v>7</v>
      </c>
      <c r="AI143" s="225">
        <f t="shared" ref="AI143:AI206" si="65">IF(OR(t&lt;Ttai,Notai),Hdd_s+PousH*Croivg,Hdtai_s+PousH*(Croivg-Croi_tai))</f>
        <v>1.9263671156121636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6">
        <v>39.752000000000002</v>
      </c>
      <c r="C144" s="390"/>
      <c r="D144" s="393">
        <f t="shared" si="48"/>
        <v>41.168597998672801</v>
      </c>
      <c r="E144" s="385">
        <f t="shared" ref="E144:E169" si="69">Wh_pvt/(1-Psa)</f>
        <v>42.140248733936481</v>
      </c>
      <c r="F144" s="385">
        <f t="shared" si="49"/>
        <v>42.181858032545378</v>
      </c>
      <c r="G144" s="110">
        <f t="shared" ref="G144:G169" si="70">+Wh_hp/MaxiM</f>
        <v>0.69483958505381116</v>
      </c>
      <c r="H144" s="414" t="b">
        <f>Wh_hp&gt;='2020'!Maxi_hp</f>
        <v>0</v>
      </c>
      <c r="I144" s="380">
        <f>IF(H144,Wh_hp,'2020'!Maxi_hp)</f>
        <v>50.477459426670045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3.440967308914604E-2</v>
      </c>
      <c r="M144" s="843"/>
      <c r="N144" s="843"/>
      <c r="O144" s="48">
        <f>IF(t&lt;Tnet,'2020'!Resal+('2020'!Salim-'2020'!Resal)*(1-EXP(('2020'!Tnet-t)/('2020'!Tau_j))),Resal+(Salim-Resal)*(1-EXP((Tnet-t)/(Tau_j))))*Salcycl</f>
        <v>2.3057546275971213E-2</v>
      </c>
      <c r="P144" s="169">
        <f>(INDEX(Models!$BJ144:$BT144,,T144)*(1-R144)+INDEX(Models!$BJ144:$BT144,,T144+1)*R144-ERP_i)*Q144*Ramure*Pc/MaxiM</f>
        <v>1.7464676168615083E-3</v>
      </c>
      <c r="Q144" s="305">
        <f t="shared" si="51"/>
        <v>0.8</v>
      </c>
      <c r="R144" s="177">
        <f t="shared" si="52"/>
        <v>0.73060353371570419</v>
      </c>
      <c r="S144" s="809">
        <f t="shared" si="53"/>
        <v>0</v>
      </c>
      <c r="T144" s="176">
        <f t="shared" si="54"/>
        <v>6</v>
      </c>
      <c r="U144" s="251">
        <f t="shared" si="55"/>
        <v>0.73060353371570419</v>
      </c>
      <c r="V144" s="383">
        <f t="shared" si="56"/>
        <v>57.166802041390525</v>
      </c>
      <c r="W144" s="402"/>
      <c r="X144" s="157">
        <f t="shared" si="57"/>
        <v>44326</v>
      </c>
      <c r="Y144" s="385">
        <f t="shared" si="58"/>
        <v>35.847760434363856</v>
      </c>
      <c r="Z144" s="385">
        <f t="shared" si="59"/>
        <v>37.125227371580145</v>
      </c>
      <c r="AA144" s="386">
        <f t="shared" si="60"/>
        <v>42.043502952765117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0.11698063281526611</v>
      </c>
      <c r="AD144" s="231">
        <f>(INDEX(Models!$BJ144:$BT144,,AH144)*(1-AF144)+INDEX(Models!$BJ144:$BT144,,AH144+1)*AF144-ERP_i)*AE144*Ramure*Pc/MaxiM</f>
        <v>5.8071795137841576E-3</v>
      </c>
      <c r="AE144" s="305">
        <f t="shared" si="62"/>
        <v>0.8</v>
      </c>
      <c r="AF144" s="177">
        <f t="shared" si="63"/>
        <v>0.93053710786822541</v>
      </c>
      <c r="AG144" s="809">
        <f t="shared" ref="AG144:AG207" si="71">INDEX(Echel_vg,AH144)</f>
        <v>1</v>
      </c>
      <c r="AH144" s="176">
        <f t="shared" si="64"/>
        <v>7</v>
      </c>
      <c r="AI144" s="225">
        <f t="shared" si="65"/>
        <v>1.9305371078682254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6">
        <v>38.5</v>
      </c>
      <c r="C145" s="390"/>
      <c r="D145" s="393">
        <f t="shared" si="48"/>
        <v>39.872920439790434</v>
      </c>
      <c r="E145" s="385">
        <f t="shared" si="69"/>
        <v>40.824919135349795</v>
      </c>
      <c r="F145" s="385">
        <f t="shared" si="49"/>
        <v>40.864040257587583</v>
      </c>
      <c r="G145" s="110">
        <f t="shared" si="70"/>
        <v>0.67146137787118876</v>
      </c>
      <c r="H145" s="414" t="b">
        <f>Wh_hp&gt;='2020'!Maxi_hp</f>
        <v>1</v>
      </c>
      <c r="I145" s="380">
        <f>IF(H145,Wh_hp,'2020'!Maxi_hp)</f>
        <v>40.864040257587583</v>
      </c>
      <c r="J145" s="85">
        <f>IF(H145,An,'2020'!An_max)</f>
        <v>2021</v>
      </c>
      <c r="K145" s="197">
        <f t="shared" si="50"/>
        <v>44327</v>
      </c>
      <c r="L145" s="147">
        <f>IF(t&lt;Tvie,1-EXP((T0-t)*PertePVj)+'2020'!Pspv,1-EXP((T0-t)*PertePVj)+Pspv)</f>
        <v>3.4432402358477707E-2</v>
      </c>
      <c r="M145" s="843"/>
      <c r="N145" s="843"/>
      <c r="O145" s="48">
        <f>IF(t&lt;Tnet,'2020'!Resal+('2020'!Salim-'2020'!Resal)*(1-EXP(('2020'!Tnet-t)/('2020'!Tau_j))),Resal+(Salim-Resal)*(1-EXP((Tnet-t)/(Tau_j))))*Salcycl</f>
        <v>2.3319058940524325E-2</v>
      </c>
      <c r="P145" s="169">
        <f>(INDEX(Models!$BJ145:$BT145,,T145)*(1-R145)+INDEX(Models!$BJ145:$BT145,,T145+1)*R145-ERP_i)*Q145*Ramure*Pc/MaxiM</f>
        <v>1.8013210937088185E-3</v>
      </c>
      <c r="Q145" s="305">
        <f t="shared" si="51"/>
        <v>0.8</v>
      </c>
      <c r="R145" s="177">
        <f t="shared" si="52"/>
        <v>0.73487109498574132</v>
      </c>
      <c r="S145" s="809">
        <f t="shared" si="53"/>
        <v>0</v>
      </c>
      <c r="T145" s="176">
        <f t="shared" si="54"/>
        <v>6</v>
      </c>
      <c r="U145" s="251">
        <f t="shared" si="55"/>
        <v>0.73487109498574132</v>
      </c>
      <c r="V145" s="383">
        <f t="shared" si="56"/>
        <v>57.289186215184358</v>
      </c>
      <c r="W145" s="402"/>
      <c r="X145" s="157">
        <f t="shared" si="57"/>
        <v>44327</v>
      </c>
      <c r="Y145" s="385">
        <f t="shared" si="58"/>
        <v>34.725375555386975</v>
      </c>
      <c r="Z145" s="385">
        <f t="shared" si="59"/>
        <v>35.963691863942557</v>
      </c>
      <c r="AA145" s="386">
        <f t="shared" si="60"/>
        <v>40.736948891921166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0.11717266898516364</v>
      </c>
      <c r="AD145" s="231">
        <f>(INDEX(Models!$BJ145:$BT145,,AH145)*(1-AF145)+INDEX(Models!$BJ145:$BT145,,AH145+1)*AF145-ERP_i)*AE145*Ramure*Pc/MaxiM</f>
        <v>5.8518862626608737E-3</v>
      </c>
      <c r="AE145" s="305">
        <f t="shared" si="62"/>
        <v>0.8</v>
      </c>
      <c r="AF145" s="177">
        <f t="shared" si="63"/>
        <v>0.93480466913826255</v>
      </c>
      <c r="AG145" s="809">
        <f t="shared" si="71"/>
        <v>1</v>
      </c>
      <c r="AH145" s="176">
        <f t="shared" si="64"/>
        <v>7</v>
      </c>
      <c r="AI145" s="225">
        <f t="shared" si="65"/>
        <v>1.9348046691382625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6">
        <v>40.436</v>
      </c>
      <c r="C146" s="390"/>
      <c r="D146" s="393">
        <f t="shared" si="48"/>
        <v>41.878944523851445</v>
      </c>
      <c r="E146" s="385">
        <f t="shared" si="69"/>
        <v>42.890331698265356</v>
      </c>
      <c r="F146" s="385">
        <f t="shared" si="49"/>
        <v>42.936405024725559</v>
      </c>
      <c r="G146" s="110">
        <f t="shared" si="70"/>
        <v>0.70385511967020042</v>
      </c>
      <c r="H146" s="414" t="b">
        <f>Wh_hp&gt;='2020'!Maxi_hp</f>
        <v>0</v>
      </c>
      <c r="I146" s="380">
        <f>IF(H146,Wh_hp,'2020'!Maxi_hp)</f>
        <v>59.943333681324077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3.4455131098866151E-2</v>
      </c>
      <c r="M146" s="843"/>
      <c r="N146" s="843"/>
      <c r="O146" s="48">
        <f>IF(t&lt;Tnet,'2020'!Resal+('2020'!Salim-'2020'!Resal)*(1-EXP(('2020'!Tnet-t)/('2020'!Tau_j))),Resal+(Salim-Resal)*(1-EXP((Tnet-t)/(Tau_j))))*Salcycl</f>
        <v>2.3580772970679016E-2</v>
      </c>
      <c r="P146" s="169">
        <f>(INDEX(Models!$BJ146:$BT146,,T146)*(1-R146)+INDEX(Models!$BJ146:$BT146,,T146+1)*R146-ERP_i)*Q146*Ramure*Pc/MaxiM</f>
        <v>1.8573851917131345E-3</v>
      </c>
      <c r="Q146" s="305">
        <f t="shared" si="51"/>
        <v>0.8</v>
      </c>
      <c r="R146" s="177">
        <f t="shared" si="52"/>
        <v>0.73923596016313575</v>
      </c>
      <c r="S146" s="809">
        <f t="shared" si="53"/>
        <v>0</v>
      </c>
      <c r="T146" s="176">
        <f t="shared" si="54"/>
        <v>6</v>
      </c>
      <c r="U146" s="251">
        <f t="shared" si="55"/>
        <v>0.73923596016313575</v>
      </c>
      <c r="V146" s="383">
        <f t="shared" si="56"/>
        <v>57.404215465891482</v>
      </c>
      <c r="W146" s="402"/>
      <c r="X146" s="157">
        <f t="shared" si="57"/>
        <v>44328</v>
      </c>
      <c r="Y146" s="385">
        <f t="shared" si="58"/>
        <v>36.466393218041297</v>
      </c>
      <c r="Z146" s="385">
        <f t="shared" si="59"/>
        <v>37.767683711625878</v>
      </c>
      <c r="AA146" s="386">
        <f t="shared" si="60"/>
        <v>42.789736675529298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0.11736583008175988</v>
      </c>
      <c r="AD146" s="231">
        <f>(INDEX(Models!$BJ146:$BT146,,AH146)*(1-AF146)+INDEX(Models!$BJ146:$BT146,,AH146+1)*AF146-ERP_i)*AE146*Ramure*Pc/MaxiM</f>
        <v>5.9127404253187573E-3</v>
      </c>
      <c r="AE146" s="305">
        <f t="shared" si="62"/>
        <v>0.8</v>
      </c>
      <c r="AF146" s="177">
        <f t="shared" si="63"/>
        <v>0.93916953431565697</v>
      </c>
      <c r="AG146" s="809">
        <f t="shared" si="71"/>
        <v>1</v>
      </c>
      <c r="AH146" s="176">
        <f t="shared" si="64"/>
        <v>7</v>
      </c>
      <c r="AI146" s="225">
        <f t="shared" si="65"/>
        <v>1.939169534315657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6">
        <v>39.789000000000001</v>
      </c>
      <c r="C147" s="390"/>
      <c r="D147" s="393">
        <f t="shared" si="48"/>
        <v>41.209826603850381</v>
      </c>
      <c r="E147" s="385">
        <f t="shared" si="69"/>
        <v>42.216378314203837</v>
      </c>
      <c r="F147" s="385">
        <f t="shared" si="49"/>
        <v>42.261674353082384</v>
      </c>
      <c r="G147" s="110">
        <f t="shared" si="70"/>
        <v>0.69125822459505604</v>
      </c>
      <c r="H147" s="414" t="b">
        <f>Wh_hp&gt;='2020'!Maxi_hp</f>
        <v>0</v>
      </c>
      <c r="I147" s="380">
        <f>IF(H147,Wh_hp,'2020'!Maxi_hp)</f>
        <v>63.165410025979916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3.4477859310323586E-2</v>
      </c>
      <c r="M147" s="843"/>
      <c r="N147" s="843"/>
      <c r="O147" s="48">
        <f>IF(t&lt;Tnet,'2020'!Resal+('2020'!Salim-'2020'!Resal)*(1-EXP(('2020'!Tnet-t)/('2020'!Tau_j))),Resal+(Salim-Resal)*(1-EXP((Tnet-t)/(Tau_j))))*Salcycl</f>
        <v>2.3842682639945923E-2</v>
      </c>
      <c r="P147" s="169">
        <f>(INDEX(Models!$BJ147:$BT147,,T147)*(1-R147)+INDEX(Models!$BJ147:$BT147,,T147+1)*R147-ERP_i)*Q147*Ramure*Pc/MaxiM</f>
        <v>1.9146992927246583E-3</v>
      </c>
      <c r="Q147" s="305">
        <f t="shared" si="51"/>
        <v>0.8</v>
      </c>
      <c r="R147" s="177">
        <f t="shared" si="52"/>
        <v>0.7436976839136783</v>
      </c>
      <c r="S147" s="809">
        <f t="shared" si="53"/>
        <v>0</v>
      </c>
      <c r="T147" s="176">
        <f t="shared" si="54"/>
        <v>6</v>
      </c>
      <c r="U147" s="251">
        <f t="shared" si="55"/>
        <v>0.7436976839136783</v>
      </c>
      <c r="V147" s="383">
        <f t="shared" si="56"/>
        <v>57.511685877290589</v>
      </c>
      <c r="W147" s="402"/>
      <c r="X147" s="157">
        <f t="shared" si="57"/>
        <v>44329</v>
      </c>
      <c r="Y147" s="385">
        <f t="shared" si="58"/>
        <v>35.886855238296064</v>
      </c>
      <c r="Z147" s="385">
        <f t="shared" si="59"/>
        <v>37.168340036886086</v>
      </c>
      <c r="AA147" s="386">
        <f t="shared" si="60"/>
        <v>42.119965580179986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0.11756005673527756</v>
      </c>
      <c r="AD147" s="231">
        <f>(INDEX(Models!$BJ147:$BT147,,AH147)*(1-AF147)+INDEX(Models!$BJ147:$BT147,,AH147+1)*AF147-ERP_i)*AE147*Ramure*Pc/MaxiM</f>
        <v>5.990141609879332E-3</v>
      </c>
      <c r="AE147" s="305">
        <f t="shared" si="62"/>
        <v>0.8</v>
      </c>
      <c r="AF147" s="177">
        <f t="shared" si="63"/>
        <v>0.94363125806619963</v>
      </c>
      <c r="AG147" s="809">
        <f t="shared" si="71"/>
        <v>1</v>
      </c>
      <c r="AH147" s="176">
        <f t="shared" si="64"/>
        <v>7</v>
      </c>
      <c r="AI147" s="225">
        <f t="shared" si="65"/>
        <v>1.9436312580661996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6">
        <v>43.003999999999998</v>
      </c>
      <c r="C148" s="390"/>
      <c r="D148" s="393">
        <f t="shared" si="48"/>
        <v>44.540679590948727</v>
      </c>
      <c r="E148" s="385">
        <f t="shared" si="69"/>
        <v>45.640842090073633</v>
      </c>
      <c r="F148" s="385">
        <f t="shared" si="49"/>
        <v>45.698355417716947</v>
      </c>
      <c r="G148" s="110">
        <f t="shared" si="70"/>
        <v>0.74591536116474999</v>
      </c>
      <c r="H148" s="414" t="b">
        <f>Wh_hp&gt;='2020'!Maxi_hp</f>
        <v>0</v>
      </c>
      <c r="I148" s="380">
        <f>IF(H148,Wh_hp,'2020'!Maxi_hp)</f>
        <v>61.55883645461271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3.4500586992862334E-2</v>
      </c>
      <c r="M148" s="843"/>
      <c r="N148" s="843"/>
      <c r="O148" s="48">
        <f>IF(t&lt;Tnet,'2020'!Resal+('2020'!Salim-'2020'!Resal)*(1-EXP(('2020'!Tnet-t)/('2020'!Tau_j))),Resal+(Salim-Resal)*(1-EXP((Tnet-t)/(Tau_j))))*Salcycl</f>
        <v>2.4104780909907367E-2</v>
      </c>
      <c r="P148" s="169">
        <f>(INDEX(Models!$BJ148:$BT148,,T148)*(1-R148)+INDEX(Models!$BJ148:$BT148,,T148+1)*R148-ERP_i)*Q148*Ramure*Pc/MaxiM</f>
        <v>1.9733020202132956E-3</v>
      </c>
      <c r="Q148" s="305">
        <f t="shared" si="51"/>
        <v>0.8</v>
      </c>
      <c r="R148" s="177">
        <f t="shared" si="52"/>
        <v>0.74825563379240112</v>
      </c>
      <c r="S148" s="809">
        <f t="shared" si="53"/>
        <v>0</v>
      </c>
      <c r="T148" s="176">
        <f t="shared" si="54"/>
        <v>6</v>
      </c>
      <c r="U148" s="251">
        <f t="shared" si="55"/>
        <v>0.74825563379240112</v>
      </c>
      <c r="V148" s="383">
        <f t="shared" si="56"/>
        <v>57.61139398729776</v>
      </c>
      <c r="W148" s="402"/>
      <c r="X148" s="157">
        <f t="shared" si="57"/>
        <v>44330</v>
      </c>
      <c r="Y148" s="385">
        <f t="shared" si="58"/>
        <v>38.775110314702452</v>
      </c>
      <c r="Z148" s="385">
        <f t="shared" si="59"/>
        <v>40.160677253996212</v>
      </c>
      <c r="AA148" s="386">
        <f t="shared" si="60"/>
        <v>45.521017691564168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0.11775528556694202</v>
      </c>
      <c r="AD148" s="231">
        <f>(INDEX(Models!$BJ148:$BT148,,AH148)*(1-AF148)+INDEX(Models!$BJ148:$BT148,,AH148+1)*AF148-ERP_i)*AE148*Ramure*Pc/MaxiM</f>
        <v>6.0845182780518538E-3</v>
      </c>
      <c r="AE148" s="305">
        <f t="shared" si="62"/>
        <v>0.8</v>
      </c>
      <c r="AF148" s="177">
        <f t="shared" si="63"/>
        <v>0.94818920794492234</v>
      </c>
      <c r="AG148" s="809">
        <f t="shared" si="71"/>
        <v>1</v>
      </c>
      <c r="AH148" s="176">
        <f t="shared" si="64"/>
        <v>7</v>
      </c>
      <c r="AI148" s="225">
        <f t="shared" si="65"/>
        <v>1.9481892079449223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6">
        <v>20.925000000000001</v>
      </c>
      <c r="C149" s="390"/>
      <c r="D149" s="393">
        <f t="shared" si="48"/>
        <v>21.673231789643665</v>
      </c>
      <c r="E149" s="385">
        <f t="shared" si="69"/>
        <v>22.214534675830301</v>
      </c>
      <c r="F149" s="385">
        <f t="shared" si="49"/>
        <v>22.21857689973255</v>
      </c>
      <c r="G149" s="110">
        <f t="shared" si="70"/>
        <v>0.3619628707939862</v>
      </c>
      <c r="H149" s="414" t="b">
        <f>Wh_hp&gt;='2020'!Maxi_hp</f>
        <v>0</v>
      </c>
      <c r="I149" s="380">
        <f>IF(H149,Wh_hp,'2020'!Maxi_hp)</f>
        <v>62.517859934391758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3.4523314146494719E-2</v>
      </c>
      <c r="M149" s="843"/>
      <c r="N149" s="843"/>
      <c r="O149" s="48">
        <f>IF(t&lt;Tnet,'2020'!Resal+('2020'!Salim-'2020'!Resal)*(1-EXP(('2020'!Tnet-t)/('2020'!Tau_j))),Resal+(Salim-Resal)*(1-EXP((Tnet-t)/(Tau_j))))*Salcycl</f>
        <v>2.4367059408882438E-2</v>
      </c>
      <c r="P149" s="169">
        <f>(INDEX(Models!$BJ149:$BT149,,T149)*(1-R149)+INDEX(Models!$BJ149:$BT149,,T149+1)*R149-ERP_i)*Q149*Ramure*Pc/MaxiM</f>
        <v>2.0332446527631829E-3</v>
      </c>
      <c r="Q149" s="305">
        <f t="shared" si="51"/>
        <v>0.8</v>
      </c>
      <c r="R149" s="177">
        <f t="shared" si="52"/>
        <v>0.75290898385044869</v>
      </c>
      <c r="S149" s="809">
        <f t="shared" si="53"/>
        <v>0</v>
      </c>
      <c r="T149" s="176">
        <f t="shared" si="54"/>
        <v>6</v>
      </c>
      <c r="U149" s="251">
        <f t="shared" si="55"/>
        <v>0.75290898385044869</v>
      </c>
      <c r="V149" s="383">
        <f t="shared" si="56"/>
        <v>57.7027531701386</v>
      </c>
      <c r="W149" s="402"/>
      <c r="X149" s="157">
        <f t="shared" si="57"/>
        <v>44331</v>
      </c>
      <c r="Y149" s="385">
        <f t="shared" si="58"/>
        <v>18.910789706887599</v>
      </c>
      <c r="Z149" s="385">
        <f t="shared" si="59"/>
        <v>19.586997784591755</v>
      </c>
      <c r="AA149" s="386">
        <f t="shared" si="60"/>
        <v>22.206258111193296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0.1179514492485015</v>
      </c>
      <c r="AD149" s="231">
        <f>(INDEX(Models!$BJ149:$BT149,,AH149)*(1-AF149)+INDEX(Models!$BJ149:$BT149,,AH149+1)*AF149-ERP_i)*AE149*Ramure*Pc/MaxiM</f>
        <v>6.1963690116236007E-3</v>
      </c>
      <c r="AE149" s="305">
        <f t="shared" si="62"/>
        <v>0.8</v>
      </c>
      <c r="AF149" s="177">
        <f t="shared" si="63"/>
        <v>0.95284255800297002</v>
      </c>
      <c r="AG149" s="809">
        <f t="shared" si="71"/>
        <v>1</v>
      </c>
      <c r="AH149" s="176">
        <f t="shared" si="64"/>
        <v>7</v>
      </c>
      <c r="AI149" s="225">
        <f t="shared" si="65"/>
        <v>1.95284255800297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6">
        <v>13.415000000000001</v>
      </c>
      <c r="C150" s="390"/>
      <c r="D150" s="393">
        <f t="shared" si="48"/>
        <v>13.895017853276295</v>
      </c>
      <c r="E150" s="385">
        <f t="shared" si="69"/>
        <v>14.245887048223995</v>
      </c>
      <c r="F150" s="385">
        <f t="shared" si="49"/>
        <v>14.245887048223995</v>
      </c>
      <c r="G150" s="110">
        <f t="shared" si="70"/>
        <v>0.23166502247662654</v>
      </c>
      <c r="H150" s="414" t="b">
        <f>Wh_hp&gt;='2020'!Maxi_hp</f>
        <v>0</v>
      </c>
      <c r="I150" s="380">
        <f>IF(H150,Wh_hp,'2020'!Maxi_hp)</f>
        <v>52.342496301263523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3.4546040771233064E-2</v>
      </c>
      <c r="M150" s="843"/>
      <c r="N150" s="843"/>
      <c r="O150" s="48">
        <f>IF(t&lt;Tnet,'2020'!Resal+('2020'!Salim-'2020'!Resal)*(1-EXP(('2020'!Tnet-t)/('2020'!Tau_j))),Resal+(Salim-Resal)*(1-EXP((Tnet-t)/(Tau_j))))*Salcycl</f>
        <v>2.4629508416005808E-2</v>
      </c>
      <c r="P150" s="169">
        <f>(INDEX(Models!$BJ150:$BT150,,T150)*(1-R150)+INDEX(Models!$BJ150:$BT150,,T150+1)*R150-ERP_i)*Q150*Ramure*Pc/MaxiM</f>
        <v>2.0940717326179987E-3</v>
      </c>
      <c r="Q150" s="305">
        <f t="shared" si="51"/>
        <v>0.8</v>
      </c>
      <c r="R150" s="177">
        <f t="shared" si="52"/>
        <v>0.75765670880380009</v>
      </c>
      <c r="S150" s="809">
        <f t="shared" si="53"/>
        <v>0</v>
      </c>
      <c r="T150" s="176">
        <f t="shared" si="54"/>
        <v>6</v>
      </c>
      <c r="U150" s="251">
        <f t="shared" si="55"/>
        <v>0.75765670880380009</v>
      </c>
      <c r="V150" s="383">
        <f t="shared" si="56"/>
        <v>57.785624625562889</v>
      </c>
      <c r="W150" s="402"/>
      <c r="X150" s="157">
        <f t="shared" si="57"/>
        <v>44332</v>
      </c>
      <c r="Y150" s="385">
        <f t="shared" si="58"/>
        <v>12.128763673615966</v>
      </c>
      <c r="Z150" s="385">
        <f t="shared" si="59"/>
        <v>12.562757195904794</v>
      </c>
      <c r="AA150" s="386">
        <f t="shared" si="60"/>
        <v>14.245887048223995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0.11814847658286272</v>
      </c>
      <c r="AD150" s="231">
        <f>(INDEX(Models!$BJ150:$BT150,,AH150)*(1-AF150)+INDEX(Models!$BJ150:$BT150,,AH150+1)*AF150-ERP_i)*AE150*Ramure*Pc/MaxiM</f>
        <v>6.3250185558491731E-3</v>
      </c>
      <c r="AE150" s="305">
        <f t="shared" si="62"/>
        <v>0.8</v>
      </c>
      <c r="AF150" s="177">
        <f t="shared" si="63"/>
        <v>0.9575902829563212</v>
      </c>
      <c r="AG150" s="809">
        <f t="shared" si="71"/>
        <v>1</v>
      </c>
      <c r="AH150" s="176">
        <f t="shared" si="64"/>
        <v>7</v>
      </c>
      <c r="AI150" s="225">
        <f t="shared" si="65"/>
        <v>1.9575902829563212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6">
        <v>56.362000000000002</v>
      </c>
      <c r="C151" s="390"/>
      <c r="D151" s="393">
        <f t="shared" si="48"/>
        <v>58.380129071544829</v>
      </c>
      <c r="E151" s="385">
        <f t="shared" si="69"/>
        <v>59.870430831735312</v>
      </c>
      <c r="F151" s="385">
        <f t="shared" si="49"/>
        <v>59.99498381286103</v>
      </c>
      <c r="G151" s="110">
        <f t="shared" si="70"/>
        <v>0.97402477377382657</v>
      </c>
      <c r="H151" s="414" t="b">
        <f>Wh_hp&gt;='2020'!Maxi_hp</f>
        <v>1</v>
      </c>
      <c r="I151" s="380">
        <f>IF(H151,Wh_hp,'2020'!Maxi_hp)</f>
        <v>59.99498381286103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3.4568766867089581E-2</v>
      </c>
      <c r="M151" s="843"/>
      <c r="N151" s="843"/>
      <c r="O151" s="48">
        <f>IF(t&lt;Tnet,'2020'!Resal+('2020'!Salim-'2020'!Resal)*(1-EXP(('2020'!Tnet-t)/('2020'!Tau_j))),Resal+(Salim-Resal)*(1-EXP((Tnet-t)/(Tau_j))))*Salcycl</f>
        <v>2.4892116851120479E-2</v>
      </c>
      <c r="P151" s="169">
        <f>(INDEX(Models!$BJ151:$BT151,,T151)*(1-R151)+INDEX(Models!$BJ151:$BT151,,T151+1)*R151-ERP_i)*Q151*Ramure*Pc/MaxiM</f>
        <v>2.1558135964302987E-3</v>
      </c>
      <c r="Q151" s="305">
        <f t="shared" si="51"/>
        <v>0.8</v>
      </c>
      <c r="R151" s="177">
        <f t="shared" si="52"/>
        <v>0.76249757883576863</v>
      </c>
      <c r="S151" s="809">
        <f t="shared" si="53"/>
        <v>0</v>
      </c>
      <c r="T151" s="176">
        <f t="shared" si="54"/>
        <v>6</v>
      </c>
      <c r="U151" s="251">
        <f t="shared" si="55"/>
        <v>0.76249757883576863</v>
      </c>
      <c r="V151" s="383">
        <f t="shared" si="56"/>
        <v>57.860433225991621</v>
      </c>
      <c r="W151" s="402"/>
      <c r="X151" s="157">
        <f t="shared" si="57"/>
        <v>44333</v>
      </c>
      <c r="Y151" s="385">
        <f t="shared" si="58"/>
        <v>50.748608445717736</v>
      </c>
      <c r="Z151" s="385">
        <f t="shared" si="59"/>
        <v>52.565741301981681</v>
      </c>
      <c r="AA151" s="386">
        <f t="shared" si="60"/>
        <v>59.621754960215632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0.11834629260648714</v>
      </c>
      <c r="AD151" s="231">
        <f>(INDEX(Models!$BJ151:$BT151,,AH151)*(1-AF151)+INDEX(Models!$BJ151:$BT151,,AH151+1)*AF151-ERP_i)*AE151*Ramure*Pc/MaxiM</f>
        <v>6.4599966041831653E-3</v>
      </c>
      <c r="AE151" s="305">
        <f t="shared" si="62"/>
        <v>0.8</v>
      </c>
      <c r="AF151" s="177">
        <f t="shared" si="63"/>
        <v>0.96243115298828985</v>
      </c>
      <c r="AG151" s="809">
        <f t="shared" si="71"/>
        <v>1</v>
      </c>
      <c r="AH151" s="176">
        <f t="shared" si="64"/>
        <v>7</v>
      </c>
      <c r="AI151" s="225">
        <f t="shared" si="65"/>
        <v>1.9624311529882899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6">
        <v>34.85</v>
      </c>
      <c r="C152" s="390"/>
      <c r="D152" s="393">
        <f t="shared" si="48"/>
        <v>36.098708191278554</v>
      </c>
      <c r="E152" s="385">
        <f t="shared" si="69"/>
        <v>37.030198094510524</v>
      </c>
      <c r="F152" s="385">
        <f t="shared" si="49"/>
        <v>37.065628459064548</v>
      </c>
      <c r="G152" s="110">
        <f t="shared" si="70"/>
        <v>0.6008526784815017</v>
      </c>
      <c r="H152" s="414" t="b">
        <f>Wh_hp&gt;='2020'!Maxi_hp</f>
        <v>0</v>
      </c>
      <c r="I152" s="380">
        <f>IF(H152,Wh_hp,'2020'!Maxi_hp)</f>
        <v>63.269617508467668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3.4591492434076707E-2</v>
      </c>
      <c r="M152" s="843"/>
      <c r="N152" s="843"/>
      <c r="O152" s="48">
        <f>IF(t&lt;Tnet,'2020'!Resal+('2020'!Salim-'2020'!Resal)*(1-EXP(('2020'!Tnet-t)/('2020'!Tau_j))),Resal+(Salim-Resal)*(1-EXP((Tnet-t)/(Tau_j))))*Salcycl</f>
        <v>2.5154872270857657E-2</v>
      </c>
      <c r="P152" s="169">
        <f>(INDEX(Models!$BJ152:$BT152,,T152)*(1-R152)+INDEX(Models!$BJ152:$BT152,,T152+1)*R152-ERP_i)*Q152*Ramure*Pc/MaxiM</f>
        <v>2.2184633071543011E-3</v>
      </c>
      <c r="Q152" s="305">
        <f t="shared" si="51"/>
        <v>0.8</v>
      </c>
      <c r="R152" s="177">
        <f t="shared" si="52"/>
        <v>0.76743015510451718</v>
      </c>
      <c r="S152" s="809">
        <f t="shared" si="53"/>
        <v>0</v>
      </c>
      <c r="T152" s="176">
        <f t="shared" si="54"/>
        <v>6</v>
      </c>
      <c r="U152" s="251">
        <f t="shared" si="55"/>
        <v>0.76743015510451718</v>
      </c>
      <c r="V152" s="383">
        <f t="shared" si="56"/>
        <v>57.927605527337882</v>
      </c>
      <c r="W152" s="402"/>
      <c r="X152" s="157">
        <f t="shared" si="57"/>
        <v>44334</v>
      </c>
      <c r="Y152" s="385">
        <f t="shared" si="58"/>
        <v>31.451811478627608</v>
      </c>
      <c r="Z152" s="385">
        <f t="shared" si="59"/>
        <v>32.57875938749163</v>
      </c>
      <c r="AA152" s="386">
        <f t="shared" si="60"/>
        <v>36.960199541809978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0.11854481871403288</v>
      </c>
      <c r="AD152" s="231">
        <f>(INDEX(Models!$BJ152:$BT152,,AH152)*(1-AF152)+INDEX(Models!$BJ152:$BT152,,AH152+1)*AF152-ERP_i)*AE152*Ramure*Pc/MaxiM</f>
        <v>6.6014049639713116E-3</v>
      </c>
      <c r="AE152" s="305">
        <f t="shared" si="62"/>
        <v>0.8</v>
      </c>
      <c r="AF152" s="177">
        <f t="shared" si="63"/>
        <v>0.96736372925703829</v>
      </c>
      <c r="AG152" s="809">
        <f t="shared" si="71"/>
        <v>1</v>
      </c>
      <c r="AH152" s="176">
        <f t="shared" si="64"/>
        <v>7</v>
      </c>
      <c r="AI152" s="225">
        <f t="shared" si="65"/>
        <v>1.9673637292570383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6">
        <v>43.606999999999999</v>
      </c>
      <c r="C153" s="390"/>
      <c r="D153" s="393">
        <f t="shared" si="48"/>
        <v>45.170542998694472</v>
      </c>
      <c r="E153" s="385">
        <f t="shared" si="69"/>
        <v>46.348621168261126</v>
      </c>
      <c r="F153" s="385">
        <f t="shared" si="49"/>
        <v>46.417018758732347</v>
      </c>
      <c r="G153" s="110">
        <f t="shared" si="70"/>
        <v>0.75139715055143341</v>
      </c>
      <c r="H153" s="414" t="b">
        <f>Wh_hp&gt;='2020'!Maxi_hp</f>
        <v>0</v>
      </c>
      <c r="I153" s="380">
        <f>IF(H153,Wh_hp,'2020'!Maxi_hp)</f>
        <v>62.475898424686022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3.4614217472206651E-2</v>
      </c>
      <c r="M153" s="843"/>
      <c r="N153" s="843"/>
      <c r="O153" s="48">
        <f>IF(t&lt;Tnet,'2020'!Resal+('2020'!Salim-'2020'!Resal)*(1-EXP(('2020'!Tnet-t)/('2020'!Tau_j))),Resal+(Salim-Resal)*(1-EXP((Tnet-t)/(Tau_j))))*Salcycl</f>
        <v>2.541776087124217E-2</v>
      </c>
      <c r="P153" s="169">
        <f>(INDEX(Models!$BJ153:$BT153,,T153)*(1-R153)+INDEX(Models!$BJ153:$BT153,,T153+1)*R153-ERP_i)*Q153*Ramure*Pc/MaxiM</f>
        <v>2.282009157105224E-3</v>
      </c>
      <c r="Q153" s="305">
        <f t="shared" si="51"/>
        <v>0.8</v>
      </c>
      <c r="R153" s="177">
        <f t="shared" si="52"/>
        <v>0.7724527860252729</v>
      </c>
      <c r="S153" s="809">
        <f t="shared" si="53"/>
        <v>0</v>
      </c>
      <c r="T153" s="176">
        <f t="shared" si="54"/>
        <v>6</v>
      </c>
      <c r="U153" s="251">
        <f t="shared" si="55"/>
        <v>0.7724527860252729</v>
      </c>
      <c r="V153" s="383">
        <f t="shared" si="56"/>
        <v>57.987567917409585</v>
      </c>
      <c r="W153" s="402"/>
      <c r="X153" s="157">
        <f t="shared" si="57"/>
        <v>44335</v>
      </c>
      <c r="Y153" s="385">
        <f t="shared" si="58"/>
        <v>39.317270516979306</v>
      </c>
      <c r="Z153" s="385">
        <f t="shared" si="59"/>
        <v>40.727003886497947</v>
      </c>
      <c r="AA153" s="386">
        <f t="shared" si="60"/>
        <v>46.214723791627115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0.11874397280555411</v>
      </c>
      <c r="AD153" s="231">
        <f>(INDEX(Models!$BJ153:$BT153,,AH153)*(1-AF153)+INDEX(Models!$BJ153:$BT153,,AH153+1)*AF153-ERP_i)*AE153*Ramure*Pc/MaxiM</f>
        <v>6.7493454694824949E-3</v>
      </c>
      <c r="AE153" s="305">
        <f t="shared" si="62"/>
        <v>0.8</v>
      </c>
      <c r="AF153" s="177">
        <f t="shared" si="63"/>
        <v>0.97238636017779423</v>
      </c>
      <c r="AG153" s="809">
        <f t="shared" si="71"/>
        <v>1</v>
      </c>
      <c r="AH153" s="176">
        <f t="shared" si="64"/>
        <v>7</v>
      </c>
      <c r="AI153" s="225">
        <f t="shared" si="65"/>
        <v>1.9723863601777942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6">
        <v>57.79</v>
      </c>
      <c r="C154" s="390"/>
      <c r="D154" s="393">
        <f t="shared" si="48"/>
        <v>59.863488166430372</v>
      </c>
      <c r="E154" s="385">
        <f t="shared" si="69"/>
        <v>61.441349169153064</v>
      </c>
      <c r="F154" s="385">
        <f t="shared" si="49"/>
        <v>61.584962409087645</v>
      </c>
      <c r="G154" s="110">
        <f t="shared" si="70"/>
        <v>0.99566536528992156</v>
      </c>
      <c r="H154" s="414" t="b">
        <f>Wh_hp&gt;='2020'!Maxi_hp</f>
        <v>1</v>
      </c>
      <c r="I154" s="380">
        <f>IF(H154,Wh_hp,'2020'!Maxi_hp)</f>
        <v>61.584962409087645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3.4636941981491851E-2</v>
      </c>
      <c r="M154" s="843"/>
      <c r="N154" s="843"/>
      <c r="O154" s="48">
        <f>IF(t&lt;Tnet,'2020'!Resal+('2020'!Salim-'2020'!Resal)*(1-EXP(('2020'!Tnet-t)/('2020'!Tau_j))),Resal+(Salim-Resal)*(1-EXP((Tnet-t)/(Tau_j))))*Salcycl</f>
        <v>2.568076749712497E-2</v>
      </c>
      <c r="P154" s="169">
        <f>(INDEX(Models!$BJ154:$BT154,,T154)*(1-R154)+INDEX(Models!$BJ154:$BT154,,T154+1)*R154-ERP_i)*Q154*Ramure*Pc/MaxiM</f>
        <v>2.3464344972614183E-3</v>
      </c>
      <c r="Q154" s="305">
        <f t="shared" si="51"/>
        <v>0.8</v>
      </c>
      <c r="R154" s="177">
        <f t="shared" si="52"/>
        <v>0.7775636043944657</v>
      </c>
      <c r="S154" s="809">
        <f t="shared" si="53"/>
        <v>0</v>
      </c>
      <c r="T154" s="176">
        <f t="shared" si="54"/>
        <v>6</v>
      </c>
      <c r="U154" s="251">
        <f t="shared" si="55"/>
        <v>0.7775636043944657</v>
      </c>
      <c r="V154" s="383">
        <f t="shared" si="56"/>
        <v>58.040746594888127</v>
      </c>
      <c r="W154" s="402"/>
      <c r="X154" s="157">
        <f t="shared" si="57"/>
        <v>44336</v>
      </c>
      <c r="Y154" s="385">
        <f t="shared" si="58"/>
        <v>52.021028359390108</v>
      </c>
      <c r="Z154" s="385">
        <f t="shared" si="59"/>
        <v>53.887527523756503</v>
      </c>
      <c r="AA154" s="386">
        <f t="shared" si="60"/>
        <v>61.162408867215014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0.11894366945638854</v>
      </c>
      <c r="AD154" s="231">
        <f>(INDEX(Models!$BJ154:$BT154,,AH154)*(1-AF154)+INDEX(Models!$BJ154:$BT154,,AH154+1)*AF154-ERP_i)*AE154*Ramure*Pc/MaxiM</f>
        <v>6.9039192211077308E-3</v>
      </c>
      <c r="AE154" s="305">
        <f t="shared" si="62"/>
        <v>0.8</v>
      </c>
      <c r="AF154" s="177">
        <f t="shared" si="63"/>
        <v>0.97749717854698703</v>
      </c>
      <c r="AG154" s="809">
        <f t="shared" si="71"/>
        <v>1</v>
      </c>
      <c r="AH154" s="176">
        <f t="shared" si="64"/>
        <v>7</v>
      </c>
      <c r="AI154" s="225">
        <f t="shared" si="65"/>
        <v>1.977497178546987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6">
        <v>35.670999999999999</v>
      </c>
      <c r="C155" s="390"/>
      <c r="D155" s="393">
        <f t="shared" si="48"/>
        <v>36.951734784339571</v>
      </c>
      <c r="E155" s="385">
        <f t="shared" si="69"/>
        <v>37.935940097217667</v>
      </c>
      <c r="F155" s="385">
        <f t="shared" si="49"/>
        <v>37.977036491821906</v>
      </c>
      <c r="G155" s="110">
        <f t="shared" si="70"/>
        <v>0.61327273050208886</v>
      </c>
      <c r="H155" s="414" t="b">
        <f>Wh_hp&gt;='2020'!Maxi_hp</f>
        <v>0</v>
      </c>
      <c r="I155" s="380">
        <f>IF(H155,Wh_hp,'2020'!Maxi_hp)</f>
        <v>60.33184776738014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3.4659665961944405E-2</v>
      </c>
      <c r="M155" s="843"/>
      <c r="N155" s="843"/>
      <c r="O155" s="48">
        <f>IF(t&lt;Tnet,'2020'!Resal+('2020'!Salim-'2020'!Resal)*(1-EXP(('2020'!Tnet-t)/('2020'!Tau_j))),Resal+(Salim-Resal)*(1-EXP((Tnet-t)/(Tau_j))))*Salcycl</f>
        <v>2.5943875658699746E-2</v>
      </c>
      <c r="P155" s="169">
        <f>(INDEX(Models!$BJ155:$BT155,,T155)*(1-R155)+INDEX(Models!$BJ155:$BT155,,T155+1)*R155-ERP_i)*Q155*Ramure*Pc/MaxiM</f>
        <v>2.4117175721584754E-3</v>
      </c>
      <c r="Q155" s="305">
        <f t="shared" si="51"/>
        <v>0.8</v>
      </c>
      <c r="R155" s="177">
        <f t="shared" si="52"/>
        <v>0.78276052541959718</v>
      </c>
      <c r="S155" s="809">
        <f t="shared" si="53"/>
        <v>0</v>
      </c>
      <c r="T155" s="176">
        <f t="shared" si="54"/>
        <v>6</v>
      </c>
      <c r="U155" s="251">
        <f t="shared" si="55"/>
        <v>0.78276052541959718</v>
      </c>
      <c r="V155" s="383">
        <f t="shared" si="56"/>
        <v>58.087567597472791</v>
      </c>
      <c r="W155" s="402"/>
      <c r="X155" s="157">
        <f t="shared" si="57"/>
        <v>44337</v>
      </c>
      <c r="Y155" s="385">
        <f t="shared" si="58"/>
        <v>32.19048770226162</v>
      </c>
      <c r="Z155" s="385">
        <f t="shared" si="59"/>
        <v>33.346257860797735</v>
      </c>
      <c r="AA155" s="386">
        <f t="shared" si="60"/>
        <v>37.856642914112903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0.11914382010967224</v>
      </c>
      <c r="AD155" s="231">
        <f>(INDEX(Models!$BJ155:$BT155,,AH155)*(1-AF155)+INDEX(Models!$BJ155:$BT155,,AH155+1)*AF155-ERP_i)*AE155*Ramure*Pc/MaxiM</f>
        <v>7.0652257876142738E-3</v>
      </c>
      <c r="AE155" s="305">
        <f t="shared" si="62"/>
        <v>0.8</v>
      </c>
      <c r="AF155" s="177">
        <f t="shared" si="63"/>
        <v>0.98269409957211851</v>
      </c>
      <c r="AG155" s="809">
        <f t="shared" si="71"/>
        <v>1</v>
      </c>
      <c r="AH155" s="176">
        <f t="shared" si="64"/>
        <v>7</v>
      </c>
      <c r="AI155" s="225">
        <f t="shared" si="65"/>
        <v>1.9826940995721185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6">
        <v>28.405000000000001</v>
      </c>
      <c r="C156" s="390"/>
      <c r="D156" s="393">
        <f t="shared" si="48"/>
        <v>29.425548325741385</v>
      </c>
      <c r="E156" s="385">
        <f t="shared" si="69"/>
        <v>30.217459323584521</v>
      </c>
      <c r="F156" s="385">
        <f t="shared" si="49"/>
        <v>30.237644682243285</v>
      </c>
      <c r="G156" s="110">
        <f t="shared" si="70"/>
        <v>0.48777391288627842</v>
      </c>
      <c r="H156" s="414" t="b">
        <f>Wh_hp&gt;='2020'!Maxi_hp</f>
        <v>0</v>
      </c>
      <c r="I156" s="380">
        <f>IF(H156,Wh_hp,'2020'!Maxi_hp)</f>
        <v>60.101475651272665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3.468238941357675E-2</v>
      </c>
      <c r="M156" s="843"/>
      <c r="N156" s="843"/>
      <c r="O156" s="48">
        <f>IF(t&lt;Tnet,'2020'!Resal+('2020'!Salim-'2020'!Resal)*(1-EXP(('2020'!Tnet-t)/('2020'!Tau_j))),Resal+(Salim-Resal)*(1-EXP((Tnet-t)/(Tau_j))))*Salcycl</f>
        <v>2.6207067555314104E-2</v>
      </c>
      <c r="P156" s="169">
        <f>(INDEX(Models!$BJ156:$BT156,,T156)*(1-R156)+INDEX(Models!$BJ156:$BT156,,T156+1)*R156-ERP_i)*Q156*Ramure*Pc/MaxiM</f>
        <v>2.4769076229071633E-3</v>
      </c>
      <c r="Q156" s="305">
        <f t="shared" si="51"/>
        <v>0.8</v>
      </c>
      <c r="R156" s="177">
        <f t="shared" si="52"/>
        <v>0.78804124571426382</v>
      </c>
      <c r="S156" s="809">
        <f t="shared" si="53"/>
        <v>0</v>
      </c>
      <c r="T156" s="176">
        <f t="shared" si="54"/>
        <v>6</v>
      </c>
      <c r="U156" s="251">
        <f t="shared" si="55"/>
        <v>0.78804124571426382</v>
      </c>
      <c r="V156" s="383">
        <f t="shared" si="56"/>
        <v>58.128510610321499</v>
      </c>
      <c r="W156" s="402"/>
      <c r="X156" s="157">
        <f t="shared" si="57"/>
        <v>44338</v>
      </c>
      <c r="Y156" s="385">
        <f t="shared" si="58"/>
        <v>25.655297507609461</v>
      </c>
      <c r="Z156" s="385">
        <f t="shared" si="59"/>
        <v>26.57705321673771</v>
      </c>
      <c r="AA156" s="386">
        <f t="shared" si="60"/>
        <v>30.178711409491807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0.1193443332912254</v>
      </c>
      <c r="AD156" s="231">
        <f>(INDEX(Models!$BJ156:$BT156,,AH156)*(1-AF156)+INDEX(Models!$BJ156:$BT156,,AH156+1)*AF156-ERP_i)*AE156*Ramure*Pc/MaxiM</f>
        <v>7.2315917189619307E-3</v>
      </c>
      <c r="AE156" s="305">
        <f t="shared" si="62"/>
        <v>0.8</v>
      </c>
      <c r="AF156" s="177">
        <f t="shared" si="63"/>
        <v>0.98797481986678504</v>
      </c>
      <c r="AG156" s="809">
        <f t="shared" si="71"/>
        <v>1</v>
      </c>
      <c r="AH156" s="176">
        <f t="shared" si="64"/>
        <v>7</v>
      </c>
      <c r="AI156" s="225">
        <f t="shared" si="65"/>
        <v>1.987974819866785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6">
        <v>37.276000000000003</v>
      </c>
      <c r="C157" s="390"/>
      <c r="D157" s="393">
        <f t="shared" si="48"/>
        <v>38.6161788240927</v>
      </c>
      <c r="E157" s="385">
        <f t="shared" si="69"/>
        <v>39.666154797654457</v>
      </c>
      <c r="F157" s="385">
        <f t="shared" si="49"/>
        <v>39.715320182594517</v>
      </c>
      <c r="G157" s="110">
        <f t="shared" si="70"/>
        <v>0.6400407453458653</v>
      </c>
      <c r="H157" s="414" t="b">
        <f>Wh_hp&gt;='2020'!Maxi_hp</f>
        <v>0</v>
      </c>
      <c r="I157" s="380">
        <f>IF(H157,Wh_hp,'2020'!Maxi_hp)</f>
        <v>57.387775282609631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3.4705112336401209E-2</v>
      </c>
      <c r="M157" s="843"/>
      <c r="N157" s="843"/>
      <c r="O157" s="48">
        <f>IF(t&lt;Tnet,'2020'!Resal+('2020'!Salim-'2020'!Resal)*(1-EXP(('2020'!Tnet-t)/('2020'!Tau_j))),Resal+(Salim-Resal)*(1-EXP((Tnet-t)/(Tau_j))))*Salcycl</f>
        <v>2.6470324106733088E-2</v>
      </c>
      <c r="P157" s="169">
        <f>(INDEX(Models!$BJ157:$BT157,,T157)*(1-R157)+INDEX(Models!$BJ157:$BT157,,T157+1)*R157-ERP_i)*Q157*Ramure*Pc/MaxiM</f>
        <v>2.542148589129099E-3</v>
      </c>
      <c r="Q157" s="305">
        <f t="shared" si="51"/>
        <v>0.8</v>
      </c>
      <c r="R157" s="177">
        <f t="shared" si="52"/>
        <v>0.79340324331239065</v>
      </c>
      <c r="S157" s="809">
        <f t="shared" si="53"/>
        <v>0</v>
      </c>
      <c r="T157" s="176">
        <f t="shared" si="54"/>
        <v>6</v>
      </c>
      <c r="U157" s="251">
        <f t="shared" si="55"/>
        <v>0.79340324331239065</v>
      </c>
      <c r="V157" s="383">
        <f t="shared" si="56"/>
        <v>58.163991156079923</v>
      </c>
      <c r="W157" s="402"/>
      <c r="X157" s="157">
        <f t="shared" si="57"/>
        <v>44339</v>
      </c>
      <c r="Y157" s="385">
        <f t="shared" si="58"/>
        <v>33.632393812924619</v>
      </c>
      <c r="Z157" s="385">
        <f t="shared" si="59"/>
        <v>34.841574572438184</v>
      </c>
      <c r="AA157" s="386">
        <f t="shared" si="60"/>
        <v>39.572242893919487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0.119545114846351</v>
      </c>
      <c r="AD157" s="231">
        <f>(INDEX(Models!$BJ157:$BT157,,AH157)*(1-AF157)+INDEX(Models!$BJ157:$BT157,,AH157+1)*AF157-ERP_i)*AE157*Ramure*Pc/MaxiM</f>
        <v>7.3979635872896072E-3</v>
      </c>
      <c r="AE157" s="305">
        <f t="shared" si="62"/>
        <v>0.8</v>
      </c>
      <c r="AF157" s="177">
        <f t="shared" si="63"/>
        <v>0.99333681746491198</v>
      </c>
      <c r="AG157" s="809">
        <f t="shared" si="71"/>
        <v>1</v>
      </c>
      <c r="AH157" s="176">
        <f t="shared" si="64"/>
        <v>7</v>
      </c>
      <c r="AI157" s="225">
        <f t="shared" si="65"/>
        <v>1.993336817464912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6">
        <v>30.303000000000001</v>
      </c>
      <c r="C158" s="390"/>
      <c r="D158" s="393">
        <f t="shared" si="48"/>
        <v>31.393218503858268</v>
      </c>
      <c r="E158" s="385">
        <f t="shared" si="69"/>
        <v>32.255525629968325</v>
      </c>
      <c r="F158" s="385">
        <f t="shared" si="49"/>
        <v>32.282065944533301</v>
      </c>
      <c r="G158" s="110">
        <f t="shared" si="70"/>
        <v>0.51978950751432318</v>
      </c>
      <c r="H158" s="414" t="b">
        <f>Wh_hp&gt;='2020'!Maxi_hp</f>
        <v>1</v>
      </c>
      <c r="I158" s="380">
        <f>IF(H158,Wh_hp,'2020'!Maxi_hp)</f>
        <v>32.282065944533301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3.4727834730430104E-2</v>
      </c>
      <c r="M158" s="843"/>
      <c r="N158" s="843"/>
      <c r="O158" s="48">
        <f>IF(t&lt;Tnet,'2020'!Resal+('2020'!Salim-'2020'!Resal)*(1-EXP(('2020'!Tnet-t)/('2020'!Tau_j))),Resal+(Salim-Resal)*(1-EXP((Tnet-t)/(Tau_j))))*Salcycl</f>
        <v>2.6733624991957822E-2</v>
      </c>
      <c r="P158" s="169">
        <f>(INDEX(Models!$BJ158:$BT158,,T158)*(1-R158)+INDEX(Models!$BJ158:$BT158,,T158+1)*R158-ERP_i)*Q158*Ramure*Pc/MaxiM</f>
        <v>2.6073620854550551E-3</v>
      </c>
      <c r="Q158" s="305">
        <f t="shared" si="51"/>
        <v>0.8</v>
      </c>
      <c r="R158" s="177">
        <f t="shared" si="52"/>
        <v>0.79884377874938606</v>
      </c>
      <c r="S158" s="809">
        <f t="shared" si="53"/>
        <v>0</v>
      </c>
      <c r="T158" s="176">
        <f t="shared" si="54"/>
        <v>6</v>
      </c>
      <c r="U158" s="251">
        <f t="shared" si="55"/>
        <v>0.79884377874938606</v>
      </c>
      <c r="V158" s="383">
        <f t="shared" si="56"/>
        <v>58.194437183255182</v>
      </c>
      <c r="W158" s="402"/>
      <c r="X158" s="157">
        <f t="shared" si="57"/>
        <v>44340</v>
      </c>
      <c r="Y158" s="385">
        <f t="shared" si="58"/>
        <v>27.364152843579571</v>
      </c>
      <c r="Z158" s="385">
        <f t="shared" si="59"/>
        <v>28.348639718558164</v>
      </c>
      <c r="AA158" s="386">
        <f t="shared" si="60"/>
        <v>32.205070257989014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0.11974606819788558</v>
      </c>
      <c r="AD158" s="231">
        <f>(INDEX(Models!$BJ158:$BT158,,AH158)*(1-AF158)+INDEX(Models!$BJ158:$BT158,,AH158+1)*AF158-ERP_i)*AE158*Ramure*Pc/MaxiM</f>
        <v>7.5641768807103438E-3</v>
      </c>
      <c r="AE158" s="305">
        <f t="shared" si="62"/>
        <v>0.8</v>
      </c>
      <c r="AF158" s="177">
        <f t="shared" si="63"/>
        <v>0.99877735290190728</v>
      </c>
      <c r="AG158" s="809">
        <f t="shared" si="71"/>
        <v>1</v>
      </c>
      <c r="AH158" s="176">
        <f t="shared" si="64"/>
        <v>7</v>
      </c>
      <c r="AI158" s="225">
        <f t="shared" si="65"/>
        <v>1.9987773529019073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6">
        <v>47.463000000000001</v>
      </c>
      <c r="C159" s="390"/>
      <c r="D159" s="393">
        <f t="shared" si="48"/>
        <v>49.171745525802564</v>
      </c>
      <c r="E159" s="385">
        <f t="shared" si="69"/>
        <v>50.536065082103804</v>
      </c>
      <c r="F159" s="385">
        <f t="shared" si="49"/>
        <v>50.635668681218334</v>
      </c>
      <c r="G159" s="110">
        <f t="shared" si="70"/>
        <v>0.81465524539212109</v>
      </c>
      <c r="H159" s="414" t="b">
        <f>Wh_hp&gt;='2020'!Maxi_hp</f>
        <v>0</v>
      </c>
      <c r="I159" s="380">
        <f>IF(H159,Wh_hp,'2020'!Maxi_hp)</f>
        <v>58.648188470902781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3.475055659567565E-2</v>
      </c>
      <c r="M159" s="843"/>
      <c r="N159" s="843"/>
      <c r="O159" s="48">
        <f>IF(t&lt;Tnet,'2020'!Resal+('2020'!Salim-'2020'!Resal)*(1-EXP(('2020'!Tnet-t)/('2020'!Tau_j))),Resal+(Salim-Resal)*(1-EXP((Tnet-t)/(Tau_j))))*Salcycl</f>
        <v>2.6996948695643144E-2</v>
      </c>
      <c r="P159" s="169">
        <f>(INDEX(Models!$BJ159:$BT159,,T159)*(1-R159)+INDEX(Models!$BJ159:$BT159,,T159+1)*R159-ERP_i)*Q159*Ramure*Pc/MaxiM</f>
        <v>2.6724780909376314E-3</v>
      </c>
      <c r="Q159" s="305">
        <f t="shared" si="51"/>
        <v>0.8</v>
      </c>
      <c r="R159" s="177">
        <f t="shared" si="52"/>
        <v>0.8043598972506466</v>
      </c>
      <c r="S159" s="809">
        <f t="shared" si="53"/>
        <v>0</v>
      </c>
      <c r="T159" s="176">
        <f t="shared" si="54"/>
        <v>6</v>
      </c>
      <c r="U159" s="251">
        <f t="shared" si="55"/>
        <v>0.8043598972506466</v>
      </c>
      <c r="V159" s="383">
        <f t="shared" si="56"/>
        <v>58.220275642136571</v>
      </c>
      <c r="W159" s="402"/>
      <c r="X159" s="157">
        <f t="shared" si="57"/>
        <v>44341</v>
      </c>
      <c r="Y159" s="385">
        <f t="shared" si="58"/>
        <v>42.768696308475633</v>
      </c>
      <c r="Z159" s="385">
        <f t="shared" si="59"/>
        <v>44.308439233733544</v>
      </c>
      <c r="AA159" s="386">
        <f t="shared" si="60"/>
        <v>50.347472252063078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0.11994709462463771</v>
      </c>
      <c r="AD159" s="231">
        <f>(INDEX(Models!$BJ159:$BT159,,AH159)*(1-AF159)+INDEX(Models!$BJ159:$BT159,,AH159+1)*AF159-ERP_i)*AE159*Ramure*Pc/MaxiM</f>
        <v>7.7326386762216629E-3</v>
      </c>
      <c r="AE159" s="305">
        <f t="shared" si="62"/>
        <v>0.8</v>
      </c>
      <c r="AF159" s="177">
        <f t="shared" si="63"/>
        <v>4.2934714031677146E-3</v>
      </c>
      <c r="AG159" s="809">
        <f t="shared" si="71"/>
        <v>2</v>
      </c>
      <c r="AH159" s="176">
        <f t="shared" si="64"/>
        <v>8</v>
      </c>
      <c r="AI159" s="225">
        <f t="shared" si="65"/>
        <v>2.0042934714031677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6">
        <v>50.503999999999998</v>
      </c>
      <c r="C160" s="390"/>
      <c r="D160" s="393">
        <f t="shared" si="48"/>
        <v>52.323458152715602</v>
      </c>
      <c r="E160" s="385">
        <f t="shared" si="69"/>
        <v>53.78978227868847</v>
      </c>
      <c r="F160" s="385">
        <f t="shared" si="49"/>
        <v>53.909345881848488</v>
      </c>
      <c r="G160" s="110">
        <f t="shared" si="70"/>
        <v>0.86669001400669476</v>
      </c>
      <c r="H160" s="414" t="b">
        <f>Wh_hp&gt;='2020'!Maxi_hp</f>
        <v>0</v>
      </c>
      <c r="I160" s="380">
        <f>IF(H160,Wh_hp,'2020'!Maxi_hp)</f>
        <v>61.484504066070642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3.4773277932150168E-2</v>
      </c>
      <c r="M160" s="843"/>
      <c r="N160" s="843"/>
      <c r="O160" s="48">
        <f>IF(t&lt;Tnet,'2020'!Resal+('2020'!Salim-'2020'!Resal)*(1-EXP(('2020'!Tnet-t)/('2020'!Tau_j))),Resal+(Salim-Resal)*(1-EXP((Tnet-t)/(Tau_j))))*Salcycl</f>
        <v>2.7260272562096302E-2</v>
      </c>
      <c r="P160" s="169">
        <f>(INDEX(Models!$BJ160:$BT160,,T160)*(1-R160)+INDEX(Models!$BJ160:$BT160,,T160+1)*R160-ERP_i)*Q160*Ramure*Pc/MaxiM</f>
        <v>2.7374204711830374E-3</v>
      </c>
      <c r="Q160" s="305">
        <f t="shared" si="51"/>
        <v>0.8</v>
      </c>
      <c r="R160" s="177">
        <f t="shared" si="52"/>
        <v>0.8099484320596454</v>
      </c>
      <c r="S160" s="809">
        <f t="shared" si="53"/>
        <v>0</v>
      </c>
      <c r="T160" s="176">
        <f t="shared" si="54"/>
        <v>6</v>
      </c>
      <c r="U160" s="251">
        <f t="shared" si="55"/>
        <v>0.8099484320596454</v>
      </c>
      <c r="V160" s="383">
        <f t="shared" si="56"/>
        <v>58.241933314240605</v>
      </c>
      <c r="W160" s="402"/>
      <c r="X160" s="157">
        <f t="shared" si="57"/>
        <v>44342</v>
      </c>
      <c r="Y160" s="385">
        <f t="shared" si="58"/>
        <v>45.489809949074292</v>
      </c>
      <c r="Z160" s="385">
        <f t="shared" si="59"/>
        <v>47.128626786895587</v>
      </c>
      <c r="AA160" s="386">
        <f t="shared" si="60"/>
        <v>53.564271943830569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0.12014809355914774</v>
      </c>
      <c r="AD160" s="231">
        <f>(INDEX(Models!$BJ160:$BT160,,AH160)*(1-AF160)+INDEX(Models!$BJ160:$BT160,,AH160+1)*AF160-ERP_i)*AE160*Ramure*Pc/MaxiM</f>
        <v>7.9005018001824454E-3</v>
      </c>
      <c r="AE160" s="305">
        <f t="shared" si="62"/>
        <v>0.8</v>
      </c>
      <c r="AF160" s="177">
        <f t="shared" si="63"/>
        <v>9.8820062121665053E-3</v>
      </c>
      <c r="AG160" s="809">
        <f t="shared" si="71"/>
        <v>2</v>
      </c>
      <c r="AH160" s="176">
        <f t="shared" si="64"/>
        <v>8</v>
      </c>
      <c r="AI160" s="225">
        <f t="shared" si="65"/>
        <v>2.0098820062121665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6">
        <v>56.253</v>
      </c>
      <c r="C161" s="390"/>
      <c r="D161" s="393">
        <f t="shared" si="48"/>
        <v>58.280943641508117</v>
      </c>
      <c r="E161" s="385">
        <f t="shared" si="69"/>
        <v>59.930443571486819</v>
      </c>
      <c r="F161" s="385">
        <f t="shared" si="49"/>
        <v>60.090537870063628</v>
      </c>
      <c r="G161" s="110">
        <f t="shared" si="70"/>
        <v>0.96542018807553664</v>
      </c>
      <c r="H161" s="414" t="b">
        <f>Wh_hp&gt;='2020'!Maxi_hp</f>
        <v>0</v>
      </c>
      <c r="I161" s="380">
        <f>IF(H161,Wh_hp,'2020'!Maxi_hp)</f>
        <v>61.220926609696406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3.4795998739865983E-2</v>
      </c>
      <c r="M161" s="843"/>
      <c r="N161" s="843"/>
      <c r="O161" s="48">
        <f>IF(t&lt;Tnet,'2020'!Resal+('2020'!Salim-'2020'!Resal)*(1-EXP(('2020'!Tnet-t)/('2020'!Tau_j))),Resal+(Salim-Resal)*(1-EXP((Tnet-t)/(Tau_j))))*Salcycl</f>
        <v>2.7523572856775671E-2</v>
      </c>
      <c r="P161" s="169">
        <f>(INDEX(Models!$BJ161:$BT161,,T161)*(1-R161)+INDEX(Models!$BJ161:$BT161,,T161+1)*R161-ERP_i)*Q161*Ramure*Pc/MaxiM</f>
        <v>2.8021070534320638E-3</v>
      </c>
      <c r="Q161" s="305">
        <f t="shared" si="51"/>
        <v>0.8</v>
      </c>
      <c r="R161" s="177">
        <f t="shared" si="52"/>
        <v>0.81560600892881641</v>
      </c>
      <c r="S161" s="809">
        <f t="shared" si="53"/>
        <v>0</v>
      </c>
      <c r="T161" s="176">
        <f t="shared" si="54"/>
        <v>6</v>
      </c>
      <c r="U161" s="251">
        <f t="shared" si="55"/>
        <v>0.81560600892881641</v>
      </c>
      <c r="V161" s="383">
        <f t="shared" si="56"/>
        <v>58.259836811691088</v>
      </c>
      <c r="W161" s="402"/>
      <c r="X161" s="157">
        <f t="shared" si="57"/>
        <v>44343</v>
      </c>
      <c r="Y161" s="385">
        <f t="shared" si="58"/>
        <v>50.628111855705079</v>
      </c>
      <c r="Z161" s="385">
        <f t="shared" si="59"/>
        <v>52.453275980628881</v>
      </c>
      <c r="AA161" s="386">
        <f t="shared" si="60"/>
        <v>59.629641492567153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0.12034896290350501</v>
      </c>
      <c r="AD161" s="231">
        <f>(INDEX(Models!$BJ161:$BT161,,AH161)*(1-AF161)+INDEX(Models!$BJ161:$BT161,,AH161+1)*AF161-ERP_i)*AE161*Ramure*Pc/MaxiM</f>
        <v>8.0670017718623525E-3</v>
      </c>
      <c r="AE161" s="305">
        <f t="shared" si="62"/>
        <v>0.8</v>
      </c>
      <c r="AF161" s="177">
        <f t="shared" si="63"/>
        <v>1.5539583081337405E-2</v>
      </c>
      <c r="AG161" s="809">
        <f t="shared" si="71"/>
        <v>2</v>
      </c>
      <c r="AH161" s="176">
        <f t="shared" si="64"/>
        <v>8</v>
      </c>
      <c r="AI161" s="225">
        <f t="shared" si="65"/>
        <v>2.0155395830813374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6">
        <v>48.453000000000003</v>
      </c>
      <c r="C162" s="390"/>
      <c r="D162" s="393">
        <f t="shared" si="48"/>
        <v>50.20093215105107</v>
      </c>
      <c r="E162" s="385">
        <f t="shared" si="69"/>
        <v>51.635724996771977</v>
      </c>
      <c r="F162" s="385">
        <f t="shared" si="49"/>
        <v>51.748345001073659</v>
      </c>
      <c r="G162" s="110">
        <f t="shared" si="70"/>
        <v>0.83088760903188885</v>
      </c>
      <c r="H162" s="414" t="b">
        <f>Wh_hp&gt;='2020'!Maxi_hp</f>
        <v>0</v>
      </c>
      <c r="I162" s="380">
        <f>IF(H162,Wh_hp,'2020'!Maxi_hp)</f>
        <v>59.964902917287468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3.4818719018835417E-2</v>
      </c>
      <c r="M162" s="843"/>
      <c r="N162" s="843"/>
      <c r="O162" s="48">
        <f>IF(t&lt;Tnet,'2020'!Resal+('2020'!Salim-'2020'!Resal)*(1-EXP(('2020'!Tnet-t)/('2020'!Tau_j))),Resal+(Salim-Resal)*(1-EXP((Tnet-t)/(Tau_j))))*Salcycl</f>
        <v>2.7786824835142731E-2</v>
      </c>
      <c r="P162" s="169">
        <f>(INDEX(Models!$BJ162:$BT162,,T162)*(1-R162)+INDEX(Models!$BJ162:$BT162,,T162+1)*R162-ERP_i)*Q162*Ramure*Pc/MaxiM</f>
        <v>2.8664497370203021E-3</v>
      </c>
      <c r="Q162" s="305">
        <f t="shared" si="51"/>
        <v>0.8</v>
      </c>
      <c r="R162" s="177">
        <f t="shared" si="52"/>
        <v>0.82132905178666726</v>
      </c>
      <c r="S162" s="809">
        <f t="shared" si="53"/>
        <v>0</v>
      </c>
      <c r="T162" s="176">
        <f t="shared" si="54"/>
        <v>6</v>
      </c>
      <c r="U162" s="251">
        <f t="shared" si="55"/>
        <v>0.82132905178666726</v>
      </c>
      <c r="V162" s="383">
        <f t="shared" si="56"/>
        <v>58.274412556731555</v>
      </c>
      <c r="W162" s="402"/>
      <c r="X162" s="157">
        <f t="shared" si="57"/>
        <v>44344</v>
      </c>
      <c r="Y162" s="385">
        <f t="shared" si="58"/>
        <v>43.650956983291955</v>
      </c>
      <c r="Z162" s="385">
        <f t="shared" si="59"/>
        <v>45.225656406139727</v>
      </c>
      <c r="AA162" s="386">
        <f t="shared" si="60"/>
        <v>51.424908526187089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0.12054959936176692</v>
      </c>
      <c r="AD162" s="231">
        <f>(INDEX(Models!$BJ162:$BT162,,AH162)*(1-AF162)+INDEX(Models!$BJ162:$BT162,,AH162+1)*AF162-ERP_i)*AE162*Ramure*Pc/MaxiM</f>
        <v>8.2322355085146098E-3</v>
      </c>
      <c r="AE162" s="305">
        <f t="shared" si="62"/>
        <v>0.8</v>
      </c>
      <c r="AF162" s="177">
        <f t="shared" si="63"/>
        <v>2.1262625939188595E-2</v>
      </c>
      <c r="AG162" s="809">
        <f t="shared" si="71"/>
        <v>2</v>
      </c>
      <c r="AH162" s="176">
        <f t="shared" si="64"/>
        <v>8</v>
      </c>
      <c r="AI162" s="225">
        <f t="shared" si="65"/>
        <v>2.0212626259391886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6">
        <v>37.166000000000004</v>
      </c>
      <c r="C163" s="390"/>
      <c r="D163" s="393">
        <f t="shared" si="48"/>
        <v>38.507662360265236</v>
      </c>
      <c r="E163" s="385">
        <f t="shared" si="69"/>
        <v>39.618974712626624</v>
      </c>
      <c r="F163" s="385">
        <f t="shared" si="49"/>
        <v>39.675058937894875</v>
      </c>
      <c r="G163" s="110">
        <f t="shared" si="70"/>
        <v>0.63669808052826915</v>
      </c>
      <c r="H163" s="414" t="b">
        <f>Wh_hp&gt;='2020'!Maxi_hp</f>
        <v>0</v>
      </c>
      <c r="I163" s="380">
        <f>IF(H163,Wh_hp,'2020'!Maxi_hp)</f>
        <v>60.19879443494176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3.4841438769070796E-2</v>
      </c>
      <c r="M163" s="843"/>
      <c r="N163" s="843"/>
      <c r="O163" s="48">
        <f>IF(t&lt;Tnet,'2020'!Resal+('2020'!Salim-'2020'!Resal)*(1-EXP(('2020'!Tnet-t)/('2020'!Tau_j))),Resal+(Salim-Resal)*(1-EXP((Tnet-t)/(Tau_j))))*Salcycl</f>
        <v>2.8050002818654808E-2</v>
      </c>
      <c r="P163" s="169">
        <f>(INDEX(Models!$BJ163:$BT163,,T163)*(1-R163)+INDEX(Models!$BJ163:$BT163,,T163+1)*R163-ERP_i)*Q163*Ramure*Pc/MaxiM</f>
        <v>2.9304408284569834E-3</v>
      </c>
      <c r="Q163" s="305">
        <f t="shared" si="51"/>
        <v>0.8</v>
      </c>
      <c r="R163" s="177">
        <f t="shared" si="52"/>
        <v>0.82711378958413362</v>
      </c>
      <c r="S163" s="809">
        <f t="shared" si="53"/>
        <v>0</v>
      </c>
      <c r="T163" s="176">
        <f t="shared" si="54"/>
        <v>6</v>
      </c>
      <c r="U163" s="251">
        <f t="shared" si="55"/>
        <v>0.82711378958413362</v>
      </c>
      <c r="V163" s="383">
        <f t="shared" si="56"/>
        <v>58.284367448225879</v>
      </c>
      <c r="W163" s="402"/>
      <c r="X163" s="157">
        <f t="shared" si="57"/>
        <v>44345</v>
      </c>
      <c r="Y163" s="385">
        <f t="shared" si="58"/>
        <v>33.53251010364243</v>
      </c>
      <c r="Z163" s="385">
        <f t="shared" si="59"/>
        <v>34.743006435000943</v>
      </c>
      <c r="AA163" s="386">
        <f t="shared" si="60"/>
        <v>39.514361598689035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0.12074989878734091</v>
      </c>
      <c r="AD163" s="231">
        <f>(INDEX(Models!$BJ163:$BT163,,AH163)*(1-AF163)+INDEX(Models!$BJ163:$BT163,,AH163+1)*AF163-ERP_i)*AE163*Ramure*Pc/MaxiM</f>
        <v>8.3965507516746869E-3</v>
      </c>
      <c r="AE163" s="305">
        <f t="shared" si="62"/>
        <v>0.8</v>
      </c>
      <c r="AF163" s="177">
        <f t="shared" si="63"/>
        <v>2.7047363736655061E-2</v>
      </c>
      <c r="AG163" s="809">
        <f t="shared" si="71"/>
        <v>2</v>
      </c>
      <c r="AH163" s="176">
        <f t="shared" si="64"/>
        <v>8</v>
      </c>
      <c r="AI163" s="225">
        <f t="shared" si="65"/>
        <v>2.0270473637366551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6">
        <v>51.319000000000003</v>
      </c>
      <c r="C164" s="390"/>
      <c r="D164" s="393">
        <f t="shared" si="48"/>
        <v>53.172825799478858</v>
      </c>
      <c r="E164" s="385">
        <f t="shared" si="69"/>
        <v>54.722179253653863</v>
      </c>
      <c r="F164" s="385">
        <f t="shared" si="49"/>
        <v>54.858342891138996</v>
      </c>
      <c r="G164" s="110">
        <f t="shared" si="70"/>
        <v>0.8799814771827893</v>
      </c>
      <c r="H164" s="414" t="b">
        <f>Wh_hp&gt;='2020'!Maxi_hp</f>
        <v>0</v>
      </c>
      <c r="I164" s="380">
        <f>IF(H164,Wh_hp,'2020'!Maxi_hp)</f>
        <v>56.346398541738836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3.4864157990584441E-2</v>
      </c>
      <c r="M164" s="843"/>
      <c r="N164" s="843"/>
      <c r="O164" s="48">
        <f>IF(t&lt;Tnet,'2020'!Resal+('2020'!Salim-'2020'!Resal)*(1-EXP(('2020'!Tnet-t)/('2020'!Tau_j))),Resal+(Salim-Resal)*(1-EXP((Tnet-t)/(Tau_j))))*Salcycl</f>
        <v>2.8313080277619758E-2</v>
      </c>
      <c r="P164" s="169">
        <f>(INDEX(Models!$BJ164:$BT164,,T164)*(1-R164)+INDEX(Models!$BJ164:$BT164,,T164+1)*R164-ERP_i)*Q164*Ramure*Pc/MaxiM</f>
        <v>2.9933987946009931E-3</v>
      </c>
      <c r="Q164" s="305">
        <f t="shared" si="51"/>
        <v>0.8</v>
      </c>
      <c r="R164" s="177">
        <f t="shared" si="52"/>
        <v>0.83295626431223868</v>
      </c>
      <c r="S164" s="809">
        <f t="shared" si="53"/>
        <v>0</v>
      </c>
      <c r="T164" s="176">
        <f t="shared" si="54"/>
        <v>6</v>
      </c>
      <c r="U164" s="251">
        <f t="shared" si="55"/>
        <v>0.83295626431223868</v>
      </c>
      <c r="V164" s="383">
        <f t="shared" si="56"/>
        <v>58.288380445507798</v>
      </c>
      <c r="W164" s="402"/>
      <c r="X164" s="157">
        <f t="shared" si="57"/>
        <v>44346</v>
      </c>
      <c r="Y164" s="385">
        <f t="shared" si="58"/>
        <v>46.211675355432064</v>
      </c>
      <c r="Z164" s="385">
        <f t="shared" si="59"/>
        <v>47.881006324684016</v>
      </c>
      <c r="AA164" s="386">
        <f t="shared" si="60"/>
        <v>54.469021174958968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0.12094975654351695</v>
      </c>
      <c r="AD164" s="231">
        <f>(INDEX(Models!$BJ164:$BT164,,AH164)*(1-AF164)+INDEX(Models!$BJ164:$BT164,,AH164+1)*AF164-ERP_i)*AE164*Ramure*Pc/MaxiM</f>
        <v>8.5587839561979059E-3</v>
      </c>
      <c r="AE164" s="305">
        <f t="shared" si="62"/>
        <v>0.8</v>
      </c>
      <c r="AF164" s="177">
        <f t="shared" si="63"/>
        <v>3.2889838464759791E-2</v>
      </c>
      <c r="AG164" s="809">
        <f t="shared" si="71"/>
        <v>2</v>
      </c>
      <c r="AH164" s="176">
        <f t="shared" si="64"/>
        <v>8</v>
      </c>
      <c r="AI164" s="225">
        <f t="shared" si="65"/>
        <v>2.0328898384647598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6">
        <v>56.136000000000003</v>
      </c>
      <c r="C165" s="390"/>
      <c r="D165" s="393">
        <f t="shared" si="48"/>
        <v>58.165202237732117</v>
      </c>
      <c r="E165" s="385">
        <f t="shared" si="69"/>
        <v>59.876227094721585</v>
      </c>
      <c r="F165" s="385">
        <f t="shared" si="49"/>
        <v>60.050055214571152</v>
      </c>
      <c r="G165" s="110">
        <f t="shared" si="70"/>
        <v>0.96294505829057597</v>
      </c>
      <c r="H165" s="414" t="b">
        <f>Wh_hp&gt;='2020'!Maxi_hp</f>
        <v>0</v>
      </c>
      <c r="I165" s="380">
        <f>IF(H165,Wh_hp,'2020'!Maxi_hp)</f>
        <v>62.468341792037805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3.4886876683388565E-2</v>
      </c>
      <c r="M165" s="843"/>
      <c r="N165" s="843"/>
      <c r="O165" s="48">
        <f>IF(t&lt;Tnet,'2020'!Resal+('2020'!Salim-'2020'!Resal)*(1-EXP(('2020'!Tnet-t)/('2020'!Tau_j))),Resal+(Salim-Resal)*(1-EXP((Tnet-t)/(Tau_j))))*Salcycl</f>
        <v>2.857602992056766E-2</v>
      </c>
      <c r="P165" s="169">
        <f>(INDEX(Models!$BJ165:$BT165,,T165)*(1-R165)+INDEX(Models!$BJ165:$BT165,,T165+1)*R165-ERP_i)*Q165*Ramure*Pc/MaxiM</f>
        <v>3.0558019974599162E-3</v>
      </c>
      <c r="Q165" s="305">
        <f t="shared" si="51"/>
        <v>0.8</v>
      </c>
      <c r="R165" s="177">
        <f t="shared" si="52"/>
        <v>0.83885234017179067</v>
      </c>
      <c r="S165" s="809">
        <f t="shared" si="53"/>
        <v>0</v>
      </c>
      <c r="T165" s="176">
        <f t="shared" si="54"/>
        <v>6</v>
      </c>
      <c r="U165" s="251">
        <f t="shared" si="55"/>
        <v>0.83885234017179067</v>
      </c>
      <c r="V165" s="383">
        <f t="shared" si="56"/>
        <v>58.286743141554453</v>
      </c>
      <c r="W165" s="402"/>
      <c r="X165" s="157">
        <f t="shared" si="57"/>
        <v>44347</v>
      </c>
      <c r="Y165" s="385">
        <f t="shared" si="58"/>
        <v>50.513164922772752</v>
      </c>
      <c r="Z165" s="385">
        <f t="shared" si="59"/>
        <v>52.339113107471015</v>
      </c>
      <c r="AA165" s="386">
        <f t="shared" si="60"/>
        <v>59.554028099997865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0.12114906787517725</v>
      </c>
      <c r="AD165" s="231">
        <f>(INDEX(Models!$BJ165:$BT165,,AH165)*(1-AF165)+INDEX(Models!$BJ165:$BT165,,AH165+1)*AF165-ERP_i)*AE165*Ramure*Pc/MaxiM</f>
        <v>8.719881736160312E-3</v>
      </c>
      <c r="AE165" s="305">
        <f t="shared" si="62"/>
        <v>0.8</v>
      </c>
      <c r="AF165" s="177">
        <f t="shared" si="63"/>
        <v>3.878591432431211E-2</v>
      </c>
      <c r="AG165" s="809">
        <f t="shared" si="71"/>
        <v>2</v>
      </c>
      <c r="AH165" s="176">
        <f t="shared" si="64"/>
        <v>8</v>
      </c>
      <c r="AI165" s="225">
        <f t="shared" si="65"/>
        <v>2.0387859143243121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6">
        <v>34.390999999999998</v>
      </c>
      <c r="C166" s="390"/>
      <c r="D166" s="393">
        <f t="shared" si="48"/>
        <v>35.635003535824708</v>
      </c>
      <c r="E166" s="385">
        <f t="shared" si="69"/>
        <v>36.693192035210899</v>
      </c>
      <c r="F166" s="385">
        <f t="shared" si="49"/>
        <v>36.740661370342877</v>
      </c>
      <c r="G166" s="110">
        <f t="shared" si="70"/>
        <v>0.5890230943777397</v>
      </c>
      <c r="H166" s="414" t="b">
        <f>Wh_hp&gt;='2020'!Maxi_hp</f>
        <v>0</v>
      </c>
      <c r="I166" s="380">
        <f>IF(H166,Wh_hp,'2020'!Maxi_hp)</f>
        <v>62.676293728135057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3.4909594847495493E-2</v>
      </c>
      <c r="M166" s="843"/>
      <c r="N166" s="843"/>
      <c r="O166" s="48">
        <f>IF(t&lt;Tnet,'2020'!Resal+('2020'!Salim-'2020'!Resal)*(1-EXP(('2020'!Tnet-t)/('2020'!Tau_j))),Resal+(Salim-Resal)*(1-EXP((Tnet-t)/(Tau_j))))*Salcycl</f>
        <v>2.8838823789730517E-2</v>
      </c>
      <c r="P166" s="169">
        <f>(INDEX(Models!$BJ166:$BT166,,T166)*(1-R166)+INDEX(Models!$BJ166:$BT166,,T166+1)*R166-ERP_i)*Q166*Ramure*Pc/MaxiM</f>
        <v>3.1175532473399804E-3</v>
      </c>
      <c r="Q166" s="305">
        <f t="shared" si="51"/>
        <v>0.8</v>
      </c>
      <c r="R166" s="177">
        <f t="shared" si="52"/>
        <v>0.84479771386428948</v>
      </c>
      <c r="S166" s="809">
        <f t="shared" si="53"/>
        <v>0</v>
      </c>
      <c r="T166" s="176">
        <f t="shared" si="54"/>
        <v>6</v>
      </c>
      <c r="U166" s="251">
        <f t="shared" si="55"/>
        <v>0.84479771386428948</v>
      </c>
      <c r="V166" s="383">
        <f t="shared" si="56"/>
        <v>58.279780335771662</v>
      </c>
      <c r="W166" s="402"/>
      <c r="X166" s="157">
        <f t="shared" si="57"/>
        <v>44348</v>
      </c>
      <c r="Y166" s="385">
        <f t="shared" si="58"/>
        <v>31.040651698356701</v>
      </c>
      <c r="Z166" s="385">
        <f t="shared" si="59"/>
        <v>32.16346523873235</v>
      </c>
      <c r="AA166" s="386">
        <f t="shared" si="60"/>
        <v>36.605453914232797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0.1213477282895631</v>
      </c>
      <c r="AD166" s="231">
        <f>(INDEX(Models!$BJ166:$BT166,,AH166)*(1-AF166)+INDEX(Models!$BJ166:$BT166,,AH166+1)*AF166-ERP_i)*AE166*Ramure*Pc/MaxiM</f>
        <v>8.8797629604172694E-3</v>
      </c>
      <c r="AE166" s="305">
        <f t="shared" si="62"/>
        <v>0.8</v>
      </c>
      <c r="AF166" s="177">
        <f t="shared" si="63"/>
        <v>4.4731288016810922E-2</v>
      </c>
      <c r="AG166" s="809">
        <f t="shared" si="71"/>
        <v>2</v>
      </c>
      <c r="AH166" s="176">
        <f t="shared" si="64"/>
        <v>8</v>
      </c>
      <c r="AI166" s="225">
        <f t="shared" si="65"/>
        <v>2.0447312880168109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6">
        <v>48.814</v>
      </c>
      <c r="C167" s="390"/>
      <c r="D167" s="393">
        <f t="shared" si="48"/>
        <v>50.580908086963539</v>
      </c>
      <c r="E167" s="385">
        <f t="shared" si="69"/>
        <v>52.097005624513272</v>
      </c>
      <c r="F167" s="385">
        <f t="shared" si="49"/>
        <v>52.224528453473646</v>
      </c>
      <c r="G167" s="110">
        <f t="shared" si="70"/>
        <v>0.83713363438330368</v>
      </c>
      <c r="H167" s="414" t="b">
        <f>Wh_hp&gt;='2020'!Maxi_hp</f>
        <v>0</v>
      </c>
      <c r="I167" s="380">
        <f>IF(H167,Wh_hp,'2020'!Maxi_hp)</f>
        <v>61.321691281882586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3.4932312482917546E-2</v>
      </c>
      <c r="M167" s="843"/>
      <c r="N167" s="843"/>
      <c r="O167" s="48">
        <f>IF(t&lt;Tnet,'2020'!Resal+('2020'!Salim-'2020'!Resal)*(1-EXP(('2020'!Tnet-t)/('2020'!Tau_j))),Resal+(Salim-Resal)*(1-EXP((Tnet-t)/(Tau_j))))*Salcycl</f>
        <v>2.9101433362157703E-2</v>
      </c>
      <c r="P167" s="169">
        <f>(INDEX(Models!$BJ167:$BT167,,T167)*(1-R167)+INDEX(Models!$BJ167:$BT167,,T167+1)*R167-ERP_i)*Q167*Ramure*Pc/MaxiM</f>
        <v>3.1785506700397624E-3</v>
      </c>
      <c r="Q167" s="305">
        <f t="shared" si="51"/>
        <v>0.8</v>
      </c>
      <c r="R167" s="177">
        <f t="shared" si="52"/>
        <v>0.85078792596158459</v>
      </c>
      <c r="S167" s="809">
        <f t="shared" si="53"/>
        <v>0</v>
      </c>
      <c r="T167" s="176">
        <f t="shared" si="54"/>
        <v>6</v>
      </c>
      <c r="U167" s="251">
        <f t="shared" si="55"/>
        <v>0.85078792596158459</v>
      </c>
      <c r="V167" s="383">
        <f t="shared" si="56"/>
        <v>58.267816667927207</v>
      </c>
      <c r="W167" s="402"/>
      <c r="X167" s="157">
        <f t="shared" si="57"/>
        <v>44349</v>
      </c>
      <c r="Y167" s="385">
        <f t="shared" si="58"/>
        <v>43.966865380948626</v>
      </c>
      <c r="Z167" s="385">
        <f t="shared" si="59"/>
        <v>45.558322954596257</v>
      </c>
      <c r="AA167" s="386">
        <f t="shared" si="60"/>
        <v>51.861911915961791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0.12154563394384711</v>
      </c>
      <c r="AD167" s="231">
        <f>(INDEX(Models!$BJ167:$BT167,,AH167)*(1-AF167)+INDEX(Models!$BJ167:$BT167,,AH167+1)*AF167-ERP_i)*AE167*Ramure*Pc/MaxiM</f>
        <v>9.0383427631922364E-3</v>
      </c>
      <c r="AE167" s="305">
        <f t="shared" si="62"/>
        <v>0.8</v>
      </c>
      <c r="AF167" s="177">
        <f t="shared" si="63"/>
        <v>5.0721500114105922E-2</v>
      </c>
      <c r="AG167" s="809">
        <f t="shared" si="71"/>
        <v>2</v>
      </c>
      <c r="AH167" s="176">
        <f t="shared" si="64"/>
        <v>8</v>
      </c>
      <c r="AI167" s="225">
        <f t="shared" si="65"/>
        <v>2.0507215001141059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6">
        <v>50.780999999999999</v>
      </c>
      <c r="C168" s="390"/>
      <c r="D168" s="393">
        <f t="shared" si="48"/>
        <v>52.6203457424457</v>
      </c>
      <c r="E168" s="385">
        <f t="shared" si="69"/>
        <v>54.212224260912457</v>
      </c>
      <c r="F168" s="385">
        <f t="shared" si="49"/>
        <v>54.356015310786432</v>
      </c>
      <c r="G168" s="110">
        <f t="shared" si="70"/>
        <v>0.87124060147978744</v>
      </c>
      <c r="H168" s="414" t="b">
        <f>Wh_hp&gt;='2020'!Maxi_hp</f>
        <v>0</v>
      </c>
      <c r="I168" s="380">
        <f>IF(H168,Wh_hp,'2020'!Maxi_hp)</f>
        <v>54.476092438116581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3.4955029589667161E-2</v>
      </c>
      <c r="M168" s="843"/>
      <c r="N168" s="843"/>
      <c r="O168" s="48">
        <f>IF(t&lt;Tnet,'2020'!Resal+('2020'!Salim-'2020'!Resal)*(1-EXP(('2020'!Tnet-t)/('2020'!Tau_j))),Resal+(Salim-Resal)*(1-EXP((Tnet-t)/(Tau_j))))*Salcycl</f>
        <v>2.9363829655934533E-2</v>
      </c>
      <c r="P168" s="169">
        <f>(INDEX(Models!$BJ168:$BT168,,T168)*(1-R168)+INDEX(Models!$BJ168:$BT168,,T168+1)*R168-ERP_i)*Q168*Ramure*Pc/MaxiM</f>
        <v>3.2386879785710693E-3</v>
      </c>
      <c r="Q168" s="305">
        <f t="shared" si="51"/>
        <v>0.8</v>
      </c>
      <c r="R168" s="177">
        <f t="shared" si="52"/>
        <v>0.85681837330031096</v>
      </c>
      <c r="S168" s="809">
        <f t="shared" si="53"/>
        <v>0</v>
      </c>
      <c r="T168" s="176">
        <f t="shared" si="54"/>
        <v>6</v>
      </c>
      <c r="U168" s="251">
        <f t="shared" si="55"/>
        <v>0.85681837330031096</v>
      </c>
      <c r="V168" s="383">
        <f t="shared" si="56"/>
        <v>58.251176589803414</v>
      </c>
      <c r="W168" s="402"/>
      <c r="X168" s="157">
        <f t="shared" si="57"/>
        <v>44350</v>
      </c>
      <c r="Y168" s="385">
        <f t="shared" si="58"/>
        <v>45.723838962569189</v>
      </c>
      <c r="Z168" s="385">
        <f t="shared" si="59"/>
        <v>47.380008563878235</v>
      </c>
      <c r="AA168" s="386">
        <f t="shared" si="60"/>
        <v>53.947752662941284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0.12174268203714589</v>
      </c>
      <c r="AD168" s="231">
        <f>(INDEX(Models!$BJ168:$BT168,,AH168)*(1-AF168)+INDEX(Models!$BJ168:$BT168,,AH168+1)*AF168-ERP_i)*AE168*Ramure*Pc/MaxiM</f>
        <v>9.1955328988454158E-3</v>
      </c>
      <c r="AE168" s="305">
        <f t="shared" si="62"/>
        <v>0.8</v>
      </c>
      <c r="AF168" s="177">
        <f t="shared" si="63"/>
        <v>5.6751947452831963E-2</v>
      </c>
      <c r="AG168" s="809">
        <f t="shared" si="71"/>
        <v>2</v>
      </c>
      <c r="AH168" s="176">
        <f t="shared" si="64"/>
        <v>8</v>
      </c>
      <c r="AI168" s="225">
        <f t="shared" si="65"/>
        <v>2.056751947452832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6">
        <v>8.5470000000000006</v>
      </c>
      <c r="C169" s="390"/>
      <c r="D169" s="393">
        <f t="shared" si="48"/>
        <v>8.856790572506096</v>
      </c>
      <c r="E169" s="385">
        <f t="shared" si="69"/>
        <v>9.1271926292907928</v>
      </c>
      <c r="F169" s="385">
        <f t="shared" si="49"/>
        <v>9.1271926292907928</v>
      </c>
      <c r="G169" s="110">
        <f t="shared" si="70"/>
        <v>0.14629548803578679</v>
      </c>
      <c r="H169" s="414" t="b">
        <f>Wh_hp&gt;='2020'!Maxi_hp</f>
        <v>0</v>
      </c>
      <c r="I169" s="380">
        <f>IF(H169,Wh_hp,'2020'!Maxi_hp)</f>
        <v>56.408226720952712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3.4977746167756327E-2</v>
      </c>
      <c r="M169" s="843"/>
      <c r="N169" s="843"/>
      <c r="O169" s="48">
        <f>IF(t&lt;Tnet,'2020'!Resal+('2020'!Salim-'2020'!Resal)*(1-EXP(('2020'!Tnet-t)/('2020'!Tau_j))),Resal+(Salim-Resal)*(1-EXP((Tnet-t)/(Tau_j))))*Salcycl</f>
        <v>2.9625983340915586E-2</v>
      </c>
      <c r="P169" s="169">
        <f>(INDEX(Models!$BJ169:$BT169,,T169)*(1-R169)+INDEX(Models!$BJ169:$BT169,,T169+1)*R169-ERP_i)*Q169*Ramure*Pc/MaxiM</f>
        <v>3.2978547765021254E-3</v>
      </c>
      <c r="Q169" s="305">
        <f t="shared" si="51"/>
        <v>0.8</v>
      </c>
      <c r="R169" s="177">
        <f t="shared" si="52"/>
        <v>0.86288432233590262</v>
      </c>
      <c r="S169" s="809">
        <f t="shared" si="53"/>
        <v>0</v>
      </c>
      <c r="T169" s="176">
        <f t="shared" si="54"/>
        <v>6</v>
      </c>
      <c r="U169" s="251">
        <f t="shared" si="55"/>
        <v>0.86288432233590262</v>
      </c>
      <c r="V169" s="383">
        <f t="shared" si="56"/>
        <v>58.230184331736638</v>
      </c>
      <c r="W169" s="402"/>
      <c r="X169" s="157">
        <f t="shared" si="57"/>
        <v>44351</v>
      </c>
      <c r="Y169" s="385">
        <f t="shared" si="58"/>
        <v>7.7339141338031485</v>
      </c>
      <c r="Z169" s="385">
        <f t="shared" si="59"/>
        <v>8.0142339755281817</v>
      </c>
      <c r="AA169" s="386">
        <f t="shared" si="60"/>
        <v>9.1271926292907928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0.12193877120451346</v>
      </c>
      <c r="AD169" s="231">
        <f>(INDEX(Models!$BJ169:$BT169,,AH169)*(1-AF169)+INDEX(Models!$BJ169:$BT169,,AH169+1)*AF169-ERP_i)*AE169*Ramure*Pc/MaxiM</f>
        <v>9.3512420998898005E-3</v>
      </c>
      <c r="AE169" s="305">
        <f t="shared" si="62"/>
        <v>0.8</v>
      </c>
      <c r="AF169" s="177">
        <f t="shared" si="63"/>
        <v>6.2817896488423841E-2</v>
      </c>
      <c r="AG169" s="809">
        <f t="shared" si="71"/>
        <v>2</v>
      </c>
      <c r="AH169" s="176">
        <f t="shared" si="64"/>
        <v>8</v>
      </c>
      <c r="AI169" s="225">
        <f t="shared" si="65"/>
        <v>2.0628178964884238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6">
        <v>42.480000000000004</v>
      </c>
      <c r="C170" s="390"/>
      <c r="D170" s="393">
        <f t="shared" si="48"/>
        <v>44.020746473726504</v>
      </c>
      <c r="E170" s="385">
        <f t="shared" ref="E170:E232" si="72">Wh_pvt/(1-Psa)</f>
        <v>45.376967134908639</v>
      </c>
      <c r="F170" s="385">
        <f t="shared" si="49"/>
        <v>45.470659595237684</v>
      </c>
      <c r="G170" s="110">
        <f t="shared" ref="G170:G232" si="73">+Wh_hp/MaxiM</f>
        <v>0.72888475082825377</v>
      </c>
      <c r="H170" s="414" t="b">
        <f>Wh_hp&gt;='2020'!Maxi_hp</f>
        <v>1</v>
      </c>
      <c r="I170" s="380">
        <f>IF(H170,Wh_hp,'2020'!Maxi_hp)</f>
        <v>45.470659595237684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3.50004622171977E-2</v>
      </c>
      <c r="M170" s="843"/>
      <c r="N170" s="843"/>
      <c r="O170" s="48">
        <f>IF(t&lt;Tnet,'2020'!Resal+('2020'!Salim-'2020'!Resal)*(1-EXP(('2020'!Tnet-t)/('2020'!Tau_j))),Resal+(Salim-Resal)*(1-EXP((Tnet-t)/(Tau_j))))*Salcycl</f>
        <v>2.9887864853329678E-2</v>
      </c>
      <c r="P170" s="169">
        <f>(INDEX(Models!$BJ170:$BT170,,T170)*(1-R170)+INDEX(Models!$BJ170:$BT170,,T170+1)*R170-ERP_i)*Q170*Ramure*Pc/MaxiM</f>
        <v>3.3556199366809548E-3</v>
      </c>
      <c r="Q170" s="305">
        <f t="shared" si="51"/>
        <v>0.8</v>
      </c>
      <c r="R170" s="177">
        <f t="shared" si="52"/>
        <v>0.86898092338022903</v>
      </c>
      <c r="S170" s="809">
        <f t="shared" si="53"/>
        <v>0</v>
      </c>
      <c r="T170" s="176">
        <f t="shared" si="54"/>
        <v>6</v>
      </c>
      <c r="U170" s="251">
        <f t="shared" si="55"/>
        <v>0.86898092338022903</v>
      </c>
      <c r="V170" s="383">
        <f t="shared" si="56"/>
        <v>58.205182391777569</v>
      </c>
      <c r="W170" s="402"/>
      <c r="X170" s="157">
        <f t="shared" si="57"/>
        <v>44352</v>
      </c>
      <c r="Y170" s="385">
        <f t="shared" si="58"/>
        <v>38.295246762338685</v>
      </c>
      <c r="Z170" s="385">
        <f t="shared" si="59"/>
        <v>39.684212544107979</v>
      </c>
      <c r="AA170" s="386">
        <f t="shared" si="60"/>
        <v>45.205308770821013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0.12213380191038031</v>
      </c>
      <c r="AD170" s="231">
        <f>(INDEX(Models!$BJ170:$BT170,,AH170)*(1-AF170)+INDEX(Models!$BJ170:$BT170,,AH170+1)*AF170-ERP_i)*AE170*Ramure*Pc/MaxiM</f>
        <v>9.5036090791106101E-3</v>
      </c>
      <c r="AE170" s="305">
        <f t="shared" si="62"/>
        <v>0.8</v>
      </c>
      <c r="AF170" s="177">
        <f t="shared" si="63"/>
        <v>6.891449753275003E-2</v>
      </c>
      <c r="AG170" s="809">
        <f t="shared" si="71"/>
        <v>2</v>
      </c>
      <c r="AH170" s="176">
        <f t="shared" si="64"/>
        <v>8</v>
      </c>
      <c r="AI170" s="225">
        <f t="shared" si="65"/>
        <v>2.06891449753275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6">
        <v>42.94</v>
      </c>
      <c r="C171" s="390"/>
      <c r="D171" s="393">
        <f t="shared" si="48"/>
        <v>44.498478107841578</v>
      </c>
      <c r="E171" s="385">
        <f t="shared" si="72"/>
        <v>45.881788545785952</v>
      </c>
      <c r="F171" s="385">
        <f t="shared" si="49"/>
        <v>45.980003229668654</v>
      </c>
      <c r="G171" s="110">
        <f t="shared" si="73"/>
        <v>0.73715507878149555</v>
      </c>
      <c r="H171" s="414" t="b">
        <f>Wh_hp&gt;='2020'!Maxi_hp</f>
        <v>0</v>
      </c>
      <c r="I171" s="380">
        <f>IF(H171,Wh_hp,'2020'!Maxi_hp)</f>
        <v>63.6888163743956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3.5023177738003272E-2</v>
      </c>
      <c r="M171" s="843"/>
      <c r="N171" s="843"/>
      <c r="O171" s="48">
        <f>IF(t&lt;Tnet,'2020'!Resal+('2020'!Salim-'2020'!Resal)*(1-EXP(('2020'!Tnet-t)/('2020'!Tau_j))),Resal+(Salim-Resal)*(1-EXP((Tnet-t)/(Tau_j))))*Salcycl</f>
        <v>3.0149444513566732E-2</v>
      </c>
      <c r="P171" s="169">
        <f>(INDEX(Models!$BJ171:$BT171,,T171)*(1-R171)+INDEX(Models!$BJ171:$BT171,,T171+1)*R171-ERP_i)*Q171*Ramure*Pc/MaxiM</f>
        <v>3.4129710417173374E-3</v>
      </c>
      <c r="Q171" s="305">
        <f t="shared" si="51"/>
        <v>0.8</v>
      </c>
      <c r="R171" s="177">
        <f t="shared" si="52"/>
        <v>0.87510322563679699</v>
      </c>
      <c r="S171" s="809">
        <f t="shared" si="53"/>
        <v>0</v>
      </c>
      <c r="T171" s="176">
        <f t="shared" si="54"/>
        <v>6</v>
      </c>
      <c r="U171" s="251">
        <f t="shared" si="55"/>
        <v>0.87510322563679699</v>
      </c>
      <c r="V171" s="383">
        <f t="shared" si="56"/>
        <v>58.176429939012024</v>
      </c>
      <c r="W171" s="402"/>
      <c r="X171" s="157">
        <f t="shared" si="57"/>
        <v>44353</v>
      </c>
      <c r="Y171" s="385">
        <f t="shared" si="58"/>
        <v>38.706713350031599</v>
      </c>
      <c r="Z171" s="385">
        <f t="shared" si="59"/>
        <v>40.111547196853294</v>
      </c>
      <c r="AA171" s="386">
        <f t="shared" si="60"/>
        <v>45.702189915687278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0.1223276768388509</v>
      </c>
      <c r="AD171" s="231">
        <f>(INDEX(Models!$BJ171:$BT171,,AH171)*(1-AF171)+INDEX(Models!$BJ171:$BT171,,AH171+1)*AF171-ERP_i)*AE171*Ramure*Pc/MaxiM</f>
        <v>9.6540431444484109E-3</v>
      </c>
      <c r="AE171" s="305">
        <f t="shared" si="62"/>
        <v>0.8</v>
      </c>
      <c r="AF171" s="177">
        <f t="shared" si="63"/>
        <v>7.5036799789318209E-2</v>
      </c>
      <c r="AG171" s="809">
        <f t="shared" si="71"/>
        <v>2</v>
      </c>
      <c r="AH171" s="176">
        <f t="shared" si="64"/>
        <v>8</v>
      </c>
      <c r="AI171" s="225">
        <f t="shared" si="65"/>
        <v>2.0750367997893182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6">
        <v>48.292999999999999</v>
      </c>
      <c r="C172" s="390"/>
      <c r="D172" s="393">
        <f t="shared" si="48"/>
        <v>50.046939679481163</v>
      </c>
      <c r="E172" s="385">
        <f t="shared" si="72"/>
        <v>51.616637374106432</v>
      </c>
      <c r="F172" s="385">
        <f t="shared" si="49"/>
        <v>51.75274626686349</v>
      </c>
      <c r="G172" s="110">
        <f t="shared" si="73"/>
        <v>0.82987287749691419</v>
      </c>
      <c r="H172" s="414" t="b">
        <f>Wh_hp&gt;='2020'!Maxi_hp</f>
        <v>1</v>
      </c>
      <c r="I172" s="380">
        <f>IF(H172,Wh_hp,'2020'!Maxi_hp)</f>
        <v>51.75274626686349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3.5045892730185588E-2</v>
      </c>
      <c r="M172" s="843"/>
      <c r="N172" s="843"/>
      <c r="O172" s="48">
        <f>IF(t&lt;Tnet,'2020'!Resal+('2020'!Salim-'2020'!Resal)*(1-EXP(('2020'!Tnet-t)/('2020'!Tau_j))),Resal+(Salim-Resal)*(1-EXP((Tnet-t)/(Tau_j))))*Salcycl</f>
        <v>3.0410692646412229E-2</v>
      </c>
      <c r="P172" s="169">
        <f>(INDEX(Models!$BJ172:$BT172,,T172)*(1-R172)+INDEX(Models!$BJ172:$BT172,,T172+1)*R172-ERP_i)*Q172*Ramure*Pc/MaxiM</f>
        <v>3.4698172455025042E-3</v>
      </c>
      <c r="Q172" s="305">
        <f t="shared" si="51"/>
        <v>0.8</v>
      </c>
      <c r="R172" s="177">
        <f t="shared" si="52"/>
        <v>0.88124619293818807</v>
      </c>
      <c r="S172" s="809">
        <f t="shared" si="53"/>
        <v>0</v>
      </c>
      <c r="T172" s="176">
        <f t="shared" si="54"/>
        <v>6</v>
      </c>
      <c r="U172" s="251">
        <f t="shared" si="55"/>
        <v>0.88124619293818807</v>
      </c>
      <c r="V172" s="383">
        <f t="shared" si="56"/>
        <v>58.144248705316436</v>
      </c>
      <c r="W172" s="402"/>
      <c r="X172" s="157">
        <f t="shared" si="57"/>
        <v>44354</v>
      </c>
      <c r="Y172" s="385">
        <f t="shared" si="58"/>
        <v>43.494904408982144</v>
      </c>
      <c r="Z172" s="385">
        <f t="shared" si="59"/>
        <v>45.074583424536243</v>
      </c>
      <c r="AA172" s="386">
        <f t="shared" si="60"/>
        <v>51.368235060249454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0.12252030127823993</v>
      </c>
      <c r="AD172" s="231">
        <f>(INDEX(Models!$BJ172:$BT172,,AH172)*(1-AF172)+INDEX(Models!$BJ172:$BT172,,AH172+1)*AF172-ERP_i)*AE172*Ramure*Pc/MaxiM</f>
        <v>9.8023250999460226E-3</v>
      </c>
      <c r="AE172" s="305">
        <f t="shared" si="62"/>
        <v>0.8</v>
      </c>
      <c r="AF172" s="177">
        <f t="shared" si="63"/>
        <v>8.1179767090709287E-2</v>
      </c>
      <c r="AG172" s="809">
        <f t="shared" si="71"/>
        <v>2</v>
      </c>
      <c r="AH172" s="176">
        <f t="shared" si="64"/>
        <v>8</v>
      </c>
      <c r="AI172" s="225">
        <f t="shared" si="65"/>
        <v>2.0811797670907093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6">
        <v>57.863</v>
      </c>
      <c r="C173" s="390"/>
      <c r="D173" s="393">
        <f t="shared" si="48"/>
        <v>59.965921340501772</v>
      </c>
      <c r="E173" s="385">
        <f t="shared" si="72"/>
        <v>61.863368580615628</v>
      </c>
      <c r="F173" s="385">
        <f t="shared" si="49"/>
        <v>62.080946405327232</v>
      </c>
      <c r="G173" s="110">
        <f t="shared" si="73"/>
        <v>0.99574595486007045</v>
      </c>
      <c r="H173" s="414" t="b">
        <f>Wh_hp&gt;='2020'!Maxi_hp</f>
        <v>0</v>
      </c>
      <c r="I173" s="380">
        <f>IF(H173,Wh_hp,'2020'!Maxi_hp)</f>
        <v>63.160398004063062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3.5068607193756859E-2</v>
      </c>
      <c r="M173" s="843"/>
      <c r="N173" s="843"/>
      <c r="O173" s="48">
        <f>IF(t&lt;Tnet,'2020'!Resal+('2020'!Salim-'2020'!Resal)*(1-EXP(('2020'!Tnet-t)/('2020'!Tau_j))),Resal+(Salim-Resal)*(1-EXP((Tnet-t)/(Tau_j))))*Salcycl</f>
        <v>3.0671579702958498E-2</v>
      </c>
      <c r="P173" s="169">
        <f>(INDEX(Models!$BJ173:$BT173,,T173)*(1-R173)+INDEX(Models!$BJ173:$BT173,,T173+1)*R173-ERP_i)*Q173*Ramure*Pc/MaxiM</f>
        <v>3.526065312568976E-3</v>
      </c>
      <c r="Q173" s="305">
        <f t="shared" si="51"/>
        <v>0.8</v>
      </c>
      <c r="R173" s="177">
        <f t="shared" si="52"/>
        <v>0.88740472008210791</v>
      </c>
      <c r="S173" s="809">
        <f t="shared" si="53"/>
        <v>0</v>
      </c>
      <c r="T173" s="176">
        <f t="shared" si="54"/>
        <v>6</v>
      </c>
      <c r="U173" s="251">
        <f t="shared" si="55"/>
        <v>0.88740472008210791</v>
      </c>
      <c r="V173" s="383">
        <f t="shared" si="56"/>
        <v>58.108960085330146</v>
      </c>
      <c r="W173" s="402"/>
      <c r="X173" s="157">
        <f t="shared" si="57"/>
        <v>44355</v>
      </c>
      <c r="Y173" s="385">
        <f t="shared" si="58"/>
        <v>52.033309624662408</v>
      </c>
      <c r="Z173" s="385">
        <f t="shared" si="59"/>
        <v>53.924361889955236</v>
      </c>
      <c r="AA173" s="386">
        <f t="shared" si="60"/>
        <v>61.467085254492702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0.12271158349722068</v>
      </c>
      <c r="AD173" s="231">
        <f>(INDEX(Models!$BJ173:$BT173,,AH173)*(1-AF173)+INDEX(Models!$BJ173:$BT173,,AH173+1)*AF173-ERP_i)*AE173*Ramure*Pc/MaxiM</f>
        <v>9.9482312297234192E-3</v>
      </c>
      <c r="AE173" s="305">
        <f t="shared" si="62"/>
        <v>0.8</v>
      </c>
      <c r="AF173" s="177">
        <f t="shared" si="63"/>
        <v>8.7338294234629021E-2</v>
      </c>
      <c r="AG173" s="809">
        <f t="shared" si="71"/>
        <v>2</v>
      </c>
      <c r="AH173" s="176">
        <f t="shared" si="64"/>
        <v>8</v>
      </c>
      <c r="AI173" s="225">
        <f t="shared" si="65"/>
        <v>2.087338294234629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6">
        <v>55.573</v>
      </c>
      <c r="C174" s="390"/>
      <c r="D174" s="393">
        <f t="shared" si="48"/>
        <v>57.594051351064735</v>
      </c>
      <c r="E174" s="385">
        <f t="shared" si="72"/>
        <v>59.43241949039119</v>
      </c>
      <c r="F174" s="385">
        <f t="shared" si="49"/>
        <v>59.632877338436153</v>
      </c>
      <c r="G174" s="110">
        <f t="shared" si="73"/>
        <v>0.95677425463645749</v>
      </c>
      <c r="H174" s="414" t="b">
        <f>Wh_hp&gt;='2020'!Maxi_hp</f>
        <v>1</v>
      </c>
      <c r="I174" s="380">
        <f>IF(H174,Wh_hp,'2020'!Maxi_hp)</f>
        <v>59.632877338436153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3.50913211287293E-2</v>
      </c>
      <c r="M174" s="843"/>
      <c r="N174" s="843"/>
      <c r="O174" s="48">
        <f>IF(t&lt;Tnet,'2020'!Resal+('2020'!Salim-'2020'!Resal)*(1-EXP(('2020'!Tnet-t)/('2020'!Tau_j))),Resal+(Salim-Resal)*(1-EXP((Tnet-t)/(Tau_j))))*Salcycl</f>
        <v>3.0932076383390041E-2</v>
      </c>
      <c r="P174" s="169">
        <f>(INDEX(Models!$BJ174:$BT174,,T174)*(1-R174)+INDEX(Models!$BJ174:$BT174,,T174+1)*R174-ERP_i)*Q174*Ramure*Pc/MaxiM</f>
        <v>3.5816199273484219E-3</v>
      </c>
      <c r="Q174" s="305">
        <f t="shared" si="51"/>
        <v>0.8</v>
      </c>
      <c r="R174" s="177">
        <f t="shared" si="52"/>
        <v>0.89357364965527497</v>
      </c>
      <c r="S174" s="809">
        <f t="shared" si="53"/>
        <v>0</v>
      </c>
      <c r="T174" s="176">
        <f t="shared" si="54"/>
        <v>6</v>
      </c>
      <c r="U174" s="251">
        <f t="shared" si="55"/>
        <v>0.89357364965527497</v>
      </c>
      <c r="V174" s="383">
        <f t="shared" si="56"/>
        <v>58.070885114356066</v>
      </c>
      <c r="W174" s="402"/>
      <c r="X174" s="157">
        <f t="shared" si="57"/>
        <v>44356</v>
      </c>
      <c r="Y174" s="385">
        <f t="shared" si="58"/>
        <v>49.990489566759329</v>
      </c>
      <c r="Z174" s="385">
        <f t="shared" si="59"/>
        <v>51.808518942162607</v>
      </c>
      <c r="AA174" s="386">
        <f t="shared" si="60"/>
        <v>59.068069446286771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0.12290143510997255</v>
      </c>
      <c r="AD174" s="231">
        <f>(INDEX(Models!$BJ174:$BT174,,AH174)*(1-AF174)+INDEX(Models!$BJ174:$BT174,,AH174+1)*AF174-ERP_i)*AE174*Ramure*Pc/MaxiM</f>
        <v>1.0091534062523489E-2</v>
      </c>
      <c r="AE174" s="305">
        <f t="shared" si="62"/>
        <v>0.8</v>
      </c>
      <c r="AF174" s="177">
        <f t="shared" si="63"/>
        <v>9.350722380779608E-2</v>
      </c>
      <c r="AG174" s="809">
        <f t="shared" si="71"/>
        <v>2</v>
      </c>
      <c r="AH174" s="176">
        <f t="shared" si="64"/>
        <v>8</v>
      </c>
      <c r="AI174" s="225">
        <f t="shared" si="65"/>
        <v>2.0935072238077961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6">
        <v>55.39</v>
      </c>
      <c r="C175" s="390"/>
      <c r="D175" s="393">
        <f t="shared" si="48"/>
        <v>57.405747396598258</v>
      </c>
      <c r="E175" s="385">
        <f t="shared" si="72"/>
        <v>59.254007509726968</v>
      </c>
      <c r="F175" s="385">
        <f t="shared" si="49"/>
        <v>59.456159779115154</v>
      </c>
      <c r="G175" s="110">
        <f t="shared" si="73"/>
        <v>0.95427424731514954</v>
      </c>
      <c r="H175" s="414" t="b">
        <f>Wh_hp&gt;='2020'!Maxi_hp</f>
        <v>1</v>
      </c>
      <c r="I175" s="380">
        <f>IF(H175,Wh_hp,'2020'!Maxi_hp)</f>
        <v>59.456159779115154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3.5114034535115343E-2</v>
      </c>
      <c r="M175" s="843"/>
      <c r="N175" s="843"/>
      <c r="O175" s="48">
        <f>IF(t&lt;Tnet,'2020'!Resal+('2020'!Salim-'2020'!Resal)*(1-EXP(('2020'!Tnet-t)/('2020'!Tau_j))),Resal+(Salim-Resal)*(1-EXP((Tnet-t)/(Tau_j))))*Salcycl</f>
        <v>3.1192153759816182E-2</v>
      </c>
      <c r="P175" s="169">
        <f>(INDEX(Models!$BJ175:$BT175,,T175)*(1-R175)+INDEX(Models!$BJ175:$BT175,,T175+1)*R175-ERP_i)*Q175*Ramure*Pc/MaxiM</f>
        <v>3.6363840222288714E-3</v>
      </c>
      <c r="Q175" s="305">
        <f t="shared" si="51"/>
        <v>0.8</v>
      </c>
      <c r="R175" s="177">
        <f t="shared" si="52"/>
        <v>0.89974778922848886</v>
      </c>
      <c r="S175" s="809">
        <f t="shared" si="53"/>
        <v>0</v>
      </c>
      <c r="T175" s="176">
        <f t="shared" si="54"/>
        <v>6</v>
      </c>
      <c r="U175" s="251">
        <f t="shared" si="55"/>
        <v>0.89974778922848886</v>
      </c>
      <c r="V175" s="383">
        <f t="shared" si="56"/>
        <v>58.0303444371946</v>
      </c>
      <c r="W175" s="402"/>
      <c r="X175" s="157">
        <f t="shared" si="57"/>
        <v>44357</v>
      </c>
      <c r="Y175" s="385">
        <f t="shared" si="58"/>
        <v>49.825665982549729</v>
      </c>
      <c r="Z175" s="385">
        <f t="shared" si="59"/>
        <v>51.638916686433085</v>
      </c>
      <c r="AA175" s="386">
        <f t="shared" si="60"/>
        <v>58.887346736175871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0.12308977142775403</v>
      </c>
      <c r="AD175" s="231">
        <f>(INDEX(Models!$BJ175:$BT175,,AH175)*(1-AF175)+INDEX(Models!$BJ175:$BT175,,AH175+1)*AF175-ERP_i)*AE175*Ramure*Pc/MaxiM</f>
        <v>1.023200316889784E-2</v>
      </c>
      <c r="AE175" s="305">
        <f t="shared" si="62"/>
        <v>0.8</v>
      </c>
      <c r="AF175" s="177">
        <f t="shared" si="63"/>
        <v>9.968136338101008E-2</v>
      </c>
      <c r="AG175" s="809">
        <f t="shared" si="71"/>
        <v>2</v>
      </c>
      <c r="AH175" s="176">
        <f t="shared" si="64"/>
        <v>8</v>
      </c>
      <c r="AI175" s="225">
        <f t="shared" si="65"/>
        <v>2.0996813633810101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6">
        <v>48.686999999999998</v>
      </c>
      <c r="C176" s="390"/>
      <c r="D176" s="393">
        <f t="shared" si="48"/>
        <v>50.460000284450985</v>
      </c>
      <c r="E176" s="385">
        <f t="shared" si="72"/>
        <v>52.09859397759049</v>
      </c>
      <c r="F176" s="385">
        <f t="shared" si="49"/>
        <v>52.247222367070478</v>
      </c>
      <c r="G176" s="110">
        <f t="shared" si="73"/>
        <v>0.83889774001916251</v>
      </c>
      <c r="H176" s="414" t="b">
        <f>Wh_hp&gt;='2020'!Maxi_hp</f>
        <v>1</v>
      </c>
      <c r="I176" s="380">
        <f>IF(H176,Wh_hp,'2020'!Maxi_hp)</f>
        <v>52.247222367070478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3.5136747412927202E-2</v>
      </c>
      <c r="M176" s="843"/>
      <c r="N176" s="843"/>
      <c r="O176" s="48">
        <f>IF(t&lt;Tnet,'2020'!Resal+('2020'!Salim-'2020'!Resal)*(1-EXP(('2020'!Tnet-t)/('2020'!Tau_j))),Resal+(Salim-Resal)*(1-EXP((Tnet-t)/(Tau_j))))*Salcycl</f>
        <v>3.145178339830676E-2</v>
      </c>
      <c r="P176" s="169">
        <f>(INDEX(Models!$BJ176:$BT176,,T176)*(1-R176)+INDEX(Models!$BJ176:$BT176,,T176+1)*R176-ERP_i)*Q176*Ramure*Pc/MaxiM</f>
        <v>3.6902591209686687E-3</v>
      </c>
      <c r="Q176" s="305">
        <f t="shared" si="51"/>
        <v>0.8</v>
      </c>
      <c r="R176" s="177">
        <f t="shared" si="52"/>
        <v>0.90592192880170264</v>
      </c>
      <c r="S176" s="809">
        <f t="shared" si="53"/>
        <v>0</v>
      </c>
      <c r="T176" s="176">
        <f t="shared" si="54"/>
        <v>6</v>
      </c>
      <c r="U176" s="251">
        <f t="shared" si="55"/>
        <v>0.90592192880170264</v>
      </c>
      <c r="V176" s="383">
        <f t="shared" si="56"/>
        <v>57.987658289042727</v>
      </c>
      <c r="W176" s="402"/>
      <c r="X176" s="157">
        <f t="shared" si="57"/>
        <v>44358</v>
      </c>
      <c r="Y176" s="385">
        <f t="shared" si="58"/>
        <v>43.843593668934247</v>
      </c>
      <c r="Z176" s="385">
        <f t="shared" si="59"/>
        <v>45.440215026717105</v>
      </c>
      <c r="AA176" s="386">
        <f t="shared" si="60"/>
        <v>51.829585539814353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0.1232765117943896</v>
      </c>
      <c r="AD176" s="231">
        <f>(INDEX(Models!$BJ176:$BT176,,AH176)*(1-AF176)+INDEX(Models!$BJ176:$BT176,,AH176+1)*AF176-ERP_i)*AE176*Ramure*Pc/MaxiM</f>
        <v>1.0369405982440825E-2</v>
      </c>
      <c r="AE176" s="305">
        <f t="shared" si="62"/>
        <v>0.8</v>
      </c>
      <c r="AF176" s="177">
        <f t="shared" si="63"/>
        <v>0.10585550295422408</v>
      </c>
      <c r="AG176" s="809">
        <f t="shared" si="71"/>
        <v>2</v>
      </c>
      <c r="AH176" s="176">
        <f t="shared" si="64"/>
        <v>8</v>
      </c>
      <c r="AI176" s="225">
        <f t="shared" si="65"/>
        <v>2.1058555029542241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6">
        <v>48.444000000000003</v>
      </c>
      <c r="C177" s="390"/>
      <c r="D177" s="393">
        <f t="shared" si="48"/>
        <v>50.2093330241483</v>
      </c>
      <c r="E177" s="385">
        <f t="shared" si="72"/>
        <v>51.853661233598523</v>
      </c>
      <c r="F177" s="385">
        <f t="shared" si="49"/>
        <v>52.002732488981387</v>
      </c>
      <c r="G177" s="110">
        <f t="shared" si="73"/>
        <v>0.83533714389797464</v>
      </c>
      <c r="H177" s="414" t="b">
        <f>Wh_hp&gt;='2020'!Maxi_hp</f>
        <v>0</v>
      </c>
      <c r="I177" s="380">
        <f>IF(H177,Wh_hp,'2020'!Maxi_hp)</f>
        <v>57.157834054855876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3.5159459762177311E-2</v>
      </c>
      <c r="M177" s="843"/>
      <c r="N177" s="843"/>
      <c r="O177" s="48">
        <f>IF(t&lt;Tnet,'2020'!Resal+('2020'!Salim-'2020'!Resal)*(1-EXP(('2020'!Tnet-t)/('2020'!Tau_j))),Resal+(Salim-Resal)*(1-EXP((Tnet-t)/(Tau_j))))*Salcycl</f>
        <v>3.1710937479276405E-2</v>
      </c>
      <c r="P177" s="169">
        <f>(INDEX(Models!$BJ177:$BT177,,T177)*(1-R177)+INDEX(Models!$BJ177:$BT177,,T177+1)*R177-ERP_i)*Q177*Ramure*Pc/MaxiM</f>
        <v>3.7431957886806494E-3</v>
      </c>
      <c r="Q177" s="305">
        <f t="shared" si="51"/>
        <v>0.8</v>
      </c>
      <c r="R177" s="177">
        <f t="shared" si="52"/>
        <v>0.9120908583748697</v>
      </c>
      <c r="S177" s="809">
        <f t="shared" si="53"/>
        <v>0</v>
      </c>
      <c r="T177" s="176">
        <f t="shared" si="54"/>
        <v>6</v>
      </c>
      <c r="U177" s="251">
        <f t="shared" si="55"/>
        <v>0.9120908583748697</v>
      </c>
      <c r="V177" s="383">
        <f t="shared" si="56"/>
        <v>57.942368147230276</v>
      </c>
      <c r="W177" s="402"/>
      <c r="X177" s="157">
        <f t="shared" si="57"/>
        <v>44359</v>
      </c>
      <c r="Y177" s="385">
        <f t="shared" si="58"/>
        <v>43.625973049543425</v>
      </c>
      <c r="Z177" s="385">
        <f t="shared" si="59"/>
        <v>45.215733823529114</v>
      </c>
      <c r="AA177" s="386">
        <f t="shared" si="60"/>
        <v>51.58442891589165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0.12346157990324338</v>
      </c>
      <c r="AD177" s="231">
        <f>(INDEX(Models!$BJ177:$BT177,,AH177)*(1-AF177)+INDEX(Models!$BJ177:$BT177,,AH177+1)*AF177-ERP_i)*AE177*Ramure*Pc/MaxiM</f>
        <v>1.0503649205597062E-2</v>
      </c>
      <c r="AE177" s="305">
        <f t="shared" si="62"/>
        <v>0.8</v>
      </c>
      <c r="AF177" s="177">
        <f t="shared" si="63"/>
        <v>0.11202443252739069</v>
      </c>
      <c r="AG177" s="809">
        <f t="shared" si="71"/>
        <v>2</v>
      </c>
      <c r="AH177" s="176">
        <f t="shared" si="64"/>
        <v>8</v>
      </c>
      <c r="AI177" s="225">
        <f t="shared" si="65"/>
        <v>2.1120244325273907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6">
        <v>55.309000000000005</v>
      </c>
      <c r="C178" s="390"/>
      <c r="D178" s="393">
        <f t="shared" si="48"/>
        <v>57.325847813923396</v>
      </c>
      <c r="E178" s="385">
        <f t="shared" si="72"/>
        <v>59.219056712993222</v>
      </c>
      <c r="F178" s="385">
        <f t="shared" si="49"/>
        <v>59.430194603231811</v>
      </c>
      <c r="G178" s="110">
        <f t="shared" si="73"/>
        <v>0.95512013571075105</v>
      </c>
      <c r="H178" s="414" t="b">
        <f>Wh_hp&gt;='2020'!Maxi_hp</f>
        <v>0</v>
      </c>
      <c r="I178" s="380">
        <f>IF(H178,Wh_hp,'2020'!Maxi_hp)</f>
        <v>63.561322397498678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3.5182171582877772E-2</v>
      </c>
      <c r="M178" s="843"/>
      <c r="N178" s="843"/>
      <c r="O178" s="48">
        <f>IF(t&lt;Tnet,'2020'!Resal+('2020'!Salim-'2020'!Resal)*(1-EXP(('2020'!Tnet-t)/('2020'!Tau_j))),Resal+(Salim-Resal)*(1-EXP((Tnet-t)/(Tau_j))))*Salcycl</f>
        <v>3.1969588915360704E-2</v>
      </c>
      <c r="P178" s="169">
        <f>(INDEX(Models!$BJ178:$BT178,,T178)*(1-R178)+INDEX(Models!$BJ178:$BT178,,T178+1)*R178-ERP_i)*Q178*Ramure*Pc/MaxiM</f>
        <v>3.7947424784009081E-3</v>
      </c>
      <c r="Q178" s="305">
        <f t="shared" si="51"/>
        <v>0.8</v>
      </c>
      <c r="R178" s="177">
        <f t="shared" si="52"/>
        <v>0.91824938551878954</v>
      </c>
      <c r="S178" s="809">
        <f t="shared" si="53"/>
        <v>0</v>
      </c>
      <c r="T178" s="176">
        <f t="shared" si="54"/>
        <v>6</v>
      </c>
      <c r="U178" s="251">
        <f t="shared" si="55"/>
        <v>0.91824938551878954</v>
      </c>
      <c r="V178" s="383">
        <f t="shared" si="56"/>
        <v>57.893832720328639</v>
      </c>
      <c r="W178" s="402"/>
      <c r="X178" s="157">
        <f t="shared" si="57"/>
        <v>44360</v>
      </c>
      <c r="Y178" s="385">
        <f t="shared" si="58"/>
        <v>49.749392917539673</v>
      </c>
      <c r="Z178" s="385">
        <f t="shared" si="59"/>
        <v>51.563509143646741</v>
      </c>
      <c r="AA178" s="386">
        <f t="shared" si="60"/>
        <v>58.838602507698511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0.12364490409336092</v>
      </c>
      <c r="AD178" s="231">
        <f>(INDEX(Models!$BJ178:$BT178,,AH178)*(1-AF178)+INDEX(Models!$BJ178:$BT178,,AH178+1)*AF178-ERP_i)*AE178*Ramure*Pc/MaxiM</f>
        <v>1.0632575954366055E-2</v>
      </c>
      <c r="AE178" s="305">
        <f t="shared" si="62"/>
        <v>0.8</v>
      </c>
      <c r="AF178" s="177">
        <f t="shared" si="63"/>
        <v>0.11818295967131087</v>
      </c>
      <c r="AG178" s="809">
        <f t="shared" si="71"/>
        <v>2</v>
      </c>
      <c r="AH178" s="176">
        <f t="shared" si="64"/>
        <v>8</v>
      </c>
      <c r="AI178" s="225">
        <f t="shared" si="65"/>
        <v>2.1181829596713109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6">
        <v>50.667000000000002</v>
      </c>
      <c r="C179" s="390"/>
      <c r="D179" s="393">
        <f t="shared" si="48"/>
        <v>52.515813047422043</v>
      </c>
      <c r="E179" s="385">
        <f t="shared" si="72"/>
        <v>54.264638148474347</v>
      </c>
      <c r="F179" s="385">
        <f t="shared" si="49"/>
        <v>54.436884810261837</v>
      </c>
      <c r="G179" s="110">
        <f t="shared" si="73"/>
        <v>0.87535613321490302</v>
      </c>
      <c r="H179" s="414" t="b">
        <f>Wh_hp&gt;='2020'!Maxi_hp</f>
        <v>1</v>
      </c>
      <c r="I179" s="380">
        <f>IF(H179,Wh_hp,'2020'!Maxi_hp)</f>
        <v>54.436884810261837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3.5204882875041019E-2</v>
      </c>
      <c r="M179" s="843"/>
      <c r="N179" s="843"/>
      <c r="O179" s="48">
        <f>IF(t&lt;Tnet,'2020'!Resal+('2020'!Salim-'2020'!Resal)*(1-EXP(('2020'!Tnet-t)/('2020'!Tau_j))),Resal+(Salim-Resal)*(1-EXP((Tnet-t)/(Tau_j))))*Salcycl</f>
        <v>3.2227711465933194E-2</v>
      </c>
      <c r="P179" s="169">
        <f>(INDEX(Models!$BJ179:$BT179,,T179)*(1-R179)+INDEX(Models!$BJ179:$BT179,,T179+1)*R179-ERP_i)*Q179*Ramure*Pc/MaxiM</f>
        <v>3.8456261405081802E-3</v>
      </c>
      <c r="Q179" s="305">
        <f t="shared" si="51"/>
        <v>0.8</v>
      </c>
      <c r="R179" s="177">
        <f t="shared" si="52"/>
        <v>0.92439235282018073</v>
      </c>
      <c r="S179" s="809">
        <f t="shared" si="53"/>
        <v>0</v>
      </c>
      <c r="T179" s="176">
        <f t="shared" si="54"/>
        <v>6</v>
      </c>
      <c r="U179" s="251">
        <f t="shared" si="55"/>
        <v>0.92439235282018073</v>
      </c>
      <c r="V179" s="383">
        <f t="shared" si="56"/>
        <v>57.842014589621144</v>
      </c>
      <c r="W179" s="402"/>
      <c r="X179" s="157">
        <f t="shared" si="57"/>
        <v>44361</v>
      </c>
      <c r="Y179" s="385">
        <f t="shared" si="58"/>
        <v>45.609707876900373</v>
      </c>
      <c r="Z179" s="385">
        <f t="shared" si="59"/>
        <v>47.273982908220979</v>
      </c>
      <c r="AA179" s="386">
        <f t="shared" si="60"/>
        <v>53.955042538429133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0.1238264176225904</v>
      </c>
      <c r="AD179" s="231">
        <f>(INDEX(Models!$BJ179:$BT179,,AH179)*(1-AF179)+INDEX(Models!$BJ179:$BT179,,AH179+1)*AF179-ERP_i)*AE179*Ramure*Pc/MaxiM</f>
        <v>1.0757742512582578E-2</v>
      </c>
      <c r="AE179" s="305">
        <f t="shared" si="62"/>
        <v>0.8</v>
      </c>
      <c r="AF179" s="177">
        <f t="shared" si="63"/>
        <v>0.12432592697270195</v>
      </c>
      <c r="AG179" s="809">
        <f t="shared" si="71"/>
        <v>2</v>
      </c>
      <c r="AH179" s="176">
        <f t="shared" si="64"/>
        <v>8</v>
      </c>
      <c r="AI179" s="225">
        <f t="shared" si="65"/>
        <v>2.124325926972702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6">
        <v>50.311999999999998</v>
      </c>
      <c r="C180" s="390"/>
      <c r="D180" s="393">
        <f t="shared" si="48"/>
        <v>52.149086839821422</v>
      </c>
      <c r="E180" s="385">
        <f t="shared" si="72"/>
        <v>53.900044881588606</v>
      </c>
      <c r="F180" s="385">
        <f t="shared" si="49"/>
        <v>54.071770485345859</v>
      </c>
      <c r="G180" s="110">
        <f t="shared" si="73"/>
        <v>0.8700180424662699</v>
      </c>
      <c r="H180" s="414" t="b">
        <f>Wh_hp&gt;='2020'!Maxi_hp</f>
        <v>0</v>
      </c>
      <c r="I180" s="380">
        <f>IF(H180,Wh_hp,'2020'!Maxi_hp)</f>
        <v>56.029931246616755</v>
      </c>
      <c r="J180" s="85">
        <f>IF(H180,An,'2020'!An_max)</f>
        <v>2020</v>
      </c>
      <c r="K180" s="197">
        <f t="shared" si="50"/>
        <v>44362</v>
      </c>
      <c r="L180" s="147">
        <f>IF(t&lt;Tvie,1-EXP((T0-t)*PertePVj)+'2020'!Pspv,1-EXP((T0-t)*PertePVj)+Pspv)</f>
        <v>3.5227593638679264E-2</v>
      </c>
      <c r="M180" s="843"/>
      <c r="N180" s="843"/>
      <c r="O180" s="48">
        <f>IF(t&lt;Tnet,'2020'!Resal+('2020'!Salim-'2020'!Resal)*(1-EXP(('2020'!Tnet-t)/('2020'!Tau_j))),Resal+(Salim-Resal)*(1-EXP((Tnet-t)/(Tau_j))))*Salcycl</f>
        <v>3.2485279847425171E-2</v>
      </c>
      <c r="P180" s="169">
        <f>(INDEX(Models!$BJ180:$BT180,,T180)*(1-R180)+INDEX(Models!$BJ180:$BT180,,T180+1)*R180-ERP_i)*Q180*Ramure*Pc/MaxiM</f>
        <v>3.8957860649105427E-3</v>
      </c>
      <c r="Q180" s="305">
        <f t="shared" si="51"/>
        <v>0.8</v>
      </c>
      <c r="R180" s="177">
        <f t="shared" si="52"/>
        <v>0.93051465507674869</v>
      </c>
      <c r="S180" s="809">
        <f t="shared" si="53"/>
        <v>0</v>
      </c>
      <c r="T180" s="176">
        <f t="shared" si="54"/>
        <v>6</v>
      </c>
      <c r="U180" s="251">
        <f t="shared" si="55"/>
        <v>0.93051465507674869</v>
      </c>
      <c r="V180" s="383">
        <f t="shared" si="56"/>
        <v>57.786922080634625</v>
      </c>
      <c r="W180" s="402"/>
      <c r="X180" s="157">
        <f t="shared" si="57"/>
        <v>44362</v>
      </c>
      <c r="Y180" s="385">
        <f t="shared" si="58"/>
        <v>45.29265503197108</v>
      </c>
      <c r="Z180" s="385">
        <f t="shared" si="59"/>
        <v>46.946466061145145</v>
      </c>
      <c r="AA180" s="386">
        <f t="shared" si="60"/>
        <v>53.592226908592714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0.12400605891564515</v>
      </c>
      <c r="AD180" s="231">
        <f>(INDEX(Models!$BJ180:$BT180,,AH180)*(1-AF180)+INDEX(Models!$BJ180:$BT180,,AH180+1)*AF180-ERP_i)*AE180*Ramure*Pc/MaxiM</f>
        <v>1.0878978690173071E-2</v>
      </c>
      <c r="AE180" s="305">
        <f t="shared" si="62"/>
        <v>0.8</v>
      </c>
      <c r="AF180" s="177">
        <f t="shared" si="63"/>
        <v>0.13044822922926969</v>
      </c>
      <c r="AG180" s="809">
        <f t="shared" si="71"/>
        <v>2</v>
      </c>
      <c r="AH180" s="176">
        <f t="shared" si="64"/>
        <v>8</v>
      </c>
      <c r="AI180" s="225">
        <f t="shared" si="65"/>
        <v>2.1304482292292697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6">
        <v>44.533999999999999</v>
      </c>
      <c r="C181" s="390"/>
      <c r="D181" s="393">
        <f t="shared" si="48"/>
        <v>46.161196192980903</v>
      </c>
      <c r="E181" s="385">
        <f t="shared" si="72"/>
        <v>47.723781111865407</v>
      </c>
      <c r="F181" s="385">
        <f t="shared" si="49"/>
        <v>47.850920949837523</v>
      </c>
      <c r="G181" s="110">
        <f t="shared" si="73"/>
        <v>0.77044148505786758</v>
      </c>
      <c r="H181" s="414" t="b">
        <f>Wh_hp&gt;='2020'!Maxi_hp</f>
        <v>0</v>
      </c>
      <c r="I181" s="380">
        <f>IF(H181,Wh_hp,'2020'!Maxi_hp)</f>
        <v>64.737412852018437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3.5250303873804942E-2</v>
      </c>
      <c r="M181" s="843"/>
      <c r="N181" s="843"/>
      <c r="O181" s="48">
        <f>IF(t&lt;Tnet,'2020'!Resal+('2020'!Salim-'2020'!Resal)*(1-EXP(('2020'!Tnet-t)/('2020'!Tau_j))),Resal+(Salim-Resal)*(1-EXP((Tnet-t)/(Tau_j))))*Salcycl</f>
        <v>3.2742269838631904E-2</v>
      </c>
      <c r="P181" s="169">
        <f>(INDEX(Models!$BJ181:$BT181,,T181)*(1-R181)+INDEX(Models!$BJ181:$BT181,,T181+1)*R181-ERP_i)*Q181*Ramure*Pc/MaxiM</f>
        <v>3.9451627703933328E-3</v>
      </c>
      <c r="Q181" s="305">
        <f t="shared" si="51"/>
        <v>0.8</v>
      </c>
      <c r="R181" s="177">
        <f t="shared" si="52"/>
        <v>0.93661125612107499</v>
      </c>
      <c r="S181" s="809">
        <f t="shared" si="53"/>
        <v>0</v>
      </c>
      <c r="T181" s="176">
        <f t="shared" si="54"/>
        <v>6</v>
      </c>
      <c r="U181" s="251">
        <f t="shared" si="55"/>
        <v>0.93661125612107499</v>
      </c>
      <c r="V181" s="383">
        <f t="shared" si="56"/>
        <v>57.728563345167665</v>
      </c>
      <c r="W181" s="402"/>
      <c r="X181" s="157">
        <f t="shared" si="57"/>
        <v>44363</v>
      </c>
      <c r="Y181" s="385">
        <f t="shared" si="58"/>
        <v>40.131899706224779</v>
      </c>
      <c r="Z181" s="385">
        <f t="shared" si="59"/>
        <v>41.598250683434557</v>
      </c>
      <c r="AA181" s="386">
        <f t="shared" si="60"/>
        <v>47.49655160903712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0.12418377178524038</v>
      </c>
      <c r="AD181" s="231">
        <f>(INDEX(Models!$BJ181:$BT181,,AH181)*(1-AF181)+INDEX(Models!$BJ181:$BT181,,AH181+1)*AF181-ERP_i)*AE181*Ramure*Pc/MaxiM</f>
        <v>1.0996118546267187E-2</v>
      </c>
      <c r="AE181" s="305">
        <f t="shared" si="62"/>
        <v>0.8</v>
      </c>
      <c r="AF181" s="177">
        <f t="shared" si="63"/>
        <v>0.13654483027359632</v>
      </c>
      <c r="AG181" s="809">
        <f t="shared" si="71"/>
        <v>2</v>
      </c>
      <c r="AH181" s="176">
        <f t="shared" si="64"/>
        <v>8</v>
      </c>
      <c r="AI181" s="225">
        <f t="shared" si="65"/>
        <v>2.1365448302735963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6">
        <v>15.1</v>
      </c>
      <c r="C182" s="390"/>
      <c r="D182" s="393">
        <f t="shared" si="48"/>
        <v>15.652096616516596</v>
      </c>
      <c r="E182" s="385">
        <f t="shared" si="72"/>
        <v>16.186220166249658</v>
      </c>
      <c r="F182" s="385">
        <f t="shared" si="49"/>
        <v>16.186220166249658</v>
      </c>
      <c r="G182" s="110">
        <f t="shared" si="73"/>
        <v>0.26080269744463597</v>
      </c>
      <c r="H182" s="414" t="b">
        <f>Wh_hp&gt;='2020'!Maxi_hp</f>
        <v>0</v>
      </c>
      <c r="I182" s="380">
        <f>IF(H182,Wh_hp,'2020'!Maxi_hp)</f>
        <v>61.823807905736835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3.5273013580430265E-2</v>
      </c>
      <c r="M182" s="843"/>
      <c r="N182" s="843"/>
      <c r="O182" s="48">
        <f>IF(t&lt;Tnet,'2020'!Resal+('2020'!Salim-'2020'!Resal)*(1-EXP(('2020'!Tnet-t)/('2020'!Tau_j))),Resal+(Salim-Resal)*(1-EXP((Tnet-t)/(Tau_j))))*Salcycl</f>
        <v>3.2998658380217656E-2</v>
      </c>
      <c r="P182" s="169">
        <f>(INDEX(Models!$BJ182:$BT182,,T182)*(1-R182)+INDEX(Models!$BJ182:$BT182,,T182+1)*R182-ERP_i)*Q182*Ramure*Pc/MaxiM</f>
        <v>3.9936982615182449E-3</v>
      </c>
      <c r="Q182" s="305">
        <f t="shared" si="51"/>
        <v>0.8</v>
      </c>
      <c r="R182" s="177">
        <f t="shared" si="52"/>
        <v>0.94267720515666675</v>
      </c>
      <c r="S182" s="809">
        <f t="shared" si="53"/>
        <v>0</v>
      </c>
      <c r="T182" s="176">
        <f t="shared" si="54"/>
        <v>6</v>
      </c>
      <c r="U182" s="251">
        <f t="shared" si="55"/>
        <v>0.94267720515666675</v>
      </c>
      <c r="V182" s="383">
        <f t="shared" si="56"/>
        <v>57.666946329969413</v>
      </c>
      <c r="W182" s="402"/>
      <c r="X182" s="157">
        <f t="shared" si="57"/>
        <v>44364</v>
      </c>
      <c r="Y182" s="385">
        <f t="shared" si="58"/>
        <v>13.673374478385169</v>
      </c>
      <c r="Z182" s="385">
        <f t="shared" si="59"/>
        <v>14.173309828443502</v>
      </c>
      <c r="AA182" s="386">
        <f t="shared" si="60"/>
        <v>16.186220166249658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0.12435950562462579</v>
      </c>
      <c r="AD182" s="231">
        <f>(INDEX(Models!$BJ182:$BT182,,AH182)*(1-AF182)+INDEX(Models!$BJ182:$BT182,,AH182+1)*AF182-ERP_i)*AE182*Ramure*Pc/MaxiM</f>
        <v>1.1109000995888636E-2</v>
      </c>
      <c r="AE182" s="305">
        <f t="shared" si="62"/>
        <v>0.8</v>
      </c>
      <c r="AF182" s="177">
        <f t="shared" si="63"/>
        <v>0.1426107793091882</v>
      </c>
      <c r="AG182" s="809">
        <f t="shared" si="71"/>
        <v>2</v>
      </c>
      <c r="AH182" s="176">
        <f t="shared" si="64"/>
        <v>8</v>
      </c>
      <c r="AI182" s="225">
        <f t="shared" si="65"/>
        <v>2.1426107793091882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6">
        <v>42.462000000000003</v>
      </c>
      <c r="C183" s="390"/>
      <c r="D183" s="393">
        <f t="shared" si="48"/>
        <v>44.015561039513472</v>
      </c>
      <c r="E183" s="385">
        <f t="shared" si="72"/>
        <v>45.529622391964864</v>
      </c>
      <c r="F183" s="385">
        <f t="shared" si="49"/>
        <v>45.644824333008813</v>
      </c>
      <c r="G183" s="110">
        <f t="shared" si="73"/>
        <v>0.73603945444654029</v>
      </c>
      <c r="H183" s="414" t="b">
        <f>Wh_hp&gt;='2020'!Maxi_hp</f>
        <v>0</v>
      </c>
      <c r="I183" s="380">
        <f>IF(H183,Wh_hp,'2020'!Maxi_hp)</f>
        <v>61.050936871155521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3.5295722758567447E-2</v>
      </c>
      <c r="M183" s="843"/>
      <c r="N183" s="843"/>
      <c r="O183" s="48">
        <f>IF(t&lt;Tnet,'2020'!Resal+('2020'!Salim-'2020'!Resal)*(1-EXP(('2020'!Tnet-t)/('2020'!Tau_j))),Resal+(Salim-Resal)*(1-EXP((Tnet-t)/(Tau_j))))*Salcycl</f>
        <v>3.3254423667669022E-2</v>
      </c>
      <c r="P183" s="169">
        <f>(INDEX(Models!$BJ183:$BT183,,T183)*(1-R183)+INDEX(Models!$BJ183:$BT183,,T183+1)*R183-ERP_i)*Q183*Ramure*Pc/MaxiM</f>
        <v>4.0413362743755713E-3</v>
      </c>
      <c r="Q183" s="305">
        <f t="shared" si="51"/>
        <v>0.8</v>
      </c>
      <c r="R183" s="177">
        <f t="shared" si="52"/>
        <v>0.94870765249539302</v>
      </c>
      <c r="S183" s="809">
        <f t="shared" si="53"/>
        <v>0</v>
      </c>
      <c r="T183" s="176">
        <f t="shared" si="54"/>
        <v>6</v>
      </c>
      <c r="U183" s="251">
        <f t="shared" si="55"/>
        <v>0.94870765249539302</v>
      </c>
      <c r="V183" s="383">
        <f t="shared" si="56"/>
        <v>57.602078760509634</v>
      </c>
      <c r="W183" s="402"/>
      <c r="X183" s="157">
        <f t="shared" si="57"/>
        <v>44365</v>
      </c>
      <c r="Y183" s="385">
        <f t="shared" si="58"/>
        <v>38.280029796754349</v>
      </c>
      <c r="Z183" s="385">
        <f t="shared" si="59"/>
        <v>39.680584713707205</v>
      </c>
      <c r="AA183" s="386">
        <f t="shared" si="60"/>
        <v>45.32506020721781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0.12453321557004236</v>
      </c>
      <c r="AD183" s="231">
        <f>(INDEX(Models!$BJ183:$BT183,,AH183)*(1-AF183)+INDEX(Models!$BJ183:$BT183,,AH183+1)*AF183-ERP_i)*AE183*Ramure*Pc/MaxiM</f>
        <v>1.1217470375001445E-2</v>
      </c>
      <c r="AE183" s="305">
        <f t="shared" si="62"/>
        <v>0.8</v>
      </c>
      <c r="AF183" s="177">
        <f t="shared" si="63"/>
        <v>0.14864122664791424</v>
      </c>
      <c r="AG183" s="809">
        <f t="shared" si="71"/>
        <v>2</v>
      </c>
      <c r="AH183" s="176">
        <f t="shared" si="64"/>
        <v>8</v>
      </c>
      <c r="AI183" s="225">
        <f t="shared" si="65"/>
        <v>2.1486412266479142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6">
        <v>32.734000000000002</v>
      </c>
      <c r="C184" s="390"/>
      <c r="D184" s="393">
        <f t="shared" si="48"/>
        <v>33.932440574960552</v>
      </c>
      <c r="E184" s="385">
        <f t="shared" si="72"/>
        <v>35.10892467456496</v>
      </c>
      <c r="F184" s="385">
        <f t="shared" si="49"/>
        <v>35.164150274630174</v>
      </c>
      <c r="G184" s="110">
        <f t="shared" si="73"/>
        <v>0.56751625415626261</v>
      </c>
      <c r="H184" s="414" t="b">
        <f>Wh_hp&gt;='2020'!Maxi_hp</f>
        <v>0</v>
      </c>
      <c r="I184" s="380">
        <f>IF(H184,Wh_hp,'2020'!Maxi_hp)</f>
        <v>49.116701204913014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3.5318431408229031E-2</v>
      </c>
      <c r="M184" s="843"/>
      <c r="N184" s="843"/>
      <c r="O184" s="48">
        <f>IF(t&lt;Tnet,'2020'!Resal+('2020'!Salim-'2020'!Resal)*(1-EXP(('2020'!Tnet-t)/('2020'!Tau_j))),Resal+(Salim-Resal)*(1-EXP((Tnet-t)/(Tau_j))))*Salcycl</f>
        <v>3.3509545236990061E-2</v>
      </c>
      <c r="P184" s="169">
        <f>(INDEX(Models!$BJ184:$BT184,,T184)*(1-R184)+INDEX(Models!$BJ184:$BT184,,T184+1)*R184-ERP_i)*Q184*Ramure*Pc/MaxiM</f>
        <v>4.0875760758932273E-3</v>
      </c>
      <c r="Q184" s="305">
        <f t="shared" si="51"/>
        <v>0.8</v>
      </c>
      <c r="R184" s="177">
        <f t="shared" si="52"/>
        <v>0.95469786459268802</v>
      </c>
      <c r="S184" s="809">
        <f t="shared" si="53"/>
        <v>0</v>
      </c>
      <c r="T184" s="176">
        <f t="shared" si="54"/>
        <v>6</v>
      </c>
      <c r="U184" s="251">
        <f t="shared" si="55"/>
        <v>0.95469786459268802</v>
      </c>
      <c r="V184" s="383">
        <f t="shared" si="56"/>
        <v>57.533993908108393</v>
      </c>
      <c r="W184" s="402"/>
      <c r="X184" s="157">
        <f t="shared" si="57"/>
        <v>44366</v>
      </c>
      <c r="Y184" s="385">
        <f t="shared" si="58"/>
        <v>29.562813376142394</v>
      </c>
      <c r="Z184" s="385">
        <f t="shared" si="59"/>
        <v>30.645152077796805</v>
      </c>
      <c r="AA184" s="386">
        <f t="shared" si="60"/>
        <v>35.011221666261228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0.1247048626318519</v>
      </c>
      <c r="AD184" s="231">
        <f>(INDEX(Models!$BJ184:$BT184,,AH184)*(1-AF184)+INDEX(Models!$BJ184:$BT184,,AH184+1)*AF184-ERP_i)*AE184*Ramure*Pc/MaxiM</f>
        <v>1.1319158508922129E-2</v>
      </c>
      <c r="AE184" s="305">
        <f t="shared" si="62"/>
        <v>0.8</v>
      </c>
      <c r="AF184" s="177">
        <f t="shared" si="63"/>
        <v>0.15463143874520924</v>
      </c>
      <c r="AG184" s="809">
        <f t="shared" si="71"/>
        <v>2</v>
      </c>
      <c r="AH184" s="176">
        <f t="shared" si="64"/>
        <v>8</v>
      </c>
      <c r="AI184" s="225">
        <f t="shared" si="65"/>
        <v>2.1546314387452092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6">
        <v>34.346000000000004</v>
      </c>
      <c r="C185" s="390"/>
      <c r="D185" s="393">
        <f t="shared" si="48"/>
        <v>35.604296407172981</v>
      </c>
      <c r="E185" s="385">
        <f t="shared" si="72"/>
        <v>36.848447538833412</v>
      </c>
      <c r="F185" s="385">
        <f t="shared" si="49"/>
        <v>36.913328161802227</v>
      </c>
      <c r="G185" s="110">
        <f t="shared" si="73"/>
        <v>0.59628759145185384</v>
      </c>
      <c r="H185" s="414" t="b">
        <f>Wh_hp&gt;='2020'!Maxi_hp</f>
        <v>0</v>
      </c>
      <c r="I185" s="380">
        <f>IF(H185,Wh_hp,'2020'!Maxi_hp)</f>
        <v>54.149543241445002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3.534113952942701E-2</v>
      </c>
      <c r="M185" s="843"/>
      <c r="N185" s="843"/>
      <c r="O185" s="48">
        <f>IF(t&lt;Tnet,'2020'!Resal+('2020'!Salim-'2020'!Resal)*(1-EXP(('2020'!Tnet-t)/('2020'!Tau_j))),Resal+(Salim-Resal)*(1-EXP((Tnet-t)/(Tau_j))))*Salcycl</f>
        <v>3.3764004042483878E-2</v>
      </c>
      <c r="P185" s="169">
        <f>(INDEX(Models!$BJ185:$BT185,,T185)*(1-R185)+INDEX(Models!$BJ185:$BT185,,T185+1)*R185-ERP_i)*Q185*Ramure*Pc/MaxiM</f>
        <v>4.1327283817242698E-3</v>
      </c>
      <c r="Q185" s="305">
        <f t="shared" si="51"/>
        <v>0.8</v>
      </c>
      <c r="R185" s="177">
        <f t="shared" si="52"/>
        <v>0.96064323828518683</v>
      </c>
      <c r="S185" s="809">
        <f t="shared" si="53"/>
        <v>0</v>
      </c>
      <c r="T185" s="176">
        <f t="shared" si="54"/>
        <v>6</v>
      </c>
      <c r="U185" s="251">
        <f t="shared" si="55"/>
        <v>0.96064323828518683</v>
      </c>
      <c r="V185" s="383">
        <f t="shared" si="56"/>
        <v>57.462677968222103</v>
      </c>
      <c r="W185" s="402"/>
      <c r="X185" s="157">
        <f t="shared" si="57"/>
        <v>44367</v>
      </c>
      <c r="Y185" s="385">
        <f t="shared" si="58"/>
        <v>31.01084722848298</v>
      </c>
      <c r="Z185" s="385">
        <f t="shared" si="59"/>
        <v>32.146957333036354</v>
      </c>
      <c r="AA185" s="386">
        <f t="shared" si="60"/>
        <v>36.734107469512637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0.12487441379332209</v>
      </c>
      <c r="AD185" s="231">
        <f>(INDEX(Models!$BJ185:$BT185,,AH185)*(1-AF185)+INDEX(Models!$BJ185:$BT185,,AH185+1)*AF185-ERP_i)*AE185*Ramure*Pc/MaxiM</f>
        <v>1.1415895959775716E-2</v>
      </c>
      <c r="AE185" s="305">
        <f t="shared" si="62"/>
        <v>0.8</v>
      </c>
      <c r="AF185" s="177">
        <f t="shared" si="63"/>
        <v>0.16057681243770805</v>
      </c>
      <c r="AG185" s="809">
        <f t="shared" si="71"/>
        <v>2</v>
      </c>
      <c r="AH185" s="176">
        <f t="shared" si="64"/>
        <v>8</v>
      </c>
      <c r="AI185" s="225">
        <f t="shared" si="65"/>
        <v>2.160576812437708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6">
        <v>33.436999999999998</v>
      </c>
      <c r="C186" s="390"/>
      <c r="D186" s="393">
        <f t="shared" si="48"/>
        <v>34.66281032516401</v>
      </c>
      <c r="E186" s="385">
        <f t="shared" si="72"/>
        <v>35.883486981578756</v>
      </c>
      <c r="F186" s="385">
        <f t="shared" si="49"/>
        <v>35.944106278374285</v>
      </c>
      <c r="G186" s="110">
        <f t="shared" si="73"/>
        <v>0.58119315072085376</v>
      </c>
      <c r="H186" s="414" t="b">
        <f>Wh_hp&gt;='2020'!Maxi_hp</f>
        <v>0</v>
      </c>
      <c r="I186" s="380">
        <f>IF(H186,Wh_hp,'2020'!Maxi_hp)</f>
        <v>52.018835844669908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3.5363847122173928E-2</v>
      </c>
      <c r="M186" s="843"/>
      <c r="N186" s="843"/>
      <c r="O186" s="48">
        <f>IF(t&lt;Tnet,'2020'!Resal+('2020'!Salim-'2020'!Resal)*(1-EXP(('2020'!Tnet-t)/('2020'!Tau_j))),Resal+(Salim-Resal)*(1-EXP((Tnet-t)/(Tau_j))))*Salcycl</f>
        <v>3.4017782526023596E-2</v>
      </c>
      <c r="P186" s="169">
        <f>(INDEX(Models!$BJ186:$BT186,,T186)*(1-R186)+INDEX(Models!$BJ186:$BT186,,T186+1)*R186-ERP_i)*Q186*Ramure*Pc/MaxiM</f>
        <v>4.1767412541924903E-3</v>
      </c>
      <c r="Q186" s="305">
        <f t="shared" si="51"/>
        <v>0.8</v>
      </c>
      <c r="R186" s="177">
        <f t="shared" si="52"/>
        <v>0.96653931414473893</v>
      </c>
      <c r="S186" s="809">
        <f t="shared" si="53"/>
        <v>0</v>
      </c>
      <c r="T186" s="176">
        <f t="shared" si="54"/>
        <v>6</v>
      </c>
      <c r="U186" s="251">
        <f t="shared" si="55"/>
        <v>0.96653931414473893</v>
      </c>
      <c r="V186" s="383">
        <f t="shared" si="56"/>
        <v>57.388137985814389</v>
      </c>
      <c r="W186" s="402"/>
      <c r="X186" s="157">
        <f t="shared" si="57"/>
        <v>44368</v>
      </c>
      <c r="Y186" s="385">
        <f t="shared" si="58"/>
        <v>30.196447032619751</v>
      </c>
      <c r="Z186" s="385">
        <f t="shared" si="59"/>
        <v>31.303457726038822</v>
      </c>
      <c r="AA186" s="386">
        <f t="shared" si="60"/>
        <v>35.777091101502073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0.12504184207629526</v>
      </c>
      <c r="AD186" s="231">
        <f>(INDEX(Models!$BJ186:$BT186,,AH186)*(1-AF186)+INDEX(Models!$BJ186:$BT186,,AH186+1)*AF186-ERP_i)*AE186*Ramure*Pc/MaxiM</f>
        <v>1.1507543244379224E-2</v>
      </c>
      <c r="AE186" s="305">
        <f t="shared" si="62"/>
        <v>0.8</v>
      </c>
      <c r="AF186" s="177">
        <f t="shared" si="63"/>
        <v>0.16647288829725992</v>
      </c>
      <c r="AG186" s="809">
        <f t="shared" si="71"/>
        <v>2</v>
      </c>
      <c r="AH186" s="176">
        <f t="shared" si="64"/>
        <v>8</v>
      </c>
      <c r="AI186" s="225">
        <f t="shared" si="65"/>
        <v>2.1664728882972599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6">
        <v>36.136000000000003</v>
      </c>
      <c r="C187" s="390"/>
      <c r="D187" s="393">
        <f t="shared" si="48"/>
        <v>37.461638293383189</v>
      </c>
      <c r="E187" s="385">
        <f t="shared" si="72"/>
        <v>38.791040803449015</v>
      </c>
      <c r="F187" s="385">
        <f t="shared" si="49"/>
        <v>38.868483438536835</v>
      </c>
      <c r="G187" s="110">
        <f t="shared" si="73"/>
        <v>0.62912441043567746</v>
      </c>
      <c r="H187" s="414" t="b">
        <f>Wh_hp&gt;='2020'!Maxi_hp</f>
        <v>0</v>
      </c>
      <c r="I187" s="380">
        <f>IF(H187,Wh_hp,'2020'!Maxi_hp)</f>
        <v>63.102397192098245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3.5386554186481886E-2</v>
      </c>
      <c r="M187" s="843"/>
      <c r="N187" s="843"/>
      <c r="O187" s="48">
        <f>IF(t&lt;Tnet,'2020'!Resal+('2020'!Salim-'2020'!Resal)*(1-EXP(('2020'!Tnet-t)/('2020'!Tau_j))),Resal+(Salim-Resal)*(1-EXP((Tnet-t)/(Tau_j))))*Salcycl</f>
        <v>3.4270864677279314E-2</v>
      </c>
      <c r="P187" s="169">
        <f>(INDEX(Models!$BJ187:$BT187,,T187)*(1-R187)+INDEX(Models!$BJ187:$BT187,,T187+1)*R187-ERP_i)*Q187*Ramure*Pc/MaxiM</f>
        <v>4.2195653653453249E-3</v>
      </c>
      <c r="Q187" s="305">
        <f t="shared" si="51"/>
        <v>0.8</v>
      </c>
      <c r="R187" s="177">
        <f t="shared" si="52"/>
        <v>0.9723817888728441</v>
      </c>
      <c r="S187" s="809">
        <f t="shared" si="53"/>
        <v>0</v>
      </c>
      <c r="T187" s="176">
        <f t="shared" si="54"/>
        <v>6</v>
      </c>
      <c r="U187" s="251">
        <f t="shared" si="55"/>
        <v>0.9723817888728441</v>
      </c>
      <c r="V187" s="383">
        <f t="shared" si="56"/>
        <v>57.310380709192941</v>
      </c>
      <c r="W187" s="402"/>
      <c r="X187" s="157">
        <f t="shared" si="57"/>
        <v>44369</v>
      </c>
      <c r="Y187" s="385">
        <f t="shared" si="58"/>
        <v>32.619105920709352</v>
      </c>
      <c r="Z187" s="385">
        <f t="shared" si="59"/>
        <v>33.815728012374578</v>
      </c>
      <c r="AA187" s="386">
        <f t="shared" si="60"/>
        <v>38.655696724997398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0.12520712657322178</v>
      </c>
      <c r="AD187" s="231">
        <f>(INDEX(Models!$BJ187:$BT187,,AH187)*(1-AF187)+INDEX(Models!$BJ187:$BT187,,AH187+1)*AF187-ERP_i)*AE187*Ramure*Pc/MaxiM</f>
        <v>1.1593968175778853E-2</v>
      </c>
      <c r="AE187" s="305">
        <f t="shared" si="62"/>
        <v>0.8</v>
      </c>
      <c r="AF187" s="177">
        <f t="shared" si="63"/>
        <v>0.1723153630253651</v>
      </c>
      <c r="AG187" s="809">
        <f t="shared" si="71"/>
        <v>2</v>
      </c>
      <c r="AH187" s="176">
        <f t="shared" si="64"/>
        <v>8</v>
      </c>
      <c r="AI187" s="225">
        <f t="shared" si="65"/>
        <v>2.1723153630253651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6">
        <v>23.275000000000002</v>
      </c>
      <c r="C188" s="390"/>
      <c r="D188" s="393">
        <f t="shared" si="48"/>
        <v>24.129404370427814</v>
      </c>
      <c r="E188" s="385">
        <f t="shared" si="72"/>
        <v>24.992216563109441</v>
      </c>
      <c r="F188" s="385">
        <f t="shared" si="49"/>
        <v>25.008459392308321</v>
      </c>
      <c r="G188" s="110">
        <f t="shared" si="73"/>
        <v>0.40522666439958249</v>
      </c>
      <c r="H188" s="414" t="b">
        <f>Wh_hp&gt;='2020'!Maxi_hp</f>
        <v>0</v>
      </c>
      <c r="I188" s="380">
        <f>IF(H188,Wh_hp,'2020'!Maxi_hp)</f>
        <v>54.439058781268628</v>
      </c>
      <c r="J188" s="85">
        <f>IF(H188,An,'2020'!An_max)</f>
        <v>2020</v>
      </c>
      <c r="K188" s="197">
        <f t="shared" si="50"/>
        <v>44370</v>
      </c>
      <c r="L188" s="147">
        <f>IF(t&lt;Tvie,1-EXP((T0-t)*PertePVj)+'2020'!Pspv,1-EXP((T0-t)*PertePVj)+Pspv)</f>
        <v>3.5409260722363431E-2</v>
      </c>
      <c r="M188" s="843"/>
      <c r="N188" s="843"/>
      <c r="O188" s="48">
        <f>IF(t&lt;Tnet,'2020'!Resal+('2020'!Salim-'2020'!Resal)*(1-EXP(('2020'!Tnet-t)/('2020'!Tau_j))),Resal+(Salim-Resal)*(1-EXP((Tnet-t)/(Tau_j))))*Salcycl</f>
        <v>3.4523236084437997E-2</v>
      </c>
      <c r="P188" s="169">
        <f>(INDEX(Models!$BJ188:$BT188,,T188)*(1-R188)+INDEX(Models!$BJ188:$BT188,,T188+1)*R188-ERP_i)*Q188*Ramure*Pc/MaxiM</f>
        <v>4.2611105875151479E-3</v>
      </c>
      <c r="Q188" s="305">
        <f t="shared" si="51"/>
        <v>0.8</v>
      </c>
      <c r="R188" s="177">
        <f t="shared" si="52"/>
        <v>0.97816652667031034</v>
      </c>
      <c r="S188" s="809">
        <f t="shared" si="53"/>
        <v>0</v>
      </c>
      <c r="T188" s="176">
        <f t="shared" si="54"/>
        <v>6</v>
      </c>
      <c r="U188" s="251">
        <f t="shared" si="55"/>
        <v>0.97816652667031034</v>
      </c>
      <c r="V188" s="383">
        <f t="shared" si="56"/>
        <v>57.229415078246333</v>
      </c>
      <c r="W188" s="402"/>
      <c r="X188" s="157">
        <f t="shared" si="57"/>
        <v>44370</v>
      </c>
      <c r="Y188" s="385">
        <f t="shared" si="58"/>
        <v>21.061085004387113</v>
      </c>
      <c r="Z188" s="385">
        <f t="shared" si="59"/>
        <v>21.834218541388189</v>
      </c>
      <c r="AA188" s="386">
        <f t="shared" si="60"/>
        <v>24.96395600816523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0.12537025244530012</v>
      </c>
      <c r="AD188" s="231">
        <f>(INDEX(Models!$BJ188:$BT188,,AH188)*(1-AF188)+INDEX(Models!$BJ188:$BT188,,AH188+1)*AF188-ERP_i)*AE188*Ramure*Pc/MaxiM</f>
        <v>1.167492676494214E-2</v>
      </c>
      <c r="AE188" s="305">
        <f t="shared" si="62"/>
        <v>0.8</v>
      </c>
      <c r="AF188" s="177">
        <f t="shared" si="63"/>
        <v>0.17810010082283156</v>
      </c>
      <c r="AG188" s="809">
        <f t="shared" si="71"/>
        <v>2</v>
      </c>
      <c r="AH188" s="176">
        <f t="shared" si="64"/>
        <v>8</v>
      </c>
      <c r="AI188" s="225">
        <f t="shared" si="65"/>
        <v>2.1781001008228316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6">
        <v>39.286999999999999</v>
      </c>
      <c r="C189" s="390"/>
      <c r="D189" s="393">
        <f t="shared" si="48"/>
        <v>40.730149294711239</v>
      </c>
      <c r="E189" s="385">
        <f t="shared" si="72"/>
        <v>42.197564711585308</v>
      </c>
      <c r="F189" s="385">
        <f t="shared" si="49"/>
        <v>42.298278191523018</v>
      </c>
      <c r="G189" s="110">
        <f t="shared" si="73"/>
        <v>0.68617039766448473</v>
      </c>
      <c r="H189" s="414" t="b">
        <f>Wh_hp&gt;='2020'!Maxi_hp</f>
        <v>0</v>
      </c>
      <c r="I189" s="380">
        <f>IF(H189,Wh_hp,'2020'!Maxi_hp)</f>
        <v>61.680272578542535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3.5431966729830663E-2</v>
      </c>
      <c r="M189" s="843"/>
      <c r="N189" s="843"/>
      <c r="O189" s="48">
        <f>IF(t&lt;Tnet,'2020'!Resal+('2020'!Salim-'2020'!Resal)*(1-EXP(('2020'!Tnet-t)/('2020'!Tau_j))),Resal+(Salim-Resal)*(1-EXP((Tnet-t)/(Tau_j))))*Salcycl</f>
        <v>3.4774883975026934E-2</v>
      </c>
      <c r="P189" s="169">
        <f>(INDEX(Models!$BJ189:$BT189,,T189)*(1-R189)+INDEX(Models!$BJ189:$BT189,,T189+1)*R189-ERP_i)*Q189*Ramure*Pc/MaxiM</f>
        <v>4.3012857336493966E-3</v>
      </c>
      <c r="Q189" s="305">
        <f t="shared" si="51"/>
        <v>0.8</v>
      </c>
      <c r="R189" s="177">
        <f t="shared" si="52"/>
        <v>0.9838895695281612</v>
      </c>
      <c r="S189" s="809">
        <f t="shared" si="53"/>
        <v>0</v>
      </c>
      <c r="T189" s="176">
        <f t="shared" si="54"/>
        <v>6</v>
      </c>
      <c r="U189" s="251">
        <f t="shared" si="55"/>
        <v>0.9838895695281612</v>
      </c>
      <c r="V189" s="383">
        <f t="shared" si="56"/>
        <v>57.145249926416554</v>
      </c>
      <c r="W189" s="402"/>
      <c r="X189" s="157">
        <f t="shared" si="57"/>
        <v>44371</v>
      </c>
      <c r="Y189" s="385">
        <f t="shared" si="58"/>
        <v>35.445882359163399</v>
      </c>
      <c r="Z189" s="385">
        <f t="shared" si="59"/>
        <v>36.747933931618519</v>
      </c>
      <c r="AA189" s="386">
        <f t="shared" si="60"/>
        <v>42.023150956458551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0.12553121088672872</v>
      </c>
      <c r="AD189" s="231">
        <f>(INDEX(Models!$BJ189:$BT189,,AH189)*(1-AF189)+INDEX(Models!$BJ189:$BT189,,AH189+1)*AF189-ERP_i)*AE189*Ramure*Pc/MaxiM</f>
        <v>1.1750173381489351E-2</v>
      </c>
      <c r="AE189" s="305">
        <f t="shared" si="62"/>
        <v>0.8</v>
      </c>
      <c r="AF189" s="177">
        <f t="shared" si="63"/>
        <v>0.18382314368068231</v>
      </c>
      <c r="AG189" s="809">
        <f t="shared" si="71"/>
        <v>2</v>
      </c>
      <c r="AH189" s="176">
        <f t="shared" si="64"/>
        <v>8</v>
      </c>
      <c r="AI189" s="225">
        <f t="shared" si="65"/>
        <v>2.1838231436806823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6">
        <v>54.218000000000004</v>
      </c>
      <c r="C190" s="390"/>
      <c r="D190" s="393">
        <f t="shared" si="48"/>
        <v>56.210940468877823</v>
      </c>
      <c r="E190" s="385">
        <f t="shared" si="72"/>
        <v>58.251236466720968</v>
      </c>
      <c r="F190" s="385">
        <f t="shared" si="49"/>
        <v>58.487024218685626</v>
      </c>
      <c r="G190" s="110">
        <f t="shared" si="73"/>
        <v>0.94993347721058463</v>
      </c>
      <c r="H190" s="414" t="b">
        <f>Wh_hp&gt;='2020'!Maxi_hp</f>
        <v>1</v>
      </c>
      <c r="I190" s="380">
        <f>IF(H190,Wh_hp,'2020'!Maxi_hp)</f>
        <v>58.487024218685626</v>
      </c>
      <c r="J190" s="85">
        <f>IF(H190,An,'2020'!An_max)</f>
        <v>2021</v>
      </c>
      <c r="K190" s="197">
        <f t="shared" si="50"/>
        <v>44372</v>
      </c>
      <c r="L190" s="147">
        <f>IF(t&lt;Tvie,1-EXP((T0-t)*PertePVj)+'2020'!Pspv,1-EXP((T0-t)*PertePVj)+Pspv)</f>
        <v>3.5454672208895907E-2</v>
      </c>
      <c r="M190" s="843"/>
      <c r="N190" s="843"/>
      <c r="O190" s="48">
        <f>IF(t&lt;Tnet,'2020'!Resal+('2020'!Salim-'2020'!Resal)*(1-EXP(('2020'!Tnet-t)/('2020'!Tau_j))),Resal+(Salim-Resal)*(1-EXP((Tnet-t)/(Tau_j))))*Salcycl</f>
        <v>3.5025797246531737E-2</v>
      </c>
      <c r="P190" s="169">
        <f>(INDEX(Models!$BJ190:$BT190,,T190)*(1-R190)+INDEX(Models!$BJ190:$BT190,,T190+1)*R190-ERP_i)*Q190*Ramure*Pc/MaxiM</f>
        <v>4.3400442700885881E-3</v>
      </c>
      <c r="Q190" s="305">
        <f t="shared" si="51"/>
        <v>0.8</v>
      </c>
      <c r="R190" s="177">
        <f t="shared" si="52"/>
        <v>0.98954714639733221</v>
      </c>
      <c r="S190" s="809">
        <f t="shared" si="53"/>
        <v>0</v>
      </c>
      <c r="T190" s="176">
        <f t="shared" si="54"/>
        <v>6</v>
      </c>
      <c r="U190" s="251">
        <f t="shared" si="55"/>
        <v>0.98954714639733221</v>
      </c>
      <c r="V190" s="383">
        <f t="shared" si="56"/>
        <v>57.057891350407267</v>
      </c>
      <c r="W190" s="402"/>
      <c r="X190" s="157">
        <f t="shared" si="57"/>
        <v>44372</v>
      </c>
      <c r="Y190" s="385">
        <f t="shared" si="58"/>
        <v>48.78126389020855</v>
      </c>
      <c r="Z190" s="385">
        <f t="shared" si="59"/>
        <v>50.574361291990336</v>
      </c>
      <c r="AA190" s="386">
        <f t="shared" si="60"/>
        <v>57.844884808988354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0.1256899990553404</v>
      </c>
      <c r="AD190" s="231">
        <f>(INDEX(Models!$BJ190:$BT190,,AH190)*(1-AF190)+INDEX(Models!$BJ190:$BT190,,AH190+1)*AF190-ERP_i)*AE190*Ramure*Pc/MaxiM</f>
        <v>1.1819585378940305E-2</v>
      </c>
      <c r="AE190" s="305">
        <f t="shared" si="62"/>
        <v>0.8</v>
      </c>
      <c r="AF190" s="177">
        <f t="shared" si="63"/>
        <v>0.18948072054985365</v>
      </c>
      <c r="AG190" s="809">
        <f t="shared" si="71"/>
        <v>2</v>
      </c>
      <c r="AH190" s="176">
        <f t="shared" si="64"/>
        <v>8</v>
      </c>
      <c r="AI190" s="225">
        <f t="shared" si="65"/>
        <v>2.1894807205498537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6">
        <v>53.948999999999998</v>
      </c>
      <c r="C191" s="390"/>
      <c r="D191" s="393">
        <f t="shared" si="48"/>
        <v>55.933369236198168</v>
      </c>
      <c r="E191" s="385">
        <f t="shared" si="72"/>
        <v>57.978621132195691</v>
      </c>
      <c r="F191" s="385">
        <f t="shared" si="49"/>
        <v>58.214156594321828</v>
      </c>
      <c r="G191" s="110">
        <f t="shared" si="73"/>
        <v>0.94670117736308645</v>
      </c>
      <c r="H191" s="414" t="b">
        <f>Wh_hp&gt;='2020'!Maxi_hp</f>
        <v>0</v>
      </c>
      <c r="I191" s="380">
        <f>IF(H191,Wh_hp,'2020'!Maxi_hp)</f>
        <v>59.355416952943592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3.5477377159571485E-2</v>
      </c>
      <c r="M191" s="843"/>
      <c r="N191" s="843"/>
      <c r="O191" s="48">
        <f>IF(t&lt;Tnet,'2020'!Resal+('2020'!Salim-'2020'!Resal)*(1-EXP(('2020'!Tnet-t)/('2020'!Tau_j))),Resal+(Salim-Resal)*(1-EXP((Tnet-t)/(Tau_j))))*Salcycl</f>
        <v>3.5275966486581205E-2</v>
      </c>
      <c r="P191" s="169">
        <f>(INDEX(Models!$BJ191:$BT191,,T191)*(1-R191)+INDEX(Models!$BJ191:$BT191,,T191+1)*R191-ERP_i)*Q191*Ramure*Pc/MaxiM</f>
        <v>4.377342851219131E-3</v>
      </c>
      <c r="Q191" s="305">
        <f t="shared" si="51"/>
        <v>0.8</v>
      </c>
      <c r="R191" s="177">
        <f t="shared" si="52"/>
        <v>0.995135681206331</v>
      </c>
      <c r="S191" s="809">
        <f t="shared" si="53"/>
        <v>0</v>
      </c>
      <c r="T191" s="176">
        <f t="shared" si="54"/>
        <v>6</v>
      </c>
      <c r="U191" s="251">
        <f t="shared" si="55"/>
        <v>0.995135681206331</v>
      </c>
      <c r="V191" s="383">
        <f t="shared" si="56"/>
        <v>56.967345104603787</v>
      </c>
      <c r="W191" s="402"/>
      <c r="X191" s="157">
        <f t="shared" si="57"/>
        <v>44373</v>
      </c>
      <c r="Y191" s="385">
        <f t="shared" si="58"/>
        <v>48.543619980810114</v>
      </c>
      <c r="Z191" s="385">
        <f t="shared" si="59"/>
        <v>50.329166813997283</v>
      </c>
      <c r="AA191" s="386">
        <f t="shared" si="60"/>
        <v>57.574755144547893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0.12584661997015445</v>
      </c>
      <c r="AD191" s="231">
        <f>(INDEX(Models!$BJ191:$BT191,,AH191)*(1-AF191)+INDEX(Models!$BJ191:$BT191,,AH191+1)*AF191-ERP_i)*AE191*Ramure*Pc/MaxiM</f>
        <v>1.1883048692379768E-2</v>
      </c>
      <c r="AE191" s="305">
        <f t="shared" si="62"/>
        <v>0.8</v>
      </c>
      <c r="AF191" s="177">
        <f t="shared" si="63"/>
        <v>0.195069255358852</v>
      </c>
      <c r="AG191" s="809">
        <f t="shared" si="71"/>
        <v>2</v>
      </c>
      <c r="AH191" s="176">
        <f t="shared" si="64"/>
        <v>8</v>
      </c>
      <c r="AI191" s="225">
        <f t="shared" si="65"/>
        <v>2.195069255358852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6">
        <v>8.8480000000000008</v>
      </c>
      <c r="C192" s="390"/>
      <c r="D192" s="393">
        <f t="shared" si="48"/>
        <v>9.1736658874077914</v>
      </c>
      <c r="E192" s="385">
        <f t="shared" si="72"/>
        <v>9.5115679926218863</v>
      </c>
      <c r="F192" s="385">
        <f t="shared" si="49"/>
        <v>9.5115679926218863</v>
      </c>
      <c r="G192" s="110">
        <f t="shared" si="73"/>
        <v>0.15488644916739774</v>
      </c>
      <c r="H192" s="414" t="b">
        <f>Wh_hp&gt;='2020'!Maxi_hp</f>
        <v>0</v>
      </c>
      <c r="I192" s="380">
        <f>IF(H192,Wh_hp,'2020'!Maxi_hp)</f>
        <v>59.191456400170118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3.5500081581869611E-2</v>
      </c>
      <c r="M192" s="843"/>
      <c r="N192" s="843"/>
      <c r="O192" s="48">
        <f>IF(t&lt;Tnet,'2020'!Resal+('2020'!Salim-'2020'!Resal)*(1-EXP(('2020'!Tnet-t)/('2020'!Tau_j))),Resal+(Salim-Resal)*(1-EXP((Tnet-t)/(Tau_j))))*Salcycl</f>
        <v>3.5525383982557279E-2</v>
      </c>
      <c r="P192" s="169">
        <f>(INDEX(Models!$BJ192:$BT192,,T192)*(1-R192)+INDEX(Models!$BJ192:$BT192,,T192+1)*R192-ERP_i)*Q192*Ramure*Pc/MaxiM</f>
        <v>4.4139253691125079E-3</v>
      </c>
      <c r="Q192" s="305">
        <f t="shared" si="51"/>
        <v>0.8</v>
      </c>
      <c r="R192" s="177">
        <f t="shared" si="52"/>
        <v>6.5179970759166039E-4</v>
      </c>
      <c r="S192" s="809">
        <f t="shared" si="53"/>
        <v>1</v>
      </c>
      <c r="T192" s="176">
        <f t="shared" si="54"/>
        <v>7</v>
      </c>
      <c r="U192" s="251">
        <f t="shared" si="55"/>
        <v>1.0006517997075917</v>
      </c>
      <c r="V192" s="383">
        <f t="shared" si="56"/>
        <v>56.873571804939409</v>
      </c>
      <c r="W192" s="402"/>
      <c r="X192" s="157">
        <f t="shared" si="57"/>
        <v>44374</v>
      </c>
      <c r="Y192" s="385">
        <f t="shared" si="58"/>
        <v>8.0179843976231826</v>
      </c>
      <c r="Z192" s="385">
        <f t="shared" si="59"/>
        <v>8.3131001304524972</v>
      </c>
      <c r="AA192" s="386">
        <f t="shared" si="60"/>
        <v>9.5115679926218863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0.12600108237664287</v>
      </c>
      <c r="AD192" s="231">
        <f>(INDEX(Models!$BJ192:$BT192,,AH192)*(1-AF192)+INDEX(Models!$BJ192:$BT192,,AH192+1)*AF192-ERP_i)*AE192*Ramure*Pc/MaxiM</f>
        <v>1.1938317813370005E-2</v>
      </c>
      <c r="AE192" s="305">
        <f t="shared" si="62"/>
        <v>0.8</v>
      </c>
      <c r="AF192" s="177">
        <f t="shared" si="63"/>
        <v>0.20058537386011288</v>
      </c>
      <c r="AG192" s="809">
        <f t="shared" si="71"/>
        <v>2</v>
      </c>
      <c r="AH192" s="176">
        <f t="shared" si="64"/>
        <v>8</v>
      </c>
      <c r="AI192" s="225">
        <f t="shared" si="65"/>
        <v>2.2005853738601129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6">
        <v>34.265999999999998</v>
      </c>
      <c r="C193" s="390"/>
      <c r="D193" s="393">
        <f t="shared" si="48"/>
        <v>35.528055493674202</v>
      </c>
      <c r="E193" s="385">
        <f t="shared" si="72"/>
        <v>36.846192806054773</v>
      </c>
      <c r="F193" s="385">
        <f t="shared" si="49"/>
        <v>36.917551609020833</v>
      </c>
      <c r="G193" s="110">
        <f t="shared" si="73"/>
        <v>0.60200162102584054</v>
      </c>
      <c r="H193" s="414" t="b">
        <f>Wh_hp&gt;='2020'!Maxi_hp</f>
        <v>0</v>
      </c>
      <c r="I193" s="380">
        <f>IF(H193,Wh_hp,'2020'!Maxi_hp)</f>
        <v>59.69741705865998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3.5522785475802829E-2</v>
      </c>
      <c r="M193" s="843"/>
      <c r="N193" s="843"/>
      <c r="O193" s="48">
        <f>IF(t&lt;Tnet,'2020'!Resal+('2020'!Salim-'2020'!Resal)*(1-EXP(('2020'!Tnet-t)/('2020'!Tau_j))),Resal+(Salim-Resal)*(1-EXP((Tnet-t)/(Tau_j))))*Salcycl</f>
        <v>3.5774043720575834E-2</v>
      </c>
      <c r="P193" s="169">
        <f>(INDEX(Models!$BJ193:$BT193,,T193)*(1-R193)+INDEX(Models!$BJ193:$BT193,,T193+1)*R193-ERP_i)*Q193*Ramure*Pc/MaxiM</f>
        <v>4.4577265778961714E-3</v>
      </c>
      <c r="Q193" s="305">
        <f t="shared" si="51"/>
        <v>0.8</v>
      </c>
      <c r="R193" s="177">
        <f t="shared" si="52"/>
        <v>6.0923351445869578E-3</v>
      </c>
      <c r="S193" s="809">
        <f t="shared" si="53"/>
        <v>1</v>
      </c>
      <c r="T193" s="176">
        <f t="shared" si="54"/>
        <v>7</v>
      </c>
      <c r="U193" s="251">
        <f t="shared" si="55"/>
        <v>1.006092335144587</v>
      </c>
      <c r="V193" s="383">
        <f t="shared" si="56"/>
        <v>56.776122112171954</v>
      </c>
      <c r="W193" s="402"/>
      <c r="X193" s="157">
        <f t="shared" si="57"/>
        <v>44375</v>
      </c>
      <c r="Y193" s="385">
        <f t="shared" si="58"/>
        <v>30.952570622149405</v>
      </c>
      <c r="Z193" s="385">
        <f t="shared" si="59"/>
        <v>32.092588768329946</v>
      </c>
      <c r="AA193" s="386">
        <f t="shared" si="60"/>
        <v>36.725655040208132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0.12615340058076011</v>
      </c>
      <c r="AD193" s="231">
        <f>(INDEX(Models!$BJ193:$BT193,,AH193)*(1-AF193)+INDEX(Models!$BJ193:$BT193,,AH193+1)*AF193-ERP_i)*AE193*Ramure*Pc/MaxiM</f>
        <v>1.1987623102510577E-2</v>
      </c>
      <c r="AE193" s="305">
        <f t="shared" si="62"/>
        <v>0.8</v>
      </c>
      <c r="AF193" s="177">
        <f t="shared" si="63"/>
        <v>0.20602590929710818</v>
      </c>
      <c r="AG193" s="809">
        <f t="shared" si="71"/>
        <v>2</v>
      </c>
      <c r="AH193" s="176">
        <f t="shared" si="64"/>
        <v>8</v>
      </c>
      <c r="AI193" s="225">
        <f t="shared" si="65"/>
        <v>2.2060259092971082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6">
        <v>40.185000000000002</v>
      </c>
      <c r="C194" s="390"/>
      <c r="D194" s="393">
        <f t="shared" si="48"/>
        <v>41.666039751035044</v>
      </c>
      <c r="E194" s="385">
        <f t="shared" si="72"/>
        <v>43.223016725523721</v>
      </c>
      <c r="F194" s="385">
        <f t="shared" si="49"/>
        <v>43.33696683110081</v>
      </c>
      <c r="G194" s="110">
        <f t="shared" si="73"/>
        <v>0.70770671814994046</v>
      </c>
      <c r="H194" s="414" t="b">
        <f>Wh_hp&gt;='2020'!Maxi_hp</f>
        <v>0</v>
      </c>
      <c r="I194" s="380">
        <f>IF(H194,Wh_hp,'2020'!Maxi_hp)</f>
        <v>56.750661085147328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3.554548884138313E-2</v>
      </c>
      <c r="M194" s="843"/>
      <c r="N194" s="843"/>
      <c r="O194" s="48">
        <f>IF(t&lt;Tnet,'2020'!Resal+('2020'!Salim-'2020'!Resal)*(1-EXP(('2020'!Tnet-t)/('2020'!Tau_j))),Resal+(Salim-Resal)*(1-EXP((Tnet-t)/(Tau_j))))*Salcycl</f>
        <v>3.602194137387138E-2</v>
      </c>
      <c r="P194" s="169">
        <f>(INDEX(Models!$BJ194:$BT194,,T194)*(1-R194)+INDEX(Models!$BJ194:$BT194,,T194+1)*R194-ERP_i)*Q194*Ramure*Pc/MaxiM</f>
        <v>4.4997906820426429E-3</v>
      </c>
      <c r="Q194" s="305">
        <f t="shared" si="51"/>
        <v>0.8</v>
      </c>
      <c r="R194" s="177">
        <f t="shared" si="52"/>
        <v>1.145433274271368E-2</v>
      </c>
      <c r="S194" s="809">
        <f t="shared" si="53"/>
        <v>1</v>
      </c>
      <c r="T194" s="176">
        <f t="shared" si="54"/>
        <v>7</v>
      </c>
      <c r="U194" s="251">
        <f t="shared" si="55"/>
        <v>1.0114543327427137</v>
      </c>
      <c r="V194" s="383">
        <f t="shared" si="56"/>
        <v>56.675511287374761</v>
      </c>
      <c r="W194" s="402"/>
      <c r="X194" s="157">
        <f t="shared" si="57"/>
        <v>44376</v>
      </c>
      <c r="Y194" s="385">
        <f t="shared" si="58"/>
        <v>36.260759367713199</v>
      </c>
      <c r="Z194" s="385">
        <f t="shared" si="59"/>
        <v>37.597169123251319</v>
      </c>
      <c r="AA194" s="386">
        <f t="shared" si="60"/>
        <v>43.032303756712444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0.12630359425303406</v>
      </c>
      <c r="AD194" s="231">
        <f>(INDEX(Models!$BJ194:$BT194,,AH194)*(1-AF194)+INDEX(Models!$BJ194:$BT194,,AH194+1)*AF194-ERP_i)*AE194*Ramure*Pc/MaxiM</f>
        <v>1.2030880150152736E-2</v>
      </c>
      <c r="AE194" s="305">
        <f t="shared" si="62"/>
        <v>0.8</v>
      </c>
      <c r="AF194" s="177">
        <f t="shared" si="63"/>
        <v>0.21138790689523512</v>
      </c>
      <c r="AG194" s="809">
        <f t="shared" si="71"/>
        <v>2</v>
      </c>
      <c r="AH194" s="176">
        <f t="shared" si="64"/>
        <v>8</v>
      </c>
      <c r="AI194" s="225">
        <f t="shared" si="65"/>
        <v>2.2113879068952351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6">
        <v>47.246000000000002</v>
      </c>
      <c r="C195" s="390"/>
      <c r="D195" s="393">
        <f t="shared" si="48"/>
        <v>48.988429863416783</v>
      </c>
      <c r="E195" s="385">
        <f t="shared" si="72"/>
        <v>50.832061684493226</v>
      </c>
      <c r="F195" s="385">
        <f t="shared" si="49"/>
        <v>51.009108146508332</v>
      </c>
      <c r="G195" s="110">
        <f t="shared" si="73"/>
        <v>0.83425585171404792</v>
      </c>
      <c r="H195" s="414" t="b">
        <f>Wh_hp&gt;='2020'!Maxi_hp</f>
        <v>0</v>
      </c>
      <c r="I195" s="380">
        <f>IF(H195,Wh_hp,'2020'!Maxi_hp)</f>
        <v>53.913631634693168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3.5568191678622949E-2</v>
      </c>
      <c r="M195" s="843"/>
      <c r="N195" s="843"/>
      <c r="O195" s="48">
        <f>IF(t&lt;Tnet,'2020'!Resal+('2020'!Salim-'2020'!Resal)*(1-EXP(('2020'!Tnet-t)/('2020'!Tau_j))),Resal+(Salim-Resal)*(1-EXP((Tnet-t)/(Tau_j))))*Salcycl</f>
        <v>3.6269074280708476E-2</v>
      </c>
      <c r="P195" s="169">
        <f>(INDEX(Models!$BJ195:$BT195,,T195)*(1-R195)+INDEX(Models!$BJ195:$BT195,,T195+1)*R195-ERP_i)*Q195*Ramure*Pc/MaxiM</f>
        <v>4.5400486473194139E-3</v>
      </c>
      <c r="Q195" s="305">
        <f t="shared" si="51"/>
        <v>0.8</v>
      </c>
      <c r="R195" s="177">
        <f t="shared" si="52"/>
        <v>1.6735053037380432E-2</v>
      </c>
      <c r="S195" s="809">
        <f t="shared" si="53"/>
        <v>1</v>
      </c>
      <c r="T195" s="176">
        <f t="shared" si="54"/>
        <v>7</v>
      </c>
      <c r="U195" s="251">
        <f t="shared" si="55"/>
        <v>1.0167350530373804</v>
      </c>
      <c r="V195" s="383">
        <f t="shared" si="56"/>
        <v>56.571745938129894</v>
      </c>
      <c r="W195" s="402"/>
      <c r="X195" s="157">
        <f t="shared" si="57"/>
        <v>44377</v>
      </c>
      <c r="Y195" s="385">
        <f t="shared" si="58"/>
        <v>42.577560378223495</v>
      </c>
      <c r="Z195" s="385">
        <f t="shared" si="59"/>
        <v>44.147818446937201</v>
      </c>
      <c r="AA195" s="386">
        <f t="shared" si="60"/>
        <v>50.538496670187179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0.1264516882042489</v>
      </c>
      <c r="AD195" s="231">
        <f>(INDEX(Models!$BJ195:$BT195,,AH195)*(1-AF195)+INDEX(Models!$BJ195:$BT195,,AH195+1)*AF195-ERP_i)*AE195*Ramure*Pc/MaxiM</f>
        <v>1.2068012950762021E-2</v>
      </c>
      <c r="AE195" s="305">
        <f t="shared" si="62"/>
        <v>0.8</v>
      </c>
      <c r="AF195" s="177">
        <f t="shared" si="63"/>
        <v>0.21666862718990165</v>
      </c>
      <c r="AG195" s="809">
        <f t="shared" si="71"/>
        <v>2</v>
      </c>
      <c r="AH195" s="176">
        <f t="shared" si="64"/>
        <v>8</v>
      </c>
      <c r="AI195" s="225">
        <f t="shared" si="65"/>
        <v>2.2166686271899017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6">
        <v>49.972999999999999</v>
      </c>
      <c r="C196" s="390"/>
      <c r="D196" s="393">
        <f t="shared" si="48"/>
        <v>51.817221227434239</v>
      </c>
      <c r="E196" s="385">
        <f t="shared" si="72"/>
        <v>53.781060387075314</v>
      </c>
      <c r="F196" s="385">
        <f t="shared" si="49"/>
        <v>53.987641536906622</v>
      </c>
      <c r="G196" s="110">
        <f t="shared" si="73"/>
        <v>0.88436066856449147</v>
      </c>
      <c r="H196" s="414" t="b">
        <f>Wh_hp&gt;='2020'!Maxi_hp</f>
        <v>0</v>
      </c>
      <c r="I196" s="380">
        <f>IF(H196,Wh_hp,'2020'!Maxi_hp)</f>
        <v>59.241632276839347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3.5590893987534608E-2</v>
      </c>
      <c r="M196" s="843"/>
      <c r="N196" s="843"/>
      <c r="O196" s="48">
        <f>IF(t&lt;Tnet,'2020'!Resal+('2020'!Salim-'2020'!Resal)*(1-EXP(('2020'!Tnet-t)/('2020'!Tau_j))),Resal+(Salim-Resal)*(1-EXP((Tnet-t)/(Tau_j))))*Salcycl</f>
        <v>3.6515441412029614E-2</v>
      </c>
      <c r="P196" s="169">
        <f>(INDEX(Models!$BJ196:$BT196,,T196)*(1-R196)+INDEX(Models!$BJ196:$BT196,,T196+1)*R196-ERP_i)*Q196*Ramure*Pc/MaxiM</f>
        <v>4.5784361728714914E-3</v>
      </c>
      <c r="Q196" s="305">
        <f t="shared" si="51"/>
        <v>0.8</v>
      </c>
      <c r="R196" s="177">
        <f t="shared" si="52"/>
        <v>2.1931974062511905E-2</v>
      </c>
      <c r="S196" s="809">
        <f t="shared" si="53"/>
        <v>1</v>
      </c>
      <c r="T196" s="176">
        <f t="shared" si="54"/>
        <v>7</v>
      </c>
      <c r="U196" s="251">
        <f t="shared" si="55"/>
        <v>1.0219319740625119</v>
      </c>
      <c r="V196" s="383">
        <f t="shared" si="56"/>
        <v>56.464832225592147</v>
      </c>
      <c r="W196" s="402"/>
      <c r="X196" s="157">
        <f t="shared" si="57"/>
        <v>44378</v>
      </c>
      <c r="Y196" s="385">
        <f t="shared" si="58"/>
        <v>45.014885067402439</v>
      </c>
      <c r="Z196" s="385">
        <f t="shared" si="59"/>
        <v>46.67613027164905</v>
      </c>
      <c r="AA196" s="386">
        <f t="shared" si="60"/>
        <v>53.441731170316778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0.12659771213447429</v>
      </c>
      <c r="AD196" s="231">
        <f>(INDEX(Models!$BJ196:$BT196,,AH196)*(1-AF196)+INDEX(Models!$BJ196:$BT196,,AH196+1)*AF196-ERP_i)*AE196*Ramure*Pc/MaxiM</f>
        <v>1.2098953711804939E-2</v>
      </c>
      <c r="AE196" s="305">
        <f t="shared" si="62"/>
        <v>0.8</v>
      </c>
      <c r="AF196" s="177">
        <f t="shared" si="63"/>
        <v>0.22186554821503313</v>
      </c>
      <c r="AG196" s="809">
        <f t="shared" si="71"/>
        <v>2</v>
      </c>
      <c r="AH196" s="176">
        <f t="shared" si="64"/>
        <v>8</v>
      </c>
      <c r="AI196" s="225">
        <f t="shared" si="65"/>
        <v>2.2218655482150331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6">
        <v>50.288000000000004</v>
      </c>
      <c r="C197" s="390"/>
      <c r="D197" s="393">
        <f t="shared" si="48"/>
        <v>52.145073571473894</v>
      </c>
      <c r="E197" s="385">
        <f t="shared" si="72"/>
        <v>54.135137714630147</v>
      </c>
      <c r="F197" s="385">
        <f t="shared" si="49"/>
        <v>54.347373308146622</v>
      </c>
      <c r="G197" s="110">
        <f t="shared" si="73"/>
        <v>0.89171092580053557</v>
      </c>
      <c r="H197" s="414" t="b">
        <f>Wh_hp&gt;='2020'!Maxi_hp</f>
        <v>1</v>
      </c>
      <c r="I197" s="380">
        <f>IF(H197,Wh_hp,'2020'!Maxi_hp)</f>
        <v>54.347373308146622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3.5613595768130432E-2</v>
      </c>
      <c r="M197" s="843"/>
      <c r="N197" s="843"/>
      <c r="O197" s="48">
        <f>IF(t&lt;Tnet,'2020'!Resal+('2020'!Salim-'2020'!Resal)*(1-EXP(('2020'!Tnet-t)/('2020'!Tau_j))),Resal+(Salim-Resal)*(1-EXP((Tnet-t)/(Tau_j))))*Salcycl</f>
        <v>3.6761043329135767E-2</v>
      </c>
      <c r="P197" s="169">
        <f>(INDEX(Models!$BJ197:$BT197,,T197)*(1-R197)+INDEX(Models!$BJ197:$BT197,,T197+1)*R197-ERP_i)*Q197*Ramure*Pc/MaxiM</f>
        <v>4.6148937390011833E-3</v>
      </c>
      <c r="Q197" s="305">
        <f t="shared" si="51"/>
        <v>0.8</v>
      </c>
      <c r="R197" s="177">
        <f t="shared" si="52"/>
        <v>2.704279243170471E-2</v>
      </c>
      <c r="S197" s="809">
        <f t="shared" si="53"/>
        <v>1</v>
      </c>
      <c r="T197" s="176">
        <f t="shared" si="54"/>
        <v>7</v>
      </c>
      <c r="U197" s="251">
        <f t="shared" si="55"/>
        <v>1.0270427924317047</v>
      </c>
      <c r="V197" s="383">
        <f t="shared" si="56"/>
        <v>56.354775865143736</v>
      </c>
      <c r="W197" s="402"/>
      <c r="X197" s="157">
        <f t="shared" si="57"/>
        <v>44379</v>
      </c>
      <c r="Y197" s="385">
        <f t="shared" si="58"/>
        <v>45.299546939156713</v>
      </c>
      <c r="Z197" s="385">
        <f t="shared" si="59"/>
        <v>46.972403115987149</v>
      </c>
      <c r="AA197" s="386">
        <f t="shared" si="60"/>
        <v>53.789815837091545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0.12674170035740015</v>
      </c>
      <c r="AD197" s="231">
        <f>(INDEX(Models!$BJ197:$BT197,,AH197)*(1-AF197)+INDEX(Models!$BJ197:$BT197,,AH197+1)*AF197-ERP_i)*AE197*Ramure*Pc/MaxiM</f>
        <v>1.2123642597704092E-2</v>
      </c>
      <c r="AE197" s="305">
        <f t="shared" si="62"/>
        <v>0.8</v>
      </c>
      <c r="AF197" s="177">
        <f t="shared" si="63"/>
        <v>0.22697636658422571</v>
      </c>
      <c r="AG197" s="809">
        <f t="shared" si="71"/>
        <v>2</v>
      </c>
      <c r="AH197" s="176">
        <f t="shared" si="64"/>
        <v>8</v>
      </c>
      <c r="AI197" s="225">
        <f t="shared" si="65"/>
        <v>2.2269763665842257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6">
        <v>33.856999999999999</v>
      </c>
      <c r="C198" s="390"/>
      <c r="D198" s="393">
        <f t="shared" si="48"/>
        <v>35.108123517499287</v>
      </c>
      <c r="E198" s="385">
        <f t="shared" si="72"/>
        <v>36.457256452633516</v>
      </c>
      <c r="F198" s="385">
        <f t="shared" si="49"/>
        <v>36.530514496165239</v>
      </c>
      <c r="G198" s="110">
        <f t="shared" si="73"/>
        <v>0.60039746093465929</v>
      </c>
      <c r="H198" s="414" t="b">
        <f>Wh_hp&gt;='2020'!Maxi_hp</f>
        <v>0</v>
      </c>
      <c r="I198" s="380">
        <f>IF(H198,Wh_hp,'2020'!Maxi_hp)</f>
        <v>51.855426044960964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3.5636297020422633E-2</v>
      </c>
      <c r="M198" s="843"/>
      <c r="N198" s="843"/>
      <c r="O198" s="48">
        <f>IF(t&lt;Tnet,'2020'!Resal+('2020'!Salim-'2020'!Resal)*(1-EXP(('2020'!Tnet-t)/('2020'!Tau_j))),Resal+(Salim-Resal)*(1-EXP((Tnet-t)/(Tau_j))))*Salcycl</f>
        <v>3.7005882131779876E-2</v>
      </c>
      <c r="P198" s="169">
        <f>(INDEX(Models!$BJ198:$BT198,,T198)*(1-R198)+INDEX(Models!$BJ198:$BT198,,T198+1)*R198-ERP_i)*Q198*Ramure*Pc/MaxiM</f>
        <v>4.6483897123131383E-3</v>
      </c>
      <c r="Q198" s="305">
        <f t="shared" si="51"/>
        <v>0.8</v>
      </c>
      <c r="R198" s="177">
        <f t="shared" si="52"/>
        <v>3.2065423352460432E-2</v>
      </c>
      <c r="S198" s="809">
        <f t="shared" si="53"/>
        <v>1</v>
      </c>
      <c r="T198" s="176">
        <f t="shared" si="54"/>
        <v>7</v>
      </c>
      <c r="U198" s="251">
        <f t="shared" si="55"/>
        <v>1.0320654233524604</v>
      </c>
      <c r="V198" s="383">
        <f t="shared" si="56"/>
        <v>56.241637334303704</v>
      </c>
      <c r="W198" s="402"/>
      <c r="X198" s="157">
        <f t="shared" si="57"/>
        <v>44380</v>
      </c>
      <c r="Y198" s="385">
        <f t="shared" si="58"/>
        <v>30.597658780749171</v>
      </c>
      <c r="Z198" s="385">
        <f t="shared" si="59"/>
        <v>31.728339304156854</v>
      </c>
      <c r="AA198" s="386">
        <f t="shared" si="60"/>
        <v>36.339189859759806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0.12688369150212614</v>
      </c>
      <c r="AD198" s="231">
        <f>(INDEX(Models!$BJ198:$BT198,,AH198)*(1-AF198)+INDEX(Models!$BJ198:$BT198,,AH198+1)*AF198-ERP_i)*AE198*Ramure*Pc/MaxiM</f>
        <v>1.2139983934923902E-2</v>
      </c>
      <c r="AE198" s="305">
        <f t="shared" si="62"/>
        <v>0.8</v>
      </c>
      <c r="AF198" s="177">
        <f t="shared" si="63"/>
        <v>0.23199899750498165</v>
      </c>
      <c r="AG198" s="809">
        <f t="shared" si="71"/>
        <v>2</v>
      </c>
      <c r="AH198" s="176">
        <f t="shared" si="64"/>
        <v>8</v>
      </c>
      <c r="AI198" s="225">
        <f t="shared" si="65"/>
        <v>2.2319989975049817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6">
        <v>37.253999999999998</v>
      </c>
      <c r="C199" s="390"/>
      <c r="D199" s="393">
        <f t="shared" si="48"/>
        <v>38.631562811146217</v>
      </c>
      <c r="E199" s="385">
        <f t="shared" si="72"/>
        <v>40.126264619223456</v>
      </c>
      <c r="F199" s="385">
        <f t="shared" si="49"/>
        <v>40.224077997489729</v>
      </c>
      <c r="G199" s="110">
        <f t="shared" si="73"/>
        <v>0.66226817373426172</v>
      </c>
      <c r="H199" s="414" t="b">
        <f>Wh_hp&gt;='2020'!Maxi_hp</f>
        <v>0</v>
      </c>
      <c r="I199" s="380">
        <f>IF(H199,Wh_hp,'2020'!Maxi_hp)</f>
        <v>57.973124882145292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3.5658997744423535E-2</v>
      </c>
      <c r="M199" s="843"/>
      <c r="N199" s="843"/>
      <c r="O199" s="48">
        <f>IF(t&lt;Tnet,'2020'!Resal+('2020'!Salim-'2020'!Resal)*(1-EXP(('2020'!Tnet-t)/('2020'!Tau_j))),Resal+(Salim-Resal)*(1-EXP((Tnet-t)/(Tau_j))))*Salcycl</f>
        <v>3.7249961397133435E-2</v>
      </c>
      <c r="P199" s="169">
        <f>(INDEX(Models!$BJ199:$BT199,,T199)*(1-R199)+INDEX(Models!$BJ199:$BT199,,T199+1)*R199-ERP_i)*Q199*Ramure*Pc/MaxiM</f>
        <v>4.6794066072577273E-3</v>
      </c>
      <c r="Q199" s="305">
        <f t="shared" si="51"/>
        <v>0.8</v>
      </c>
      <c r="R199" s="177">
        <f t="shared" si="52"/>
        <v>3.6997999621208866E-2</v>
      </c>
      <c r="S199" s="809">
        <f t="shared" si="53"/>
        <v>1</v>
      </c>
      <c r="T199" s="176">
        <f t="shared" si="54"/>
        <v>7</v>
      </c>
      <c r="U199" s="251">
        <f t="shared" si="55"/>
        <v>1.0369979996212089</v>
      </c>
      <c r="V199" s="383">
        <f t="shared" si="56"/>
        <v>56.125391113081399</v>
      </c>
      <c r="W199" s="402"/>
      <c r="X199" s="157">
        <f t="shared" si="57"/>
        <v>44381</v>
      </c>
      <c r="Y199" s="385">
        <f t="shared" si="58"/>
        <v>33.648701004380882</v>
      </c>
      <c r="Z199" s="385">
        <f t="shared" si="59"/>
        <v>34.892948579057787</v>
      </c>
      <c r="AA199" s="386">
        <f t="shared" si="60"/>
        <v>39.970099653339688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0.12702372819472521</v>
      </c>
      <c r="AD199" s="231">
        <f>(INDEX(Models!$BJ199:$BT199,,AH199)*(1-AF199)+INDEX(Models!$BJ199:$BT199,,AH199+1)*AF199-ERP_i)*AE199*Ramure*Pc/MaxiM</f>
        <v>1.2150361870548789E-2</v>
      </c>
      <c r="AE199" s="305">
        <f t="shared" si="62"/>
        <v>0.8</v>
      </c>
      <c r="AF199" s="177">
        <f t="shared" si="63"/>
        <v>0.23693157377373009</v>
      </c>
      <c r="AG199" s="809">
        <f t="shared" si="71"/>
        <v>2</v>
      </c>
      <c r="AH199" s="176">
        <f t="shared" si="64"/>
        <v>8</v>
      </c>
      <c r="AI199" s="225">
        <f t="shared" si="65"/>
        <v>2.2369315737737301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6">
        <v>55.042999999999999</v>
      </c>
      <c r="C200" s="390"/>
      <c r="D200" s="393">
        <f t="shared" si="48"/>
        <v>57.079700636630157</v>
      </c>
      <c r="E200" s="385">
        <f t="shared" si="72"/>
        <v>59.303171409527614</v>
      </c>
      <c r="F200" s="385">
        <f t="shared" si="49"/>
        <v>59.576763324619492</v>
      </c>
      <c r="G200" s="110">
        <f t="shared" si="73"/>
        <v>0.98269051006240926</v>
      </c>
      <c r="H200" s="414" t="b">
        <f>Wh_hp&gt;='2020'!Maxi_hp</f>
        <v>0</v>
      </c>
      <c r="I200" s="380">
        <f>IF(H200,Wh_hp,'2020'!Maxi_hp)</f>
        <v>60.257495392536157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3.5681697940145349E-2</v>
      </c>
      <c r="M200" s="843"/>
      <c r="N200" s="843"/>
      <c r="O200" s="48">
        <f>IF(t&lt;Tnet,'2020'!Resal+('2020'!Salim-'2020'!Resal)*(1-EXP(('2020'!Tnet-t)/('2020'!Tau_j))),Resal+(Salim-Resal)*(1-EXP((Tnet-t)/(Tau_j))))*Salcycl</f>
        <v>3.7493286110163025E-2</v>
      </c>
      <c r="P200" s="169">
        <f>(INDEX(Models!$BJ200:$BT200,,T200)*(1-R200)+INDEX(Models!$BJ200:$BT200,,T200+1)*R200-ERP_i)*Q200*Ramure*Pc/MaxiM</f>
        <v>4.7079072251216313E-3</v>
      </c>
      <c r="Q200" s="305">
        <f t="shared" si="51"/>
        <v>0.8</v>
      </c>
      <c r="R200" s="177">
        <f t="shared" si="52"/>
        <v>4.1838869653177513E-2</v>
      </c>
      <c r="S200" s="809">
        <f t="shared" si="53"/>
        <v>1</v>
      </c>
      <c r="T200" s="176">
        <f t="shared" si="54"/>
        <v>7</v>
      </c>
      <c r="U200" s="251">
        <f t="shared" si="55"/>
        <v>1.0418388696531775</v>
      </c>
      <c r="V200" s="383">
        <f t="shared" si="56"/>
        <v>56.006040998816218</v>
      </c>
      <c r="W200" s="402"/>
      <c r="X200" s="157">
        <f t="shared" si="57"/>
        <v>44382</v>
      </c>
      <c r="Y200" s="385">
        <f t="shared" si="58"/>
        <v>49.550859867224098</v>
      </c>
      <c r="Z200" s="385">
        <f t="shared" si="59"/>
        <v>51.384340379498994</v>
      </c>
      <c r="AA200" s="386">
        <f t="shared" si="60"/>
        <v>58.870411169847131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0.12716185672204774</v>
      </c>
      <c r="AD200" s="231">
        <f>(INDEX(Models!$BJ200:$BT200,,AH200)*(1-AF200)+INDEX(Models!$BJ200:$BT200,,AH200+1)*AF200-ERP_i)*AE200*Ramure*Pc/MaxiM</f>
        <v>1.2154746648183437E-2</v>
      </c>
      <c r="AE200" s="305">
        <f t="shared" si="62"/>
        <v>0.8</v>
      </c>
      <c r="AF200" s="177">
        <f t="shared" si="63"/>
        <v>0.24177244380569896</v>
      </c>
      <c r="AG200" s="809">
        <f t="shared" si="71"/>
        <v>2</v>
      </c>
      <c r="AH200" s="176">
        <f t="shared" si="64"/>
        <v>8</v>
      </c>
      <c r="AI200" s="225">
        <f t="shared" si="65"/>
        <v>2.241772443805699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6">
        <v>20.876999999999999</v>
      </c>
      <c r="C201" s="390"/>
      <c r="D201" s="393">
        <f t="shared" si="48"/>
        <v>21.650000215913614</v>
      </c>
      <c r="E201" s="385">
        <f t="shared" si="72"/>
        <v>22.499020148559865</v>
      </c>
      <c r="F201" s="385">
        <f t="shared" si="49"/>
        <v>22.510221171266867</v>
      </c>
      <c r="G201" s="110">
        <f t="shared" si="73"/>
        <v>0.37199677748521187</v>
      </c>
      <c r="H201" s="414" t="b">
        <f>Wh_hp&gt;='2020'!Maxi_hp</f>
        <v>0</v>
      </c>
      <c r="I201" s="380">
        <f>IF(H201,Wh_hp,'2020'!Maxi_hp)</f>
        <v>59.845160048198764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3.570439760760051E-2</v>
      </c>
      <c r="M201" s="843"/>
      <c r="N201" s="843"/>
      <c r="O201" s="48">
        <f>IF(t&lt;Tnet,'2020'!Resal+('2020'!Salim-'2020'!Resal)*(1-EXP(('2020'!Tnet-t)/('2020'!Tau_j))),Resal+(Salim-Resal)*(1-EXP((Tnet-t)/(Tau_j))))*Salcycl</f>
        <v>3.7735862586024446E-2</v>
      </c>
      <c r="P201" s="169">
        <f>(INDEX(Models!$BJ201:$BT201,,T201)*(1-R201)+INDEX(Models!$BJ201:$BT201,,T201+1)*R201-ERP_i)*Q201*Ramure*Pc/MaxiM</f>
        <v>4.7338587478875163E-3</v>
      </c>
      <c r="Q201" s="305">
        <f t="shared" si="51"/>
        <v>0.8</v>
      </c>
      <c r="R201" s="177">
        <f t="shared" si="52"/>
        <v>4.6586594606528919E-2</v>
      </c>
      <c r="S201" s="809">
        <f t="shared" si="53"/>
        <v>1</v>
      </c>
      <c r="T201" s="176">
        <f t="shared" si="54"/>
        <v>7</v>
      </c>
      <c r="U201" s="251">
        <f t="shared" si="55"/>
        <v>1.0465865946065289</v>
      </c>
      <c r="V201" s="383">
        <f t="shared" si="56"/>
        <v>55.883590385606816</v>
      </c>
      <c r="W201" s="402"/>
      <c r="X201" s="157">
        <f t="shared" si="57"/>
        <v>44383</v>
      </c>
      <c r="Y201" s="385">
        <f t="shared" si="58"/>
        <v>18.919110088156433</v>
      </c>
      <c r="Z201" s="385">
        <f t="shared" si="59"/>
        <v>19.619616683119233</v>
      </c>
      <c r="AA201" s="386">
        <f t="shared" si="60"/>
        <v>22.481465071787774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0.12729812668036058</v>
      </c>
      <c r="AD201" s="231">
        <f>(INDEX(Models!$BJ201:$BT201,,AH201)*(1-AF201)+INDEX(Models!$BJ201:$BT201,,AH201+1)*AF201-ERP_i)*AE201*Ramure*Pc/MaxiM</f>
        <v>1.215311464274808E-2</v>
      </c>
      <c r="AE201" s="305">
        <f t="shared" si="62"/>
        <v>0.8</v>
      </c>
      <c r="AF201" s="177">
        <f t="shared" si="63"/>
        <v>0.24652016875905014</v>
      </c>
      <c r="AG201" s="809">
        <f t="shared" si="71"/>
        <v>2</v>
      </c>
      <c r="AH201" s="176">
        <f t="shared" si="64"/>
        <v>8</v>
      </c>
      <c r="AI201" s="225">
        <f t="shared" si="65"/>
        <v>2.2465201687590501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6">
        <v>37.427999999999997</v>
      </c>
      <c r="C202" s="390"/>
      <c r="D202" s="393">
        <f t="shared" si="48"/>
        <v>38.814737896012566</v>
      </c>
      <c r="E202" s="385">
        <f t="shared" si="72"/>
        <v>40.347025043866552</v>
      </c>
      <c r="F202" s="385">
        <f t="shared" si="49"/>
        <v>40.449081423239335</v>
      </c>
      <c r="G202" s="110">
        <f t="shared" si="73"/>
        <v>0.66975394401859845</v>
      </c>
      <c r="H202" s="414" t="b">
        <f>Wh_hp&gt;='2020'!Maxi_hp</f>
        <v>0</v>
      </c>
      <c r="I202" s="380">
        <f>IF(H202,Wh_hp,'2020'!Maxi_hp)</f>
        <v>54.599046863417513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3.5727096746801232E-2</v>
      </c>
      <c r="M202" s="843"/>
      <c r="N202" s="843"/>
      <c r="O202" s="48">
        <f>IF(t&lt;Tnet,'2020'!Resal+('2020'!Salim-'2020'!Resal)*(1-EXP(('2020'!Tnet-t)/('2020'!Tau_j))),Resal+(Salim-Resal)*(1-EXP((Tnet-t)/(Tau_j))))*Salcycl</f>
        <v>3.7977698385148174E-2</v>
      </c>
      <c r="P202" s="169">
        <f>(INDEX(Models!$BJ202:$BT202,,T202)*(1-R202)+INDEX(Models!$BJ202:$BT202,,T202+1)*R202-ERP_i)*Q202*Ramure*Pc/MaxiM</f>
        <v>4.7572325624506886E-3</v>
      </c>
      <c r="Q202" s="305">
        <f t="shared" si="51"/>
        <v>0.8</v>
      </c>
      <c r="R202" s="177">
        <f t="shared" si="52"/>
        <v>5.1239944664576376E-2</v>
      </c>
      <c r="S202" s="809">
        <f t="shared" si="53"/>
        <v>1</v>
      </c>
      <c r="T202" s="176">
        <f t="shared" si="54"/>
        <v>7</v>
      </c>
      <c r="U202" s="251">
        <f t="shared" si="55"/>
        <v>1.0512399446645764</v>
      </c>
      <c r="V202" s="383">
        <f t="shared" si="56"/>
        <v>55.758042279392733</v>
      </c>
      <c r="W202" s="402"/>
      <c r="X202" s="157">
        <f t="shared" si="57"/>
        <v>44384</v>
      </c>
      <c r="Y202" s="385">
        <f t="shared" si="58"/>
        <v>33.814349251260737</v>
      </c>
      <c r="Z202" s="385">
        <f t="shared" si="59"/>
        <v>35.06719844266096</v>
      </c>
      <c r="AA202" s="386">
        <f t="shared" si="60"/>
        <v>40.188526485577704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0.12743259061151721</v>
      </c>
      <c r="AD202" s="231">
        <f>(INDEX(Models!$BJ202:$BT202,,AH202)*(1-AF202)+INDEX(Models!$BJ202:$BT202,,AH202+1)*AF202-ERP_i)*AE202*Ramure*Pc/MaxiM</f>
        <v>1.2145447853128429E-2</v>
      </c>
      <c r="AE202" s="305">
        <f t="shared" si="62"/>
        <v>0.8</v>
      </c>
      <c r="AF202" s="177">
        <f t="shared" si="63"/>
        <v>0.25117351881709782</v>
      </c>
      <c r="AG202" s="809">
        <f t="shared" si="71"/>
        <v>2</v>
      </c>
      <c r="AH202" s="176">
        <f t="shared" si="64"/>
        <v>8</v>
      </c>
      <c r="AI202" s="225">
        <f t="shared" si="65"/>
        <v>2.2511735188170978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6">
        <v>47.536000000000001</v>
      </c>
      <c r="C203" s="390"/>
      <c r="D203" s="393">
        <f t="shared" si="48"/>
        <v>49.298407997369303</v>
      </c>
      <c r="E203" s="385">
        <f t="shared" si="72"/>
        <v>51.257404606422291</v>
      </c>
      <c r="F203" s="385">
        <f t="shared" si="49"/>
        <v>51.452148157848555</v>
      </c>
      <c r="G203" s="110">
        <f t="shared" si="73"/>
        <v>0.85366038772343611</v>
      </c>
      <c r="H203" s="414" t="b">
        <f>Wh_hp&gt;='2020'!Maxi_hp</f>
        <v>0</v>
      </c>
      <c r="I203" s="380">
        <f>IF(H203,Wh_hp,'2020'!Maxi_hp)</f>
        <v>61.470681296854167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3.5749795357759837E-2</v>
      </c>
      <c r="M203" s="843"/>
      <c r="N203" s="843"/>
      <c r="O203" s="48">
        <f>IF(t&lt;Tnet,'2020'!Resal+('2020'!Salim-'2020'!Resal)*(1-EXP(('2020'!Tnet-t)/('2020'!Tau_j))),Resal+(Salim-Resal)*(1-EXP((Tnet-t)/(Tau_j))))*Salcycl</f>
        <v>3.8218802221748407E-2</v>
      </c>
      <c r="P203" s="169">
        <f>(INDEX(Models!$BJ203:$BT203,,T203)*(1-R203)+INDEX(Models!$BJ203:$BT203,,T203+1)*R203-ERP_i)*Q203*Ramure*Pc/MaxiM</f>
        <v>4.7780040571257761E-3</v>
      </c>
      <c r="Q203" s="305">
        <f t="shared" si="51"/>
        <v>0.8</v>
      </c>
      <c r="R203" s="177">
        <f t="shared" si="52"/>
        <v>5.5797894543299309E-2</v>
      </c>
      <c r="S203" s="809">
        <f t="shared" si="53"/>
        <v>1</v>
      </c>
      <c r="T203" s="176">
        <f t="shared" si="54"/>
        <v>7</v>
      </c>
      <c r="U203" s="251">
        <f t="shared" si="55"/>
        <v>1.0557978945432993</v>
      </c>
      <c r="V203" s="383">
        <f t="shared" si="56"/>
        <v>55.629399321931636</v>
      </c>
      <c r="W203" s="402"/>
      <c r="X203" s="157">
        <f t="shared" si="57"/>
        <v>44385</v>
      </c>
      <c r="Y203" s="385">
        <f t="shared" si="58"/>
        <v>42.86790950559022</v>
      </c>
      <c r="Z203" s="385">
        <f t="shared" si="59"/>
        <v>44.457246987565057</v>
      </c>
      <c r="AA203" s="386">
        <f t="shared" si="60"/>
        <v>50.957678749495585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0.12756530362943327</v>
      </c>
      <c r="AD203" s="231">
        <f>(INDEX(Models!$BJ203:$BT203,,AH203)*(1-AF203)+INDEX(Models!$BJ203:$BT203,,AH203+1)*AF203-ERP_i)*AE203*Ramure*Pc/MaxiM</f>
        <v>1.2131733358727501E-2</v>
      </c>
      <c r="AE203" s="305">
        <f t="shared" si="62"/>
        <v>0.8</v>
      </c>
      <c r="AF203" s="177">
        <f t="shared" si="63"/>
        <v>0.25573146869582075</v>
      </c>
      <c r="AG203" s="809">
        <f t="shared" si="71"/>
        <v>2</v>
      </c>
      <c r="AH203" s="176">
        <f t="shared" si="64"/>
        <v>8</v>
      </c>
      <c r="AI203" s="225">
        <f t="shared" si="65"/>
        <v>2.2557314686958208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6">
        <v>56.085000000000001</v>
      </c>
      <c r="C204" s="390"/>
      <c r="D204" s="393">
        <f t="shared" si="48"/>
        <v>58.165733313415352</v>
      </c>
      <c r="E204" s="385">
        <f t="shared" si="72"/>
        <v>60.492214513899611</v>
      </c>
      <c r="F204" s="385">
        <f t="shared" si="49"/>
        <v>60.783742606554995</v>
      </c>
      <c r="G204" s="110">
        <f t="shared" si="73"/>
        <v>1.0105830796157738</v>
      </c>
      <c r="H204" s="414" t="b">
        <f>Wh_hp&gt;='2020'!Maxi_hp</f>
        <v>1</v>
      </c>
      <c r="I204" s="380">
        <f>IF(H204,Wh_hp,'2020'!Maxi_hp)</f>
        <v>60.783742606554995</v>
      </c>
      <c r="J204" s="85">
        <f>IF(H204,An,'2020'!An_max)</f>
        <v>2021</v>
      </c>
      <c r="K204" s="197">
        <f t="shared" si="50"/>
        <v>44386</v>
      </c>
      <c r="L204" s="147">
        <f>IF(t&lt;Tvie,1-EXP((T0-t)*PertePVj)+'2020'!Pspv,1-EXP((T0-t)*PertePVj)+Pspv)</f>
        <v>3.5772493440488537E-2</v>
      </c>
      <c r="M204" s="843"/>
      <c r="N204" s="843"/>
      <c r="O204" s="48">
        <f>IF(t&lt;Tnet,'2020'!Resal+('2020'!Salim-'2020'!Resal)*(1-EXP(('2020'!Tnet-t)/('2020'!Tau_j))),Resal+(Salim-Resal)*(1-EXP((Tnet-t)/(Tau_j))))*Salcycl</f>
        <v>3.8459183866540188E-2</v>
      </c>
      <c r="P204" s="169">
        <f>(INDEX(Models!$BJ204:$BT204,,T204)*(1-R204)+INDEX(Models!$BJ204:$BT204,,T204+1)*R204-ERP_i)*Q204*Ramure*Pc/MaxiM</f>
        <v>4.7961523946033783E-3</v>
      </c>
      <c r="Q204" s="305">
        <f t="shared" si="51"/>
        <v>0.8</v>
      </c>
      <c r="R204" s="177">
        <f t="shared" si="52"/>
        <v>6.0259618293841744E-2</v>
      </c>
      <c r="S204" s="809">
        <f t="shared" si="53"/>
        <v>1</v>
      </c>
      <c r="T204" s="176">
        <f t="shared" si="54"/>
        <v>7</v>
      </c>
      <c r="U204" s="251">
        <f t="shared" si="55"/>
        <v>1.0602596182938417</v>
      </c>
      <c r="V204" s="383">
        <f t="shared" si="56"/>
        <v>55.4976638054574</v>
      </c>
      <c r="W204" s="402"/>
      <c r="X204" s="157">
        <f t="shared" si="57"/>
        <v>44386</v>
      </c>
      <c r="Y204" s="385">
        <f t="shared" si="58"/>
        <v>50.505931242742022</v>
      </c>
      <c r="Z204" s="385">
        <f t="shared" si="59"/>
        <v>52.379683113328433</v>
      </c>
      <c r="AA204" s="386">
        <f t="shared" si="60"/>
        <v>60.047532180369274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0.12769632303969375</v>
      </c>
      <c r="AD204" s="231">
        <f>(INDEX(Models!$BJ204:$BT204,,AH204)*(1-AF204)+INDEX(Models!$BJ204:$BT204,,AH204+1)*AF204-ERP_i)*AE204*Ramure*Pc/MaxiM</f>
        <v>1.2111962748840745E-2</v>
      </c>
      <c r="AE204" s="305">
        <f t="shared" si="62"/>
        <v>0.8</v>
      </c>
      <c r="AF204" s="177">
        <f t="shared" si="63"/>
        <v>0.26019319244636296</v>
      </c>
      <c r="AG204" s="809">
        <f t="shared" si="71"/>
        <v>2</v>
      </c>
      <c r="AH204" s="176">
        <f t="shared" si="64"/>
        <v>8</v>
      </c>
      <c r="AI204" s="225">
        <f t="shared" si="65"/>
        <v>2.260193192446363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6">
        <v>48.658000000000001</v>
      </c>
      <c r="C205" s="390"/>
      <c r="D205" s="393">
        <f t="shared" si="48"/>
        <v>50.46438219926744</v>
      </c>
      <c r="E205" s="385">
        <f t="shared" si="72"/>
        <v>52.495913909586847</v>
      </c>
      <c r="F205" s="385">
        <f t="shared" si="49"/>
        <v>52.705646252726602</v>
      </c>
      <c r="G205" s="110">
        <f t="shared" si="73"/>
        <v>0.87816890898143518</v>
      </c>
      <c r="H205" s="414" t="b">
        <f>Wh_hp&gt;='2020'!Maxi_hp</f>
        <v>0</v>
      </c>
      <c r="I205" s="380">
        <f>IF(H205,Wh_hp,'2020'!Maxi_hp)</f>
        <v>60.976537805718309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3.5795190994999768E-2</v>
      </c>
      <c r="M205" s="843"/>
      <c r="N205" s="843"/>
      <c r="O205" s="48">
        <f>IF(t&lt;Tnet,'2020'!Resal+('2020'!Salim-'2020'!Resal)*(1-EXP(('2020'!Tnet-t)/('2020'!Tau_j))),Resal+(Salim-Resal)*(1-EXP((Tnet-t)/(Tau_j))))*Salcycl</f>
        <v>3.869885404449367E-2</v>
      </c>
      <c r="P205" s="169">
        <f>(INDEX(Models!$BJ205:$BT205,,T205)*(1-R205)+INDEX(Models!$BJ205:$BT205,,T205+1)*R205-ERP_i)*Q205*Ramure*Pc/MaxiM</f>
        <v>4.8117181471782153E-3</v>
      </c>
      <c r="Q205" s="305">
        <f t="shared" si="51"/>
        <v>0.8</v>
      </c>
      <c r="R205" s="177">
        <f t="shared" si="52"/>
        <v>6.4624483471236172E-2</v>
      </c>
      <c r="S205" s="809">
        <f t="shared" si="53"/>
        <v>1</v>
      </c>
      <c r="T205" s="176">
        <f t="shared" si="54"/>
        <v>7</v>
      </c>
      <c r="U205" s="251">
        <f t="shared" si="55"/>
        <v>1.0646244834712362</v>
      </c>
      <c r="V205" s="383">
        <f t="shared" si="56"/>
        <v>55.362168471616982</v>
      </c>
      <c r="W205" s="402"/>
      <c r="X205" s="157">
        <f t="shared" si="57"/>
        <v>44387</v>
      </c>
      <c r="Y205" s="385">
        <f t="shared" si="58"/>
        <v>43.880030970281396</v>
      </c>
      <c r="Z205" s="385">
        <f t="shared" si="59"/>
        <v>45.509035591269111</v>
      </c>
      <c r="AA205" s="386">
        <f t="shared" si="60"/>
        <v>52.178831692655137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0.12782570795514545</v>
      </c>
      <c r="AD205" s="231">
        <f>(INDEX(Models!$BJ205:$BT205,,AH205)*(1-AF205)+INDEX(Models!$BJ205:$BT205,,AH205+1)*AF205-ERP_i)*AE205*Ramure*Pc/MaxiM</f>
        <v>1.2086276922984963E-2</v>
      </c>
      <c r="AE205" s="305">
        <f t="shared" si="62"/>
        <v>0.8</v>
      </c>
      <c r="AF205" s="177">
        <f t="shared" si="63"/>
        <v>0.26455805762375739</v>
      </c>
      <c r="AG205" s="809">
        <f t="shared" si="71"/>
        <v>2</v>
      </c>
      <c r="AH205" s="176">
        <f t="shared" si="64"/>
        <v>8</v>
      </c>
      <c r="AI205" s="225">
        <f t="shared" si="65"/>
        <v>2.2645580576237574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6">
        <v>48.435000000000002</v>
      </c>
      <c r="C206" s="390"/>
      <c r="D206" s="393">
        <f t="shared" si="48"/>
        <v>50.234286031921613</v>
      </c>
      <c r="E206" s="385">
        <f t="shared" si="72"/>
        <v>52.269548530324904</v>
      </c>
      <c r="F206" s="385">
        <f t="shared" si="49"/>
        <v>52.47821803740743</v>
      </c>
      <c r="G206" s="110">
        <f t="shared" si="73"/>
        <v>0.87634178847064215</v>
      </c>
      <c r="H206" s="414" t="b">
        <f>Wh_hp&gt;='2020'!Maxi_hp</f>
        <v>0</v>
      </c>
      <c r="I206" s="380">
        <f>IF(H206,Wh_hp,'2020'!Maxi_hp)</f>
        <v>60.655127137032757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3.5817888021305741E-2</v>
      </c>
      <c r="M206" s="843"/>
      <c r="N206" s="843"/>
      <c r="O206" s="48">
        <f>IF(t&lt;Tnet,'2020'!Resal+('2020'!Salim-'2020'!Resal)*(1-EXP(('2020'!Tnet-t)/('2020'!Tau_j))),Resal+(Salim-Resal)*(1-EXP((Tnet-t)/(Tau_j))))*Salcycl</f>
        <v>3.8937824328490335E-2</v>
      </c>
      <c r="P206" s="169">
        <f>(INDEX(Models!$BJ206:$BT206,,T206)*(1-R206)+INDEX(Models!$BJ206:$BT206,,T206+1)*R206-ERP_i)*Q206*Ramure*Pc/MaxiM</f>
        <v>4.8232107195896445E-3</v>
      </c>
      <c r="Q206" s="305">
        <f t="shared" si="51"/>
        <v>0.8</v>
      </c>
      <c r="R206" s="177">
        <f t="shared" si="52"/>
        <v>6.8892044741273306E-2</v>
      </c>
      <c r="S206" s="809">
        <f t="shared" si="53"/>
        <v>1</v>
      </c>
      <c r="T206" s="176">
        <f t="shared" si="54"/>
        <v>7</v>
      </c>
      <c r="U206" s="251">
        <f t="shared" si="55"/>
        <v>1.0688920447412733</v>
      </c>
      <c r="V206" s="383">
        <f t="shared" si="56"/>
        <v>55.222536569493762</v>
      </c>
      <c r="W206" s="402"/>
      <c r="X206" s="157">
        <f t="shared" si="57"/>
        <v>44388</v>
      </c>
      <c r="Y206" s="385">
        <f t="shared" si="58"/>
        <v>43.685808659626019</v>
      </c>
      <c r="Z206" s="385">
        <f t="shared" si="59"/>
        <v>45.308669510549215</v>
      </c>
      <c r="AA206" s="386">
        <f t="shared" si="60"/>
        <v>51.956713882880869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0.12795351891032714</v>
      </c>
      <c r="AD206" s="231">
        <f>(INDEX(Models!$BJ206:$BT206,,AH206)*(1-AF206)+INDEX(Models!$BJ206:$BT206,,AH206+1)*AF206-ERP_i)*AE206*Ramure*Pc/MaxiM</f>
        <v>1.2054106340646093E-2</v>
      </c>
      <c r="AE206" s="305">
        <f t="shared" si="62"/>
        <v>0.8</v>
      </c>
      <c r="AF206" s="177">
        <f t="shared" si="63"/>
        <v>0.26882561889379453</v>
      </c>
      <c r="AG206" s="809">
        <f t="shared" si="71"/>
        <v>2</v>
      </c>
      <c r="AH206" s="176">
        <f t="shared" si="64"/>
        <v>8</v>
      </c>
      <c r="AI206" s="225">
        <f t="shared" si="65"/>
        <v>2.2688256188937945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6">
        <v>13.38</v>
      </c>
      <c r="C207" s="390"/>
      <c r="D207" s="393">
        <f t="shared" ref="D207:D270" si="74">Wh/(1-Ppv)</f>
        <v>13.877373165858465</v>
      </c>
      <c r="E207" s="385">
        <f t="shared" si="72"/>
        <v>14.443201576679044</v>
      </c>
      <c r="F207" s="385">
        <f t="shared" ref="F207:F270" si="75">Wh_sa/(1-Pvg*MEDIAN((-Sdif+Wh/Env_an)/Csdif,0,1))</f>
        <v>14.443201576679044</v>
      </c>
      <c r="G207" s="110">
        <f t="shared" si="73"/>
        <v>0.24174998989166885</v>
      </c>
      <c r="H207" s="414" t="b">
        <f>Wh_hp&gt;='2020'!Maxi_hp</f>
        <v>0</v>
      </c>
      <c r="I207" s="380">
        <f>IF(H207,Wh_hp,'2020'!Maxi_hp)</f>
        <v>61.032000698200029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3.5840584519418781E-2</v>
      </c>
      <c r="M207" s="843"/>
      <c r="N207" s="843"/>
      <c r="O207" s="48">
        <f>IF(t&lt;Tnet,'2020'!Resal+('2020'!Salim-'2020'!Resal)*(1-EXP(('2020'!Tnet-t)/('2020'!Tau_j))),Resal+(Salim-Resal)*(1-EXP((Tnet-t)/(Tau_j))))*Salcycl</f>
        <v>3.9176107029774088E-2</v>
      </c>
      <c r="P207" s="169">
        <f>(INDEX(Models!$BJ207:$BT207,,T207)*(1-R207)+INDEX(Models!$BJ207:$BT207,,T207+1)*R207-ERP_i)*Q207*Ramure*Pc/MaxiM</f>
        <v>4.8311041874438947E-3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7.3062036997335156E-2</v>
      </c>
      <c r="S207" s="809">
        <f t="shared" ref="S207:S270" si="79">INDEX(Echel_vg,T207)</f>
        <v>1</v>
      </c>
      <c r="T207" s="176">
        <f t="shared" ref="T207:T270" si="80">MIN(MATCH(Hp_vg,Echel_vg),10)</f>
        <v>7</v>
      </c>
      <c r="U207" s="251">
        <f t="shared" ref="U207:U270" si="81">IF(OR(t&lt;Ttai,Notai),Hdd+PousH*Croivg,Hdtf+PousH*(Croivg-Croi_tai))</f>
        <v>1.0730620369973352</v>
      </c>
      <c r="V207" s="383">
        <f t="shared" ref="V207:V270" si="82">MaxiM*(1-Ppv)*(1-Pvg)*(1-Psa)</f>
        <v>55.079050187091127</v>
      </c>
      <c r="W207" s="402"/>
      <c r="X207" s="157">
        <f t="shared" ref="X207:X270" si="83">t</f>
        <v>44389</v>
      </c>
      <c r="Y207" s="385">
        <f t="shared" ref="Y207:Y270" si="84">Wh_pvt_s*(1-Ppv)</f>
        <v>12.141967042561559</v>
      </c>
      <c r="Z207" s="385">
        <f t="shared" ref="Z207:Z270" si="85">Wh_sa_s*(1-Psa_s)</f>
        <v>12.59331895494631</v>
      </c>
      <c r="AA207" s="386">
        <f t="shared" ref="AA207:AA270" si="86">Wh_hp*(1-Pvg_s*MEDIAN((-Sdif+Wh/Env_an)/Csdif,0,1))</f>
        <v>14.443201576679044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0.12807981747756514</v>
      </c>
      <c r="AD207" s="231">
        <f>(INDEX(Models!$BJ207:$BT207,,AH207)*(1-AF207)+INDEX(Models!$BJ207:$BT207,,AH207+1)*AF207-ERP_i)*AE207*Ramure*Pc/MaxiM</f>
        <v>1.2017800588533476E-2</v>
      </c>
      <c r="AE207" s="305">
        <f t="shared" ref="AE207:AE270" si="88">IF(OR(t&lt;Ttai,Notai),Dd_s+PousD*Croivg,Dens_s+PousD*(Croivg-Croi_tai))</f>
        <v>0.8</v>
      </c>
      <c r="AF207" s="177">
        <f t="shared" ref="AF207:AF270" si="89">(Hp_vg_s-AG207)/(INDEX(Echel_vg,AH207+1)-AG207)</f>
        <v>0.27299561114985638</v>
      </c>
      <c r="AG207" s="809">
        <f t="shared" si="71"/>
        <v>2</v>
      </c>
      <c r="AH207" s="176">
        <f t="shared" ref="AH207:AH270" si="90">MIN(MATCH(Hp_vg_s,Echel_vg),10)</f>
        <v>8</v>
      </c>
      <c r="AI207" s="225">
        <f t="shared" ref="AI207:AI270" si="91">IF(OR(t&lt;Ttai,Notai),Hdd_s+PousH*Croivg,Hdtai_s+PousH*(Croivg-Croi_tai))</f>
        <v>2.2729956111498564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6">
        <v>24.616</v>
      </c>
      <c r="C208" s="390"/>
      <c r="D208" s="393">
        <f t="shared" si="74"/>
        <v>25.531648677890765</v>
      </c>
      <c r="E208" s="385">
        <f t="shared" si="72"/>
        <v>26.57923507639866</v>
      </c>
      <c r="F208" s="385">
        <f t="shared" si="75"/>
        <v>26.606457367162786</v>
      </c>
      <c r="G208" s="110">
        <f t="shared" si="73"/>
        <v>0.44640744420892631</v>
      </c>
      <c r="H208" s="414" t="b">
        <f>Wh_hp&gt;='2020'!Maxi_hp</f>
        <v>0</v>
      </c>
      <c r="I208" s="380">
        <f>IF(H208,Wh_hp,'2020'!Maxi_hp)</f>
        <v>52.945978266940926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3.5863280489351099E-2</v>
      </c>
      <c r="M208" s="843"/>
      <c r="N208" s="843"/>
      <c r="O208" s="48">
        <f>IF(t&lt;Tnet,'2020'!Resal+('2020'!Salim-'2020'!Resal)*(1-EXP(('2020'!Tnet-t)/('2020'!Tau_j))),Resal+(Salim-Resal)*(1-EXP((Tnet-t)/(Tau_j))))*Salcycl</f>
        <v>3.9413715086109129E-2</v>
      </c>
      <c r="P208" s="169">
        <f>(INDEX(Models!$BJ208:$BT208,,T208)*(1-R208)+INDEX(Models!$BJ208:$BT208,,T208+1)*R208-ERP_i)*Q208*Ramure*Pc/MaxiM</f>
        <v>4.8353647087247733E-3</v>
      </c>
      <c r="Q208" s="305">
        <f t="shared" si="77"/>
        <v>0.8</v>
      </c>
      <c r="R208" s="177">
        <f t="shared" si="78"/>
        <v>7.7134368058149771E-2</v>
      </c>
      <c r="S208" s="809">
        <f t="shared" si="79"/>
        <v>1</v>
      </c>
      <c r="T208" s="176">
        <f t="shared" si="80"/>
        <v>7</v>
      </c>
      <c r="U208" s="251">
        <f t="shared" si="81"/>
        <v>1.0771343680581498</v>
      </c>
      <c r="V208" s="383">
        <f t="shared" si="82"/>
        <v>54.932019236508737</v>
      </c>
      <c r="W208" s="402"/>
      <c r="X208" s="157">
        <f t="shared" si="83"/>
        <v>44390</v>
      </c>
      <c r="Y208" s="385">
        <f t="shared" si="84"/>
        <v>22.306845228788035</v>
      </c>
      <c r="Z208" s="385">
        <f t="shared" si="85"/>
        <v>23.1365995894337</v>
      </c>
      <c r="AA208" s="386">
        <f t="shared" si="86"/>
        <v>26.539026631734988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0.12820466588750901</v>
      </c>
      <c r="AD208" s="231">
        <f>(INDEX(Models!$BJ208:$BT208,,AH208)*(1-AF208)+INDEX(Models!$BJ208:$BT208,,AH208+1)*AF208-ERP_i)*AE208*Ramure*Pc/MaxiM</f>
        <v>1.19773975377792E-2</v>
      </c>
      <c r="AE208" s="305">
        <f t="shared" si="88"/>
        <v>0.8</v>
      </c>
      <c r="AF208" s="177">
        <f t="shared" si="89"/>
        <v>0.27706794221067099</v>
      </c>
      <c r="AG208" s="809">
        <f t="shared" ref="AG208:AG271" si="95">INDEX(Echel_vg,AH208)</f>
        <v>2</v>
      </c>
      <c r="AH208" s="176">
        <f t="shared" si="90"/>
        <v>8</v>
      </c>
      <c r="AI208" s="225">
        <f t="shared" si="91"/>
        <v>2.277067942210671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6">
        <v>28.054000000000002</v>
      </c>
      <c r="C209" s="390"/>
      <c r="D209" s="393">
        <f t="shared" si="74"/>
        <v>29.09821794895452</v>
      </c>
      <c r="E209" s="385">
        <f t="shared" si="72"/>
        <v>30.299617853639919</v>
      </c>
      <c r="F209" s="385">
        <f t="shared" si="75"/>
        <v>30.344081921720598</v>
      </c>
      <c r="G209" s="110">
        <f t="shared" si="73"/>
        <v>0.51037617445192207</v>
      </c>
      <c r="H209" s="414" t="b">
        <f>Wh_hp&gt;='2020'!Maxi_hp</f>
        <v>0</v>
      </c>
      <c r="I209" s="380">
        <f>IF(H209,Wh_hp,'2020'!Maxi_hp)</f>
        <v>60.641960912358456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3.5885975931115019E-2</v>
      </c>
      <c r="M209" s="843"/>
      <c r="N209" s="843"/>
      <c r="O209" s="48">
        <f>IF(t&lt;Tnet,'2020'!Resal+('2020'!Salim-'2020'!Resal)*(1-EXP(('2020'!Tnet-t)/('2020'!Tau_j))),Resal+(Salim-Resal)*(1-EXP((Tnet-t)/(Tau_j))))*Salcycl</f>
        <v>3.9650661948565605E-2</v>
      </c>
      <c r="P209" s="169">
        <f>(INDEX(Models!$BJ209:$BT209,,T209)*(1-R209)+INDEX(Models!$BJ209:$BT209,,T209+1)*R209-ERP_i)*Q209*Ramure*Pc/MaxiM</f>
        <v>4.8359598529492832E-3</v>
      </c>
      <c r="Q209" s="305">
        <f t="shared" si="77"/>
        <v>0.8</v>
      </c>
      <c r="R209" s="177">
        <f t="shared" si="78"/>
        <v>8.1109111015909452E-2</v>
      </c>
      <c r="S209" s="809">
        <f t="shared" si="79"/>
        <v>1</v>
      </c>
      <c r="T209" s="176">
        <f t="shared" si="80"/>
        <v>7</v>
      </c>
      <c r="U209" s="251">
        <f t="shared" si="81"/>
        <v>1.0811091110159095</v>
      </c>
      <c r="V209" s="383">
        <f t="shared" si="82"/>
        <v>54.781753071034473</v>
      </c>
      <c r="W209" s="402"/>
      <c r="X209" s="157">
        <f t="shared" si="83"/>
        <v>44391</v>
      </c>
      <c r="Y209" s="385">
        <f t="shared" si="84"/>
        <v>25.40869055722041</v>
      </c>
      <c r="Z209" s="385">
        <f t="shared" si="85"/>
        <v>26.354445556125405</v>
      </c>
      <c r="AA209" s="386">
        <f t="shared" si="86"/>
        <v>30.234364973881778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0.12832812665680512</v>
      </c>
      <c r="AD209" s="231">
        <f>(INDEX(Models!$BJ209:$BT209,,AH209)*(1-AF209)+INDEX(Models!$BJ209:$BT209,,AH209+1)*AF209-ERP_i)*AE209*Ramure*Pc/MaxiM</f>
        <v>1.1932933216409916E-2</v>
      </c>
      <c r="AE209" s="305">
        <f t="shared" si="88"/>
        <v>0.8</v>
      </c>
      <c r="AF209" s="177">
        <f t="shared" si="89"/>
        <v>0.28104268516843067</v>
      </c>
      <c r="AG209" s="809">
        <f t="shared" si="95"/>
        <v>2</v>
      </c>
      <c r="AH209" s="176">
        <f t="shared" si="90"/>
        <v>8</v>
      </c>
      <c r="AI209" s="225">
        <f t="shared" si="91"/>
        <v>2.2810426851684307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6">
        <v>38.853000000000002</v>
      </c>
      <c r="C210" s="390"/>
      <c r="D210" s="393">
        <f t="shared" si="74"/>
        <v>40.300123883535427</v>
      </c>
      <c r="E210" s="385">
        <f t="shared" si="72"/>
        <v>41.974353296094925</v>
      </c>
      <c r="F210" s="385">
        <f t="shared" si="75"/>
        <v>42.093862262334078</v>
      </c>
      <c r="G210" s="110">
        <f t="shared" si="73"/>
        <v>0.70979934020125457</v>
      </c>
      <c r="H210" s="414" t="b">
        <f>Wh_hp&gt;='2020'!Maxi_hp</f>
        <v>0</v>
      </c>
      <c r="I210" s="380">
        <f>IF(H210,Wh_hp,'2020'!Maxi_hp)</f>
        <v>61.822480130513313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3.5908670844722865E-2</v>
      </c>
      <c r="M210" s="843"/>
      <c r="N210" s="843"/>
      <c r="O210" s="48">
        <f>IF(t&lt;Tnet,'2020'!Resal+('2020'!Salim-'2020'!Resal)*(1-EXP(('2020'!Tnet-t)/('2020'!Tau_j))),Resal+(Salim-Resal)*(1-EXP((Tnet-t)/(Tau_j))))*Salcycl</f>
        <v>3.9886961467855635E-2</v>
      </c>
      <c r="P210" s="169">
        <f>(INDEX(Models!$BJ210:$BT210,,T210)*(1-R210)+INDEX(Models!$BJ210:$BT210,,T210+1)*R210-ERP_i)*Q210*Ramure*Pc/MaxiM</f>
        <v>4.8328584115005591E-3</v>
      </c>
      <c r="Q210" s="305">
        <f t="shared" si="77"/>
        <v>0.8</v>
      </c>
      <c r="R210" s="177">
        <f t="shared" si="78"/>
        <v>8.4986496302092096E-2</v>
      </c>
      <c r="S210" s="809">
        <f t="shared" si="79"/>
        <v>1</v>
      </c>
      <c r="T210" s="176">
        <f t="shared" si="80"/>
        <v>7</v>
      </c>
      <c r="U210" s="251">
        <f t="shared" si="81"/>
        <v>1.0849864963020921</v>
      </c>
      <c r="V210" s="383">
        <f t="shared" si="82"/>
        <v>54.628560518340606</v>
      </c>
      <c r="W210" s="402"/>
      <c r="X210" s="157">
        <f t="shared" si="83"/>
        <v>44392</v>
      </c>
      <c r="Y210" s="385">
        <f t="shared" si="84"/>
        <v>35.122580346840863</v>
      </c>
      <c r="Z210" s="385">
        <f t="shared" si="85"/>
        <v>36.430760535534283</v>
      </c>
      <c r="AA210" s="386">
        <f t="shared" si="86"/>
        <v>41.799978769496612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0.12845026222550376</v>
      </c>
      <c r="AD210" s="231">
        <f>(INDEX(Models!$BJ210:$BT210,,AH210)*(1-AF210)+INDEX(Models!$BJ210:$BT210,,AH210+1)*AF210-ERP_i)*AE210*Ramure*Pc/MaxiM</f>
        <v>1.1884441436122474E-2</v>
      </c>
      <c r="AE210" s="305">
        <f t="shared" si="88"/>
        <v>0.8</v>
      </c>
      <c r="AF210" s="177">
        <f t="shared" si="89"/>
        <v>0.28492007045461332</v>
      </c>
      <c r="AG210" s="809">
        <f t="shared" si="95"/>
        <v>2</v>
      </c>
      <c r="AH210" s="176">
        <f t="shared" si="90"/>
        <v>8</v>
      </c>
      <c r="AI210" s="225">
        <f t="shared" si="91"/>
        <v>2.2849200704546133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6">
        <v>38.856000000000002</v>
      </c>
      <c r="C211" s="390"/>
      <c r="D211" s="393">
        <f t="shared" si="74"/>
        <v>40.304184368862387</v>
      </c>
      <c r="E211" s="385">
        <f t="shared" si="72"/>
        <v>41.988888930358492</v>
      </c>
      <c r="F211" s="385">
        <f t="shared" si="75"/>
        <v>42.10887819903639</v>
      </c>
      <c r="G211" s="110">
        <f t="shared" si="73"/>
        <v>0.71189687615759734</v>
      </c>
      <c r="H211" s="414" t="b">
        <f>Wh_hp&gt;='2020'!Maxi_hp</f>
        <v>0</v>
      </c>
      <c r="I211" s="380">
        <f>IF(H211,Wh_hp,'2020'!Maxi_hp)</f>
        <v>59.884372222442117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3.593136523018696E-2</v>
      </c>
      <c r="M211" s="843"/>
      <c r="N211" s="843"/>
      <c r="O211" s="48">
        <f>IF(t&lt;Tnet,'2020'!Resal+('2020'!Salim-'2020'!Resal)*(1-EXP(('2020'!Tnet-t)/('2020'!Tau_j))),Resal+(Salim-Resal)*(1-EXP((Tnet-t)/(Tau_j))))*Salcycl</f>
        <v>4.0122627781132847E-2</v>
      </c>
      <c r="P211" s="169">
        <f>(INDEX(Models!$BJ211:$BT211,,T211)*(1-R211)+INDEX(Models!$BJ211:$BT211,,T211+1)*R211-ERP_i)*Q211*Ramure*Pc/MaxiM</f>
        <v>4.8260302142781996E-3</v>
      </c>
      <c r="Q211" s="305">
        <f t="shared" si="77"/>
        <v>0.8</v>
      </c>
      <c r="R211" s="177">
        <f t="shared" si="78"/>
        <v>8.8766903535701935E-2</v>
      </c>
      <c r="S211" s="809">
        <f t="shared" si="79"/>
        <v>1</v>
      </c>
      <c r="T211" s="176">
        <f t="shared" si="80"/>
        <v>7</v>
      </c>
      <c r="U211" s="251">
        <f t="shared" si="81"/>
        <v>1.0887669035357019</v>
      </c>
      <c r="V211" s="383">
        <f t="shared" si="82"/>
        <v>54.472749905667619</v>
      </c>
      <c r="W211" s="402"/>
      <c r="X211" s="157">
        <f t="shared" si="83"/>
        <v>44393</v>
      </c>
      <c r="Y211" s="385">
        <f t="shared" si="84"/>
        <v>35.129251157662779</v>
      </c>
      <c r="Z211" s="385">
        <f t="shared" si="85"/>
        <v>36.438537559154646</v>
      </c>
      <c r="AA211" s="386">
        <f t="shared" si="86"/>
        <v>41.814701126187337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0.12857113460666958</v>
      </c>
      <c r="AD211" s="231">
        <f>(INDEX(Models!$BJ211:$BT211,,AH211)*(1-AF211)+INDEX(Models!$BJ211:$BT211,,AH211+1)*AF211-ERP_i)*AE211*Ramure*Pc/MaxiM</f>
        <v>1.1831953453509054E-2</v>
      </c>
      <c r="AE211" s="305">
        <f t="shared" si="88"/>
        <v>0.8</v>
      </c>
      <c r="AF211" s="177">
        <f t="shared" si="89"/>
        <v>0.28870047768822316</v>
      </c>
      <c r="AG211" s="809">
        <f t="shared" si="95"/>
        <v>2</v>
      </c>
      <c r="AH211" s="176">
        <f t="shared" si="90"/>
        <v>8</v>
      </c>
      <c r="AI211" s="225">
        <f t="shared" si="91"/>
        <v>2.2887004776882232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6">
        <v>54.582000000000001</v>
      </c>
      <c r="C212" s="390"/>
      <c r="D212" s="393">
        <f t="shared" si="74"/>
        <v>56.617633749214804</v>
      </c>
      <c r="E212" s="385">
        <f t="shared" si="72"/>
        <v>58.998683453257946</v>
      </c>
      <c r="F212" s="385">
        <f t="shared" si="75"/>
        <v>59.284108427339568</v>
      </c>
      <c r="G212" s="110">
        <f t="shared" si="73"/>
        <v>1.0049217041476086</v>
      </c>
      <c r="H212" s="414" t="b">
        <f>Wh_hp&gt;='2020'!Maxi_hp</f>
        <v>1</v>
      </c>
      <c r="I212" s="380">
        <f>IF(H212,Wh_hp,'2020'!Maxi_hp)</f>
        <v>59.284108427339568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3.5954059087519516E-2</v>
      </c>
      <c r="M212" s="843"/>
      <c r="N212" s="843"/>
      <c r="O212" s="48">
        <f>IF(t&lt;Tnet,'2020'!Resal+('2020'!Salim-'2020'!Resal)*(1-EXP(('2020'!Tnet-t)/('2020'!Tau_j))),Resal+(Salim-Resal)*(1-EXP((Tnet-t)/(Tau_j))))*Salcycl</f>
        <v>4.0357675200151572E-2</v>
      </c>
      <c r="P212" s="169">
        <f>(INDEX(Models!$BJ212:$BT212,,T212)*(1-R212)+INDEX(Models!$BJ212:$BT212,,T212+1)*R212-ERP_i)*Q212*Ramure*Pc/MaxiM</f>
        <v>4.8145275631740437E-3</v>
      </c>
      <c r="Q212" s="305">
        <f t="shared" si="77"/>
        <v>0.8</v>
      </c>
      <c r="R212" s="177">
        <f t="shared" si="78"/>
        <v>9.2450853215593431E-2</v>
      </c>
      <c r="S212" s="809">
        <f t="shared" si="79"/>
        <v>1</v>
      </c>
      <c r="T212" s="176">
        <f t="shared" si="80"/>
        <v>7</v>
      </c>
      <c r="U212" s="251">
        <f t="shared" si="81"/>
        <v>1.0924508532155934</v>
      </c>
      <c r="V212" s="383">
        <f t="shared" si="82"/>
        <v>54.31467921801665</v>
      </c>
      <c r="W212" s="402"/>
      <c r="X212" s="157">
        <f t="shared" si="83"/>
        <v>44394</v>
      </c>
      <c r="Y212" s="385">
        <f t="shared" si="84"/>
        <v>49.211072305303446</v>
      </c>
      <c r="Z212" s="385">
        <f t="shared" si="85"/>
        <v>51.046397497119898</v>
      </c>
      <c r="AA212" s="386">
        <f t="shared" si="86"/>
        <v>58.58585883519747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0.12869080505051814</v>
      </c>
      <c r="AD212" s="231">
        <f>(INDEX(Models!$BJ212:$BT212,,AH212)*(1-AF212)+INDEX(Models!$BJ212:$BT212,,AH212+1)*AF212-ERP_i)*AE212*Ramure*Pc/MaxiM</f>
        <v>1.1778022992416173E-2</v>
      </c>
      <c r="AE212" s="305">
        <f t="shared" si="88"/>
        <v>0.8</v>
      </c>
      <c r="AF212" s="177">
        <f t="shared" si="89"/>
        <v>0.29238442736811487</v>
      </c>
      <c r="AG212" s="809">
        <f t="shared" si="95"/>
        <v>2</v>
      </c>
      <c r="AH212" s="176">
        <f t="shared" si="90"/>
        <v>8</v>
      </c>
      <c r="AI212" s="225">
        <f t="shared" si="91"/>
        <v>2.2923844273681149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6">
        <v>48.32</v>
      </c>
      <c r="C213" s="390"/>
      <c r="D213" s="393">
        <f t="shared" si="74"/>
        <v>50.123272567476519</v>
      </c>
      <c r="E213" s="385">
        <f t="shared" si="72"/>
        <v>52.243965797215893</v>
      </c>
      <c r="F213" s="385">
        <f t="shared" si="75"/>
        <v>52.456977315205144</v>
      </c>
      <c r="G213" s="110">
        <f t="shared" si="73"/>
        <v>0.89159855077185857</v>
      </c>
      <c r="H213" s="414" t="b">
        <f>Wh_hp&gt;='2020'!Maxi_hp</f>
        <v>1</v>
      </c>
      <c r="I213" s="380">
        <f>IF(H213,Wh_hp,'2020'!Maxi_hp)</f>
        <v>52.456977315205144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3.5976752416732857E-2</v>
      </c>
      <c r="M213" s="843"/>
      <c r="N213" s="843"/>
      <c r="O213" s="48">
        <f>IF(t&lt;Tnet,'2020'!Resal+('2020'!Salim-'2020'!Resal)*(1-EXP(('2020'!Tnet-t)/('2020'!Tau_j))),Resal+(Salim-Resal)*(1-EXP((Tnet-t)/(Tau_j))))*Salcycl</f>
        <v>4.0592118101654265E-2</v>
      </c>
      <c r="P213" s="169">
        <f>(INDEX(Models!$BJ213:$BT213,,T213)*(1-R213)+INDEX(Models!$BJ213:$BT213,,T213+1)*R213-ERP_i)*Q213*Ramure*Pc/MaxiM</f>
        <v>4.7993808216708371E-3</v>
      </c>
      <c r="Q213" s="305">
        <f t="shared" si="77"/>
        <v>0.8</v>
      </c>
      <c r="R213" s="177">
        <f t="shared" si="78"/>
        <v>9.6038998315141955E-2</v>
      </c>
      <c r="S213" s="809">
        <f t="shared" si="79"/>
        <v>1</v>
      </c>
      <c r="T213" s="176">
        <f t="shared" si="80"/>
        <v>7</v>
      </c>
      <c r="U213" s="251">
        <f t="shared" si="81"/>
        <v>1.096038998315142</v>
      </c>
      <c r="V213" s="383">
        <f t="shared" si="82"/>
        <v>54.154597808069148</v>
      </c>
      <c r="W213" s="402"/>
      <c r="X213" s="157">
        <f t="shared" si="83"/>
        <v>44395</v>
      </c>
      <c r="Y213" s="385">
        <f t="shared" si="84"/>
        <v>43.618837716435898</v>
      </c>
      <c r="Z213" s="385">
        <f t="shared" si="85"/>
        <v>45.246665809963609</v>
      </c>
      <c r="AA213" s="386">
        <f t="shared" si="86"/>
        <v>51.936582382636658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0.12880933372523193</v>
      </c>
      <c r="AD213" s="231">
        <f>(INDEX(Models!$BJ213:$BT213,,AH213)*(1-AF213)+INDEX(Models!$BJ213:$BT213,,AH213+1)*AF213-ERP_i)*AE213*Ramure*Pc/MaxiM</f>
        <v>1.1725062957346417E-2</v>
      </c>
      <c r="AE213" s="305">
        <f t="shared" si="88"/>
        <v>0.8</v>
      </c>
      <c r="AF213" s="177">
        <f t="shared" si="89"/>
        <v>0.2959725724676634</v>
      </c>
      <c r="AG213" s="809">
        <f t="shared" si="95"/>
        <v>2</v>
      </c>
      <c r="AH213" s="176">
        <f t="shared" si="90"/>
        <v>8</v>
      </c>
      <c r="AI213" s="225">
        <f t="shared" si="91"/>
        <v>2.2959725724676634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6">
        <v>52.624000000000002</v>
      </c>
      <c r="C214" s="390"/>
      <c r="D214" s="393">
        <f t="shared" si="74"/>
        <v>54.589180202174958</v>
      </c>
      <c r="E214" s="385">
        <f t="shared" si="72"/>
        <v>56.912696279829561</v>
      </c>
      <c r="F214" s="385">
        <f t="shared" si="75"/>
        <v>57.176131195463441</v>
      </c>
      <c r="G214" s="110">
        <f t="shared" si="73"/>
        <v>0.97447871579338252</v>
      </c>
      <c r="H214" s="414" t="b">
        <f>Wh_hp&gt;='2020'!Maxi_hp</f>
        <v>0</v>
      </c>
      <c r="I214" s="380">
        <f>IF(H214,Wh_hp,'2020'!Maxi_hp)</f>
        <v>58.756624023834831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3.5999445217839307E-2</v>
      </c>
      <c r="M214" s="843"/>
      <c r="N214" s="843"/>
      <c r="O214" s="48">
        <f>IF(t&lt;Tnet,'2020'!Resal+('2020'!Salim-'2020'!Resal)*(1-EXP(('2020'!Tnet-t)/('2020'!Tau_j))),Resal+(Salim-Resal)*(1-EXP((Tnet-t)/(Tau_j))))*Salcycl</f>
        <v>4.0825970820821657E-2</v>
      </c>
      <c r="P214" s="169">
        <f>(INDEX(Models!$BJ214:$BT214,,T214)*(1-R214)+INDEX(Models!$BJ214:$BT214,,T214+1)*R214-ERP_i)*Q214*Ramure*Pc/MaxiM</f>
        <v>4.7805648694072425E-3</v>
      </c>
      <c r="Q214" s="305">
        <f t="shared" si="77"/>
        <v>0.8</v>
      </c>
      <c r="R214" s="177">
        <f t="shared" si="78"/>
        <v>9.9532115833818491E-2</v>
      </c>
      <c r="S214" s="809">
        <f t="shared" si="79"/>
        <v>1</v>
      </c>
      <c r="T214" s="176">
        <f t="shared" si="80"/>
        <v>7</v>
      </c>
      <c r="U214" s="251">
        <f t="shared" si="81"/>
        <v>1.0995321158338185</v>
      </c>
      <c r="V214" s="383">
        <f t="shared" si="82"/>
        <v>53.992812594668933</v>
      </c>
      <c r="W214" s="402"/>
      <c r="X214" s="157">
        <f t="shared" si="83"/>
        <v>44396</v>
      </c>
      <c r="Y214" s="385">
        <f t="shared" si="84"/>
        <v>47.471502559750434</v>
      </c>
      <c r="Z214" s="385">
        <f t="shared" si="85"/>
        <v>49.244268921066926</v>
      </c>
      <c r="AA214" s="386">
        <f t="shared" si="86"/>
        <v>56.532869748969681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0.12892677941642239</v>
      </c>
      <c r="AD214" s="231">
        <f>(INDEX(Models!$BJ214:$BT214,,AH214)*(1-AF214)+INDEX(Models!$BJ214:$BT214,,AH214+1)*AF214-ERP_i)*AE214*Ramure*Pc/MaxiM</f>
        <v>1.167329344157992E-2</v>
      </c>
      <c r="AE214" s="305">
        <f t="shared" si="88"/>
        <v>0.8</v>
      </c>
      <c r="AF214" s="177">
        <f t="shared" si="89"/>
        <v>0.29946568998633971</v>
      </c>
      <c r="AG214" s="809">
        <f t="shared" si="95"/>
        <v>2</v>
      </c>
      <c r="AH214" s="176">
        <f t="shared" si="90"/>
        <v>8</v>
      </c>
      <c r="AI214" s="225">
        <f t="shared" si="91"/>
        <v>2.2994656899863397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6">
        <v>42.160000000000004</v>
      </c>
      <c r="C215" s="390"/>
      <c r="D215" s="393">
        <f t="shared" si="74"/>
        <v>43.735444183605274</v>
      </c>
      <c r="E215" s="385">
        <f t="shared" si="72"/>
        <v>45.608077529086636</v>
      </c>
      <c r="F215" s="385">
        <f t="shared" si="75"/>
        <v>45.758370777932065</v>
      </c>
      <c r="G215" s="110">
        <f t="shared" si="73"/>
        <v>0.7820538613703345</v>
      </c>
      <c r="H215" s="414" t="b">
        <f>Wh_hp&gt;='2020'!Maxi_hp</f>
        <v>0</v>
      </c>
      <c r="I215" s="380">
        <f>IF(H215,Wh_hp,'2020'!Maxi_hp)</f>
        <v>56.850317250869089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3.6022137490851078E-2</v>
      </c>
      <c r="M215" s="843"/>
      <c r="N215" s="843"/>
      <c r="O215" s="48">
        <f>IF(t&lt;Tnet,'2020'!Resal+('2020'!Salim-'2020'!Resal)*(1-EXP(('2020'!Tnet-t)/('2020'!Tau_j))),Resal+(Salim-Resal)*(1-EXP((Tnet-t)/(Tau_j))))*Salcycl</f>
        <v>4.1059247548574804E-2</v>
      </c>
      <c r="P215" s="169">
        <f>(INDEX(Models!$BJ215:$BT215,,T215)*(1-R215)+INDEX(Models!$BJ215:$BT215,,T215+1)*R215-ERP_i)*Q215*Ramure*Pc/MaxiM</f>
        <v>4.7580549504538574E-3</v>
      </c>
      <c r="Q215" s="305">
        <f t="shared" si="77"/>
        <v>0.8</v>
      </c>
      <c r="R215" s="177">
        <f t="shared" si="78"/>
        <v>0.10293109835634073</v>
      </c>
      <c r="S215" s="809">
        <f t="shared" si="79"/>
        <v>1</v>
      </c>
      <c r="T215" s="176">
        <f t="shared" si="80"/>
        <v>7</v>
      </c>
      <c r="U215" s="251">
        <f t="shared" si="81"/>
        <v>1.1029310983563407</v>
      </c>
      <c r="V215" s="383">
        <f t="shared" si="82"/>
        <v>53.829630118518054</v>
      </c>
      <c r="W215" s="402"/>
      <c r="X215" s="157">
        <f t="shared" si="83"/>
        <v>44397</v>
      </c>
      <c r="Y215" s="385">
        <f t="shared" si="84"/>
        <v>38.109713574606417</v>
      </c>
      <c r="Z215" s="385">
        <f t="shared" si="85"/>
        <v>39.533805761275687</v>
      </c>
      <c r="AA215" s="386">
        <f t="shared" si="86"/>
        <v>45.391236083231775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0.12904319924699989</v>
      </c>
      <c r="AD215" s="231">
        <f>(INDEX(Models!$BJ215:$BT215,,AH215)*(1-AF215)+INDEX(Models!$BJ215:$BT215,,AH215+1)*AF215-ERP_i)*AE215*Ramure*Pc/MaxiM</f>
        <v>1.162292428317061E-2</v>
      </c>
      <c r="AE215" s="305">
        <f t="shared" si="88"/>
        <v>0.8</v>
      </c>
      <c r="AF215" s="177">
        <f t="shared" si="89"/>
        <v>0.30286467250886195</v>
      </c>
      <c r="AG215" s="809">
        <f t="shared" si="95"/>
        <v>2</v>
      </c>
      <c r="AH215" s="176">
        <f t="shared" si="90"/>
        <v>8</v>
      </c>
      <c r="AI215" s="225">
        <f t="shared" si="91"/>
        <v>2.302864672508862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6">
        <v>43.579000000000001</v>
      </c>
      <c r="C216" s="390"/>
      <c r="D216" s="393">
        <f t="shared" si="74"/>
        <v>45.208533883843124</v>
      </c>
      <c r="E216" s="385">
        <f t="shared" si="72"/>
        <v>47.155684632793786</v>
      </c>
      <c r="F216" s="385">
        <f t="shared" si="75"/>
        <v>47.319473280012936</v>
      </c>
      <c r="G216" s="110">
        <f t="shared" si="73"/>
        <v>0.81101559388195321</v>
      </c>
      <c r="H216" s="414" t="b">
        <f>Wh_hp&gt;='2020'!Maxi_hp</f>
        <v>0</v>
      </c>
      <c r="I216" s="380">
        <f>IF(H216,Wh_hp,'2020'!Maxi_hp)</f>
        <v>48.599195095774284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3.6044829235780604E-2</v>
      </c>
      <c r="M216" s="843"/>
      <c r="N216" s="843"/>
      <c r="O216" s="48">
        <f>IF(t&lt;Tnet,'2020'!Resal+('2020'!Salim-'2020'!Resal)*(1-EXP(('2020'!Tnet-t)/('2020'!Tau_j))),Resal+(Salim-Resal)*(1-EXP((Tnet-t)/(Tau_j))))*Salcycl</f>
        <v>4.1291962233468281E-2</v>
      </c>
      <c r="P216" s="169">
        <f>(INDEX(Models!$BJ216:$BT216,,T216)*(1-R216)+INDEX(Models!$BJ216:$BT216,,T216+1)*R216-ERP_i)*Q216*Ramure*Pc/MaxiM</f>
        <v>4.7318265615409159E-3</v>
      </c>
      <c r="Q216" s="305">
        <f t="shared" si="77"/>
        <v>0.8</v>
      </c>
      <c r="R216" s="177">
        <f t="shared" si="78"/>
        <v>0.10623694566601261</v>
      </c>
      <c r="S216" s="809">
        <f t="shared" si="79"/>
        <v>1</v>
      </c>
      <c r="T216" s="176">
        <f t="shared" si="80"/>
        <v>7</v>
      </c>
      <c r="U216" s="251">
        <f t="shared" si="81"/>
        <v>1.1062369456660126</v>
      </c>
      <c r="V216" s="383">
        <f t="shared" si="82"/>
        <v>53.665356571018314</v>
      </c>
      <c r="W216" s="402"/>
      <c r="X216" s="157">
        <f t="shared" si="83"/>
        <v>44398</v>
      </c>
      <c r="Y216" s="385">
        <f t="shared" si="84"/>
        <v>39.386117323283592</v>
      </c>
      <c r="Z216" s="385">
        <f t="shared" si="85"/>
        <v>40.858868252201447</v>
      </c>
      <c r="AA216" s="386">
        <f t="shared" si="86"/>
        <v>46.918842540059096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0.12915864841899444</v>
      </c>
      <c r="AD216" s="231">
        <f>(INDEX(Models!$BJ216:$BT216,,AH216)*(1-AF216)+INDEX(Models!$BJ216:$BT216,,AH216+1)*AF216-ERP_i)*AE216*Ramure*Pc/MaxiM</f>
        <v>1.1574154917751232E-2</v>
      </c>
      <c r="AE216" s="305">
        <f t="shared" si="88"/>
        <v>0.8</v>
      </c>
      <c r="AF216" s="177">
        <f t="shared" si="89"/>
        <v>0.30617051981853383</v>
      </c>
      <c r="AG216" s="809">
        <f t="shared" si="95"/>
        <v>2</v>
      </c>
      <c r="AH216" s="176">
        <f t="shared" si="90"/>
        <v>8</v>
      </c>
      <c r="AI216" s="225">
        <f t="shared" si="91"/>
        <v>2.3061705198185338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6">
        <v>48.22</v>
      </c>
      <c r="C217" s="390"/>
      <c r="D217" s="393">
        <f t="shared" si="74"/>
        <v>50.024250684698345</v>
      </c>
      <c r="E217" s="385">
        <f t="shared" si="72"/>
        <v>52.191455384087469</v>
      </c>
      <c r="F217" s="385">
        <f t="shared" si="75"/>
        <v>52.403107161067176</v>
      </c>
      <c r="G217" s="110">
        <f t="shared" si="73"/>
        <v>0.90070346191351125</v>
      </c>
      <c r="H217" s="414" t="b">
        <f>Wh_hp&gt;='2020'!Maxi_hp</f>
        <v>1</v>
      </c>
      <c r="I217" s="380">
        <f>IF(H217,Wh_hp,'2020'!Maxi_hp)</f>
        <v>52.403107161067176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3.6067520452639987E-2</v>
      </c>
      <c r="M217" s="843"/>
      <c r="N217" s="843"/>
      <c r="O217" s="48">
        <f>IF(t&lt;Tnet,'2020'!Resal+('2020'!Salim-'2020'!Resal)*(1-EXP(('2020'!Tnet-t)/('2020'!Tau_j))),Resal+(Salim-Resal)*(1-EXP((Tnet-t)/(Tau_j))))*Salcycl</f>
        <v>4.1524128488853833E-2</v>
      </c>
      <c r="P217" s="169">
        <f>(INDEX(Models!$BJ217:$BT217,,T217)*(1-R217)+INDEX(Models!$BJ217:$BT217,,T217+1)*R217-ERP_i)*Q217*Ramure*Pc/MaxiM</f>
        <v>4.7018553626676299E-3</v>
      </c>
      <c r="Q217" s="305">
        <f t="shared" si="77"/>
        <v>0.8</v>
      </c>
      <c r="R217" s="177">
        <f t="shared" si="78"/>
        <v>0.10945075645474756</v>
      </c>
      <c r="S217" s="809">
        <f t="shared" si="79"/>
        <v>1</v>
      </c>
      <c r="T217" s="176">
        <f t="shared" si="80"/>
        <v>7</v>
      </c>
      <c r="U217" s="251">
        <f t="shared" si="81"/>
        <v>1.1094507564547476</v>
      </c>
      <c r="V217" s="383">
        <f t="shared" si="82"/>
        <v>53.500297814992472</v>
      </c>
      <c r="W217" s="402"/>
      <c r="X217" s="157">
        <f t="shared" si="83"/>
        <v>44399</v>
      </c>
      <c r="Y217" s="385">
        <f t="shared" si="84"/>
        <v>43.547557576217812</v>
      </c>
      <c r="Z217" s="385">
        <f t="shared" si="85"/>
        <v>45.176979197408848</v>
      </c>
      <c r="AA217" s="386">
        <f t="shared" si="86"/>
        <v>51.884216907778793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0.1292731799786373</v>
      </c>
      <c r="AD217" s="231">
        <f>(INDEX(Models!$BJ217:$BT217,,AH217)*(1-AF217)+INDEX(Models!$BJ217:$BT217,,AH217+1)*AF217-ERP_i)*AE217*Ramure*Pc/MaxiM</f>
        <v>1.1527174280676233E-2</v>
      </c>
      <c r="AE217" s="305">
        <f t="shared" si="88"/>
        <v>0.8</v>
      </c>
      <c r="AF217" s="177">
        <f t="shared" si="89"/>
        <v>0.30938433060726878</v>
      </c>
      <c r="AG217" s="809">
        <f t="shared" si="95"/>
        <v>2</v>
      </c>
      <c r="AH217" s="176">
        <f t="shared" si="90"/>
        <v>8</v>
      </c>
      <c r="AI217" s="225">
        <f t="shared" si="91"/>
        <v>2.3093843306072688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6">
        <v>40.584000000000003</v>
      </c>
      <c r="C218" s="390"/>
      <c r="D218" s="393">
        <f t="shared" si="74"/>
        <v>42.103525111057039</v>
      </c>
      <c r="E218" s="385">
        <f t="shared" si="72"/>
        <v>43.938197937248688</v>
      </c>
      <c r="F218" s="385">
        <f t="shared" si="75"/>
        <v>44.073672448100083</v>
      </c>
      <c r="G218" s="110">
        <f t="shared" si="73"/>
        <v>0.75971276472795346</v>
      </c>
      <c r="H218" s="414" t="b">
        <f>Wh_hp&gt;='2020'!Maxi_hp</f>
        <v>0</v>
      </c>
      <c r="I218" s="380">
        <f>IF(H218,Wh_hp,'2020'!Maxi_hp)</f>
        <v>54.77401411835254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3.609021114144155E-2</v>
      </c>
      <c r="M218" s="843"/>
      <c r="N218" s="843"/>
      <c r="O218" s="48">
        <f>IF(t&lt;Tnet,'2020'!Resal+('2020'!Salim-'2020'!Resal)*(1-EXP(('2020'!Tnet-t)/('2020'!Tau_j))),Resal+(Salim-Resal)*(1-EXP((Tnet-t)/(Tau_j))))*Salcycl</f>
        <v>4.1755759505928663E-2</v>
      </c>
      <c r="P218" s="169">
        <f>(INDEX(Models!$BJ218:$BT218,,T218)*(1-R218)+INDEX(Models!$BJ218:$BT218,,T218+1)*R218-ERP_i)*Q218*Ramure*Pc/MaxiM</f>
        <v>4.6681171111930576E-3</v>
      </c>
      <c r="Q218" s="305">
        <f t="shared" si="77"/>
        <v>0.8</v>
      </c>
      <c r="R218" s="177">
        <f t="shared" si="78"/>
        <v>0.11257372016810607</v>
      </c>
      <c r="S218" s="809">
        <f t="shared" si="79"/>
        <v>1</v>
      </c>
      <c r="T218" s="176">
        <f t="shared" si="80"/>
        <v>7</v>
      </c>
      <c r="U218" s="251">
        <f t="shared" si="81"/>
        <v>1.1125737201681061</v>
      </c>
      <c r="V218" s="383">
        <f t="shared" si="82"/>
        <v>53.334759406134808</v>
      </c>
      <c r="W218" s="402"/>
      <c r="X218" s="157">
        <f t="shared" si="83"/>
        <v>44400</v>
      </c>
      <c r="Y218" s="385">
        <f t="shared" si="84"/>
        <v>36.706656096771198</v>
      </c>
      <c r="Z218" s="385">
        <f t="shared" si="85"/>
        <v>38.081007705335622</v>
      </c>
      <c r="AA218" s="386">
        <f t="shared" si="86"/>
        <v>43.740445994170571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0.12938684460577293</v>
      </c>
      <c r="AD218" s="231">
        <f>(INDEX(Models!$BJ218:$BT218,,AH218)*(1-AF218)+INDEX(Models!$BJ218:$BT218,,AH218+1)*AF218-ERP_i)*AE218*Ramure*Pc/MaxiM</f>
        <v>1.1482160752710467E-2</v>
      </c>
      <c r="AE218" s="305">
        <f t="shared" si="88"/>
        <v>0.8</v>
      </c>
      <c r="AF218" s="177">
        <f t="shared" si="89"/>
        <v>0.31250729432062752</v>
      </c>
      <c r="AG218" s="809">
        <f t="shared" si="95"/>
        <v>2</v>
      </c>
      <c r="AH218" s="176">
        <f t="shared" si="90"/>
        <v>8</v>
      </c>
      <c r="AI218" s="225">
        <f t="shared" si="91"/>
        <v>2.3125072943206275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6">
        <v>27.195</v>
      </c>
      <c r="C219" s="390"/>
      <c r="D219" s="393">
        <f t="shared" si="74"/>
        <v>28.213885253511595</v>
      </c>
      <c r="E219" s="385">
        <f t="shared" si="72"/>
        <v>29.450415981064715</v>
      </c>
      <c r="F219" s="385">
        <f t="shared" si="75"/>
        <v>29.49167381782263</v>
      </c>
      <c r="G219" s="110">
        <f t="shared" si="73"/>
        <v>0.50982543264514191</v>
      </c>
      <c r="H219" s="414" t="b">
        <f>Wh_hp&gt;='2020'!Maxi_hp</f>
        <v>0</v>
      </c>
      <c r="I219" s="380">
        <f>IF(H219,Wh_hp,'2020'!Maxi_hp)</f>
        <v>54.951989772892752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3.6112901302197728E-2</v>
      </c>
      <c r="M219" s="843"/>
      <c r="N219" s="843"/>
      <c r="O219" s="48">
        <f>IF(t&lt;Tnet,'2020'!Resal+('2020'!Salim-'2020'!Resal)*(1-EXP(('2020'!Tnet-t)/('2020'!Tau_j))),Resal+(Salim-Resal)*(1-EXP((Tnet-t)/(Tau_j))))*Salcycl</f>
        <v>4.1986867973211425E-2</v>
      </c>
      <c r="P219" s="169">
        <f>(INDEX(Models!$BJ219:$BT219,,T219)*(1-R219)+INDEX(Models!$BJ219:$BT219,,T219+1)*R219-ERP_i)*Q219*Ramure*Pc/MaxiM</f>
        <v>4.6305697694842517E-3</v>
      </c>
      <c r="Q219" s="305">
        <f t="shared" si="77"/>
        <v>0.8</v>
      </c>
      <c r="R219" s="177">
        <f t="shared" si="78"/>
        <v>0.11560710901955873</v>
      </c>
      <c r="S219" s="809">
        <f t="shared" si="79"/>
        <v>1</v>
      </c>
      <c r="T219" s="176">
        <f t="shared" si="80"/>
        <v>7</v>
      </c>
      <c r="U219" s="251">
        <f t="shared" si="81"/>
        <v>1.1156071090195587</v>
      </c>
      <c r="V219" s="383">
        <f t="shared" si="82"/>
        <v>53.169166680065466</v>
      </c>
      <c r="W219" s="402"/>
      <c r="X219" s="157">
        <f t="shared" si="83"/>
        <v>44401</v>
      </c>
      <c r="Y219" s="385">
        <f t="shared" si="84"/>
        <v>24.659883010019254</v>
      </c>
      <c r="Z219" s="385">
        <f t="shared" si="85"/>
        <v>25.583787814293192</v>
      </c>
      <c r="AA219" s="386">
        <f t="shared" si="86"/>
        <v>29.389751540564443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0.12949969042841916</v>
      </c>
      <c r="AD219" s="231">
        <f>(INDEX(Models!$BJ219:$BT219,,AH219)*(1-AF219)+INDEX(Models!$BJ219:$BT219,,AH219+1)*AF219-ERP_i)*AE219*Ramure*Pc/MaxiM</f>
        <v>1.1439238045320496E-2</v>
      </c>
      <c r="AE219" s="305">
        <f t="shared" si="88"/>
        <v>0.8</v>
      </c>
      <c r="AF219" s="177">
        <f t="shared" si="89"/>
        <v>0.31554068317208017</v>
      </c>
      <c r="AG219" s="809">
        <f t="shared" si="95"/>
        <v>2</v>
      </c>
      <c r="AH219" s="176">
        <f t="shared" si="90"/>
        <v>8</v>
      </c>
      <c r="AI219" s="225">
        <f t="shared" si="91"/>
        <v>2.3155406831720802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6">
        <v>33.085000000000001</v>
      </c>
      <c r="C220" s="390"/>
      <c r="D220" s="393">
        <f t="shared" si="74"/>
        <v>34.325367436371572</v>
      </c>
      <c r="E220" s="385">
        <f t="shared" si="72"/>
        <v>35.838372718201946</v>
      </c>
      <c r="F220" s="385">
        <f t="shared" si="75"/>
        <v>35.914716759462195</v>
      </c>
      <c r="G220" s="110">
        <f t="shared" si="73"/>
        <v>0.62266345285461777</v>
      </c>
      <c r="H220" s="414" t="b">
        <f>Wh_hp&gt;='2020'!Maxi_hp</f>
        <v>0</v>
      </c>
      <c r="I220" s="380">
        <f>IF(H220,Wh_hp,'2020'!Maxi_hp)</f>
        <v>56.624993980258836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3.6135590934920733E-2</v>
      </c>
      <c r="M220" s="843"/>
      <c r="N220" s="843"/>
      <c r="O220" s="48">
        <f>IF(t&lt;Tnet,'2020'!Resal+('2020'!Salim-'2020'!Resal)*(1-EXP(('2020'!Tnet-t)/('2020'!Tau_j))),Resal+(Salim-Resal)*(1-EXP((Tnet-t)/(Tau_j))))*Salcycl</f>
        <v>4.2217466002911916E-2</v>
      </c>
      <c r="P220" s="169">
        <f>(INDEX(Models!$BJ220:$BT220,,T220)*(1-R220)+INDEX(Models!$BJ220:$BT220,,T220+1)*R220-ERP_i)*Q220*Ramure*Pc/MaxiM</f>
        <v>4.5896690295920018E-3</v>
      </c>
      <c r="Q220" s="305">
        <f t="shared" si="77"/>
        <v>0.8</v>
      </c>
      <c r="R220" s="177">
        <f t="shared" si="78"/>
        <v>0.11855227020412062</v>
      </c>
      <c r="S220" s="809">
        <f t="shared" si="79"/>
        <v>1</v>
      </c>
      <c r="T220" s="176">
        <f t="shared" si="80"/>
        <v>7</v>
      </c>
      <c r="U220" s="251">
        <f t="shared" si="81"/>
        <v>1.1185522702041206</v>
      </c>
      <c r="V220" s="383">
        <f t="shared" si="82"/>
        <v>53.003441737254462</v>
      </c>
      <c r="W220" s="402"/>
      <c r="X220" s="157">
        <f t="shared" si="83"/>
        <v>44402</v>
      </c>
      <c r="Y220" s="385">
        <f t="shared" si="84"/>
        <v>29.970980210892481</v>
      </c>
      <c r="Z220" s="385">
        <f t="shared" si="85"/>
        <v>31.09460203013769</v>
      </c>
      <c r="AA220" s="386">
        <f t="shared" si="86"/>
        <v>35.724979616475224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0.12961176286304033</v>
      </c>
      <c r="AD220" s="231">
        <f>(INDEX(Models!$BJ220:$BT220,,AH220)*(1-AF220)+INDEX(Models!$BJ220:$BT220,,AH220+1)*AF220-ERP_i)*AE220*Ramure*Pc/MaxiM</f>
        <v>1.1406662190726963E-2</v>
      </c>
      <c r="AE220" s="305">
        <f t="shared" si="88"/>
        <v>0.8</v>
      </c>
      <c r="AF220" s="177">
        <f t="shared" si="89"/>
        <v>0.31848584435664185</v>
      </c>
      <c r="AG220" s="809">
        <f t="shared" si="95"/>
        <v>2</v>
      </c>
      <c r="AH220" s="176">
        <f t="shared" si="90"/>
        <v>8</v>
      </c>
      <c r="AI220" s="225">
        <f t="shared" si="91"/>
        <v>2.3184858443566418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6">
        <v>31.12</v>
      </c>
      <c r="C221" s="390"/>
      <c r="D221" s="393">
        <f t="shared" si="74"/>
        <v>32.287458983700475</v>
      </c>
      <c r="E221" s="385">
        <f t="shared" si="72"/>
        <v>33.718737278212885</v>
      </c>
      <c r="F221" s="385">
        <f t="shared" si="75"/>
        <v>33.782152793561806</v>
      </c>
      <c r="G221" s="110">
        <f t="shared" si="73"/>
        <v>0.58740478110316074</v>
      </c>
      <c r="H221" s="414" t="b">
        <f>Wh_hp&gt;='2020'!Maxi_hp</f>
        <v>0</v>
      </c>
      <c r="I221" s="380">
        <f>IF(H221,Wh_hp,'2020'!Maxi_hp)</f>
        <v>55.457039418225264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3.6158280039622778E-2</v>
      </c>
      <c r="M221" s="843"/>
      <c r="N221" s="843"/>
      <c r="O221" s="48">
        <f>IF(t&lt;Tnet,'2020'!Resal+('2020'!Salim-'2020'!Resal)*(1-EXP(('2020'!Tnet-t)/('2020'!Tau_j))),Resal+(Salim-Resal)*(1-EXP((Tnet-t)/(Tau_j))))*Salcycl</f>
        <v>4.2447565064579605E-2</v>
      </c>
      <c r="P221" s="169">
        <f>(INDEX(Models!$BJ221:$BT221,,T221)*(1-R221)+INDEX(Models!$BJ221:$BT221,,T221+1)*R221-ERP_i)*Q221*Ramure*Pc/MaxiM</f>
        <v>4.5471368990198909E-3</v>
      </c>
      <c r="Q221" s="305">
        <f t="shared" si="77"/>
        <v>0.8</v>
      </c>
      <c r="R221" s="177">
        <f t="shared" si="78"/>
        <v>0.1214106183375514</v>
      </c>
      <c r="S221" s="809">
        <f t="shared" si="79"/>
        <v>1</v>
      </c>
      <c r="T221" s="176">
        <f t="shared" si="80"/>
        <v>7</v>
      </c>
      <c r="U221" s="251">
        <f t="shared" si="81"/>
        <v>1.1214106183375514</v>
      </c>
      <c r="V221" s="383">
        <f t="shared" si="82"/>
        <v>52.837082673680825</v>
      </c>
      <c r="W221" s="402"/>
      <c r="X221" s="157">
        <f t="shared" si="83"/>
        <v>44403</v>
      </c>
      <c r="Y221" s="385">
        <f t="shared" si="84"/>
        <v>28.203592900609831</v>
      </c>
      <c r="Z221" s="385">
        <f t="shared" si="85"/>
        <v>29.261643604480263</v>
      </c>
      <c r="AA221" s="386">
        <f t="shared" si="86"/>
        <v>33.623371774134412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0.12972310448083962</v>
      </c>
      <c r="AD221" s="231">
        <f>(INDEX(Models!$BJ221:$BT221,,AH221)*(1-AF221)+INDEX(Models!$BJ221:$BT221,,AH221+1)*AF221-ERP_i)*AE221*Ramure*Pc/MaxiM</f>
        <v>1.1385211147930941E-2</v>
      </c>
      <c r="AE221" s="305">
        <f t="shared" si="88"/>
        <v>0.8</v>
      </c>
      <c r="AF221" s="177">
        <f t="shared" si="89"/>
        <v>0.32134419249007262</v>
      </c>
      <c r="AG221" s="809">
        <f t="shared" si="95"/>
        <v>2</v>
      </c>
      <c r="AH221" s="176">
        <f t="shared" si="90"/>
        <v>8</v>
      </c>
      <c r="AI221" s="225">
        <f t="shared" si="91"/>
        <v>2.3213441924900726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6">
        <v>41.966000000000001</v>
      </c>
      <c r="C222" s="390"/>
      <c r="D222" s="393">
        <f t="shared" si="74"/>
        <v>43.5413689017455</v>
      </c>
      <c r="E222" s="385">
        <f t="shared" si="72"/>
        <v>45.482430593752277</v>
      </c>
      <c r="F222" s="385">
        <f t="shared" si="75"/>
        <v>45.628247451969408</v>
      </c>
      <c r="G222" s="110">
        <f t="shared" si="73"/>
        <v>0.79573229489291908</v>
      </c>
      <c r="H222" s="414" t="b">
        <f>Wh_hp&gt;='2020'!Maxi_hp</f>
        <v>0</v>
      </c>
      <c r="I222" s="380">
        <f>IF(H222,Wh_hp,'2020'!Maxi_hp)</f>
        <v>48.306323762072346</v>
      </c>
      <c r="J222" s="85">
        <f>IF(H222,An,'2020'!An_max)</f>
        <v>2020</v>
      </c>
      <c r="K222" s="197">
        <f t="shared" si="76"/>
        <v>44404</v>
      </c>
      <c r="L222" s="147">
        <f>IF(t&lt;Tvie,1-EXP((T0-t)*PertePVj)+'2020'!Pspv,1-EXP((T0-t)*PertePVj)+Pspv)</f>
        <v>3.6180968616316186E-2</v>
      </c>
      <c r="M222" s="843"/>
      <c r="N222" s="843"/>
      <c r="O222" s="48">
        <f>IF(t&lt;Tnet,'2020'!Resal+('2020'!Salim-'2020'!Resal)*(1-EXP(('2020'!Tnet-t)/('2020'!Tau_j))),Resal+(Salim-Resal)*(1-EXP((Tnet-t)/(Tau_j))))*Salcycl</f>
        <v>4.2677175926332536E-2</v>
      </c>
      <c r="P222" s="169">
        <f>(INDEX(Models!$BJ222:$BT222,,T222)*(1-R222)+INDEX(Models!$BJ222:$BT222,,T222+1)*R222-ERP_i)*Q222*Ramure*Pc/MaxiM</f>
        <v>4.5030861972423526E-3</v>
      </c>
      <c r="Q222" s="305">
        <f t="shared" si="77"/>
        <v>0.8</v>
      </c>
      <c r="R222" s="177">
        <f t="shared" si="78"/>
        <v>0.12418362814351047</v>
      </c>
      <c r="S222" s="809">
        <f t="shared" si="79"/>
        <v>1</v>
      </c>
      <c r="T222" s="176">
        <f t="shared" si="80"/>
        <v>7</v>
      </c>
      <c r="U222" s="251">
        <f t="shared" si="81"/>
        <v>1.1241836281435105</v>
      </c>
      <c r="V222" s="383">
        <f t="shared" si="82"/>
        <v>52.669674288109995</v>
      </c>
      <c r="W222" s="402"/>
      <c r="X222" s="157">
        <f t="shared" si="83"/>
        <v>44404</v>
      </c>
      <c r="Y222" s="385">
        <f t="shared" si="84"/>
        <v>37.958699279785371</v>
      </c>
      <c r="Z222" s="385">
        <f t="shared" si="85"/>
        <v>39.383637429622929</v>
      </c>
      <c r="AA222" s="386">
        <f t="shared" si="86"/>
        <v>45.259900221827593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0.12983375490012025</v>
      </c>
      <c r="AD222" s="231">
        <f>(INDEX(Models!$BJ222:$BT222,,AH222)*(1-AF222)+INDEX(Models!$BJ222:$BT222,,AH222+1)*AF222-ERP_i)*AE222*Ramure*Pc/MaxiM</f>
        <v>1.1375223332367649E-2</v>
      </c>
      <c r="AE222" s="305">
        <f t="shared" si="88"/>
        <v>0.8</v>
      </c>
      <c r="AF222" s="177">
        <f t="shared" si="89"/>
        <v>0.32411720229603169</v>
      </c>
      <c r="AG222" s="809">
        <f t="shared" si="95"/>
        <v>2</v>
      </c>
      <c r="AH222" s="176">
        <f t="shared" si="90"/>
        <v>8</v>
      </c>
      <c r="AI222" s="225">
        <f t="shared" si="91"/>
        <v>2.3241172022960317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6">
        <v>23.567</v>
      </c>
      <c r="C223" s="390"/>
      <c r="D223" s="393">
        <f t="shared" si="74"/>
        <v>24.452261271766229</v>
      </c>
      <c r="E223" s="385">
        <f t="shared" si="72"/>
        <v>25.548450994486789</v>
      </c>
      <c r="F223" s="385">
        <f t="shared" si="75"/>
        <v>25.572697145937614</v>
      </c>
      <c r="G223" s="110">
        <f t="shared" si="73"/>
        <v>0.44731151176461165</v>
      </c>
      <c r="H223" s="414" t="b">
        <f>Wh_hp&gt;='2020'!Maxi_hp</f>
        <v>0</v>
      </c>
      <c r="I223" s="380">
        <f>IF(H223,Wh_hp,'2020'!Maxi_hp)</f>
        <v>54.720346355997435</v>
      </c>
      <c r="J223" s="85">
        <f>IF(H223,An,'2020'!An_max)</f>
        <v>2019</v>
      </c>
      <c r="K223" s="197">
        <f t="shared" si="76"/>
        <v>44405</v>
      </c>
      <c r="L223" s="147">
        <f>IF(t&lt;Tvie,1-EXP((T0-t)*PertePVj)+'2020'!Pspv,1-EXP((T0-t)*PertePVj)+Pspv)</f>
        <v>3.6203656665013392E-2</v>
      </c>
      <c r="M223" s="843"/>
      <c r="N223" s="843"/>
      <c r="O223" s="48">
        <f>IF(t&lt;Tnet,'2020'!Resal+('2020'!Salim-'2020'!Resal)*(1-EXP(('2020'!Tnet-t)/('2020'!Tau_j))),Resal+(Salim-Resal)*(1-EXP((Tnet-t)/(Tau_j))))*Salcycl</f>
        <v>4.2906308603880186E-2</v>
      </c>
      <c r="P223" s="169">
        <f>(INDEX(Models!$BJ223:$BT223,,T223)*(1-R223)+INDEX(Models!$BJ223:$BT223,,T223+1)*R223-ERP_i)*Q223*Ramure*Pc/MaxiM</f>
        <v>4.4576248324125914E-3</v>
      </c>
      <c r="Q223" s="305">
        <f t="shared" si="77"/>
        <v>0.8</v>
      </c>
      <c r="R223" s="177">
        <f t="shared" si="78"/>
        <v>0.12687282740740846</v>
      </c>
      <c r="S223" s="809">
        <f t="shared" si="79"/>
        <v>1</v>
      </c>
      <c r="T223" s="176">
        <f t="shared" si="80"/>
        <v>7</v>
      </c>
      <c r="U223" s="251">
        <f t="shared" si="81"/>
        <v>1.1268728274074085</v>
      </c>
      <c r="V223" s="383">
        <f t="shared" si="82"/>
        <v>52.500802108583812</v>
      </c>
      <c r="W223" s="402"/>
      <c r="X223" s="157">
        <f t="shared" si="83"/>
        <v>44405</v>
      </c>
      <c r="Y223" s="385">
        <f t="shared" si="84"/>
        <v>21.392272961842536</v>
      </c>
      <c r="Z223" s="385">
        <f t="shared" si="85"/>
        <v>22.195843665291044</v>
      </c>
      <c r="AA223" s="386">
        <f t="shared" si="86"/>
        <v>25.510814597635154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0.12994375070451122</v>
      </c>
      <c r="AD223" s="231">
        <f>(INDEX(Models!$BJ223:$BT223,,AH223)*(1-AF223)+INDEX(Models!$BJ223:$BT223,,AH223+1)*AF223-ERP_i)*AE223*Ramure*Pc/MaxiM</f>
        <v>1.1377029652127498E-2</v>
      </c>
      <c r="AE223" s="305">
        <f t="shared" si="88"/>
        <v>0.8</v>
      </c>
      <c r="AF223" s="177">
        <f t="shared" si="89"/>
        <v>0.32680640155992968</v>
      </c>
      <c r="AG223" s="809">
        <f t="shared" si="95"/>
        <v>2</v>
      </c>
      <c r="AH223" s="176">
        <f t="shared" si="90"/>
        <v>8</v>
      </c>
      <c r="AI223" s="225">
        <f t="shared" si="91"/>
        <v>2.3268064015599297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6">
        <v>49.442</v>
      </c>
      <c r="C224" s="390"/>
      <c r="D224" s="393">
        <f t="shared" si="74"/>
        <v>51.300426922571788</v>
      </c>
      <c r="E224" s="385">
        <f t="shared" si="72"/>
        <v>53.613023193896204</v>
      </c>
      <c r="F224" s="385">
        <f t="shared" si="75"/>
        <v>53.831746772356205</v>
      </c>
      <c r="G224" s="110">
        <f t="shared" si="73"/>
        <v>0.94448091840573845</v>
      </c>
      <c r="H224" s="414" t="b">
        <f>Wh_hp&gt;='2020'!Maxi_hp</f>
        <v>0</v>
      </c>
      <c r="I224" s="380">
        <f>IF(H224,Wh_hp,'2020'!Maxi_hp)</f>
        <v>57.337532868317645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3.6226344185726386E-2</v>
      </c>
      <c r="M224" s="843"/>
      <c r="N224" s="843"/>
      <c r="O224" s="48">
        <f>IF(t&lt;Tnet,'2020'!Resal+('2020'!Salim-'2020'!Resal)*(1-EXP(('2020'!Tnet-t)/('2020'!Tau_j))),Resal+(Salim-Resal)*(1-EXP((Tnet-t)/(Tau_j))))*Salcycl</f>
        <v>4.3134972317466769E-2</v>
      </c>
      <c r="P224" s="169">
        <f>(INDEX(Models!$BJ224:$BT224,,T224)*(1-R224)+INDEX(Models!$BJ224:$BT224,,T224+1)*R224-ERP_i)*Q224*Ramure*Pc/MaxiM</f>
        <v>4.4108556998401363E-3</v>
      </c>
      <c r="Q224" s="305">
        <f t="shared" si="77"/>
        <v>0.8</v>
      </c>
      <c r="R224" s="177">
        <f t="shared" si="78"/>
        <v>0.12947979021224842</v>
      </c>
      <c r="S224" s="809">
        <f t="shared" si="79"/>
        <v>1</v>
      </c>
      <c r="T224" s="176">
        <f t="shared" si="80"/>
        <v>7</v>
      </c>
      <c r="U224" s="251">
        <f t="shared" si="81"/>
        <v>1.1294797902122484</v>
      </c>
      <c r="V224" s="383">
        <f t="shared" si="82"/>
        <v>52.330052389383702</v>
      </c>
      <c r="W224" s="402"/>
      <c r="X224" s="157">
        <f t="shared" si="83"/>
        <v>44406</v>
      </c>
      <c r="Y224" s="385">
        <f t="shared" si="84"/>
        <v>44.660664656402396</v>
      </c>
      <c r="Z224" s="385">
        <f t="shared" si="85"/>
        <v>46.339370646803445</v>
      </c>
      <c r="AA224" s="386">
        <f t="shared" si="86"/>
        <v>53.266897093453757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0.13005312538660477</v>
      </c>
      <c r="AD224" s="231">
        <f>(INDEX(Models!$BJ224:$BT224,,AH224)*(1-AF224)+INDEX(Models!$BJ224:$BT224,,AH224+1)*AF224-ERP_i)*AE224*Ramure*Pc/MaxiM</f>
        <v>1.139095493627972E-2</v>
      </c>
      <c r="AE224" s="305">
        <f t="shared" si="88"/>
        <v>0.8</v>
      </c>
      <c r="AF224" s="177">
        <f t="shared" si="89"/>
        <v>0.32941336436476965</v>
      </c>
      <c r="AG224" s="809">
        <f t="shared" si="95"/>
        <v>2</v>
      </c>
      <c r="AH224" s="176">
        <f t="shared" si="90"/>
        <v>8</v>
      </c>
      <c r="AI224" s="225">
        <f t="shared" si="91"/>
        <v>2.3294133643647696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6">
        <v>17.988</v>
      </c>
      <c r="C225" s="390"/>
      <c r="D225" s="393">
        <f t="shared" si="74"/>
        <v>18.664572676897638</v>
      </c>
      <c r="E225" s="385">
        <f t="shared" si="72"/>
        <v>19.510614893807311</v>
      </c>
      <c r="F225" s="385">
        <f t="shared" si="75"/>
        <v>19.516074192235898</v>
      </c>
      <c r="G225" s="110">
        <f t="shared" si="73"/>
        <v>0.34347312366943827</v>
      </c>
      <c r="H225" s="414" t="b">
        <f>Wh_hp&gt;='2020'!Maxi_hp</f>
        <v>0</v>
      </c>
      <c r="I225" s="380">
        <f>IF(H225,Wh_hp,'2020'!Maxi_hp)</f>
        <v>49.669011083790551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3.6249031178467714E-2</v>
      </c>
      <c r="M225" s="843"/>
      <c r="N225" s="843"/>
      <c r="O225" s="48">
        <f>IF(t&lt;Tnet,'2020'!Resal+('2020'!Salim-'2020'!Resal)*(1-EXP(('2020'!Tnet-t)/('2020'!Tau_j))),Resal+(Salim-Resal)*(1-EXP((Tnet-t)/(Tau_j))))*Salcycl</f>
        <v>4.3363175456771832E-2</v>
      </c>
      <c r="P225" s="169">
        <f>(INDEX(Models!$BJ225:$BT225,,T225)*(1-R225)+INDEX(Models!$BJ225:$BT225,,T225+1)*R225-ERP_i)*Q225*Ramure*Pc/MaxiM</f>
        <v>4.3628766167193101E-3</v>
      </c>
      <c r="Q225" s="305">
        <f t="shared" si="77"/>
        <v>0.8</v>
      </c>
      <c r="R225" s="177">
        <f t="shared" si="78"/>
        <v>0.13200613046850718</v>
      </c>
      <c r="S225" s="809">
        <f t="shared" si="79"/>
        <v>1</v>
      </c>
      <c r="T225" s="176">
        <f t="shared" si="80"/>
        <v>7</v>
      </c>
      <c r="U225" s="251">
        <f t="shared" si="81"/>
        <v>1.1320061304685072</v>
      </c>
      <c r="V225" s="383">
        <f t="shared" si="82"/>
        <v>52.157012104843098</v>
      </c>
      <c r="W225" s="402"/>
      <c r="X225" s="157">
        <f t="shared" si="83"/>
        <v>44407</v>
      </c>
      <c r="Y225" s="385">
        <f t="shared" si="84"/>
        <v>16.348490975475734</v>
      </c>
      <c r="Z225" s="385">
        <f t="shared" si="85"/>
        <v>16.963397707881477</v>
      </c>
      <c r="AA225" s="386">
        <f t="shared" si="86"/>
        <v>19.501787619519323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0.13016190931631186</v>
      </c>
      <c r="AD225" s="231">
        <f>(INDEX(Models!$BJ225:$BT225,,AH225)*(1-AF225)+INDEX(Models!$BJ225:$BT225,,AH225+1)*AF225-ERP_i)*AE225*Ramure*Pc/MaxiM</f>
        <v>1.1417319432809971E-2</v>
      </c>
      <c r="AE225" s="305">
        <f t="shared" si="88"/>
        <v>0.8</v>
      </c>
      <c r="AF225" s="177">
        <f t="shared" si="89"/>
        <v>0.3319397046210284</v>
      </c>
      <c r="AG225" s="809">
        <f t="shared" si="95"/>
        <v>2</v>
      </c>
      <c r="AH225" s="176">
        <f t="shared" si="90"/>
        <v>8</v>
      </c>
      <c r="AI225" s="225">
        <f t="shared" si="91"/>
        <v>2.3319397046210284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6">
        <v>12.396000000000001</v>
      </c>
      <c r="C226" s="390"/>
      <c r="D226" s="393">
        <f t="shared" si="74"/>
        <v>12.862546660648153</v>
      </c>
      <c r="E226" s="385">
        <f t="shared" si="72"/>
        <v>13.448791949297407</v>
      </c>
      <c r="F226" s="385">
        <f t="shared" si="75"/>
        <v>13.448791949297407</v>
      </c>
      <c r="G226" s="110">
        <f t="shared" si="73"/>
        <v>0.2374418060571675</v>
      </c>
      <c r="H226" s="414" t="b">
        <f>Wh_hp&gt;='2020'!Maxi_hp</f>
        <v>0</v>
      </c>
      <c r="I226" s="380">
        <f>IF(H226,Wh_hp,'2020'!Maxi_hp)</f>
        <v>55.057825166695693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3.6271717643249587E-2</v>
      </c>
      <c r="M226" s="843"/>
      <c r="N226" s="843"/>
      <c r="O226" s="48">
        <f>IF(t&lt;Tnet,'2020'!Resal+('2020'!Salim-'2020'!Resal)*(1-EXP(('2020'!Tnet-t)/('2020'!Tau_j))),Resal+(Salim-Resal)*(1-EXP((Tnet-t)/(Tau_j))))*Salcycl</f>
        <v>4.3590925553717116E-2</v>
      </c>
      <c r="P226" s="169">
        <f>(INDEX(Models!$BJ226:$BT226,,T226)*(1-R226)+INDEX(Models!$BJ226:$BT226,,T226+1)*R226-ERP_i)*Q226*Ramure*Pc/MaxiM</f>
        <v>4.3157980860633466E-3</v>
      </c>
      <c r="Q226" s="305">
        <f t="shared" si="77"/>
        <v>0.8</v>
      </c>
      <c r="R226" s="177">
        <f t="shared" si="78"/>
        <v>0.1344534957470751</v>
      </c>
      <c r="S226" s="809">
        <f t="shared" si="79"/>
        <v>1</v>
      </c>
      <c r="T226" s="176">
        <f t="shared" si="80"/>
        <v>7</v>
      </c>
      <c r="U226" s="251">
        <f t="shared" si="81"/>
        <v>1.1344534957470751</v>
      </c>
      <c r="V226" s="383">
        <f t="shared" si="82"/>
        <v>51.981163603318983</v>
      </c>
      <c r="W226" s="402"/>
      <c r="X226" s="157">
        <f t="shared" si="83"/>
        <v>44408</v>
      </c>
      <c r="Y226" s="385">
        <f t="shared" si="84"/>
        <v>11.272552467228913</v>
      </c>
      <c r="Z226" s="385">
        <f t="shared" si="85"/>
        <v>11.696816077310128</v>
      </c>
      <c r="AA226" s="386">
        <f t="shared" si="86"/>
        <v>13.448791949297407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0.13027012973301336</v>
      </c>
      <c r="AD226" s="231">
        <f>(INDEX(Models!$BJ226:$BT226,,AH226)*(1-AF226)+INDEX(Models!$BJ226:$BT226,,AH226+1)*AF226-ERP_i)*AE226*Ramure*Pc/MaxiM</f>
        <v>1.1475994839933249E-2</v>
      </c>
      <c r="AE226" s="305">
        <f t="shared" si="88"/>
        <v>0.8</v>
      </c>
      <c r="AF226" s="177">
        <f t="shared" si="89"/>
        <v>0.33438706989959632</v>
      </c>
      <c r="AG226" s="809">
        <f t="shared" si="95"/>
        <v>2</v>
      </c>
      <c r="AH226" s="176">
        <f t="shared" si="90"/>
        <v>8</v>
      </c>
      <c r="AI226" s="225">
        <f t="shared" si="91"/>
        <v>2.3343870698995963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6">
        <v>42.828000000000003</v>
      </c>
      <c r="C227" s="390"/>
      <c r="D227" s="393">
        <f t="shared" si="74"/>
        <v>44.440958067590742</v>
      </c>
      <c r="E227" s="385">
        <f t="shared" si="72"/>
        <v>46.477520726355998</v>
      </c>
      <c r="F227" s="385">
        <f t="shared" si="75"/>
        <v>46.62737531128267</v>
      </c>
      <c r="G227" s="110">
        <f t="shared" si="73"/>
        <v>0.82588617091453531</v>
      </c>
      <c r="H227" s="414" t="b">
        <f>Wh_hp&gt;='2020'!Maxi_hp</f>
        <v>0</v>
      </c>
      <c r="I227" s="380">
        <f>IF(H227,Wh_hp,'2020'!Maxi_hp)</f>
        <v>50.52702953110002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3.6294403580084331E-2</v>
      </c>
      <c r="M227" s="843"/>
      <c r="N227" s="843"/>
      <c r="O227" s="48">
        <f>IF(t&lt;Tnet,'2020'!Resal+('2020'!Salim-'2020'!Resal)*(1-EXP(('2020'!Tnet-t)/('2020'!Tau_j))),Resal+(Salim-Resal)*(1-EXP((Tnet-t)/(Tau_j))))*Salcycl</f>
        <v>4.3818229263041977E-2</v>
      </c>
      <c r="P227" s="169">
        <f>(INDEX(Models!$BJ227:$BT227,,T227)*(1-R227)+INDEX(Models!$BJ227:$BT227,,T227+1)*R227-ERP_i)*Q227*Ramure*Pc/MaxiM</f>
        <v>4.2708269849257964E-3</v>
      </c>
      <c r="Q227" s="305">
        <f t="shared" si="77"/>
        <v>0.8</v>
      </c>
      <c r="R227" s="177">
        <f t="shared" si="78"/>
        <v>0.13682356142147811</v>
      </c>
      <c r="S227" s="809">
        <f t="shared" si="79"/>
        <v>1</v>
      </c>
      <c r="T227" s="176">
        <f t="shared" si="80"/>
        <v>7</v>
      </c>
      <c r="U227" s="251">
        <f t="shared" si="81"/>
        <v>1.1368235614214781</v>
      </c>
      <c r="V227" s="383">
        <f t="shared" si="82"/>
        <v>51.802038152303545</v>
      </c>
      <c r="W227" s="402"/>
      <c r="X227" s="157">
        <f t="shared" si="83"/>
        <v>44409</v>
      </c>
      <c r="Y227" s="385">
        <f t="shared" si="84"/>
        <v>38.736470491754289</v>
      </c>
      <c r="Z227" s="385">
        <f t="shared" si="85"/>
        <v>40.195336247560441</v>
      </c>
      <c r="AA227" s="386">
        <f t="shared" si="86"/>
        <v>46.221608354664696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0.13037781076036672</v>
      </c>
      <c r="AD227" s="231">
        <f>(INDEX(Models!$BJ227:$BT227,,AH227)*(1-AF227)+INDEX(Models!$BJ227:$BT227,,AH227+1)*AF227-ERP_i)*AE227*Ramure*Pc/MaxiM</f>
        <v>1.1564280590835852E-2</v>
      </c>
      <c r="AE227" s="305">
        <f t="shared" si="88"/>
        <v>0.8</v>
      </c>
      <c r="AF227" s="177">
        <f t="shared" si="89"/>
        <v>0.33675713557399956</v>
      </c>
      <c r="AG227" s="809">
        <f t="shared" si="95"/>
        <v>2</v>
      </c>
      <c r="AH227" s="176">
        <f t="shared" si="90"/>
        <v>8</v>
      </c>
      <c r="AI227" s="225">
        <f t="shared" si="91"/>
        <v>2.3367571355739996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6">
        <v>42.904000000000003</v>
      </c>
      <c r="C228" s="390"/>
      <c r="D228" s="393">
        <f t="shared" si="74"/>
        <v>44.520868337271537</v>
      </c>
      <c r="E228" s="385">
        <f t="shared" si="72"/>
        <v>46.572142661766193</v>
      </c>
      <c r="F228" s="385">
        <f t="shared" si="75"/>
        <v>46.722044062007193</v>
      </c>
      <c r="G228" s="110">
        <f t="shared" si="73"/>
        <v>0.83031292097383613</v>
      </c>
      <c r="H228" s="414" t="b">
        <f>Wh_hp&gt;='2020'!Maxi_hp</f>
        <v>0</v>
      </c>
      <c r="I228" s="380">
        <f>IF(H228,Wh_hp,'2020'!Maxi_hp)</f>
        <v>54.855614137032767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3.6317088988984156E-2</v>
      </c>
      <c r="M228" s="843"/>
      <c r="N228" s="843"/>
      <c r="O228" s="48">
        <f>IF(t&lt;Tnet,'2020'!Resal+('2020'!Salim-'2020'!Resal)*(1-EXP(('2020'!Tnet-t)/('2020'!Tau_j))),Resal+(Salim-Resal)*(1-EXP((Tnet-t)/(Tau_j))))*Salcycl</f>
        <v>4.4045092350425023E-2</v>
      </c>
      <c r="P228" s="169">
        <f>(INDEX(Models!$BJ228:$BT228,,T228)*(1-R228)+INDEX(Models!$BJ228:$BT228,,T228+1)*R228-ERP_i)*Q228*Ramure*Pc/MaxiM</f>
        <v>4.2281836956947934E-3</v>
      </c>
      <c r="Q228" s="305">
        <f t="shared" si="77"/>
        <v>0.8</v>
      </c>
      <c r="R228" s="177">
        <f t="shared" si="78"/>
        <v>0.13911802512304217</v>
      </c>
      <c r="S228" s="809">
        <f t="shared" si="79"/>
        <v>1</v>
      </c>
      <c r="T228" s="176">
        <f t="shared" si="80"/>
        <v>7</v>
      </c>
      <c r="U228" s="251">
        <f t="shared" si="81"/>
        <v>1.1391180251230422</v>
      </c>
      <c r="V228" s="383">
        <f t="shared" si="82"/>
        <v>51.619219467051316</v>
      </c>
      <c r="W228" s="402"/>
      <c r="X228" s="157">
        <f t="shared" si="83"/>
        <v>44410</v>
      </c>
      <c r="Y228" s="385">
        <f t="shared" si="84"/>
        <v>38.803059405603783</v>
      </c>
      <c r="Z228" s="385">
        <f t="shared" si="85"/>
        <v>40.265380824170521</v>
      </c>
      <c r="AA228" s="386">
        <f t="shared" si="86"/>
        <v>46.307860812460014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0.13048497344242796</v>
      </c>
      <c r="AD228" s="231">
        <f>(INDEX(Models!$BJ228:$BT228,,AH228)*(1-AF228)+INDEX(Models!$BJ228:$BT228,,AH228+1)*AF228-ERP_i)*AE228*Ramure*Pc/MaxiM</f>
        <v>1.168263178295726E-2</v>
      </c>
      <c r="AE228" s="305">
        <f t="shared" si="88"/>
        <v>0.8</v>
      </c>
      <c r="AF228" s="177">
        <f t="shared" si="89"/>
        <v>0.33905159927556339</v>
      </c>
      <c r="AG228" s="809">
        <f t="shared" si="95"/>
        <v>2</v>
      </c>
      <c r="AH228" s="176">
        <f t="shared" si="90"/>
        <v>8</v>
      </c>
      <c r="AI228" s="225">
        <f t="shared" si="91"/>
        <v>2.3390515992755634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6">
        <v>33.920999999999999</v>
      </c>
      <c r="C229" s="390"/>
      <c r="D229" s="393">
        <f t="shared" si="74"/>
        <v>35.200166075363803</v>
      </c>
      <c r="E229" s="385">
        <f t="shared" si="72"/>
        <v>36.830717929287893</v>
      </c>
      <c r="F229" s="385">
        <f t="shared" si="75"/>
        <v>36.910113104270856</v>
      </c>
      <c r="G229" s="110">
        <f t="shared" si="73"/>
        <v>0.65818090408633168</v>
      </c>
      <c r="H229" s="414" t="b">
        <f>Wh_hp&gt;='2020'!Maxi_hp</f>
        <v>0</v>
      </c>
      <c r="I229" s="380">
        <f>IF(H229,Wh_hp,'2020'!Maxi_hp)</f>
        <v>54.652362848660495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3.6339773869961275E-2</v>
      </c>
      <c r="M229" s="843"/>
      <c r="N229" s="843"/>
      <c r="O229" s="48">
        <f>IF(t&lt;Tnet,'2020'!Resal+('2020'!Salim-'2020'!Resal)*(1-EXP(('2020'!Tnet-t)/('2020'!Tau_j))),Resal+(Salim-Resal)*(1-EXP((Tnet-t)/(Tau_j))))*Salcycl</f>
        <v>4.4271519687849217E-2</v>
      </c>
      <c r="P229" s="169">
        <f>(INDEX(Models!$BJ229:$BT229,,T229)*(1-R229)+INDEX(Models!$BJ229:$BT229,,T229+1)*R229-ERP_i)*Q229*Ramure*Pc/MaxiM</f>
        <v>4.1880795478617212E-3</v>
      </c>
      <c r="Q229" s="305">
        <f t="shared" si="77"/>
        <v>0.8</v>
      </c>
      <c r="R229" s="177">
        <f t="shared" si="78"/>
        <v>0.14133860151030975</v>
      </c>
      <c r="S229" s="809">
        <f t="shared" si="79"/>
        <v>1</v>
      </c>
      <c r="T229" s="176">
        <f t="shared" si="80"/>
        <v>7</v>
      </c>
      <c r="U229" s="251">
        <f t="shared" si="81"/>
        <v>1.1413386015103097</v>
      </c>
      <c r="V229" s="383">
        <f t="shared" si="82"/>
        <v>51.432292336480138</v>
      </c>
      <c r="W229" s="402"/>
      <c r="X229" s="157">
        <f t="shared" si="83"/>
        <v>44411</v>
      </c>
      <c r="Y229" s="385">
        <f t="shared" si="84"/>
        <v>30.73590158285463</v>
      </c>
      <c r="Z229" s="385">
        <f t="shared" si="85"/>
        <v>31.894957111892932</v>
      </c>
      <c r="AA229" s="386">
        <f t="shared" si="86"/>
        <v>36.685818109451453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0.1305916357995637</v>
      </c>
      <c r="AD229" s="231">
        <f>(INDEX(Models!$BJ229:$BT229,,AH229)*(1-AF229)+INDEX(Models!$BJ229:$BT229,,AH229+1)*AF229-ERP_i)*AE229*Ramure*Pc/MaxiM</f>
        <v>1.1831515966713245E-2</v>
      </c>
      <c r="AE229" s="305">
        <f t="shared" si="88"/>
        <v>0.8</v>
      </c>
      <c r="AF229" s="177">
        <f t="shared" si="89"/>
        <v>0.34127217566283097</v>
      </c>
      <c r="AG229" s="809">
        <f t="shared" si="95"/>
        <v>2</v>
      </c>
      <c r="AH229" s="176">
        <f t="shared" si="90"/>
        <v>8</v>
      </c>
      <c r="AI229" s="225">
        <f t="shared" si="91"/>
        <v>2.341272175662831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6">
        <v>34.280999999999999</v>
      </c>
      <c r="C230" s="390"/>
      <c r="D230" s="393">
        <f t="shared" si="74"/>
        <v>35.574579148073639</v>
      </c>
      <c r="E230" s="385">
        <f t="shared" si="72"/>
        <v>37.231278532570805</v>
      </c>
      <c r="F230" s="385">
        <f t="shared" si="75"/>
        <v>37.312923779859254</v>
      </c>
      <c r="G230" s="110">
        <f t="shared" si="73"/>
        <v>0.66770121263986637</v>
      </c>
      <c r="H230" s="414" t="b">
        <f>Wh_hp&gt;='2020'!Maxi_hp</f>
        <v>0</v>
      </c>
      <c r="I230" s="380">
        <f>IF(H230,Wh_hp,'2020'!Maxi_hp)</f>
        <v>51.450131759098554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3.6362458223028235E-2</v>
      </c>
      <c r="M230" s="843"/>
      <c r="N230" s="843"/>
      <c r="O230" s="48">
        <f>IF(t&lt;Tnet,'2020'!Resal+('2020'!Salim-'2020'!Resal)*(1-EXP(('2020'!Tnet-t)/('2020'!Tau_j))),Resal+(Salim-Resal)*(1-EXP((Tnet-t)/(Tau_j))))*Salcycl</f>
        <v>4.4497515255831142E-2</v>
      </c>
      <c r="P230" s="169">
        <f>(INDEX(Models!$BJ230:$BT230,,T230)*(1-R230)+INDEX(Models!$BJ230:$BT230,,T230+1)*R230-ERP_i)*Q230*Ramure*Pc/MaxiM</f>
        <v>4.1507174840125357E-3</v>
      </c>
      <c r="Q230" s="305">
        <f t="shared" si="77"/>
        <v>0.8</v>
      </c>
      <c r="R230" s="177">
        <f t="shared" si="78"/>
        <v>0.14348701735192204</v>
      </c>
      <c r="S230" s="809">
        <f t="shared" si="79"/>
        <v>1</v>
      </c>
      <c r="T230" s="176">
        <f t="shared" si="80"/>
        <v>7</v>
      </c>
      <c r="U230" s="251">
        <f t="shared" si="81"/>
        <v>1.143487017351922</v>
      </c>
      <c r="V230" s="383">
        <f t="shared" si="82"/>
        <v>51.240842601246854</v>
      </c>
      <c r="W230" s="402"/>
      <c r="X230" s="157">
        <f t="shared" si="83"/>
        <v>44412</v>
      </c>
      <c r="Y230" s="385">
        <f t="shared" si="84"/>
        <v>31.058827527555149</v>
      </c>
      <c r="Z230" s="385">
        <f t="shared" si="85"/>
        <v>32.230819349650794</v>
      </c>
      <c r="AA230" s="386">
        <f t="shared" si="86"/>
        <v>37.076657378793072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0.13069781290246454</v>
      </c>
      <c r="AD230" s="231">
        <f>(INDEX(Models!$BJ230:$BT230,,AH230)*(1-AF230)+INDEX(Models!$BJ230:$BT230,,AH230+1)*AF230-ERP_i)*AE230*Ramure*Pc/MaxiM</f>
        <v>1.2011416639176474E-2</v>
      </c>
      <c r="AE230" s="305">
        <f t="shared" si="88"/>
        <v>0.8</v>
      </c>
      <c r="AF230" s="177">
        <f t="shared" si="89"/>
        <v>0.34342059150444326</v>
      </c>
      <c r="AG230" s="809">
        <f t="shared" si="95"/>
        <v>2</v>
      </c>
      <c r="AH230" s="176">
        <f t="shared" si="90"/>
        <v>8</v>
      </c>
      <c r="AI230" s="225">
        <f t="shared" si="91"/>
        <v>2.3434205915044433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6">
        <v>46.018000000000001</v>
      </c>
      <c r="C231" s="390"/>
      <c r="D231" s="393">
        <f t="shared" si="74"/>
        <v>47.755594073977711</v>
      </c>
      <c r="E231" s="385">
        <f t="shared" si="72"/>
        <v>49.991361857211338</v>
      </c>
      <c r="F231" s="385">
        <f t="shared" si="75"/>
        <v>50.168820784868835</v>
      </c>
      <c r="G231" s="110">
        <f t="shared" si="73"/>
        <v>0.90100396673163441</v>
      </c>
      <c r="H231" s="414" t="b">
        <f>Wh_hp&gt;='2020'!Maxi_hp</f>
        <v>0</v>
      </c>
      <c r="I231" s="380">
        <f>IF(H231,Wh_hp,'2020'!Maxi_hp)</f>
        <v>55.321706068538063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3.6385142048197025E-2</v>
      </c>
      <c r="M231" s="843"/>
      <c r="N231" s="843"/>
      <c r="O231" s="48">
        <f>IF(t&lt;Tnet,'2020'!Resal+('2020'!Salim-'2020'!Resal)*(1-EXP(('2020'!Tnet-t)/('2020'!Tau_j))),Resal+(Salim-Resal)*(1-EXP((Tnet-t)/(Tau_j))))*Salcycl</f>
        <v>4.4723082152064157E-2</v>
      </c>
      <c r="P231" s="169">
        <f>(INDEX(Models!$BJ231:$BT231,,T231)*(1-R231)+INDEX(Models!$BJ231:$BT231,,T231+1)*R231-ERP_i)*Q231*Ramure*Pc/MaxiM</f>
        <v>4.1162927662760709E-3</v>
      </c>
      <c r="Q231" s="305">
        <f t="shared" si="77"/>
        <v>0.8</v>
      </c>
      <c r="R231" s="177">
        <f t="shared" si="78"/>
        <v>0.14556500692029273</v>
      </c>
      <c r="S231" s="809">
        <f t="shared" si="79"/>
        <v>1</v>
      </c>
      <c r="T231" s="176">
        <f t="shared" si="80"/>
        <v>7</v>
      </c>
      <c r="U231" s="251">
        <f t="shared" si="81"/>
        <v>1.1455650069202927</v>
      </c>
      <c r="V231" s="383">
        <f t="shared" si="82"/>
        <v>51.044457120787733</v>
      </c>
      <c r="W231" s="402"/>
      <c r="X231" s="157">
        <f t="shared" si="83"/>
        <v>44413</v>
      </c>
      <c r="Y231" s="385">
        <f t="shared" si="84"/>
        <v>41.578579650634254</v>
      </c>
      <c r="Z231" s="385">
        <f t="shared" si="85"/>
        <v>43.148545611896203</v>
      </c>
      <c r="AA231" s="386">
        <f t="shared" si="86"/>
        <v>49.641877819276651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0.13080351696242629</v>
      </c>
      <c r="AD231" s="231">
        <f>(INDEX(Models!$BJ231:$BT231,,AH231)*(1-AF231)+INDEX(Models!$BJ231:$BT231,,AH231+1)*AF231-ERP_i)*AE231*Ramure*Pc/MaxiM</f>
        <v>1.2222836834073101E-2</v>
      </c>
      <c r="AE231" s="305">
        <f t="shared" si="88"/>
        <v>0.8</v>
      </c>
      <c r="AF231" s="177">
        <f t="shared" si="89"/>
        <v>0.34549858107281395</v>
      </c>
      <c r="AG231" s="809">
        <f t="shared" si="95"/>
        <v>2</v>
      </c>
      <c r="AH231" s="176">
        <f t="shared" si="90"/>
        <v>8</v>
      </c>
      <c r="AI231" s="225">
        <f t="shared" si="91"/>
        <v>2.3454985810728139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6">
        <v>19.891999999999999</v>
      </c>
      <c r="C232" s="390"/>
      <c r="D232" s="393">
        <f t="shared" si="74"/>
        <v>20.643588151939845</v>
      </c>
      <c r="E232" s="385">
        <f t="shared" si="72"/>
        <v>21.615150759959914</v>
      </c>
      <c r="F232" s="385">
        <f t="shared" si="75"/>
        <v>21.626666599960192</v>
      </c>
      <c r="G232" s="110">
        <f t="shared" si="73"/>
        <v>0.38985511306106729</v>
      </c>
      <c r="H232" s="414" t="b">
        <f>Wh_hp&gt;='2020'!Maxi_hp</f>
        <v>0</v>
      </c>
      <c r="I232" s="380">
        <f>IF(H232,Wh_hp,'2020'!Maxi_hp)</f>
        <v>54.962682458177952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3.640782534548008E-2</v>
      </c>
      <c r="M232" s="843"/>
      <c r="N232" s="843"/>
      <c r="O232" s="48">
        <f>IF(t&lt;Tnet,'2020'!Resal+('2020'!Salim-'2020'!Resal)*(1-EXP(('2020'!Tnet-t)/('2020'!Tau_j))),Resal+(Salim-Resal)*(1-EXP((Tnet-t)/(Tau_j))))*Salcycl</f>
        <v>4.4948222605960243E-2</v>
      </c>
      <c r="P232" s="169">
        <f>(INDEX(Models!$BJ232:$BT232,,T232)*(1-R232)+INDEX(Models!$BJ232:$BT232,,T232+1)*R232-ERP_i)*Q232*Ramure*Pc/MaxiM</f>
        <v>4.0849937177088033E-3</v>
      </c>
      <c r="Q232" s="305">
        <f t="shared" si="77"/>
        <v>0.8</v>
      </c>
      <c r="R232" s="177">
        <f t="shared" si="78"/>
        <v>0.14757430769173063</v>
      </c>
      <c r="S232" s="809">
        <f t="shared" si="79"/>
        <v>1</v>
      </c>
      <c r="T232" s="176">
        <f t="shared" si="80"/>
        <v>7</v>
      </c>
      <c r="U232" s="251">
        <f t="shared" si="81"/>
        <v>1.1475743076917306</v>
      </c>
      <c r="V232" s="383">
        <f t="shared" si="82"/>
        <v>50.842723747910057</v>
      </c>
      <c r="W232" s="402"/>
      <c r="X232" s="157">
        <f t="shared" si="83"/>
        <v>44414</v>
      </c>
      <c r="Y232" s="385">
        <f t="shared" si="84"/>
        <v>18.081810875427433</v>
      </c>
      <c r="Z232" s="385">
        <f t="shared" si="85"/>
        <v>18.765003858515524</v>
      </c>
      <c r="AA232" s="386">
        <f t="shared" si="86"/>
        <v>21.591523351626105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0.13090875743594571</v>
      </c>
      <c r="AD232" s="231">
        <f>(INDEX(Models!$BJ232:$BT232,,AH232)*(1-AF232)+INDEX(Models!$BJ232:$BT232,,AH232+1)*AF232-ERP_i)*AE232*Ramure*Pc/MaxiM</f>
        <v>1.2466302819519158E-2</v>
      </c>
      <c r="AE232" s="305">
        <f t="shared" si="88"/>
        <v>0.8</v>
      </c>
      <c r="AF232" s="177">
        <f t="shared" si="89"/>
        <v>0.34750788184425208</v>
      </c>
      <c r="AG232" s="809">
        <f t="shared" si="95"/>
        <v>2</v>
      </c>
      <c r="AH232" s="176">
        <f t="shared" si="90"/>
        <v>8</v>
      </c>
      <c r="AI232" s="225">
        <f t="shared" si="91"/>
        <v>2.3475078818442521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6">
        <v>23.695</v>
      </c>
      <c r="C233" s="390"/>
      <c r="D233" s="393">
        <f t="shared" si="74"/>
        <v>24.590857431199407</v>
      </c>
      <c r="E233" s="385">
        <f t="shared" ref="E233:E296" si="96">Wh_pvt/(1-Psa)</f>
        <v>25.754252691217932</v>
      </c>
      <c r="F233" s="385">
        <f t="shared" si="75"/>
        <v>25.779344456325756</v>
      </c>
      <c r="G233" s="110">
        <f t="shared" ref="G233:G296" si="97">+Wh_hp/MaxiM</f>
        <v>0.4664989742200174</v>
      </c>
      <c r="H233" s="414" t="b">
        <f>Wh_hp&gt;='2020'!Maxi_hp</f>
        <v>0</v>
      </c>
      <c r="I233" s="380">
        <f>IF(H233,Wh_hp,'2020'!Maxi_hp)</f>
        <v>52.959519523212762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3.6430508114889723E-2</v>
      </c>
      <c r="M233" s="843"/>
      <c r="N233" s="843"/>
      <c r="O233" s="48">
        <f>IF(t&lt;Tnet,'2020'!Resal+('2020'!Salim-'2020'!Resal)*(1-EXP(('2020'!Tnet-t)/('2020'!Tau_j))),Resal+(Salim-Resal)*(1-EXP((Tnet-t)/(Tau_j))))*Salcycl</f>
        <v>4.5172937998517002E-2</v>
      </c>
      <c r="P233" s="169">
        <f>(INDEX(Models!$BJ233:$BT233,,T233)*(1-R233)+INDEX(Models!$BJ233:$BT233,,T233+1)*R233-ERP_i)*Q233*Ramure*Pc/MaxiM</f>
        <v>4.0569032791348911E-3</v>
      </c>
      <c r="Q233" s="305">
        <f t="shared" si="77"/>
        <v>0.8</v>
      </c>
      <c r="R233" s="177">
        <f t="shared" si="78"/>
        <v>0.14951665634720701</v>
      </c>
      <c r="S233" s="809">
        <f t="shared" si="79"/>
        <v>1</v>
      </c>
      <c r="T233" s="176">
        <f t="shared" si="80"/>
        <v>7</v>
      </c>
      <c r="U233" s="251">
        <f t="shared" si="81"/>
        <v>1.149516656347207</v>
      </c>
      <c r="V233" s="383">
        <f t="shared" si="82"/>
        <v>50.636474697873446</v>
      </c>
      <c r="W233" s="402"/>
      <c r="X233" s="157">
        <f t="shared" si="83"/>
        <v>44415</v>
      </c>
      <c r="Y233" s="385">
        <f t="shared" si="84"/>
        <v>21.51979951702274</v>
      </c>
      <c r="Z233" s="385">
        <f t="shared" si="85"/>
        <v>22.333417255585566</v>
      </c>
      <c r="AA233" s="386">
        <f t="shared" si="86"/>
        <v>25.700535408715972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0.13101354114157862</v>
      </c>
      <c r="AD233" s="231">
        <f>(INDEX(Models!$BJ233:$BT233,,AH233)*(1-AF233)+INDEX(Models!$BJ233:$BT233,,AH233+1)*AF233-ERP_i)*AE233*Ramure*Pc/MaxiM</f>
        <v>1.2742056300134065E-2</v>
      </c>
      <c r="AE233" s="305">
        <f t="shared" si="88"/>
        <v>0.8</v>
      </c>
      <c r="AF233" s="177">
        <f t="shared" si="89"/>
        <v>0.34945023049972823</v>
      </c>
      <c r="AG233" s="809">
        <f t="shared" si="95"/>
        <v>2</v>
      </c>
      <c r="AH233" s="176">
        <f t="shared" si="90"/>
        <v>8</v>
      </c>
      <c r="AI233" s="225">
        <f t="shared" si="91"/>
        <v>2.3494502304997282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6">
        <v>32.587000000000003</v>
      </c>
      <c r="C234" s="390"/>
      <c r="D234" s="393">
        <f t="shared" si="74"/>
        <v>33.819841105648706</v>
      </c>
      <c r="E234" s="385">
        <f t="shared" si="96"/>
        <v>35.428182411636129</v>
      </c>
      <c r="F234" s="385">
        <f t="shared" si="75"/>
        <v>35.499133665801821</v>
      </c>
      <c r="G234" s="110">
        <f t="shared" si="97"/>
        <v>0.64490785341328405</v>
      </c>
      <c r="H234" s="414" t="b">
        <f>Wh_hp&gt;='2020'!Maxi_hp</f>
        <v>0</v>
      </c>
      <c r="I234" s="380">
        <f>IF(H234,Wh_hp,'2020'!Maxi_hp)</f>
        <v>52.507741008384137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3.6453190356438167E-2</v>
      </c>
      <c r="M234" s="843"/>
      <c r="N234" s="843"/>
      <c r="O234" s="48">
        <f>IF(t&lt;Tnet,'2020'!Resal+('2020'!Salim-'2020'!Resal)*(1-EXP(('2020'!Tnet-t)/('2020'!Tau_j))),Resal+(Salim-Resal)*(1-EXP((Tnet-t)/(Tau_j))))*Salcycl</f>
        <v>4.5397228886886951E-2</v>
      </c>
      <c r="P234" s="169">
        <f>(INDEX(Models!$BJ234:$BT234,,T234)*(1-R234)+INDEX(Models!$BJ234:$BT234,,T234+1)*R234-ERP_i)*Q234*Ramure*Pc/MaxiM</f>
        <v>4.0408746767343559E-3</v>
      </c>
      <c r="Q234" s="305">
        <f t="shared" si="77"/>
        <v>0.8</v>
      </c>
      <c r="R234" s="177">
        <f t="shared" si="78"/>
        <v>0.15139378506671264</v>
      </c>
      <c r="S234" s="809">
        <f t="shared" si="79"/>
        <v>1</v>
      </c>
      <c r="T234" s="176">
        <f t="shared" si="80"/>
        <v>7</v>
      </c>
      <c r="U234" s="251">
        <f t="shared" si="81"/>
        <v>1.1513937850667126</v>
      </c>
      <c r="V234" s="383">
        <f t="shared" si="82"/>
        <v>50.426301078173502</v>
      </c>
      <c r="W234" s="402"/>
      <c r="X234" s="157">
        <f t="shared" si="83"/>
        <v>44416</v>
      </c>
      <c r="Y234" s="385">
        <f t="shared" si="84"/>
        <v>29.528046191823776</v>
      </c>
      <c r="Z234" s="385">
        <f t="shared" si="85"/>
        <v>30.645160044426778</v>
      </c>
      <c r="AA234" s="386">
        <f t="shared" si="86"/>
        <v>35.269640231423786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0.13111787238693715</v>
      </c>
      <c r="AD234" s="231">
        <f>(INDEX(Models!$BJ234:$BT234,,AH234)*(1-AF234)+INDEX(Models!$BJ234:$BT234,,AH234+1)*AF234-ERP_i)*AE234*Ramure*Pc/MaxiM</f>
        <v>1.3070300424701631E-2</v>
      </c>
      <c r="AE234" s="305">
        <f t="shared" si="88"/>
        <v>0.8</v>
      </c>
      <c r="AF234" s="177">
        <f t="shared" si="89"/>
        <v>0.35132735921923386</v>
      </c>
      <c r="AG234" s="809">
        <f t="shared" si="95"/>
        <v>2</v>
      </c>
      <c r="AH234" s="176">
        <f t="shared" si="90"/>
        <v>8</v>
      </c>
      <c r="AI234" s="225">
        <f t="shared" si="91"/>
        <v>2.3513273592192339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6">
        <v>47.789000000000001</v>
      </c>
      <c r="C235" s="390"/>
      <c r="D235" s="393">
        <f t="shared" si="74"/>
        <v>49.598135235777612</v>
      </c>
      <c r="E235" s="385">
        <f t="shared" si="96"/>
        <v>51.969018780325683</v>
      </c>
      <c r="F235" s="385">
        <f t="shared" si="75"/>
        <v>52.165063941951729</v>
      </c>
      <c r="G235" s="110">
        <f t="shared" si="97"/>
        <v>0.95147620999482585</v>
      </c>
      <c r="H235" s="414" t="b">
        <f>Wh_hp&gt;='2020'!Maxi_hp</f>
        <v>1</v>
      </c>
      <c r="I235" s="380">
        <f>IF(H235,Wh_hp,'2020'!Maxi_hp)</f>
        <v>52.165063941951729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3.6475872070137735E-2</v>
      </c>
      <c r="M235" s="843"/>
      <c r="N235" s="843"/>
      <c r="O235" s="48">
        <f>IF(t&lt;Tnet,'2020'!Resal+('2020'!Salim-'2020'!Resal)*(1-EXP(('2020'!Tnet-t)/('2020'!Tau_j))),Resal+(Salim-Resal)*(1-EXP((Tnet-t)/(Tau_j))))*Salcycl</f>
        <v>4.5621095032982173E-2</v>
      </c>
      <c r="P235" s="169">
        <f>(INDEX(Models!$BJ235:$BT235,,T235)*(1-R235)+INDEX(Models!$BJ235:$BT235,,T235+1)*R235-ERP_i)*Q235*Ramure*Pc/MaxiM</f>
        <v>4.0364416666505108E-3</v>
      </c>
      <c r="Q235" s="305">
        <f t="shared" si="77"/>
        <v>0.8</v>
      </c>
      <c r="R235" s="177">
        <f t="shared" si="78"/>
        <v>0.15320741810906657</v>
      </c>
      <c r="S235" s="809">
        <f t="shared" si="79"/>
        <v>1</v>
      </c>
      <c r="T235" s="176">
        <f t="shared" si="80"/>
        <v>7</v>
      </c>
      <c r="U235" s="251">
        <f t="shared" si="81"/>
        <v>1.1532074181090666</v>
      </c>
      <c r="V235" s="383">
        <f t="shared" si="82"/>
        <v>50.21213456751228</v>
      </c>
      <c r="W235" s="402"/>
      <c r="X235" s="157">
        <f t="shared" si="83"/>
        <v>44417</v>
      </c>
      <c r="Y235" s="385">
        <f t="shared" si="84"/>
        <v>43.12023669482663</v>
      </c>
      <c r="Z235" s="385">
        <f t="shared" si="85"/>
        <v>44.752627822066827</v>
      </c>
      <c r="AA235" s="386">
        <f t="shared" si="86"/>
        <v>51.51214131102229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0.13122175310365328</v>
      </c>
      <c r="AD235" s="231">
        <f>(INDEX(Models!$BJ235:$BT235,,AH235)*(1-AF235)+INDEX(Models!$BJ235:$BT235,,AH235+1)*AF235-ERP_i)*AE235*Ramure*Pc/MaxiM</f>
        <v>1.3443249967116568E-2</v>
      </c>
      <c r="AE235" s="305">
        <f t="shared" si="88"/>
        <v>0.8</v>
      </c>
      <c r="AF235" s="177">
        <f t="shared" si="89"/>
        <v>0.35314099226158779</v>
      </c>
      <c r="AG235" s="809">
        <f t="shared" si="95"/>
        <v>2</v>
      </c>
      <c r="AH235" s="176">
        <f t="shared" si="90"/>
        <v>8</v>
      </c>
      <c r="AI235" s="225">
        <f t="shared" si="91"/>
        <v>2.3531409922615878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6">
        <v>44.487000000000002</v>
      </c>
      <c r="C236" s="390"/>
      <c r="D236" s="393">
        <f t="shared" si="74"/>
        <v>46.172219201472686</v>
      </c>
      <c r="E236" s="385">
        <f t="shared" si="96"/>
        <v>48.390666842266398</v>
      </c>
      <c r="F236" s="385">
        <f t="shared" si="75"/>
        <v>48.556121526495438</v>
      </c>
      <c r="G236" s="110">
        <f t="shared" si="97"/>
        <v>0.88928087933317068</v>
      </c>
      <c r="H236" s="414" t="b">
        <f>Wh_hp&gt;='2020'!Maxi_hp</f>
        <v>1</v>
      </c>
      <c r="I236" s="380">
        <f>IF(H236,Wh_hp,'2020'!Maxi_hp)</f>
        <v>48.556121526495438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3.649855325600064E-2</v>
      </c>
      <c r="M236" s="843"/>
      <c r="N236" s="843"/>
      <c r="O236" s="48">
        <f>IF(t&lt;Tnet,'2020'!Resal+('2020'!Salim-'2020'!Resal)*(1-EXP(('2020'!Tnet-t)/('2020'!Tau_j))),Resal+(Salim-Resal)*(1-EXP((Tnet-t)/(Tau_j))))*Salcycl</f>
        <v>4.5844535435416389E-2</v>
      </c>
      <c r="P236" s="169">
        <f>(INDEX(Models!$BJ236:$BT236,,T236)*(1-R236)+INDEX(Models!$BJ236:$BT236,,T236+1)*R236-ERP_i)*Q236*Ramure*Pc/MaxiM</f>
        <v>4.0438238640064421E-3</v>
      </c>
      <c r="Q236" s="305">
        <f t="shared" si="77"/>
        <v>0.8</v>
      </c>
      <c r="R236" s="177">
        <f t="shared" si="78"/>
        <v>0.15495926866814314</v>
      </c>
      <c r="S236" s="809">
        <f t="shared" si="79"/>
        <v>1</v>
      </c>
      <c r="T236" s="176">
        <f t="shared" si="80"/>
        <v>7</v>
      </c>
      <c r="U236" s="251">
        <f t="shared" si="81"/>
        <v>1.1549592686681431</v>
      </c>
      <c r="V236" s="383">
        <f t="shared" si="82"/>
        <v>49.993872384050491</v>
      </c>
      <c r="W236" s="402"/>
      <c r="X236" s="157">
        <f t="shared" si="83"/>
        <v>44418</v>
      </c>
      <c r="Y236" s="385">
        <f t="shared" si="84"/>
        <v>40.165299631993989</v>
      </c>
      <c r="Z236" s="385">
        <f t="shared" si="85"/>
        <v>41.686807806803259</v>
      </c>
      <c r="AA236" s="386">
        <f t="shared" si="86"/>
        <v>47.988967782213258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0.13132518298811691</v>
      </c>
      <c r="AD236" s="231">
        <f>(INDEX(Models!$BJ236:$BT236,,AH236)*(1-AF236)+INDEX(Models!$BJ236:$BT236,,AH236+1)*AF236-ERP_i)*AE236*Ramure*Pc/MaxiM</f>
        <v>1.3861619309091012E-2</v>
      </c>
      <c r="AE236" s="305">
        <f t="shared" si="88"/>
        <v>0.8</v>
      </c>
      <c r="AF236" s="177">
        <f t="shared" si="89"/>
        <v>0.35489284282066436</v>
      </c>
      <c r="AG236" s="809">
        <f t="shared" si="95"/>
        <v>2</v>
      </c>
      <c r="AH236" s="176">
        <f t="shared" si="90"/>
        <v>8</v>
      </c>
      <c r="AI236" s="225">
        <f t="shared" si="91"/>
        <v>2.3548928428206644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6">
        <v>43.667000000000002</v>
      </c>
      <c r="C237" s="390"/>
      <c r="D237" s="393">
        <f t="shared" si="74"/>
        <v>45.322223526931431</v>
      </c>
      <c r="E237" s="385">
        <f t="shared" si="96"/>
        <v>47.510935862603667</v>
      </c>
      <c r="F237" s="385">
        <f t="shared" si="75"/>
        <v>47.670695144219835</v>
      </c>
      <c r="G237" s="110">
        <f t="shared" si="97"/>
        <v>0.87672431920532812</v>
      </c>
      <c r="H237" s="414" t="b">
        <f>Wh_hp&gt;='2020'!Maxi_hp</f>
        <v>1</v>
      </c>
      <c r="I237" s="380">
        <f>IF(H237,Wh_hp,'2020'!Maxi_hp)</f>
        <v>47.670695144219835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3.6521233914039206E-2</v>
      </c>
      <c r="M237" s="843"/>
      <c r="N237" s="843"/>
      <c r="O237" s="48">
        <f>IF(t&lt;Tnet,'2020'!Resal+('2020'!Salim-'2020'!Resal)*(1-EXP(('2020'!Tnet-t)/('2020'!Tau_j))),Resal+(Salim-Resal)*(1-EXP((Tnet-t)/(Tau_j))))*Salcycl</f>
        <v>4.6067548364059803E-2</v>
      </c>
      <c r="P237" s="169">
        <f>(INDEX(Models!$BJ237:$BT237,,T237)*(1-R237)+INDEX(Models!$BJ237:$BT237,,T237+1)*R237-ERP_i)*Q237*Ramure*Pc/MaxiM</f>
        <v>4.0632421614508795E-3</v>
      </c>
      <c r="Q237" s="305">
        <f t="shared" si="77"/>
        <v>0.8</v>
      </c>
      <c r="R237" s="177">
        <f t="shared" si="78"/>
        <v>0.15665103599575425</v>
      </c>
      <c r="S237" s="809">
        <f t="shared" si="79"/>
        <v>1</v>
      </c>
      <c r="T237" s="176">
        <f t="shared" si="80"/>
        <v>7</v>
      </c>
      <c r="U237" s="251">
        <f t="shared" si="81"/>
        <v>1.1566510359957543</v>
      </c>
      <c r="V237" s="383">
        <f t="shared" si="82"/>
        <v>49.771412256615058</v>
      </c>
      <c r="W237" s="402"/>
      <c r="X237" s="157">
        <f t="shared" si="83"/>
        <v>44419</v>
      </c>
      <c r="Y237" s="385">
        <f t="shared" si="84"/>
        <v>39.421866897637329</v>
      </c>
      <c r="Z237" s="385">
        <f t="shared" si="85"/>
        <v>40.916176137212496</v>
      </c>
      <c r="AA237" s="386">
        <f t="shared" si="86"/>
        <v>47.10741729840904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0.13142815964579832</v>
      </c>
      <c r="AD237" s="231">
        <f>(INDEX(Models!$BJ237:$BT237,,AH237)*(1-AF237)+INDEX(Models!$BJ237:$BT237,,AH237+1)*AF237-ERP_i)*AE237*Ramure*Pc/MaxiM</f>
        <v>1.43261428604099E-2</v>
      </c>
      <c r="AE237" s="305">
        <f t="shared" si="88"/>
        <v>0.8</v>
      </c>
      <c r="AF237" s="177">
        <f t="shared" si="89"/>
        <v>0.35658461014827569</v>
      </c>
      <c r="AG237" s="809">
        <f t="shared" si="95"/>
        <v>2</v>
      </c>
      <c r="AH237" s="176">
        <f t="shared" si="90"/>
        <v>8</v>
      </c>
      <c r="AI237" s="225">
        <f t="shared" si="91"/>
        <v>2.3565846101482757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6">
        <v>42.338999999999999</v>
      </c>
      <c r="C238" s="390"/>
      <c r="D238" s="393">
        <f t="shared" si="74"/>
        <v>43.944919355613735</v>
      </c>
      <c r="E238" s="385">
        <f t="shared" si="96"/>
        <v>46.077870012984221</v>
      </c>
      <c r="F238" s="385">
        <f t="shared" si="75"/>
        <v>46.227838974588707</v>
      </c>
      <c r="G238" s="110">
        <f t="shared" si="97"/>
        <v>0.85383303724466098</v>
      </c>
      <c r="H238" s="414" t="b">
        <f>Wh_hp&gt;='2020'!Maxi_hp</f>
        <v>1</v>
      </c>
      <c r="I238" s="380">
        <f>IF(H238,Wh_hp,'2020'!Maxi_hp)</f>
        <v>46.227838974588707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3.6543914044265755E-2</v>
      </c>
      <c r="M238" s="843"/>
      <c r="N238" s="843"/>
      <c r="O238" s="48">
        <f>IF(t&lt;Tnet,'2020'!Resal+('2020'!Salim-'2020'!Resal)*(1-EXP(('2020'!Tnet-t)/('2020'!Tau_j))),Resal+(Salim-Resal)*(1-EXP((Tnet-t)/(Tau_j))))*Salcycl</f>
        <v>4.6290131396469585E-2</v>
      </c>
      <c r="P238" s="169">
        <f>(INDEX(Models!$BJ238:$BT238,,T238)*(1-R238)+INDEX(Models!$BJ238:$BT238,,T238+1)*R238-ERP_i)*Q238*Ramure*Pc/MaxiM</f>
        <v>4.0949194720882763E-3</v>
      </c>
      <c r="Q238" s="305">
        <f t="shared" si="77"/>
        <v>0.8</v>
      </c>
      <c r="R238" s="177">
        <f t="shared" si="78"/>
        <v>0.15828440278083367</v>
      </c>
      <c r="S238" s="809">
        <f t="shared" si="79"/>
        <v>1</v>
      </c>
      <c r="T238" s="176">
        <f t="shared" si="80"/>
        <v>7</v>
      </c>
      <c r="U238" s="251">
        <f t="shared" si="81"/>
        <v>1.1582844027808337</v>
      </c>
      <c r="V238" s="383">
        <f t="shared" si="82"/>
        <v>49.544652403365454</v>
      </c>
      <c r="W238" s="402"/>
      <c r="X238" s="157">
        <f t="shared" si="83"/>
        <v>44420</v>
      </c>
      <c r="Y238" s="385">
        <f t="shared" si="84"/>
        <v>38.225635067788374</v>
      </c>
      <c r="Z238" s="385">
        <f t="shared" si="85"/>
        <v>39.67553438605259</v>
      </c>
      <c r="AA238" s="386">
        <f t="shared" si="86"/>
        <v>45.684439754708933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0.13153067873699759</v>
      </c>
      <c r="AD238" s="231">
        <f>(INDEX(Models!$BJ238:$BT238,,AH238)*(1-AF238)+INDEX(Models!$BJ238:$BT238,,AH238+1)*AF238-ERP_i)*AE238*Ramure*Pc/MaxiM</f>
        <v>1.4837577207954351E-2</v>
      </c>
      <c r="AE238" s="305">
        <f t="shared" si="88"/>
        <v>0.8</v>
      </c>
      <c r="AF238" s="177">
        <f t="shared" si="89"/>
        <v>0.35821797693335489</v>
      </c>
      <c r="AG238" s="809">
        <f t="shared" si="95"/>
        <v>2</v>
      </c>
      <c r="AH238" s="176">
        <f t="shared" si="90"/>
        <v>8</v>
      </c>
      <c r="AI238" s="225">
        <f t="shared" si="91"/>
        <v>2.3582179769333549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6">
        <v>31.990000000000002</v>
      </c>
      <c r="C239" s="390"/>
      <c r="D239" s="393">
        <f t="shared" si="74"/>
        <v>33.204163140953746</v>
      </c>
      <c r="E239" s="385">
        <f t="shared" si="96"/>
        <v>34.823902285430847</v>
      </c>
      <c r="F239" s="385">
        <f t="shared" si="75"/>
        <v>34.895853851257101</v>
      </c>
      <c r="G239" s="110">
        <f t="shared" si="97"/>
        <v>0.64735658562297671</v>
      </c>
      <c r="H239" s="414" t="b">
        <f>Wh_hp&gt;='2020'!Maxi_hp</f>
        <v>0</v>
      </c>
      <c r="I239" s="380">
        <f>IF(H239,Wh_hp,'2020'!Maxi_hp)</f>
        <v>47.124763109850662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3.6566593646692611E-2</v>
      </c>
      <c r="M239" s="843"/>
      <c r="N239" s="843"/>
      <c r="O239" s="48">
        <f>IF(t&lt;Tnet,'2020'!Resal+('2020'!Salim-'2020'!Resal)*(1-EXP(('2020'!Tnet-t)/('2020'!Tau_j))),Resal+(Salim-Resal)*(1-EXP((Tnet-t)/(Tau_j))))*Salcycl</f>
        <v>4.6512281455451616E-2</v>
      </c>
      <c r="P239" s="169">
        <f>(INDEX(Models!$BJ239:$BT239,,T239)*(1-R239)+INDEX(Models!$BJ239:$BT239,,T239+1)*R239-ERP_i)*Q239*Ramure*Pc/MaxiM</f>
        <v>4.1390814723648618E-3</v>
      </c>
      <c r="Q239" s="305">
        <f t="shared" si="77"/>
        <v>0.8</v>
      </c>
      <c r="R239" s="177">
        <f t="shared" si="78"/>
        <v>0.15986103277412589</v>
      </c>
      <c r="S239" s="809">
        <f t="shared" si="79"/>
        <v>1</v>
      </c>
      <c r="T239" s="176">
        <f t="shared" si="80"/>
        <v>7</v>
      </c>
      <c r="U239" s="251">
        <f t="shared" si="81"/>
        <v>1.1598610327741259</v>
      </c>
      <c r="V239" s="383">
        <f t="shared" si="82"/>
        <v>49.313491513577226</v>
      </c>
      <c r="W239" s="402"/>
      <c r="X239" s="157">
        <f t="shared" si="83"/>
        <v>44421</v>
      </c>
      <c r="Y239" s="385">
        <f t="shared" si="84"/>
        <v>28.970442943661627</v>
      </c>
      <c r="Z239" s="385">
        <f t="shared" si="85"/>
        <v>30.070000430354263</v>
      </c>
      <c r="AA239" s="386">
        <f t="shared" si="86"/>
        <v>34.628205843235939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0.13163273412191664</v>
      </c>
      <c r="AD239" s="231">
        <f>(INDEX(Models!$BJ239:$BT239,,AH239)*(1-AF239)+INDEX(Models!$BJ239:$BT239,,AH239+1)*AF239-ERP_i)*AE239*Ramure*Pc/MaxiM</f>
        <v>1.5396703301647822E-2</v>
      </c>
      <c r="AE239" s="305">
        <f t="shared" si="88"/>
        <v>0.8</v>
      </c>
      <c r="AF239" s="177">
        <f t="shared" si="89"/>
        <v>0.35979460692664711</v>
      </c>
      <c r="AG239" s="809">
        <f t="shared" si="95"/>
        <v>2</v>
      </c>
      <c r="AH239" s="176">
        <f t="shared" si="90"/>
        <v>8</v>
      </c>
      <c r="AI239" s="225">
        <f t="shared" si="91"/>
        <v>2.3597946069266471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6">
        <v>42.786000000000001</v>
      </c>
      <c r="C240" s="390"/>
      <c r="D240" s="393">
        <f t="shared" si="74"/>
        <v>44.410964906792117</v>
      </c>
      <c r="E240" s="385">
        <f t="shared" si="96"/>
        <v>46.588218468637052</v>
      </c>
      <c r="F240" s="385">
        <f t="shared" si="75"/>
        <v>46.749077058530759</v>
      </c>
      <c r="G240" s="110">
        <f t="shared" si="97"/>
        <v>0.8711384221741566</v>
      </c>
      <c r="H240" s="414" t="b">
        <f>Wh_hp&gt;='2020'!Maxi_hp</f>
        <v>0</v>
      </c>
      <c r="I240" s="380">
        <f>IF(H240,Wh_hp,'2020'!Maxi_hp)</f>
        <v>53.688303667232056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3.6589272721331875E-2</v>
      </c>
      <c r="M240" s="843"/>
      <c r="N240" s="843"/>
      <c r="O240" s="48">
        <f>IF(t&lt;Tnet,'2020'!Resal+('2020'!Salim-'2020'!Resal)*(1-EXP(('2020'!Tnet-t)/('2020'!Tau_j))),Resal+(Salim-Resal)*(1-EXP((Tnet-t)/(Tau_j))))*Salcycl</f>
        <v>4.6733994847015868E-2</v>
      </c>
      <c r="P240" s="169">
        <f>(INDEX(Models!$BJ240:$BT240,,T240)*(1-R240)+INDEX(Models!$BJ240:$BT240,,T240+1)*R240-ERP_i)*Q240*Ramure*Pc/MaxiM</f>
        <v>4.2122588953502713E-3</v>
      </c>
      <c r="Q240" s="305">
        <f t="shared" si="77"/>
        <v>0.8</v>
      </c>
      <c r="R240" s="177">
        <f t="shared" si="78"/>
        <v>0.16138256864726452</v>
      </c>
      <c r="S240" s="809">
        <f t="shared" si="79"/>
        <v>1</v>
      </c>
      <c r="T240" s="176">
        <f t="shared" si="80"/>
        <v>7</v>
      </c>
      <c r="U240" s="251">
        <f t="shared" si="81"/>
        <v>1.1613825686472645</v>
      </c>
      <c r="V240" s="383">
        <f t="shared" si="82"/>
        <v>49.077025318598118</v>
      </c>
      <c r="W240" s="402"/>
      <c r="X240" s="157">
        <f t="shared" si="83"/>
        <v>44422</v>
      </c>
      <c r="Y240" s="385">
        <f t="shared" si="84"/>
        <v>38.593537524090209</v>
      </c>
      <c r="Z240" s="385">
        <f t="shared" si="85"/>
        <v>40.059277347995483</v>
      </c>
      <c r="AA240" s="386">
        <f t="shared" si="86"/>
        <v>46.137119292635347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0.13173431800303234</v>
      </c>
      <c r="AD240" s="231">
        <f>(INDEX(Models!$BJ240:$BT240,,AH240)*(1-AF240)+INDEX(Models!$BJ240:$BT240,,AH240+1)*AF240-ERP_i)*AE240*Ramure*Pc/MaxiM</f>
        <v>1.6024786395771214E-2</v>
      </c>
      <c r="AE240" s="305">
        <f t="shared" si="88"/>
        <v>0.8</v>
      </c>
      <c r="AF240" s="177">
        <f t="shared" si="89"/>
        <v>0.36131614279978574</v>
      </c>
      <c r="AG240" s="809">
        <f t="shared" si="95"/>
        <v>2</v>
      </c>
      <c r="AH240" s="176">
        <f t="shared" si="90"/>
        <v>8</v>
      </c>
      <c r="AI240" s="225">
        <f t="shared" si="91"/>
        <v>2.3613161427997857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6">
        <v>19.312999999999999</v>
      </c>
      <c r="C241" s="390"/>
      <c r="D241" s="393">
        <f t="shared" si="74"/>
        <v>20.04695825884852</v>
      </c>
      <c r="E241" s="385">
        <f t="shared" si="96"/>
        <v>21.034645668743085</v>
      </c>
      <c r="F241" s="385">
        <f t="shared" si="75"/>
        <v>21.047024581960297</v>
      </c>
      <c r="G241" s="110">
        <f t="shared" si="97"/>
        <v>0.39399861049968365</v>
      </c>
      <c r="H241" s="414" t="b">
        <f>Wh_hp&gt;='2020'!Maxi_hp</f>
        <v>0</v>
      </c>
      <c r="I241" s="380">
        <f>IF(H241,Wh_hp,'2020'!Maxi_hp)</f>
        <v>46.59214980096219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3.6611951268195983E-2</v>
      </c>
      <c r="M241" s="843"/>
      <c r="N241" s="843"/>
      <c r="O241" s="48">
        <f>IF(t&lt;Tnet,'2020'!Resal+('2020'!Salim-'2020'!Resal)*(1-EXP(('2020'!Tnet-t)/('2020'!Tau_j))),Resal+(Salim-Resal)*(1-EXP((Tnet-t)/(Tau_j))))*Salcycl</f>
        <v>4.6955267298000751E-2</v>
      </c>
      <c r="P241" s="169">
        <f>(INDEX(Models!$BJ241:$BT241,,T241)*(1-R241)+INDEX(Models!$BJ241:$BT241,,T241+1)*R241-ERP_i)*Q241*Ramure*Pc/MaxiM</f>
        <v>4.3123353091682973E-3</v>
      </c>
      <c r="Q241" s="305">
        <f t="shared" si="77"/>
        <v>0.8</v>
      </c>
      <c r="R241" s="177">
        <f t="shared" si="78"/>
        <v>0.16285063007491285</v>
      </c>
      <c r="S241" s="809">
        <f t="shared" si="79"/>
        <v>1</v>
      </c>
      <c r="T241" s="176">
        <f t="shared" si="80"/>
        <v>7</v>
      </c>
      <c r="U241" s="251">
        <f t="shared" si="81"/>
        <v>1.1628506300749128</v>
      </c>
      <c r="V241" s="383">
        <f t="shared" si="82"/>
        <v>48.835280291271445</v>
      </c>
      <c r="W241" s="402"/>
      <c r="X241" s="157">
        <f t="shared" si="83"/>
        <v>44423</v>
      </c>
      <c r="Y241" s="385">
        <f t="shared" si="84"/>
        <v>17.563197904284575</v>
      </c>
      <c r="Z241" s="385">
        <f t="shared" si="85"/>
        <v>18.230657861496852</v>
      </c>
      <c r="AA241" s="386">
        <f t="shared" si="86"/>
        <v>20.999080478284128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0.13183542106285068</v>
      </c>
      <c r="AD241" s="231">
        <f>(INDEX(Models!$BJ241:$BT241,,AH241)*(1-AF241)+INDEX(Models!$BJ241:$BT241,,AH241+1)*AF241-ERP_i)*AE241*Ramure*Pc/MaxiM</f>
        <v>1.6701874188897254E-2</v>
      </c>
      <c r="AE241" s="305">
        <f t="shared" si="88"/>
        <v>0.8</v>
      </c>
      <c r="AF241" s="177">
        <f t="shared" si="89"/>
        <v>0.36278420422743407</v>
      </c>
      <c r="AG241" s="809">
        <f t="shared" si="95"/>
        <v>2</v>
      </c>
      <c r="AH241" s="176">
        <f t="shared" si="90"/>
        <v>8</v>
      </c>
      <c r="AI241" s="225">
        <f t="shared" si="91"/>
        <v>2.3627842042274341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6">
        <v>29.653000000000002</v>
      </c>
      <c r="C242" s="390"/>
      <c r="D242" s="393">
        <f t="shared" si="74"/>
        <v>30.780637234305562</v>
      </c>
      <c r="E242" s="385">
        <f t="shared" si="96"/>
        <v>32.304644163775485</v>
      </c>
      <c r="F242" s="385">
        <f t="shared" si="75"/>
        <v>32.36834534566723</v>
      </c>
      <c r="G242" s="110">
        <f t="shared" si="97"/>
        <v>0.60878129088000288</v>
      </c>
      <c r="H242" s="414" t="b">
        <f>Wh_hp&gt;='2020'!Maxi_hp</f>
        <v>0</v>
      </c>
      <c r="I242" s="380">
        <f>IF(H242,Wh_hp,'2020'!Maxi_hp)</f>
        <v>52.312778726424021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3.6634629287297146E-2</v>
      </c>
      <c r="M242" s="843"/>
      <c r="N242" s="843"/>
      <c r="O242" s="48">
        <f>IF(t&lt;Tnet,'2020'!Resal+('2020'!Salim-'2020'!Resal)*(1-EXP(('2020'!Tnet-t)/('2020'!Tau_j))),Resal+(Salim-Resal)*(1-EXP((Tnet-t)/(Tau_j))))*Salcycl</f>
        <v>4.7176093992666729E-2</v>
      </c>
      <c r="P242" s="169">
        <f>(INDEX(Models!$BJ242:$BT242,,T242)*(1-R242)+INDEX(Models!$BJ242:$BT242,,T242+1)*R242-ERP_i)*Q242*Ramure*Pc/MaxiM</f>
        <v>4.439698164873382E-3</v>
      </c>
      <c r="Q242" s="305">
        <f t="shared" si="77"/>
        <v>0.8</v>
      </c>
      <c r="R242" s="177">
        <f t="shared" si="78"/>
        <v>0.16426681202853533</v>
      </c>
      <c r="S242" s="809">
        <f t="shared" si="79"/>
        <v>1</v>
      </c>
      <c r="T242" s="176">
        <f t="shared" si="80"/>
        <v>7</v>
      </c>
      <c r="U242" s="251">
        <f t="shared" si="81"/>
        <v>1.1642668120285353</v>
      </c>
      <c r="V242" s="383">
        <f t="shared" si="82"/>
        <v>48.588159502677009</v>
      </c>
      <c r="W242" s="402"/>
      <c r="X242" s="157">
        <f t="shared" si="83"/>
        <v>44424</v>
      </c>
      <c r="Y242" s="385">
        <f t="shared" si="84"/>
        <v>26.85931845379443</v>
      </c>
      <c r="Z242" s="385">
        <f t="shared" si="85"/>
        <v>27.88071823042981</v>
      </c>
      <c r="AA242" s="386">
        <f t="shared" si="86"/>
        <v>32.11827616089721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0.13193603259525077</v>
      </c>
      <c r="AD242" s="231">
        <f>(INDEX(Models!$BJ242:$BT242,,AH242)*(1-AF242)+INDEX(Models!$BJ242:$BT242,,AH242+1)*AF242-ERP_i)*AE242*Ramure*Pc/MaxiM</f>
        <v>1.7428745711524508E-2</v>
      </c>
      <c r="AE242" s="305">
        <f t="shared" si="88"/>
        <v>0.8</v>
      </c>
      <c r="AF242" s="177">
        <f t="shared" si="89"/>
        <v>0.36420038618105632</v>
      </c>
      <c r="AG242" s="809">
        <f t="shared" si="95"/>
        <v>2</v>
      </c>
      <c r="AH242" s="176">
        <f t="shared" si="90"/>
        <v>8</v>
      </c>
      <c r="AI242" s="225">
        <f t="shared" si="91"/>
        <v>2.3642003861810563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6">
        <v>36.599000000000004</v>
      </c>
      <c r="C243" s="390"/>
      <c r="D243" s="393">
        <f t="shared" si="74"/>
        <v>37.991672389827798</v>
      </c>
      <c r="E243" s="385">
        <f t="shared" si="96"/>
        <v>39.88193532536863</v>
      </c>
      <c r="F243" s="385">
        <f t="shared" si="75"/>
        <v>40.001978698687878</v>
      </c>
      <c r="G243" s="110">
        <f t="shared" si="97"/>
        <v>0.75597525939283716</v>
      </c>
      <c r="H243" s="414" t="b">
        <f>Wh_hp&gt;='2020'!Maxi_hp</f>
        <v>0</v>
      </c>
      <c r="I243" s="380">
        <f>IF(H243,Wh_hp,'2020'!Maxi_hp)</f>
        <v>51.695304108145685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3.6657306778647689E-2</v>
      </c>
      <c r="M243" s="843"/>
      <c r="N243" s="843"/>
      <c r="O243" s="48">
        <f>IF(t&lt;Tnet,'2020'!Resal+('2020'!Salim-'2020'!Resal)*(1-EXP(('2020'!Tnet-t)/('2020'!Tau_j))),Resal+(Salim-Resal)*(1-EXP((Tnet-t)/(Tau_j))))*Salcycl</f>
        <v>4.7396469607593222E-2</v>
      </c>
      <c r="P243" s="169">
        <f>(INDEX(Models!$BJ243:$BT243,,T243)*(1-R243)+INDEX(Models!$BJ243:$BT243,,T243+1)*R243-ERP_i)*Q243*Ramure*Pc/MaxiM</f>
        <v>4.5947523885562459E-3</v>
      </c>
      <c r="Q243" s="305">
        <f t="shared" si="77"/>
        <v>0.8</v>
      </c>
      <c r="R243" s="177">
        <f t="shared" si="78"/>
        <v>0.16563268327035852</v>
      </c>
      <c r="S243" s="809">
        <f t="shared" si="79"/>
        <v>1</v>
      </c>
      <c r="T243" s="176">
        <f t="shared" si="80"/>
        <v>7</v>
      </c>
      <c r="U243" s="251">
        <f t="shared" si="81"/>
        <v>1.1656326832703585</v>
      </c>
      <c r="V243" s="383">
        <f t="shared" si="82"/>
        <v>48.335566379972924</v>
      </c>
      <c r="W243" s="402"/>
      <c r="X243" s="157">
        <f t="shared" si="83"/>
        <v>44425</v>
      </c>
      <c r="Y243" s="385">
        <f t="shared" si="84"/>
        <v>33.049799381432301</v>
      </c>
      <c r="Z243" s="385">
        <f t="shared" si="85"/>
        <v>34.307416887043615</v>
      </c>
      <c r="AA243" s="386">
        <f t="shared" si="86"/>
        <v>39.52631957728827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0.13203614062877284</v>
      </c>
      <c r="AD243" s="231">
        <f>(INDEX(Models!$BJ243:$BT243,,AH243)*(1-AF243)+INDEX(Models!$BJ243:$BT243,,AH243+1)*AF243-ERP_i)*AE243*Ramure*Pc/MaxiM</f>
        <v>1.8206218500517252E-2</v>
      </c>
      <c r="AE243" s="305">
        <f t="shared" si="88"/>
        <v>0.8</v>
      </c>
      <c r="AF243" s="177">
        <f t="shared" si="89"/>
        <v>0.36556625742287974</v>
      </c>
      <c r="AG243" s="809">
        <f t="shared" si="95"/>
        <v>2</v>
      </c>
      <c r="AH243" s="176">
        <f t="shared" si="90"/>
        <v>8</v>
      </c>
      <c r="AI243" s="225">
        <f t="shared" si="91"/>
        <v>2.3655662574228797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6">
        <v>47.423000000000002</v>
      </c>
      <c r="C244" s="390"/>
      <c r="D244" s="393">
        <f t="shared" si="74"/>
        <v>49.228708217053999</v>
      </c>
      <c r="E244" s="385">
        <f t="shared" si="96"/>
        <v>51.689999297098908</v>
      </c>
      <c r="F244" s="385">
        <f t="shared" si="75"/>
        <v>51.933307624444232</v>
      </c>
      <c r="G244" s="110">
        <f t="shared" si="97"/>
        <v>0.98629644520611282</v>
      </c>
      <c r="H244" s="414" t="b">
        <f>Wh_hp&gt;='2020'!Maxi_hp</f>
        <v>1</v>
      </c>
      <c r="I244" s="380">
        <f>IF(H244,Wh_hp,'2020'!Maxi_hp)</f>
        <v>51.933307624444232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3.6679983742259933E-2</v>
      </c>
      <c r="M244" s="843"/>
      <c r="N244" s="843"/>
      <c r="O244" s="48">
        <f>IF(t&lt;Tnet,'2020'!Resal+('2020'!Salim-'2020'!Resal)*(1-EXP(('2020'!Tnet-t)/('2020'!Tau_j))),Resal+(Salim-Resal)*(1-EXP((Tnet-t)/(Tau_j))))*Salcycl</f>
        <v>4.7616388344254634E-2</v>
      </c>
      <c r="P244" s="169">
        <f>(INDEX(Models!$BJ244:$BT244,,T244)*(1-R244)+INDEX(Models!$BJ244:$BT244,,T244+1)*R244-ERP_i)*Q244*Ramure*Pc/MaxiM</f>
        <v>4.7779215999255026E-3</v>
      </c>
      <c r="Q244" s="305">
        <f t="shared" si="77"/>
        <v>0.8</v>
      </c>
      <c r="R244" s="177">
        <f t="shared" si="78"/>
        <v>0.166949785036135</v>
      </c>
      <c r="S244" s="809">
        <f t="shared" si="79"/>
        <v>1</v>
      </c>
      <c r="T244" s="176">
        <f t="shared" si="80"/>
        <v>7</v>
      </c>
      <c r="U244" s="251">
        <f t="shared" si="81"/>
        <v>1.166949785036135</v>
      </c>
      <c r="V244" s="383">
        <f t="shared" si="82"/>
        <v>48.077404703042227</v>
      </c>
      <c r="W244" s="402"/>
      <c r="X244" s="157">
        <f t="shared" si="83"/>
        <v>44426</v>
      </c>
      <c r="Y244" s="385">
        <f t="shared" si="84"/>
        <v>42.607461339083315</v>
      </c>
      <c r="Z244" s="385">
        <f t="shared" si="85"/>
        <v>44.229810052741101</v>
      </c>
      <c r="AA244" s="386">
        <f t="shared" si="86"/>
        <v>50.963971770293789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0.13213573204037318</v>
      </c>
      <c r="AD244" s="231">
        <f>(INDEX(Models!$BJ244:$BT244,,AH244)*(1-AF244)+INDEX(Models!$BJ244:$BT244,,AH244+1)*AF244-ERP_i)*AE244*Ramure*Pc/MaxiM</f>
        <v>1.903515085430765E-2</v>
      </c>
      <c r="AE244" s="305">
        <f t="shared" si="88"/>
        <v>0.8</v>
      </c>
      <c r="AF244" s="177">
        <f t="shared" si="89"/>
        <v>0.36688335918865622</v>
      </c>
      <c r="AG244" s="809">
        <f t="shared" si="95"/>
        <v>2</v>
      </c>
      <c r="AH244" s="176">
        <f t="shared" si="90"/>
        <v>8</v>
      </c>
      <c r="AI244" s="225">
        <f t="shared" si="91"/>
        <v>2.3668833591886562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6">
        <v>39.771000000000001</v>
      </c>
      <c r="C245" s="390"/>
      <c r="D245" s="393">
        <f t="shared" si="74"/>
        <v>41.286317688113826</v>
      </c>
      <c r="E245" s="385">
        <f t="shared" si="96"/>
        <v>43.360503990997955</v>
      </c>
      <c r="F245" s="385">
        <f t="shared" si="75"/>
        <v>43.525494254603814</v>
      </c>
      <c r="G245" s="110">
        <f t="shared" si="97"/>
        <v>0.83079189251103158</v>
      </c>
      <c r="H245" s="414" t="b">
        <f>Wh_hp&gt;='2020'!Maxi_hp</f>
        <v>1</v>
      </c>
      <c r="I245" s="380">
        <f>IF(H245,Wh_hp,'2020'!Maxi_hp)</f>
        <v>43.525494254603814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3.6702660178146093E-2</v>
      </c>
      <c r="M245" s="843"/>
      <c r="N245" s="843"/>
      <c r="O245" s="48">
        <f>IF(t&lt;Tnet,'2020'!Resal+('2020'!Salim-'2020'!Resal)*(1-EXP(('2020'!Tnet-t)/('2020'!Tau_j))),Resal+(Salim-Resal)*(1-EXP((Tnet-t)/(Tau_j))))*Salcycl</f>
        <v>4.7835843958703744E-2</v>
      </c>
      <c r="P245" s="169">
        <f>(INDEX(Models!$BJ245:$BT245,,T245)*(1-R245)+INDEX(Models!$BJ245:$BT245,,T245+1)*R245-ERP_i)*Q245*Ramure*Pc/MaxiM</f>
        <v>4.9896493744776204E-3</v>
      </c>
      <c r="Q245" s="305">
        <f t="shared" si="77"/>
        <v>0.8</v>
      </c>
      <c r="R245" s="177">
        <f t="shared" si="78"/>
        <v>0.16821962989546213</v>
      </c>
      <c r="S245" s="809">
        <f t="shared" si="79"/>
        <v>1</v>
      </c>
      <c r="T245" s="176">
        <f t="shared" si="80"/>
        <v>7</v>
      </c>
      <c r="U245" s="251">
        <f t="shared" si="81"/>
        <v>1.1682196298954621</v>
      </c>
      <c r="V245" s="383">
        <f t="shared" si="82"/>
        <v>47.813578619415942</v>
      </c>
      <c r="W245" s="402"/>
      <c r="X245" s="157">
        <f t="shared" si="83"/>
        <v>44427</v>
      </c>
      <c r="Y245" s="385">
        <f t="shared" si="84"/>
        <v>35.833146593845683</v>
      </c>
      <c r="Z245" s="385">
        <f t="shared" si="85"/>
        <v>37.198427850400208</v>
      </c>
      <c r="AA245" s="386">
        <f t="shared" si="86"/>
        <v>42.86692706239694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0.13223479265835136</v>
      </c>
      <c r="AD245" s="231">
        <f>(INDEX(Models!$BJ245:$BT245,,AH245)*(1-AF245)+INDEX(Models!$BJ245:$BT245,,AH245+1)*AF245-ERP_i)*AE245*Ramure*Pc/MaxiM</f>
        <v>1.9916444199982369E-2</v>
      </c>
      <c r="AE245" s="305">
        <f t="shared" si="88"/>
        <v>0.8</v>
      </c>
      <c r="AF245" s="177">
        <f t="shared" si="89"/>
        <v>0.36815320404798335</v>
      </c>
      <c r="AG245" s="809">
        <f t="shared" si="95"/>
        <v>2</v>
      </c>
      <c r="AH245" s="176">
        <f t="shared" si="90"/>
        <v>8</v>
      </c>
      <c r="AI245" s="225">
        <f t="shared" si="91"/>
        <v>2.3681532040479834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6">
        <v>44.238</v>
      </c>
      <c r="C246" s="390"/>
      <c r="D246" s="393">
        <f t="shared" si="74"/>
        <v>45.924596231220022</v>
      </c>
      <c r="E246" s="385">
        <f t="shared" si="96"/>
        <v>48.242900608430254</v>
      </c>
      <c r="F246" s="385">
        <f t="shared" si="75"/>
        <v>48.471240462957496</v>
      </c>
      <c r="G246" s="110">
        <f t="shared" si="97"/>
        <v>0.92997882732519999</v>
      </c>
      <c r="H246" s="414" t="b">
        <f>Wh_hp&gt;='2020'!Maxi_hp</f>
        <v>0</v>
      </c>
      <c r="I246" s="380">
        <f>IF(H246,Wh_hp,'2020'!Maxi_hp)</f>
        <v>48.557744398886264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3.672533608631838E-2</v>
      </c>
      <c r="M246" s="843"/>
      <c r="N246" s="843"/>
      <c r="O246" s="48">
        <f>IF(t&lt;Tnet,'2020'!Resal+('2020'!Salim-'2020'!Resal)*(1-EXP(('2020'!Tnet-t)/('2020'!Tau_j))),Resal+(Salim-Resal)*(1-EXP((Tnet-t)/(Tau_j))))*Salcycl</f>
        <v>4.8054829787849064E-2</v>
      </c>
      <c r="P246" s="169">
        <f>(INDEX(Models!$BJ246:$BT246,,T246)*(1-R246)+INDEX(Models!$BJ246:$BT246,,T246+1)*R246-ERP_i)*Q246*Ramure*Pc/MaxiM</f>
        <v>5.2304005609818457E-3</v>
      </c>
      <c r="Q246" s="305">
        <f t="shared" si="77"/>
        <v>0.8</v>
      </c>
      <c r="R246" s="177">
        <f t="shared" si="78"/>
        <v>0.16944370077860427</v>
      </c>
      <c r="S246" s="809">
        <f t="shared" si="79"/>
        <v>1</v>
      </c>
      <c r="T246" s="176">
        <f t="shared" si="80"/>
        <v>7</v>
      </c>
      <c r="U246" s="251">
        <f t="shared" si="81"/>
        <v>1.1694437007786043</v>
      </c>
      <c r="V246" s="383">
        <f t="shared" si="82"/>
        <v>47.543992640095333</v>
      </c>
      <c r="W246" s="402"/>
      <c r="X246" s="157">
        <f t="shared" si="83"/>
        <v>44428</v>
      </c>
      <c r="Y246" s="385">
        <f t="shared" si="84"/>
        <v>39.751515257501012</v>
      </c>
      <c r="Z246" s="385">
        <f t="shared" si="85"/>
        <v>41.267061977935626</v>
      </c>
      <c r="AA246" s="386">
        <f t="shared" si="86"/>
        <v>47.560961285789006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0.13233330735335605</v>
      </c>
      <c r="AD246" s="231">
        <f>(INDEX(Models!$BJ246:$BT246,,AH246)*(1-AF246)+INDEX(Models!$BJ246:$BT246,,AH246+1)*AF246-ERP_i)*AE246*Ramure*Pc/MaxiM</f>
        <v>2.0851045599418732E-2</v>
      </c>
      <c r="AE246" s="305">
        <f t="shared" si="88"/>
        <v>0.8</v>
      </c>
      <c r="AF246" s="177">
        <f t="shared" si="89"/>
        <v>0.36937727493112549</v>
      </c>
      <c r="AG246" s="809">
        <f t="shared" si="95"/>
        <v>2</v>
      </c>
      <c r="AH246" s="176">
        <f t="shared" si="90"/>
        <v>8</v>
      </c>
      <c r="AI246" s="225">
        <f t="shared" si="91"/>
        <v>2.3693772749311255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6">
        <v>41.875</v>
      </c>
      <c r="C247" s="390"/>
      <c r="D247" s="393">
        <f t="shared" si="74"/>
        <v>43.472528993960381</v>
      </c>
      <c r="E247" s="385">
        <f t="shared" si="96"/>
        <v>45.677536171848836</v>
      </c>
      <c r="F247" s="385">
        <f t="shared" si="75"/>
        <v>45.888803806926987</v>
      </c>
      <c r="G247" s="110">
        <f t="shared" si="97"/>
        <v>0.88508860067119166</v>
      </c>
      <c r="H247" s="414" t="b">
        <f>Wh_hp&gt;='2020'!Maxi_hp</f>
        <v>0</v>
      </c>
      <c r="I247" s="380">
        <f>IF(H247,Wh_hp,'2020'!Maxi_hp)</f>
        <v>48.833127388179392</v>
      </c>
      <c r="J247" s="85">
        <f>IF(H247,An,'2020'!An_max)</f>
        <v>2019</v>
      </c>
      <c r="K247" s="197">
        <f t="shared" si="76"/>
        <v>44429</v>
      </c>
      <c r="L247" s="147">
        <f>IF(t&lt;Tvie,1-EXP((T0-t)*PertePVj)+'2020'!Pspv,1-EXP((T0-t)*PertePVj)+Pspv)</f>
        <v>3.6748011466789229E-2</v>
      </c>
      <c r="M247" s="843"/>
      <c r="N247" s="843"/>
      <c r="O247" s="48">
        <f>IF(t&lt;Tnet,'2020'!Resal+('2020'!Salim-'2020'!Resal)*(1-EXP(('2020'!Tnet-t)/('2020'!Tau_j))),Resal+(Salim-Resal)*(1-EXP((Tnet-t)/(Tau_j))))*Salcycl</f>
        <v>4.8273338771879934E-2</v>
      </c>
      <c r="P247" s="169">
        <f>(INDEX(Models!$BJ247:$BT247,,T247)*(1-R247)+INDEX(Models!$BJ247:$BT247,,T247+1)*R247-ERP_i)*Q247*Ramure*Pc/MaxiM</f>
        <v>5.5006076622837411E-3</v>
      </c>
      <c r="Q247" s="305">
        <f t="shared" si="77"/>
        <v>0.8</v>
      </c>
      <c r="R247" s="177">
        <f t="shared" si="78"/>
        <v>0.1706234501590016</v>
      </c>
      <c r="S247" s="809">
        <f t="shared" si="79"/>
        <v>1</v>
      </c>
      <c r="T247" s="176">
        <f t="shared" si="80"/>
        <v>7</v>
      </c>
      <c r="U247" s="251">
        <f t="shared" si="81"/>
        <v>1.1706234501590016</v>
      </c>
      <c r="V247" s="383">
        <f t="shared" si="82"/>
        <v>47.269026871902376</v>
      </c>
      <c r="W247" s="402"/>
      <c r="X247" s="157">
        <f t="shared" si="83"/>
        <v>44429</v>
      </c>
      <c r="Y247" s="385">
        <f t="shared" si="84"/>
        <v>37.647698618319133</v>
      </c>
      <c r="Z247" s="385">
        <f t="shared" si="85"/>
        <v>39.083956292316671</v>
      </c>
      <c r="AA247" s="386">
        <f t="shared" si="86"/>
        <v>45.049982203795068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0.13243126011658685</v>
      </c>
      <c r="AD247" s="231">
        <f>(INDEX(Models!$BJ247:$BT247,,AH247)*(1-AF247)+INDEX(Models!$BJ247:$BT247,,AH247+1)*AF247-ERP_i)*AE247*Ramure*Pc/MaxiM</f>
        <v>2.1839732033587939E-2</v>
      </c>
      <c r="AE247" s="305">
        <f t="shared" si="88"/>
        <v>0.8</v>
      </c>
      <c r="AF247" s="177">
        <f t="shared" si="89"/>
        <v>0.37055702431152282</v>
      </c>
      <c r="AG247" s="809">
        <f t="shared" si="95"/>
        <v>2</v>
      </c>
      <c r="AH247" s="176">
        <f t="shared" si="90"/>
        <v>8</v>
      </c>
      <c r="AI247" s="225">
        <f t="shared" si="91"/>
        <v>2.3705570243115228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6">
        <v>19.477</v>
      </c>
      <c r="C248" s="390"/>
      <c r="D248" s="393">
        <f t="shared" si="74"/>
        <v>20.220522489686076</v>
      </c>
      <c r="E248" s="385">
        <f t="shared" si="96"/>
        <v>21.251013089570581</v>
      </c>
      <c r="F248" s="385">
        <f t="shared" si="75"/>
        <v>21.271215373008733</v>
      </c>
      <c r="G248" s="110">
        <f t="shared" si="97"/>
        <v>0.41248808464697795</v>
      </c>
      <c r="H248" s="414" t="b">
        <f>Wh_hp&gt;='2020'!Maxi_hp</f>
        <v>0</v>
      </c>
      <c r="I248" s="380">
        <f>IF(H248,Wh_hp,'2020'!Maxi_hp)</f>
        <v>52.442438256662555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3.6770686319570853E-2</v>
      </c>
      <c r="M248" s="843"/>
      <c r="N248" s="843"/>
      <c r="O248" s="48">
        <f>IF(t&lt;Tnet,'2020'!Resal+('2020'!Salim-'2020'!Resal)*(1-EXP(('2020'!Tnet-t)/('2020'!Tau_j))),Resal+(Salim-Resal)*(1-EXP((Tnet-t)/(Tau_j))))*Salcycl</f>
        <v>4.8491363472466256E-2</v>
      </c>
      <c r="P248" s="169">
        <f>(INDEX(Models!$BJ248:$BT248,,T248)*(1-R248)+INDEX(Models!$BJ248:$BT248,,T248+1)*R248-ERP_i)*Q248*Ramure*Pc/MaxiM</f>
        <v>5.8061645296302164E-3</v>
      </c>
      <c r="Q248" s="305">
        <f t="shared" si="77"/>
        <v>0.8</v>
      </c>
      <c r="R248" s="177">
        <f t="shared" si="78"/>
        <v>0.1717602993809435</v>
      </c>
      <c r="S248" s="809">
        <f t="shared" si="79"/>
        <v>1</v>
      </c>
      <c r="T248" s="176">
        <f t="shared" si="80"/>
        <v>7</v>
      </c>
      <c r="U248" s="251">
        <f t="shared" si="81"/>
        <v>1.1717602993809435</v>
      </c>
      <c r="V248" s="383">
        <f t="shared" si="82"/>
        <v>46.988803716361602</v>
      </c>
      <c r="W248" s="402"/>
      <c r="X248" s="157">
        <f t="shared" si="83"/>
        <v>44430</v>
      </c>
      <c r="Y248" s="385">
        <f t="shared" si="84"/>
        <v>17.707121975888214</v>
      </c>
      <c r="Z248" s="385">
        <f t="shared" si="85"/>
        <v>18.383080461111163</v>
      </c>
      <c r="AA248" s="386">
        <f t="shared" si="86"/>
        <v>21.19157033219032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0.13252863412453295</v>
      </c>
      <c r="AD248" s="231">
        <f>(INDEX(Models!$BJ248:$BT248,,AH248)*(1-AF248)+INDEX(Models!$BJ248:$BT248,,AH248+1)*AF248-ERP_i)*AE248*Ramure*Pc/MaxiM</f>
        <v>2.2890096180290764E-2</v>
      </c>
      <c r="AE248" s="305">
        <f t="shared" si="88"/>
        <v>0.8</v>
      </c>
      <c r="AF248" s="177">
        <f t="shared" si="89"/>
        <v>0.37169387353346472</v>
      </c>
      <c r="AG248" s="809">
        <f t="shared" si="95"/>
        <v>2</v>
      </c>
      <c r="AH248" s="176">
        <f t="shared" si="90"/>
        <v>8</v>
      </c>
      <c r="AI248" s="225">
        <f t="shared" si="91"/>
        <v>2.3716938735334647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6">
        <v>44.170999999999999</v>
      </c>
      <c r="C249" s="390"/>
      <c r="D249" s="393">
        <f t="shared" si="74"/>
        <v>45.858280243545359</v>
      </c>
      <c r="E249" s="385">
        <f t="shared" si="96"/>
        <v>48.206358763250094</v>
      </c>
      <c r="F249" s="385">
        <f t="shared" si="75"/>
        <v>48.480892366714905</v>
      </c>
      <c r="G249" s="110">
        <f t="shared" si="97"/>
        <v>0.94531916777782177</v>
      </c>
      <c r="H249" s="414" t="b">
        <f>Wh_hp&gt;='2020'!Maxi_hp</f>
        <v>0</v>
      </c>
      <c r="I249" s="380">
        <f>IF(H249,Wh_hp,'2020'!Maxi_hp)</f>
        <v>49.838510164075387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3.6793360644675463E-2</v>
      </c>
      <c r="M249" s="843"/>
      <c r="N249" s="843"/>
      <c r="O249" s="48">
        <f>IF(t&lt;Tnet,'2020'!Resal+('2020'!Salim-'2020'!Resal)*(1-EXP(('2020'!Tnet-t)/('2020'!Tau_j))),Resal+(Salim-Resal)*(1-EXP((Tnet-t)/(Tau_j))))*Salcycl</f>
        <v>4.8708896086438754E-2</v>
      </c>
      <c r="P249" s="169">
        <f>(INDEX(Models!$BJ249:$BT249,,T249)*(1-R249)+INDEX(Models!$BJ249:$BT249,,T249+1)*R249-ERP_i)*Q249*Ramure*Pc/MaxiM</f>
        <v>6.1382432229380775E-3</v>
      </c>
      <c r="Q249" s="305">
        <f t="shared" si="77"/>
        <v>0.8</v>
      </c>
      <c r="R249" s="177">
        <f t="shared" si="78"/>
        <v>0.17285563812220706</v>
      </c>
      <c r="S249" s="809">
        <f t="shared" si="79"/>
        <v>1</v>
      </c>
      <c r="T249" s="176">
        <f t="shared" si="80"/>
        <v>7</v>
      </c>
      <c r="U249" s="251">
        <f t="shared" si="81"/>
        <v>1.1728556381222071</v>
      </c>
      <c r="V249" s="383">
        <f t="shared" si="82"/>
        <v>46.703671568205195</v>
      </c>
      <c r="W249" s="402"/>
      <c r="X249" s="157">
        <f t="shared" si="83"/>
        <v>44431</v>
      </c>
      <c r="Y249" s="385">
        <f t="shared" si="84"/>
        <v>39.607805501470551</v>
      </c>
      <c r="Z249" s="385">
        <f t="shared" si="85"/>
        <v>41.120777082662251</v>
      </c>
      <c r="AA249" s="386">
        <f t="shared" si="86"/>
        <v>47.408325816317301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0.13262541178982024</v>
      </c>
      <c r="AD249" s="231">
        <f>(INDEX(Models!$BJ249:$BT249,,AH249)*(1-AF249)+INDEX(Models!$BJ249:$BT249,,AH249+1)*AF249-ERP_i)*AE249*Ramure*Pc/MaxiM</f>
        <v>2.3981306026065859E-2</v>
      </c>
      <c r="AE249" s="305">
        <f t="shared" si="88"/>
        <v>0.8</v>
      </c>
      <c r="AF249" s="177">
        <f t="shared" si="89"/>
        <v>0.3727892122747285</v>
      </c>
      <c r="AG249" s="809">
        <f t="shared" si="95"/>
        <v>2</v>
      </c>
      <c r="AH249" s="176">
        <f t="shared" si="90"/>
        <v>8</v>
      </c>
      <c r="AI249" s="225">
        <f t="shared" si="91"/>
        <v>2.3727892122747285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6">
        <v>41.201000000000001</v>
      </c>
      <c r="C250" s="390"/>
      <c r="D250" s="393">
        <f t="shared" si="74"/>
        <v>42.775836676367447</v>
      </c>
      <c r="E250" s="385">
        <f t="shared" si="96"/>
        <v>44.976346171300072</v>
      </c>
      <c r="F250" s="385">
        <f t="shared" si="75"/>
        <v>45.223034977625872</v>
      </c>
      <c r="G250" s="110">
        <f t="shared" si="97"/>
        <v>0.88676324235291581</v>
      </c>
      <c r="H250" s="414" t="b">
        <f>Wh_hp&gt;='2020'!Maxi_hp</f>
        <v>0</v>
      </c>
      <c r="I250" s="380">
        <f>IF(H250,Wh_hp,'2020'!Maxi_hp)</f>
        <v>49.324626465187585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3.6816034442115494E-2</v>
      </c>
      <c r="M250" s="843"/>
      <c r="N250" s="843"/>
      <c r="O250" s="48">
        <f>IF(t&lt;Tnet,'2020'!Resal+('2020'!Salim-'2020'!Resal)*(1-EXP(('2020'!Tnet-t)/('2020'!Tau_j))),Resal+(Salim-Resal)*(1-EXP((Tnet-t)/(Tau_j))))*Salcycl</f>
        <v>4.8925928454739524E-2</v>
      </c>
      <c r="P250" s="169">
        <f>(INDEX(Models!$BJ250:$BT250,,T250)*(1-R250)+INDEX(Models!$BJ250:$BT250,,T250+1)*R250-ERP_i)*Q250*Ramure*Pc/MaxiM</f>
        <v>6.4973575554233909E-3</v>
      </c>
      <c r="Q250" s="305">
        <f t="shared" si="77"/>
        <v>0.8</v>
      </c>
      <c r="R250" s="177">
        <f t="shared" si="78"/>
        <v>0.17391082398180413</v>
      </c>
      <c r="S250" s="809">
        <f t="shared" si="79"/>
        <v>1</v>
      </c>
      <c r="T250" s="176">
        <f t="shared" si="80"/>
        <v>7</v>
      </c>
      <c r="U250" s="251">
        <f t="shared" si="81"/>
        <v>1.1739108239818041</v>
      </c>
      <c r="V250" s="383">
        <f t="shared" si="82"/>
        <v>46.41353373337914</v>
      </c>
      <c r="W250" s="402"/>
      <c r="X250" s="157">
        <f t="shared" si="83"/>
        <v>44432</v>
      </c>
      <c r="Y250" s="385">
        <f t="shared" si="84"/>
        <v>36.980480790862686</v>
      </c>
      <c r="Z250" s="385">
        <f t="shared" si="85"/>
        <v>38.393995449709621</v>
      </c>
      <c r="AA250" s="386">
        <f t="shared" si="86"/>
        <v>44.269515226054423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0.13272157479797328</v>
      </c>
      <c r="AD250" s="231">
        <f>(INDEX(Models!$BJ250:$BT250,,AH250)*(1-AF250)+INDEX(Models!$BJ250:$BT250,,AH250+1)*AF250-ERP_i)*AE250*Ramure*Pc/MaxiM</f>
        <v>2.5114065183549885E-2</v>
      </c>
      <c r="AE250" s="305">
        <f t="shared" si="88"/>
        <v>0.8</v>
      </c>
      <c r="AF250" s="177">
        <f t="shared" si="89"/>
        <v>0.37384439813432557</v>
      </c>
      <c r="AG250" s="809">
        <f t="shared" si="95"/>
        <v>2</v>
      </c>
      <c r="AH250" s="176">
        <f t="shared" si="90"/>
        <v>8</v>
      </c>
      <c r="AI250" s="225">
        <f t="shared" si="91"/>
        <v>2.3738443981343256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6">
        <v>41.100999999999999</v>
      </c>
      <c r="C251" s="390"/>
      <c r="D251" s="393">
        <f t="shared" si="74"/>
        <v>42.673018869311072</v>
      </c>
      <c r="E251" s="385">
        <f t="shared" si="96"/>
        <v>44.878456254623337</v>
      </c>
      <c r="F251" s="385">
        <f t="shared" si="75"/>
        <v>45.140912185234313</v>
      </c>
      <c r="G251" s="110">
        <f t="shared" si="97"/>
        <v>0.89024908678208914</v>
      </c>
      <c r="H251" s="414" t="b">
        <f>Wh_hp&gt;='2020'!Maxi_hp</f>
        <v>0</v>
      </c>
      <c r="I251" s="380">
        <f>IF(H251,Wh_hp,'2020'!Maxi_hp)</f>
        <v>46.238410109379274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3.6838707711903049E-2</v>
      </c>
      <c r="M251" s="843"/>
      <c r="N251" s="843"/>
      <c r="O251" s="48">
        <f>IF(t&lt;Tnet,'2020'!Resal+('2020'!Salim-'2020'!Resal)*(1-EXP(('2020'!Tnet-t)/('2020'!Tau_j))),Resal+(Salim-Resal)*(1-EXP((Tnet-t)/(Tau_j))))*Salcycl</f>
        <v>4.9142452066520417E-2</v>
      </c>
      <c r="P251" s="169">
        <f>(INDEX(Models!$BJ251:$BT251,,T251)*(1-R251)+INDEX(Models!$BJ251:$BT251,,T251+1)*R251-ERP_i)*Q251*Ramure*Pc/MaxiM</f>
        <v>6.8840446332789854E-3</v>
      </c>
      <c r="Q251" s="305">
        <f t="shared" si="77"/>
        <v>0.8</v>
      </c>
      <c r="R251" s="177">
        <f t="shared" si="78"/>
        <v>0.17492718218336156</v>
      </c>
      <c r="S251" s="809">
        <f t="shared" si="79"/>
        <v>1</v>
      </c>
      <c r="T251" s="176">
        <f t="shared" si="80"/>
        <v>7</v>
      </c>
      <c r="U251" s="251">
        <f t="shared" si="81"/>
        <v>1.1749271821833616</v>
      </c>
      <c r="V251" s="383">
        <f t="shared" si="82"/>
        <v>46.118293868575719</v>
      </c>
      <c r="W251" s="402"/>
      <c r="X251" s="157">
        <f t="shared" si="83"/>
        <v>44433</v>
      </c>
      <c r="Y251" s="385">
        <f t="shared" si="84"/>
        <v>36.866218674664999</v>
      </c>
      <c r="Z251" s="385">
        <f t="shared" si="85"/>
        <v>38.276266882658028</v>
      </c>
      <c r="AA251" s="386">
        <f t="shared" si="86"/>
        <v>44.138632190460271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0.13281710413013842</v>
      </c>
      <c r="AD251" s="231">
        <f>(INDEX(Models!$BJ251:$BT251,,AH251)*(1-AF251)+INDEX(Models!$BJ251:$BT251,,AH251+1)*AF251-ERP_i)*AE251*Ramure*Pc/MaxiM</f>
        <v>2.6289138153613632E-2</v>
      </c>
      <c r="AE251" s="305">
        <f t="shared" si="88"/>
        <v>0.8</v>
      </c>
      <c r="AF251" s="177">
        <f t="shared" si="89"/>
        <v>0.37486075633588278</v>
      </c>
      <c r="AG251" s="809">
        <f t="shared" si="95"/>
        <v>2</v>
      </c>
      <c r="AH251" s="176">
        <f t="shared" si="90"/>
        <v>8</v>
      </c>
      <c r="AI251" s="225">
        <f t="shared" si="91"/>
        <v>2.3748607563358828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6">
        <v>43.304000000000002</v>
      </c>
      <c r="C252" s="390"/>
      <c r="D252" s="393">
        <f t="shared" si="74"/>
        <v>44.961336946923304</v>
      </c>
      <c r="E252" s="385">
        <f t="shared" si="96"/>
        <v>47.295783913557756</v>
      </c>
      <c r="F252" s="385">
        <f t="shared" si="75"/>
        <v>47.616086487227513</v>
      </c>
      <c r="G252" s="110">
        <f t="shared" si="97"/>
        <v>0.94458933794657518</v>
      </c>
      <c r="H252" s="414" t="b">
        <f>Wh_hp&gt;='2020'!Maxi_hp</f>
        <v>1</v>
      </c>
      <c r="I252" s="380">
        <f>IF(H252,Wh_hp,'2020'!Maxi_hp)</f>
        <v>47.616086487227513</v>
      </c>
      <c r="J252" s="85">
        <f>IF(H252,An,'2020'!An_max)</f>
        <v>2021</v>
      </c>
      <c r="K252" s="197">
        <f t="shared" si="76"/>
        <v>44434</v>
      </c>
      <c r="L252" s="147">
        <f>IF(t&lt;Tvie,1-EXP((T0-t)*PertePVj)+'2020'!Pspv,1-EXP((T0-t)*PertePVj)+Pspv)</f>
        <v>3.686138045405056E-2</v>
      </c>
      <c r="M252" s="843"/>
      <c r="N252" s="843"/>
      <c r="O252" s="48">
        <f>IF(t&lt;Tnet,'2020'!Resal+('2020'!Salim-'2020'!Resal)*(1-EXP(('2020'!Tnet-t)/('2020'!Tau_j))),Resal+(Salim-Resal)*(1-EXP((Tnet-t)/(Tau_j))))*Salcycl</f>
        <v>4.935845805835689E-2</v>
      </c>
      <c r="P252" s="169">
        <f>(INDEX(Models!$BJ252:$BT252,,T252)*(1-R252)+INDEX(Models!$BJ252:$BT252,,T252+1)*R252-ERP_i)*Q252*Ramure*Pc/MaxiM</f>
        <v>7.2988601371565343E-3</v>
      </c>
      <c r="Q252" s="305">
        <f t="shared" si="77"/>
        <v>0.8</v>
      </c>
      <c r="R252" s="177">
        <f t="shared" si="78"/>
        <v>0.17590600538504608</v>
      </c>
      <c r="S252" s="809">
        <f t="shared" si="79"/>
        <v>1</v>
      </c>
      <c r="T252" s="176">
        <f t="shared" si="80"/>
        <v>7</v>
      </c>
      <c r="U252" s="251">
        <f t="shared" si="81"/>
        <v>1.1759060053850461</v>
      </c>
      <c r="V252" s="383">
        <f t="shared" si="82"/>
        <v>45.817856285241213</v>
      </c>
      <c r="W252" s="402"/>
      <c r="X252" s="157">
        <f t="shared" si="83"/>
        <v>44434</v>
      </c>
      <c r="Y252" s="385">
        <f t="shared" si="84"/>
        <v>38.7573248631669</v>
      </c>
      <c r="Z252" s="385">
        <f t="shared" si="85"/>
        <v>40.240650802101769</v>
      </c>
      <c r="AA252" s="386">
        <f t="shared" si="86"/>
        <v>46.408957196116681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0.13291198007205066</v>
      </c>
      <c r="AD252" s="231">
        <f>(INDEX(Models!$BJ252:$BT252,,AH252)*(1-AF252)+INDEX(Models!$BJ252:$BT252,,AH252+1)*AF252-ERP_i)*AE252*Ramure*Pc/MaxiM</f>
        <v>2.7507327719342868E-2</v>
      </c>
      <c r="AE252" s="305">
        <f t="shared" si="88"/>
        <v>0.8</v>
      </c>
      <c r="AF252" s="177">
        <f t="shared" si="89"/>
        <v>0.3758395795375673</v>
      </c>
      <c r="AG252" s="809">
        <f t="shared" si="95"/>
        <v>2</v>
      </c>
      <c r="AH252" s="176">
        <f t="shared" si="90"/>
        <v>8</v>
      </c>
      <c r="AI252" s="225">
        <f t="shared" si="91"/>
        <v>2.3758395795375673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6">
        <v>38.058999999999997</v>
      </c>
      <c r="C253" s="390"/>
      <c r="D253" s="393">
        <f t="shared" si="74"/>
        <v>39.516529765136404</v>
      </c>
      <c r="E253" s="385">
        <f t="shared" si="96"/>
        <v>41.577700057043884</v>
      </c>
      <c r="F253" s="385">
        <f t="shared" si="75"/>
        <v>41.825772636804444</v>
      </c>
      <c r="G253" s="110">
        <f t="shared" si="97"/>
        <v>0.83471497253595062</v>
      </c>
      <c r="H253" s="414" t="b">
        <f>Wh_hp&gt;='2020'!Maxi_hp</f>
        <v>1</v>
      </c>
      <c r="I253" s="380">
        <f>IF(H253,Wh_hp,'2020'!Maxi_hp)</f>
        <v>41.825772636804444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3.688405266857013E-2</v>
      </c>
      <c r="M253" s="843"/>
      <c r="N253" s="843"/>
      <c r="O253" s="48">
        <f>IF(t&lt;Tnet,'2020'!Resal+('2020'!Salim-'2020'!Resal)*(1-EXP(('2020'!Tnet-t)/('2020'!Tau_j))),Resal+(Salim-Resal)*(1-EXP((Tnet-t)/(Tau_j))))*Salcycl</f>
        <v>4.957393720863796E-2</v>
      </c>
      <c r="P253" s="169">
        <f>(INDEX(Models!$BJ253:$BT253,,T253)*(1-R253)+INDEX(Models!$BJ253:$BT253,,T253+1)*R253-ERP_i)*Q253*Ramure*Pc/MaxiM</f>
        <v>7.7423837443225197E-3</v>
      </c>
      <c r="Q253" s="305">
        <f t="shared" si="77"/>
        <v>0.8</v>
      </c>
      <c r="R253" s="177">
        <f t="shared" si="78"/>
        <v>0.17684855358734275</v>
      </c>
      <c r="S253" s="809">
        <f t="shared" si="79"/>
        <v>1</v>
      </c>
      <c r="T253" s="176">
        <f t="shared" si="80"/>
        <v>7</v>
      </c>
      <c r="U253" s="251">
        <f t="shared" si="81"/>
        <v>1.1768485535873427</v>
      </c>
      <c r="V253" s="383">
        <f t="shared" si="82"/>
        <v>45.512125767904635</v>
      </c>
      <c r="W253" s="402"/>
      <c r="X253" s="157">
        <f t="shared" si="83"/>
        <v>44435</v>
      </c>
      <c r="Y253" s="385">
        <f t="shared" si="84"/>
        <v>34.155454899975474</v>
      </c>
      <c r="Z253" s="385">
        <f t="shared" si="85"/>
        <v>35.463492214631366</v>
      </c>
      <c r="AA253" s="386">
        <f t="shared" si="86"/>
        <v>40.903973577365782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0.13300618220976235</v>
      </c>
      <c r="AD253" s="231">
        <f>(INDEX(Models!$BJ253:$BT253,,AH253)*(1-AF253)+INDEX(Models!$BJ253:$BT253,,AH253+1)*AF253-ERP_i)*AE253*Ramure*Pc/MaxiM</f>
        <v>2.8769491816541086E-2</v>
      </c>
      <c r="AE253" s="305">
        <f t="shared" si="88"/>
        <v>0.8</v>
      </c>
      <c r="AF253" s="177">
        <f t="shared" si="89"/>
        <v>0.37678212773986397</v>
      </c>
      <c r="AG253" s="809">
        <f t="shared" si="95"/>
        <v>2</v>
      </c>
      <c r="AH253" s="176">
        <f t="shared" si="90"/>
        <v>8</v>
      </c>
      <c r="AI253" s="225">
        <f t="shared" si="91"/>
        <v>2.376782127739864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6">
        <v>44.09</v>
      </c>
      <c r="C254" s="390"/>
      <c r="D254" s="393">
        <f t="shared" si="74"/>
        <v>45.779574123278856</v>
      </c>
      <c r="E254" s="385">
        <f t="shared" si="96"/>
        <v>48.178318645413817</v>
      </c>
      <c r="F254" s="385">
        <f t="shared" si="75"/>
        <v>48.563065558192143</v>
      </c>
      <c r="G254" s="110">
        <f t="shared" si="97"/>
        <v>0.97513304993119698</v>
      </c>
      <c r="H254" s="414" t="b">
        <f>Wh_hp&gt;='2020'!Maxi_hp</f>
        <v>1</v>
      </c>
      <c r="I254" s="380">
        <f>IF(H254,Wh_hp,'2020'!Maxi_hp)</f>
        <v>48.563065558192143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3.6906724355474305E-2</v>
      </c>
      <c r="M254" s="843"/>
      <c r="N254" s="843"/>
      <c r="O254" s="48">
        <f>IF(t&lt;Tnet,'2020'!Resal+('2020'!Salim-'2020'!Resal)*(1-EXP(('2020'!Tnet-t)/('2020'!Tau_j))),Resal+(Salim-Resal)*(1-EXP((Tnet-t)/(Tau_j))))*Salcycl</f>
        <v>4.978887992728448E-2</v>
      </c>
      <c r="P254" s="169">
        <f>(INDEX(Models!$BJ254:$BT254,,T254)*(1-R254)+INDEX(Models!$BJ254:$BT254,,T254+1)*R254-ERP_i)*Q254*Ramure*Pc/MaxiM</f>
        <v>8.2109872660770019E-3</v>
      </c>
      <c r="Q254" s="305">
        <f t="shared" si="77"/>
        <v>0.8</v>
      </c>
      <c r="R254" s="177">
        <f t="shared" si="78"/>
        <v>0.1777560541304144</v>
      </c>
      <c r="S254" s="809">
        <f t="shared" si="79"/>
        <v>1</v>
      </c>
      <c r="T254" s="176">
        <f t="shared" si="80"/>
        <v>7</v>
      </c>
      <c r="U254" s="251">
        <f t="shared" si="81"/>
        <v>1.1777560541304144</v>
      </c>
      <c r="V254" s="383">
        <f t="shared" si="82"/>
        <v>45.201200531862483</v>
      </c>
      <c r="W254" s="402"/>
      <c r="X254" s="157">
        <f t="shared" si="83"/>
        <v>44436</v>
      </c>
      <c r="Y254" s="385">
        <f t="shared" si="84"/>
        <v>39.369794680067692</v>
      </c>
      <c r="Z254" s="385">
        <f t="shared" si="85"/>
        <v>40.878485683248549</v>
      </c>
      <c r="AA254" s="386">
        <f t="shared" si="86"/>
        <v>47.154771066540604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0.13309968941288083</v>
      </c>
      <c r="AD254" s="231">
        <f>(INDEX(Models!$BJ254:$BT254,,AH254)*(1-AF254)+INDEX(Models!$BJ254:$BT254,,AH254+1)*AF254-ERP_i)*AE254*Ramure*Pc/MaxiM</f>
        <v>3.0054791224535866E-2</v>
      </c>
      <c r="AE254" s="305">
        <f t="shared" si="88"/>
        <v>0.8</v>
      </c>
      <c r="AF254" s="177">
        <f t="shared" si="89"/>
        <v>0.37768962828293562</v>
      </c>
      <c r="AG254" s="809">
        <f t="shared" si="95"/>
        <v>2</v>
      </c>
      <c r="AH254" s="176">
        <f t="shared" si="90"/>
        <v>8</v>
      </c>
      <c r="AI254" s="225">
        <f t="shared" si="91"/>
        <v>2.3776896282829356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6">
        <v>43.097999999999999</v>
      </c>
      <c r="C255" s="390"/>
      <c r="D255" s="393">
        <f t="shared" si="74"/>
        <v>44.750613090341901</v>
      </c>
      <c r="E255" s="385">
        <f t="shared" si="96"/>
        <v>47.106070969668316</v>
      </c>
      <c r="F255" s="385">
        <f t="shared" si="75"/>
        <v>47.495208459406513</v>
      </c>
      <c r="G255" s="110">
        <f t="shared" si="97"/>
        <v>0.95969173505301808</v>
      </c>
      <c r="H255" s="414" t="b">
        <f>Wh_hp&gt;='2020'!Maxi_hp</f>
        <v>1</v>
      </c>
      <c r="I255" s="380">
        <f>IF(H255,Wh_hp,'2020'!Maxi_hp)</f>
        <v>47.495208459406513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3.6929395514775074E-2</v>
      </c>
      <c r="M255" s="843"/>
      <c r="N255" s="843"/>
      <c r="O255" s="48">
        <f>IF(t&lt;Tnet,'2020'!Resal+('2020'!Salim-'2020'!Resal)*(1-EXP(('2020'!Tnet-t)/('2020'!Tau_j))),Resal+(Salim-Resal)*(1-EXP((Tnet-t)/(Tau_j))))*Salcycl</f>
        <v>5.0003276241041138E-2</v>
      </c>
      <c r="P255" s="169">
        <f>(INDEX(Models!$BJ255:$BT255,,T255)*(1-R255)+INDEX(Models!$BJ255:$BT255,,T255+1)*R255-ERP_i)*Q255*Ramure*Pc/MaxiM</f>
        <v>8.6875105229788606E-3</v>
      </c>
      <c r="Q255" s="305">
        <f t="shared" si="77"/>
        <v>0.8</v>
      </c>
      <c r="R255" s="177">
        <f t="shared" si="78"/>
        <v>0.17862970177316795</v>
      </c>
      <c r="S255" s="809">
        <f t="shared" si="79"/>
        <v>1</v>
      </c>
      <c r="T255" s="176">
        <f t="shared" si="80"/>
        <v>7</v>
      </c>
      <c r="U255" s="251">
        <f t="shared" si="81"/>
        <v>1.1786297017731679</v>
      </c>
      <c r="V255" s="383">
        <f t="shared" si="82"/>
        <v>44.885788230639974</v>
      </c>
      <c r="W255" s="402"/>
      <c r="X255" s="157">
        <f t="shared" si="83"/>
        <v>44437</v>
      </c>
      <c r="Y255" s="385">
        <f t="shared" si="84"/>
        <v>38.47688703618595</v>
      </c>
      <c r="Z255" s="385">
        <f t="shared" si="85"/>
        <v>39.952301375403721</v>
      </c>
      <c r="AA255" s="386">
        <f t="shared" si="86"/>
        <v>46.091318366129265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0.13319247980628118</v>
      </c>
      <c r="AD255" s="231">
        <f>(INDEX(Models!$BJ255:$BT255,,AH255)*(1-AF255)+INDEX(Models!$BJ255:$BT255,,AH255+1)*AF255-ERP_i)*AE255*Ramure*Pc/MaxiM</f>
        <v>3.1341904288526165E-2</v>
      </c>
      <c r="AE255" s="305">
        <f t="shared" si="88"/>
        <v>0.8</v>
      </c>
      <c r="AF255" s="177">
        <f t="shared" si="89"/>
        <v>0.37856327592568917</v>
      </c>
      <c r="AG255" s="809">
        <f t="shared" si="95"/>
        <v>2</v>
      </c>
      <c r="AH255" s="176">
        <f t="shared" si="90"/>
        <v>8</v>
      </c>
      <c r="AI255" s="225">
        <f t="shared" si="91"/>
        <v>2.3785632759256892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6">
        <v>42.230000000000004</v>
      </c>
      <c r="C256" s="390"/>
      <c r="D256" s="393">
        <f t="shared" si="74"/>
        <v>43.850361457110417</v>
      </c>
      <c r="E256" s="385">
        <f t="shared" si="96"/>
        <v>46.168826776528377</v>
      </c>
      <c r="F256" s="385">
        <f t="shared" si="75"/>
        <v>46.563941644559634</v>
      </c>
      <c r="G256" s="110">
        <f t="shared" si="97"/>
        <v>0.94693139350665989</v>
      </c>
      <c r="H256" s="414" t="b">
        <f>Wh_hp&gt;='2020'!Maxi_hp</f>
        <v>1</v>
      </c>
      <c r="I256" s="380">
        <f>IF(H256,Wh_hp,'2020'!Maxi_hp)</f>
        <v>46.563941644559634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3.6952066146484872E-2</v>
      </c>
      <c r="M256" s="843"/>
      <c r="N256" s="843"/>
      <c r="O256" s="48">
        <f>IF(t&lt;Tnet,'2020'!Resal+('2020'!Salim-'2020'!Resal)*(1-EXP(('2020'!Tnet-t)/('2020'!Tau_j))),Resal+(Salim-Resal)*(1-EXP((Tnet-t)/(Tau_j))))*Salcycl</f>
        <v>5.021711577467753E-2</v>
      </c>
      <c r="P256" s="169">
        <f>(INDEX(Models!$BJ256:$BT256,,T256)*(1-R256)+INDEX(Models!$BJ256:$BT256,,T256+1)*R256-ERP_i)*Q256*Ramure*Pc/MaxiM</f>
        <v>9.1721904296127883E-3</v>
      </c>
      <c r="Q256" s="305">
        <f t="shared" si="77"/>
        <v>0.8</v>
      </c>
      <c r="R256" s="177">
        <f t="shared" si="78"/>
        <v>0.17947065884657776</v>
      </c>
      <c r="S256" s="809">
        <f t="shared" si="79"/>
        <v>1</v>
      </c>
      <c r="T256" s="176">
        <f t="shared" si="80"/>
        <v>7</v>
      </c>
      <c r="U256" s="251">
        <f t="shared" si="81"/>
        <v>1.1794706588465778</v>
      </c>
      <c r="V256" s="383">
        <f t="shared" si="82"/>
        <v>44.565794327486117</v>
      </c>
      <c r="W256" s="402"/>
      <c r="X256" s="157">
        <f t="shared" si="83"/>
        <v>44438</v>
      </c>
      <c r="Y256" s="385">
        <f t="shared" si="84"/>
        <v>37.693096763560412</v>
      </c>
      <c r="Z256" s="385">
        <f t="shared" si="85"/>
        <v>39.139377634855855</v>
      </c>
      <c r="AA256" s="386">
        <f t="shared" si="86"/>
        <v>45.158277453946646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0.13328453073146987</v>
      </c>
      <c r="AD256" s="231">
        <f>(INDEX(Models!$BJ256:$BT256,,AH256)*(1-AF256)+INDEX(Models!$BJ256:$BT256,,AH256+1)*AF256-ERP_i)*AE256*Ramure*Pc/MaxiM</f>
        <v>3.2631066759477141E-2</v>
      </c>
      <c r="AE256" s="305">
        <f t="shared" si="88"/>
        <v>0.8</v>
      </c>
      <c r="AF256" s="177">
        <f t="shared" si="89"/>
        <v>0.3794042329990992</v>
      </c>
      <c r="AG256" s="809">
        <f t="shared" si="95"/>
        <v>2</v>
      </c>
      <c r="AH256" s="176">
        <f t="shared" si="90"/>
        <v>8</v>
      </c>
      <c r="AI256" s="225">
        <f t="shared" si="91"/>
        <v>2.3794042329990992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6">
        <v>41.755000000000003</v>
      </c>
      <c r="C257" s="390"/>
      <c r="D257" s="393">
        <f t="shared" si="74"/>
        <v>43.35815639709557</v>
      </c>
      <c r="E257" s="385">
        <f t="shared" si="96"/>
        <v>45.660850807323023</v>
      </c>
      <c r="F257" s="385">
        <f t="shared" si="75"/>
        <v>46.070387290584499</v>
      </c>
      <c r="G257" s="110">
        <f t="shared" si="97"/>
        <v>0.94306624646207726</v>
      </c>
      <c r="H257" s="414" t="b">
        <f>Wh_hp&gt;='2020'!Maxi_hp</f>
        <v>1</v>
      </c>
      <c r="I257" s="380">
        <f>IF(H257,Wh_hp,'2020'!Maxi_hp)</f>
        <v>46.070387290584499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3.6974736250616022E-2</v>
      </c>
      <c r="M257" s="843"/>
      <c r="N257" s="843"/>
      <c r="O257" s="48">
        <f>IF(t&lt;Tnet,'2020'!Resal+('2020'!Salim-'2020'!Resal)*(1-EXP(('2020'!Tnet-t)/('2020'!Tau_j))),Resal+(Salim-Resal)*(1-EXP((Tnet-t)/(Tau_j))))*Salcycl</f>
        <v>5.0430387728521091E-2</v>
      </c>
      <c r="P257" s="169">
        <f>(INDEX(Models!$BJ257:$BT257,,T257)*(1-R257)+INDEX(Models!$BJ257:$BT257,,T257+1)*R257-ERP_i)*Q257*Ramure*Pc/MaxiM</f>
        <v>9.6652778597268018E-3</v>
      </c>
      <c r="Q257" s="305">
        <f t="shared" si="77"/>
        <v>0.8</v>
      </c>
      <c r="R257" s="177">
        <f t="shared" si="78"/>
        <v>0.18028005547421788</v>
      </c>
      <c r="S257" s="809">
        <f t="shared" si="79"/>
        <v>1</v>
      </c>
      <c r="T257" s="176">
        <f t="shared" si="80"/>
        <v>7</v>
      </c>
      <c r="U257" s="251">
        <f t="shared" si="81"/>
        <v>1.1802800554742179</v>
      </c>
      <c r="V257" s="383">
        <f t="shared" si="82"/>
        <v>44.241124446509396</v>
      </c>
      <c r="W257" s="402"/>
      <c r="X257" s="157">
        <f t="shared" si="83"/>
        <v>44439</v>
      </c>
      <c r="Y257" s="385">
        <f t="shared" si="84"/>
        <v>37.249872705470167</v>
      </c>
      <c r="Z257" s="385">
        <f t="shared" si="85"/>
        <v>38.680057634670746</v>
      </c>
      <c r="AA257" s="386">
        <f t="shared" si="86"/>
        <v>44.633023713464624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0.13337581869896989</v>
      </c>
      <c r="AD257" s="231">
        <f>(INDEX(Models!$BJ257:$BT257,,AH257)*(1-AF257)+INDEX(Models!$BJ257:$BT257,,AH257+1)*AF257-ERP_i)*AE257*Ramure*Pc/MaxiM</f>
        <v>3.3922541522251839E-2</v>
      </c>
      <c r="AE257" s="305">
        <f t="shared" si="88"/>
        <v>0.8</v>
      </c>
      <c r="AF257" s="177">
        <f t="shared" si="89"/>
        <v>0.3802136296267391</v>
      </c>
      <c r="AG257" s="809">
        <f t="shared" si="95"/>
        <v>2</v>
      </c>
      <c r="AH257" s="176">
        <f t="shared" si="90"/>
        <v>8</v>
      </c>
      <c r="AI257" s="225">
        <f t="shared" si="91"/>
        <v>2.3802136296267391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6">
        <v>29.131</v>
      </c>
      <c r="C258" s="390"/>
      <c r="D258" s="393">
        <f t="shared" si="74"/>
        <v>30.250178116106074</v>
      </c>
      <c r="E258" s="385">
        <f t="shared" si="96"/>
        <v>31.863862269293289</v>
      </c>
      <c r="F258" s="385">
        <f t="shared" si="75"/>
        <v>32.032936643616559</v>
      </c>
      <c r="G258" s="110">
        <f t="shared" si="97"/>
        <v>0.66013923778074857</v>
      </c>
      <c r="H258" s="414" t="b">
        <f>Wh_hp&gt;='2020'!Maxi_hp</f>
        <v>0</v>
      </c>
      <c r="I258" s="380">
        <f>IF(H258,Wh_hp,'2020'!Maxi_hp)</f>
        <v>47.663426724874789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3.6997405827180627E-2</v>
      </c>
      <c r="M258" s="843"/>
      <c r="N258" s="843"/>
      <c r="O258" s="48">
        <f>IF(t&lt;Tnet,'2020'!Resal+('2020'!Salim-'2020'!Resal)*(1-EXP(('2020'!Tnet-t)/('2020'!Tau_j))),Resal+(Salim-Resal)*(1-EXP((Tnet-t)/(Tau_j))))*Salcycl</f>
        <v>5.0643080852828648E-2</v>
      </c>
      <c r="P258" s="169">
        <f>(INDEX(Models!$BJ258:$BT258,,T258)*(1-R258)+INDEX(Models!$BJ258:$BT258,,T258+1)*R258-ERP_i)*Q258*Ramure*Pc/MaxiM</f>
        <v>1.0167038354598656E-2</v>
      </c>
      <c r="Q258" s="305">
        <f t="shared" si="77"/>
        <v>0.8</v>
      </c>
      <c r="R258" s="177">
        <f t="shared" si="78"/>
        <v>0.18105898985336388</v>
      </c>
      <c r="S258" s="809">
        <f t="shared" si="79"/>
        <v>1</v>
      </c>
      <c r="T258" s="176">
        <f t="shared" si="80"/>
        <v>7</v>
      </c>
      <c r="U258" s="251">
        <f t="shared" si="81"/>
        <v>1.1810589898533639</v>
      </c>
      <c r="V258" s="383">
        <f t="shared" si="82"/>
        <v>43.911684376831076</v>
      </c>
      <c r="W258" s="402"/>
      <c r="X258" s="157">
        <f t="shared" si="83"/>
        <v>44440</v>
      </c>
      <c r="Y258" s="385">
        <f t="shared" si="84"/>
        <v>26.241956871543227</v>
      </c>
      <c r="Z258" s="385">
        <f t="shared" si="85"/>
        <v>27.250141412219158</v>
      </c>
      <c r="AA258" s="386">
        <f t="shared" si="86"/>
        <v>31.447296302727061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0.13346631933327549</v>
      </c>
      <c r="AD258" s="231">
        <f>(INDEX(Models!$BJ258:$BT258,,AH258)*(1-AF258)+INDEX(Models!$BJ258:$BT258,,AH258+1)*AF258-ERP_i)*AE258*Ramure*Pc/MaxiM</f>
        <v>3.5216618909020919E-2</v>
      </c>
      <c r="AE258" s="305">
        <f t="shared" si="88"/>
        <v>0.8</v>
      </c>
      <c r="AF258" s="177">
        <f t="shared" si="89"/>
        <v>0.3809925640058851</v>
      </c>
      <c r="AG258" s="809">
        <f t="shared" si="95"/>
        <v>2</v>
      </c>
      <c r="AH258" s="176">
        <f t="shared" si="90"/>
        <v>8</v>
      </c>
      <c r="AI258" s="225">
        <f t="shared" si="91"/>
        <v>2.3809925640058851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6">
        <v>17.891999999999999</v>
      </c>
      <c r="C259" s="390"/>
      <c r="D259" s="393">
        <f t="shared" si="74"/>
        <v>18.579826570839106</v>
      </c>
      <c r="E259" s="385">
        <f t="shared" si="96"/>
        <v>19.575333759687535</v>
      </c>
      <c r="F259" s="385">
        <f t="shared" si="75"/>
        <v>19.608408824159937</v>
      </c>
      <c r="G259" s="110">
        <f t="shared" si="97"/>
        <v>0.40688223257423239</v>
      </c>
      <c r="H259" s="414" t="b">
        <f>Wh_hp&gt;='2020'!Maxi_hp</f>
        <v>0</v>
      </c>
      <c r="I259" s="380">
        <f>IF(H259,Wh_hp,'2020'!Maxi_hp)</f>
        <v>47.150040214573764</v>
      </c>
      <c r="J259" s="85">
        <f>IF(H259,An,'2020'!An_max)</f>
        <v>2020</v>
      </c>
      <c r="K259" s="197">
        <f t="shared" si="76"/>
        <v>44441</v>
      </c>
      <c r="L259" s="147">
        <f>IF(t&lt;Tvie,1-EXP((T0-t)*PertePVj)+'2020'!Pspv,1-EXP((T0-t)*PertePVj)+Pspv)</f>
        <v>3.702007487619112E-2</v>
      </c>
      <c r="M259" s="843"/>
      <c r="N259" s="843"/>
      <c r="O259" s="48">
        <f>IF(t&lt;Tnet,'2020'!Resal+('2020'!Salim-'2020'!Resal)*(1-EXP(('2020'!Tnet-t)/('2020'!Tau_j))),Resal+(Salim-Resal)*(1-EXP((Tnet-t)/(Tau_j))))*Salcycl</f>
        <v>5.0855183419581208E-2</v>
      </c>
      <c r="P259" s="169">
        <f>(INDEX(Models!$BJ259:$BT259,,T259)*(1-R259)+INDEX(Models!$BJ259:$BT259,,T259+1)*R259-ERP_i)*Q259*Ramure*Pc/MaxiM</f>
        <v>1.0677752876968693E-2</v>
      </c>
      <c r="Q259" s="305">
        <f t="shared" si="77"/>
        <v>0.8</v>
      </c>
      <c r="R259" s="177">
        <f t="shared" si="78"/>
        <v>0.18180852859041163</v>
      </c>
      <c r="S259" s="809">
        <f t="shared" si="79"/>
        <v>1</v>
      </c>
      <c r="T259" s="176">
        <f t="shared" si="80"/>
        <v>7</v>
      </c>
      <c r="U259" s="251">
        <f t="shared" si="81"/>
        <v>1.1818085285904116</v>
      </c>
      <c r="V259" s="383">
        <f t="shared" si="82"/>
        <v>43.577380092488632</v>
      </c>
      <c r="W259" s="402"/>
      <c r="X259" s="157">
        <f t="shared" si="83"/>
        <v>44441</v>
      </c>
      <c r="Y259" s="385">
        <f t="shared" si="84"/>
        <v>16.266262327211862</v>
      </c>
      <c r="Z259" s="385">
        <f t="shared" si="85"/>
        <v>16.891590263546288</v>
      </c>
      <c r="AA259" s="386">
        <f t="shared" si="86"/>
        <v>19.49530541627346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0.13355600731208617</v>
      </c>
      <c r="AD259" s="231">
        <f>(INDEX(Models!$BJ259:$BT259,,AH259)*(1-AF259)+INDEX(Models!$BJ259:$BT259,,AH259+1)*AF259-ERP_i)*AE259*Ramure*Pc/MaxiM</f>
        <v>3.6513617077376291E-2</v>
      </c>
      <c r="AE259" s="305">
        <f t="shared" si="88"/>
        <v>0.8</v>
      </c>
      <c r="AF259" s="177">
        <f t="shared" si="89"/>
        <v>0.38174210274293285</v>
      </c>
      <c r="AG259" s="809">
        <f t="shared" si="95"/>
        <v>2</v>
      </c>
      <c r="AH259" s="176">
        <f t="shared" si="90"/>
        <v>8</v>
      </c>
      <c r="AI259" s="225">
        <f t="shared" si="91"/>
        <v>2.3817421027429329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6">
        <v>28.762</v>
      </c>
      <c r="C260" s="390"/>
      <c r="D260" s="393">
        <f t="shared" si="74"/>
        <v>29.868407764517695</v>
      </c>
      <c r="E260" s="385">
        <f t="shared" si="96"/>
        <v>31.475770989893864</v>
      </c>
      <c r="F260" s="385">
        <f t="shared" si="75"/>
        <v>31.660733351215683</v>
      </c>
      <c r="G260" s="110">
        <f t="shared" si="97"/>
        <v>0.66161654192840813</v>
      </c>
      <c r="H260" s="414" t="b">
        <f>Wh_hp&gt;='2020'!Maxi_hp</f>
        <v>0</v>
      </c>
      <c r="I260" s="380">
        <f>IF(H260,Wh_hp,'2020'!Maxi_hp)</f>
        <v>48.613808475226271</v>
      </c>
      <c r="J260" s="85">
        <f>IF(H260,An,'2020'!An_max)</f>
        <v>2019</v>
      </c>
      <c r="K260" s="197">
        <f t="shared" si="76"/>
        <v>44442</v>
      </c>
      <c r="L260" s="147">
        <f>IF(t&lt;Tvie,1-EXP((T0-t)*PertePVj)+'2020'!Pspv,1-EXP((T0-t)*PertePVj)+Pspv)</f>
        <v>3.7042743397659714E-2</v>
      </c>
      <c r="M260" s="843"/>
      <c r="N260" s="843"/>
      <c r="O260" s="48">
        <f>IF(t&lt;Tnet,'2020'!Resal+('2020'!Salim-'2020'!Resal)*(1-EXP(('2020'!Tnet-t)/('2020'!Tau_j))),Resal+(Salim-Resal)*(1-EXP((Tnet-t)/(Tau_j))))*Salcycl</f>
        <v>5.1066683192359484E-2</v>
      </c>
      <c r="P260" s="169">
        <f>(INDEX(Models!$BJ260:$BT260,,T260)*(1-R260)+INDEX(Models!$BJ260:$BT260,,T260+1)*R260-ERP_i)*Q260*Ramure*Pc/MaxiM</f>
        <v>1.1197718622933698E-2</v>
      </c>
      <c r="Q260" s="305">
        <f t="shared" si="77"/>
        <v>0.8</v>
      </c>
      <c r="R260" s="177">
        <f t="shared" si="78"/>
        <v>0.18252970708476224</v>
      </c>
      <c r="S260" s="809">
        <f t="shared" si="79"/>
        <v>1</v>
      </c>
      <c r="T260" s="176">
        <f t="shared" si="80"/>
        <v>7</v>
      </c>
      <c r="U260" s="251">
        <f t="shared" si="81"/>
        <v>1.1825297070847622</v>
      </c>
      <c r="V260" s="383">
        <f t="shared" si="82"/>
        <v>43.238117755336731</v>
      </c>
      <c r="W260" s="402"/>
      <c r="X260" s="157">
        <f t="shared" si="83"/>
        <v>44442</v>
      </c>
      <c r="Y260" s="385">
        <f t="shared" si="84"/>
        <v>25.892293141033484</v>
      </c>
      <c r="Z260" s="385">
        <f t="shared" si="85"/>
        <v>26.888309905250427</v>
      </c>
      <c r="AA260" s="386">
        <f t="shared" si="86"/>
        <v>31.036128891055604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0.13364485630166809</v>
      </c>
      <c r="AD260" s="231">
        <f>(INDEX(Models!$BJ260:$BT260,,AH260)*(1-AF260)+INDEX(Models!$BJ260:$BT260,,AH260+1)*AF260-ERP_i)*AE260*Ramure*Pc/MaxiM</f>
        <v>3.7813882486786722E-2</v>
      </c>
      <c r="AE260" s="305">
        <f t="shared" si="88"/>
        <v>0.8</v>
      </c>
      <c r="AF260" s="177">
        <f t="shared" si="89"/>
        <v>0.38246328123728368</v>
      </c>
      <c r="AG260" s="809">
        <f t="shared" si="95"/>
        <v>2</v>
      </c>
      <c r="AH260" s="176">
        <f t="shared" si="90"/>
        <v>8</v>
      </c>
      <c r="AI260" s="225">
        <f t="shared" si="91"/>
        <v>2.3824632812372837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6">
        <v>35.798999999999999</v>
      </c>
      <c r="C261" s="390"/>
      <c r="D261" s="393">
        <f t="shared" si="74"/>
        <v>37.176980060229674</v>
      </c>
      <c r="E261" s="385">
        <f t="shared" si="96"/>
        <v>39.186361345067034</v>
      </c>
      <c r="F261" s="385">
        <f t="shared" si="75"/>
        <v>39.540497965009429</v>
      </c>
      <c r="G261" s="110">
        <f t="shared" si="97"/>
        <v>0.83226611476087953</v>
      </c>
      <c r="H261" s="414" t="b">
        <f>Wh_hp&gt;='2020'!Maxi_hp</f>
        <v>0</v>
      </c>
      <c r="I261" s="380">
        <f>IF(H261,Wh_hp,'2020'!Maxi_hp)</f>
        <v>47.996366652785198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3.7065411391598732E-2</v>
      </c>
      <c r="M261" s="843"/>
      <c r="N261" s="843"/>
      <c r="O261" s="48">
        <f>IF(t&lt;Tnet,'2020'!Resal+('2020'!Salim-'2020'!Resal)*(1-EXP(('2020'!Tnet-t)/('2020'!Tau_j))),Resal+(Salim-Resal)*(1-EXP((Tnet-t)/(Tau_j))))*Salcycl</f>
        <v>5.1277567395021942E-2</v>
      </c>
      <c r="P261" s="169">
        <f>(INDEX(Models!$BJ261:$BT261,,T261)*(1-R261)+INDEX(Models!$BJ261:$BT261,,T261+1)*R261-ERP_i)*Q261*Ramure*Pc/MaxiM</f>
        <v>1.1727300162987545E-2</v>
      </c>
      <c r="Q261" s="305">
        <f t="shared" si="77"/>
        <v>0.8</v>
      </c>
      <c r="R261" s="177">
        <f t="shared" si="78"/>
        <v>0.18322352995567925</v>
      </c>
      <c r="S261" s="809">
        <f t="shared" si="79"/>
        <v>1</v>
      </c>
      <c r="T261" s="176">
        <f t="shared" si="80"/>
        <v>7</v>
      </c>
      <c r="U261" s="251">
        <f t="shared" si="81"/>
        <v>1.1832235299556793</v>
      </c>
      <c r="V261" s="383">
        <f t="shared" si="82"/>
        <v>42.893617677523778</v>
      </c>
      <c r="W261" s="402"/>
      <c r="X261" s="157">
        <f t="shared" si="83"/>
        <v>44443</v>
      </c>
      <c r="Y261" s="385">
        <f t="shared" si="84"/>
        <v>31.99768082656664</v>
      </c>
      <c r="Z261" s="385">
        <f t="shared" si="85"/>
        <v>33.229339983319683</v>
      </c>
      <c r="AA261" s="386">
        <f t="shared" si="86"/>
        <v>38.359228509542881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0.13373283889030771</v>
      </c>
      <c r="AD261" s="231">
        <f>(INDEX(Models!$BJ261:$BT261,,AH261)*(1-AF261)+INDEX(Models!$BJ261:$BT261,,AH261+1)*AF261-ERP_i)*AE261*Ramure*Pc/MaxiM</f>
        <v>3.9117958148125527E-2</v>
      </c>
      <c r="AE261" s="305">
        <f t="shared" si="88"/>
        <v>0.8</v>
      </c>
      <c r="AF261" s="177">
        <f t="shared" si="89"/>
        <v>0.38315710410820047</v>
      </c>
      <c r="AG261" s="809">
        <f t="shared" si="95"/>
        <v>2</v>
      </c>
      <c r="AH261" s="176">
        <f t="shared" si="90"/>
        <v>8</v>
      </c>
      <c r="AI261" s="225">
        <f t="shared" si="91"/>
        <v>2.3831571041082005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6">
        <v>36.18</v>
      </c>
      <c r="C262" s="390"/>
      <c r="D262" s="393">
        <f t="shared" si="74"/>
        <v>37.573530045294063</v>
      </c>
      <c r="E262" s="385">
        <f t="shared" si="96"/>
        <v>39.613123525156887</v>
      </c>
      <c r="F262" s="385">
        <f t="shared" si="75"/>
        <v>39.998981755162262</v>
      </c>
      <c r="G262" s="110">
        <f t="shared" si="97"/>
        <v>0.84816770724491775</v>
      </c>
      <c r="H262" s="414" t="b">
        <f>Wh_hp&gt;='2020'!Maxi_hp</f>
        <v>0</v>
      </c>
      <c r="I262" s="380">
        <f>IF(H262,Wh_hp,'2020'!Maxi_hp)</f>
        <v>45.417444264252914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3.7088078858020387E-2</v>
      </c>
      <c r="M262" s="843"/>
      <c r="N262" s="843"/>
      <c r="O262" s="48">
        <f>IF(t&lt;Tnet,'2020'!Resal+('2020'!Salim-'2020'!Resal)*(1-EXP(('2020'!Tnet-t)/('2020'!Tau_j))),Resal+(Salim-Resal)*(1-EXP((Tnet-t)/(Tau_j))))*Salcycl</f>
        <v>5.148782267996483E-2</v>
      </c>
      <c r="P262" s="169">
        <f>(INDEX(Models!$BJ262:$BT262,,T262)*(1-R262)+INDEX(Models!$BJ262:$BT262,,T262+1)*R262-ERP_i)*Q262*Ramure*Pc/MaxiM</f>
        <v>1.2268276770750413E-2</v>
      </c>
      <c r="Q262" s="305">
        <f t="shared" si="77"/>
        <v>0.8</v>
      </c>
      <c r="R262" s="177">
        <f t="shared" si="78"/>
        <v>0.18389097150700562</v>
      </c>
      <c r="S262" s="809">
        <f t="shared" si="79"/>
        <v>1</v>
      </c>
      <c r="T262" s="176">
        <f t="shared" si="80"/>
        <v>7</v>
      </c>
      <c r="U262" s="251">
        <f t="shared" si="81"/>
        <v>1.1838909715070056</v>
      </c>
      <c r="V262" s="383">
        <f t="shared" si="82"/>
        <v>42.543741294667299</v>
      </c>
      <c r="W262" s="402"/>
      <c r="X262" s="157">
        <f t="shared" si="83"/>
        <v>44444</v>
      </c>
      <c r="Y262" s="385">
        <f t="shared" si="84"/>
        <v>32.301553002374284</v>
      </c>
      <c r="Z262" s="385">
        <f t="shared" si="85"/>
        <v>33.545698514216937</v>
      </c>
      <c r="AA262" s="386">
        <f t="shared" si="86"/>
        <v>38.728319366106682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0.13381992652191729</v>
      </c>
      <c r="AD262" s="231">
        <f>(INDEX(Models!$BJ262:$BT262,,AH262)*(1-AF262)+INDEX(Models!$BJ262:$BT262,,AH262+1)*AF262-ERP_i)*AE262*Ramure*Pc/MaxiM</f>
        <v>4.0400428600161679E-2</v>
      </c>
      <c r="AE262" s="305">
        <f t="shared" si="88"/>
        <v>0.8</v>
      </c>
      <c r="AF262" s="177">
        <f t="shared" si="89"/>
        <v>0.38382454565952706</v>
      </c>
      <c r="AG262" s="809">
        <f t="shared" si="95"/>
        <v>2</v>
      </c>
      <c r="AH262" s="176">
        <f t="shared" si="90"/>
        <v>8</v>
      </c>
      <c r="AI262" s="225">
        <f t="shared" si="91"/>
        <v>2.3838245456595271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6">
        <v>38.731999999999999</v>
      </c>
      <c r="C263" s="390"/>
      <c r="D263" s="393">
        <f t="shared" si="74"/>
        <v>40.22477126100717</v>
      </c>
      <c r="E263" s="385">
        <f t="shared" si="96"/>
        <v>42.417655239720702</v>
      </c>
      <c r="F263" s="385">
        <f t="shared" si="75"/>
        <v>42.903091047988923</v>
      </c>
      <c r="G263" s="110">
        <f t="shared" si="97"/>
        <v>0.91666708429885457</v>
      </c>
      <c r="H263" s="414" t="b">
        <f>Wh_hp&gt;='2020'!Maxi_hp</f>
        <v>0</v>
      </c>
      <c r="I263" s="380">
        <f>IF(H263,Wh_hp,'2020'!Maxi_hp)</f>
        <v>48.931389708757251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3.7110745796937003E-2</v>
      </c>
      <c r="M263" s="843"/>
      <c r="N263" s="843"/>
      <c r="O263" s="48">
        <f>IF(t&lt;Tnet,'2020'!Resal+('2020'!Salim-'2020'!Resal)*(1-EXP(('2020'!Tnet-t)/('2020'!Tau_j))),Resal+(Salim-Resal)*(1-EXP((Tnet-t)/(Tau_j))))*Salcycl</f>
        <v>5.1697435096791346E-2</v>
      </c>
      <c r="P263" s="169">
        <f>(INDEX(Models!$BJ263:$BT263,,T263)*(1-R263)+INDEX(Models!$BJ263:$BT263,,T263+1)*R263-ERP_i)*Q263*Ramure*Pc/MaxiM</f>
        <v>1.2814764685148597E-2</v>
      </c>
      <c r="Q263" s="305">
        <f t="shared" si="77"/>
        <v>0.8</v>
      </c>
      <c r="R263" s="177">
        <f t="shared" si="78"/>
        <v>0.18453297622496345</v>
      </c>
      <c r="S263" s="809">
        <f t="shared" si="79"/>
        <v>1</v>
      </c>
      <c r="T263" s="176">
        <f t="shared" si="80"/>
        <v>7</v>
      </c>
      <c r="U263" s="251">
        <f t="shared" si="81"/>
        <v>1.1845329762249635</v>
      </c>
      <c r="V263" s="383">
        <f t="shared" si="82"/>
        <v>42.188964161504323</v>
      </c>
      <c r="W263" s="402"/>
      <c r="X263" s="157">
        <f t="shared" si="83"/>
        <v>44445</v>
      </c>
      <c r="Y263" s="385">
        <f t="shared" si="84"/>
        <v>34.463256582812193</v>
      </c>
      <c r="Z263" s="385">
        <f t="shared" si="85"/>
        <v>35.791506066121556</v>
      </c>
      <c r="AA263" s="386">
        <f t="shared" si="86"/>
        <v>41.325202301267105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0.13390608943191734</v>
      </c>
      <c r="AD263" s="231">
        <f>(INDEX(Models!$BJ263:$BT263,,AH263)*(1-AF263)+INDEX(Models!$BJ263:$BT263,,AH263+1)*AF263-ERP_i)*AE263*Ramure*Pc/MaxiM</f>
        <v>4.1653855451495095E-2</v>
      </c>
      <c r="AE263" s="305">
        <f t="shared" si="88"/>
        <v>0.8</v>
      </c>
      <c r="AF263" s="177">
        <f t="shared" si="89"/>
        <v>0.38446655037748467</v>
      </c>
      <c r="AG263" s="809">
        <f t="shared" si="95"/>
        <v>2</v>
      </c>
      <c r="AH263" s="176">
        <f t="shared" si="90"/>
        <v>8</v>
      </c>
      <c r="AI263" s="225">
        <f t="shared" si="91"/>
        <v>2.3844665503774847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6">
        <v>30.938000000000002</v>
      </c>
      <c r="C264" s="390"/>
      <c r="D264" s="393">
        <f t="shared" si="74"/>
        <v>32.131138822624585</v>
      </c>
      <c r="E264" s="385">
        <f t="shared" si="96"/>
        <v>33.890259870788952</v>
      </c>
      <c r="F264" s="385">
        <f t="shared" si="75"/>
        <v>34.177170571359277</v>
      </c>
      <c r="G264" s="110">
        <f t="shared" si="97"/>
        <v>0.73591298784995451</v>
      </c>
      <c r="H264" s="414" t="b">
        <f>Wh_hp&gt;='2020'!Maxi_hp</f>
        <v>0</v>
      </c>
      <c r="I264" s="380">
        <f>IF(H264,Wh_hp,'2020'!Maxi_hp)</f>
        <v>44.353228487080955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3.7133412208360791E-2</v>
      </c>
      <c r="M264" s="843"/>
      <c r="N264" s="843"/>
      <c r="O264" s="48">
        <f>IF(t&lt;Tnet,'2020'!Resal+('2020'!Salim-'2020'!Resal)*(1-EXP(('2020'!Tnet-t)/('2020'!Tau_j))),Resal+(Salim-Resal)*(1-EXP((Tnet-t)/(Tau_j))))*Salcycl</f>
        <v>5.1906390062255163E-2</v>
      </c>
      <c r="P264" s="169">
        <f>(INDEX(Models!$BJ264:$BT264,,T264)*(1-R264)+INDEX(Models!$BJ264:$BT264,,T264+1)*R264-ERP_i)*Q264*Ramure*Pc/MaxiM</f>
        <v>1.3366868977192191E-2</v>
      </c>
      <c r="Q264" s="305">
        <f t="shared" si="77"/>
        <v>0.8</v>
      </c>
      <c r="R264" s="177">
        <f t="shared" si="78"/>
        <v>0.18515045930460872</v>
      </c>
      <c r="S264" s="809">
        <f t="shared" si="79"/>
        <v>1</v>
      </c>
      <c r="T264" s="176">
        <f t="shared" si="80"/>
        <v>7</v>
      </c>
      <c r="U264" s="251">
        <f t="shared" si="81"/>
        <v>1.1851504593046087</v>
      </c>
      <c r="V264" s="383">
        <f t="shared" si="82"/>
        <v>41.829499601487967</v>
      </c>
      <c r="W264" s="402"/>
      <c r="X264" s="157">
        <f t="shared" si="83"/>
        <v>44446</v>
      </c>
      <c r="Y264" s="385">
        <f t="shared" si="84"/>
        <v>27.731235669200132</v>
      </c>
      <c r="Z264" s="385">
        <f t="shared" si="85"/>
        <v>28.800704085913374</v>
      </c>
      <c r="AA264" s="386">
        <f t="shared" si="86"/>
        <v>33.256829836035799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0.13399129658756417</v>
      </c>
      <c r="AD264" s="231">
        <f>(INDEX(Models!$BJ264:$BT264,,AH264)*(1-AF264)+INDEX(Models!$BJ264:$BT264,,AH264+1)*AF264-ERP_i)*AE264*Ramure*Pc/MaxiM</f>
        <v>4.2877710726673172E-2</v>
      </c>
      <c r="AE264" s="305">
        <f t="shared" si="88"/>
        <v>0.8</v>
      </c>
      <c r="AF264" s="177">
        <f t="shared" si="89"/>
        <v>0.38508403345712994</v>
      </c>
      <c r="AG264" s="809">
        <f t="shared" si="95"/>
        <v>2</v>
      </c>
      <c r="AH264" s="176">
        <f t="shared" si="90"/>
        <v>8</v>
      </c>
      <c r="AI264" s="225">
        <f t="shared" si="91"/>
        <v>2.3850840334571299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6">
        <v>26.878</v>
      </c>
      <c r="C265" s="390"/>
      <c r="D265" s="393">
        <f t="shared" si="74"/>
        <v>27.915220097922255</v>
      </c>
      <c r="E265" s="385">
        <f t="shared" si="96"/>
        <v>29.449997044062918</v>
      </c>
      <c r="F265" s="385">
        <f t="shared" si="75"/>
        <v>29.655406767831117</v>
      </c>
      <c r="G265" s="110">
        <f t="shared" si="97"/>
        <v>0.64363273050517955</v>
      </c>
      <c r="H265" s="414" t="b">
        <f>Wh_hp&gt;='2020'!Maxi_hp</f>
        <v>0</v>
      </c>
      <c r="I265" s="380">
        <f>IF(H265,Wh_hp,'2020'!Maxi_hp)</f>
        <v>42.753480627950061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3.7156078092304076E-2</v>
      </c>
      <c r="M265" s="843"/>
      <c r="N265" s="843"/>
      <c r="O265" s="48">
        <f>IF(t&lt;Tnet,'2020'!Resal+('2020'!Salim-'2020'!Resal)*(1-EXP(('2020'!Tnet-t)/('2020'!Tau_j))),Resal+(Salim-Resal)*(1-EXP((Tnet-t)/(Tau_j))))*Salcycl</f>
        <v>5.2114672332371964E-2</v>
      </c>
      <c r="P265" s="169">
        <f>(INDEX(Models!$BJ265:$BT265,,T265)*(1-R265)+INDEX(Models!$BJ265:$BT265,,T265+1)*R265-ERP_i)*Q265*Ramure*Pc/MaxiM</f>
        <v>1.3924694501993127E-2</v>
      </c>
      <c r="Q265" s="305">
        <f t="shared" si="77"/>
        <v>0.8</v>
      </c>
      <c r="R265" s="177">
        <f t="shared" si="78"/>
        <v>0.18574430720082358</v>
      </c>
      <c r="S265" s="809">
        <f t="shared" si="79"/>
        <v>1</v>
      </c>
      <c r="T265" s="176">
        <f t="shared" si="80"/>
        <v>7</v>
      </c>
      <c r="U265" s="251">
        <f t="shared" si="81"/>
        <v>1.1857443072008236</v>
      </c>
      <c r="V265" s="383">
        <f t="shared" si="82"/>
        <v>41.465560594586208</v>
      </c>
      <c r="W265" s="402"/>
      <c r="X265" s="157">
        <f t="shared" si="83"/>
        <v>44447</v>
      </c>
      <c r="Y265" s="385">
        <f t="shared" si="84"/>
        <v>24.183163038484025</v>
      </c>
      <c r="Z265" s="385">
        <f t="shared" si="85"/>
        <v>25.116389570772373</v>
      </c>
      <c r="AA265" s="386">
        <f t="shared" si="86"/>
        <v>29.005288595330519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0.1340755156349043</v>
      </c>
      <c r="AD265" s="231">
        <f>(INDEX(Models!$BJ265:$BT265,,AH265)*(1-AF265)+INDEX(Models!$BJ265:$BT265,,AH265+1)*AF265-ERP_i)*AE265*Ramure*Pc/MaxiM</f>
        <v>4.4071413836672409E-2</v>
      </c>
      <c r="AE265" s="305">
        <f t="shared" si="88"/>
        <v>0.8</v>
      </c>
      <c r="AF265" s="177">
        <f t="shared" si="89"/>
        <v>0.3856778813533448</v>
      </c>
      <c r="AG265" s="809">
        <f t="shared" si="95"/>
        <v>2</v>
      </c>
      <c r="AH265" s="176">
        <f t="shared" si="90"/>
        <v>8</v>
      </c>
      <c r="AI265" s="225">
        <f t="shared" si="91"/>
        <v>2.3856778813533448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6">
        <v>17.067</v>
      </c>
      <c r="C266" s="390"/>
      <c r="D266" s="393">
        <f t="shared" si="74"/>
        <v>17.726031580496226</v>
      </c>
      <c r="E266" s="385">
        <f t="shared" si="96"/>
        <v>18.704704082535098</v>
      </c>
      <c r="F266" s="385">
        <f t="shared" si="75"/>
        <v>18.749441525138643</v>
      </c>
      <c r="G266" s="110">
        <f t="shared" si="97"/>
        <v>0.41024427111140782</v>
      </c>
      <c r="H266" s="414" t="b">
        <f>Wh_hp&gt;='2020'!Maxi_hp</f>
        <v>0</v>
      </c>
      <c r="I266" s="380">
        <f>IF(H266,Wh_hp,'2020'!Maxi_hp)</f>
        <v>43.385482084784094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3.7178743448779181E-2</v>
      </c>
      <c r="M266" s="843"/>
      <c r="N266" s="843"/>
      <c r="O266" s="48">
        <f>IF(t&lt;Tnet,'2020'!Resal+('2020'!Salim-'2020'!Resal)*(1-EXP(('2020'!Tnet-t)/('2020'!Tau_j))),Resal+(Salim-Resal)*(1-EXP((Tnet-t)/(Tau_j))))*Salcycl</f>
        <v>5.2322265977609139E-2</v>
      </c>
      <c r="P266" s="169">
        <f>(INDEX(Models!$BJ266:$BT266,,T266)*(1-R266)+INDEX(Models!$BJ266:$BT266,,T266+1)*R266-ERP_i)*Q266*Ramure*Pc/MaxiM</f>
        <v>1.4488345192182665E-2</v>
      </c>
      <c r="Q266" s="305">
        <f t="shared" si="77"/>
        <v>0.8</v>
      </c>
      <c r="R266" s="177">
        <f t="shared" si="78"/>
        <v>0.18631537820004995</v>
      </c>
      <c r="S266" s="809">
        <f t="shared" si="79"/>
        <v>1</v>
      </c>
      <c r="T266" s="176">
        <f t="shared" si="80"/>
        <v>7</v>
      </c>
      <c r="U266" s="251">
        <f t="shared" si="81"/>
        <v>1.18631537820005</v>
      </c>
      <c r="V266" s="383">
        <f t="shared" si="82"/>
        <v>41.097359798734146</v>
      </c>
      <c r="W266" s="402"/>
      <c r="X266" s="157">
        <f t="shared" si="83"/>
        <v>44448</v>
      </c>
      <c r="Y266" s="385">
        <f t="shared" si="84"/>
        <v>15.514038737313982</v>
      </c>
      <c r="Z266" s="385">
        <f t="shared" si="85"/>
        <v>16.113103685396933</v>
      </c>
      <c r="AA266" s="386">
        <f t="shared" si="86"/>
        <v>18.609765928948637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0.13415871285452297</v>
      </c>
      <c r="AD266" s="231">
        <f>(INDEX(Models!$BJ266:$BT266,,AH266)*(1-AF266)+INDEX(Models!$BJ266:$BT266,,AH266+1)*AF266-ERP_i)*AE266*Ramure*Pc/MaxiM</f>
        <v>4.5234330233361139E-2</v>
      </c>
      <c r="AE266" s="305">
        <f t="shared" si="88"/>
        <v>0.8</v>
      </c>
      <c r="AF266" s="177">
        <f t="shared" si="89"/>
        <v>0.38624895235257117</v>
      </c>
      <c r="AG266" s="809">
        <f t="shared" si="95"/>
        <v>2</v>
      </c>
      <c r="AH266" s="176">
        <f t="shared" si="90"/>
        <v>8</v>
      </c>
      <c r="AI266" s="225">
        <f t="shared" si="91"/>
        <v>2.3862489523525712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6">
        <v>35.68</v>
      </c>
      <c r="C267" s="390"/>
      <c r="D267" s="393">
        <f t="shared" si="74"/>
        <v>37.058633349450126</v>
      </c>
      <c r="E267" s="385">
        <f t="shared" si="96"/>
        <v>39.113217594044933</v>
      </c>
      <c r="F267" s="385">
        <f t="shared" si="75"/>
        <v>39.60403263932956</v>
      </c>
      <c r="G267" s="110">
        <f t="shared" si="97"/>
        <v>0.87375392740266955</v>
      </c>
      <c r="H267" s="414" t="b">
        <f>Wh_hp&gt;='2020'!Maxi_hp</f>
        <v>1</v>
      </c>
      <c r="I267" s="380">
        <f>IF(H267,Wh_hp,'2020'!Maxi_hp)</f>
        <v>39.60403263932956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3.7201408277798317E-2</v>
      </c>
      <c r="M267" s="843"/>
      <c r="N267" s="843"/>
      <c r="O267" s="48">
        <f>IF(t&lt;Tnet,'2020'!Resal+('2020'!Salim-'2020'!Resal)*(1-EXP(('2020'!Tnet-t)/('2020'!Tau_j))),Resal+(Salim-Resal)*(1-EXP((Tnet-t)/(Tau_j))))*Salcycl</f>
        <v>5.252915436206964E-2</v>
      </c>
      <c r="P267" s="169">
        <f>(INDEX(Models!$BJ267:$BT267,,T267)*(1-R267)+INDEX(Models!$BJ267:$BT267,,T267+1)*R267-ERP_i)*Q267*Ramure*Pc/MaxiM</f>
        <v>1.5057923329125238E-2</v>
      </c>
      <c r="Q267" s="305">
        <f t="shared" si="77"/>
        <v>0.8</v>
      </c>
      <c r="R267" s="177">
        <f t="shared" si="78"/>
        <v>0.18686450300924773</v>
      </c>
      <c r="S267" s="809">
        <f t="shared" si="79"/>
        <v>1</v>
      </c>
      <c r="T267" s="176">
        <f t="shared" si="80"/>
        <v>7</v>
      </c>
      <c r="U267" s="251">
        <f t="shared" si="81"/>
        <v>1.1868645030092477</v>
      </c>
      <c r="V267" s="383">
        <f t="shared" si="82"/>
        <v>40.725109570312831</v>
      </c>
      <c r="W267" s="402"/>
      <c r="X267" s="157">
        <f t="shared" si="83"/>
        <v>44449</v>
      </c>
      <c r="Y267" s="385">
        <f t="shared" si="84"/>
        <v>31.752262785778932</v>
      </c>
      <c r="Z267" s="385">
        <f t="shared" si="85"/>
        <v>32.979132976277221</v>
      </c>
      <c r="AA267" s="386">
        <f t="shared" si="86"/>
        <v>38.092734099823794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0.13424085312821454</v>
      </c>
      <c r="AD267" s="231">
        <f>(INDEX(Models!$BJ267:$BT267,,AH267)*(1-AF267)+INDEX(Models!$BJ267:$BT267,,AH267+1)*AF267-ERP_i)*AE267*Ramure*Pc/MaxiM</f>
        <v>4.6365770067418981E-2</v>
      </c>
      <c r="AE267" s="305">
        <f t="shared" si="88"/>
        <v>0.8</v>
      </c>
      <c r="AF267" s="177">
        <f t="shared" si="89"/>
        <v>0.38679807716176917</v>
      </c>
      <c r="AG267" s="809">
        <f t="shared" si="95"/>
        <v>2</v>
      </c>
      <c r="AH267" s="176">
        <f t="shared" si="90"/>
        <v>8</v>
      </c>
      <c r="AI267" s="225">
        <f t="shared" si="91"/>
        <v>2.3867980771617692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6">
        <v>34.497</v>
      </c>
      <c r="C268" s="390"/>
      <c r="D268" s="393">
        <f t="shared" si="74"/>
        <v>35.830767074142514</v>
      </c>
      <c r="E268" s="385">
        <f t="shared" si="96"/>
        <v>37.825507311186023</v>
      </c>
      <c r="F268" s="385">
        <f t="shared" si="75"/>
        <v>38.299787460034949</v>
      </c>
      <c r="G268" s="110">
        <f t="shared" si="97"/>
        <v>0.85215134032082407</v>
      </c>
      <c r="H268" s="414" t="b">
        <f>Wh_hp&gt;='2020'!Maxi_hp</f>
        <v>0</v>
      </c>
      <c r="I268" s="380">
        <f>IF(H268,Wh_hp,'2020'!Maxi_hp)</f>
        <v>43.805127981597593</v>
      </c>
      <c r="J268" s="85">
        <f>IF(H268,An,'2020'!An_max)</f>
        <v>2019</v>
      </c>
      <c r="K268" s="197">
        <f t="shared" si="76"/>
        <v>44450</v>
      </c>
      <c r="L268" s="147">
        <f>IF(t&lt;Tvie,1-EXP((T0-t)*PertePVj)+'2020'!Pspv,1-EXP((T0-t)*PertePVj)+Pspv)</f>
        <v>3.7224072579373699E-2</v>
      </c>
      <c r="M268" s="843"/>
      <c r="N268" s="843"/>
      <c r="O268" s="48">
        <f>IF(t&lt;Tnet,'2020'!Resal+('2020'!Salim-'2020'!Resal)*(1-EXP(('2020'!Tnet-t)/('2020'!Tau_j))),Resal+(Salim-Resal)*(1-EXP((Tnet-t)/(Tau_j))))*Salcycl</f>
        <v>5.2735320127579824E-2</v>
      </c>
      <c r="P268" s="169">
        <f>(INDEX(Models!$BJ268:$BT268,,T268)*(1-R268)+INDEX(Models!$BJ268:$BT268,,T268+1)*R268-ERP_i)*Q268*Ramure*Pc/MaxiM</f>
        <v>1.5619972818733938E-2</v>
      </c>
      <c r="Q268" s="305">
        <f t="shared" si="77"/>
        <v>0.8</v>
      </c>
      <c r="R268" s="177">
        <f t="shared" si="78"/>
        <v>0.18739248535885178</v>
      </c>
      <c r="S268" s="809">
        <f t="shared" si="79"/>
        <v>1</v>
      </c>
      <c r="T268" s="176">
        <f t="shared" si="80"/>
        <v>7</v>
      </c>
      <c r="U268" s="251">
        <f t="shared" si="81"/>
        <v>1.1873924853588518</v>
      </c>
      <c r="V268" s="383">
        <f t="shared" si="82"/>
        <v>40.349577644144503</v>
      </c>
      <c r="W268" s="402"/>
      <c r="X268" s="157">
        <f t="shared" si="83"/>
        <v>44450</v>
      </c>
      <c r="Y268" s="385">
        <f t="shared" si="84"/>
        <v>30.721163965457229</v>
      </c>
      <c r="Z268" s="385">
        <f t="shared" si="85"/>
        <v>31.908944844271627</v>
      </c>
      <c r="AA268" s="386">
        <f t="shared" si="86"/>
        <v>36.860057845141704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0.13432189991863111</v>
      </c>
      <c r="AD268" s="231">
        <f>(INDEX(Models!$BJ268:$BT268,,AH268)*(1-AF268)+INDEX(Models!$BJ268:$BT268,,AH268+1)*AF268-ERP_i)*AE268*Ramure*Pc/MaxiM</f>
        <v>4.7416147408948214E-2</v>
      </c>
      <c r="AE268" s="305">
        <f t="shared" si="88"/>
        <v>0.8</v>
      </c>
      <c r="AF268" s="177">
        <f t="shared" si="89"/>
        <v>0.387326059511373</v>
      </c>
      <c r="AG268" s="809">
        <f t="shared" si="95"/>
        <v>2</v>
      </c>
      <c r="AH268" s="176">
        <f t="shared" si="90"/>
        <v>8</v>
      </c>
      <c r="AI268" s="225">
        <f t="shared" si="91"/>
        <v>2.387326059511373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6">
        <v>37.545000000000002</v>
      </c>
      <c r="C269" s="390"/>
      <c r="D269" s="393">
        <f t="shared" si="74"/>
        <v>38.997530746139667</v>
      </c>
      <c r="E269" s="385">
        <f t="shared" si="96"/>
        <v>41.17749818484036</v>
      </c>
      <c r="F269" s="385">
        <f t="shared" si="75"/>
        <v>41.795075550486736</v>
      </c>
      <c r="G269" s="110">
        <f t="shared" si="97"/>
        <v>0.9379738059052436</v>
      </c>
      <c r="H269" s="414" t="b">
        <f>Wh_hp&gt;='2020'!Maxi_hp</f>
        <v>0</v>
      </c>
      <c r="I269" s="380">
        <f>IF(H269,Wh_hp,'2020'!Maxi_hp)</f>
        <v>44.561569210056845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3.7246736353517759E-2</v>
      </c>
      <c r="M269" s="843"/>
      <c r="N269" s="843"/>
      <c r="O269" s="48">
        <f>IF(t&lt;Tnet,'2020'!Resal+('2020'!Salim-'2020'!Resal)*(1-EXP(('2020'!Tnet-t)/('2020'!Tau_j))),Resal+(Salim-Resal)*(1-EXP((Tnet-t)/(Tau_j))))*Salcycl</f>
        <v>5.2940745183573536E-2</v>
      </c>
      <c r="P269" s="169">
        <f>(INDEX(Models!$BJ269:$BT269,,T269)*(1-R269)+INDEX(Models!$BJ269:$BT269,,T269+1)*R269-ERP_i)*Q269*Ramure*Pc/MaxiM</f>
        <v>1.6179013175942381E-2</v>
      </c>
      <c r="Q269" s="305">
        <f t="shared" si="77"/>
        <v>0.8</v>
      </c>
      <c r="R269" s="177">
        <f t="shared" si="78"/>
        <v>0.18790010261675616</v>
      </c>
      <c r="S269" s="809">
        <f t="shared" si="79"/>
        <v>1</v>
      </c>
      <c r="T269" s="176">
        <f t="shared" si="80"/>
        <v>7</v>
      </c>
      <c r="U269" s="251">
        <f t="shared" si="81"/>
        <v>1.1879001026167562</v>
      </c>
      <c r="V269" s="383">
        <f t="shared" si="82"/>
        <v>39.970781438307263</v>
      </c>
      <c r="W269" s="402"/>
      <c r="X269" s="157">
        <f t="shared" si="83"/>
        <v>44451</v>
      </c>
      <c r="Y269" s="385">
        <f t="shared" si="84"/>
        <v>33.290361881993903</v>
      </c>
      <c r="Z269" s="385">
        <f t="shared" si="85"/>
        <v>34.578290346069338</v>
      </c>
      <c r="AA269" s="386">
        <f t="shared" si="86"/>
        <v>39.947276872594465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0.13440181526387035</v>
      </c>
      <c r="AD269" s="231">
        <f>(INDEX(Models!$BJ269:$BT269,,AH269)*(1-AF269)+INDEX(Models!$BJ269:$BT269,,AH269+1)*AF269-ERP_i)*AE269*Ramure*Pc/MaxiM</f>
        <v>4.8407796041583288E-2</v>
      </c>
      <c r="AE269" s="305">
        <f t="shared" si="88"/>
        <v>0.8</v>
      </c>
      <c r="AF269" s="177">
        <f t="shared" si="89"/>
        <v>0.3878336767692776</v>
      </c>
      <c r="AG269" s="809">
        <f t="shared" si="95"/>
        <v>2</v>
      </c>
      <c r="AH269" s="176">
        <f t="shared" si="90"/>
        <v>8</v>
      </c>
      <c r="AI269" s="225">
        <f t="shared" si="91"/>
        <v>2.3878336767692776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6">
        <v>26.98</v>
      </c>
      <c r="C270" s="390"/>
      <c r="D270" s="393">
        <f t="shared" si="74"/>
        <v>28.024454596952683</v>
      </c>
      <c r="E270" s="385">
        <f t="shared" si="96"/>
        <v>29.597421730593748</v>
      </c>
      <c r="F270" s="385">
        <f t="shared" si="75"/>
        <v>29.869852887492957</v>
      </c>
      <c r="G270" s="110">
        <f t="shared" si="97"/>
        <v>0.67626667666136775</v>
      </c>
      <c r="H270" s="414" t="b">
        <f>Wh_hp&gt;='2020'!Maxi_hp</f>
        <v>0</v>
      </c>
      <c r="I270" s="380">
        <f>IF(H270,Wh_hp,'2020'!Maxi_hp)</f>
        <v>41.322642207532596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3.72693996002426E-2</v>
      </c>
      <c r="M270" s="843"/>
      <c r="N270" s="843"/>
      <c r="O270" s="48">
        <f>IF(t&lt;Tnet,'2020'!Resal+('2020'!Salim-'2020'!Resal)*(1-EXP(('2020'!Tnet-t)/('2020'!Tau_j))),Resal+(Salim-Resal)*(1-EXP((Tnet-t)/(Tau_j))))*Salcycl</f>
        <v>5.3145410703634044E-2</v>
      </c>
      <c r="P270" s="169">
        <f>(INDEX(Models!$BJ270:$BT270,,T270)*(1-R270)+INDEX(Models!$BJ270:$BT270,,T270+1)*R270-ERP_i)*Q270*Ramure*Pc/MaxiM</f>
        <v>1.6734898433341482E-2</v>
      </c>
      <c r="Q270" s="305">
        <f t="shared" si="77"/>
        <v>0.8</v>
      </c>
      <c r="R270" s="177">
        <f t="shared" si="78"/>
        <v>0.18838810641060832</v>
      </c>
      <c r="S270" s="809">
        <f t="shared" si="79"/>
        <v>1</v>
      </c>
      <c r="T270" s="176">
        <f t="shared" si="80"/>
        <v>7</v>
      </c>
      <c r="U270" s="251">
        <f t="shared" si="81"/>
        <v>1.1883881064106083</v>
      </c>
      <c r="V270" s="383">
        <f t="shared" si="82"/>
        <v>39.588931979615559</v>
      </c>
      <c r="W270" s="402"/>
      <c r="X270" s="157">
        <f t="shared" si="83"/>
        <v>44452</v>
      </c>
      <c r="Y270" s="385">
        <f t="shared" si="84"/>
        <v>24.220134572768242</v>
      </c>
      <c r="Z270" s="385">
        <f t="shared" si="85"/>
        <v>25.157748764515478</v>
      </c>
      <c r="AA270" s="386">
        <f t="shared" si="86"/>
        <v>29.066647836792406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0.13448055978884033</v>
      </c>
      <c r="AD270" s="231">
        <f>(INDEX(Models!$BJ270:$BT270,,AH270)*(1-AF270)+INDEX(Models!$BJ270:$BT270,,AH270+1)*AF270-ERP_i)*AE270*Ramure*Pc/MaxiM</f>
        <v>4.9339271974657754E-2</v>
      </c>
      <c r="AE270" s="305">
        <f t="shared" si="88"/>
        <v>0.8</v>
      </c>
      <c r="AF270" s="177">
        <f t="shared" si="89"/>
        <v>0.38832168056312977</v>
      </c>
      <c r="AG270" s="809">
        <f t="shared" si="95"/>
        <v>2</v>
      </c>
      <c r="AH270" s="176">
        <f t="shared" si="90"/>
        <v>8</v>
      </c>
      <c r="AI270" s="225">
        <f t="shared" si="91"/>
        <v>2.3883216805631298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6">
        <v>15.707000000000001</v>
      </c>
      <c r="C271" s="390"/>
      <c r="D271" s="393">
        <f t="shared" ref="D271:D334" si="98">Wh/(1-Ppv)</f>
        <v>16.315436266002589</v>
      </c>
      <c r="E271" s="385">
        <f t="shared" si="96"/>
        <v>17.234906409016599</v>
      </c>
      <c r="F271" s="385">
        <f t="shared" ref="F271:F334" si="99">Wh_sa/(1-Pvg*MEDIAN((-Sdif+Wh/Env_an)/Csdif,0,1))</f>
        <v>17.277851869747437</v>
      </c>
      <c r="G271" s="110">
        <f t="shared" si="97"/>
        <v>0.3947003546333499</v>
      </c>
      <c r="H271" s="414" t="b">
        <f>Wh_hp&gt;='2020'!Maxi_hp</f>
        <v>0</v>
      </c>
      <c r="I271" s="380">
        <f>IF(H271,Wh_hp,'2020'!Maxi_hp)</f>
        <v>40.506292806876168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3.7292062319560657E-2</v>
      </c>
      <c r="M271" s="843"/>
      <c r="N271" s="843"/>
      <c r="O271" s="48">
        <f>IF(t&lt;Tnet,'2020'!Resal+('2020'!Salim-'2020'!Resal)*(1-EXP(('2020'!Tnet-t)/('2020'!Tau_j))),Resal+(Salim-Resal)*(1-EXP((Tnet-t)/(Tau_j))))*Salcycl</f>
        <v>5.334929712951493E-2</v>
      </c>
      <c r="P271" s="169">
        <f>(INDEX(Models!$BJ271:$BT271,,T271)*(1-R271)+INDEX(Models!$BJ271:$BT271,,T271+1)*R271-ERP_i)*Q271*Ramure*Pc/MaxiM</f>
        <v>1.7287470356329659E-2</v>
      </c>
      <c r="Q271" s="305">
        <f t="shared" ref="Q271:Q334" si="101">IF(OR(t&lt;Ttai,Notai),Dd+PousD*Croivg,Dens+PousD*(Croivg-Croi_tai))</f>
        <v>0.8</v>
      </c>
      <c r="R271" s="177">
        <f t="shared" ref="R271:R334" si="102">(Hp_vg-S271)/(INDEX(Echel_vg,T271+1)-S271)</f>
        <v>0.18885722325593113</v>
      </c>
      <c r="S271" s="809">
        <f t="shared" ref="S271:S334" si="103">INDEX(Echel_vg,T271)</f>
        <v>1</v>
      </c>
      <c r="T271" s="176">
        <f t="shared" ref="T271:T334" si="104">MIN(MATCH(Hp_vg,Echel_vg),10)</f>
        <v>7</v>
      </c>
      <c r="U271" s="251">
        <f t="shared" ref="U271:U334" si="105">IF(OR(t&lt;Ttai,Notai),Hdd+PousH*Croivg,Hdtf+PousH*(Croivg-Croi_tai))</f>
        <v>1.1888572232559311</v>
      </c>
      <c r="V271" s="383">
        <f t="shared" ref="V271:V334" si="106">MaxiM*(1-Ppv)*(1-Pvg)*(1-Psa)</f>
        <v>39.204239838812022</v>
      </c>
      <c r="W271" s="402"/>
      <c r="X271" s="157">
        <f t="shared" ref="X271:X334" si="107">t</f>
        <v>44453</v>
      </c>
      <c r="Y271" s="385">
        <f t="shared" ref="Y271:Y334" si="108">Wh_pvt_s*(1-Ppv)</f>
        <v>14.291429454879109</v>
      </c>
      <c r="Z271" s="385">
        <f t="shared" ref="Z271:Z334" si="109">Wh_sa_s*(1-Psa_s)</f>
        <v>14.845031286760822</v>
      </c>
      <c r="AA271" s="386">
        <f t="shared" ref="AA271:AA334" si="110">Wh_hp*(1-Pvg_s*MEDIAN((-Sdif+Wh/Env_an)/Csdif,0,1))</f>
        <v>17.153122771320554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0.13455809273508984</v>
      </c>
      <c r="AD271" s="231">
        <f>(INDEX(Models!$BJ271:$BT271,,AH271)*(1-AF271)+INDEX(Models!$BJ271:$BT271,,AH271+1)*AF271-ERP_i)*AE271*Ramure*Pc/MaxiM</f>
        <v>5.0209045494721188E-2</v>
      </c>
      <c r="AE271" s="305">
        <f t="shared" ref="AE271:AE334" si="112">IF(OR(t&lt;Ttai,Notai),Dd_s+PousD*Croivg,Dens_s+PousD*(Croivg-Croi_tai))</f>
        <v>0.8</v>
      </c>
      <c r="AF271" s="177">
        <f t="shared" ref="AF271:AF334" si="113">(Hp_vg_s-AG271)/(INDEX(Echel_vg,AH271+1)-AG271)</f>
        <v>0.38879079740845235</v>
      </c>
      <c r="AG271" s="809">
        <f t="shared" si="95"/>
        <v>2</v>
      </c>
      <c r="AH271" s="176">
        <f t="shared" ref="AH271:AH334" si="114">MIN(MATCH(Hp_vg_s,Echel_vg),10)</f>
        <v>8</v>
      </c>
      <c r="AI271" s="225">
        <f t="shared" ref="AI271:AI334" si="115">IF(OR(t&lt;Ttai,Notai),Hdd_s+PousH*Croivg,Hdtai_s+PousH*(Croivg-Croi_tai))</f>
        <v>2.3887907974084523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6">
        <v>27.594999999999999</v>
      </c>
      <c r="C272" s="390"/>
      <c r="D272" s="393">
        <f t="shared" si="98"/>
        <v>28.66461210388502</v>
      </c>
      <c r="E272" s="385">
        <f t="shared" si="96"/>
        <v>30.286527880524307</v>
      </c>
      <c r="F272" s="385">
        <f t="shared" si="99"/>
        <v>30.606985944771189</v>
      </c>
      <c r="G272" s="110">
        <f t="shared" si="97"/>
        <v>0.70560917891053765</v>
      </c>
      <c r="H272" s="414" t="b">
        <f>Wh_hp&gt;='2020'!Maxi_hp</f>
        <v>0</v>
      </c>
      <c r="I272" s="380">
        <f>IF(H272,Wh_hp,'2020'!Maxi_hp)</f>
        <v>40.691044739305312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3.731472451148414E-2</v>
      </c>
      <c r="M272" s="843"/>
      <c r="N272" s="843"/>
      <c r="O272" s="48">
        <f>IF(t&lt;Tnet,'2020'!Resal+('2020'!Salim-'2020'!Resal)*(1-EXP(('2020'!Tnet-t)/('2020'!Tau_j))),Resal+(Salim-Resal)*(1-EXP((Tnet-t)/(Tau_j))))*Salcycl</f>
        <v>5.3552384183406507E-2</v>
      </c>
      <c r="P272" s="169">
        <f>(INDEX(Models!$BJ272:$BT272,,T272)*(1-R272)+INDEX(Models!$BJ272:$BT272,,T272+1)*R272-ERP_i)*Q272*Ramure*Pc/MaxiM</f>
        <v>1.783655762928113E-2</v>
      </c>
      <c r="Q272" s="305">
        <f t="shared" si="101"/>
        <v>0.8</v>
      </c>
      <c r="R272" s="177">
        <f t="shared" si="102"/>
        <v>0.18930815518780864</v>
      </c>
      <c r="S272" s="809">
        <f t="shared" si="103"/>
        <v>1</v>
      </c>
      <c r="T272" s="176">
        <f t="shared" si="104"/>
        <v>7</v>
      </c>
      <c r="U272" s="251">
        <f t="shared" si="105"/>
        <v>1.1893081551878086</v>
      </c>
      <c r="V272" s="383">
        <f t="shared" si="106"/>
        <v>38.816915142305682</v>
      </c>
      <c r="W272" s="402"/>
      <c r="X272" s="157">
        <f t="shared" si="107"/>
        <v>44454</v>
      </c>
      <c r="Y272" s="385">
        <f t="shared" si="108"/>
        <v>24.734341623401079</v>
      </c>
      <c r="Z272" s="385">
        <f t="shared" si="109"/>
        <v>25.693071508598287</v>
      </c>
      <c r="AA272" s="386">
        <f t="shared" si="110"/>
        <v>29.690422958321584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0.13463437201061926</v>
      </c>
      <c r="AD272" s="231">
        <f>(INDEX(Models!$BJ272:$BT272,,AH272)*(1-AF272)+INDEX(Models!$BJ272:$BT272,,AH272+1)*AF272-ERP_i)*AE272*Ramure*Pc/MaxiM</f>
        <v>5.1015500474594556E-2</v>
      </c>
      <c r="AE272" s="305">
        <f t="shared" si="112"/>
        <v>0.8</v>
      </c>
      <c r="AF272" s="177">
        <f t="shared" si="113"/>
        <v>0.38924172934032963</v>
      </c>
      <c r="AG272" s="809">
        <f t="shared" ref="AG272:AG335" si="119">INDEX(Echel_vg,AH272)</f>
        <v>2</v>
      </c>
      <c r="AH272" s="176">
        <f t="shared" si="114"/>
        <v>8</v>
      </c>
      <c r="AI272" s="225">
        <f t="shared" si="115"/>
        <v>2.3892417293403296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6">
        <v>18.458000000000002</v>
      </c>
      <c r="C273" s="390"/>
      <c r="D273" s="393">
        <f t="shared" si="98"/>
        <v>19.173903437134094</v>
      </c>
      <c r="E273" s="385">
        <f t="shared" si="96"/>
        <v>20.263141536337365</v>
      </c>
      <c r="F273" s="385">
        <f t="shared" si="99"/>
        <v>20.359557268916209</v>
      </c>
      <c r="G273" s="110">
        <f t="shared" si="97"/>
        <v>0.47375122255505586</v>
      </c>
      <c r="H273" s="414" t="b">
        <f>Wh_hp&gt;='2020'!Maxi_hp</f>
        <v>0</v>
      </c>
      <c r="I273" s="380">
        <f>IF(H273,Wh_hp,'2020'!Maxi_hp)</f>
        <v>39.509966115704373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3.7337386176025264E-2</v>
      </c>
      <c r="M273" s="843"/>
      <c r="N273" s="843"/>
      <c r="O273" s="48">
        <f>IF(t&lt;Tnet,'2020'!Resal+('2020'!Salim-'2020'!Resal)*(1-EXP(('2020'!Tnet-t)/('2020'!Tau_j))),Resal+(Salim-Resal)*(1-EXP((Tnet-t)/(Tau_j))))*Salcycl</f>
        <v>5.3754650889151025E-2</v>
      </c>
      <c r="P273" s="169">
        <f>(INDEX(Models!$BJ273:$BT273,,T273)*(1-R273)+INDEX(Models!$BJ273:$BT273,,T273+1)*R273-ERP_i)*Q273*Ramure*Pc/MaxiM</f>
        <v>1.8381975072033187E-2</v>
      </c>
      <c r="Q273" s="305">
        <f t="shared" si="101"/>
        <v>0.8</v>
      </c>
      <c r="R273" s="177">
        <f t="shared" si="102"/>
        <v>0.1897415803940834</v>
      </c>
      <c r="S273" s="809">
        <f t="shared" si="103"/>
        <v>1</v>
      </c>
      <c r="T273" s="176">
        <f t="shared" si="104"/>
        <v>7</v>
      </c>
      <c r="U273" s="251">
        <f t="shared" si="105"/>
        <v>1.1897415803940834</v>
      </c>
      <c r="V273" s="383">
        <f t="shared" si="106"/>
        <v>38.42716757491565</v>
      </c>
      <c r="W273" s="402"/>
      <c r="X273" s="157">
        <f t="shared" si="107"/>
        <v>44455</v>
      </c>
      <c r="Y273" s="385">
        <f t="shared" si="108"/>
        <v>16.733033023019406</v>
      </c>
      <c r="Z273" s="385">
        <f t="shared" si="109"/>
        <v>17.38203269009373</v>
      </c>
      <c r="AA273" s="386">
        <f t="shared" si="110"/>
        <v>20.08808574978698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0.13470935426099248</v>
      </c>
      <c r="AD273" s="231">
        <f>(INDEX(Models!$BJ273:$BT273,,AH273)*(1-AF273)+INDEX(Models!$BJ273:$BT273,,AH273+1)*AF273-ERP_i)*AE273*Ramure*Pc/MaxiM</f>
        <v>5.1756933893747775E-2</v>
      </c>
      <c r="AE273" s="305">
        <f t="shared" si="112"/>
        <v>0.8</v>
      </c>
      <c r="AF273" s="177">
        <f t="shared" si="113"/>
        <v>0.3896751545466044</v>
      </c>
      <c r="AG273" s="809">
        <f t="shared" si="119"/>
        <v>2</v>
      </c>
      <c r="AH273" s="176">
        <f t="shared" si="114"/>
        <v>8</v>
      </c>
      <c r="AI273" s="225">
        <f t="shared" si="115"/>
        <v>2.3896751545466044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6">
        <v>36.180999999999997</v>
      </c>
      <c r="C274" s="390"/>
      <c r="D274" s="393">
        <f t="shared" si="98"/>
        <v>37.585184262315295</v>
      </c>
      <c r="E274" s="385">
        <f t="shared" si="96"/>
        <v>39.72879407927396</v>
      </c>
      <c r="F274" s="385">
        <f t="shared" si="99"/>
        <v>40.440779963066468</v>
      </c>
      <c r="G274" s="110">
        <f t="shared" si="97"/>
        <v>0.94997415960706599</v>
      </c>
      <c r="H274" s="414" t="b">
        <f>Wh_hp&gt;='2020'!Maxi_hp</f>
        <v>1</v>
      </c>
      <c r="I274" s="380">
        <f>IF(H274,Wh_hp,'2020'!Maxi_hp)</f>
        <v>40.440779963066468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3.7360047313196351E-2</v>
      </c>
      <c r="M274" s="843"/>
      <c r="N274" s="843"/>
      <c r="O274" s="48">
        <f>IF(t&lt;Tnet,'2020'!Resal+('2020'!Salim-'2020'!Resal)*(1-EXP(('2020'!Tnet-t)/('2020'!Tau_j))),Resal+(Salim-Resal)*(1-EXP((Tnet-t)/(Tau_j))))*Salcycl</f>
        <v>5.3956075603033705E-2</v>
      </c>
      <c r="P274" s="169">
        <f>(INDEX(Models!$BJ274:$BT274,,T274)*(1-R274)+INDEX(Models!$BJ274:$BT274,,T274+1)*R274-ERP_i)*Q274*Ramure*Pc/MaxiM</f>
        <v>1.8923522887931775E-2</v>
      </c>
      <c r="Q274" s="305">
        <f t="shared" si="101"/>
        <v>0.8</v>
      </c>
      <c r="R274" s="177">
        <f t="shared" si="102"/>
        <v>0.19015815384820156</v>
      </c>
      <c r="S274" s="809">
        <f t="shared" si="103"/>
        <v>1</v>
      </c>
      <c r="T274" s="176">
        <f t="shared" si="104"/>
        <v>7</v>
      </c>
      <c r="U274" s="251">
        <f t="shared" si="105"/>
        <v>1.1901581538482016</v>
      </c>
      <c r="V274" s="383">
        <f t="shared" si="106"/>
        <v>38.035206385045427</v>
      </c>
      <c r="W274" s="402"/>
      <c r="X274" s="157">
        <f t="shared" si="107"/>
        <v>44456</v>
      </c>
      <c r="Y274" s="385">
        <f t="shared" si="108"/>
        <v>32.039769498298554</v>
      </c>
      <c r="Z274" s="385">
        <f t="shared" si="109"/>
        <v>33.28323264463836</v>
      </c>
      <c r="AA274" s="386">
        <f t="shared" si="110"/>
        <v>38.468075004153839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0.13478299496285193</v>
      </c>
      <c r="AD274" s="231">
        <f>(INDEX(Models!$BJ274:$BT274,,AH274)*(1-AF274)+INDEX(Models!$BJ274:$BT274,,AH274+1)*AF274-ERP_i)*AE274*Ramure*Pc/MaxiM</f>
        <v>5.2431555584041001E-2</v>
      </c>
      <c r="AE274" s="305">
        <f t="shared" si="112"/>
        <v>0.8</v>
      </c>
      <c r="AF274" s="177">
        <f t="shared" si="113"/>
        <v>0.39009172800072278</v>
      </c>
      <c r="AG274" s="809">
        <f t="shared" si="119"/>
        <v>2</v>
      </c>
      <c r="AH274" s="176">
        <f t="shared" si="114"/>
        <v>8</v>
      </c>
      <c r="AI274" s="225">
        <f t="shared" si="115"/>
        <v>2.3900917280007228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6">
        <v>7.508</v>
      </c>
      <c r="C275" s="390"/>
      <c r="D275" s="393">
        <f t="shared" si="98"/>
        <v>7.799569010234972</v>
      </c>
      <c r="E275" s="385">
        <f t="shared" si="96"/>
        <v>8.2461529123610422</v>
      </c>
      <c r="F275" s="385">
        <f t="shared" si="99"/>
        <v>8.2461529123610422</v>
      </c>
      <c r="G275" s="110">
        <f t="shared" si="97"/>
        <v>0.19559743968312643</v>
      </c>
      <c r="H275" s="414" t="b">
        <f>Wh_hp&gt;='2020'!Maxi_hp</f>
        <v>0</v>
      </c>
      <c r="I275" s="380">
        <f>IF(H275,Wh_hp,'2020'!Maxi_hp)</f>
        <v>37.278604604246958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3.7382707923009725E-2</v>
      </c>
      <c r="M275" s="843"/>
      <c r="N275" s="843"/>
      <c r="O275" s="48">
        <f>IF(t&lt;Tnet,'2020'!Resal+('2020'!Salim-'2020'!Resal)*(1-EXP(('2020'!Tnet-t)/('2020'!Tau_j))),Resal+(Salim-Resal)*(1-EXP((Tnet-t)/(Tau_j))))*Salcycl</f>
        <v>5.4156636054691502E-2</v>
      </c>
      <c r="P275" s="169">
        <f>(INDEX(Models!$BJ275:$BT275,,T275)*(1-R275)+INDEX(Models!$BJ275:$BT275,,T275+1)*R275-ERP_i)*Q275*Ramure*Pc/MaxiM</f>
        <v>1.9462686576004976E-2</v>
      </c>
      <c r="Q275" s="305">
        <f t="shared" si="101"/>
        <v>0.8</v>
      </c>
      <c r="R275" s="177">
        <f t="shared" si="102"/>
        <v>0.19055850794003071</v>
      </c>
      <c r="S275" s="809">
        <f t="shared" si="103"/>
        <v>1</v>
      </c>
      <c r="T275" s="176">
        <f t="shared" si="104"/>
        <v>7</v>
      </c>
      <c r="U275" s="251">
        <f t="shared" si="105"/>
        <v>1.1905585079400307</v>
      </c>
      <c r="V275" s="383">
        <f t="shared" si="106"/>
        <v>37.637886063916817</v>
      </c>
      <c r="W275" s="402"/>
      <c r="X275" s="157">
        <f t="shared" si="107"/>
        <v>44457</v>
      </c>
      <c r="Y275" s="385">
        <f t="shared" si="108"/>
        <v>6.8674233404379814</v>
      </c>
      <c r="Z275" s="385">
        <f t="shared" si="109"/>
        <v>7.1341159118599373</v>
      </c>
      <c r="AA275" s="386">
        <f t="shared" si="110"/>
        <v>8.2461529123610422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0.13485524854070477</v>
      </c>
      <c r="AD275" s="231">
        <f>(INDEX(Models!$BJ275:$BT275,,AH275)*(1-AF275)+INDEX(Models!$BJ275:$BT275,,AH275+1)*AF275-ERP_i)*AE275*Ramure*Pc/MaxiM</f>
        <v>5.304212298625214E-2</v>
      </c>
      <c r="AE275" s="305">
        <f t="shared" si="112"/>
        <v>0.8</v>
      </c>
      <c r="AF275" s="177">
        <f t="shared" si="113"/>
        <v>0.39049208209255193</v>
      </c>
      <c r="AG275" s="809">
        <f t="shared" si="119"/>
        <v>2</v>
      </c>
      <c r="AH275" s="176">
        <f t="shared" si="114"/>
        <v>8</v>
      </c>
      <c r="AI275" s="225">
        <f t="shared" si="115"/>
        <v>2.3904920820925519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6">
        <v>30.058</v>
      </c>
      <c r="C276" s="390"/>
      <c r="D276" s="393">
        <f t="shared" si="98"/>
        <v>31.226020799346237</v>
      </c>
      <c r="E276" s="385">
        <f t="shared" si="96"/>
        <v>33.020915921817256</v>
      </c>
      <c r="F276" s="385">
        <f t="shared" si="99"/>
        <v>33.505843296815527</v>
      </c>
      <c r="G276" s="110">
        <f t="shared" si="97"/>
        <v>0.80277063659161141</v>
      </c>
      <c r="H276" s="414" t="b">
        <f>Wh_hp&gt;='2020'!Maxi_hp</f>
        <v>0</v>
      </c>
      <c r="I276" s="380">
        <f>IF(H276,Wh_hp,'2020'!Maxi_hp)</f>
        <v>38.983713423588227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3.7405368005477488E-2</v>
      </c>
      <c r="M276" s="843"/>
      <c r="N276" s="843"/>
      <c r="O276" s="48">
        <f>IF(t&lt;Tnet,'2020'!Resal+('2020'!Salim-'2020'!Resal)*(1-EXP(('2020'!Tnet-t)/('2020'!Tau_j))),Resal+(Salim-Resal)*(1-EXP((Tnet-t)/(Tau_j))))*Salcycl</f>
        <v>5.4356309398586829E-2</v>
      </c>
      <c r="P276" s="169">
        <f>(INDEX(Models!$BJ276:$BT276,,T276)*(1-R276)+INDEX(Models!$BJ276:$BT276,,T276+1)*R276-ERP_i)*Q276*Ramure*Pc/MaxiM</f>
        <v>1.9971513863671547E-2</v>
      </c>
      <c r="Q276" s="305">
        <f t="shared" si="101"/>
        <v>0.8</v>
      </c>
      <c r="R276" s="177">
        <f t="shared" si="102"/>
        <v>0.19094325310314475</v>
      </c>
      <c r="S276" s="809">
        <f t="shared" si="103"/>
        <v>1</v>
      </c>
      <c r="T276" s="176">
        <f t="shared" si="104"/>
        <v>7</v>
      </c>
      <c r="U276" s="251">
        <f t="shared" si="105"/>
        <v>1.1909432531031447</v>
      </c>
      <c r="V276" s="383">
        <f t="shared" si="106"/>
        <v>37.233918039459951</v>
      </c>
      <c r="W276" s="402"/>
      <c r="X276" s="157">
        <f t="shared" si="107"/>
        <v>44458</v>
      </c>
      <c r="Y276" s="385">
        <f t="shared" si="108"/>
        <v>26.818283775708196</v>
      </c>
      <c r="Z276" s="385">
        <f t="shared" si="109"/>
        <v>27.860412768082838</v>
      </c>
      <c r="AA276" s="386">
        <f t="shared" si="110"/>
        <v>32.205817045045798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0.13492606850759628</v>
      </c>
      <c r="AD276" s="231">
        <f>(INDEX(Models!$BJ276:$BT276,,AH276)*(1-AF276)+INDEX(Models!$BJ276:$BT276,,AH276+1)*AF276-ERP_i)*AE276*Ramure*Pc/MaxiM</f>
        <v>5.3540991185430258E-2</v>
      </c>
      <c r="AE276" s="305">
        <f t="shared" si="112"/>
        <v>0.8</v>
      </c>
      <c r="AF276" s="177">
        <f t="shared" si="113"/>
        <v>0.39087682725566619</v>
      </c>
      <c r="AG276" s="809">
        <f t="shared" si="119"/>
        <v>2</v>
      </c>
      <c r="AH276" s="176">
        <f t="shared" si="114"/>
        <v>8</v>
      </c>
      <c r="AI276" s="225">
        <f t="shared" si="115"/>
        <v>2.3908768272556662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6">
        <v>27.592000000000002</v>
      </c>
      <c r="C277" s="390"/>
      <c r="D277" s="393">
        <f t="shared" si="98"/>
        <v>28.664869526665381</v>
      </c>
      <c r="E277" s="385">
        <f t="shared" si="96"/>
        <v>30.318920421608336</v>
      </c>
      <c r="F277" s="385">
        <f t="shared" si="99"/>
        <v>30.722107093804208</v>
      </c>
      <c r="G277" s="110">
        <f t="shared" si="97"/>
        <v>0.74371979460127224</v>
      </c>
      <c r="H277" s="414" t="b">
        <f>Wh_hp&gt;='2020'!Maxi_hp</f>
        <v>0</v>
      </c>
      <c r="I277" s="380">
        <f>IF(H277,Wh_hp,'2020'!Maxi_hp)</f>
        <v>38.230545259533059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3.7428027560612073E-2</v>
      </c>
      <c r="M277" s="843"/>
      <c r="N277" s="843"/>
      <c r="O277" s="48">
        <f>IF(t&lt;Tnet,'2020'!Resal+('2020'!Salim-'2020'!Resal)*(1-EXP(('2020'!Tnet-t)/('2020'!Tau_j))),Resal+(Salim-Resal)*(1-EXP((Tnet-t)/(Tau_j))))*Salcycl</f>
        <v>5.4555072276389893E-2</v>
      </c>
      <c r="P277" s="169">
        <f>(INDEX(Models!$BJ277:$BT277,,T277)*(1-R277)+INDEX(Models!$BJ277:$BT277,,T277+1)*R277-ERP_i)*Q277*Ramure*Pc/MaxiM</f>
        <v>2.0447297238131244E-2</v>
      </c>
      <c r="Q277" s="305">
        <f t="shared" si="101"/>
        <v>0.8</v>
      </c>
      <c r="R277" s="177">
        <f t="shared" si="102"/>
        <v>0.19131297843721518</v>
      </c>
      <c r="S277" s="809">
        <f t="shared" si="103"/>
        <v>1</v>
      </c>
      <c r="T277" s="176">
        <f t="shared" si="104"/>
        <v>7</v>
      </c>
      <c r="U277" s="251">
        <f t="shared" si="105"/>
        <v>1.1913129784372152</v>
      </c>
      <c r="V277" s="383">
        <f t="shared" si="106"/>
        <v>36.824674228953164</v>
      </c>
      <c r="W277" s="402"/>
      <c r="X277" s="157">
        <f t="shared" si="107"/>
        <v>44459</v>
      </c>
      <c r="Y277" s="385">
        <f t="shared" si="108"/>
        <v>24.694322600686359</v>
      </c>
      <c r="Z277" s="385">
        <f t="shared" si="109"/>
        <v>25.65452070883077</v>
      </c>
      <c r="AA277" s="386">
        <f t="shared" si="110"/>
        <v>29.658247985182712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0.13499540763001938</v>
      </c>
      <c r="AD277" s="231">
        <f>(INDEX(Models!$BJ277:$BT277,,AH277)*(1-AF277)+INDEX(Models!$BJ277:$BT277,,AH277+1)*AF277-ERP_i)*AE277*Ramure*Pc/MaxiM</f>
        <v>5.3952783942494455E-2</v>
      </c>
      <c r="AE277" s="305">
        <f t="shared" si="112"/>
        <v>0.8</v>
      </c>
      <c r="AF277" s="177">
        <f t="shared" si="113"/>
        <v>0.3912465525897364</v>
      </c>
      <c r="AG277" s="809">
        <f t="shared" si="119"/>
        <v>2</v>
      </c>
      <c r="AH277" s="176">
        <f t="shared" si="114"/>
        <v>8</v>
      </c>
      <c r="AI277" s="225">
        <f t="shared" si="115"/>
        <v>2.3912465525897364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6">
        <v>12.514000000000001</v>
      </c>
      <c r="C278" s="390"/>
      <c r="D278" s="393">
        <f t="shared" si="98"/>
        <v>13.000892344566214</v>
      </c>
      <c r="E278" s="385">
        <f t="shared" si="96"/>
        <v>13.753961643272053</v>
      </c>
      <c r="F278" s="385">
        <f t="shared" si="99"/>
        <v>13.771913830878628</v>
      </c>
      <c r="G278" s="110">
        <f t="shared" si="97"/>
        <v>0.33694307589406636</v>
      </c>
      <c r="H278" s="414" t="b">
        <f>Wh_hp&gt;='2020'!Maxi_hp</f>
        <v>0</v>
      </c>
      <c r="I278" s="380">
        <f>IF(H278,Wh_hp,'2020'!Maxi_hp)</f>
        <v>31.59985736837324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3.7450686588425805E-2</v>
      </c>
      <c r="M278" s="843"/>
      <c r="N278" s="843"/>
      <c r="O278" s="48">
        <f>IF(t&lt;Tnet,'2020'!Resal+('2020'!Salim-'2020'!Resal)*(1-EXP(('2020'!Tnet-t)/('2020'!Tau_j))),Resal+(Salim-Resal)*(1-EXP((Tnet-t)/(Tau_j))))*Salcycl</f>
        <v>5.4752900890501943E-2</v>
      </c>
      <c r="P278" s="169">
        <f>(INDEX(Models!$BJ278:$BT278,,T278)*(1-R278)+INDEX(Models!$BJ278:$BT278,,T278+1)*R278-ERP_i)*Q278*Ramure*Pc/MaxiM</f>
        <v>2.088860795150221E-2</v>
      </c>
      <c r="Q278" s="305">
        <f t="shared" si="101"/>
        <v>0.8</v>
      </c>
      <c r="R278" s="177">
        <f t="shared" si="102"/>
        <v>0.1916682523243205</v>
      </c>
      <c r="S278" s="809">
        <f t="shared" si="103"/>
        <v>1</v>
      </c>
      <c r="T278" s="176">
        <f t="shared" si="104"/>
        <v>7</v>
      </c>
      <c r="U278" s="251">
        <f t="shared" si="105"/>
        <v>1.1916682523243205</v>
      </c>
      <c r="V278" s="383">
        <f t="shared" si="106"/>
        <v>36.411469449127566</v>
      </c>
      <c r="W278" s="402"/>
      <c r="X278" s="157">
        <f t="shared" si="107"/>
        <v>44460</v>
      </c>
      <c r="Y278" s="385">
        <f t="shared" si="108"/>
        <v>11.42689524300858</v>
      </c>
      <c r="Z278" s="385">
        <f t="shared" si="109"/>
        <v>11.871490721351313</v>
      </c>
      <c r="AA278" s="386">
        <f t="shared" si="110"/>
        <v>13.725269834760034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0.13506321811713456</v>
      </c>
      <c r="AD278" s="231">
        <f>(INDEX(Models!$BJ278:$BT278,,AH278)*(1-AF278)+INDEX(Models!$BJ278:$BT278,,AH278+1)*AF278-ERP_i)*AE278*Ramure*Pc/MaxiM</f>
        <v>5.4273505244335357E-2</v>
      </c>
      <c r="AE278" s="305">
        <f t="shared" si="112"/>
        <v>0.8</v>
      </c>
      <c r="AF278" s="177">
        <f t="shared" si="113"/>
        <v>0.39160182647684172</v>
      </c>
      <c r="AG278" s="809">
        <f t="shared" si="119"/>
        <v>2</v>
      </c>
      <c r="AH278" s="176">
        <f t="shared" si="114"/>
        <v>8</v>
      </c>
      <c r="AI278" s="225">
        <f t="shared" si="115"/>
        <v>2.3916018264768417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6">
        <v>34.180999999999997</v>
      </c>
      <c r="C279" s="390"/>
      <c r="D279" s="393">
        <f t="shared" si="98"/>
        <v>35.511743831300009</v>
      </c>
      <c r="E279" s="385">
        <f t="shared" si="96"/>
        <v>37.576567620341912</v>
      </c>
      <c r="F279" s="385">
        <f t="shared" si="99"/>
        <v>38.33406213556168</v>
      </c>
      <c r="G279" s="110">
        <f t="shared" si="97"/>
        <v>0.94810227412012338</v>
      </c>
      <c r="H279" s="414" t="b">
        <f>Wh_hp&gt;='2020'!Maxi_hp</f>
        <v>1</v>
      </c>
      <c r="I279" s="380">
        <f>IF(H279,Wh_hp,'2020'!Maxi_hp)</f>
        <v>38.33406213556168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3.7473345088930785E-2</v>
      </c>
      <c r="M279" s="843"/>
      <c r="N279" s="843"/>
      <c r="O279" s="48">
        <f>IF(t&lt;Tnet,'2020'!Resal+('2020'!Salim-'2020'!Resal)*(1-EXP(('2020'!Tnet-t)/('2020'!Tau_j))),Resal+(Salim-Resal)*(1-EXP((Tnet-t)/(Tau_j))))*Salcycl</f>
        <v>5.4949771088834594E-2</v>
      </c>
      <c r="P279" s="169">
        <f>(INDEX(Models!$BJ279:$BT279,,T279)*(1-R279)+INDEX(Models!$BJ279:$BT279,,T279+1)*R279-ERP_i)*Q279*Ramure*Pc/MaxiM</f>
        <v>2.1293879735317659E-2</v>
      </c>
      <c r="Q279" s="305">
        <f t="shared" si="101"/>
        <v>0.8</v>
      </c>
      <c r="R279" s="177">
        <f t="shared" si="102"/>
        <v>0.19200962303809277</v>
      </c>
      <c r="S279" s="809">
        <f t="shared" si="103"/>
        <v>1</v>
      </c>
      <c r="T279" s="176">
        <f t="shared" si="104"/>
        <v>7</v>
      </c>
      <c r="U279" s="251">
        <f t="shared" si="105"/>
        <v>1.1920096230380928</v>
      </c>
      <c r="V279" s="383">
        <f t="shared" si="106"/>
        <v>35.995616411317179</v>
      </c>
      <c r="W279" s="402"/>
      <c r="X279" s="157">
        <f t="shared" si="107"/>
        <v>44461</v>
      </c>
      <c r="Y279" s="385">
        <f t="shared" si="108"/>
        <v>30.297711196440879</v>
      </c>
      <c r="Z279" s="385">
        <f t="shared" si="109"/>
        <v>31.477269789728759</v>
      </c>
      <c r="AA279" s="386">
        <f t="shared" si="110"/>
        <v>36.395354028971184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0.13512945183408759</v>
      </c>
      <c r="AD279" s="231">
        <f>(INDEX(Models!$BJ279:$BT279,,AH279)*(1-AF279)+INDEX(Models!$BJ279:$BT279,,AH279+1)*AF279-ERP_i)*AE279*Ramure*Pc/MaxiM</f>
        <v>5.4498899245027807E-2</v>
      </c>
      <c r="AE279" s="305">
        <f t="shared" si="112"/>
        <v>0.8</v>
      </c>
      <c r="AF279" s="177">
        <f t="shared" si="113"/>
        <v>0.39194319719061399</v>
      </c>
      <c r="AG279" s="809">
        <f t="shared" si="119"/>
        <v>2</v>
      </c>
      <c r="AH279" s="176">
        <f t="shared" si="114"/>
        <v>8</v>
      </c>
      <c r="AI279" s="225">
        <f t="shared" si="115"/>
        <v>2.391943197190614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6">
        <v>29.443999999999999</v>
      </c>
      <c r="C280" s="390"/>
      <c r="D280" s="393">
        <f t="shared" si="98"/>
        <v>30.591041796890227</v>
      </c>
      <c r="E280" s="385">
        <f t="shared" si="96"/>
        <v>32.376463177443405</v>
      </c>
      <c r="F280" s="385">
        <f t="shared" si="99"/>
        <v>32.913813871954517</v>
      </c>
      <c r="G280" s="110">
        <f t="shared" si="97"/>
        <v>0.82309141033539224</v>
      </c>
      <c r="H280" s="414" t="b">
        <f>Wh_hp&gt;='2020'!Maxi_hp</f>
        <v>0</v>
      </c>
      <c r="I280" s="380">
        <f>IF(H280,Wh_hp,'2020'!Maxi_hp)</f>
        <v>37.625376650076369</v>
      </c>
      <c r="J280" s="85">
        <f>IF(H280,An,'2020'!An_max)</f>
        <v>2019</v>
      </c>
      <c r="K280" s="197">
        <f t="shared" si="100"/>
        <v>44462</v>
      </c>
      <c r="L280" s="147">
        <f>IF(t&lt;Tvie,1-EXP((T0-t)*PertePVj)+'2020'!Pspv,1-EXP((T0-t)*PertePVj)+Pspv)</f>
        <v>3.7496003062139335E-2</v>
      </c>
      <c r="M280" s="843"/>
      <c r="N280" s="843"/>
      <c r="O280" s="48">
        <f>IF(t&lt;Tnet,'2020'!Resal+('2020'!Salim-'2020'!Resal)*(1-EXP(('2020'!Tnet-t)/('2020'!Tau_j))),Resal+(Salim-Resal)*(1-EXP((Tnet-t)/(Tau_j))))*Salcycl</f>
        <v>5.5145658460837577E-2</v>
      </c>
      <c r="P280" s="169">
        <f>(INDEX(Models!$BJ280:$BT280,,T280)*(1-R280)+INDEX(Models!$BJ280:$BT280,,T280+1)*R280-ERP_i)*Q280*Ramure*Pc/MaxiM</f>
        <v>2.166152818978995E-2</v>
      </c>
      <c r="Q280" s="305">
        <f t="shared" si="101"/>
        <v>0.8</v>
      </c>
      <c r="R280" s="177">
        <f t="shared" si="102"/>
        <v>0.19233761934477078</v>
      </c>
      <c r="S280" s="809">
        <f t="shared" si="103"/>
        <v>1</v>
      </c>
      <c r="T280" s="176">
        <f t="shared" si="104"/>
        <v>7</v>
      </c>
      <c r="U280" s="251">
        <f t="shared" si="105"/>
        <v>1.1923376193447708</v>
      </c>
      <c r="V280" s="383">
        <f t="shared" si="106"/>
        <v>35.578421497976628</v>
      </c>
      <c r="W280" s="402"/>
      <c r="X280" s="157">
        <f t="shared" si="107"/>
        <v>44462</v>
      </c>
      <c r="Y280" s="385">
        <f t="shared" si="108"/>
        <v>26.268850190971516</v>
      </c>
      <c r="Z280" s="385">
        <f t="shared" si="109"/>
        <v>27.292198551428388</v>
      </c>
      <c r="AA280" s="386">
        <f t="shared" si="110"/>
        <v>31.558754751888159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0.13519406053892241</v>
      </c>
      <c r="AD280" s="231">
        <f>(INDEX(Models!$BJ280:$BT280,,AH280)*(1-AF280)+INDEX(Models!$BJ280:$BT280,,AH280+1)*AF280-ERP_i)*AE280*Ramure*Pc/MaxiM</f>
        <v>5.4624757403272529E-2</v>
      </c>
      <c r="AE280" s="305">
        <f t="shared" si="112"/>
        <v>0.8</v>
      </c>
      <c r="AF280" s="177">
        <f t="shared" si="113"/>
        <v>0.392271193497292</v>
      </c>
      <c r="AG280" s="809">
        <f t="shared" si="119"/>
        <v>2</v>
      </c>
      <c r="AH280" s="176">
        <f t="shared" si="114"/>
        <v>8</v>
      </c>
      <c r="AI280" s="225">
        <f t="shared" si="115"/>
        <v>2.392271193497292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6">
        <v>29.615000000000002</v>
      </c>
      <c r="C281" s="390"/>
      <c r="D281" s="393">
        <f t="shared" si="98"/>
        <v>30.769427712367737</v>
      </c>
      <c r="E281" s="385">
        <f t="shared" si="96"/>
        <v>32.571978543153072</v>
      </c>
      <c r="F281" s="385">
        <f t="shared" si="99"/>
        <v>33.136446926556168</v>
      </c>
      <c r="G281" s="110">
        <f t="shared" si="97"/>
        <v>0.83801800203877208</v>
      </c>
      <c r="H281" s="414" t="b">
        <f>Wh_hp&gt;='2020'!Maxi_hp</f>
        <v>0</v>
      </c>
      <c r="I281" s="380">
        <f>IF(H281,Wh_hp,'2020'!Maxi_hp)</f>
        <v>36.227444973424483</v>
      </c>
      <c r="J281" s="85">
        <f>IF(H281,An,'2020'!An_max)</f>
        <v>2018</v>
      </c>
      <c r="K281" s="197">
        <f t="shared" si="100"/>
        <v>44463</v>
      </c>
      <c r="L281" s="147">
        <f>IF(t&lt;Tvie,1-EXP((T0-t)*PertePVj)+'2020'!Pspv,1-EXP((T0-t)*PertePVj)+Pspv)</f>
        <v>3.7518660508063781E-2</v>
      </c>
      <c r="M281" s="843"/>
      <c r="N281" s="843"/>
      <c r="O281" s="48">
        <f>IF(t&lt;Tnet,'2020'!Resal+('2020'!Salim-'2020'!Resal)*(1-EXP(('2020'!Tnet-t)/('2020'!Tau_j))),Resal+(Salim-Resal)*(1-EXP((Tnet-t)/(Tau_j))))*Salcycl</f>
        <v>5.5340538444639452E-2</v>
      </c>
      <c r="P281" s="169">
        <f>(INDEX(Models!$BJ281:$BT281,,T281)*(1-R281)+INDEX(Models!$BJ281:$BT281,,T281+1)*R281-ERP_i)*Q281*Ramure*Pc/MaxiM</f>
        <v>2.198978944161804E-2</v>
      </c>
      <c r="Q281" s="305">
        <f t="shared" si="101"/>
        <v>0.8</v>
      </c>
      <c r="R281" s="177">
        <f t="shared" si="102"/>
        <v>0.1926527510953342</v>
      </c>
      <c r="S281" s="809">
        <f t="shared" si="103"/>
        <v>1</v>
      </c>
      <c r="T281" s="176">
        <f t="shared" si="104"/>
        <v>7</v>
      </c>
      <c r="U281" s="251">
        <f t="shared" si="105"/>
        <v>1.1926527510953342</v>
      </c>
      <c r="V281" s="383">
        <f t="shared" si="106"/>
        <v>35.161190962875196</v>
      </c>
      <c r="W281" s="402"/>
      <c r="X281" s="157">
        <f t="shared" si="107"/>
        <v>44463</v>
      </c>
      <c r="Y281" s="385">
        <f t="shared" si="108"/>
        <v>26.411922614395003</v>
      </c>
      <c r="Z281" s="385">
        <f t="shared" si="109"/>
        <v>27.441490583429939</v>
      </c>
      <c r="AA281" s="386">
        <f t="shared" si="110"/>
        <v>31.733694821479546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0.13525699614229436</v>
      </c>
      <c r="AD281" s="231">
        <f>(INDEX(Models!$BJ281:$BT281,,AH281)*(1-AF281)+INDEX(Models!$BJ281:$BT281,,AH281+1)*AF281-ERP_i)*AE281*Ramure*Pc/MaxiM</f>
        <v>5.4646503393962105E-2</v>
      </c>
      <c r="AE281" s="305">
        <f t="shared" si="112"/>
        <v>0.8</v>
      </c>
      <c r="AF281" s="177">
        <f t="shared" si="113"/>
        <v>0.39258632524785542</v>
      </c>
      <c r="AG281" s="809">
        <f t="shared" si="119"/>
        <v>2</v>
      </c>
      <c r="AH281" s="176">
        <f t="shared" si="114"/>
        <v>8</v>
      </c>
      <c r="AI281" s="225">
        <f t="shared" si="115"/>
        <v>2.3925863252478554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6">
        <v>27.888999999999999</v>
      </c>
      <c r="C282" s="390"/>
      <c r="D282" s="393">
        <f t="shared" si="98"/>
        <v>28.976828309589767</v>
      </c>
      <c r="E282" s="385">
        <f t="shared" si="96"/>
        <v>30.680659934797568</v>
      </c>
      <c r="F282" s="385">
        <f t="shared" si="99"/>
        <v>31.179070083213816</v>
      </c>
      <c r="G282" s="110">
        <f t="shared" si="97"/>
        <v>0.79753941546342166</v>
      </c>
      <c r="H282" s="414" t="b">
        <f>Wh_hp&gt;='2020'!Maxi_hp</f>
        <v>0</v>
      </c>
      <c r="I282" s="380">
        <f>IF(H282,Wh_hp,'2020'!Maxi_hp)</f>
        <v>37.737616608562853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3.7541317426716334E-2</v>
      </c>
      <c r="M282" s="843"/>
      <c r="N282" s="843"/>
      <c r="O282" s="48">
        <f>IF(t&lt;Tnet,'2020'!Resal+('2020'!Salim-'2020'!Resal)*(1-EXP(('2020'!Tnet-t)/('2020'!Tau_j))),Resal+(Salim-Resal)*(1-EXP((Tnet-t)/(Tau_j))))*Salcycl</f>
        <v>5.5534386445036665E-2</v>
      </c>
      <c r="P282" s="169">
        <f>(INDEX(Models!$BJ282:$BT282,,T282)*(1-R282)+INDEX(Models!$BJ282:$BT282,,T282+1)*R282-ERP_i)*Q282*Ramure*Pc/MaxiM</f>
        <v>2.2261204918353476E-2</v>
      </c>
      <c r="Q282" s="305">
        <f t="shared" si="101"/>
        <v>0.8</v>
      </c>
      <c r="R282" s="177">
        <f t="shared" si="102"/>
        <v>0.19295550980799625</v>
      </c>
      <c r="S282" s="809">
        <f t="shared" si="103"/>
        <v>1</v>
      </c>
      <c r="T282" s="176">
        <f t="shared" si="104"/>
        <v>7</v>
      </c>
      <c r="U282" s="251">
        <f t="shared" si="105"/>
        <v>1.1929555098079963</v>
      </c>
      <c r="V282" s="383">
        <f t="shared" si="106"/>
        <v>34.745782398486476</v>
      </c>
      <c r="W282" s="402"/>
      <c r="X282" s="157">
        <f t="shared" si="107"/>
        <v>44464</v>
      </c>
      <c r="Y282" s="385">
        <f t="shared" si="108"/>
        <v>24.931433193906898</v>
      </c>
      <c r="Z282" s="385">
        <f t="shared" si="109"/>
        <v>25.903899715724748</v>
      </c>
      <c r="AA282" s="386">
        <f t="shared" si="110"/>
        <v>29.957725541265109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0.13531821098889638</v>
      </c>
      <c r="AD282" s="231">
        <f>(INDEX(Models!$BJ282:$BT282,,AH282)*(1-AF282)+INDEX(Models!$BJ282:$BT282,,AH282+1)*AF282-ERP_i)*AE282*Ramure*Pc/MaxiM</f>
        <v>5.4550657145780959E-2</v>
      </c>
      <c r="AE282" s="305">
        <f t="shared" si="112"/>
        <v>0.8</v>
      </c>
      <c r="AF282" s="177">
        <f t="shared" si="113"/>
        <v>0.39288908396051747</v>
      </c>
      <c r="AG282" s="809">
        <f t="shared" si="119"/>
        <v>2</v>
      </c>
      <c r="AH282" s="176">
        <f t="shared" si="114"/>
        <v>8</v>
      </c>
      <c r="AI282" s="225">
        <f t="shared" si="115"/>
        <v>2.3928890839605175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6">
        <v>29.677</v>
      </c>
      <c r="C283" s="390"/>
      <c r="D283" s="393">
        <f t="shared" si="98"/>
        <v>30.835296261438312</v>
      </c>
      <c r="E283" s="385">
        <f t="shared" si="96"/>
        <v>32.655071227068838</v>
      </c>
      <c r="F283" s="385">
        <f t="shared" si="99"/>
        <v>33.258108823286463</v>
      </c>
      <c r="G283" s="110">
        <f t="shared" si="97"/>
        <v>0.86055279959974396</v>
      </c>
      <c r="H283" s="414" t="b">
        <f>Wh_hp&gt;='2020'!Maxi_hp</f>
        <v>0</v>
      </c>
      <c r="I283" s="380">
        <f>IF(H283,Wh_hp,'2020'!Maxi_hp)</f>
        <v>38.347746104915672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3.7563973818109317E-2</v>
      </c>
      <c r="M283" s="843"/>
      <c r="N283" s="843"/>
      <c r="O283" s="48">
        <f>IF(t&lt;Tnet,'2020'!Resal+('2020'!Salim-'2020'!Resal)*(1-EXP(('2020'!Tnet-t)/('2020'!Tau_j))),Resal+(Salim-Resal)*(1-EXP((Tnet-t)/(Tau_j))))*Salcycl</f>
        <v>5.5727177961934833E-2</v>
      </c>
      <c r="P283" s="169">
        <f>(INDEX(Models!$BJ283:$BT283,,T283)*(1-R283)+INDEX(Models!$BJ283:$BT283,,T283+1)*R283-ERP_i)*Q283*Ramure*Pc/MaxiM</f>
        <v>2.2488830878590316E-2</v>
      </c>
      <c r="Q283" s="305">
        <f t="shared" si="101"/>
        <v>0.8</v>
      </c>
      <c r="R283" s="177">
        <f t="shared" si="102"/>
        <v>0.19324636924044958</v>
      </c>
      <c r="S283" s="809">
        <f t="shared" si="103"/>
        <v>1</v>
      </c>
      <c r="T283" s="176">
        <f t="shared" si="104"/>
        <v>7</v>
      </c>
      <c r="U283" s="251">
        <f t="shared" si="105"/>
        <v>1.1932463692404496</v>
      </c>
      <c r="V283" s="383">
        <f t="shared" si="106"/>
        <v>34.332949752857402</v>
      </c>
      <c r="W283" s="402"/>
      <c r="X283" s="157">
        <f t="shared" si="107"/>
        <v>44465</v>
      </c>
      <c r="Y283" s="385">
        <f t="shared" si="108"/>
        <v>26.461931079862612</v>
      </c>
      <c r="Z283" s="385">
        <f t="shared" si="109"/>
        <v>27.494742881602786</v>
      </c>
      <c r="AA283" s="386">
        <f t="shared" si="110"/>
        <v>31.799713644996267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0.1353776581592229</v>
      </c>
      <c r="AD283" s="231">
        <f>(INDEX(Models!$BJ283:$BT283,,AH283)*(1-AF283)+INDEX(Models!$BJ283:$BT283,,AH283+1)*AF283-ERP_i)*AE283*Ramure*Pc/MaxiM</f>
        <v>5.4387326303422974E-2</v>
      </c>
      <c r="AE283" s="305">
        <f t="shared" si="112"/>
        <v>0.8</v>
      </c>
      <c r="AF283" s="177">
        <f t="shared" si="113"/>
        <v>0.3931799433929708</v>
      </c>
      <c r="AG283" s="809">
        <f t="shared" si="119"/>
        <v>2</v>
      </c>
      <c r="AH283" s="176">
        <f t="shared" si="114"/>
        <v>8</v>
      </c>
      <c r="AI283" s="225">
        <f t="shared" si="115"/>
        <v>2.3931799433929708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6">
        <v>18.818999999999999</v>
      </c>
      <c r="C284" s="390"/>
      <c r="D284" s="393">
        <f t="shared" si="98"/>
        <v>19.553967744428594</v>
      </c>
      <c r="E284" s="385">
        <f t="shared" si="96"/>
        <v>20.712169230986422</v>
      </c>
      <c r="F284" s="385">
        <f t="shared" si="99"/>
        <v>20.884468636221651</v>
      </c>
      <c r="G284" s="110">
        <f t="shared" si="97"/>
        <v>0.54667398526201949</v>
      </c>
      <c r="H284" s="414" t="b">
        <f>Wh_hp&gt;='2020'!Maxi_hp</f>
        <v>0</v>
      </c>
      <c r="I284" s="380">
        <f>IF(H284,Wh_hp,'2020'!Maxi_hp)</f>
        <v>36.969576410748687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3.7586629682254943E-2</v>
      </c>
      <c r="M284" s="843"/>
      <c r="N284" s="843"/>
      <c r="O284" s="48">
        <f>IF(t&lt;Tnet,'2020'!Resal+('2020'!Salim-'2020'!Resal)*(1-EXP(('2020'!Tnet-t)/('2020'!Tau_j))),Resal+(Salim-Resal)*(1-EXP((Tnet-t)/(Tau_j))))*Salcycl</f>
        <v>5.5918888728714249E-2</v>
      </c>
      <c r="P284" s="169">
        <f>(INDEX(Models!$BJ284:$BT284,,T284)*(1-R284)+INDEX(Models!$BJ284:$BT284,,T284+1)*R284-ERP_i)*Q284*Ramure*Pc/MaxiM</f>
        <v>2.2670499276707751E-2</v>
      </c>
      <c r="Q284" s="305">
        <f t="shared" si="101"/>
        <v>0.8</v>
      </c>
      <c r="R284" s="177">
        <f t="shared" si="102"/>
        <v>0.19352578595133263</v>
      </c>
      <c r="S284" s="809">
        <f t="shared" si="103"/>
        <v>1</v>
      </c>
      <c r="T284" s="176">
        <f t="shared" si="104"/>
        <v>7</v>
      </c>
      <c r="U284" s="251">
        <f t="shared" si="105"/>
        <v>1.1935257859513326</v>
      </c>
      <c r="V284" s="383">
        <f t="shared" si="106"/>
        <v>33.923994726640743</v>
      </c>
      <c r="W284" s="402"/>
      <c r="X284" s="157">
        <f t="shared" si="107"/>
        <v>44466</v>
      </c>
      <c r="Y284" s="385">
        <f t="shared" si="108"/>
        <v>17.034858557299675</v>
      </c>
      <c r="Z284" s="385">
        <f t="shared" si="109"/>
        <v>17.70014744462199</v>
      </c>
      <c r="AA284" s="386">
        <f t="shared" si="110"/>
        <v>20.472900728586104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0.13543529179001715</v>
      </c>
      <c r="AD284" s="231">
        <f>(INDEX(Models!$BJ284:$BT284,,AH284)*(1-AF284)+INDEX(Models!$BJ284:$BT284,,AH284+1)*AF284-ERP_i)*AE284*Ramure*Pc/MaxiM</f>
        <v>5.4152537204813257E-2</v>
      </c>
      <c r="AE284" s="305">
        <f t="shared" si="112"/>
        <v>0.8</v>
      </c>
      <c r="AF284" s="177">
        <f t="shared" si="113"/>
        <v>0.39345936010385385</v>
      </c>
      <c r="AG284" s="809">
        <f t="shared" si="119"/>
        <v>2</v>
      </c>
      <c r="AH284" s="176">
        <f t="shared" si="114"/>
        <v>8</v>
      </c>
      <c r="AI284" s="225">
        <f t="shared" si="115"/>
        <v>2.3934593601038539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6">
        <v>21.603000000000002</v>
      </c>
      <c r="C285" s="390"/>
      <c r="D285" s="393">
        <f t="shared" si="98"/>
        <v>22.44722404707553</v>
      </c>
      <c r="E285" s="385">
        <f t="shared" si="96"/>
        <v>23.78159746796354</v>
      </c>
      <c r="F285" s="385">
        <f t="shared" si="99"/>
        <v>24.05150452671468</v>
      </c>
      <c r="G285" s="110">
        <f t="shared" si="97"/>
        <v>0.63692775279942437</v>
      </c>
      <c r="H285" s="414" t="b">
        <f>Wh_hp&gt;='2020'!Maxi_hp</f>
        <v>0</v>
      </c>
      <c r="I285" s="380">
        <f>IF(H285,Wh_hp,'2020'!Maxi_hp)</f>
        <v>35.211477825551697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3.7609285019165536E-2</v>
      </c>
      <c r="M285" s="843"/>
      <c r="N285" s="843"/>
      <c r="O285" s="48">
        <f>IF(t&lt;Tnet,'2020'!Resal+('2020'!Salim-'2020'!Resal)*(1-EXP(('2020'!Tnet-t)/('2020'!Tau_j))),Resal+(Salim-Resal)*(1-EXP((Tnet-t)/(Tau_j))))*Salcycl</f>
        <v>5.6109494859862136E-2</v>
      </c>
      <c r="P285" s="169">
        <f>(INDEX(Models!$BJ285:$BT285,,T285)*(1-R285)+INDEX(Models!$BJ285:$BT285,,T285+1)*R285-ERP_i)*Q285*Ramure*Pc/MaxiM</f>
        <v>2.2803952818932736E-2</v>
      </c>
      <c r="Q285" s="305">
        <f t="shared" si="101"/>
        <v>0.8</v>
      </c>
      <c r="R285" s="177">
        <f t="shared" si="102"/>
        <v>0.19379419985047663</v>
      </c>
      <c r="S285" s="809">
        <f t="shared" si="103"/>
        <v>1</v>
      </c>
      <c r="T285" s="176">
        <f t="shared" si="104"/>
        <v>7</v>
      </c>
      <c r="U285" s="251">
        <f t="shared" si="105"/>
        <v>1.1937941998504766</v>
      </c>
      <c r="V285" s="383">
        <f t="shared" si="106"/>
        <v>33.520216818988281</v>
      </c>
      <c r="W285" s="402"/>
      <c r="X285" s="157">
        <f t="shared" si="107"/>
        <v>44467</v>
      </c>
      <c r="Y285" s="385">
        <f t="shared" si="108"/>
        <v>19.480530208666092</v>
      </c>
      <c r="Z285" s="385">
        <f t="shared" si="109"/>
        <v>20.241810218476637</v>
      </c>
      <c r="AA285" s="386">
        <f t="shared" si="110"/>
        <v>23.414229113710025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0.13549106741147432</v>
      </c>
      <c r="AD285" s="231">
        <f>(INDEX(Models!$BJ285:$BT285,,AH285)*(1-AF285)+INDEX(Models!$BJ285:$BT285,,AH285+1)*AF285-ERP_i)*AE285*Ramure*Pc/MaxiM</f>
        <v>5.3842231907773569E-2</v>
      </c>
      <c r="AE285" s="305">
        <f t="shared" si="112"/>
        <v>0.8</v>
      </c>
      <c r="AF285" s="177">
        <f t="shared" si="113"/>
        <v>0.39372777400299785</v>
      </c>
      <c r="AG285" s="809">
        <f t="shared" si="119"/>
        <v>2</v>
      </c>
      <c r="AH285" s="176">
        <f t="shared" si="114"/>
        <v>8</v>
      </c>
      <c r="AI285" s="225">
        <f t="shared" si="115"/>
        <v>2.3937277740029979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6">
        <v>24.558</v>
      </c>
      <c r="C286" s="390"/>
      <c r="D286" s="393">
        <f t="shared" si="98"/>
        <v>25.51830325253378</v>
      </c>
      <c r="E286" s="385">
        <f t="shared" si="96"/>
        <v>27.040664916777075</v>
      </c>
      <c r="F286" s="385">
        <f t="shared" si="99"/>
        <v>27.436643303923407</v>
      </c>
      <c r="G286" s="110">
        <f t="shared" si="97"/>
        <v>0.73506023856233527</v>
      </c>
      <c r="H286" s="414" t="b">
        <f>Wh_hp&gt;='2020'!Maxi_hp</f>
        <v>0</v>
      </c>
      <c r="I286" s="380">
        <f>IF(H286,Wh_hp,'2020'!Maxi_hp)</f>
        <v>37.209601495836544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3.7631939828853309E-2</v>
      </c>
      <c r="M286" s="843"/>
      <c r="N286" s="843"/>
      <c r="O286" s="48">
        <f>IF(t&lt;Tnet,'2020'!Resal+('2020'!Salim-'2020'!Resal)*(1-EXP(('2020'!Tnet-t)/('2020'!Tau_j))),Resal+(Salim-Resal)*(1-EXP((Tnet-t)/(Tau_j))))*Salcycl</f>
        <v>5.6298973007086181E-2</v>
      </c>
      <c r="P286" s="169">
        <f>(INDEX(Models!$BJ286:$BT286,,T286)*(1-R286)+INDEX(Models!$BJ286:$BT286,,T286+1)*R286-ERP_i)*Q286*Ramure*Pc/MaxiM</f>
        <v>2.2886862054248339E-2</v>
      </c>
      <c r="Q286" s="305">
        <f t="shared" si="101"/>
        <v>0.8</v>
      </c>
      <c r="R286" s="177">
        <f t="shared" si="102"/>
        <v>0.19405203473756893</v>
      </c>
      <c r="S286" s="809">
        <f t="shared" si="103"/>
        <v>1</v>
      </c>
      <c r="T286" s="176">
        <f t="shared" si="104"/>
        <v>7</v>
      </c>
      <c r="U286" s="251">
        <f t="shared" si="105"/>
        <v>1.1940520347375689</v>
      </c>
      <c r="V286" s="383">
        <f t="shared" si="106"/>
        <v>33.122913252883109</v>
      </c>
      <c r="W286" s="402"/>
      <c r="X286" s="157">
        <f t="shared" si="107"/>
        <v>44468</v>
      </c>
      <c r="Y286" s="385">
        <f t="shared" si="108"/>
        <v>22.055830338898854</v>
      </c>
      <c r="Z286" s="385">
        <f t="shared" si="109"/>
        <v>22.918290051081353</v>
      </c>
      <c r="AA286" s="386">
        <f t="shared" si="110"/>
        <v>26.51183522719225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0.13554494229901995</v>
      </c>
      <c r="AD286" s="231">
        <f>(INDEX(Models!$BJ286:$BT286,,AH286)*(1-AF286)+INDEX(Models!$BJ286:$BT286,,AH286+1)*AF286-ERP_i)*AE286*Ramure*Pc/MaxiM</f>
        <v>5.3452298321975976E-2</v>
      </c>
      <c r="AE286" s="305">
        <f t="shared" si="112"/>
        <v>0.8</v>
      </c>
      <c r="AF286" s="177">
        <f t="shared" si="113"/>
        <v>0.39398560889009016</v>
      </c>
      <c r="AG286" s="809">
        <f t="shared" si="119"/>
        <v>2</v>
      </c>
      <c r="AH286" s="176">
        <f t="shared" si="114"/>
        <v>8</v>
      </c>
      <c r="AI286" s="225">
        <f t="shared" si="115"/>
        <v>2.3939856088900902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6">
        <v>15.860000000000001</v>
      </c>
      <c r="C287" s="390"/>
      <c r="D287" s="393">
        <f t="shared" si="98"/>
        <v>16.480569141756565</v>
      </c>
      <c r="E287" s="385">
        <f t="shared" si="96"/>
        <v>17.467246758726155</v>
      </c>
      <c r="F287" s="385">
        <f t="shared" si="99"/>
        <v>17.573406012648807</v>
      </c>
      <c r="G287" s="110">
        <f t="shared" si="97"/>
        <v>0.4762942718388446</v>
      </c>
      <c r="H287" s="414" t="b">
        <f>Wh_hp&gt;='2020'!Maxi_hp</f>
        <v>0</v>
      </c>
      <c r="I287" s="380">
        <f>IF(H287,Wh_hp,'2020'!Maxi_hp)</f>
        <v>35.36597547612849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3.7654594111330583E-2</v>
      </c>
      <c r="M287" s="843"/>
      <c r="N287" s="843"/>
      <c r="O287" s="48">
        <f>IF(t&lt;Tnet,'2020'!Resal+('2020'!Salim-'2020'!Resal)*(1-EXP(('2020'!Tnet-t)/('2020'!Tau_j))),Resal+(Salim-Resal)*(1-EXP((Tnet-t)/(Tau_j))))*Salcycl</f>
        <v>5.6487300523001709E-2</v>
      </c>
      <c r="P287" s="169">
        <f>(INDEX(Models!$BJ287:$BT287,,T287)*(1-R287)+INDEX(Models!$BJ287:$BT287,,T287+1)*R287-ERP_i)*Q287*Ramure*Pc/MaxiM</f>
        <v>2.2916845511422763E-2</v>
      </c>
      <c r="Q287" s="305">
        <f t="shared" si="101"/>
        <v>0.8</v>
      </c>
      <c r="R287" s="177">
        <f t="shared" si="102"/>
        <v>0.19429969882893983</v>
      </c>
      <c r="S287" s="809">
        <f t="shared" si="103"/>
        <v>1</v>
      </c>
      <c r="T287" s="176">
        <f t="shared" si="104"/>
        <v>7</v>
      </c>
      <c r="U287" s="251">
        <f t="shared" si="105"/>
        <v>1.1942996988289398</v>
      </c>
      <c r="V287" s="383">
        <f t="shared" si="106"/>
        <v>32.73337891272908</v>
      </c>
      <c r="W287" s="402"/>
      <c r="X287" s="157">
        <f t="shared" si="107"/>
        <v>44469</v>
      </c>
      <c r="Y287" s="385">
        <f t="shared" si="108"/>
        <v>14.4143639932564</v>
      </c>
      <c r="Z287" s="385">
        <f t="shared" si="109"/>
        <v>14.978368374861811</v>
      </c>
      <c r="AA287" s="386">
        <f t="shared" si="110"/>
        <v>17.327989633736539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0.13559687583723848</v>
      </c>
      <c r="AD287" s="231">
        <f>(INDEX(Models!$BJ287:$BT287,,AH287)*(1-AF287)+INDEX(Models!$BJ287:$BT287,,AH287+1)*AF287-ERP_i)*AE287*Ramure*Pc/MaxiM</f>
        <v>5.2978605573124317E-2</v>
      </c>
      <c r="AE287" s="305">
        <f t="shared" si="112"/>
        <v>0.8</v>
      </c>
      <c r="AF287" s="177">
        <f t="shared" si="113"/>
        <v>0.39423327298146127</v>
      </c>
      <c r="AG287" s="809">
        <f t="shared" si="119"/>
        <v>2</v>
      </c>
      <c r="AH287" s="176">
        <f t="shared" si="114"/>
        <v>8</v>
      </c>
      <c r="AI287" s="225">
        <f t="shared" si="115"/>
        <v>2.3942332729814613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6">
        <v>26.119</v>
      </c>
      <c r="C288" s="390"/>
      <c r="D288" s="393">
        <f t="shared" si="98"/>
        <v>27.141621604702085</v>
      </c>
      <c r="E288" s="385">
        <f t="shared" si="96"/>
        <v>28.772274605229658</v>
      </c>
      <c r="F288" s="385">
        <f t="shared" si="99"/>
        <v>29.257667984876608</v>
      </c>
      <c r="G288" s="110">
        <f t="shared" si="97"/>
        <v>0.80214254339908264</v>
      </c>
      <c r="H288" s="414" t="b">
        <f>Wh_hp&gt;='2020'!Maxi_hp</f>
        <v>0</v>
      </c>
      <c r="I288" s="380">
        <f>IF(H288,Wh_hp,'2020'!Maxi_hp)</f>
        <v>35.633737494395717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3.7677247866609573E-2</v>
      </c>
      <c r="M288" s="843"/>
      <c r="N288" s="843"/>
      <c r="O288" s="48">
        <f>IF(t&lt;Tnet,'2020'!Resal+('2020'!Salim-'2020'!Resal)*(1-EXP(('2020'!Tnet-t)/('2020'!Tau_j))),Resal+(Salim-Resal)*(1-EXP((Tnet-t)/(Tau_j))))*Salcycl</f>
        <v>5.6674455631366152E-2</v>
      </c>
      <c r="P288" s="169">
        <f>(INDEX(Models!$BJ288:$BT288,,T288)*(1-R288)+INDEX(Models!$BJ288:$BT288,,T288+1)*R288-ERP_i)*Q288*Ramure*Pc/MaxiM</f>
        <v>2.2891493155392247E-2</v>
      </c>
      <c r="Q288" s="305">
        <f t="shared" si="101"/>
        <v>0.8</v>
      </c>
      <c r="R288" s="177">
        <f t="shared" si="102"/>
        <v>0.19453758527223775</v>
      </c>
      <c r="S288" s="809">
        <f t="shared" si="103"/>
        <v>1</v>
      </c>
      <c r="T288" s="176">
        <f t="shared" si="104"/>
        <v>7</v>
      </c>
      <c r="U288" s="251">
        <f t="shared" si="105"/>
        <v>1.1945375852722377</v>
      </c>
      <c r="V288" s="383">
        <f t="shared" si="106"/>
        <v>32.352906277969304</v>
      </c>
      <c r="W288" s="402"/>
      <c r="X288" s="157">
        <f t="shared" si="107"/>
        <v>44470</v>
      </c>
      <c r="Y288" s="385">
        <f t="shared" si="108"/>
        <v>23.411645417898779</v>
      </c>
      <c r="Z288" s="385">
        <f t="shared" si="109"/>
        <v>24.328267585897855</v>
      </c>
      <c r="AA288" s="386">
        <f t="shared" si="110"/>
        <v>28.146212019902581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0.13564682989330862</v>
      </c>
      <c r="AD288" s="231">
        <f>(INDEX(Models!$BJ288:$BT288,,AH288)*(1-AF288)+INDEX(Models!$BJ288:$BT288,,AH288+1)*AF288-ERP_i)*AE288*Ramure*Pc/MaxiM</f>
        <v>5.2417044981595461E-2</v>
      </c>
      <c r="AE288" s="305">
        <f t="shared" si="112"/>
        <v>0.8</v>
      </c>
      <c r="AF288" s="177">
        <f t="shared" si="113"/>
        <v>0.39447115942475897</v>
      </c>
      <c r="AG288" s="809">
        <f t="shared" si="119"/>
        <v>2</v>
      </c>
      <c r="AH288" s="176">
        <f t="shared" si="114"/>
        <v>8</v>
      </c>
      <c r="AI288" s="225">
        <f t="shared" si="115"/>
        <v>2.394471159424759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6">
        <v>31.122</v>
      </c>
      <c r="C289" s="390"/>
      <c r="D289" s="393">
        <f t="shared" si="98"/>
        <v>32.341262393513276</v>
      </c>
      <c r="E289" s="385">
        <f t="shared" si="96"/>
        <v>34.291066770104344</v>
      </c>
      <c r="F289" s="385">
        <f t="shared" si="99"/>
        <v>35.060177932793785</v>
      </c>
      <c r="G289" s="110">
        <f t="shared" si="97"/>
        <v>0.97231624284651064</v>
      </c>
      <c r="H289" s="414" t="b">
        <f>Wh_hp&gt;='2020'!Maxi_hp</f>
        <v>0</v>
      </c>
      <c r="I289" s="380">
        <f>IF(H289,Wh_hp,'2020'!Maxi_hp)</f>
        <v>36.768753531604595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3.7699901094702601E-2</v>
      </c>
      <c r="M289" s="843"/>
      <c r="N289" s="843"/>
      <c r="O289" s="48">
        <f>IF(t&lt;Tnet,'2020'!Resal+('2020'!Salim-'2020'!Resal)*(1-EXP(('2020'!Tnet-t)/('2020'!Tau_j))),Resal+(Salim-Resal)*(1-EXP((Tnet-t)/(Tau_j))))*Salcycl</f>
        <v>5.6860417602725359E-2</v>
      </c>
      <c r="P289" s="169">
        <f>(INDEX(Models!$BJ289:$BT289,,T289)*(1-R289)+INDEX(Models!$BJ289:$BT289,,T289+1)*R289-ERP_i)*Q289*Ramure*Pc/MaxiM</f>
        <v>2.2810676887438087E-2</v>
      </c>
      <c r="Q289" s="305">
        <f t="shared" si="101"/>
        <v>0.8</v>
      </c>
      <c r="R289" s="177">
        <f t="shared" si="102"/>
        <v>0.19476607264882539</v>
      </c>
      <c r="S289" s="809">
        <f t="shared" si="103"/>
        <v>1</v>
      </c>
      <c r="T289" s="176">
        <f t="shared" si="104"/>
        <v>7</v>
      </c>
      <c r="U289" s="251">
        <f t="shared" si="105"/>
        <v>1.1947660726488254</v>
      </c>
      <c r="V289" s="383">
        <f t="shared" si="106"/>
        <v>31.979508937811982</v>
      </c>
      <c r="W289" s="402"/>
      <c r="X289" s="157">
        <f t="shared" si="107"/>
        <v>44471</v>
      </c>
      <c r="Y289" s="385">
        <f t="shared" si="108"/>
        <v>27.70852140624714</v>
      </c>
      <c r="Z289" s="385">
        <f t="shared" si="109"/>
        <v>28.794054409604723</v>
      </c>
      <c r="AA289" s="386">
        <f t="shared" si="110"/>
        <v>33.314682572100573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0.13569476919710038</v>
      </c>
      <c r="AD289" s="231">
        <f>(INDEX(Models!$BJ289:$BT289,,AH289)*(1-AF289)+INDEX(Models!$BJ289:$BT289,,AH289+1)*AF289-ERP_i)*AE289*Ramure*Pc/MaxiM</f>
        <v>5.176875933261206E-2</v>
      </c>
      <c r="AE289" s="305">
        <f t="shared" si="112"/>
        <v>0.8</v>
      </c>
      <c r="AF289" s="177">
        <f t="shared" si="113"/>
        <v>0.39469964680134684</v>
      </c>
      <c r="AG289" s="809">
        <f t="shared" si="119"/>
        <v>2</v>
      </c>
      <c r="AH289" s="176">
        <f t="shared" si="114"/>
        <v>8</v>
      </c>
      <c r="AI289" s="225">
        <f t="shared" si="115"/>
        <v>2.3946996468013468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6">
        <v>6.4160000000000004</v>
      </c>
      <c r="C290" s="390"/>
      <c r="D290" s="393">
        <f t="shared" si="98"/>
        <v>6.6675157204477458</v>
      </c>
      <c r="E290" s="385">
        <f t="shared" si="96"/>
        <v>7.0708749630882011</v>
      </c>
      <c r="F290" s="385">
        <f t="shared" si="99"/>
        <v>7.0708749630882011</v>
      </c>
      <c r="G290" s="110">
        <f t="shared" si="97"/>
        <v>0.19836926733394</v>
      </c>
      <c r="H290" s="414" t="b">
        <f>Wh_hp&gt;='2020'!Maxi_hp</f>
        <v>0</v>
      </c>
      <c r="I290" s="380">
        <f>IF(H290,Wh_hp,'2020'!Maxi_hp)</f>
        <v>34.895336094635255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3.7722553795621991E-2</v>
      </c>
      <c r="M290" s="843"/>
      <c r="N290" s="843"/>
      <c r="O290" s="48">
        <f>IF(t&lt;Tnet,'2020'!Resal+('2020'!Salim-'2020'!Resal)*(1-EXP(('2020'!Tnet-t)/('2020'!Tau_j))),Resal+(Salim-Resal)*(1-EXP((Tnet-t)/(Tau_j))))*Salcycl</f>
        <v>5.7045166934232956E-2</v>
      </c>
      <c r="P290" s="169">
        <f>(INDEX(Models!$BJ290:$BT290,,T290)*(1-R290)+INDEX(Models!$BJ290:$BT290,,T290+1)*R290-ERP_i)*Q290*Ramure*Pc/MaxiM</f>
        <v>2.2672218151123528E-2</v>
      </c>
      <c r="Q290" s="305">
        <f t="shared" si="101"/>
        <v>0.8</v>
      </c>
      <c r="R290" s="177">
        <f t="shared" si="102"/>
        <v>0.19498552546377113</v>
      </c>
      <c r="S290" s="809">
        <f t="shared" si="103"/>
        <v>1</v>
      </c>
      <c r="T290" s="176">
        <f t="shared" si="104"/>
        <v>7</v>
      </c>
      <c r="U290" s="251">
        <f t="shared" si="105"/>
        <v>1.1949855254637711</v>
      </c>
      <c r="V290" s="383">
        <f t="shared" si="106"/>
        <v>31.610415930943624</v>
      </c>
      <c r="W290" s="402"/>
      <c r="X290" s="157">
        <f t="shared" si="107"/>
        <v>44472</v>
      </c>
      <c r="Y290" s="385">
        <f t="shared" si="108"/>
        <v>5.8805445604903159</v>
      </c>
      <c r="Z290" s="385">
        <f t="shared" si="109"/>
        <v>6.1110697166244794</v>
      </c>
      <c r="AA290" s="386">
        <f t="shared" si="110"/>
        <v>7.0708749630882011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0.13574066172491442</v>
      </c>
      <c r="AD290" s="231">
        <f>(INDEX(Models!$BJ290:$BT290,,AH290)*(1-AF290)+INDEX(Models!$BJ290:$BT290,,AH290+1)*AF290-ERP_i)*AE290*Ramure*Pc/MaxiM</f>
        <v>5.1048601518617093E-2</v>
      </c>
      <c r="AE290" s="305">
        <f t="shared" si="112"/>
        <v>0.8</v>
      </c>
      <c r="AF290" s="177">
        <f t="shared" si="113"/>
        <v>0.39491909961629235</v>
      </c>
      <c r="AG290" s="809">
        <f t="shared" si="119"/>
        <v>2</v>
      </c>
      <c r="AH290" s="176">
        <f t="shared" si="114"/>
        <v>8</v>
      </c>
      <c r="AI290" s="225">
        <f t="shared" si="115"/>
        <v>2.3949190996162923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6">
        <v>26.84</v>
      </c>
      <c r="C291" s="390"/>
      <c r="D291" s="393">
        <f t="shared" si="98"/>
        <v>27.892820245222822</v>
      </c>
      <c r="E291" s="385">
        <f t="shared" si="96"/>
        <v>29.585987415168432</v>
      </c>
      <c r="F291" s="385">
        <f t="shared" si="99"/>
        <v>30.127542219876997</v>
      </c>
      <c r="G291" s="110">
        <f t="shared" si="97"/>
        <v>0.85506516353130702</v>
      </c>
      <c r="H291" s="414" t="b">
        <f>Wh_hp&gt;='2020'!Maxi_hp</f>
        <v>0</v>
      </c>
      <c r="I291" s="380">
        <f>IF(H291,Wh_hp,'2020'!Maxi_hp)</f>
        <v>34.286238129352988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3.7745205969379844E-2</v>
      </c>
      <c r="M291" s="843"/>
      <c r="N291" s="843"/>
      <c r="O291" s="48">
        <f>IF(t&lt;Tnet,'2020'!Resal+('2020'!Salim-'2020'!Resal)*(1-EXP(('2020'!Tnet-t)/('2020'!Tau_j))),Resal+(Salim-Resal)*(1-EXP((Tnet-t)/(Tau_j))))*Salcycl</f>
        <v>5.7228685532311883E-2</v>
      </c>
      <c r="P291" s="169">
        <f>(INDEX(Models!$BJ291:$BT291,,T291)*(1-R291)+INDEX(Models!$BJ291:$BT291,,T291+1)*R291-ERP_i)*Q291*Ramure*Pc/MaxiM</f>
        <v>2.2508234008750433E-2</v>
      </c>
      <c r="Q291" s="305">
        <f t="shared" si="101"/>
        <v>0.8</v>
      </c>
      <c r="R291" s="177">
        <f t="shared" si="102"/>
        <v>0.19519629462336763</v>
      </c>
      <c r="S291" s="809">
        <f t="shared" si="103"/>
        <v>1</v>
      </c>
      <c r="T291" s="176">
        <f t="shared" si="104"/>
        <v>7</v>
      </c>
      <c r="U291" s="251">
        <f t="shared" si="105"/>
        <v>1.1951962946233676</v>
      </c>
      <c r="V291" s="383">
        <f t="shared" si="106"/>
        <v>31.244533281464843</v>
      </c>
      <c r="W291" s="402"/>
      <c r="X291" s="157">
        <f t="shared" si="107"/>
        <v>44473</v>
      </c>
      <c r="Y291" s="385">
        <f t="shared" si="108"/>
        <v>24.047269718798997</v>
      </c>
      <c r="Z291" s="385">
        <f t="shared" si="109"/>
        <v>24.990542908153888</v>
      </c>
      <c r="AA291" s="386">
        <f t="shared" si="110"/>
        <v>28.917026254813187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0.13578447908369359</v>
      </c>
      <c r="AD291" s="231">
        <f>(INDEX(Models!$BJ291:$BT291,,AH291)*(1-AF291)+INDEX(Models!$BJ291:$BT291,,AH291+1)*AF291-ERP_i)*AE291*Ramure*Pc/MaxiM</f>
        <v>5.0311762311197952E-2</v>
      </c>
      <c r="AE291" s="305">
        <f t="shared" si="112"/>
        <v>0.8</v>
      </c>
      <c r="AF291" s="177">
        <f t="shared" si="113"/>
        <v>0.39512986877588885</v>
      </c>
      <c r="AG291" s="809">
        <f t="shared" si="119"/>
        <v>2</v>
      </c>
      <c r="AH291" s="176">
        <f t="shared" si="114"/>
        <v>8</v>
      </c>
      <c r="AI291" s="225">
        <f t="shared" si="115"/>
        <v>2.3951298687758888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6">
        <v>12.779</v>
      </c>
      <c r="C292" s="390"/>
      <c r="D292" s="393">
        <f t="shared" si="98"/>
        <v>13.28057901738654</v>
      </c>
      <c r="E292" s="385">
        <f t="shared" si="96"/>
        <v>14.089468909656894</v>
      </c>
      <c r="F292" s="385">
        <f t="shared" si="99"/>
        <v>14.140777113091088</v>
      </c>
      <c r="G292" s="110">
        <f t="shared" si="97"/>
        <v>0.40604090127186787</v>
      </c>
      <c r="H292" s="414" t="b">
        <f>Wh_hp&gt;='2020'!Maxi_hp</f>
        <v>0</v>
      </c>
      <c r="I292" s="380">
        <f>IF(H292,Wh_hp,'2020'!Maxi_hp)</f>
        <v>33.617234790020177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3.7767857615988595E-2</v>
      </c>
      <c r="M292" s="843"/>
      <c r="N292" s="843"/>
      <c r="O292" s="48">
        <f>IF(t&lt;Tnet,'2020'!Resal+('2020'!Salim-'2020'!Resal)*(1-EXP(('2020'!Tnet-t)/('2020'!Tau_j))),Resal+(Salim-Resal)*(1-EXP((Tnet-t)/(Tau_j))))*Salcycl</f>
        <v>5.7410956896745871E-2</v>
      </c>
      <c r="P292" s="169">
        <f>(INDEX(Models!$BJ292:$BT292,,T292)*(1-R292)+INDEX(Models!$BJ292:$BT292,,T292+1)*R292-ERP_i)*Q292*Ramure*Pc/MaxiM</f>
        <v>2.231814436303927E-2</v>
      </c>
      <c r="Q292" s="305">
        <f t="shared" si="101"/>
        <v>0.8</v>
      </c>
      <c r="R292" s="177">
        <f t="shared" si="102"/>
        <v>0.19539871790014551</v>
      </c>
      <c r="S292" s="809">
        <f t="shared" si="103"/>
        <v>1</v>
      </c>
      <c r="T292" s="176">
        <f t="shared" si="104"/>
        <v>7</v>
      </c>
      <c r="U292" s="251">
        <f t="shared" si="105"/>
        <v>1.1953987179001455</v>
      </c>
      <c r="V292" s="383">
        <f t="shared" si="106"/>
        <v>30.881849087597963</v>
      </c>
      <c r="W292" s="402"/>
      <c r="X292" s="157">
        <f t="shared" si="107"/>
        <v>44474</v>
      </c>
      <c r="Y292" s="385">
        <f t="shared" si="108"/>
        <v>11.663824465659113</v>
      </c>
      <c r="Z292" s="385">
        <f t="shared" si="109"/>
        <v>12.121632558190171</v>
      </c>
      <c r="AA292" s="386">
        <f t="shared" si="110"/>
        <v>14.026845658362483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0.13582619689241873</v>
      </c>
      <c r="AD292" s="231">
        <f>(INDEX(Models!$BJ292:$BT292,,AH292)*(1-AF292)+INDEX(Models!$BJ292:$BT292,,AH292+1)*AF292-ERP_i)*AE292*Ramure*Pc/MaxiM</f>
        <v>4.955813074580346E-2</v>
      </c>
      <c r="AE292" s="305">
        <f t="shared" si="112"/>
        <v>0.8</v>
      </c>
      <c r="AF292" s="177">
        <f t="shared" si="113"/>
        <v>0.39533229205266673</v>
      </c>
      <c r="AG292" s="809">
        <f t="shared" si="119"/>
        <v>2</v>
      </c>
      <c r="AH292" s="176">
        <f t="shared" si="114"/>
        <v>8</v>
      </c>
      <c r="AI292" s="225">
        <f t="shared" si="115"/>
        <v>2.3953322920526667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6">
        <v>21.024000000000001</v>
      </c>
      <c r="C293" s="390"/>
      <c r="D293" s="393">
        <f t="shared" si="98"/>
        <v>21.849711721685651</v>
      </c>
      <c r="E293" s="385">
        <f t="shared" si="96"/>
        <v>23.184980327481497</v>
      </c>
      <c r="F293" s="385">
        <f t="shared" si="99"/>
        <v>23.473135323722207</v>
      </c>
      <c r="G293" s="110">
        <f t="shared" si="97"/>
        <v>0.68195477681393935</v>
      </c>
      <c r="H293" s="414" t="b">
        <f>Wh_hp&gt;='2020'!Maxi_hp</f>
        <v>0</v>
      </c>
      <c r="I293" s="380">
        <f>IF(H293,Wh_hp,'2020'!Maxi_hp)</f>
        <v>31.212763298231373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3.7790508735460346E-2</v>
      </c>
      <c r="M293" s="843"/>
      <c r="N293" s="843"/>
      <c r="O293" s="48">
        <f>IF(t&lt;Tnet,'2020'!Resal+('2020'!Salim-'2020'!Resal)*(1-EXP(('2020'!Tnet-t)/('2020'!Tau_j))),Resal+(Salim-Resal)*(1-EXP((Tnet-t)/(Tau_j))))*Salcycl</f>
        <v>5.7591966304717357E-2</v>
      </c>
      <c r="P293" s="169">
        <f>(INDEX(Models!$BJ293:$BT293,,T293)*(1-R293)+INDEX(Models!$BJ293:$BT293,,T293+1)*R293-ERP_i)*Q293*Ramure*Pc/MaxiM</f>
        <v>2.2101377257354907E-2</v>
      </c>
      <c r="Q293" s="305">
        <f t="shared" si="101"/>
        <v>0.8</v>
      </c>
      <c r="R293" s="177">
        <f t="shared" si="102"/>
        <v>0.19559312038539245</v>
      </c>
      <c r="S293" s="809">
        <f t="shared" si="103"/>
        <v>1</v>
      </c>
      <c r="T293" s="176">
        <f t="shared" si="104"/>
        <v>7</v>
      </c>
      <c r="U293" s="251">
        <f t="shared" si="105"/>
        <v>1.1955931203853924</v>
      </c>
      <c r="V293" s="383">
        <f t="shared" si="106"/>
        <v>30.522350649410601</v>
      </c>
      <c r="W293" s="402"/>
      <c r="X293" s="157">
        <f t="shared" si="107"/>
        <v>44475</v>
      </c>
      <c r="Y293" s="385">
        <f t="shared" si="108"/>
        <v>18.988506408560362</v>
      </c>
      <c r="Z293" s="385">
        <f t="shared" si="109"/>
        <v>19.734274688566611</v>
      </c>
      <c r="AA293" s="386">
        <f t="shared" si="110"/>
        <v>22.837048432956106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0.13586579515730624</v>
      </c>
      <c r="AD293" s="231">
        <f>(INDEX(Models!$BJ293:$BT293,,AH293)*(1-AF293)+INDEX(Models!$BJ293:$BT293,,AH293+1)*AF293-ERP_i)*AE293*Ramure*Pc/MaxiM</f>
        <v>4.8787619596003001E-2</v>
      </c>
      <c r="AE293" s="305">
        <f t="shared" si="112"/>
        <v>0.8</v>
      </c>
      <c r="AF293" s="177">
        <f t="shared" si="113"/>
        <v>0.39552669453791367</v>
      </c>
      <c r="AG293" s="809">
        <f t="shared" si="119"/>
        <v>2</v>
      </c>
      <c r="AH293" s="176">
        <f t="shared" si="114"/>
        <v>8</v>
      </c>
      <c r="AI293" s="225">
        <f t="shared" si="115"/>
        <v>2.3955266945379137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6">
        <v>30.37</v>
      </c>
      <c r="C294" s="390"/>
      <c r="D294" s="393">
        <f t="shared" si="98"/>
        <v>31.563516269650126</v>
      </c>
      <c r="E294" s="385">
        <f t="shared" si="96"/>
        <v>33.498798861085895</v>
      </c>
      <c r="F294" s="385">
        <f t="shared" si="99"/>
        <v>34.247356004135384</v>
      </c>
      <c r="G294" s="110">
        <f t="shared" si="97"/>
        <v>1.0067617643530649</v>
      </c>
      <c r="H294" s="414" t="b">
        <f>Wh_hp&gt;='2020'!Maxi_hp</f>
        <v>1</v>
      </c>
      <c r="I294" s="380">
        <f>IF(H294,Wh_hp,'2020'!Maxi_hp)</f>
        <v>34.247356004135384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3.781315932780753E-2</v>
      </c>
      <c r="M294" s="843"/>
      <c r="N294" s="843"/>
      <c r="O294" s="48">
        <f>IF(t&lt;Tnet,'2020'!Resal+('2020'!Salim-'2020'!Resal)*(1-EXP(('2020'!Tnet-t)/('2020'!Tau_j))),Resal+(Salim-Resal)*(1-EXP((Tnet-t)/(Tau_j))))*Salcycl</f>
        <v>5.7771700993252663E-2</v>
      </c>
      <c r="P294" s="169">
        <f>(INDEX(Models!$BJ294:$BT294,,T294)*(1-R294)+INDEX(Models!$BJ294:$BT294,,T294+1)*R294-ERP_i)*Q294*Ramure*Pc/MaxiM</f>
        <v>2.1857370331277499E-2</v>
      </c>
      <c r="Q294" s="305">
        <f t="shared" si="101"/>
        <v>0.8</v>
      </c>
      <c r="R294" s="177">
        <f t="shared" si="102"/>
        <v>0.19577981492922003</v>
      </c>
      <c r="S294" s="809">
        <f t="shared" si="103"/>
        <v>1</v>
      </c>
      <c r="T294" s="176">
        <f t="shared" si="104"/>
        <v>7</v>
      </c>
      <c r="U294" s="251">
        <f t="shared" si="105"/>
        <v>1.19577981492922</v>
      </c>
      <c r="V294" s="383">
        <f t="shared" si="106"/>
        <v>30.166024451192246</v>
      </c>
      <c r="W294" s="402"/>
      <c r="X294" s="157">
        <f t="shared" si="107"/>
        <v>44476</v>
      </c>
      <c r="Y294" s="385">
        <f t="shared" si="108"/>
        <v>27.107264980136641</v>
      </c>
      <c r="Z294" s="385">
        <f t="shared" si="109"/>
        <v>28.172558420357586</v>
      </c>
      <c r="AA294" s="386">
        <f t="shared" si="110"/>
        <v>32.603477217066121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0.13590325863736999</v>
      </c>
      <c r="AD294" s="231">
        <f>(INDEX(Models!$BJ294:$BT294,,AH294)*(1-AF294)+INDEX(Models!$BJ294:$BT294,,AH294+1)*AF294-ERP_i)*AE294*Ramure*Pc/MaxiM</f>
        <v>4.8000166403233041E-2</v>
      </c>
      <c r="AE294" s="305">
        <f t="shared" si="112"/>
        <v>0.8</v>
      </c>
      <c r="AF294" s="177">
        <f t="shared" si="113"/>
        <v>0.39571338908174125</v>
      </c>
      <c r="AG294" s="809">
        <f t="shared" si="119"/>
        <v>2</v>
      </c>
      <c r="AH294" s="176">
        <f t="shared" si="114"/>
        <v>8</v>
      </c>
      <c r="AI294" s="225">
        <f t="shared" si="115"/>
        <v>2.3957133890817413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6">
        <v>26.772000000000002</v>
      </c>
      <c r="C295" s="390"/>
      <c r="D295" s="393">
        <f t="shared" si="98"/>
        <v>27.824772800068086</v>
      </c>
      <c r="E295" s="385">
        <f t="shared" si="96"/>
        <v>29.536412335361955</v>
      </c>
      <c r="F295" s="385">
        <f t="shared" si="99"/>
        <v>30.091305120168837</v>
      </c>
      <c r="G295" s="110">
        <f t="shared" si="97"/>
        <v>0.89512433091262789</v>
      </c>
      <c r="H295" s="414" t="b">
        <f>Wh_hp&gt;='2020'!Maxi_hp</f>
        <v>0</v>
      </c>
      <c r="I295" s="380">
        <f>IF(H295,Wh_hp,'2020'!Maxi_hp)</f>
        <v>32.97035211319082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3.7835809393042361E-2</v>
      </c>
      <c r="M295" s="843"/>
      <c r="N295" s="843"/>
      <c r="O295" s="48">
        <f>IF(t&lt;Tnet,'2020'!Resal+('2020'!Salim-'2020'!Resal)*(1-EXP(('2020'!Tnet-t)/('2020'!Tau_j))),Resal+(Salim-Resal)*(1-EXP((Tnet-t)/(Tau_j))))*Salcycl</f>
        <v>5.7950150338490505E-2</v>
      </c>
      <c r="P295" s="169">
        <f>(INDEX(Models!$BJ295:$BT295,,T295)*(1-R295)+INDEX(Models!$BJ295:$BT295,,T295+1)*R295-ERP_i)*Q295*Ramure*Pc/MaxiM</f>
        <v>2.1585572185214424E-2</v>
      </c>
      <c r="Q295" s="305">
        <f t="shared" si="101"/>
        <v>0.8</v>
      </c>
      <c r="R295" s="177">
        <f t="shared" si="102"/>
        <v>0.19595910256825344</v>
      </c>
      <c r="S295" s="809">
        <f t="shared" si="103"/>
        <v>1</v>
      </c>
      <c r="T295" s="176">
        <f t="shared" si="104"/>
        <v>7</v>
      </c>
      <c r="U295" s="251">
        <f t="shared" si="105"/>
        <v>1.1959591025682534</v>
      </c>
      <c r="V295" s="383">
        <f t="shared" si="106"/>
        <v>29.812856150332152</v>
      </c>
      <c r="W295" s="402"/>
      <c r="X295" s="157">
        <f t="shared" si="107"/>
        <v>44477</v>
      </c>
      <c r="Y295" s="385">
        <f t="shared" si="108"/>
        <v>24.008323375172466</v>
      </c>
      <c r="Z295" s="385">
        <f t="shared" si="109"/>
        <v>24.952418318569311</v>
      </c>
      <c r="AA295" s="386">
        <f t="shared" si="110"/>
        <v>28.878060818431923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0.13593857719688032</v>
      </c>
      <c r="AD295" s="231">
        <f>(INDEX(Models!$BJ295:$BT295,,AH295)*(1-AF295)+INDEX(Models!$BJ295:$BT295,,AH295+1)*AF295-ERP_i)*AE295*Ramure*Pc/MaxiM</f>
        <v>4.7195734330113294E-2</v>
      </c>
      <c r="AE295" s="305">
        <f t="shared" si="112"/>
        <v>0.8</v>
      </c>
      <c r="AF295" s="177">
        <f t="shared" si="113"/>
        <v>0.39589267672077444</v>
      </c>
      <c r="AG295" s="809">
        <f t="shared" si="119"/>
        <v>2</v>
      </c>
      <c r="AH295" s="176">
        <f t="shared" si="114"/>
        <v>8</v>
      </c>
      <c r="AI295" s="225">
        <f t="shared" si="115"/>
        <v>2.3958926767207744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6">
        <v>14.663</v>
      </c>
      <c r="C296" s="390"/>
      <c r="D296" s="393">
        <f t="shared" si="98"/>
        <v>15.239961454851205</v>
      </c>
      <c r="E296" s="385">
        <f t="shared" si="96"/>
        <v>16.180489733296415</v>
      </c>
      <c r="F296" s="385">
        <f t="shared" si="99"/>
        <v>16.27835521803291</v>
      </c>
      <c r="G296" s="110">
        <f t="shared" si="97"/>
        <v>0.49003068172770314</v>
      </c>
      <c r="H296" s="414" t="b">
        <f>Wh_hp&gt;='2020'!Maxi_hp</f>
        <v>0</v>
      </c>
      <c r="I296" s="380">
        <f>IF(H296,Wh_hp,'2020'!Maxi_hp)</f>
        <v>31.591073153287706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3.785845893117705E-2</v>
      </c>
      <c r="M296" s="843"/>
      <c r="N296" s="843"/>
      <c r="O296" s="48">
        <f>IF(t&lt;Tnet,'2020'!Resal+('2020'!Salim-'2020'!Resal)*(1-EXP(('2020'!Tnet-t)/('2020'!Tau_j))),Resal+(Salim-Resal)*(1-EXP((Tnet-t)/(Tau_j))))*Salcycl</f>
        <v>5.8127306030161675E-2</v>
      </c>
      <c r="P296" s="169">
        <f>(INDEX(Models!$BJ296:$BT296,,T296)*(1-R296)+INDEX(Models!$BJ296:$BT296,,T296+1)*R296-ERP_i)*Q296*Ramure*Pc/MaxiM</f>
        <v>2.1288985600721198E-2</v>
      </c>
      <c r="Q296" s="305">
        <f t="shared" si="101"/>
        <v>0.8</v>
      </c>
      <c r="R296" s="177">
        <f t="shared" si="102"/>
        <v>0.19613127294104848</v>
      </c>
      <c r="S296" s="809">
        <f t="shared" si="103"/>
        <v>1</v>
      </c>
      <c r="T296" s="176">
        <f t="shared" si="104"/>
        <v>7</v>
      </c>
      <c r="U296" s="251">
        <f t="shared" si="105"/>
        <v>1.1961312729410485</v>
      </c>
      <c r="V296" s="383">
        <f t="shared" si="106"/>
        <v>29.462723943678739</v>
      </c>
      <c r="W296" s="402"/>
      <c r="X296" s="157">
        <f t="shared" si="107"/>
        <v>44478</v>
      </c>
      <c r="Y296" s="385">
        <f t="shared" si="108"/>
        <v>13.355161381839451</v>
      </c>
      <c r="Z296" s="385">
        <f t="shared" si="109"/>
        <v>13.880661848363268</v>
      </c>
      <c r="AA296" s="386">
        <f t="shared" si="110"/>
        <v>16.065055496012345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0.13597174614126206</v>
      </c>
      <c r="AD296" s="231">
        <f>(INDEX(Models!$BJ296:$BT296,,AH296)*(1-AF296)+INDEX(Models!$BJ296:$BT296,,AH296+1)*AF296-ERP_i)*AE296*Ramure*Pc/MaxiM</f>
        <v>4.6399757002789824E-2</v>
      </c>
      <c r="AE296" s="305">
        <f t="shared" si="112"/>
        <v>0.8</v>
      </c>
      <c r="AF296" s="177">
        <f t="shared" si="113"/>
        <v>0.39606484709356948</v>
      </c>
      <c r="AG296" s="809">
        <f t="shared" si="119"/>
        <v>2</v>
      </c>
      <c r="AH296" s="176">
        <f t="shared" si="114"/>
        <v>8</v>
      </c>
      <c r="AI296" s="225">
        <f t="shared" si="115"/>
        <v>2.3960648470935695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6">
        <v>24.408000000000001</v>
      </c>
      <c r="C297" s="390"/>
      <c r="D297" s="393">
        <f t="shared" si="98"/>
        <v>25.369006056825537</v>
      </c>
      <c r="E297" s="385">
        <f t="shared" ref="E297:E360" si="120">Wh_pvt/(1-Psa)</f>
        <v>26.939674255635243</v>
      </c>
      <c r="F297" s="385">
        <f t="shared" si="99"/>
        <v>27.381561766744639</v>
      </c>
      <c r="G297" s="110">
        <f t="shared" ref="G297:G360" si="121">+Wh_hp/MaxiM</f>
        <v>0.83419846174973289</v>
      </c>
      <c r="H297" s="414" t="b">
        <f>Wh_hp&gt;='2020'!Maxi_hp</f>
        <v>1</v>
      </c>
      <c r="I297" s="380">
        <f>IF(H297,Wh_hp,'2020'!Maxi_hp)</f>
        <v>27.381561766744639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3.788110794222381E-2</v>
      </c>
      <c r="M297" s="843"/>
      <c r="N297" s="843"/>
      <c r="O297" s="48">
        <f>IF(t&lt;Tnet,'2020'!Resal+('2020'!Salim-'2020'!Resal)*(1-EXP(('2020'!Tnet-t)/('2020'!Tau_j))),Resal+(Salim-Resal)*(1-EXP((Tnet-t)/(Tau_j))))*Salcycl</f>
        <v>5.8303162239652997E-2</v>
      </c>
      <c r="P297" s="169">
        <f>(INDEX(Models!$BJ297:$BT297,,T297)*(1-R297)+INDEX(Models!$BJ297:$BT297,,T297+1)*R297-ERP_i)*Q297*Ramure*Pc/MaxiM</f>
        <v>2.0984780732845591E-2</v>
      </c>
      <c r="Q297" s="305">
        <f t="shared" si="101"/>
        <v>0.8</v>
      </c>
      <c r="R297" s="177">
        <f t="shared" si="102"/>
        <v>0.19629660469135768</v>
      </c>
      <c r="S297" s="809">
        <f t="shared" si="103"/>
        <v>1</v>
      </c>
      <c r="T297" s="176">
        <f t="shared" si="104"/>
        <v>7</v>
      </c>
      <c r="U297" s="251">
        <f t="shared" si="105"/>
        <v>1.1962966046913577</v>
      </c>
      <c r="V297" s="383">
        <f t="shared" si="106"/>
        <v>29.115089432856514</v>
      </c>
      <c r="W297" s="402"/>
      <c r="X297" s="157">
        <f t="shared" si="107"/>
        <v>44479</v>
      </c>
      <c r="Y297" s="385">
        <f t="shared" si="108"/>
        <v>21.962821936971963</v>
      </c>
      <c r="Z297" s="385">
        <f t="shared" si="109"/>
        <v>22.827555012455854</v>
      </c>
      <c r="AA297" s="386">
        <f t="shared" si="110"/>
        <v>26.420865864182286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0.1360027665330128</v>
      </c>
      <c r="AD297" s="231">
        <f>(INDEX(Models!$BJ297:$BT297,,AH297)*(1-AF297)+INDEX(Models!$BJ297:$BT297,,AH297+1)*AF297-ERP_i)*AE297*Ramure*Pc/MaxiM</f>
        <v>4.5622454492096585E-2</v>
      </c>
      <c r="AE297" s="305">
        <f t="shared" si="112"/>
        <v>0.8</v>
      </c>
      <c r="AF297" s="177">
        <f t="shared" si="113"/>
        <v>0.3962301788438789</v>
      </c>
      <c r="AG297" s="809">
        <f t="shared" si="119"/>
        <v>2</v>
      </c>
      <c r="AH297" s="176">
        <f t="shared" si="114"/>
        <v>8</v>
      </c>
      <c r="AI297" s="225">
        <f t="shared" si="115"/>
        <v>2.3962301788438789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6">
        <v>29.157</v>
      </c>
      <c r="C298" s="390"/>
      <c r="D298" s="393">
        <f t="shared" si="98"/>
        <v>30.305699866048059</v>
      </c>
      <c r="E298" s="385">
        <f t="shared" si="120"/>
        <v>32.187979375502167</v>
      </c>
      <c r="F298" s="385">
        <f t="shared" si="99"/>
        <v>32.86744652036657</v>
      </c>
      <c r="G298" s="110">
        <f t="shared" si="121"/>
        <v>1.0134534862949129</v>
      </c>
      <c r="H298" s="414" t="b">
        <f>Wh_hp&gt;='2020'!Maxi_hp</f>
        <v>0</v>
      </c>
      <c r="I298" s="380">
        <f>IF(H298,Wh_hp,'2020'!Maxi_hp)</f>
        <v>33.346419914552634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3.7903756426195076E-2</v>
      </c>
      <c r="M298" s="843"/>
      <c r="N298" s="843"/>
      <c r="O298" s="48">
        <f>IF(t&lt;Tnet,'2020'!Resal+('2020'!Salim-'2020'!Resal)*(1-EXP(('2020'!Tnet-t)/('2020'!Tau_j))),Resal+(Salim-Resal)*(1-EXP((Tnet-t)/(Tau_j))))*Salcycl</f>
        <v>5.8477715780030727E-2</v>
      </c>
      <c r="P298" s="169">
        <f>(INDEX(Models!$BJ298:$BT298,,T298)*(1-R298)+INDEX(Models!$BJ298:$BT298,,T298+1)*R298-ERP_i)*Q298*Ramure*Pc/MaxiM</f>
        <v>2.0672952017838263E-2</v>
      </c>
      <c r="Q298" s="305">
        <f t="shared" si="101"/>
        <v>0.8</v>
      </c>
      <c r="R298" s="177">
        <f t="shared" si="102"/>
        <v>0.19645536585939727</v>
      </c>
      <c r="S298" s="809">
        <f t="shared" si="103"/>
        <v>1</v>
      </c>
      <c r="T298" s="176">
        <f t="shared" si="104"/>
        <v>7</v>
      </c>
      <c r="U298" s="251">
        <f t="shared" si="105"/>
        <v>1.1964553658593973</v>
      </c>
      <c r="V298" s="383">
        <f t="shared" si="106"/>
        <v>28.769943953318617</v>
      </c>
      <c r="W298" s="402"/>
      <c r="X298" s="157">
        <f t="shared" si="107"/>
        <v>44480</v>
      </c>
      <c r="Y298" s="385">
        <f t="shared" si="108"/>
        <v>26.094393704023631</v>
      </c>
      <c r="Z298" s="385">
        <f t="shared" si="109"/>
        <v>27.122435908379952</v>
      </c>
      <c r="AA298" s="386">
        <f t="shared" si="110"/>
        <v>31.392858044648509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0.13603164548429925</v>
      </c>
      <c r="AD298" s="231">
        <f>(INDEX(Models!$BJ298:$BT298,,AH298)*(1-AF298)+INDEX(Models!$BJ298:$BT298,,AH298+1)*AF298-ERP_i)*AE298*Ramure*Pc/MaxiM</f>
        <v>4.4864710582378814E-2</v>
      </c>
      <c r="AE298" s="305">
        <f t="shared" si="112"/>
        <v>0.8</v>
      </c>
      <c r="AF298" s="177">
        <f t="shared" si="113"/>
        <v>0.39638894001191849</v>
      </c>
      <c r="AG298" s="809">
        <f t="shared" si="119"/>
        <v>2</v>
      </c>
      <c r="AH298" s="176">
        <f t="shared" si="114"/>
        <v>8</v>
      </c>
      <c r="AI298" s="225">
        <f t="shared" si="115"/>
        <v>2.3963889400119185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6">
        <v>28.045000000000002</v>
      </c>
      <c r="C299" s="390"/>
      <c r="D299" s="393">
        <f t="shared" si="98"/>
        <v>29.150576554402889</v>
      </c>
      <c r="E299" s="385">
        <f t="shared" si="120"/>
        <v>30.96680987547839</v>
      </c>
      <c r="F299" s="385">
        <f t="shared" si="99"/>
        <v>31.597576410466939</v>
      </c>
      <c r="G299" s="110">
        <f t="shared" si="121"/>
        <v>0.98615879718185862</v>
      </c>
      <c r="H299" s="414" t="b">
        <f>Wh_hp&gt;='2020'!Maxi_hp</f>
        <v>1</v>
      </c>
      <c r="I299" s="380">
        <f>IF(H299,Wh_hp,'2020'!Maxi_hp)</f>
        <v>31.597576410466939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3.792640438310306E-2</v>
      </c>
      <c r="M299" s="843"/>
      <c r="N299" s="843"/>
      <c r="O299" s="48">
        <f>IF(t&lt;Tnet,'2020'!Resal+('2020'!Salim-'2020'!Resal)*(1-EXP(('2020'!Tnet-t)/('2020'!Tau_j))),Resal+(Salim-Resal)*(1-EXP((Tnet-t)/(Tau_j))))*Salcycl</f>
        <v>5.865096625641502E-2</v>
      </c>
      <c r="P299" s="169">
        <f>(INDEX(Models!$BJ299:$BT299,,T299)*(1-R299)+INDEX(Models!$BJ299:$BT299,,T299+1)*R299-ERP_i)*Q299*Ramure*Pc/MaxiM</f>
        <v>2.0353505490761318E-2</v>
      </c>
      <c r="Q299" s="305">
        <f t="shared" si="101"/>
        <v>0.8</v>
      </c>
      <c r="R299" s="177">
        <f t="shared" si="102"/>
        <v>0.19660781426127905</v>
      </c>
      <c r="S299" s="809">
        <f t="shared" si="103"/>
        <v>1</v>
      </c>
      <c r="T299" s="176">
        <f t="shared" si="104"/>
        <v>7</v>
      </c>
      <c r="U299" s="251">
        <f t="shared" si="105"/>
        <v>1.196607814261279</v>
      </c>
      <c r="V299" s="383">
        <f t="shared" si="106"/>
        <v>28.427278540072226</v>
      </c>
      <c r="W299" s="402"/>
      <c r="X299" s="157">
        <f t="shared" si="107"/>
        <v>44481</v>
      </c>
      <c r="Y299" s="385">
        <f t="shared" si="108"/>
        <v>25.126467932006257</v>
      </c>
      <c r="Z299" s="385">
        <f t="shared" si="109"/>
        <v>26.116991513414067</v>
      </c>
      <c r="AA299" s="386">
        <f t="shared" si="110"/>
        <v>30.230042638624059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0.13605839642299619</v>
      </c>
      <c r="AD299" s="231">
        <f>(INDEX(Models!$BJ299:$BT299,,AH299)*(1-AF299)+INDEX(Models!$BJ299:$BT299,,AH299+1)*AF299-ERP_i)*AE299*Ramure*Pc/MaxiM</f>
        <v>4.4127430023710536E-2</v>
      </c>
      <c r="AE299" s="305">
        <f t="shared" si="112"/>
        <v>0.8</v>
      </c>
      <c r="AF299" s="177">
        <f t="shared" si="113"/>
        <v>0.39654138841380027</v>
      </c>
      <c r="AG299" s="809">
        <f t="shared" si="119"/>
        <v>2</v>
      </c>
      <c r="AH299" s="176">
        <f t="shared" si="114"/>
        <v>8</v>
      </c>
      <c r="AI299" s="225">
        <f t="shared" si="115"/>
        <v>2.3965413884138003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6">
        <v>27.475999999999999</v>
      </c>
      <c r="C300" s="390"/>
      <c r="D300" s="393">
        <f t="shared" si="98"/>
        <v>28.559818013565504</v>
      </c>
      <c r="E300" s="385">
        <f t="shared" si="120"/>
        <v>30.344786868812189</v>
      </c>
      <c r="F300" s="385">
        <f t="shared" si="99"/>
        <v>30.945248935232723</v>
      </c>
      <c r="G300" s="110">
        <f t="shared" si="121"/>
        <v>0.97762228927895878</v>
      </c>
      <c r="H300" s="414" t="b">
        <f>Wh_hp&gt;='2020'!Maxi_hp</f>
        <v>0</v>
      </c>
      <c r="I300" s="380">
        <f>IF(H300,Wh_hp,'2020'!Maxi_hp)</f>
        <v>31.501015093356781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3.7949051812959975E-2</v>
      </c>
      <c r="M300" s="843"/>
      <c r="N300" s="843"/>
      <c r="O300" s="48">
        <f>IF(t&lt;Tnet,'2020'!Resal+('2020'!Salim-'2020'!Resal)*(1-EXP(('2020'!Tnet-t)/('2020'!Tau_j))),Resal+(Salim-Resal)*(1-EXP((Tnet-t)/(Tau_j))))*Salcycl</f>
        <v>5.8822916205130631E-2</v>
      </c>
      <c r="P300" s="169">
        <f>(INDEX(Models!$BJ300:$BT300,,T300)*(1-R300)+INDEX(Models!$BJ300:$BT300,,T300+1)*R300-ERP_i)*Q300*Ramure*Pc/MaxiM</f>
        <v>2.0026458823488608E-2</v>
      </c>
      <c r="Q300" s="305">
        <f t="shared" si="101"/>
        <v>0.8</v>
      </c>
      <c r="R300" s="177">
        <f t="shared" si="102"/>
        <v>0.19675419785679216</v>
      </c>
      <c r="S300" s="809">
        <f t="shared" si="103"/>
        <v>1</v>
      </c>
      <c r="T300" s="176">
        <f t="shared" si="104"/>
        <v>7</v>
      </c>
      <c r="U300" s="251">
        <f t="shared" si="105"/>
        <v>1.1967541978567922</v>
      </c>
      <c r="V300" s="383">
        <f t="shared" si="106"/>
        <v>28.08708394639935</v>
      </c>
      <c r="W300" s="402"/>
      <c r="X300" s="157">
        <f t="shared" si="107"/>
        <v>44482</v>
      </c>
      <c r="Y300" s="385">
        <f t="shared" si="108"/>
        <v>24.637766593433206</v>
      </c>
      <c r="Z300" s="385">
        <f t="shared" si="109"/>
        <v>25.609627681218374</v>
      </c>
      <c r="AA300" s="386">
        <f t="shared" si="110"/>
        <v>29.643621837600879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0.13608303932907631</v>
      </c>
      <c r="AD300" s="231">
        <f>(INDEX(Models!$BJ300:$BT300,,AH300)*(1-AF300)+INDEX(Models!$BJ300:$BT300,,AH300+1)*AF300-ERP_i)*AE300*Ramure*Pc/MaxiM</f>
        <v>4.3411537434248387E-2</v>
      </c>
      <c r="AE300" s="305">
        <f t="shared" si="112"/>
        <v>0.8</v>
      </c>
      <c r="AF300" s="177">
        <f t="shared" si="113"/>
        <v>0.39668777200931338</v>
      </c>
      <c r="AG300" s="809">
        <f t="shared" si="119"/>
        <v>2</v>
      </c>
      <c r="AH300" s="176">
        <f t="shared" si="114"/>
        <v>8</v>
      </c>
      <c r="AI300" s="225">
        <f t="shared" si="115"/>
        <v>2.3966877720093134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6">
        <v>28.597999999999999</v>
      </c>
      <c r="C301" s="390"/>
      <c r="D301" s="393">
        <f t="shared" si="98"/>
        <v>29.726776189249549</v>
      </c>
      <c r="E301" s="385">
        <f t="shared" si="120"/>
        <v>31.590407121652976</v>
      </c>
      <c r="F301" s="385">
        <f t="shared" si="99"/>
        <v>32.224976238135895</v>
      </c>
      <c r="G301" s="110">
        <f t="shared" si="121"/>
        <v>1.0305826735298809</v>
      </c>
      <c r="H301" s="414" t="b">
        <f>Wh_hp&gt;='2020'!Maxi_hp</f>
        <v>1</v>
      </c>
      <c r="I301" s="380">
        <f>IF(H301,Wh_hp,'2020'!Maxi_hp)</f>
        <v>32.224976238135895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3.7971698715778143E-2</v>
      </c>
      <c r="M301" s="843"/>
      <c r="N301" s="843"/>
      <c r="O301" s="48">
        <f>IF(t&lt;Tnet,'2020'!Resal+('2020'!Salim-'2020'!Resal)*(1-EXP(('2020'!Tnet-t)/('2020'!Tau_j))),Resal+(Salim-Resal)*(1-EXP((Tnet-t)/(Tau_j))))*Salcycl</f>
        <v>5.8993571220107538E-2</v>
      </c>
      <c r="P301" s="169">
        <f>(INDEX(Models!$BJ301:$BT301,,T301)*(1-R301)+INDEX(Models!$BJ301:$BT301,,T301+1)*R301-ERP_i)*Q301*Ramure*Pc/MaxiM</f>
        <v>1.9691841253615942E-2</v>
      </c>
      <c r="Q301" s="305">
        <f t="shared" si="101"/>
        <v>0.8</v>
      </c>
      <c r="R301" s="177">
        <f t="shared" si="102"/>
        <v>0.19689475510572896</v>
      </c>
      <c r="S301" s="809">
        <f t="shared" si="103"/>
        <v>1</v>
      </c>
      <c r="T301" s="176">
        <f t="shared" si="104"/>
        <v>7</v>
      </c>
      <c r="U301" s="251">
        <f t="shared" si="105"/>
        <v>1.196894755105729</v>
      </c>
      <c r="V301" s="383">
        <f t="shared" si="106"/>
        <v>27.7493506678587</v>
      </c>
      <c r="W301" s="402"/>
      <c r="X301" s="157">
        <f t="shared" si="107"/>
        <v>44483</v>
      </c>
      <c r="Y301" s="385">
        <f t="shared" si="108"/>
        <v>25.637815404411306</v>
      </c>
      <c r="Z301" s="385">
        <f t="shared" si="109"/>
        <v>26.649751748661771</v>
      </c>
      <c r="AA301" s="386">
        <f t="shared" si="110"/>
        <v>30.848390471811008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0.13610560093843208</v>
      </c>
      <c r="AD301" s="231">
        <f>(INDEX(Models!$BJ301:$BT301,,AH301)*(1-AF301)+INDEX(Models!$BJ301:$BT301,,AH301+1)*AF301-ERP_i)*AE301*Ramure*Pc/MaxiM</f>
        <v>4.2717976148444747E-2</v>
      </c>
      <c r="AE301" s="305">
        <f t="shared" si="112"/>
        <v>0.8</v>
      </c>
      <c r="AF301" s="177">
        <f t="shared" si="113"/>
        <v>0.39682832925825018</v>
      </c>
      <c r="AG301" s="809">
        <f t="shared" si="119"/>
        <v>2</v>
      </c>
      <c r="AH301" s="176">
        <f t="shared" si="114"/>
        <v>8</v>
      </c>
      <c r="AI301" s="225">
        <f t="shared" si="115"/>
        <v>2.3968283292582502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6">
        <v>24.929000000000002</v>
      </c>
      <c r="C302" s="390"/>
      <c r="D302" s="393">
        <f t="shared" si="98"/>
        <v>25.913569086423824</v>
      </c>
      <c r="E302" s="385">
        <f t="shared" si="120"/>
        <v>27.543099852184895</v>
      </c>
      <c r="F302" s="385">
        <f t="shared" si="99"/>
        <v>28.014982099024511</v>
      </c>
      <c r="G302" s="110">
        <f t="shared" si="121"/>
        <v>0.9070329367729264</v>
      </c>
      <c r="H302" s="414" t="b">
        <f>Wh_hp&gt;='2020'!Maxi_hp</f>
        <v>1</v>
      </c>
      <c r="I302" s="380">
        <f>IF(H302,Wh_hp,'2020'!Maxi_hp)</f>
        <v>28.014982099024511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3.7994345091569778E-2</v>
      </c>
      <c r="M302" s="843"/>
      <c r="N302" s="843"/>
      <c r="O302" s="48">
        <f>IF(t&lt;Tnet,'2020'!Resal+('2020'!Salim-'2020'!Resal)*(1-EXP(('2020'!Tnet-t)/('2020'!Tau_j))),Resal+(Salim-Resal)*(1-EXP((Tnet-t)/(Tau_j))))*Salcycl</f>
        <v>5.9162940065070578E-2</v>
      </c>
      <c r="P302" s="169">
        <f>(INDEX(Models!$BJ302:$BT302,,T302)*(1-R302)+INDEX(Models!$BJ302:$BT302,,T302+1)*R302-ERP_i)*Q302*Ramure*Pc/MaxiM</f>
        <v>1.9349693400718421E-2</v>
      </c>
      <c r="Q302" s="305">
        <f t="shared" si="101"/>
        <v>0.8</v>
      </c>
      <c r="R302" s="177">
        <f t="shared" si="102"/>
        <v>0.19702971531296831</v>
      </c>
      <c r="S302" s="809">
        <f t="shared" si="103"/>
        <v>1</v>
      </c>
      <c r="T302" s="176">
        <f t="shared" si="104"/>
        <v>7</v>
      </c>
      <c r="U302" s="251">
        <f t="shared" si="105"/>
        <v>1.1970297153129683</v>
      </c>
      <c r="V302" s="383">
        <f t="shared" si="106"/>
        <v>27.414068969090721</v>
      </c>
      <c r="W302" s="402"/>
      <c r="X302" s="157">
        <f t="shared" si="107"/>
        <v>44484</v>
      </c>
      <c r="Y302" s="385">
        <f t="shared" si="108"/>
        <v>22.429717589913324</v>
      </c>
      <c r="Z302" s="385">
        <f t="shared" si="109"/>
        <v>23.315577694861187</v>
      </c>
      <c r="AA302" s="386">
        <f t="shared" si="110"/>
        <v>26.98956189938577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0.13612611491141685</v>
      </c>
      <c r="AD302" s="231">
        <f>(INDEX(Models!$BJ302:$BT302,,AH302)*(1-AF302)+INDEX(Models!$BJ302:$BT302,,AH302+1)*AF302-ERP_i)*AE302*Ramure*Pc/MaxiM</f>
        <v>4.2047707034541006E-2</v>
      </c>
      <c r="AE302" s="305">
        <f t="shared" si="112"/>
        <v>0.8</v>
      </c>
      <c r="AF302" s="177">
        <f t="shared" si="113"/>
        <v>0.39696328946548931</v>
      </c>
      <c r="AG302" s="809">
        <f t="shared" si="119"/>
        <v>2</v>
      </c>
      <c r="AH302" s="176">
        <f t="shared" si="114"/>
        <v>8</v>
      </c>
      <c r="AI302" s="225">
        <f t="shared" si="115"/>
        <v>2.3969632894654893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6">
        <v>26.713000000000001</v>
      </c>
      <c r="C303" s="390"/>
      <c r="D303" s="393">
        <f t="shared" si="98"/>
        <v>27.768681721428948</v>
      </c>
      <c r="E303" s="385">
        <f t="shared" si="120"/>
        <v>29.520142311321308</v>
      </c>
      <c r="F303" s="385">
        <f t="shared" si="99"/>
        <v>30.080595648759999</v>
      </c>
      <c r="G303" s="110">
        <f t="shared" si="121"/>
        <v>0.98604812379624629</v>
      </c>
      <c r="H303" s="414" t="b">
        <f>Wh_hp&gt;='2020'!Maxi_hp</f>
        <v>1</v>
      </c>
      <c r="I303" s="380">
        <f>IF(H303,Wh_hp,'2020'!Maxi_hp)</f>
        <v>30.080595648759999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3.8016990940347092E-2</v>
      </c>
      <c r="M303" s="843"/>
      <c r="N303" s="843"/>
      <c r="O303" s="48">
        <f>IF(t&lt;Tnet,'2020'!Resal+('2020'!Salim-'2020'!Resal)*(1-EXP(('2020'!Tnet-t)/('2020'!Tau_j))),Resal+(Salim-Resal)*(1-EXP((Tnet-t)/(Tau_j))))*Salcycl</f>
        <v>5.93310347701358E-2</v>
      </c>
      <c r="P303" s="169">
        <f>(INDEX(Models!$BJ303:$BT303,,T303)*(1-R303)+INDEX(Models!$BJ303:$BT303,,T303+1)*R303-ERP_i)*Q303*Ramure*Pc/MaxiM</f>
        <v>1.9000366757180948E-2</v>
      </c>
      <c r="Q303" s="305">
        <f t="shared" si="101"/>
        <v>0.8</v>
      </c>
      <c r="R303" s="177">
        <f t="shared" si="102"/>
        <v>0.19715929896252793</v>
      </c>
      <c r="S303" s="809">
        <f t="shared" si="103"/>
        <v>1</v>
      </c>
      <c r="T303" s="176">
        <f t="shared" si="104"/>
        <v>7</v>
      </c>
      <c r="U303" s="251">
        <f t="shared" si="105"/>
        <v>1.1971592989625279</v>
      </c>
      <c r="V303" s="383">
        <f t="shared" si="106"/>
        <v>27.080793345295625</v>
      </c>
      <c r="W303" s="402"/>
      <c r="X303" s="157">
        <f t="shared" si="107"/>
        <v>44485</v>
      </c>
      <c r="Y303" s="385">
        <f t="shared" si="108"/>
        <v>23.982530589004831</v>
      </c>
      <c r="Z303" s="385">
        <f t="shared" si="109"/>
        <v>24.930305798693858</v>
      </c>
      <c r="AA303" s="386">
        <f t="shared" si="110"/>
        <v>28.85935126706379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0.13614462196362745</v>
      </c>
      <c r="AD303" s="231">
        <f>(INDEX(Models!$BJ303:$BT303,,AH303)*(1-AF303)+INDEX(Models!$BJ303:$BT303,,AH303+1)*AF303-ERP_i)*AE303*Ramure*Pc/MaxiM</f>
        <v>4.1402360557649641E-2</v>
      </c>
      <c r="AE303" s="305">
        <f t="shared" si="112"/>
        <v>0.8</v>
      </c>
      <c r="AF303" s="177">
        <f t="shared" si="113"/>
        <v>0.39709287311504937</v>
      </c>
      <c r="AG303" s="809">
        <f t="shared" si="119"/>
        <v>2</v>
      </c>
      <c r="AH303" s="176">
        <f t="shared" si="114"/>
        <v>8</v>
      </c>
      <c r="AI303" s="225">
        <f t="shared" si="115"/>
        <v>2.3970928731150494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6">
        <v>24.748000000000001</v>
      </c>
      <c r="C304" s="390"/>
      <c r="D304" s="393">
        <f t="shared" si="98"/>
        <v>25.726631712596767</v>
      </c>
      <c r="E304" s="385">
        <f t="shared" si="120"/>
        <v>27.354145101255646</v>
      </c>
      <c r="F304" s="385">
        <f t="shared" si="99"/>
        <v>27.817595190845999</v>
      </c>
      <c r="G304" s="110">
        <f t="shared" si="121"/>
        <v>0.92331963395483319</v>
      </c>
      <c r="H304" s="414" t="b">
        <f>Wh_hp&gt;='2020'!Maxi_hp</f>
        <v>1</v>
      </c>
      <c r="I304" s="380">
        <f>IF(H304,Wh_hp,'2020'!Maxi_hp)</f>
        <v>27.817595190845999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3.803963626212252E-2</v>
      </c>
      <c r="M304" s="843"/>
      <c r="N304" s="843"/>
      <c r="O304" s="48">
        <f>IF(t&lt;Tnet,'2020'!Resal+('2020'!Salim-'2020'!Resal)*(1-EXP(('2020'!Tnet-t)/('2020'!Tau_j))),Resal+(Salim-Resal)*(1-EXP((Tnet-t)/(Tau_j))))*Salcycl</f>
        <v>5.9497870711527796E-2</v>
      </c>
      <c r="P304" s="169">
        <f>(INDEX(Models!$BJ304:$BT304,,T304)*(1-R304)+INDEX(Models!$BJ304:$BT304,,T304+1)*R304-ERP_i)*Q304*Ramure*Pc/MaxiM</f>
        <v>1.8653735232553269E-2</v>
      </c>
      <c r="Q304" s="305">
        <f t="shared" si="101"/>
        <v>0.8</v>
      </c>
      <c r="R304" s="177">
        <f t="shared" si="102"/>
        <v>0.19728371804082157</v>
      </c>
      <c r="S304" s="809">
        <f t="shared" si="103"/>
        <v>1</v>
      </c>
      <c r="T304" s="176">
        <f t="shared" si="104"/>
        <v>7</v>
      </c>
      <c r="U304" s="251">
        <f t="shared" si="105"/>
        <v>1.1972837180408216</v>
      </c>
      <c r="V304" s="383">
        <f t="shared" si="106"/>
        <v>26.748950492516414</v>
      </c>
      <c r="W304" s="402"/>
      <c r="X304" s="157">
        <f t="shared" si="107"/>
        <v>44486</v>
      </c>
      <c r="Y304" s="385">
        <f t="shared" si="108"/>
        <v>22.273201748849495</v>
      </c>
      <c r="Z304" s="385">
        <f t="shared" si="109"/>
        <v>23.153970359342864</v>
      </c>
      <c r="AA304" s="386">
        <f t="shared" si="110"/>
        <v>26.803576725281737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0.13616116995671254</v>
      </c>
      <c r="AD304" s="231">
        <f>(INDEX(Models!$BJ304:$BT304,,AH304)*(1-AF304)+INDEX(Models!$BJ304:$BT304,,AH304+1)*AF304-ERP_i)*AE304*Ramure*Pc/MaxiM</f>
        <v>4.0813956890751714E-2</v>
      </c>
      <c r="AE304" s="305">
        <f t="shared" si="112"/>
        <v>0.8</v>
      </c>
      <c r="AF304" s="177">
        <f t="shared" si="113"/>
        <v>0.39721729219334279</v>
      </c>
      <c r="AG304" s="809">
        <f t="shared" si="119"/>
        <v>2</v>
      </c>
      <c r="AH304" s="176">
        <f t="shared" si="114"/>
        <v>8</v>
      </c>
      <c r="AI304" s="225">
        <f t="shared" si="115"/>
        <v>2.3972172921933428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6">
        <v>26.17</v>
      </c>
      <c r="C305" s="390"/>
      <c r="D305" s="393">
        <f t="shared" si="98"/>
        <v>27.205503521323312</v>
      </c>
      <c r="E305" s="385">
        <f t="shared" si="120"/>
        <v>28.93166707569533</v>
      </c>
      <c r="F305" s="385">
        <f t="shared" si="99"/>
        <v>29.463986524260331</v>
      </c>
      <c r="G305" s="110">
        <f t="shared" si="121"/>
        <v>0.99033957504906478</v>
      </c>
      <c r="H305" s="414" t="b">
        <f>Wh_hp&gt;='2020'!Maxi_hp</f>
        <v>0</v>
      </c>
      <c r="I305" s="380">
        <f>IF(H305,Wh_hp,'2020'!Maxi_hp)</f>
        <v>30.068535736268366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3.8062281056908162E-2</v>
      </c>
      <c r="M305" s="843"/>
      <c r="N305" s="843"/>
      <c r="O305" s="48">
        <f>IF(t&lt;Tnet,'2020'!Resal+('2020'!Salim-'2020'!Resal)*(1-EXP(('2020'!Tnet-t)/('2020'!Tau_j))),Resal+(Salim-Resal)*(1-EXP((Tnet-t)/(Tau_j))))*Salcycl</f>
        <v>5.9663466673239907E-2</v>
      </c>
      <c r="P305" s="169">
        <f>(INDEX(Models!$BJ305:$BT305,,T305)*(1-R305)+INDEX(Models!$BJ305:$BT305,,T305+1)*R305-ERP_i)*Q305*Ramure*Pc/MaxiM</f>
        <v>1.8313015079679688E-2</v>
      </c>
      <c r="Q305" s="305">
        <f t="shared" si="101"/>
        <v>0.8</v>
      </c>
      <c r="R305" s="177">
        <f t="shared" si="102"/>
        <v>0.19740317634935023</v>
      </c>
      <c r="S305" s="809">
        <f t="shared" si="103"/>
        <v>1</v>
      </c>
      <c r="T305" s="176">
        <f t="shared" si="104"/>
        <v>7</v>
      </c>
      <c r="U305" s="251">
        <f t="shared" si="105"/>
        <v>1.1974031763493502</v>
      </c>
      <c r="V305" s="383">
        <f t="shared" si="106"/>
        <v>26.418652956128657</v>
      </c>
      <c r="W305" s="402"/>
      <c r="X305" s="157">
        <f t="shared" si="107"/>
        <v>44487</v>
      </c>
      <c r="Y305" s="385">
        <f t="shared" si="108"/>
        <v>23.510282657623598</v>
      </c>
      <c r="Z305" s="385">
        <f t="shared" si="109"/>
        <v>24.440545572383844</v>
      </c>
      <c r="AA305" s="386">
        <f t="shared" si="110"/>
        <v>28.293425869523169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0.13617581394727932</v>
      </c>
      <c r="AD305" s="231">
        <f>(INDEX(Models!$BJ305:$BT305,,AH305)*(1-AF305)+INDEX(Models!$BJ305:$BT305,,AH305+1)*AF305-ERP_i)*AE305*Ramure*Pc/MaxiM</f>
        <v>4.02699825822046E-2</v>
      </c>
      <c r="AE305" s="305">
        <f t="shared" si="112"/>
        <v>0.8</v>
      </c>
      <c r="AF305" s="177">
        <f t="shared" si="113"/>
        <v>0.39733675050187145</v>
      </c>
      <c r="AG305" s="809">
        <f t="shared" si="119"/>
        <v>2</v>
      </c>
      <c r="AH305" s="176">
        <f t="shared" si="114"/>
        <v>8</v>
      </c>
      <c r="AI305" s="225">
        <f t="shared" si="115"/>
        <v>2.3973367505018714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6">
        <v>25.651</v>
      </c>
      <c r="C306" s="390"/>
      <c r="D306" s="393">
        <f t="shared" si="98"/>
        <v>26.666595290295334</v>
      </c>
      <c r="E306" s="385">
        <f t="shared" si="120"/>
        <v>28.36352379226069</v>
      </c>
      <c r="F306" s="385">
        <f t="shared" si="99"/>
        <v>28.870083274747984</v>
      </c>
      <c r="G306" s="110">
        <f t="shared" si="121"/>
        <v>0.98273739360167411</v>
      </c>
      <c r="H306" s="414" t="b">
        <f>Wh_hp&gt;='2020'!Maxi_hp</f>
        <v>1</v>
      </c>
      <c r="I306" s="380">
        <f>IF(H306,Wh_hp,'2020'!Maxi_hp)</f>
        <v>28.870083274747984</v>
      </c>
      <c r="J306" s="85">
        <f>IF(H306,An,'2020'!An_max)</f>
        <v>2021</v>
      </c>
      <c r="K306" s="197">
        <f t="shared" si="100"/>
        <v>44488</v>
      </c>
      <c r="L306" s="147">
        <f>IF(t&lt;Tvie,1-EXP((T0-t)*PertePVj)+'2020'!Pspv,1-EXP((T0-t)*PertePVj)+Pspv)</f>
        <v>3.8084925324716454E-2</v>
      </c>
      <c r="M306" s="843"/>
      <c r="N306" s="843"/>
      <c r="O306" s="48">
        <f>IF(t&lt;Tnet,'2020'!Resal+('2020'!Salim-'2020'!Resal)*(1-EXP(('2020'!Tnet-t)/('2020'!Tau_j))),Resal+(Salim-Resal)*(1-EXP((Tnet-t)/(Tau_j))))*Salcycl</f>
        <v>5.982784488958251E-2</v>
      </c>
      <c r="P306" s="169">
        <f>(INDEX(Models!$BJ306:$BT306,,T306)*(1-R306)+INDEX(Models!$BJ306:$BT306,,T306+1)*R306-ERP_i)*Q306*Ramure*Pc/MaxiM</f>
        <v>1.7978426952981845E-2</v>
      </c>
      <c r="Q306" s="305">
        <f t="shared" si="101"/>
        <v>0.8</v>
      </c>
      <c r="R306" s="177">
        <f t="shared" si="102"/>
        <v>0.19751786980706632</v>
      </c>
      <c r="S306" s="809">
        <f t="shared" si="103"/>
        <v>1</v>
      </c>
      <c r="T306" s="176">
        <f t="shared" si="104"/>
        <v>7</v>
      </c>
      <c r="U306" s="251">
        <f t="shared" si="105"/>
        <v>1.1975178698070663</v>
      </c>
      <c r="V306" s="383">
        <f t="shared" si="106"/>
        <v>26.090097318889818</v>
      </c>
      <c r="W306" s="402"/>
      <c r="X306" s="157">
        <f t="shared" si="107"/>
        <v>44488</v>
      </c>
      <c r="Y306" s="385">
        <f t="shared" si="108"/>
        <v>23.057411112455192</v>
      </c>
      <c r="Z306" s="385">
        <f t="shared" si="109"/>
        <v>23.970318918474948</v>
      </c>
      <c r="AA306" s="386">
        <f t="shared" si="110"/>
        <v>27.749482546540165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0.13618861619228309</v>
      </c>
      <c r="AD306" s="231">
        <f>(INDEX(Models!$BJ306:$BT306,,AH306)*(1-AF306)+INDEX(Models!$BJ306:$BT306,,AH306+1)*AF306-ERP_i)*AE306*Ramure*Pc/MaxiM</f>
        <v>3.9771515551577472E-2</v>
      </c>
      <c r="AE306" s="305">
        <f t="shared" si="112"/>
        <v>0.8</v>
      </c>
      <c r="AF306" s="177">
        <f t="shared" si="113"/>
        <v>0.39745144395958754</v>
      </c>
      <c r="AG306" s="809">
        <f t="shared" si="119"/>
        <v>2</v>
      </c>
      <c r="AH306" s="176">
        <f t="shared" si="114"/>
        <v>8</v>
      </c>
      <c r="AI306" s="225">
        <f t="shared" si="115"/>
        <v>2.3974514439595875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6">
        <v>19.53</v>
      </c>
      <c r="C307" s="390"/>
      <c r="D307" s="393">
        <f t="shared" si="98"/>
        <v>20.303725626603981</v>
      </c>
      <c r="E307" s="385">
        <f t="shared" si="120"/>
        <v>21.599502023545316</v>
      </c>
      <c r="F307" s="385">
        <f t="shared" si="99"/>
        <v>21.851880958008696</v>
      </c>
      <c r="G307" s="110">
        <f t="shared" si="121"/>
        <v>0.75337111157134506</v>
      </c>
      <c r="H307" s="414" t="b">
        <f>Wh_hp&gt;='2020'!Maxi_hp</f>
        <v>0</v>
      </c>
      <c r="I307" s="380">
        <f>IF(H307,Wh_hp,'2020'!Maxi_hp)</f>
        <v>24.548923439144371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3.8107569065559385E-2</v>
      </c>
      <c r="M307" s="843"/>
      <c r="N307" s="843"/>
      <c r="O307" s="48">
        <f>IF(t&lt;Tnet,'2020'!Resal+('2020'!Salim-'2020'!Resal)*(1-EXP(('2020'!Tnet-t)/('2020'!Tau_j))),Resal+(Salim-Resal)*(1-EXP((Tnet-t)/(Tau_j))))*Salcycl</f>
        <v>5.999103106769911E-2</v>
      </c>
      <c r="P307" s="169">
        <f>(INDEX(Models!$BJ307:$BT307,,T307)*(1-R307)+INDEX(Models!$BJ307:$BT307,,T307+1)*R307-ERP_i)*Q307*Ramure*Pc/MaxiM</f>
        <v>1.7650201018534276E-2</v>
      </c>
      <c r="Q307" s="305">
        <f t="shared" si="101"/>
        <v>0.8</v>
      </c>
      <c r="R307" s="177">
        <f t="shared" si="102"/>
        <v>0.19762798674265847</v>
      </c>
      <c r="S307" s="809">
        <f t="shared" si="103"/>
        <v>1</v>
      </c>
      <c r="T307" s="176">
        <f t="shared" si="104"/>
        <v>7</v>
      </c>
      <c r="U307" s="251">
        <f t="shared" si="105"/>
        <v>1.1976279867426585</v>
      </c>
      <c r="V307" s="383">
        <f t="shared" si="106"/>
        <v>25.763480200409848</v>
      </c>
      <c r="W307" s="402"/>
      <c r="X307" s="157">
        <f t="shared" si="107"/>
        <v>44489</v>
      </c>
      <c r="Y307" s="385">
        <f t="shared" si="108"/>
        <v>17.689210555561043</v>
      </c>
      <c r="Z307" s="385">
        <f t="shared" si="109"/>
        <v>18.390009097354753</v>
      </c>
      <c r="AA307" s="386">
        <f t="shared" si="110"/>
        <v>21.289652191654941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0.13619964610961482</v>
      </c>
      <c r="AD307" s="231">
        <f>(INDEX(Models!$BJ307:$BT307,,AH307)*(1-AF307)+INDEX(Models!$BJ307:$BT307,,AH307+1)*AF307-ERP_i)*AE307*Ramure*Pc/MaxiM</f>
        <v>3.9319647519892711E-2</v>
      </c>
      <c r="AE307" s="305">
        <f t="shared" si="112"/>
        <v>0.8</v>
      </c>
      <c r="AF307" s="177">
        <f t="shared" si="113"/>
        <v>0.39756156089517969</v>
      </c>
      <c r="AG307" s="809">
        <f t="shared" si="119"/>
        <v>2</v>
      </c>
      <c r="AH307" s="176">
        <f t="shared" si="114"/>
        <v>8</v>
      </c>
      <c r="AI307" s="225">
        <f t="shared" si="115"/>
        <v>2.3975615608951797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6">
        <v>13.747</v>
      </c>
      <c r="C308" s="390"/>
      <c r="D308" s="393">
        <f t="shared" si="98"/>
        <v>14.291955289060269</v>
      </c>
      <c r="E308" s="385">
        <f t="shared" si="120"/>
        <v>15.206683764634876</v>
      </c>
      <c r="F308" s="385">
        <f t="shared" si="99"/>
        <v>15.297718957282214</v>
      </c>
      <c r="G308" s="110">
        <f t="shared" si="121"/>
        <v>0.53420557625132647</v>
      </c>
      <c r="H308" s="414" t="b">
        <f>Wh_hp&gt;='2020'!Maxi_hp</f>
        <v>0</v>
      </c>
      <c r="I308" s="380">
        <f>IF(H308,Wh_hp,'2020'!Maxi_hp)</f>
        <v>22.767117495614556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3.8130212279449502E-2</v>
      </c>
      <c r="M308" s="843"/>
      <c r="N308" s="843"/>
      <c r="O308" s="48">
        <f>IF(t&lt;Tnet,'2020'!Resal+('2020'!Salim-'2020'!Resal)*(1-EXP(('2020'!Tnet-t)/('2020'!Tau_j))),Resal+(Salim-Resal)*(1-EXP((Tnet-t)/(Tau_j))))*Salcycl</f>
        <v>6.0153054389276324E-2</v>
      </c>
      <c r="P308" s="169">
        <f>(INDEX(Models!$BJ308:$BT308,,T308)*(1-R308)+INDEX(Models!$BJ308:$BT308,,T308+1)*R308-ERP_i)*Q308*Ramure*Pc/MaxiM</f>
        <v>1.7328576175614407E-2</v>
      </c>
      <c r="Q308" s="305">
        <f t="shared" si="101"/>
        <v>0.8</v>
      </c>
      <c r="R308" s="177">
        <f t="shared" si="102"/>
        <v>0.19773370817700098</v>
      </c>
      <c r="S308" s="809">
        <f t="shared" si="103"/>
        <v>1</v>
      </c>
      <c r="T308" s="176">
        <f t="shared" si="104"/>
        <v>7</v>
      </c>
      <c r="U308" s="251">
        <f t="shared" si="105"/>
        <v>1.197733708177001</v>
      </c>
      <c r="V308" s="383">
        <f t="shared" si="106"/>
        <v>25.438998282834209</v>
      </c>
      <c r="W308" s="402"/>
      <c r="X308" s="157">
        <f t="shared" si="107"/>
        <v>44490</v>
      </c>
      <c r="Y308" s="385">
        <f t="shared" si="108"/>
        <v>12.540317354590043</v>
      </c>
      <c r="Z308" s="385">
        <f t="shared" si="109"/>
        <v>13.037437618566045</v>
      </c>
      <c r="AA308" s="386">
        <f t="shared" si="110"/>
        <v>15.093277563221619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0.13620898019295158</v>
      </c>
      <c r="AD308" s="231">
        <f>(INDEX(Models!$BJ308:$BT308,,AH308)*(1-AF308)+INDEX(Models!$BJ308:$BT308,,AH308+1)*AF308-ERP_i)*AE308*Ramure*Pc/MaxiM</f>
        <v>3.8915480567519339E-2</v>
      </c>
      <c r="AE308" s="305">
        <f t="shared" si="112"/>
        <v>0.8</v>
      </c>
      <c r="AF308" s="177">
        <f t="shared" si="113"/>
        <v>0.3976672823295222</v>
      </c>
      <c r="AG308" s="809">
        <f t="shared" si="119"/>
        <v>2</v>
      </c>
      <c r="AH308" s="176">
        <f t="shared" si="114"/>
        <v>8</v>
      </c>
      <c r="AI308" s="225">
        <f t="shared" si="115"/>
        <v>2.3976672823295222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6">
        <v>10.676</v>
      </c>
      <c r="C309" s="390"/>
      <c r="D309" s="393">
        <f t="shared" si="98"/>
        <v>11.099476725719288</v>
      </c>
      <c r="E309" s="385">
        <f t="shared" si="120"/>
        <v>11.811898980602328</v>
      </c>
      <c r="F309" s="385">
        <f t="shared" si="99"/>
        <v>11.847910403545495</v>
      </c>
      <c r="G309" s="110">
        <f t="shared" si="121"/>
        <v>0.41909538677103825</v>
      </c>
      <c r="H309" s="414" t="b">
        <f>Wh_hp&gt;='2020'!Maxi_hp</f>
        <v>0</v>
      </c>
      <c r="I309" s="380">
        <f>IF(H309,Wh_hp,'2020'!Maxi_hp)</f>
        <v>22.223481841777481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3.8152854966398905E-2</v>
      </c>
      <c r="M309" s="843"/>
      <c r="N309" s="843"/>
      <c r="O309" s="48">
        <f>IF(t&lt;Tnet,'2020'!Resal+('2020'!Salim-'2020'!Resal)*(1-EXP(('2020'!Tnet-t)/('2020'!Tau_j))),Resal+(Salim-Resal)*(1-EXP((Tnet-t)/(Tau_j))))*Salcycl</f>
        <v>6.0313947490830175E-2</v>
      </c>
      <c r="P309" s="169">
        <f>(INDEX(Models!$BJ309:$BT309,,T309)*(1-R309)+INDEX(Models!$BJ309:$BT309,,T309+1)*R309-ERP_i)*Q309*Ramure*Pc/MaxiM</f>
        <v>1.7013799229832097E-2</v>
      </c>
      <c r="Q309" s="305">
        <f t="shared" si="101"/>
        <v>0.8</v>
      </c>
      <c r="R309" s="177">
        <f t="shared" si="102"/>
        <v>0.19783520809601596</v>
      </c>
      <c r="S309" s="809">
        <f t="shared" si="103"/>
        <v>1</v>
      </c>
      <c r="T309" s="176">
        <f t="shared" si="104"/>
        <v>7</v>
      </c>
      <c r="U309" s="251">
        <f t="shared" si="105"/>
        <v>1.197835208096016</v>
      </c>
      <c r="V309" s="383">
        <f t="shared" si="106"/>
        <v>25.116848338942244</v>
      </c>
      <c r="W309" s="402"/>
      <c r="X309" s="157">
        <f t="shared" si="107"/>
        <v>44491</v>
      </c>
      <c r="Y309" s="385">
        <f t="shared" si="108"/>
        <v>9.7757606281512306</v>
      </c>
      <c r="Z309" s="385">
        <f t="shared" si="109"/>
        <v>10.163528247318053</v>
      </c>
      <c r="AA309" s="386">
        <f t="shared" si="110"/>
        <v>11.76629401082679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0.13621670188029866</v>
      </c>
      <c r="AD309" s="231">
        <f>(INDEX(Models!$BJ309:$BT309,,AH309)*(1-AF309)+INDEX(Models!$BJ309:$BT309,,AH309+1)*AF309-ERP_i)*AE309*Ramure*Pc/MaxiM</f>
        <v>3.8560123596632433E-2</v>
      </c>
      <c r="AE309" s="305">
        <f t="shared" si="112"/>
        <v>0.8</v>
      </c>
      <c r="AF309" s="177">
        <f t="shared" si="113"/>
        <v>0.39776878224853718</v>
      </c>
      <c r="AG309" s="809">
        <f t="shared" si="119"/>
        <v>2</v>
      </c>
      <c r="AH309" s="176">
        <f t="shared" si="114"/>
        <v>8</v>
      </c>
      <c r="AI309" s="225">
        <f t="shared" si="115"/>
        <v>2.3977687822485372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6">
        <v>25.939</v>
      </c>
      <c r="C310" s="390"/>
      <c r="D310" s="393">
        <f t="shared" si="98"/>
        <v>26.968537318922266</v>
      </c>
      <c r="E310" s="385">
        <f t="shared" si="120"/>
        <v>28.704399920940215</v>
      </c>
      <c r="F310" s="385">
        <f t="shared" si="99"/>
        <v>29.192406870940115</v>
      </c>
      <c r="G310" s="110">
        <f t="shared" si="121"/>
        <v>1.0460558502059991</v>
      </c>
      <c r="H310" s="414" t="b">
        <f>Wh_hp&gt;='2020'!Maxi_hp</f>
        <v>1</v>
      </c>
      <c r="I310" s="380">
        <f>IF(H310,Wh_hp,'2020'!Maxi_hp)</f>
        <v>29.192406870940115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3.8175497126419919E-2</v>
      </c>
      <c r="M310" s="843"/>
      <c r="N310" s="843"/>
      <c r="O310" s="48">
        <f>IF(t&lt;Tnet,'2020'!Resal+('2020'!Salim-'2020'!Resal)*(1-EXP(('2020'!Tnet-t)/('2020'!Tau_j))),Resal+(Salim-Resal)*(1-EXP((Tnet-t)/(Tau_j))))*Salcycl</f>
        <v>6.0473746422116108E-2</v>
      </c>
      <c r="P310" s="169">
        <f>(INDEX(Models!$BJ310:$BT310,,T310)*(1-R310)+INDEX(Models!$BJ310:$BT310,,T310+1)*R310-ERP_i)*Q310*Ramure*Pc/MaxiM</f>
        <v>1.6716913824796384E-2</v>
      </c>
      <c r="Q310" s="305">
        <f t="shared" si="101"/>
        <v>0.8</v>
      </c>
      <c r="R310" s="177">
        <f t="shared" si="102"/>
        <v>0.1979326537142021</v>
      </c>
      <c r="S310" s="809">
        <f t="shared" si="103"/>
        <v>1</v>
      </c>
      <c r="T310" s="176">
        <f t="shared" si="104"/>
        <v>7</v>
      </c>
      <c r="U310" s="251">
        <f t="shared" si="105"/>
        <v>1.1979326537142021</v>
      </c>
      <c r="V310" s="383">
        <f t="shared" si="106"/>
        <v>24.796955148132724</v>
      </c>
      <c r="W310" s="402"/>
      <c r="X310" s="157">
        <f t="shared" si="107"/>
        <v>44492</v>
      </c>
      <c r="Y310" s="385">
        <f t="shared" si="108"/>
        <v>23.324705787114659</v>
      </c>
      <c r="Z310" s="385">
        <f t="shared" si="109"/>
        <v>24.250479913361495</v>
      </c>
      <c r="AA310" s="386">
        <f t="shared" si="110"/>
        <v>28.074928071134693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0.13622290137602575</v>
      </c>
      <c r="AD310" s="231">
        <f>(INDEX(Models!$BJ310:$BT310,,AH310)*(1-AF310)+INDEX(Models!$BJ310:$BT310,,AH310+1)*AF310-ERP_i)*AE310*Ramure*Pc/MaxiM</f>
        <v>3.8279776133081693E-2</v>
      </c>
      <c r="AE310" s="305">
        <f t="shared" si="112"/>
        <v>0.8</v>
      </c>
      <c r="AF310" s="177">
        <f t="shared" si="113"/>
        <v>0.39786622786672332</v>
      </c>
      <c r="AG310" s="809">
        <f t="shared" si="119"/>
        <v>2</v>
      </c>
      <c r="AH310" s="176">
        <f t="shared" si="114"/>
        <v>8</v>
      </c>
      <c r="AI310" s="225">
        <f t="shared" si="115"/>
        <v>2.3978662278667233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6">
        <v>25.016000000000002</v>
      </c>
      <c r="C311" s="390"/>
      <c r="D311" s="393">
        <f t="shared" si="98"/>
        <v>26.009515065541507</v>
      </c>
      <c r="E311" s="385">
        <f t="shared" si="120"/>
        <v>27.688327310433291</v>
      </c>
      <c r="F311" s="385">
        <f t="shared" si="99"/>
        <v>28.150978244916217</v>
      </c>
      <c r="G311" s="110">
        <f t="shared" si="121"/>
        <v>1.0219115073649414</v>
      </c>
      <c r="H311" s="414" t="b">
        <f>Wh_hp&gt;='2020'!Maxi_hp</f>
        <v>0</v>
      </c>
      <c r="I311" s="380">
        <f>IF(H311,Wh_hp,'2020'!Maxi_hp)</f>
        <v>28.410947539123171</v>
      </c>
      <c r="J311" s="85">
        <f>IF(H311,An,'2020'!An_max)</f>
        <v>2018</v>
      </c>
      <c r="K311" s="197">
        <f t="shared" si="100"/>
        <v>44493</v>
      </c>
      <c r="L311" s="147">
        <f>IF(t&lt;Tvie,1-EXP((T0-t)*PertePVj)+'2020'!Pspv,1-EXP((T0-t)*PertePVj)+Pspv)</f>
        <v>3.8198138759524866E-2</v>
      </c>
      <c r="M311" s="843"/>
      <c r="N311" s="843"/>
      <c r="O311" s="48">
        <f>IF(t&lt;Tnet,'2020'!Resal+('2020'!Salim-'2020'!Resal)*(1-EXP(('2020'!Tnet-t)/('2020'!Tau_j))),Resal+(Salim-Resal)*(1-EXP((Tnet-t)/(Tau_j))))*Salcycl</f>
        <v>6.0632490582382979E-2</v>
      </c>
      <c r="P311" s="169">
        <f>(INDEX(Models!$BJ311:$BT311,,T311)*(1-R311)+INDEX(Models!$BJ311:$BT311,,T311+1)*R311-ERP_i)*Q311*Ramure*Pc/MaxiM</f>
        <v>1.6434630813104287E-2</v>
      </c>
      <c r="Q311" s="305">
        <f t="shared" si="101"/>
        <v>0.8</v>
      </c>
      <c r="R311" s="177">
        <f t="shared" si="102"/>
        <v>0.19802620572907337</v>
      </c>
      <c r="S311" s="809">
        <f t="shared" si="103"/>
        <v>1</v>
      </c>
      <c r="T311" s="176">
        <f t="shared" si="104"/>
        <v>7</v>
      </c>
      <c r="U311" s="251">
        <f t="shared" si="105"/>
        <v>1.1980262057290734</v>
      </c>
      <c r="V311" s="383">
        <f t="shared" si="106"/>
        <v>24.479614741304967</v>
      </c>
      <c r="W311" s="402"/>
      <c r="X311" s="157">
        <f t="shared" si="107"/>
        <v>44493</v>
      </c>
      <c r="Y311" s="385">
        <f t="shared" si="108"/>
        <v>22.497371692387695</v>
      </c>
      <c r="Z311" s="385">
        <f t="shared" si="109"/>
        <v>23.390858968989637</v>
      </c>
      <c r="AA311" s="386">
        <f t="shared" si="110"/>
        <v>27.079889345310381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0.13622767542658362</v>
      </c>
      <c r="AD311" s="231">
        <f>(INDEX(Models!$BJ311:$BT311,,AH311)*(1-AF311)+INDEX(Models!$BJ311:$BT311,,AH311+1)*AF311-ERP_i)*AE311*Ramure*Pc/MaxiM</f>
        <v>3.8048017027588157E-2</v>
      </c>
      <c r="AE311" s="305">
        <f t="shared" si="112"/>
        <v>0.8</v>
      </c>
      <c r="AF311" s="177">
        <f t="shared" si="113"/>
        <v>0.39795977988159459</v>
      </c>
      <c r="AG311" s="809">
        <f t="shared" si="119"/>
        <v>2</v>
      </c>
      <c r="AH311" s="176">
        <f t="shared" si="114"/>
        <v>8</v>
      </c>
      <c r="AI311" s="225">
        <f t="shared" si="115"/>
        <v>2.3979597798815946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6">
        <v>22.776</v>
      </c>
      <c r="C312" s="390"/>
      <c r="D312" s="393">
        <f t="shared" si="98"/>
        <v>23.681110511849319</v>
      </c>
      <c r="E312" s="385">
        <f t="shared" si="120"/>
        <v>25.213867106741521</v>
      </c>
      <c r="F312" s="385">
        <f t="shared" si="99"/>
        <v>25.593674279356939</v>
      </c>
      <c r="G312" s="110">
        <f t="shared" si="121"/>
        <v>0.94124907472991592</v>
      </c>
      <c r="H312" s="414" t="b">
        <f>Wh_hp&gt;='2020'!Maxi_hp</f>
        <v>0</v>
      </c>
      <c r="I312" s="380">
        <f>IF(H312,Wh_hp,'2020'!Maxi_hp)</f>
        <v>27.544324929727701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3.8220779865725849E-2</v>
      </c>
      <c r="M312" s="843"/>
      <c r="N312" s="843"/>
      <c r="O312" s="48">
        <f>IF(t&lt;Tnet,'2020'!Resal+('2020'!Salim-'2020'!Resal)*(1-EXP(('2020'!Tnet-t)/('2020'!Tau_j))),Resal+(Salim-Resal)*(1-EXP((Tnet-t)/(Tau_j))))*Salcycl</f>
        <v>6.0790222634368771E-2</v>
      </c>
      <c r="P312" s="169">
        <f>(INDEX(Models!$BJ312:$BT312,,T312)*(1-R312)+INDEX(Models!$BJ312:$BT312,,T312+1)*R312-ERP_i)*Q312*Ramure*Pc/MaxiM</f>
        <v>1.6167484221522786E-2</v>
      </c>
      <c r="Q312" s="305">
        <f t="shared" si="101"/>
        <v>0.8</v>
      </c>
      <c r="R312" s="177">
        <f t="shared" si="102"/>
        <v>0.1981160185667632</v>
      </c>
      <c r="S312" s="809">
        <f t="shared" si="103"/>
        <v>1</v>
      </c>
      <c r="T312" s="176">
        <f t="shared" si="104"/>
        <v>7</v>
      </c>
      <c r="U312" s="251">
        <f t="shared" si="105"/>
        <v>1.1981160185667632</v>
      </c>
      <c r="V312" s="383">
        <f t="shared" si="106"/>
        <v>24.165024670510103</v>
      </c>
      <c r="W312" s="402"/>
      <c r="X312" s="157">
        <f t="shared" si="107"/>
        <v>44494</v>
      </c>
      <c r="Y312" s="385">
        <f t="shared" si="108"/>
        <v>20.523070471027694</v>
      </c>
      <c r="Z312" s="385">
        <f t="shared" si="109"/>
        <v>21.338650327839755</v>
      </c>
      <c r="AA312" s="386">
        <f t="shared" si="110"/>
        <v>24.704120507346222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0.13623112705047263</v>
      </c>
      <c r="AD312" s="231">
        <f>(INDEX(Models!$BJ312:$BT312,,AH312)*(1-AF312)+INDEX(Models!$BJ312:$BT312,,AH312+1)*AF312-ERP_i)*AE312*Ramure*Pc/MaxiM</f>
        <v>3.7866179498779698E-2</v>
      </c>
      <c r="AE312" s="305">
        <f t="shared" si="112"/>
        <v>0.8</v>
      </c>
      <c r="AF312" s="177">
        <f t="shared" si="113"/>
        <v>0.39804959271928464</v>
      </c>
      <c r="AG312" s="809">
        <f t="shared" si="119"/>
        <v>2</v>
      </c>
      <c r="AH312" s="176">
        <f t="shared" si="114"/>
        <v>8</v>
      </c>
      <c r="AI312" s="225">
        <f t="shared" si="115"/>
        <v>2.3980495927192846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6">
        <v>21.768000000000001</v>
      </c>
      <c r="C313" s="390"/>
      <c r="D313" s="393">
        <f t="shared" si="98"/>
        <v>22.633585735459945</v>
      </c>
      <c r="E313" s="385">
        <f t="shared" si="120"/>
        <v>24.102564451395889</v>
      </c>
      <c r="F313" s="385">
        <f t="shared" si="99"/>
        <v>24.443008832850264</v>
      </c>
      <c r="G313" s="110">
        <f t="shared" si="121"/>
        <v>0.910735210359086</v>
      </c>
      <c r="H313" s="414" t="b">
        <f>Wh_hp&gt;='2020'!Maxi_hp</f>
        <v>0</v>
      </c>
      <c r="I313" s="380">
        <f>IF(H313,Wh_hp,'2020'!Maxi_hp)</f>
        <v>27.696361546697236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3.8243420445035189E-2</v>
      </c>
      <c r="M313" s="843"/>
      <c r="N313" s="843"/>
      <c r="O313" s="48">
        <f>IF(t&lt;Tnet,'2020'!Resal+('2020'!Salim-'2020'!Resal)*(1-EXP(('2020'!Tnet-t)/('2020'!Tau_j))),Resal+(Salim-Resal)*(1-EXP((Tnet-t)/(Tau_j))))*Salcycl</f>
        <v>6.0946988396119339E-2</v>
      </c>
      <c r="P313" s="169">
        <f>(INDEX(Models!$BJ313:$BT313,,T313)*(1-R313)+INDEX(Models!$BJ313:$BT313,,T313+1)*R313-ERP_i)*Q313*Ramure*Pc/MaxiM</f>
        <v>1.5915870477786954E-2</v>
      </c>
      <c r="Q313" s="305">
        <f t="shared" si="101"/>
        <v>0.8</v>
      </c>
      <c r="R313" s="177">
        <f t="shared" si="102"/>
        <v>0.19820224061903868</v>
      </c>
      <c r="S313" s="809">
        <f t="shared" si="103"/>
        <v>1</v>
      </c>
      <c r="T313" s="176">
        <f t="shared" si="104"/>
        <v>7</v>
      </c>
      <c r="U313" s="251">
        <f t="shared" si="105"/>
        <v>1.1982022406190387</v>
      </c>
      <c r="V313" s="383">
        <f t="shared" si="106"/>
        <v>23.853386281092792</v>
      </c>
      <c r="W313" s="402"/>
      <c r="X313" s="157">
        <f t="shared" si="107"/>
        <v>44495</v>
      </c>
      <c r="Y313" s="385">
        <f t="shared" si="108"/>
        <v>19.635079690595617</v>
      </c>
      <c r="Z313" s="385">
        <f t="shared" si="109"/>
        <v>20.415851690540435</v>
      </c>
      <c r="AA313" s="386">
        <f t="shared" si="110"/>
        <v>23.63584198389561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0.13623336522342333</v>
      </c>
      <c r="AD313" s="231">
        <f>(INDEX(Models!$BJ313:$BT313,,AH313)*(1-AF313)+INDEX(Models!$BJ313:$BT313,,AH313+1)*AF313-ERP_i)*AE313*Ramure*Pc/MaxiM</f>
        <v>3.7735276954915117E-2</v>
      </c>
      <c r="AE313" s="305">
        <f t="shared" si="112"/>
        <v>0.8</v>
      </c>
      <c r="AF313" s="177">
        <f t="shared" si="113"/>
        <v>0.3981358147715599</v>
      </c>
      <c r="AG313" s="809">
        <f t="shared" si="119"/>
        <v>2</v>
      </c>
      <c r="AH313" s="176">
        <f t="shared" si="114"/>
        <v>8</v>
      </c>
      <c r="AI313" s="225">
        <f t="shared" si="115"/>
        <v>2.3981358147715599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6">
        <v>21.772000000000002</v>
      </c>
      <c r="C314" s="390"/>
      <c r="D314" s="393">
        <f t="shared" si="98"/>
        <v>22.638277704186834</v>
      </c>
      <c r="E314" s="385">
        <f t="shared" si="120"/>
        <v>24.111562575054943</v>
      </c>
      <c r="F314" s="385">
        <f t="shared" si="99"/>
        <v>24.453755622088135</v>
      </c>
      <c r="G314" s="110">
        <f t="shared" si="121"/>
        <v>0.92311943151373421</v>
      </c>
      <c r="H314" s="414" t="b">
        <f>Wh_hp&gt;='2020'!Maxi_hp</f>
        <v>1</v>
      </c>
      <c r="I314" s="380">
        <f>IF(H314,Wh_hp,'2020'!Maxi_hp)</f>
        <v>24.453755622088135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3.8266060497465212E-2</v>
      </c>
      <c r="M314" s="843"/>
      <c r="N314" s="843"/>
      <c r="O314" s="48">
        <f>IF(t&lt;Tnet,'2020'!Resal+('2020'!Salim-'2020'!Resal)*(1-EXP(('2020'!Tnet-t)/('2020'!Tau_j))),Resal+(Salim-Resal)*(1-EXP((Tnet-t)/(Tau_j))))*Salcycl</f>
        <v>6.1102836710895031E-2</v>
      </c>
      <c r="P314" s="169">
        <f>(INDEX(Models!$BJ314:$BT314,,T314)*(1-R314)+INDEX(Models!$BJ314:$BT314,,T314+1)*R314-ERP_i)*Q314*Ramure*Pc/MaxiM</f>
        <v>1.5680187923825743E-2</v>
      </c>
      <c r="Q314" s="305">
        <f t="shared" si="101"/>
        <v>0.8</v>
      </c>
      <c r="R314" s="177">
        <f t="shared" si="102"/>
        <v>0.19828501447197144</v>
      </c>
      <c r="S314" s="809">
        <f t="shared" si="103"/>
        <v>1</v>
      </c>
      <c r="T314" s="176">
        <f t="shared" si="104"/>
        <v>7</v>
      </c>
      <c r="U314" s="251">
        <f t="shared" si="105"/>
        <v>1.1982850144719714</v>
      </c>
      <c r="V314" s="383">
        <f t="shared" si="106"/>
        <v>23.544901118311422</v>
      </c>
      <c r="W314" s="402"/>
      <c r="X314" s="157">
        <f t="shared" si="107"/>
        <v>44496</v>
      </c>
      <c r="Y314" s="385">
        <f t="shared" si="108"/>
        <v>19.631376269297363</v>
      </c>
      <c r="Z314" s="385">
        <f t="shared" si="109"/>
        <v>20.412481522126441</v>
      </c>
      <c r="AA314" s="386">
        <f t="shared" si="110"/>
        <v>23.631971442418191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0.13623450452013197</v>
      </c>
      <c r="AD314" s="231">
        <f>(INDEX(Models!$BJ314:$BT314,,AH314)*(1-AF314)+INDEX(Models!$BJ314:$BT314,,AH314+1)*AF314-ERP_i)*AE314*Ramure*Pc/MaxiM</f>
        <v>3.7656318507259867E-2</v>
      </c>
      <c r="AE314" s="305">
        <f t="shared" si="112"/>
        <v>0.8</v>
      </c>
      <c r="AF314" s="177">
        <f t="shared" si="113"/>
        <v>0.39821858862449266</v>
      </c>
      <c r="AG314" s="809">
        <f t="shared" si="119"/>
        <v>2</v>
      </c>
      <c r="AH314" s="176">
        <f t="shared" si="114"/>
        <v>8</v>
      </c>
      <c r="AI314" s="225">
        <f t="shared" si="115"/>
        <v>2.3982185886244927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6">
        <v>22.853999999999999</v>
      </c>
      <c r="C315" s="390"/>
      <c r="D315" s="393">
        <f t="shared" si="98"/>
        <v>23.763888394102509</v>
      </c>
      <c r="E315" s="385">
        <f t="shared" si="120"/>
        <v>25.31460595098789</v>
      </c>
      <c r="F315" s="385">
        <f t="shared" si="99"/>
        <v>25.702565660135079</v>
      </c>
      <c r="G315" s="110">
        <f t="shared" si="121"/>
        <v>0.98303432576472582</v>
      </c>
      <c r="H315" s="414" t="b">
        <f>Wh_hp&gt;='2020'!Maxi_hp</f>
        <v>1</v>
      </c>
      <c r="I315" s="380">
        <f>IF(H315,Wh_hp,'2020'!Maxi_hp)</f>
        <v>25.702565660135079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3.828870002302813E-2</v>
      </c>
      <c r="M315" s="843"/>
      <c r="N315" s="843"/>
      <c r="O315" s="48">
        <f>IF(t&lt;Tnet,'2020'!Resal+('2020'!Salim-'2020'!Resal)*(1-EXP(('2020'!Tnet-t)/('2020'!Tau_j))),Resal+(Salim-Resal)*(1-EXP((Tnet-t)/(Tau_j))))*Salcycl</f>
        <v>6.125781929561757E-2</v>
      </c>
      <c r="P315" s="169">
        <f>(INDEX(Models!$BJ315:$BT315,,T315)*(1-R315)+INDEX(Models!$BJ315:$BT315,,T315+1)*R315-ERP_i)*Q315*Ramure*Pc/MaxiM</f>
        <v>1.5460835508773337E-2</v>
      </c>
      <c r="Q315" s="305">
        <f t="shared" si="101"/>
        <v>0.8</v>
      </c>
      <c r="R315" s="177">
        <f t="shared" si="102"/>
        <v>0.19836447712650984</v>
      </c>
      <c r="S315" s="809">
        <f t="shared" si="103"/>
        <v>1</v>
      </c>
      <c r="T315" s="176">
        <f t="shared" si="104"/>
        <v>7</v>
      </c>
      <c r="U315" s="251">
        <f t="shared" si="105"/>
        <v>1.1983644771265098</v>
      </c>
      <c r="V315" s="383">
        <f t="shared" si="106"/>
        <v>23.239770919275671</v>
      </c>
      <c r="W315" s="402"/>
      <c r="X315" s="157">
        <f t="shared" si="107"/>
        <v>44497</v>
      </c>
      <c r="Y315" s="385">
        <f t="shared" si="108"/>
        <v>20.566548654393571</v>
      </c>
      <c r="Z315" s="385">
        <f t="shared" si="109"/>
        <v>21.385366538675417</v>
      </c>
      <c r="AA315" s="386">
        <f t="shared" si="110"/>
        <v>24.758306064229018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0.13623466471427342</v>
      </c>
      <c r="AD315" s="231">
        <f>(INDEX(Models!$BJ315:$BT315,,AH315)*(1-AF315)+INDEX(Models!$BJ315:$BT315,,AH315+1)*AF315-ERP_i)*AE315*Ramure*Pc/MaxiM</f>
        <v>3.7630305275710055E-2</v>
      </c>
      <c r="AE315" s="305">
        <f t="shared" si="112"/>
        <v>0.8</v>
      </c>
      <c r="AF315" s="177">
        <f t="shared" si="113"/>
        <v>0.39829805127903128</v>
      </c>
      <c r="AG315" s="809">
        <f t="shared" si="119"/>
        <v>2</v>
      </c>
      <c r="AH315" s="176">
        <f t="shared" si="114"/>
        <v>8</v>
      </c>
      <c r="AI315" s="225">
        <f t="shared" si="115"/>
        <v>2.3982980512790313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6">
        <v>14.004</v>
      </c>
      <c r="C316" s="390"/>
      <c r="D316" s="393">
        <f t="shared" si="98"/>
        <v>14.56188532550091</v>
      </c>
      <c r="E316" s="385">
        <f t="shared" si="120"/>
        <v>15.514672230173575</v>
      </c>
      <c r="F316" s="385">
        <f t="shared" si="99"/>
        <v>15.620396156586594</v>
      </c>
      <c r="G316" s="110">
        <f t="shared" si="121"/>
        <v>0.60529156162624842</v>
      </c>
      <c r="H316" s="414" t="b">
        <f>Wh_hp&gt;='2020'!Maxi_hp</f>
        <v>0</v>
      </c>
      <c r="I316" s="380">
        <f>IF(H316,Wh_hp,'2020'!Maxi_hp)</f>
        <v>24.397649963595786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3.8311339021736265E-2</v>
      </c>
      <c r="M316" s="843"/>
      <c r="N316" s="843"/>
      <c r="O316" s="48">
        <f>IF(t&lt;Tnet,'2020'!Resal+('2020'!Salim-'2020'!Resal)*(1-EXP(('2020'!Tnet-t)/('2020'!Tau_j))),Resal+(Salim-Resal)*(1-EXP((Tnet-t)/(Tau_j))))*Salcycl</f>
        <v>6.14119905684921E-2</v>
      </c>
      <c r="P316" s="169">
        <f>(INDEX(Models!$BJ316:$BT316,,T316)*(1-R316)+INDEX(Models!$BJ316:$BT316,,T316+1)*R316-ERP_i)*Q316*Ramure*Pc/MaxiM</f>
        <v>1.5258211443106117E-2</v>
      </c>
      <c r="Q316" s="305">
        <f t="shared" si="101"/>
        <v>0.8</v>
      </c>
      <c r="R316" s="177">
        <f t="shared" si="102"/>
        <v>0.19844076021119328</v>
      </c>
      <c r="S316" s="809">
        <f t="shared" si="103"/>
        <v>1</v>
      </c>
      <c r="T316" s="176">
        <f t="shared" si="104"/>
        <v>7</v>
      </c>
      <c r="U316" s="251">
        <f t="shared" si="105"/>
        <v>1.1984407602111933</v>
      </c>
      <c r="V316" s="383">
        <f t="shared" si="106"/>
        <v>22.938197609828503</v>
      </c>
      <c r="W316" s="402"/>
      <c r="X316" s="157">
        <f t="shared" si="107"/>
        <v>44498</v>
      </c>
      <c r="Y316" s="385">
        <f t="shared" si="108"/>
        <v>12.758706388772872</v>
      </c>
      <c r="Z316" s="385">
        <f t="shared" si="109"/>
        <v>13.266982243290945</v>
      </c>
      <c r="AA316" s="386">
        <f t="shared" si="110"/>
        <v>15.359462849558858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0.1362339703388788</v>
      </c>
      <c r="AD316" s="231">
        <f>(INDEX(Models!$BJ316:$BT316,,AH316)*(1-AF316)+INDEX(Models!$BJ316:$BT316,,AH316+1)*AF316-ERP_i)*AE316*Ramure*Pc/MaxiM</f>
        <v>3.7658226536390976E-2</v>
      </c>
      <c r="AE316" s="305">
        <f t="shared" si="112"/>
        <v>0.8</v>
      </c>
      <c r="AF316" s="177">
        <f t="shared" si="113"/>
        <v>0.3983743343637145</v>
      </c>
      <c r="AG316" s="809">
        <f t="shared" si="119"/>
        <v>2</v>
      </c>
      <c r="AH316" s="176">
        <f t="shared" si="114"/>
        <v>8</v>
      </c>
      <c r="AI316" s="225">
        <f t="shared" si="115"/>
        <v>2.3983743343637145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6">
        <v>8.8170000000000002</v>
      </c>
      <c r="C317" s="390"/>
      <c r="D317" s="393">
        <f t="shared" si="98"/>
        <v>9.1684636803743764</v>
      </c>
      <c r="E317" s="385">
        <f t="shared" si="120"/>
        <v>9.7699549368973155</v>
      </c>
      <c r="F317" s="385">
        <f t="shared" si="99"/>
        <v>9.788815172262531</v>
      </c>
      <c r="G317" s="110">
        <f t="shared" si="121"/>
        <v>0.38434125119861962</v>
      </c>
      <c r="H317" s="414" t="b">
        <f>Wh_hp&gt;='2020'!Maxi_hp</f>
        <v>0</v>
      </c>
      <c r="I317" s="380">
        <f>IF(H317,Wh_hp,'2020'!Maxi_hp)</f>
        <v>23.315037308519852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3.833397749360172E-2</v>
      </c>
      <c r="M317" s="843"/>
      <c r="N317" s="843"/>
      <c r="O317" s="48">
        <f>IF(t&lt;Tnet,'2020'!Resal+('2020'!Salim-'2020'!Resal)*(1-EXP(('2020'!Tnet-t)/('2020'!Tau_j))),Resal+(Salim-Resal)*(1-EXP((Tnet-t)/(Tau_j))))*Salcycl</f>
        <v>6.1565407456624102E-2</v>
      </c>
      <c r="P317" s="169">
        <f>(INDEX(Models!$BJ317:$BT317,,T317)*(1-R317)+INDEX(Models!$BJ317:$BT317,,T317+1)*R317-ERP_i)*Q317*Ramure*Pc/MaxiM</f>
        <v>1.5074037512562527E-2</v>
      </c>
      <c r="Q317" s="305">
        <f t="shared" si="101"/>
        <v>0.8</v>
      </c>
      <c r="R317" s="177">
        <f t="shared" si="102"/>
        <v>0.19851399018724436</v>
      </c>
      <c r="S317" s="809">
        <f t="shared" si="103"/>
        <v>1</v>
      </c>
      <c r="T317" s="176">
        <f t="shared" si="104"/>
        <v>7</v>
      </c>
      <c r="U317" s="251">
        <f t="shared" si="105"/>
        <v>1.1985139901872444</v>
      </c>
      <c r="V317" s="383">
        <f t="shared" si="106"/>
        <v>22.638361703663605</v>
      </c>
      <c r="W317" s="402"/>
      <c r="X317" s="157">
        <f t="shared" si="107"/>
        <v>44499</v>
      </c>
      <c r="Y317" s="385">
        <f t="shared" si="108"/>
        <v>8.0919086535138689</v>
      </c>
      <c r="Z317" s="385">
        <f t="shared" si="109"/>
        <v>8.4144687075704923</v>
      </c>
      <c r="AA317" s="386">
        <f t="shared" si="110"/>
        <v>9.7415904125717709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0.1362325502095216</v>
      </c>
      <c r="AD317" s="231">
        <f>(INDEX(Models!$BJ317:$BT317,,AH317)*(1-AF317)+INDEX(Models!$BJ317:$BT317,,AH317+1)*AF317-ERP_i)*AE317*Ramure*Pc/MaxiM</f>
        <v>3.774437515308797E-2</v>
      </c>
      <c r="AE317" s="305">
        <f t="shared" si="112"/>
        <v>0.8</v>
      </c>
      <c r="AF317" s="177">
        <f t="shared" si="113"/>
        <v>0.39844756433976558</v>
      </c>
      <c r="AG317" s="809">
        <f t="shared" si="119"/>
        <v>2</v>
      </c>
      <c r="AH317" s="176">
        <f t="shared" si="114"/>
        <v>8</v>
      </c>
      <c r="AI317" s="225">
        <f t="shared" si="115"/>
        <v>2.3984475643397656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6">
        <v>14.671000000000001</v>
      </c>
      <c r="C318" s="390"/>
      <c r="D318" s="393">
        <f t="shared" si="98"/>
        <v>15.256175247014175</v>
      </c>
      <c r="E318" s="385">
        <f t="shared" si="120"/>
        <v>16.259693085358712</v>
      </c>
      <c r="F318" s="385">
        <f t="shared" si="99"/>
        <v>16.38432442949204</v>
      </c>
      <c r="G318" s="110">
        <f t="shared" si="121"/>
        <v>0.65191723045977401</v>
      </c>
      <c r="H318" s="414" t="b">
        <f>Wh_hp&gt;='2020'!Maxi_hp</f>
        <v>0</v>
      </c>
      <c r="I318" s="380">
        <f>IF(H318,Wh_hp,'2020'!Maxi_hp)</f>
        <v>25.066473522391494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3.8356615438636929E-2</v>
      </c>
      <c r="M318" s="843"/>
      <c r="N318" s="843"/>
      <c r="O318" s="48">
        <f>IF(t&lt;Tnet,'2020'!Resal+('2020'!Salim-'2020'!Resal)*(1-EXP(('2020'!Tnet-t)/('2020'!Tau_j))),Resal+(Salim-Resal)*(1-EXP((Tnet-t)/(Tau_j))))*Salcycl</f>
        <v>6.1718129184625825E-2</v>
      </c>
      <c r="P318" s="169">
        <f>(INDEX(Models!$BJ318:$BT318,,T318)*(1-R318)+INDEX(Models!$BJ318:$BT318,,T318+1)*R318-ERP_i)*Q318*Ramure*Pc/MaxiM</f>
        <v>1.492519332500084E-2</v>
      </c>
      <c r="Q318" s="305">
        <f t="shared" si="101"/>
        <v>0.8</v>
      </c>
      <c r="R318" s="177">
        <f t="shared" si="102"/>
        <v>0.19858428854627741</v>
      </c>
      <c r="S318" s="809">
        <f t="shared" si="103"/>
        <v>1</v>
      </c>
      <c r="T318" s="176">
        <f t="shared" si="104"/>
        <v>7</v>
      </c>
      <c r="U318" s="251">
        <f t="shared" si="105"/>
        <v>1.1985842885462774</v>
      </c>
      <c r="V318" s="383">
        <f t="shared" si="106"/>
        <v>22.338430931719941</v>
      </c>
      <c r="W318" s="402"/>
      <c r="X318" s="157">
        <f t="shared" si="107"/>
        <v>44500</v>
      </c>
      <c r="Y318" s="385">
        <f t="shared" si="108"/>
        <v>13.346554676771778</v>
      </c>
      <c r="Z318" s="385">
        <f t="shared" si="109"/>
        <v>13.878902398792642</v>
      </c>
      <c r="AA318" s="386">
        <f t="shared" si="110"/>
        <v>16.067831744355363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0.13623053691308995</v>
      </c>
      <c r="AD318" s="231">
        <f>(INDEX(Models!$BJ318:$BT318,,AH318)*(1-AF318)+INDEX(Models!$BJ318:$BT318,,AH318+1)*AF318-ERP_i)*AE318*Ramure*Pc/MaxiM</f>
        <v>3.7901496966607572E-2</v>
      </c>
      <c r="AE318" s="305">
        <f t="shared" si="112"/>
        <v>0.8</v>
      </c>
      <c r="AF318" s="177">
        <f t="shared" si="113"/>
        <v>0.39851786269879863</v>
      </c>
      <c r="AG318" s="809">
        <f t="shared" si="119"/>
        <v>2</v>
      </c>
      <c r="AH318" s="176">
        <f t="shared" si="114"/>
        <v>8</v>
      </c>
      <c r="AI318" s="225">
        <f t="shared" si="115"/>
        <v>2.3985178626987986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6">
        <v>14.8</v>
      </c>
      <c r="C319" s="390"/>
      <c r="D319" s="393">
        <f t="shared" si="98"/>
        <v>15.390682911084163</v>
      </c>
      <c r="E319" s="385">
        <f t="shared" si="120"/>
        <v>16.405707601150386</v>
      </c>
      <c r="F319" s="385">
        <f t="shared" si="99"/>
        <v>16.535608974689644</v>
      </c>
      <c r="G319" s="110">
        <f t="shared" si="121"/>
        <v>0.66682490584982246</v>
      </c>
      <c r="H319" s="414" t="b">
        <f>Wh_hp&gt;='2020'!Maxi_hp</f>
        <v>0</v>
      </c>
      <c r="I319" s="380">
        <f>IF(H319,Wh_hp,'2020'!Maxi_hp)</f>
        <v>24.353652394890183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3.8379252856854104E-2</v>
      </c>
      <c r="M319" s="843"/>
      <c r="N319" s="843"/>
      <c r="O319" s="48">
        <f>IF(t&lt;Tnet,'2020'!Resal+('2020'!Salim-'2020'!Resal)*(1-EXP(('2020'!Tnet-t)/('2020'!Tau_j))),Resal+(Salim-Resal)*(1-EXP((Tnet-t)/(Tau_j))))*Salcycl</f>
        <v>6.1870217045380531E-2</v>
      </c>
      <c r="P319" s="169">
        <f>(INDEX(Models!$BJ319:$BT319,,T319)*(1-R319)+INDEX(Models!$BJ319:$BT319,,T319+1)*R319-ERP_i)*Q319*Ramure*Pc/MaxiM</f>
        <v>1.4801388111206563E-2</v>
      </c>
      <c r="Q319" s="305">
        <f t="shared" si="101"/>
        <v>0.8</v>
      </c>
      <c r="R319" s="177">
        <f t="shared" si="102"/>
        <v>0.1986517720008476</v>
      </c>
      <c r="S319" s="809">
        <f t="shared" si="103"/>
        <v>1</v>
      </c>
      <c r="T319" s="176">
        <f t="shared" si="104"/>
        <v>7</v>
      </c>
      <c r="U319" s="251">
        <f t="shared" si="105"/>
        <v>1.1986517720008476</v>
      </c>
      <c r="V319" s="383">
        <f t="shared" si="106"/>
        <v>22.039357074558151</v>
      </c>
      <c r="W319" s="402"/>
      <c r="X319" s="157">
        <f t="shared" si="107"/>
        <v>44501</v>
      </c>
      <c r="Y319" s="385">
        <f t="shared" si="108"/>
        <v>13.457110598058312</v>
      </c>
      <c r="Z319" s="385">
        <f t="shared" si="109"/>
        <v>13.994197440142273</v>
      </c>
      <c r="AA319" s="386">
        <f t="shared" si="110"/>
        <v>16.201264354161701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0.13622806626524112</v>
      </c>
      <c r="AD319" s="231">
        <f>(INDEX(Models!$BJ319:$BT319,,AH319)*(1-AF319)+INDEX(Models!$BJ319:$BT319,,AH319+1)*AF319-ERP_i)*AE319*Ramure*Pc/MaxiM</f>
        <v>3.8096321512970661E-2</v>
      </c>
      <c r="AE319" s="305">
        <f t="shared" si="112"/>
        <v>0.8</v>
      </c>
      <c r="AF319" s="177">
        <f t="shared" si="113"/>
        <v>0.39858534615336882</v>
      </c>
      <c r="AG319" s="809">
        <f t="shared" si="119"/>
        <v>2</v>
      </c>
      <c r="AH319" s="176">
        <f t="shared" si="114"/>
        <v>8</v>
      </c>
      <c r="AI319" s="225">
        <f t="shared" si="115"/>
        <v>2.3985853461533688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6">
        <v>20.654</v>
      </c>
      <c r="C320" s="390"/>
      <c r="D320" s="393">
        <f t="shared" si="98"/>
        <v>21.478827568195861</v>
      </c>
      <c r="E320" s="385">
        <f t="shared" si="120"/>
        <v>22.899067441429477</v>
      </c>
      <c r="F320" s="385">
        <f t="shared" si="99"/>
        <v>23.216009548028094</v>
      </c>
      <c r="G320" s="110">
        <f t="shared" si="121"/>
        <v>0.94895309075773127</v>
      </c>
      <c r="H320" s="414" t="b">
        <f>Wh_hp&gt;='2020'!Maxi_hp</f>
        <v>1</v>
      </c>
      <c r="I320" s="380">
        <f>IF(H320,Wh_hp,'2020'!Maxi_hp)</f>
        <v>23.216009548028094</v>
      </c>
      <c r="J320" s="85">
        <f>IF(H320,An,'2020'!An_max)</f>
        <v>2021</v>
      </c>
      <c r="K320" s="197">
        <f t="shared" si="100"/>
        <v>44502</v>
      </c>
      <c r="L320" s="147">
        <f>IF(t&lt;Tvie,1-EXP((T0-t)*PertePVj)+'2020'!Pspv,1-EXP((T0-t)*PertePVj)+Pspv)</f>
        <v>3.8401889748265458E-2</v>
      </c>
      <c r="M320" s="843"/>
      <c r="N320" s="843"/>
      <c r="O320" s="48">
        <f>IF(t&lt;Tnet,'2020'!Resal+('2020'!Salim-'2020'!Resal)*(1-EXP(('2020'!Tnet-t)/('2020'!Tau_j))),Resal+(Salim-Resal)*(1-EXP((Tnet-t)/(Tau_j))))*Salcycl</f>
        <v>6.2021734154295266E-2</v>
      </c>
      <c r="P320" s="169">
        <f>(INDEX(Models!$BJ320:$BT320,,T320)*(1-R320)+INDEX(Models!$BJ320:$BT320,,T320+1)*R320-ERP_i)*Q320*Ramure*Pc/MaxiM</f>
        <v>1.470280727586579E-2</v>
      </c>
      <c r="Q320" s="305">
        <f t="shared" si="101"/>
        <v>0.8</v>
      </c>
      <c r="R320" s="177">
        <f t="shared" si="102"/>
        <v>0.19871655266807231</v>
      </c>
      <c r="S320" s="809">
        <f t="shared" si="103"/>
        <v>1</v>
      </c>
      <c r="T320" s="176">
        <f t="shared" si="104"/>
        <v>7</v>
      </c>
      <c r="U320" s="251">
        <f t="shared" si="105"/>
        <v>1.1987165526680723</v>
      </c>
      <c r="V320" s="383">
        <f t="shared" si="106"/>
        <v>21.741847788885522</v>
      </c>
      <c r="W320" s="402"/>
      <c r="X320" s="157">
        <f t="shared" si="107"/>
        <v>44502</v>
      </c>
      <c r="Y320" s="385">
        <f t="shared" si="108"/>
        <v>18.597037937330537</v>
      </c>
      <c r="Z320" s="385">
        <f t="shared" si="109"/>
        <v>19.339719721851431</v>
      </c>
      <c r="AA320" s="386">
        <f t="shared" si="110"/>
        <v>22.389772704692135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0.13622527673992496</v>
      </c>
      <c r="AD320" s="231">
        <f>(INDEX(Models!$BJ320:$BT320,,AH320)*(1-AF320)+INDEX(Models!$BJ320:$BT320,,AH320+1)*AF320-ERP_i)*AE320*Ramure*Pc/MaxiM</f>
        <v>3.8328769888479282E-2</v>
      </c>
      <c r="AE320" s="305">
        <f t="shared" si="112"/>
        <v>0.8</v>
      </c>
      <c r="AF320" s="177">
        <f t="shared" si="113"/>
        <v>0.39865012682059353</v>
      </c>
      <c r="AG320" s="809">
        <f t="shared" si="119"/>
        <v>2</v>
      </c>
      <c r="AH320" s="176">
        <f t="shared" si="114"/>
        <v>8</v>
      </c>
      <c r="AI320" s="225">
        <f t="shared" si="115"/>
        <v>2.3986501268205935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6">
        <v>13.46</v>
      </c>
      <c r="C321" s="390"/>
      <c r="D321" s="393">
        <f t="shared" si="98"/>
        <v>13.997861182532745</v>
      </c>
      <c r="E321" s="385">
        <f t="shared" si="120"/>
        <v>14.925841737609423</v>
      </c>
      <c r="F321" s="385">
        <f t="shared" si="99"/>
        <v>15.028740140695888</v>
      </c>
      <c r="G321" s="110">
        <f t="shared" si="121"/>
        <v>0.622686765052612</v>
      </c>
      <c r="H321" s="414" t="b">
        <f>Wh_hp&gt;='2020'!Maxi_hp</f>
        <v>0</v>
      </c>
      <c r="I321" s="380">
        <f>IF(H321,Wh_hp,'2020'!Maxi_hp)</f>
        <v>24.561857270116509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3.8424526112883314E-2</v>
      </c>
      <c r="M321" s="843"/>
      <c r="N321" s="843"/>
      <c r="O321" s="48">
        <f>IF(t&lt;Tnet,'2020'!Resal+('2020'!Salim-'2020'!Resal)*(1-EXP(('2020'!Tnet-t)/('2020'!Tau_j))),Resal+(Salim-Resal)*(1-EXP((Tnet-t)/(Tau_j))))*Salcycl</f>
        <v>6.2172745188527445E-2</v>
      </c>
      <c r="P321" s="169">
        <f>(INDEX(Models!$BJ321:$BT321,,T321)*(1-R321)+INDEX(Models!$BJ321:$BT321,,T321+1)*R321-ERP_i)*Q321*Ramure*Pc/MaxiM</f>
        <v>1.4629637819384287E-2</v>
      </c>
      <c r="Q321" s="305">
        <f t="shared" si="101"/>
        <v>0.8</v>
      </c>
      <c r="R321" s="177">
        <f t="shared" si="102"/>
        <v>0.19877873824654424</v>
      </c>
      <c r="S321" s="809">
        <f t="shared" si="103"/>
        <v>1</v>
      </c>
      <c r="T321" s="176">
        <f t="shared" si="104"/>
        <v>7</v>
      </c>
      <c r="U321" s="251">
        <f t="shared" si="105"/>
        <v>1.1987787382465442</v>
      </c>
      <c r="V321" s="383">
        <f t="shared" si="106"/>
        <v>21.446610434141533</v>
      </c>
      <c r="W321" s="402"/>
      <c r="X321" s="157">
        <f t="shared" si="107"/>
        <v>44503</v>
      </c>
      <c r="Y321" s="385">
        <f t="shared" si="108"/>
        <v>12.257189746001467</v>
      </c>
      <c r="Z321" s="385">
        <f t="shared" si="109"/>
        <v>12.746986668090068</v>
      </c>
      <c r="AA321" s="386">
        <f t="shared" si="110"/>
        <v>14.75725386179251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0.13622230887463099</v>
      </c>
      <c r="AD321" s="231">
        <f>(INDEX(Models!$BJ321:$BT321,,AH321)*(1-AF321)+INDEX(Models!$BJ321:$BT321,,AH321+1)*AF321-ERP_i)*AE321*Ramure*Pc/MaxiM</f>
        <v>3.8598713042721923E-2</v>
      </c>
      <c r="AE321" s="305">
        <f t="shared" si="112"/>
        <v>0.8</v>
      </c>
      <c r="AF321" s="177">
        <f t="shared" si="113"/>
        <v>0.39871231239906546</v>
      </c>
      <c r="AG321" s="809">
        <f t="shared" si="119"/>
        <v>2</v>
      </c>
      <c r="AH321" s="176">
        <f t="shared" si="114"/>
        <v>8</v>
      </c>
      <c r="AI321" s="225">
        <f t="shared" si="115"/>
        <v>2.3987123123990655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6">
        <v>13.512</v>
      </c>
      <c r="C322" s="390"/>
      <c r="D322" s="393">
        <f t="shared" si="98"/>
        <v>14.0522698964854</v>
      </c>
      <c r="E322" s="385">
        <f t="shared" si="120"/>
        <v>14.986263536202051</v>
      </c>
      <c r="F322" s="385">
        <f t="shared" si="99"/>
        <v>15.092763193225668</v>
      </c>
      <c r="G322" s="110">
        <f t="shared" si="121"/>
        <v>0.63389272162335042</v>
      </c>
      <c r="H322" s="414" t="b">
        <f>Wh_hp&gt;='2020'!Maxi_hp</f>
        <v>0</v>
      </c>
      <c r="I322" s="380">
        <f>IF(H322,Wh_hp,'2020'!Maxi_hp)</f>
        <v>20.723995905929119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3.8447161950719885E-2</v>
      </c>
      <c r="M322" s="843"/>
      <c r="N322" s="843"/>
      <c r="O322" s="48">
        <f>IF(t&lt;Tnet,'2020'!Resal+('2020'!Salim-'2020'!Resal)*(1-EXP(('2020'!Tnet-t)/('2020'!Tau_j))),Resal+(Salim-Resal)*(1-EXP((Tnet-t)/(Tau_j))))*Salcycl</f>
        <v>6.2323316112813484E-2</v>
      </c>
      <c r="P322" s="169">
        <f>(INDEX(Models!$BJ322:$BT322,,T322)*(1-R322)+INDEX(Models!$BJ322:$BT322,,T322+1)*R322-ERP_i)*Q322*Ramure*Pc/MaxiM</f>
        <v>1.4582061886347726E-2</v>
      </c>
      <c r="Q322" s="305">
        <f t="shared" si="101"/>
        <v>0.8</v>
      </c>
      <c r="R322" s="177">
        <f t="shared" si="102"/>
        <v>0.19883843218675112</v>
      </c>
      <c r="S322" s="809">
        <f t="shared" si="103"/>
        <v>1</v>
      </c>
      <c r="T322" s="176">
        <f t="shared" si="104"/>
        <v>7</v>
      </c>
      <c r="U322" s="251">
        <f t="shared" si="105"/>
        <v>1.1988384321867511</v>
      </c>
      <c r="V322" s="383">
        <f t="shared" si="106"/>
        <v>21.154352048698794</v>
      </c>
      <c r="W322" s="402"/>
      <c r="X322" s="157">
        <f t="shared" si="107"/>
        <v>44504</v>
      </c>
      <c r="Y322" s="385">
        <f t="shared" si="108"/>
        <v>12.299602633866025</v>
      </c>
      <c r="Z322" s="385">
        <f t="shared" si="109"/>
        <v>12.791395487759626</v>
      </c>
      <c r="AA322" s="386">
        <f t="shared" si="110"/>
        <v>14.808614682751559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0.13621930465524934</v>
      </c>
      <c r="AD322" s="231">
        <f>(INDEX(Models!$BJ322:$BT322,,AH322)*(1-AF322)+INDEX(Models!$BJ322:$BT322,,AH322+1)*AF322-ERP_i)*AE322*Ramure*Pc/MaxiM</f>
        <v>3.8905957826025073E-2</v>
      </c>
      <c r="AE322" s="305">
        <f t="shared" si="112"/>
        <v>0.8</v>
      </c>
      <c r="AF322" s="177">
        <f t="shared" si="113"/>
        <v>0.39877200633927234</v>
      </c>
      <c r="AG322" s="809">
        <f t="shared" si="119"/>
        <v>2</v>
      </c>
      <c r="AH322" s="176">
        <f t="shared" si="114"/>
        <v>8</v>
      </c>
      <c r="AI322" s="225">
        <f t="shared" si="115"/>
        <v>2.3987720063392723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6">
        <v>10.007</v>
      </c>
      <c r="C323" s="390"/>
      <c r="D323" s="393">
        <f t="shared" si="98"/>
        <v>10.407369390480309</v>
      </c>
      <c r="E323" s="385">
        <f t="shared" si="120"/>
        <v>11.100880396140433</v>
      </c>
      <c r="F323" s="385">
        <f t="shared" si="99"/>
        <v>11.142503407476317</v>
      </c>
      <c r="G323" s="110">
        <f t="shared" si="121"/>
        <v>0.47437819572762324</v>
      </c>
      <c r="H323" s="414" t="b">
        <f>Wh_hp&gt;='2020'!Maxi_hp</f>
        <v>0</v>
      </c>
      <c r="I323" s="380">
        <f>IF(H323,Wh_hp,'2020'!Maxi_hp)</f>
        <v>15.637654954165301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3.8469797261787383E-2</v>
      </c>
      <c r="M323" s="843"/>
      <c r="N323" s="843"/>
      <c r="O323" s="48">
        <f>IF(t&lt;Tnet,'2020'!Resal+('2020'!Salim-'2020'!Resal)*(1-EXP(('2020'!Tnet-t)/('2020'!Tau_j))),Resal+(Salim-Resal)*(1-EXP((Tnet-t)/(Tau_j))))*Salcycl</f>
        <v>6.2473513893658794E-2</v>
      </c>
      <c r="P323" s="169">
        <f>(INDEX(Models!$BJ323:$BT323,,T323)*(1-R323)+INDEX(Models!$BJ323:$BT323,,T323+1)*R323-ERP_i)*Q323*Ramure*Pc/MaxiM</f>
        <v>1.4560249755549112E-2</v>
      </c>
      <c r="Q323" s="305">
        <f t="shared" si="101"/>
        <v>0.8</v>
      </c>
      <c r="R323" s="177">
        <f t="shared" si="102"/>
        <v>0.19889573385521842</v>
      </c>
      <c r="S323" s="809">
        <f t="shared" si="103"/>
        <v>1</v>
      </c>
      <c r="T323" s="176">
        <f t="shared" si="104"/>
        <v>7</v>
      </c>
      <c r="U323" s="251">
        <f t="shared" si="105"/>
        <v>1.1988957338552184</v>
      </c>
      <c r="V323" s="383">
        <f t="shared" si="106"/>
        <v>20.865779306147722</v>
      </c>
      <c r="W323" s="402"/>
      <c r="X323" s="157">
        <f t="shared" si="107"/>
        <v>44505</v>
      </c>
      <c r="Y323" s="385">
        <f t="shared" si="108"/>
        <v>9.1612597503718618</v>
      </c>
      <c r="Z323" s="385">
        <f t="shared" si="109"/>
        <v>9.5277919760427086</v>
      </c>
      <c r="AA323" s="386">
        <f t="shared" si="110"/>
        <v>11.030299778766791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0.1362164068846427</v>
      </c>
      <c r="AD323" s="231">
        <f>(INDEX(Models!$BJ323:$BT323,,AH323)*(1-AF323)+INDEX(Models!$BJ323:$BT323,,AH323+1)*AF323-ERP_i)*AE323*Ramure*Pc/MaxiM</f>
        <v>3.9250232144570789E-2</v>
      </c>
      <c r="AE323" s="305">
        <f t="shared" si="112"/>
        <v>0.8</v>
      </c>
      <c r="AF323" s="177">
        <f t="shared" si="113"/>
        <v>0.39882930800773941</v>
      </c>
      <c r="AG323" s="809">
        <f t="shared" si="119"/>
        <v>2</v>
      </c>
      <c r="AH323" s="176">
        <f t="shared" si="114"/>
        <v>8</v>
      </c>
      <c r="AI323" s="225">
        <f t="shared" si="115"/>
        <v>2.3988293080077394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6">
        <v>11.595000000000001</v>
      </c>
      <c r="C324" s="390"/>
      <c r="D324" s="393">
        <f t="shared" si="98"/>
        <v>12.059187453588411</v>
      </c>
      <c r="E324" s="385">
        <f t="shared" si="120"/>
        <v>12.86482672321751</v>
      </c>
      <c r="F324" s="385">
        <f t="shared" si="99"/>
        <v>12.935789979778271</v>
      </c>
      <c r="G324" s="110">
        <f t="shared" si="121"/>
        <v>0.55822455337925925</v>
      </c>
      <c r="H324" s="414" t="b">
        <f>Wh_hp&gt;='2020'!Maxi_hp</f>
        <v>0</v>
      </c>
      <c r="I324" s="380">
        <f>IF(H324,Wh_hp,'2020'!Maxi_hp)</f>
        <v>19.931335355516538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3.8492432046098132E-2</v>
      </c>
      <c r="M324" s="843"/>
      <c r="N324" s="843"/>
      <c r="O324" s="48">
        <f>IF(t&lt;Tnet,'2020'!Resal+('2020'!Salim-'2020'!Resal)*(1-EXP(('2020'!Tnet-t)/('2020'!Tau_j))),Resal+(Salim-Resal)*(1-EXP((Tnet-t)/(Tau_j))))*Salcycl</f>
        <v>6.2623406203764845E-2</v>
      </c>
      <c r="P324" s="169">
        <f>(INDEX(Models!$BJ324:$BT324,,T324)*(1-R324)+INDEX(Models!$BJ324:$BT324,,T324+1)*R324-ERP_i)*Q324*Ramure*Pc/MaxiM</f>
        <v>1.4580145137810406E-2</v>
      </c>
      <c r="Q324" s="305">
        <f t="shared" si="101"/>
        <v>0.8</v>
      </c>
      <c r="R324" s="177">
        <f t="shared" si="102"/>
        <v>0.19895073869258151</v>
      </c>
      <c r="S324" s="809">
        <f t="shared" si="103"/>
        <v>1</v>
      </c>
      <c r="T324" s="176">
        <f t="shared" si="104"/>
        <v>7</v>
      </c>
      <c r="U324" s="251">
        <f t="shared" si="105"/>
        <v>1.1989507386925815</v>
      </c>
      <c r="V324" s="383">
        <f t="shared" si="106"/>
        <v>20.581268640279369</v>
      </c>
      <c r="W324" s="402"/>
      <c r="X324" s="157">
        <f t="shared" si="107"/>
        <v>44506</v>
      </c>
      <c r="Y324" s="385">
        <f t="shared" si="108"/>
        <v>10.58347526094505</v>
      </c>
      <c r="Z324" s="385">
        <f t="shared" si="109"/>
        <v>11.007167924290805</v>
      </c>
      <c r="AA324" s="386">
        <f t="shared" si="110"/>
        <v>12.742930363970506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0.13621375853919865</v>
      </c>
      <c r="AD324" s="231">
        <f>(INDEX(Models!$BJ324:$BT324,,AH324)*(1-AF324)+INDEX(Models!$BJ324:$BT324,,AH324+1)*AF324-ERP_i)*AE324*Ramure*Pc/MaxiM</f>
        <v>3.9625030275941289E-2</v>
      </c>
      <c r="AE324" s="305">
        <f t="shared" si="112"/>
        <v>0.8</v>
      </c>
      <c r="AF324" s="177">
        <f t="shared" si="113"/>
        <v>0.39888431284510251</v>
      </c>
      <c r="AG324" s="809">
        <f t="shared" si="119"/>
        <v>2</v>
      </c>
      <c r="AH324" s="176">
        <f t="shared" si="114"/>
        <v>8</v>
      </c>
      <c r="AI324" s="225">
        <f t="shared" si="115"/>
        <v>2.3988843128451025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6">
        <v>7.7709999999999999</v>
      </c>
      <c r="C325" s="390"/>
      <c r="D325" s="393">
        <f t="shared" si="98"/>
        <v>8.0822899326411122</v>
      </c>
      <c r="E325" s="385">
        <f t="shared" si="120"/>
        <v>8.6236210221273701</v>
      </c>
      <c r="F325" s="385">
        <f t="shared" si="99"/>
        <v>8.6385658368837781</v>
      </c>
      <c r="G325" s="110">
        <f t="shared" si="121"/>
        <v>0.37782790454039222</v>
      </c>
      <c r="H325" s="414" t="b">
        <f>Wh_hp&gt;='2020'!Maxi_hp</f>
        <v>0</v>
      </c>
      <c r="I325" s="380">
        <f>IF(H325,Wh_hp,'2020'!Maxi_hp)</f>
        <v>13.60303974842923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3.8515066303664455E-2</v>
      </c>
      <c r="M325" s="843"/>
      <c r="N325" s="843"/>
      <c r="O325" s="48">
        <f>IF(t&lt;Tnet,'2020'!Resal+('2020'!Salim-'2020'!Resal)*(1-EXP(('2020'!Tnet-t)/('2020'!Tau_j))),Resal+(Salim-Resal)*(1-EXP((Tnet-t)/(Tau_j))))*Salcycl</f>
        <v>6.2773061118670939E-2</v>
      </c>
      <c r="P325" s="169">
        <f>(INDEX(Models!$BJ325:$BT325,,T325)*(1-R325)+INDEX(Models!$BJ325:$BT325,,T325+1)*R325-ERP_i)*Q325*Ramure*Pc/MaxiM</f>
        <v>1.463023241840869E-2</v>
      </c>
      <c r="Q325" s="305">
        <f t="shared" si="101"/>
        <v>0.8</v>
      </c>
      <c r="R325" s="177">
        <f t="shared" si="102"/>
        <v>0.19900353836578688</v>
      </c>
      <c r="S325" s="809">
        <f t="shared" si="103"/>
        <v>1</v>
      </c>
      <c r="T325" s="176">
        <f t="shared" si="104"/>
        <v>7</v>
      </c>
      <c r="U325" s="251">
        <f t="shared" si="105"/>
        <v>1.1990035383657869</v>
      </c>
      <c r="V325" s="383">
        <f t="shared" si="106"/>
        <v>20.301779084817063</v>
      </c>
      <c r="W325" s="402"/>
      <c r="X325" s="157">
        <f t="shared" si="107"/>
        <v>44507</v>
      </c>
      <c r="Y325" s="385">
        <f t="shared" si="108"/>
        <v>7.1405615867733561</v>
      </c>
      <c r="Z325" s="385">
        <f t="shared" si="109"/>
        <v>7.4265974811712958</v>
      </c>
      <c r="AA325" s="386">
        <f t="shared" si="110"/>
        <v>8.597703603809526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0.13621150211776661</v>
      </c>
      <c r="AD325" s="231">
        <f>(INDEX(Models!$BJ325:$BT325,,AH325)*(1-AF325)+INDEX(Models!$BJ325:$BT325,,AH325+1)*AF325-ERP_i)*AE325*Ramure*Pc/MaxiM</f>
        <v>4.0002099507804131E-2</v>
      </c>
      <c r="AE325" s="305">
        <f t="shared" si="112"/>
        <v>0.8</v>
      </c>
      <c r="AF325" s="177">
        <f t="shared" si="113"/>
        <v>0.3989371125183081</v>
      </c>
      <c r="AG325" s="809">
        <f t="shared" si="119"/>
        <v>2</v>
      </c>
      <c r="AH325" s="176">
        <f t="shared" si="114"/>
        <v>8</v>
      </c>
      <c r="AI325" s="225">
        <f t="shared" si="115"/>
        <v>2.3989371125183081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6">
        <v>17.809999999999999</v>
      </c>
      <c r="C326" s="390"/>
      <c r="D326" s="393">
        <f t="shared" si="98"/>
        <v>18.523867239140884</v>
      </c>
      <c r="E326" s="385">
        <f t="shared" si="120"/>
        <v>19.76770135279207</v>
      </c>
      <c r="F326" s="385">
        <f t="shared" si="99"/>
        <v>20.0155602932596</v>
      </c>
      <c r="G326" s="110">
        <f t="shared" si="121"/>
        <v>0.88715869530354519</v>
      </c>
      <c r="H326" s="414" t="b">
        <f>Wh_hp&gt;='2020'!Maxi_hp</f>
        <v>1</v>
      </c>
      <c r="I326" s="380">
        <f>IF(H326,Wh_hp,'2020'!Maxi_hp)</f>
        <v>20.0155602932596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3.8537700034498454E-2</v>
      </c>
      <c r="M326" s="843"/>
      <c r="N326" s="843"/>
      <c r="O326" s="48">
        <f>IF(t&lt;Tnet,'2020'!Resal+('2020'!Salim-'2020'!Resal)*(1-EXP(('2020'!Tnet-t)/('2020'!Tau_j))),Resal+(Salim-Resal)*(1-EXP((Tnet-t)/(Tau_j))))*Salcycl</f>
        <v>6.2922546807674354E-2</v>
      </c>
      <c r="P326" s="169">
        <f>(INDEX(Models!$BJ326:$BT326,,T326)*(1-R326)+INDEX(Models!$BJ326:$BT326,,T326+1)*R326-ERP_i)*Q326*Ramure*Pc/MaxiM</f>
        <v>1.4710659884576448E-2</v>
      </c>
      <c r="Q326" s="305">
        <f t="shared" si="101"/>
        <v>0.8</v>
      </c>
      <c r="R326" s="177">
        <f t="shared" si="102"/>
        <v>0.19905422091462599</v>
      </c>
      <c r="S326" s="809">
        <f t="shared" si="103"/>
        <v>1</v>
      </c>
      <c r="T326" s="176">
        <f t="shared" si="104"/>
        <v>7</v>
      </c>
      <c r="U326" s="251">
        <f t="shared" si="105"/>
        <v>1.199054220914626</v>
      </c>
      <c r="V326" s="383">
        <f t="shared" si="106"/>
        <v>20.028017889537143</v>
      </c>
      <c r="W326" s="402"/>
      <c r="X326" s="157">
        <f t="shared" si="107"/>
        <v>44508</v>
      </c>
      <c r="Y326" s="385">
        <f t="shared" si="108"/>
        <v>16.057914547460925</v>
      </c>
      <c r="Z326" s="385">
        <f t="shared" si="109"/>
        <v>16.70155402664993</v>
      </c>
      <c r="AA326" s="386">
        <f t="shared" si="110"/>
        <v>19.335196926717689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0.13620977898748715</v>
      </c>
      <c r="AD326" s="231">
        <f>(INDEX(Models!$BJ326:$BT326,,AH326)*(1-AF326)+INDEX(Models!$BJ326:$BT326,,AH326+1)*AF326-ERP_i)*AE326*Ramure*Pc/MaxiM</f>
        <v>4.0380201998138916E-2</v>
      </c>
      <c r="AE326" s="305">
        <f t="shared" si="112"/>
        <v>0.8</v>
      </c>
      <c r="AF326" s="177">
        <f t="shared" si="113"/>
        <v>0.39898779506714721</v>
      </c>
      <c r="AG326" s="809">
        <f t="shared" si="119"/>
        <v>2</v>
      </c>
      <c r="AH326" s="176">
        <f t="shared" si="114"/>
        <v>8</v>
      </c>
      <c r="AI326" s="225">
        <f t="shared" si="115"/>
        <v>2.3989877950671472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6">
        <v>15.3</v>
      </c>
      <c r="C327" s="390"/>
      <c r="D327" s="393">
        <f t="shared" si="98"/>
        <v>15.913635071390489</v>
      </c>
      <c r="E327" s="385">
        <f t="shared" si="120"/>
        <v>16.98490588731298</v>
      </c>
      <c r="F327" s="385">
        <f t="shared" si="99"/>
        <v>17.157196529957051</v>
      </c>
      <c r="G327" s="110">
        <f t="shared" si="121"/>
        <v>0.77052615162972116</v>
      </c>
      <c r="H327" s="414" t="b">
        <f>Wh_hp&gt;='2020'!Maxi_hp</f>
        <v>1</v>
      </c>
      <c r="I327" s="380">
        <f>IF(H327,Wh_hp,'2020'!Maxi_hp)</f>
        <v>17.157196529957051</v>
      </c>
      <c r="J327" s="85">
        <f>IF(H327,An,'2020'!An_max)</f>
        <v>2021</v>
      </c>
      <c r="K327" s="197">
        <f t="shared" si="100"/>
        <v>44509</v>
      </c>
      <c r="L327" s="147">
        <f>IF(t&lt;Tvie,1-EXP((T0-t)*PertePVj)+'2020'!Pspv,1-EXP((T0-t)*PertePVj)+Pspv)</f>
        <v>3.8560333238612562E-2</v>
      </c>
      <c r="M327" s="843"/>
      <c r="N327" s="843"/>
      <c r="O327" s="48">
        <f>IF(t&lt;Tnet,'2020'!Resal+('2020'!Salim-'2020'!Resal)*(1-EXP(('2020'!Tnet-t)/('2020'!Tau_j))),Resal+(Salim-Resal)*(1-EXP((Tnet-t)/(Tau_j))))*Salcycl</f>
        <v>6.3071931221160657E-2</v>
      </c>
      <c r="P327" s="169">
        <f>(INDEX(Models!$BJ327:$BT327,,T327)*(1-R327)+INDEX(Models!$BJ327:$BT327,,T327+1)*R327-ERP_i)*Q327*Ramure*Pc/MaxiM</f>
        <v>1.4821524794057902E-2</v>
      </c>
      <c r="Q327" s="305">
        <f t="shared" si="101"/>
        <v>0.8</v>
      </c>
      <c r="R327" s="177">
        <f t="shared" si="102"/>
        <v>0.19910287089278933</v>
      </c>
      <c r="S327" s="809">
        <f t="shared" si="103"/>
        <v>1</v>
      </c>
      <c r="T327" s="176">
        <f t="shared" si="104"/>
        <v>7</v>
      </c>
      <c r="U327" s="251">
        <f t="shared" si="105"/>
        <v>1.1991028708927893</v>
      </c>
      <c r="V327" s="383">
        <f t="shared" si="106"/>
        <v>19.760691736694515</v>
      </c>
      <c r="W327" s="402"/>
      <c r="X327" s="157">
        <f t="shared" si="107"/>
        <v>44509</v>
      </c>
      <c r="Y327" s="385">
        <f t="shared" si="108"/>
        <v>13.85529273694282</v>
      </c>
      <c r="Z327" s="385">
        <f t="shared" si="109"/>
        <v>14.41098512568596</v>
      </c>
      <c r="AA327" s="386">
        <f t="shared" si="110"/>
        <v>16.683411380756421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0.13620872873107986</v>
      </c>
      <c r="AD327" s="231">
        <f>(INDEX(Models!$BJ327:$BT327,,AH327)*(1-AF327)+INDEX(Models!$BJ327:$BT327,,AH327+1)*AF327-ERP_i)*AE327*Ramure*Pc/MaxiM</f>
        <v>4.0757978658426113E-2</v>
      </c>
      <c r="AE327" s="305">
        <f t="shared" si="112"/>
        <v>0.8</v>
      </c>
      <c r="AF327" s="177">
        <f t="shared" si="113"/>
        <v>0.39903644504531055</v>
      </c>
      <c r="AG327" s="809">
        <f t="shared" si="119"/>
        <v>2</v>
      </c>
      <c r="AH327" s="176">
        <f t="shared" si="114"/>
        <v>8</v>
      </c>
      <c r="AI327" s="225">
        <f t="shared" si="115"/>
        <v>2.3990364450453106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6">
        <v>6.2330000000000005</v>
      </c>
      <c r="C328" s="390"/>
      <c r="D328" s="393">
        <f t="shared" si="98"/>
        <v>6.4831387202731205</v>
      </c>
      <c r="E328" s="385">
        <f t="shared" si="120"/>
        <v>6.9206725069159161</v>
      </c>
      <c r="F328" s="385">
        <f t="shared" si="99"/>
        <v>6.9235780524662598</v>
      </c>
      <c r="G328" s="110">
        <f t="shared" si="121"/>
        <v>0.31498228567285436</v>
      </c>
      <c r="H328" s="414" t="b">
        <f>Wh_hp&gt;='2020'!Maxi_hp</f>
        <v>0</v>
      </c>
      <c r="I328" s="380">
        <f>IF(H328,Wh_hp,'2020'!Maxi_hp)</f>
        <v>15.743855645417897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3.8582965916018883E-2</v>
      </c>
      <c r="M328" s="843"/>
      <c r="N328" s="843"/>
      <c r="O328" s="48">
        <f>IF(t&lt;Tnet,'2020'!Resal+('2020'!Salim-'2020'!Resal)*(1-EXP(('2020'!Tnet-t)/('2020'!Tau_j))),Resal+(Salim-Resal)*(1-EXP((Tnet-t)/(Tau_j))))*Salcycl</f>
        <v>6.3221281776527111E-2</v>
      </c>
      <c r="P328" s="169">
        <f>(INDEX(Models!$BJ328:$BT328,,T328)*(1-R328)+INDEX(Models!$BJ328:$BT328,,T328+1)*R328-ERP_i)*Q328*Ramure*Pc/MaxiM</f>
        <v>1.4962861398609624E-2</v>
      </c>
      <c r="Q328" s="305">
        <f t="shared" si="101"/>
        <v>0.8</v>
      </c>
      <c r="R328" s="177">
        <f t="shared" si="102"/>
        <v>0.19914956950363161</v>
      </c>
      <c r="S328" s="809">
        <f t="shared" si="103"/>
        <v>1</v>
      </c>
      <c r="T328" s="176">
        <f t="shared" si="104"/>
        <v>7</v>
      </c>
      <c r="U328" s="251">
        <f t="shared" si="105"/>
        <v>1.1991495695036316</v>
      </c>
      <c r="V328" s="383">
        <f t="shared" si="106"/>
        <v>19.500506679262472</v>
      </c>
      <c r="W328" s="402"/>
      <c r="X328" s="157">
        <f t="shared" si="107"/>
        <v>44510</v>
      </c>
      <c r="Y328" s="385">
        <f t="shared" si="108"/>
        <v>5.7431480763264551</v>
      </c>
      <c r="Z328" s="385">
        <f t="shared" si="109"/>
        <v>5.9736283763667775</v>
      </c>
      <c r="AA328" s="386">
        <f t="shared" si="110"/>
        <v>6.9155905063186429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0.13620848850018136</v>
      </c>
      <c r="AD328" s="231">
        <f>(INDEX(Models!$BJ328:$BT328,,AH328)*(1-AF328)+INDEX(Models!$BJ328:$BT328,,AH328+1)*AF328-ERP_i)*AE328*Ramure*Pc/MaxiM</f>
        <v>4.1133943299450242E-2</v>
      </c>
      <c r="AE328" s="305">
        <f t="shared" si="112"/>
        <v>0.8</v>
      </c>
      <c r="AF328" s="177">
        <f t="shared" si="113"/>
        <v>0.39908314365615283</v>
      </c>
      <c r="AG328" s="809">
        <f t="shared" si="119"/>
        <v>2</v>
      </c>
      <c r="AH328" s="176">
        <f t="shared" si="114"/>
        <v>8</v>
      </c>
      <c r="AI328" s="225">
        <f t="shared" si="115"/>
        <v>2.3990831436561528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6">
        <v>10.217000000000001</v>
      </c>
      <c r="C329" s="390"/>
      <c r="D329" s="393">
        <f t="shared" si="98"/>
        <v>10.627272199062748</v>
      </c>
      <c r="E329" s="385">
        <f t="shared" si="120"/>
        <v>11.346294422406018</v>
      </c>
      <c r="F329" s="385">
        <f t="shared" si="99"/>
        <v>11.403198485716217</v>
      </c>
      <c r="G329" s="110">
        <f t="shared" si="121"/>
        <v>0.52539204551117147</v>
      </c>
      <c r="H329" s="414" t="b">
        <f>Wh_hp&gt;='2020'!Maxi_hp</f>
        <v>0</v>
      </c>
      <c r="I329" s="380">
        <f>IF(H329,Wh_hp,'2020'!Maxi_hp)</f>
        <v>18.748346260015087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3.8605598066729738E-2</v>
      </c>
      <c r="M329" s="843"/>
      <c r="N329" s="843"/>
      <c r="O329" s="48">
        <f>IF(t&lt;Tnet,'2020'!Resal+('2020'!Salim-'2020'!Resal)*(1-EXP(('2020'!Tnet-t)/('2020'!Tau_j))),Resal+(Salim-Resal)*(1-EXP((Tnet-t)/(Tau_j))))*Salcycl</f>
        <v>6.3370665044914162E-2</v>
      </c>
      <c r="P329" s="169">
        <f>(INDEX(Models!$BJ329:$BT329,,T329)*(1-R329)+INDEX(Models!$BJ329:$BT329,,T329+1)*R329-ERP_i)*Q329*Ramure*Pc/MaxiM</f>
        <v>1.5134628176481762E-2</v>
      </c>
      <c r="Q329" s="305">
        <f t="shared" si="101"/>
        <v>0.8</v>
      </c>
      <c r="R329" s="177">
        <f t="shared" si="102"/>
        <v>0.19919439473082834</v>
      </c>
      <c r="S329" s="809">
        <f t="shared" si="103"/>
        <v>1</v>
      </c>
      <c r="T329" s="176">
        <f t="shared" si="104"/>
        <v>7</v>
      </c>
      <c r="U329" s="251">
        <f t="shared" si="105"/>
        <v>1.1991943947308283</v>
      </c>
      <c r="V329" s="383">
        <f t="shared" si="106"/>
        <v>19.248168104087938</v>
      </c>
      <c r="W329" s="402"/>
      <c r="X329" s="157">
        <f t="shared" si="107"/>
        <v>44511</v>
      </c>
      <c r="Y329" s="385">
        <f t="shared" si="108"/>
        <v>9.3401159535699865</v>
      </c>
      <c r="Z329" s="385">
        <f t="shared" si="109"/>
        <v>9.7151761387292517</v>
      </c>
      <c r="AA329" s="386">
        <f t="shared" si="110"/>
        <v>11.247139993871517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0.1362091923793089</v>
      </c>
      <c r="AD329" s="231">
        <f>(INDEX(Models!$BJ329:$BT329,,AH329)*(1-AF329)+INDEX(Models!$BJ329:$BT329,,AH329+1)*AF329-ERP_i)*AE329*Ramure*Pc/MaxiM</f>
        <v>4.150647792894438E-2</v>
      </c>
      <c r="AE329" s="305">
        <f t="shared" si="112"/>
        <v>0.8</v>
      </c>
      <c r="AF329" s="177">
        <f t="shared" si="113"/>
        <v>0.39912796888334956</v>
      </c>
      <c r="AG329" s="809">
        <f t="shared" si="119"/>
        <v>2</v>
      </c>
      <c r="AH329" s="176">
        <f t="shared" si="114"/>
        <v>8</v>
      </c>
      <c r="AI329" s="225">
        <f t="shared" si="115"/>
        <v>2.3991279688833496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6">
        <v>7.3310000000000004</v>
      </c>
      <c r="C330" s="390"/>
      <c r="D330" s="393">
        <f t="shared" si="98"/>
        <v>7.6255619588682659</v>
      </c>
      <c r="E330" s="385">
        <f t="shared" si="120"/>
        <v>8.142793387265991</v>
      </c>
      <c r="F330" s="385">
        <f t="shared" si="99"/>
        <v>8.1581209825225152</v>
      </c>
      <c r="G330" s="110">
        <f t="shared" si="121"/>
        <v>0.38055197328270857</v>
      </c>
      <c r="H330" s="414" t="b">
        <f>Wh_hp&gt;='2020'!Maxi_hp</f>
        <v>0</v>
      </c>
      <c r="I330" s="380">
        <f>IF(H330,Wh_hp,'2020'!Maxi_hp)</f>
        <v>20.456822041646511</v>
      </c>
      <c r="J330" s="85">
        <f>IF(H330,An,'2020'!An_max)</f>
        <v>2018</v>
      </c>
      <c r="K330" s="197">
        <f t="shared" si="100"/>
        <v>44512</v>
      </c>
      <c r="L330" s="147">
        <f>IF(t&lt;Tvie,1-EXP((T0-t)*PertePVj)+'2020'!Pspv,1-EXP((T0-t)*PertePVj)+Pspv)</f>
        <v>3.8628229690757451E-2</v>
      </c>
      <c r="M330" s="843"/>
      <c r="N330" s="843"/>
      <c r="O330" s="48">
        <f>IF(t&lt;Tnet,'2020'!Resal+('2020'!Salim-'2020'!Resal)*(1-EXP(('2020'!Tnet-t)/('2020'!Tau_j))),Resal+(Salim-Resal)*(1-EXP((Tnet-t)/(Tau_j))))*Salcycl</f>
        <v>6.3520146440973368E-2</v>
      </c>
      <c r="P330" s="169">
        <f>(INDEX(Models!$BJ330:$BT330,,T330)*(1-R330)+INDEX(Models!$BJ330:$BT330,,T330+1)*R330-ERP_i)*Q330*Ramure*Pc/MaxiM</f>
        <v>1.5336694386640133E-2</v>
      </c>
      <c r="Q330" s="305">
        <f t="shared" si="101"/>
        <v>0.8</v>
      </c>
      <c r="R330" s="177">
        <f t="shared" si="102"/>
        <v>0.19923742146410417</v>
      </c>
      <c r="S330" s="809">
        <f t="shared" si="103"/>
        <v>1</v>
      </c>
      <c r="T330" s="176">
        <f t="shared" si="104"/>
        <v>7</v>
      </c>
      <c r="U330" s="251">
        <f t="shared" si="105"/>
        <v>1.1992374214641042</v>
      </c>
      <c r="V330" s="383">
        <f t="shared" si="106"/>
        <v>19.004380682310032</v>
      </c>
      <c r="W330" s="402"/>
      <c r="X330" s="157">
        <f t="shared" si="107"/>
        <v>44512</v>
      </c>
      <c r="Y330" s="385">
        <f t="shared" si="108"/>
        <v>6.7399339745258384</v>
      </c>
      <c r="Z330" s="385">
        <f t="shared" si="109"/>
        <v>7.0107467086929516</v>
      </c>
      <c r="AA330" s="386">
        <f t="shared" si="110"/>
        <v>8.1162719963017462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0.13621097076496913</v>
      </c>
      <c r="AD330" s="231">
        <f>(INDEX(Models!$BJ330:$BT330,,AH330)*(1-AF330)+INDEX(Models!$BJ330:$BT330,,AH330+1)*AF330-ERP_i)*AE330*Ramure*Pc/MaxiM</f>
        <v>4.1873829607125393E-2</v>
      </c>
      <c r="AE330" s="305">
        <f t="shared" si="112"/>
        <v>0.8</v>
      </c>
      <c r="AF330" s="177">
        <f t="shared" si="113"/>
        <v>0.39917099561662539</v>
      </c>
      <c r="AG330" s="809">
        <f t="shared" si="119"/>
        <v>2</v>
      </c>
      <c r="AH330" s="176">
        <f t="shared" si="114"/>
        <v>8</v>
      </c>
      <c r="AI330" s="225">
        <f t="shared" si="115"/>
        <v>2.3991709956166254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6">
        <v>4.9820000000000002</v>
      </c>
      <c r="C331" s="390"/>
      <c r="D331" s="393">
        <f t="shared" si="98"/>
        <v>5.1823003701696182</v>
      </c>
      <c r="E331" s="385">
        <f t="shared" si="120"/>
        <v>5.5346931182698791</v>
      </c>
      <c r="F331" s="385">
        <f t="shared" si="99"/>
        <v>5.5346931182698791</v>
      </c>
      <c r="G331" s="110">
        <f t="shared" si="121"/>
        <v>0.26132027746726827</v>
      </c>
      <c r="H331" s="414" t="b">
        <f>Wh_hp&gt;='2020'!Maxi_hp</f>
        <v>0</v>
      </c>
      <c r="I331" s="380">
        <f>IF(H331,Wh_hp,'2020'!Maxi_hp)</f>
        <v>20.779551428592494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3.8650860788114125E-2</v>
      </c>
      <c r="M331" s="843"/>
      <c r="N331" s="843"/>
      <c r="O331" s="48">
        <f>IF(t&lt;Tnet,'2020'!Resal+('2020'!Salim-'2020'!Resal)*(1-EXP(('2020'!Tnet-t)/('2020'!Tau_j))),Resal+(Salim-Resal)*(1-EXP((Tnet-t)/(Tau_j))))*Salcycl</f>
        <v>6.3669789917894765E-2</v>
      </c>
      <c r="P331" s="169">
        <f>(INDEX(Models!$BJ331:$BT331,,T331)*(1-R331)+INDEX(Models!$BJ331:$BT331,,T331+1)*R331-ERP_i)*Q331*Ramure*Pc/MaxiM</f>
        <v>1.5570431894841013E-2</v>
      </c>
      <c r="Q331" s="305">
        <f t="shared" si="101"/>
        <v>0.8</v>
      </c>
      <c r="R331" s="177">
        <f t="shared" si="102"/>
        <v>0.19927872162020499</v>
      </c>
      <c r="S331" s="809">
        <f t="shared" si="103"/>
        <v>1</v>
      </c>
      <c r="T331" s="176">
        <f t="shared" si="104"/>
        <v>7</v>
      </c>
      <c r="U331" s="251">
        <f t="shared" si="105"/>
        <v>1.199278721620205</v>
      </c>
      <c r="V331" s="383">
        <f t="shared" si="106"/>
        <v>18.767881910404778</v>
      </c>
      <c r="W331" s="402"/>
      <c r="X331" s="157">
        <f t="shared" si="107"/>
        <v>44513</v>
      </c>
      <c r="Y331" s="385">
        <f t="shared" si="108"/>
        <v>4.5960090317888049</v>
      </c>
      <c r="Z331" s="385">
        <f t="shared" si="109"/>
        <v>4.780790707896835</v>
      </c>
      <c r="AA331" s="386">
        <f t="shared" si="110"/>
        <v>5.5346931182698791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0.13621394976433868</v>
      </c>
      <c r="AD331" s="231">
        <f>(INDEX(Models!$BJ331:$BT331,,AH331)*(1-AF331)+INDEX(Models!$BJ331:$BT331,,AH331+1)*AF331-ERP_i)*AE331*Ramure*Pc/MaxiM</f>
        <v>4.2238465381948864E-2</v>
      </c>
      <c r="AE331" s="305">
        <f t="shared" si="112"/>
        <v>0.8</v>
      </c>
      <c r="AF331" s="177">
        <f t="shared" si="113"/>
        <v>0.39921229577272621</v>
      </c>
      <c r="AG331" s="809">
        <f t="shared" si="119"/>
        <v>2</v>
      </c>
      <c r="AH331" s="176">
        <f t="shared" si="114"/>
        <v>8</v>
      </c>
      <c r="AI331" s="225">
        <f t="shared" si="115"/>
        <v>2.3992122957727262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6">
        <v>5.8120000000000003</v>
      </c>
      <c r="C332" s="390"/>
      <c r="D332" s="393">
        <f t="shared" si="98"/>
        <v>6.0458126846154734</v>
      </c>
      <c r="E332" s="385">
        <f t="shared" si="120"/>
        <v>6.4579573093446134</v>
      </c>
      <c r="F332" s="385">
        <f t="shared" si="99"/>
        <v>6.4599343814954313</v>
      </c>
      <c r="G332" s="110">
        <f t="shared" si="121"/>
        <v>0.30866374269654667</v>
      </c>
      <c r="H332" s="414" t="b">
        <f>Wh_hp&gt;='2020'!Maxi_hp</f>
        <v>0</v>
      </c>
      <c r="I332" s="380">
        <f>IF(H332,Wh_hp,'2020'!Maxi_hp)</f>
        <v>16.142697199455277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3.8673491358812193E-2</v>
      </c>
      <c r="M332" s="843"/>
      <c r="N332" s="843"/>
      <c r="O332" s="48">
        <f>IF(t&lt;Tnet,'2020'!Resal+('2020'!Salim-'2020'!Resal)*(1-EXP(('2020'!Tnet-t)/('2020'!Tau_j))),Resal+(Salim-Resal)*(1-EXP((Tnet-t)/(Tau_j))))*Salcycl</f>
        <v>6.3819657669890367E-2</v>
      </c>
      <c r="P332" s="169">
        <f>(INDEX(Models!$BJ332:$BT332,,T332)*(1-R332)+INDEX(Models!$BJ332:$BT332,,T332+1)*R332-ERP_i)*Q332*Ramure*Pc/MaxiM</f>
        <v>1.5830893788361378E-2</v>
      </c>
      <c r="Q332" s="305">
        <f t="shared" si="101"/>
        <v>0.8</v>
      </c>
      <c r="R332" s="177">
        <f t="shared" si="102"/>
        <v>0.19931836425927907</v>
      </c>
      <c r="S332" s="809">
        <f t="shared" si="103"/>
        <v>1</v>
      </c>
      <c r="T332" s="176">
        <f t="shared" si="104"/>
        <v>7</v>
      </c>
      <c r="U332" s="251">
        <f t="shared" si="105"/>
        <v>1.1993183642592791</v>
      </c>
      <c r="V332" s="383">
        <f t="shared" si="106"/>
        <v>18.537136699733093</v>
      </c>
      <c r="W332" s="402"/>
      <c r="X332" s="157">
        <f t="shared" si="107"/>
        <v>44514</v>
      </c>
      <c r="Y332" s="385">
        <f t="shared" si="108"/>
        <v>5.359760381989811</v>
      </c>
      <c r="Z332" s="385">
        <f t="shared" si="109"/>
        <v>5.5753797838839425</v>
      </c>
      <c r="AA332" s="386">
        <f t="shared" si="110"/>
        <v>6.4546163285710403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0.13621825061780987</v>
      </c>
      <c r="AD332" s="231">
        <f>(INDEX(Models!$BJ332:$BT332,,AH332)*(1-AF332)+INDEX(Models!$BJ332:$BT332,,AH332+1)*AF332-ERP_i)*AE332*Ramure*Pc/MaxiM</f>
        <v>4.2582933036662884E-2</v>
      </c>
      <c r="AE332" s="305">
        <f t="shared" si="112"/>
        <v>0.8</v>
      </c>
      <c r="AF332" s="177">
        <f t="shared" si="113"/>
        <v>0.39925193841180029</v>
      </c>
      <c r="AG332" s="809">
        <f t="shared" si="119"/>
        <v>2</v>
      </c>
      <c r="AH332" s="176">
        <f t="shared" si="114"/>
        <v>8</v>
      </c>
      <c r="AI332" s="225">
        <f t="shared" si="115"/>
        <v>2.3992519384118003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6">
        <v>4.8040000000000003</v>
      </c>
      <c r="C333" s="390"/>
      <c r="D333" s="393">
        <f t="shared" si="98"/>
        <v>4.9973791919061457</v>
      </c>
      <c r="E333" s="385">
        <f t="shared" si="120"/>
        <v>5.3389081297418537</v>
      </c>
      <c r="F333" s="385">
        <f t="shared" si="99"/>
        <v>5.3389081297418537</v>
      </c>
      <c r="G333" s="110">
        <f t="shared" si="121"/>
        <v>0.25810963092742839</v>
      </c>
      <c r="H333" s="414" t="b">
        <f>Wh_hp&gt;='2020'!Maxi_hp</f>
        <v>0</v>
      </c>
      <c r="I333" s="380">
        <f>IF(H333,Wh_hp,'2020'!Maxi_hp)</f>
        <v>20.45344773267831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3.8696121402863756E-2</v>
      </c>
      <c r="M333" s="843"/>
      <c r="N333" s="843"/>
      <c r="O333" s="48">
        <f>IF(t&lt;Tnet,'2020'!Resal+('2020'!Salim-'2020'!Resal)*(1-EXP(('2020'!Tnet-t)/('2020'!Tau_j))),Resal+(Salim-Resal)*(1-EXP((Tnet-t)/(Tau_j))))*Salcycl</f>
        <v>6.3969809844287712E-2</v>
      </c>
      <c r="P333" s="169">
        <f>(INDEX(Models!$BJ333:$BT333,,T333)*(1-R333)+INDEX(Models!$BJ333:$BT333,,T333+1)*R333-ERP_i)*Q333*Ramure*Pc/MaxiM</f>
        <v>1.6101539246176515E-2</v>
      </c>
      <c r="Q333" s="305">
        <f t="shared" si="101"/>
        <v>0.8</v>
      </c>
      <c r="R333" s="177">
        <f t="shared" si="102"/>
        <v>0.19935641569683304</v>
      </c>
      <c r="S333" s="809">
        <f t="shared" si="103"/>
        <v>1</v>
      </c>
      <c r="T333" s="176">
        <f t="shared" si="104"/>
        <v>7</v>
      </c>
      <c r="U333" s="251">
        <f t="shared" si="105"/>
        <v>1.199356415696833</v>
      </c>
      <c r="V333" s="383">
        <f t="shared" si="106"/>
        <v>18.31256039721486</v>
      </c>
      <c r="W333" s="402"/>
      <c r="X333" s="157">
        <f t="shared" si="107"/>
        <v>44515</v>
      </c>
      <c r="Y333" s="385">
        <f t="shared" si="108"/>
        <v>4.4331689295570422</v>
      </c>
      <c r="Z333" s="385">
        <f t="shared" si="109"/>
        <v>4.6116207666055793</v>
      </c>
      <c r="AA333" s="386">
        <f t="shared" si="110"/>
        <v>5.3389081297418537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0.1362239891495268</v>
      </c>
      <c r="AD333" s="231">
        <f>(INDEX(Models!$BJ333:$BT333,,AH333)*(1-AF333)+INDEX(Models!$BJ333:$BT333,,AH333+1)*AF333-ERP_i)*AE333*Ramure*Pc/MaxiM</f>
        <v>4.2897109962137449E-2</v>
      </c>
      <c r="AE333" s="305">
        <f t="shared" si="112"/>
        <v>0.8</v>
      </c>
      <c r="AF333" s="177">
        <f t="shared" si="113"/>
        <v>0.39928998984935404</v>
      </c>
      <c r="AG333" s="809">
        <f t="shared" si="119"/>
        <v>2</v>
      </c>
      <c r="AH333" s="176">
        <f t="shared" si="114"/>
        <v>8</v>
      </c>
      <c r="AI333" s="225">
        <f t="shared" si="115"/>
        <v>2.399289989849354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6">
        <v>7.944</v>
      </c>
      <c r="C334" s="390"/>
      <c r="D334" s="393">
        <f t="shared" si="98"/>
        <v>8.2639706200502463</v>
      </c>
      <c r="E334" s="385">
        <f t="shared" si="120"/>
        <v>8.8301633828725485</v>
      </c>
      <c r="F334" s="385">
        <f t="shared" si="99"/>
        <v>8.8589894655358119</v>
      </c>
      <c r="G334" s="110">
        <f t="shared" si="121"/>
        <v>0.4332518567713412</v>
      </c>
      <c r="H334" s="414" t="b">
        <f>Wh_hp&gt;='2020'!Maxi_hp</f>
        <v>0</v>
      </c>
      <c r="I334" s="380">
        <f>IF(H334,Wh_hp,'2020'!Maxi_hp)</f>
        <v>17.939762584806399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3.8718750920281139E-2</v>
      </c>
      <c r="M334" s="843"/>
      <c r="N334" s="843"/>
      <c r="O334" s="48">
        <f>IF(t&lt;Tnet,'2020'!Resal+('2020'!Salim-'2020'!Resal)*(1-EXP(('2020'!Tnet-t)/('2020'!Tau_j))),Resal+(Salim-Resal)*(1-EXP((Tnet-t)/(Tau_j))))*Salcycl</f>
        <v>6.4120304265323072E-2</v>
      </c>
      <c r="P334" s="169">
        <f>(INDEX(Models!$BJ334:$BT334,,T334)*(1-R334)+INDEX(Models!$BJ334:$BT334,,T334+1)*R334-ERP_i)*Q334*Ramure*Pc/MaxiM</f>
        <v>1.6382372418641891E-2</v>
      </c>
      <c r="Q334" s="305">
        <f t="shared" si="101"/>
        <v>0.8</v>
      </c>
      <c r="R334" s="177">
        <f t="shared" si="102"/>
        <v>0.19939293961142068</v>
      </c>
      <c r="S334" s="809">
        <f t="shared" si="103"/>
        <v>1</v>
      </c>
      <c r="T334" s="176">
        <f t="shared" si="104"/>
        <v>7</v>
      </c>
      <c r="U334" s="251">
        <f t="shared" si="105"/>
        <v>1.1993929396114207</v>
      </c>
      <c r="V334" s="383">
        <f t="shared" si="106"/>
        <v>18.094248563495331</v>
      </c>
      <c r="W334" s="402"/>
      <c r="X334" s="157">
        <f t="shared" si="107"/>
        <v>44516</v>
      </c>
      <c r="Y334" s="385">
        <f t="shared" si="108"/>
        <v>7.2927501586527708</v>
      </c>
      <c r="Z334" s="385">
        <f t="shared" si="109"/>
        <v>7.5864895582166758</v>
      </c>
      <c r="AA334" s="386">
        <f t="shared" si="110"/>
        <v>8.7830102443347258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0.13623127524983103</v>
      </c>
      <c r="AD334" s="231">
        <f>(INDEX(Models!$BJ334:$BT334,,AH334)*(1-AF334)+INDEX(Models!$BJ334:$BT334,,AH334+1)*AF334-ERP_i)*AE334*Ramure*Pc/MaxiM</f>
        <v>4.3180334710581553E-2</v>
      </c>
      <c r="AE334" s="305">
        <f t="shared" si="112"/>
        <v>0.8</v>
      </c>
      <c r="AF334" s="177">
        <f t="shared" si="113"/>
        <v>0.3993265137639419</v>
      </c>
      <c r="AG334" s="809">
        <f t="shared" si="119"/>
        <v>2</v>
      </c>
      <c r="AH334" s="176">
        <f t="shared" si="114"/>
        <v>8</v>
      </c>
      <c r="AI334" s="225">
        <f t="shared" si="115"/>
        <v>2.3993265137639419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6">
        <v>2.8559999999999999</v>
      </c>
      <c r="C335" s="390"/>
      <c r="D335" s="393">
        <f t="shared" ref="D335:D379" si="122">Wh/(1-Ppv)</f>
        <v>2.9711046957745864</v>
      </c>
      <c r="E335" s="385">
        <f t="shared" si="120"/>
        <v>3.1751771278375451</v>
      </c>
      <c r="F335" s="385">
        <f t="shared" ref="F335:F379" si="123">Wh_sa/(1-Pvg*MEDIAN((-Sdif+Wh/Env_an)/Csdif,0,1))</f>
        <v>3.1751771278375451</v>
      </c>
      <c r="G335" s="110">
        <f t="shared" si="121"/>
        <v>0.15704810686901025</v>
      </c>
      <c r="H335" s="414" t="b">
        <f>Wh_hp&gt;='2020'!Maxi_hp</f>
        <v>0</v>
      </c>
      <c r="I335" s="380">
        <f>IF(H335,Wh_hp,'2020'!Maxi_hp)</f>
        <v>19.633088626435899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3.8741379911076554E-2</v>
      </c>
      <c r="M335" s="843"/>
      <c r="N335" s="843"/>
      <c r="O335" s="48">
        <f>IF(t&lt;Tnet,'2020'!Resal+('2020'!Salim-'2020'!Resal)*(1-EXP(('2020'!Tnet-t)/('2020'!Tau_j))),Resal+(Salim-Resal)*(1-EXP((Tnet-t)/(Tau_j))))*Salcycl</f>
        <v>6.4271196171642342E-2</v>
      </c>
      <c r="P335" s="169">
        <f>(INDEX(Models!$BJ335:$BT335,,T335)*(1-R335)+INDEX(Models!$BJ335:$BT335,,T335+1)*R335-ERP_i)*Q335*Ramure*Pc/MaxiM</f>
        <v>1.6673376316933646E-2</v>
      </c>
      <c r="Q335" s="305">
        <f t="shared" ref="Q335:Q379" si="125">IF(OR(t&lt;Ttai,Notai),Dd+PousD*Croivg,Dens+PousD*(Croivg-Croi_tai))</f>
        <v>0.8</v>
      </c>
      <c r="R335" s="177">
        <f t="shared" ref="R335:R379" si="126">(Hp_vg-S335)/(INDEX(Echel_vg,T335+1)-S335)</f>
        <v>0.19942799714821358</v>
      </c>
      <c r="S335" s="809">
        <f t="shared" ref="S335:S379" si="127">INDEX(Echel_vg,T335)</f>
        <v>1</v>
      </c>
      <c r="T335" s="176">
        <f t="shared" ref="T335:T379" si="128">MIN(MATCH(Hp_vg,Echel_vg),10)</f>
        <v>7</v>
      </c>
      <c r="U335" s="251">
        <f t="shared" ref="U335:U379" si="129">IF(OR(t&lt;Ttai,Notai),Hdd+PousH*Croivg,Hdtf+PousH*(Croivg-Croi_tai))</f>
        <v>1.1994279971482136</v>
      </c>
      <c r="V335" s="383">
        <f t="shared" ref="V335:V379" si="130">MaxiM*(1-Ppv)*(1-Pvg)*(1-Psa)</f>
        <v>17.882296662010926</v>
      </c>
      <c r="W335" s="402"/>
      <c r="X335" s="157">
        <f t="shared" ref="X335:X379" si="131">t</f>
        <v>44517</v>
      </c>
      <c r="Y335" s="385">
        <f t="shared" ref="Y335:Y379" si="132">Wh_pvt_s*(1-Ppv)</f>
        <v>2.6363385879668306</v>
      </c>
      <c r="Z335" s="385">
        <f t="shared" ref="Z335:Z379" si="133">Wh_sa_s*(1-Psa_s)</f>
        <v>2.7425903215546197</v>
      </c>
      <c r="AA335" s="386">
        <f t="shared" ref="AA335:AA379" si="134">Wh_hp*(1-Pvg_s*MEDIAN((-Sdif+Wh/Env_an)/Csdif,0,1))</f>
        <v>3.1751771278375451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0.13624021239329681</v>
      </c>
      <c r="AD335" s="231">
        <f>(INDEX(Models!$BJ335:$BT335,,AH335)*(1-AF335)+INDEX(Models!$BJ335:$BT335,,AH335+1)*AF335-ERP_i)*AE335*Ramure*Pc/MaxiM</f>
        <v>4.3431929912803542E-2</v>
      </c>
      <c r="AE335" s="305">
        <f t="shared" ref="AE335:AE379" si="136">IF(OR(t&lt;Ttai,Notai),Dd_s+PousD*Croivg,Dens_s+PousD*(Croivg-Croi_tai))</f>
        <v>0.8</v>
      </c>
      <c r="AF335" s="177">
        <f t="shared" ref="AF335:AF379" si="137">(Hp_vg_s-AG335)/(INDEX(Echel_vg,AH335+1)-AG335)</f>
        <v>0.39936157130073457</v>
      </c>
      <c r="AG335" s="809">
        <f t="shared" si="119"/>
        <v>2</v>
      </c>
      <c r="AH335" s="176">
        <f t="shared" ref="AH335:AH379" si="138">MIN(MATCH(Hp_vg_s,Echel_vg),10)</f>
        <v>8</v>
      </c>
      <c r="AI335" s="225">
        <f t="shared" ref="AI335:AI379" si="139">IF(OR(t&lt;Ttai,Notai),Hdd_s+PousH*Croivg,Hdtai_s+PousH*(Croivg-Croi_tai))</f>
        <v>2.3993615713007346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6">
        <v>12.553000000000001</v>
      </c>
      <c r="C336" s="390"/>
      <c r="D336" s="393">
        <f t="shared" si="122"/>
        <v>13.05922802451683</v>
      </c>
      <c r="E336" s="385">
        <f t="shared" si="120"/>
        <v>13.958467956435195</v>
      </c>
      <c r="F336" s="385">
        <f t="shared" si="123"/>
        <v>14.098687929197361</v>
      </c>
      <c r="G336" s="110">
        <f t="shared" si="121"/>
        <v>0.70509819300091647</v>
      </c>
      <c r="H336" s="414" t="b">
        <f>Wh_hp&gt;='2020'!Maxi_hp</f>
        <v>0</v>
      </c>
      <c r="I336" s="380">
        <f>IF(H336,Wh_hp,'2020'!Maxi_hp)</f>
        <v>18.436950655926712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3.8764008375262324E-2</v>
      </c>
      <c r="M336" s="843"/>
      <c r="N336" s="843"/>
      <c r="O336" s="48">
        <f>IF(t&lt;Tnet,'2020'!Resal+('2020'!Salim-'2020'!Resal)*(1-EXP(('2020'!Tnet-t)/('2020'!Tau_j))),Resal+(Salim-Resal)*(1-EXP((Tnet-t)/(Tau_j))))*Salcycl</f>
        <v>6.4422537969418964E-2</v>
      </c>
      <c r="P336" s="169">
        <f>(INDEX(Models!$BJ336:$BT336,,T336)*(1-R336)+INDEX(Models!$BJ336:$BT336,,T336+1)*R336-ERP_i)*Q336*Ramure*Pc/MaxiM</f>
        <v>1.6974510587308544E-2</v>
      </c>
      <c r="Q336" s="305">
        <f t="shared" si="125"/>
        <v>0.8</v>
      </c>
      <c r="R336" s="177">
        <f t="shared" si="126"/>
        <v>0.19946164701860969</v>
      </c>
      <c r="S336" s="809">
        <f t="shared" si="127"/>
        <v>1</v>
      </c>
      <c r="T336" s="176">
        <f t="shared" si="128"/>
        <v>7</v>
      </c>
      <c r="U336" s="251">
        <f t="shared" si="129"/>
        <v>1.1994616470186097</v>
      </c>
      <c r="V336" s="383">
        <f t="shared" si="130"/>
        <v>17.676800068437252</v>
      </c>
      <c r="W336" s="402"/>
      <c r="X336" s="157">
        <f t="shared" si="131"/>
        <v>44518</v>
      </c>
      <c r="Y336" s="385">
        <f t="shared" si="132"/>
        <v>11.40628893164609</v>
      </c>
      <c r="Z336" s="385">
        <f t="shared" si="133"/>
        <v>11.866273247183045</v>
      </c>
      <c r="AA336" s="386">
        <f t="shared" si="134"/>
        <v>13.738101965788672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0.1362508971957663</v>
      </c>
      <c r="AD336" s="231">
        <f>(INDEX(Models!$BJ336:$BT336,,AH336)*(1-AF336)+INDEX(Models!$BJ336:$BT336,,AH336+1)*AF336-ERP_i)*AE336*Ramure*Pc/MaxiM</f>
        <v>4.3651201272855177E-2</v>
      </c>
      <c r="AE336" s="305">
        <f t="shared" si="136"/>
        <v>0.8</v>
      </c>
      <c r="AF336" s="177">
        <f t="shared" si="137"/>
        <v>0.39939522117113091</v>
      </c>
      <c r="AG336" s="809">
        <f t="shared" ref="AG336:AG379" si="143">INDEX(Echel_vg,AH336)</f>
        <v>2</v>
      </c>
      <c r="AH336" s="176">
        <f t="shared" si="138"/>
        <v>8</v>
      </c>
      <c r="AI336" s="225">
        <f t="shared" si="139"/>
        <v>2.3993952211711309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6">
        <v>16.966999999999999</v>
      </c>
      <c r="C337" s="390"/>
      <c r="D337" s="393">
        <f t="shared" si="122"/>
        <v>17.651648053368437</v>
      </c>
      <c r="E337" s="385">
        <f t="shared" si="120"/>
        <v>18.870178084872876</v>
      </c>
      <c r="F337" s="385">
        <f t="shared" si="123"/>
        <v>19.188007096665945</v>
      </c>
      <c r="G337" s="110">
        <f t="shared" si="121"/>
        <v>0.97005887669472446</v>
      </c>
      <c r="H337" s="414" t="b">
        <f>Wh_hp&gt;='2020'!Maxi_hp</f>
        <v>1</v>
      </c>
      <c r="I337" s="380">
        <f>IF(H337,Wh_hp,'2020'!Maxi_hp)</f>
        <v>19.188007096665945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3.8786636312850661E-2</v>
      </c>
      <c r="M337" s="843"/>
      <c r="N337" s="843"/>
      <c r="O337" s="48">
        <f>IF(t&lt;Tnet,'2020'!Resal+('2020'!Salim-'2020'!Resal)*(1-EXP(('2020'!Tnet-t)/('2020'!Tau_j))),Resal+(Salim-Resal)*(1-EXP((Tnet-t)/(Tau_j))))*Salcycl</f>
        <v>6.4574379002880947E-2</v>
      </c>
      <c r="P337" s="169">
        <f>(INDEX(Models!$BJ337:$BT337,,T337)*(1-R337)+INDEX(Models!$BJ337:$BT337,,T337+1)*R337-ERP_i)*Q337*Ramure*Pc/MaxiM</f>
        <v>1.7285709190443494E-2</v>
      </c>
      <c r="Q337" s="305">
        <f t="shared" si="125"/>
        <v>0.8</v>
      </c>
      <c r="R337" s="177">
        <f t="shared" si="126"/>
        <v>0.1994939455960143</v>
      </c>
      <c r="S337" s="809">
        <f t="shared" si="127"/>
        <v>1</v>
      </c>
      <c r="T337" s="176">
        <f t="shared" si="128"/>
        <v>7</v>
      </c>
      <c r="U337" s="251">
        <f t="shared" si="129"/>
        <v>1.1994939455960143</v>
      </c>
      <c r="V337" s="383">
        <f t="shared" si="130"/>
        <v>17.477854075477563</v>
      </c>
      <c r="W337" s="402"/>
      <c r="X337" s="157">
        <f t="shared" si="131"/>
        <v>44519</v>
      </c>
      <c r="Y337" s="385">
        <f t="shared" si="132"/>
        <v>15.261362970022216</v>
      </c>
      <c r="Z337" s="385">
        <f t="shared" si="133"/>
        <v>15.87718559330122</v>
      </c>
      <c r="AA337" s="386">
        <f t="shared" si="134"/>
        <v>18.381976568790517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0.1362634190134922</v>
      </c>
      <c r="AD337" s="231">
        <f>(INDEX(Models!$BJ337:$BT337,,AH337)*(1-AF337)+INDEX(Models!$BJ337:$BT337,,AH337+1)*AF337-ERP_i)*AE337*Ramure*Pc/MaxiM</f>
        <v>4.383743706992238E-2</v>
      </c>
      <c r="AE337" s="305">
        <f t="shared" si="136"/>
        <v>0.8</v>
      </c>
      <c r="AF337" s="177">
        <f t="shared" si="137"/>
        <v>0.39942751974853552</v>
      </c>
      <c r="AG337" s="809">
        <f t="shared" si="143"/>
        <v>2</v>
      </c>
      <c r="AH337" s="176">
        <f t="shared" si="138"/>
        <v>8</v>
      </c>
      <c r="AI337" s="225">
        <f t="shared" si="139"/>
        <v>2.3994275197485355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6">
        <v>13.916</v>
      </c>
      <c r="C338" s="390"/>
      <c r="D338" s="393">
        <f t="shared" si="122"/>
        <v>14.477875696049146</v>
      </c>
      <c r="E338" s="385">
        <f t="shared" si="120"/>
        <v>15.479835367439726</v>
      </c>
      <c r="F338" s="385">
        <f t="shared" si="123"/>
        <v>15.678797955245628</v>
      </c>
      <c r="G338" s="110">
        <f t="shared" si="121"/>
        <v>0.80105596482273167</v>
      </c>
      <c r="H338" s="414" t="b">
        <f>Wh_hp&gt;='2020'!Maxi_hp</f>
        <v>0</v>
      </c>
      <c r="I338" s="380">
        <f>IF(H338,Wh_hp,'2020'!Maxi_hp)</f>
        <v>20.296414509075642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3.880926372385389E-2</v>
      </c>
      <c r="M338" s="843"/>
      <c r="N338" s="843"/>
      <c r="O338" s="48">
        <f>IF(t&lt;Tnet,'2020'!Resal+('2020'!Salim-'2020'!Resal)*(1-EXP(('2020'!Tnet-t)/('2020'!Tau_j))),Resal+(Salim-Resal)*(1-EXP((Tnet-t)/(Tau_j))))*Salcycl</f>
        <v>6.4726765343906756E-2</v>
      </c>
      <c r="P338" s="169">
        <f>(INDEX(Models!$BJ338:$BT338,,T338)*(1-R338)+INDEX(Models!$BJ338:$BT338,,T338+1)*R338-ERP_i)*Q338*Ramure*Pc/MaxiM</f>
        <v>1.7588235981288163E-2</v>
      </c>
      <c r="Q338" s="305">
        <f t="shared" si="125"/>
        <v>0.8</v>
      </c>
      <c r="R338" s="177">
        <f t="shared" si="126"/>
        <v>0.19952494700794121</v>
      </c>
      <c r="S338" s="809">
        <f t="shared" si="127"/>
        <v>1</v>
      </c>
      <c r="T338" s="176">
        <f t="shared" si="128"/>
        <v>7</v>
      </c>
      <c r="U338" s="251">
        <f t="shared" si="129"/>
        <v>1.1995249470079412</v>
      </c>
      <c r="V338" s="383">
        <f t="shared" si="130"/>
        <v>17.28588191583788</v>
      </c>
      <c r="W338" s="402"/>
      <c r="X338" s="157">
        <f t="shared" si="131"/>
        <v>44520</v>
      </c>
      <c r="Y338" s="385">
        <f t="shared" si="132"/>
        <v>12.603618346065893</v>
      </c>
      <c r="Z338" s="385">
        <f t="shared" si="133"/>
        <v>13.112505011122918</v>
      </c>
      <c r="AA338" s="386">
        <f t="shared" si="134"/>
        <v>15.181392716013486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0.13627785958716976</v>
      </c>
      <c r="AD338" s="231">
        <f>(INDEX(Models!$BJ338:$BT338,,AH338)*(1-AF338)+INDEX(Models!$BJ338:$BT338,,AH338+1)*AF338-ERP_i)*AE338*Ramure*Pc/MaxiM</f>
        <v>4.3970481196588695E-2</v>
      </c>
      <c r="AE338" s="305">
        <f t="shared" si="136"/>
        <v>0.8</v>
      </c>
      <c r="AF338" s="177">
        <f t="shared" si="137"/>
        <v>0.39945852116046243</v>
      </c>
      <c r="AG338" s="809">
        <f t="shared" si="143"/>
        <v>2</v>
      </c>
      <c r="AH338" s="176">
        <f t="shared" si="138"/>
        <v>8</v>
      </c>
      <c r="AI338" s="225">
        <f t="shared" si="139"/>
        <v>2.3994585211604624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6">
        <v>7.1630000000000003</v>
      </c>
      <c r="C339" s="390"/>
      <c r="D339" s="393">
        <f t="shared" si="122"/>
        <v>7.452390409137867</v>
      </c>
      <c r="E339" s="385">
        <f t="shared" si="120"/>
        <v>7.9694459897250507</v>
      </c>
      <c r="F339" s="385">
        <f t="shared" si="123"/>
        <v>7.9936937882913313</v>
      </c>
      <c r="G339" s="110">
        <f t="shared" si="121"/>
        <v>0.4126266801364874</v>
      </c>
      <c r="H339" s="414" t="b">
        <f>Wh_hp&gt;='2020'!Maxi_hp</f>
        <v>0</v>
      </c>
      <c r="I339" s="380">
        <f>IF(H339,Wh_hp,'2020'!Maxi_hp)</f>
        <v>20.252187824566644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3.8831890608284111E-2</v>
      </c>
      <c r="M339" s="843"/>
      <c r="N339" s="843"/>
      <c r="O339" s="48">
        <f>IF(t&lt;Tnet,'2020'!Resal+('2020'!Salim-'2020'!Resal)*(1-EXP(('2020'!Tnet-t)/('2020'!Tau_j))),Resal+(Salim-Resal)*(1-EXP((Tnet-t)/(Tau_j))))*Salcycl</f>
        <v>6.4879739602203154E-2</v>
      </c>
      <c r="P339" s="169">
        <f>(INDEX(Models!$BJ339:$BT339,,T339)*(1-R339)+INDEX(Models!$BJ339:$BT339,,T339+1)*R339-ERP_i)*Q339*Ramure*Pc/MaxiM</f>
        <v>1.7864677876975352E-2</v>
      </c>
      <c r="Q339" s="305">
        <f t="shared" si="125"/>
        <v>0.8</v>
      </c>
      <c r="R339" s="177">
        <f t="shared" si="126"/>
        <v>0.19955470322456326</v>
      </c>
      <c r="S339" s="809">
        <f t="shared" si="127"/>
        <v>1</v>
      </c>
      <c r="T339" s="176">
        <f t="shared" si="128"/>
        <v>7</v>
      </c>
      <c r="U339" s="251">
        <f t="shared" si="129"/>
        <v>1.1995547032245633</v>
      </c>
      <c r="V339" s="383">
        <f t="shared" si="130"/>
        <v>17.101269542494752</v>
      </c>
      <c r="W339" s="402"/>
      <c r="X339" s="157">
        <f t="shared" si="131"/>
        <v>44521</v>
      </c>
      <c r="Y339" s="385">
        <f t="shared" si="132"/>
        <v>6.5864540827738001</v>
      </c>
      <c r="Z339" s="385">
        <f t="shared" si="133"/>
        <v>6.852551617575096</v>
      </c>
      <c r="AA339" s="386">
        <f t="shared" si="134"/>
        <v>7.9338964185621892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0.13629429273328703</v>
      </c>
      <c r="AD339" s="231">
        <f>(INDEX(Models!$BJ339:$BT339,,AH339)*(1-AF339)+INDEX(Models!$BJ339:$BT339,,AH339+1)*AF339-ERP_i)*AE339*Ramure*Pc/MaxiM</f>
        <v>4.4055989049128143E-2</v>
      </c>
      <c r="AE339" s="305">
        <f t="shared" si="136"/>
        <v>0.8</v>
      </c>
      <c r="AF339" s="177">
        <f t="shared" si="137"/>
        <v>0.3994882773770847</v>
      </c>
      <c r="AG339" s="809">
        <f t="shared" si="143"/>
        <v>2</v>
      </c>
      <c r="AH339" s="176">
        <f t="shared" si="138"/>
        <v>8</v>
      </c>
      <c r="AI339" s="225">
        <f t="shared" si="139"/>
        <v>2.3994882773770847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6">
        <v>13.708</v>
      </c>
      <c r="C340" s="390"/>
      <c r="D340" s="393">
        <f t="shared" si="122"/>
        <v>14.262148906667941</v>
      </c>
      <c r="E340" s="385">
        <f t="shared" si="120"/>
        <v>15.254179136421515</v>
      </c>
      <c r="F340" s="385">
        <f t="shared" si="123"/>
        <v>15.458178837607266</v>
      </c>
      <c r="G340" s="110">
        <f t="shared" si="121"/>
        <v>0.80593282660797505</v>
      </c>
      <c r="H340" s="414" t="b">
        <f>Wh_hp&gt;='2020'!Maxi_hp</f>
        <v>0</v>
      </c>
      <c r="I340" s="380">
        <f>IF(H340,Wh_hp,'2020'!Maxi_hp)</f>
        <v>19.238098983375799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3.885451696615376E-2</v>
      </c>
      <c r="M340" s="843"/>
      <c r="N340" s="843"/>
      <c r="O340" s="48">
        <f>IF(t&lt;Tnet,'2020'!Resal+('2020'!Salim-'2020'!Resal)*(1-EXP(('2020'!Tnet-t)/('2020'!Tau_j))),Resal+(Salim-Resal)*(1-EXP((Tnet-t)/(Tau_j))))*Salcycl</f>
        <v>6.50333407574165E-2</v>
      </c>
      <c r="P340" s="169">
        <f>(INDEX(Models!$BJ340:$BT340,,T340)*(1-R340)+INDEX(Models!$BJ340:$BT340,,T340+1)*R340-ERP_i)*Q340*Ramure*Pc/MaxiM</f>
        <v>1.8114456691604271E-2</v>
      </c>
      <c r="Q340" s="305">
        <f t="shared" si="125"/>
        <v>0.8</v>
      </c>
      <c r="R340" s="177">
        <f t="shared" si="126"/>
        <v>0.19958326414384553</v>
      </c>
      <c r="S340" s="809">
        <f t="shared" si="127"/>
        <v>1</v>
      </c>
      <c r="T340" s="176">
        <f t="shared" si="128"/>
        <v>7</v>
      </c>
      <c r="U340" s="251">
        <f t="shared" si="129"/>
        <v>1.1995832641438455</v>
      </c>
      <c r="V340" s="383">
        <f t="shared" si="130"/>
        <v>16.924100720398908</v>
      </c>
      <c r="W340" s="402"/>
      <c r="X340" s="157">
        <f t="shared" si="131"/>
        <v>44522</v>
      </c>
      <c r="Y340" s="385">
        <f t="shared" si="132"/>
        <v>12.42007216031447</v>
      </c>
      <c r="Z340" s="385">
        <f t="shared" si="133"/>
        <v>12.922156301573239</v>
      </c>
      <c r="AA340" s="386">
        <f t="shared" si="134"/>
        <v>14.961615806575454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0.13631278408485106</v>
      </c>
      <c r="AD340" s="231">
        <f>(INDEX(Models!$BJ340:$BT340,,AH340)*(1-AF340)+INDEX(Models!$BJ340:$BT340,,AH340+1)*AF340-ERP_i)*AE340*Ramure*Pc/MaxiM</f>
        <v>4.4093052430930958E-2</v>
      </c>
      <c r="AE340" s="305">
        <f t="shared" si="136"/>
        <v>0.8</v>
      </c>
      <c r="AF340" s="177">
        <f t="shared" si="137"/>
        <v>0.39951683829636675</v>
      </c>
      <c r="AG340" s="809">
        <f t="shared" si="143"/>
        <v>2</v>
      </c>
      <c r="AH340" s="176">
        <f t="shared" si="138"/>
        <v>8</v>
      </c>
      <c r="AI340" s="225">
        <f t="shared" si="139"/>
        <v>2.3995168382963667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6">
        <v>10.426</v>
      </c>
      <c r="C341" s="390"/>
      <c r="D341" s="393">
        <f t="shared" si="122"/>
        <v>10.847728697605058</v>
      </c>
      <c r="E341" s="385">
        <f t="shared" si="120"/>
        <v>11.604177206237694</v>
      </c>
      <c r="F341" s="385">
        <f t="shared" si="123"/>
        <v>11.702977852042547</v>
      </c>
      <c r="G341" s="110">
        <f t="shared" si="121"/>
        <v>0.61607239029320415</v>
      </c>
      <c r="H341" s="414" t="b">
        <f>Wh_hp&gt;='2020'!Maxi_hp</f>
        <v>0</v>
      </c>
      <c r="I341" s="380">
        <f>IF(H341,Wh_hp,'2020'!Maxi_hp)</f>
        <v>18.879598059880493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3.8877142797474937E-2</v>
      </c>
      <c r="M341" s="843"/>
      <c r="N341" s="843"/>
      <c r="O341" s="48">
        <f>IF(t&lt;Tnet,'2020'!Resal+('2020'!Salim-'2020'!Resal)*(1-EXP(('2020'!Tnet-t)/('2020'!Tau_j))),Resal+(Salim-Resal)*(1-EXP((Tnet-t)/(Tau_j))))*Salcycl</f>
        <v>6.5187604014355693E-2</v>
      </c>
      <c r="P341" s="169">
        <f>(INDEX(Models!$BJ341:$BT341,,T341)*(1-R341)+INDEX(Models!$BJ341:$BT341,,T341+1)*R341-ERP_i)*Q341*Ramure*Pc/MaxiM</f>
        <v>1.833687777444944E-2</v>
      </c>
      <c r="Q341" s="305">
        <f t="shared" si="125"/>
        <v>0.8</v>
      </c>
      <c r="R341" s="177">
        <f t="shared" si="126"/>
        <v>0.19961067767338525</v>
      </c>
      <c r="S341" s="809">
        <f t="shared" si="127"/>
        <v>1</v>
      </c>
      <c r="T341" s="176">
        <f t="shared" si="128"/>
        <v>7</v>
      </c>
      <c r="U341" s="251">
        <f t="shared" si="129"/>
        <v>1.1996106776733853</v>
      </c>
      <c r="V341" s="383">
        <f t="shared" si="130"/>
        <v>16.754461804612745</v>
      </c>
      <c r="W341" s="402"/>
      <c r="X341" s="157">
        <f t="shared" si="131"/>
        <v>44523</v>
      </c>
      <c r="Y341" s="385">
        <f t="shared" si="132"/>
        <v>9.517367490568331</v>
      </c>
      <c r="Z341" s="385">
        <f t="shared" si="133"/>
        <v>9.9023422648275012</v>
      </c>
      <c r="AA341" s="386">
        <f t="shared" si="134"/>
        <v>11.46546845773428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0.13633339088315563</v>
      </c>
      <c r="AD341" s="231">
        <f>(INDEX(Models!$BJ341:$BT341,,AH341)*(1-AF341)+INDEX(Models!$BJ341:$BT341,,AH341+1)*AF341-ERP_i)*AE341*Ramure*Pc/MaxiM</f>
        <v>4.4080488525513883E-2</v>
      </c>
      <c r="AE341" s="305">
        <f t="shared" si="136"/>
        <v>0.8</v>
      </c>
      <c r="AF341" s="177">
        <f t="shared" si="137"/>
        <v>0.39954425182590647</v>
      </c>
      <c r="AG341" s="809">
        <f t="shared" si="143"/>
        <v>2</v>
      </c>
      <c r="AH341" s="176">
        <f t="shared" si="138"/>
        <v>8</v>
      </c>
      <c r="AI341" s="225">
        <f t="shared" si="139"/>
        <v>2.3995442518259065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6">
        <v>1.671</v>
      </c>
      <c r="C342" s="390"/>
      <c r="D342" s="393">
        <f t="shared" si="122"/>
        <v>1.7386323970607394</v>
      </c>
      <c r="E342" s="385">
        <f t="shared" si="120"/>
        <v>1.8601814139841262</v>
      </c>
      <c r="F342" s="385">
        <f t="shared" si="123"/>
        <v>1.8601814139841262</v>
      </c>
      <c r="G342" s="110">
        <f t="shared" si="121"/>
        <v>9.8842262678635565E-2</v>
      </c>
      <c r="H342" s="414" t="b">
        <f>Wh_hp&gt;='2020'!Maxi_hp</f>
        <v>0</v>
      </c>
      <c r="I342" s="380">
        <f>IF(H342,Wh_hp,'2020'!Maxi_hp)</f>
        <v>17.858943426555001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3.8899768102260077E-2</v>
      </c>
      <c r="M342" s="843"/>
      <c r="N342" s="843"/>
      <c r="O342" s="48">
        <f>IF(t&lt;Tnet,'2020'!Resal+('2020'!Salim-'2020'!Resal)*(1-EXP(('2020'!Tnet-t)/('2020'!Tau_j))),Resal+(Salim-Resal)*(1-EXP((Tnet-t)/(Tau_j))))*Salcycl</f>
        <v>6.5342560682322803E-2</v>
      </c>
      <c r="P342" s="169">
        <f>(INDEX(Models!$BJ342:$BT342,,T342)*(1-R342)+INDEX(Models!$BJ342:$BT342,,T342+1)*R342-ERP_i)*Q342*Ramure*Pc/MaxiM</f>
        <v>1.8531317914949212E-2</v>
      </c>
      <c r="Q342" s="305">
        <f t="shared" si="125"/>
        <v>0.8</v>
      </c>
      <c r="R342" s="177">
        <f t="shared" si="126"/>
        <v>0.19963698980908284</v>
      </c>
      <c r="S342" s="809">
        <f t="shared" si="127"/>
        <v>1</v>
      </c>
      <c r="T342" s="176">
        <f t="shared" si="128"/>
        <v>7</v>
      </c>
      <c r="U342" s="251">
        <f t="shared" si="129"/>
        <v>1.1996369898090828</v>
      </c>
      <c r="V342" s="383">
        <f t="shared" si="130"/>
        <v>16.592438531039495</v>
      </c>
      <c r="W342" s="402"/>
      <c r="X342" s="157">
        <f t="shared" si="131"/>
        <v>44524</v>
      </c>
      <c r="Y342" s="385">
        <f t="shared" si="132"/>
        <v>1.5440404076270073</v>
      </c>
      <c r="Z342" s="385">
        <f t="shared" si="133"/>
        <v>1.6065342160809004</v>
      </c>
      <c r="AA342" s="386">
        <f t="shared" si="134"/>
        <v>1.8601814139841262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0.13635616182185464</v>
      </c>
      <c r="AD342" s="231">
        <f>(INDEX(Models!$BJ342:$BT342,,AH342)*(1-AF342)+INDEX(Models!$BJ342:$BT342,,AH342+1)*AF342-ERP_i)*AE342*Ramure*Pc/MaxiM</f>
        <v>4.4017302978280624E-2</v>
      </c>
      <c r="AE342" s="305">
        <f t="shared" si="136"/>
        <v>0.8</v>
      </c>
      <c r="AF342" s="177">
        <f t="shared" si="137"/>
        <v>0.39957056396160429</v>
      </c>
      <c r="AG342" s="809">
        <f t="shared" si="143"/>
        <v>2</v>
      </c>
      <c r="AH342" s="176">
        <f t="shared" si="138"/>
        <v>8</v>
      </c>
      <c r="AI342" s="225">
        <f t="shared" si="139"/>
        <v>2.3995705639616043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6">
        <v>11.696</v>
      </c>
      <c r="C343" s="390"/>
      <c r="D343" s="393">
        <f t="shared" si="122"/>
        <v>12.169672785379944</v>
      </c>
      <c r="E343" s="385">
        <f t="shared" si="120"/>
        <v>13.02263225311428</v>
      </c>
      <c r="F343" s="385">
        <f t="shared" si="123"/>
        <v>13.16736488300748</v>
      </c>
      <c r="G343" s="110">
        <f t="shared" si="121"/>
        <v>0.70597355914684645</v>
      </c>
      <c r="H343" s="414" t="b">
        <f>Wh_hp&gt;='2020'!Maxi_hp</f>
        <v>0</v>
      </c>
      <c r="I343" s="380">
        <f>IF(H343,Wh_hp,'2020'!Maxi_hp)</f>
        <v>17.941310299000229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3.8922392880521281E-2</v>
      </c>
      <c r="M343" s="843"/>
      <c r="N343" s="843"/>
      <c r="O343" s="48">
        <f>IF(t&lt;Tnet,'2020'!Resal+('2020'!Salim-'2020'!Resal)*(1-EXP(('2020'!Tnet-t)/('2020'!Tau_j))),Resal+(Salim-Resal)*(1-EXP((Tnet-t)/(Tau_j))))*Salcycl</f>
        <v>6.5498238079352608E-2</v>
      </c>
      <c r="P343" s="169">
        <f>(INDEX(Models!$BJ343:$BT343,,T343)*(1-R343)+INDEX(Models!$BJ343:$BT343,,T343+1)*R343-ERP_i)*Q343*Ramure*Pc/MaxiM</f>
        <v>1.8697251229434657E-2</v>
      </c>
      <c r="Q343" s="305">
        <f t="shared" si="125"/>
        <v>0.8</v>
      </c>
      <c r="R343" s="177">
        <f t="shared" si="126"/>
        <v>0.19966224471075966</v>
      </c>
      <c r="S343" s="809">
        <f t="shared" si="127"/>
        <v>1</v>
      </c>
      <c r="T343" s="176">
        <f t="shared" si="128"/>
        <v>7</v>
      </c>
      <c r="U343" s="251">
        <f t="shared" si="129"/>
        <v>1.1996622447107597</v>
      </c>
      <c r="V343" s="383">
        <f t="shared" si="130"/>
        <v>16.438115708811942</v>
      </c>
      <c r="W343" s="402"/>
      <c r="X343" s="157">
        <f t="shared" si="131"/>
        <v>44525</v>
      </c>
      <c r="Y343" s="385">
        <f t="shared" si="132"/>
        <v>10.646902811139267</v>
      </c>
      <c r="Z343" s="385">
        <f t="shared" si="133"/>
        <v>11.078088525077529</v>
      </c>
      <c r="AA343" s="386">
        <f t="shared" si="134"/>
        <v>12.827520332150959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0.13638113694418755</v>
      </c>
      <c r="AD343" s="231">
        <f>(INDEX(Models!$BJ343:$BT343,,AH343)*(1-AF343)+INDEX(Models!$BJ343:$BT343,,AH343+1)*AF343-ERP_i)*AE343*Ramure*Pc/MaxiM</f>
        <v>4.3902739492867229E-2</v>
      </c>
      <c r="AE343" s="305">
        <f t="shared" si="136"/>
        <v>0.8</v>
      </c>
      <c r="AF343" s="177">
        <f t="shared" si="137"/>
        <v>0.39959581886328088</v>
      </c>
      <c r="AG343" s="809">
        <f t="shared" si="143"/>
        <v>2</v>
      </c>
      <c r="AH343" s="176">
        <f t="shared" si="138"/>
        <v>8</v>
      </c>
      <c r="AI343" s="225">
        <f t="shared" si="139"/>
        <v>2.3995958188632809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6">
        <v>6.8639999999999999</v>
      </c>
      <c r="C344" s="390"/>
      <c r="D344" s="393">
        <f t="shared" si="122"/>
        <v>7.1421512008795212</v>
      </c>
      <c r="E344" s="385">
        <f t="shared" si="120"/>
        <v>7.6440165011865622</v>
      </c>
      <c r="F344" s="385">
        <f t="shared" si="123"/>
        <v>7.6690504428162303</v>
      </c>
      <c r="G344" s="110">
        <f t="shared" si="121"/>
        <v>0.41474054916914282</v>
      </c>
      <c r="H344" s="414" t="b">
        <f>Wh_hp&gt;='2020'!Maxi_hp</f>
        <v>0</v>
      </c>
      <c r="I344" s="380">
        <f>IF(H344,Wh_hp,'2020'!Maxi_hp)</f>
        <v>17.978894299225775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3.8945017132270762E-2</v>
      </c>
      <c r="M344" s="843"/>
      <c r="N344" s="843"/>
      <c r="O344" s="48">
        <f>IF(t&lt;Tnet,'2020'!Resal+('2020'!Salim-'2020'!Resal)*(1-EXP(('2020'!Tnet-t)/('2020'!Tau_j))),Resal+(Salim-Resal)*(1-EXP((Tnet-t)/(Tau_j))))*Salcycl</f>
        <v>6.5654659461964512E-2</v>
      </c>
      <c r="P344" s="169">
        <f>(INDEX(Models!$BJ344:$BT344,,T344)*(1-R344)+INDEX(Models!$BJ344:$BT344,,T344+1)*R344-ERP_i)*Q344*Ramure*Pc/MaxiM</f>
        <v>1.8834159661078865E-2</v>
      </c>
      <c r="Q344" s="305">
        <f t="shared" si="125"/>
        <v>0.8</v>
      </c>
      <c r="R344" s="177">
        <f t="shared" si="126"/>
        <v>0.19968648477483764</v>
      </c>
      <c r="S344" s="809">
        <f t="shared" si="127"/>
        <v>1</v>
      </c>
      <c r="T344" s="176">
        <f t="shared" si="128"/>
        <v>7</v>
      </c>
      <c r="U344" s="251">
        <f t="shared" si="129"/>
        <v>1.1996864847748376</v>
      </c>
      <c r="V344" s="383">
        <f t="shared" si="130"/>
        <v>16.291578843936374</v>
      </c>
      <c r="W344" s="402"/>
      <c r="X344" s="157">
        <f t="shared" si="131"/>
        <v>44526</v>
      </c>
      <c r="Y344" s="385">
        <f t="shared" si="132"/>
        <v>6.316749902930904</v>
      </c>
      <c r="Z344" s="385">
        <f t="shared" si="133"/>
        <v>6.5727247821785477</v>
      </c>
      <c r="AA344" s="386">
        <f t="shared" si="134"/>
        <v>7.6109174560280266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0.13640834759378528</v>
      </c>
      <c r="AD344" s="231">
        <f>(INDEX(Models!$BJ344:$BT344,,AH344)*(1-AF344)+INDEX(Models!$BJ344:$BT344,,AH344+1)*AF344-ERP_i)*AE344*Ramure*Pc/MaxiM</f>
        <v>4.3736059264707514E-2</v>
      </c>
      <c r="AE344" s="305">
        <f t="shared" si="136"/>
        <v>0.8</v>
      </c>
      <c r="AF344" s="177">
        <f t="shared" si="137"/>
        <v>0.39962005892735863</v>
      </c>
      <c r="AG344" s="809">
        <f t="shared" si="143"/>
        <v>2</v>
      </c>
      <c r="AH344" s="176">
        <f t="shared" si="138"/>
        <v>8</v>
      </c>
      <c r="AI344" s="225">
        <f t="shared" si="139"/>
        <v>2.3996200589273586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6">
        <v>12.4</v>
      </c>
      <c r="C345" s="390"/>
      <c r="D345" s="393">
        <f t="shared" si="122"/>
        <v>12.902791338955968</v>
      </c>
      <c r="E345" s="385">
        <f t="shared" si="120"/>
        <v>13.811769348412827</v>
      </c>
      <c r="F345" s="385">
        <f t="shared" si="123"/>
        <v>13.988831471724708</v>
      </c>
      <c r="G345" s="110">
        <f t="shared" si="121"/>
        <v>0.76283899274572775</v>
      </c>
      <c r="H345" s="414" t="b">
        <f>Wh_hp&gt;='2020'!Maxi_hp</f>
        <v>0</v>
      </c>
      <c r="I345" s="380">
        <f>IF(H345,Wh_hp,'2020'!Maxi_hp)</f>
        <v>16.263070033899286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3.8967640857520955E-2</v>
      </c>
      <c r="M345" s="843"/>
      <c r="N345" s="843"/>
      <c r="O345" s="48">
        <f>IF(t&lt;Tnet,'2020'!Resal+('2020'!Salim-'2020'!Resal)*(1-EXP(('2020'!Tnet-t)/('2020'!Tau_j))),Resal+(Salim-Resal)*(1-EXP((Tnet-t)/(Tau_j))))*Salcycl</f>
        <v>6.5811843980823084E-2</v>
      </c>
      <c r="P345" s="169">
        <f>(INDEX(Models!$BJ345:$BT345,,T345)*(1-R345)+INDEX(Models!$BJ345:$BT345,,T345+1)*R345-ERP_i)*Q345*Ramure*Pc/MaxiM</f>
        <v>1.8943065512609967E-2</v>
      </c>
      <c r="Q345" s="305">
        <f t="shared" si="125"/>
        <v>0.8</v>
      </c>
      <c r="R345" s="177">
        <f t="shared" si="126"/>
        <v>0.19970975070419028</v>
      </c>
      <c r="S345" s="809">
        <f t="shared" si="127"/>
        <v>1</v>
      </c>
      <c r="T345" s="176">
        <f t="shared" si="128"/>
        <v>7</v>
      </c>
      <c r="U345" s="251">
        <f t="shared" si="129"/>
        <v>1.1997097507041903</v>
      </c>
      <c r="V345" s="383">
        <f t="shared" si="130"/>
        <v>16.1515845038106</v>
      </c>
      <c r="W345" s="402"/>
      <c r="X345" s="157">
        <f t="shared" si="131"/>
        <v>44527</v>
      </c>
      <c r="Y345" s="385">
        <f t="shared" si="132"/>
        <v>11.27189253379886</v>
      </c>
      <c r="Z345" s="385">
        <f t="shared" si="133"/>
        <v>11.728941722479224</v>
      </c>
      <c r="AA345" s="386">
        <f t="shared" si="134"/>
        <v>13.582046487773114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0.13643781641905742</v>
      </c>
      <c r="AD345" s="231">
        <f>(INDEX(Models!$BJ345:$BT345,,AH345)*(1-AF345)+INDEX(Models!$BJ345:$BT345,,AH345+1)*AF345-ERP_i)*AE345*Ramure*Pc/MaxiM</f>
        <v>4.35200620912468E-2</v>
      </c>
      <c r="AE345" s="305">
        <f t="shared" si="136"/>
        <v>0.8</v>
      </c>
      <c r="AF345" s="177">
        <f t="shared" si="137"/>
        <v>0.3996433248567115</v>
      </c>
      <c r="AG345" s="809">
        <f t="shared" si="143"/>
        <v>2</v>
      </c>
      <c r="AH345" s="176">
        <f t="shared" si="138"/>
        <v>8</v>
      </c>
      <c r="AI345" s="225">
        <f t="shared" si="139"/>
        <v>2.3996433248567115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6">
        <v>6.4409999999999998</v>
      </c>
      <c r="C346" s="390"/>
      <c r="D346" s="393">
        <f t="shared" si="122"/>
        <v>6.7023254386438733</v>
      </c>
      <c r="E346" s="385">
        <f t="shared" si="120"/>
        <v>7.1757053320674018</v>
      </c>
      <c r="F346" s="385">
        <f t="shared" si="123"/>
        <v>7.1956747712686679</v>
      </c>
      <c r="G346" s="110">
        <f t="shared" si="121"/>
        <v>0.39557864694247435</v>
      </c>
      <c r="H346" s="414" t="b">
        <f>Wh_hp&gt;='2020'!Maxi_hp</f>
        <v>0</v>
      </c>
      <c r="I346" s="380">
        <f>IF(H346,Wh_hp,'2020'!Maxi_hp)</f>
        <v>12.704962668086491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3.899026405628396E-2</v>
      </c>
      <c r="M346" s="843"/>
      <c r="N346" s="843"/>
      <c r="O346" s="48">
        <f>IF(t&lt;Tnet,'2020'!Resal+('2020'!Salim-'2020'!Resal)*(1-EXP(('2020'!Tnet-t)/('2020'!Tau_j))),Resal+(Salim-Resal)*(1-EXP((Tnet-t)/(Tau_j))))*Salcycl</f>
        <v>6.5969806662496119E-2</v>
      </c>
      <c r="P346" s="169">
        <f>(INDEX(Models!$BJ346:$BT346,,T346)*(1-R346)+INDEX(Models!$BJ346:$BT346,,T346+1)*R346-ERP_i)*Q346*Ramure*Pc/MaxiM</f>
        <v>1.9021275961785374E-2</v>
      </c>
      <c r="Q346" s="305">
        <f t="shared" si="125"/>
        <v>0.8</v>
      </c>
      <c r="R346" s="177">
        <f t="shared" si="126"/>
        <v>0.19973208157527189</v>
      </c>
      <c r="S346" s="809">
        <f t="shared" si="127"/>
        <v>1</v>
      </c>
      <c r="T346" s="176">
        <f t="shared" si="128"/>
        <v>7</v>
      </c>
      <c r="U346" s="251">
        <f t="shared" si="129"/>
        <v>1.1997320815752719</v>
      </c>
      <c r="V346" s="383">
        <f t="shared" si="130"/>
        <v>16.017213942621417</v>
      </c>
      <c r="W346" s="402"/>
      <c r="X346" s="157">
        <f t="shared" si="131"/>
        <v>44528</v>
      </c>
      <c r="Y346" s="385">
        <f t="shared" si="132"/>
        <v>5.933720272020798</v>
      </c>
      <c r="Z346" s="385">
        <f t="shared" si="133"/>
        <v>6.1744642640835021</v>
      </c>
      <c r="AA346" s="386">
        <f t="shared" si="134"/>
        <v>7.1502566206150631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0.13646955743074068</v>
      </c>
      <c r="AD346" s="231">
        <f>(INDEX(Models!$BJ346:$BT346,,AH346)*(1-AF346)+INDEX(Models!$BJ346:$BT346,,AH346+1)*AF346-ERP_i)*AE346*Ramure*Pc/MaxiM</f>
        <v>4.3261664413760344E-2</v>
      </c>
      <c r="AE346" s="305">
        <f t="shared" si="136"/>
        <v>0.8</v>
      </c>
      <c r="AF346" s="177">
        <f t="shared" si="137"/>
        <v>0.39966565572779311</v>
      </c>
      <c r="AG346" s="809">
        <f t="shared" si="143"/>
        <v>2</v>
      </c>
      <c r="AH346" s="176">
        <f t="shared" si="138"/>
        <v>8</v>
      </c>
      <c r="AI346" s="225">
        <f t="shared" si="139"/>
        <v>2.3996656557277931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6">
        <v>6.8470000000000004</v>
      </c>
      <c r="C347" s="390"/>
      <c r="D347" s="393">
        <f t="shared" si="122"/>
        <v>7.1249654708596335</v>
      </c>
      <c r="E347" s="385">
        <f t="shared" si="120"/>
        <v>7.6294928333865126</v>
      </c>
      <c r="F347" s="385">
        <f t="shared" si="123"/>
        <v>7.656811479772033</v>
      </c>
      <c r="G347" s="110">
        <f t="shared" si="121"/>
        <v>0.42422499280283177</v>
      </c>
      <c r="H347" s="414" t="b">
        <f>Wh_hp&gt;='2020'!Maxi_hp</f>
        <v>0</v>
      </c>
      <c r="I347" s="380">
        <f>IF(H347,Wh_hp,'2020'!Maxi_hp)</f>
        <v>18.062192612165116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3.9012886728571991E-2</v>
      </c>
      <c r="M347" s="843"/>
      <c r="N347" s="843"/>
      <c r="O347" s="48">
        <f>IF(t&lt;Tnet,'2020'!Resal+('2020'!Salim-'2020'!Resal)*(1-EXP(('2020'!Tnet-t)/('2020'!Tau_j))),Resal+(Salim-Resal)*(1-EXP((Tnet-t)/(Tau_j))))*Salcycl</f>
        <v>6.6128558417287805E-2</v>
      </c>
      <c r="P347" s="169">
        <f>(INDEX(Models!$BJ347:$BT347,,T347)*(1-R347)+INDEX(Models!$BJ347:$BT347,,T347+1)*R347-ERP_i)*Q347*Ramure*Pc/MaxiM</f>
        <v>1.9075034252042739E-2</v>
      </c>
      <c r="Q347" s="305">
        <f t="shared" si="125"/>
        <v>0.8</v>
      </c>
      <c r="R347" s="177">
        <f t="shared" si="126"/>
        <v>0.19975351490262705</v>
      </c>
      <c r="S347" s="809">
        <f t="shared" si="127"/>
        <v>1</v>
      </c>
      <c r="T347" s="176">
        <f t="shared" si="128"/>
        <v>7</v>
      </c>
      <c r="U347" s="251">
        <f t="shared" si="129"/>
        <v>1.199753514902627</v>
      </c>
      <c r="V347" s="383">
        <f t="shared" si="130"/>
        <v>15.888838467434422</v>
      </c>
      <c r="W347" s="402"/>
      <c r="X347" s="157">
        <f t="shared" si="131"/>
        <v>44529</v>
      </c>
      <c r="Y347" s="385">
        <f t="shared" si="132"/>
        <v>6.3026102464700315</v>
      </c>
      <c r="Z347" s="385">
        <f t="shared" si="133"/>
        <v>6.5584753004797864</v>
      </c>
      <c r="AA347" s="386">
        <f t="shared" si="134"/>
        <v>7.5952547330163549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0.13650357611176861</v>
      </c>
      <c r="AD347" s="231">
        <f>(INDEX(Models!$BJ347:$BT347,,AH347)*(1-AF347)+INDEX(Models!$BJ347:$BT347,,AH347+1)*AF347-ERP_i)*AE347*Ramure*Pc/MaxiM</f>
        <v>4.2981523910029594E-2</v>
      </c>
      <c r="AE347" s="305">
        <f t="shared" si="136"/>
        <v>0.8</v>
      </c>
      <c r="AF347" s="177">
        <f t="shared" si="137"/>
        <v>0.39968708905514827</v>
      </c>
      <c r="AG347" s="809">
        <f t="shared" si="143"/>
        <v>2</v>
      </c>
      <c r="AH347" s="176">
        <f t="shared" si="138"/>
        <v>8</v>
      </c>
      <c r="AI347" s="225">
        <f t="shared" si="139"/>
        <v>2.3996870890551483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6">
        <v>14.934000000000001</v>
      </c>
      <c r="C348" s="390"/>
      <c r="D348" s="393">
        <f t="shared" si="122"/>
        <v>15.540636660265584</v>
      </c>
      <c r="E348" s="385">
        <f t="shared" si="120"/>
        <v>16.643931346856299</v>
      </c>
      <c r="F348" s="385">
        <f t="shared" si="123"/>
        <v>16.943177507664462</v>
      </c>
      <c r="G348" s="110">
        <f t="shared" si="121"/>
        <v>0.94578118761784469</v>
      </c>
      <c r="H348" s="414" t="b">
        <f>Wh_hp&gt;='2020'!Maxi_hp</f>
        <v>1</v>
      </c>
      <c r="I348" s="380">
        <f>IF(H348,Wh_hp,'2020'!Maxi_hp)</f>
        <v>16.943177507664462</v>
      </c>
      <c r="J348" s="85">
        <f>IF(H348,An,'2020'!An_max)</f>
        <v>2021</v>
      </c>
      <c r="K348" s="197">
        <f t="shared" si="124"/>
        <v>44530</v>
      </c>
      <c r="L348" s="147">
        <f>IF(t&lt;Tvie,1-EXP((T0-t)*PertePVj)+'2020'!Pspv,1-EXP((T0-t)*PertePVj)+Pspv)</f>
        <v>3.9035508874397482E-2</v>
      </c>
      <c r="M348" s="843"/>
      <c r="N348" s="843"/>
      <c r="O348" s="48">
        <f>IF(t&lt;Tnet,'2020'!Resal+('2020'!Salim-'2020'!Resal)*(1-EXP(('2020'!Tnet-t)/('2020'!Tau_j))),Resal+(Salim-Resal)*(1-EXP((Tnet-t)/(Tau_j))))*Salcycl</f>
        <v>6.6288106072914452E-2</v>
      </c>
      <c r="P348" s="169">
        <f>(INDEX(Models!$BJ348:$BT348,,T348)*(1-R348)+INDEX(Models!$BJ348:$BT348,,T348+1)*R348-ERP_i)*Q348*Ramure*Pc/MaxiM</f>
        <v>1.9103481096222376E-2</v>
      </c>
      <c r="Q348" s="305">
        <f t="shared" si="125"/>
        <v>0.8</v>
      </c>
      <c r="R348" s="177">
        <f t="shared" si="126"/>
        <v>0.19977408670087793</v>
      </c>
      <c r="S348" s="809">
        <f t="shared" si="127"/>
        <v>1</v>
      </c>
      <c r="T348" s="176">
        <f t="shared" si="128"/>
        <v>7</v>
      </c>
      <c r="U348" s="251">
        <f t="shared" si="129"/>
        <v>1.1997740867008779</v>
      </c>
      <c r="V348" s="383">
        <f t="shared" si="130"/>
        <v>15.766947228524256</v>
      </c>
      <c r="W348" s="402"/>
      <c r="X348" s="157">
        <f t="shared" si="131"/>
        <v>44530</v>
      </c>
      <c r="Y348" s="385">
        <f t="shared" si="132"/>
        <v>13.503961487471782</v>
      </c>
      <c r="Z348" s="385">
        <f t="shared" si="133"/>
        <v>14.052508299920888</v>
      </c>
      <c r="AA348" s="386">
        <f t="shared" si="134"/>
        <v>16.274646396303734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0.13653986957821301</v>
      </c>
      <c r="AD348" s="231">
        <f>(INDEX(Models!$BJ348:$BT348,,AH348)*(1-AF348)+INDEX(Models!$BJ348:$BT348,,AH348+1)*AF348-ERP_i)*AE348*Ramure*Pc/MaxiM</f>
        <v>4.267814635825308E-2</v>
      </c>
      <c r="AE348" s="305">
        <f t="shared" si="136"/>
        <v>0.8</v>
      </c>
      <c r="AF348" s="177">
        <f t="shared" si="137"/>
        <v>0.39970766085339893</v>
      </c>
      <c r="AG348" s="809">
        <f t="shared" si="143"/>
        <v>2</v>
      </c>
      <c r="AH348" s="176">
        <f t="shared" si="138"/>
        <v>8</v>
      </c>
      <c r="AI348" s="225">
        <f t="shared" si="139"/>
        <v>2.3997076608533989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6">
        <v>4.0520000000000005</v>
      </c>
      <c r="C349" s="390"/>
      <c r="D349" s="393">
        <f t="shared" si="122"/>
        <v>4.2166962732949598</v>
      </c>
      <c r="E349" s="385">
        <f t="shared" si="120"/>
        <v>4.516832824375947</v>
      </c>
      <c r="F349" s="385">
        <f t="shared" si="123"/>
        <v>4.516832824375947</v>
      </c>
      <c r="G349" s="110">
        <f t="shared" si="121"/>
        <v>0.25393406516915518</v>
      </c>
      <c r="H349" s="414" t="b">
        <f>Wh_hp&gt;='2020'!Maxi_hp</f>
        <v>0</v>
      </c>
      <c r="I349" s="380">
        <f>IF(H349,Wh_hp,'2020'!Maxi_hp)</f>
        <v>17.003353982063814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3.9058130493772644E-2</v>
      </c>
      <c r="M349" s="843"/>
      <c r="N349" s="843"/>
      <c r="O349" s="48">
        <f>IF(t&lt;Tnet,'2020'!Resal+('2020'!Salim-'2020'!Resal)*(1-EXP(('2020'!Tnet-t)/('2020'!Tau_j))),Resal+(Salim-Resal)*(1-EXP((Tnet-t)/(Tau_j))))*Salcycl</f>
        <v>6.6448452433582106E-2</v>
      </c>
      <c r="P349" s="169">
        <f>(INDEX(Models!$BJ349:$BT349,,T349)*(1-R349)+INDEX(Models!$BJ349:$BT349,,T349+1)*R349-ERP_i)*Q349*Ramure*Pc/MaxiM</f>
        <v>1.9105739689127006E-2</v>
      </c>
      <c r="Q349" s="305">
        <f t="shared" si="125"/>
        <v>0.8</v>
      </c>
      <c r="R349" s="177">
        <f t="shared" si="126"/>
        <v>0.19979383154428865</v>
      </c>
      <c r="S349" s="809">
        <f t="shared" si="127"/>
        <v>1</v>
      </c>
      <c r="T349" s="176">
        <f t="shared" si="128"/>
        <v>7</v>
      </c>
      <c r="U349" s="251">
        <f t="shared" si="129"/>
        <v>1.1997938315442886</v>
      </c>
      <c r="V349" s="383">
        <f t="shared" si="130"/>
        <v>15.652029750841173</v>
      </c>
      <c r="W349" s="402"/>
      <c r="X349" s="157">
        <f t="shared" si="131"/>
        <v>44531</v>
      </c>
      <c r="Y349" s="385">
        <f t="shared" si="132"/>
        <v>3.7476068930188746</v>
      </c>
      <c r="Z349" s="385">
        <f t="shared" si="133"/>
        <v>3.8999309031508362</v>
      </c>
      <c r="AA349" s="386">
        <f t="shared" si="134"/>
        <v>4.516832824375947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0.13657842678964835</v>
      </c>
      <c r="AD349" s="231">
        <f>(INDEX(Models!$BJ349:$BT349,,AH349)*(1-AF349)+INDEX(Models!$BJ349:$BT349,,AH349+1)*AF349-ERP_i)*AE349*Ramure*Pc/MaxiM</f>
        <v>4.2350024948616227E-2</v>
      </c>
      <c r="AE349" s="305">
        <f t="shared" si="136"/>
        <v>0.8</v>
      </c>
      <c r="AF349" s="177">
        <f t="shared" si="137"/>
        <v>0.39972740569680987</v>
      </c>
      <c r="AG349" s="809">
        <f t="shared" si="143"/>
        <v>2</v>
      </c>
      <c r="AH349" s="176">
        <f t="shared" si="138"/>
        <v>8</v>
      </c>
      <c r="AI349" s="225">
        <f t="shared" si="139"/>
        <v>2.3997274056968099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6">
        <v>8.07</v>
      </c>
      <c r="C350" s="390"/>
      <c r="D350" s="393">
        <f t="shared" si="122"/>
        <v>8.3982082920344432</v>
      </c>
      <c r="E350" s="385">
        <f t="shared" si="120"/>
        <v>8.9975301431403434</v>
      </c>
      <c r="F350" s="385">
        <f t="shared" si="123"/>
        <v>9.0516021673760747</v>
      </c>
      <c r="G350" s="110">
        <f t="shared" si="121"/>
        <v>0.51230663844498159</v>
      </c>
      <c r="H350" s="414" t="b">
        <f>Wh_hp&gt;='2020'!Maxi_hp</f>
        <v>1</v>
      </c>
      <c r="I350" s="380">
        <f>IF(H350,Wh_hp,'2020'!Maxi_hp)</f>
        <v>9.0516021673760747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3.9080751586709581E-2</v>
      </c>
      <c r="M350" s="843"/>
      <c r="N350" s="843"/>
      <c r="O350" s="48">
        <f>IF(t&lt;Tnet,'2020'!Resal+('2020'!Salim-'2020'!Resal)*(1-EXP(('2020'!Tnet-t)/('2020'!Tau_j))),Resal+(Salim-Resal)*(1-EXP((Tnet-t)/(Tau_j))))*Salcycl</f>
        <v>6.6609596363822007E-2</v>
      </c>
      <c r="P350" s="169">
        <f>(INDEX(Models!$BJ350:$BT350,,T350)*(1-R350)+INDEX(Models!$BJ350:$BT350,,T350+1)*R350-ERP_i)*Q350*Ramure*Pc/MaxiM</f>
        <v>1.9080927192127853E-2</v>
      </c>
      <c r="Q350" s="305">
        <f t="shared" si="125"/>
        <v>0.8</v>
      </c>
      <c r="R350" s="177">
        <f t="shared" si="126"/>
        <v>0.19981278262399482</v>
      </c>
      <c r="S350" s="809">
        <f t="shared" si="127"/>
        <v>1</v>
      </c>
      <c r="T350" s="176">
        <f t="shared" si="128"/>
        <v>7</v>
      </c>
      <c r="U350" s="251">
        <f t="shared" si="129"/>
        <v>1.1998127826239948</v>
      </c>
      <c r="V350" s="383">
        <f t="shared" si="130"/>
        <v>15.544575896854408</v>
      </c>
      <c r="W350" s="402"/>
      <c r="X350" s="157">
        <f t="shared" si="131"/>
        <v>44532</v>
      </c>
      <c r="Y350" s="385">
        <f t="shared" si="132"/>
        <v>7.4108299829932625</v>
      </c>
      <c r="Z350" s="385">
        <f t="shared" si="133"/>
        <v>7.7122297167325256</v>
      </c>
      <c r="AA350" s="386">
        <f t="shared" si="134"/>
        <v>8.9325937918157852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0.13661922880690952</v>
      </c>
      <c r="AD350" s="231">
        <f>(INDEX(Models!$BJ350:$BT350,,AH350)*(1-AF350)+INDEX(Models!$BJ350:$BT350,,AH350+1)*AF350-ERP_i)*AE350*Ramure*Pc/MaxiM</f>
        <v>4.1995656375274297E-2</v>
      </c>
      <c r="AE350" s="305">
        <f t="shared" si="136"/>
        <v>0.8</v>
      </c>
      <c r="AF350" s="177">
        <f t="shared" si="137"/>
        <v>0.39974635677651627</v>
      </c>
      <c r="AG350" s="809">
        <f t="shared" si="143"/>
        <v>2</v>
      </c>
      <c r="AH350" s="176">
        <f t="shared" si="138"/>
        <v>8</v>
      </c>
      <c r="AI350" s="225">
        <f t="shared" si="139"/>
        <v>2.3997463567765163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6">
        <v>11.225</v>
      </c>
      <c r="C351" s="390"/>
      <c r="D351" s="393">
        <f t="shared" si="122"/>
        <v>11.681797682185115</v>
      </c>
      <c r="E351" s="385">
        <f t="shared" si="120"/>
        <v>12.517618240299884</v>
      </c>
      <c r="F351" s="385">
        <f t="shared" si="123"/>
        <v>12.664538267846305</v>
      </c>
      <c r="G351" s="110">
        <f t="shared" si="121"/>
        <v>0.72130758598358624</v>
      </c>
      <c r="H351" s="414" t="b">
        <f>Wh_hp&gt;='2020'!Maxi_hp</f>
        <v>1</v>
      </c>
      <c r="I351" s="380">
        <f>IF(H351,Wh_hp,'2020'!Maxi_hp)</f>
        <v>12.664538267846305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3.9103372153220725E-2</v>
      </c>
      <c r="M351" s="843"/>
      <c r="N351" s="843"/>
      <c r="O351" s="48">
        <f>IF(t&lt;Tnet,'2020'!Resal+('2020'!Salim-'2020'!Resal)*(1-EXP(('2020'!Tnet-t)/('2020'!Tau_j))),Resal+(Salim-Resal)*(1-EXP((Tnet-t)/(Tau_j))))*Salcycl</f>
        <v>6.6771532896240826E-2</v>
      </c>
      <c r="P351" s="169">
        <f>(INDEX(Models!$BJ351:$BT351,,T351)*(1-R351)+INDEX(Models!$BJ351:$BT351,,T351+1)*R351-ERP_i)*Q351*Ramure*Pc/MaxiM</f>
        <v>1.9028167632819875E-2</v>
      </c>
      <c r="Q351" s="305">
        <f t="shared" si="125"/>
        <v>0.8</v>
      </c>
      <c r="R351" s="177">
        <f t="shared" si="126"/>
        <v>0.19983097180299003</v>
      </c>
      <c r="S351" s="809">
        <f t="shared" si="127"/>
        <v>1</v>
      </c>
      <c r="T351" s="176">
        <f t="shared" si="128"/>
        <v>7</v>
      </c>
      <c r="U351" s="251">
        <f t="shared" si="129"/>
        <v>1.19983097180299</v>
      </c>
      <c r="V351" s="383">
        <f t="shared" si="130"/>
        <v>15.445075849821622</v>
      </c>
      <c r="W351" s="402"/>
      <c r="X351" s="157">
        <f t="shared" si="131"/>
        <v>44533</v>
      </c>
      <c r="Y351" s="385">
        <f t="shared" si="132"/>
        <v>10.239678021570132</v>
      </c>
      <c r="Z351" s="385">
        <f t="shared" si="133"/>
        <v>10.656378349995531</v>
      </c>
      <c r="AA351" s="386">
        <f t="shared" si="134"/>
        <v>12.343232227274946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0.13666224909484875</v>
      </c>
      <c r="AD351" s="231">
        <f>(INDEX(Models!$BJ351:$BT351,,AH351)*(1-AF351)+INDEX(Models!$BJ351:$BT351,,AH351+1)*AF351-ERP_i)*AE351*Ramure*Pc/MaxiM</f>
        <v>4.1613558774331406E-2</v>
      </c>
      <c r="AE351" s="305">
        <f t="shared" si="136"/>
        <v>0.8</v>
      </c>
      <c r="AF351" s="177">
        <f t="shared" si="137"/>
        <v>0.39976454595551125</v>
      </c>
      <c r="AG351" s="809">
        <f t="shared" si="143"/>
        <v>2</v>
      </c>
      <c r="AH351" s="176">
        <f t="shared" si="138"/>
        <v>8</v>
      </c>
      <c r="AI351" s="225">
        <f t="shared" si="139"/>
        <v>2.3997645459555113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6">
        <v>5.6770000000000005</v>
      </c>
      <c r="C352" s="390"/>
      <c r="D352" s="393">
        <f t="shared" si="122"/>
        <v>5.9081627288040401</v>
      </c>
      <c r="E352" s="385">
        <f t="shared" si="120"/>
        <v>6.3319897339422875</v>
      </c>
      <c r="F352" s="385">
        <f t="shared" si="123"/>
        <v>6.343968107199518</v>
      </c>
      <c r="G352" s="110">
        <f t="shared" si="121"/>
        <v>0.3634211705846711</v>
      </c>
      <c r="H352" s="414" t="b">
        <f>Wh_hp&gt;='2020'!Maxi_hp</f>
        <v>0</v>
      </c>
      <c r="I352" s="380">
        <f>IF(H352,Wh_hp,'2020'!Maxi_hp)</f>
        <v>10.664758796556411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3.9125992193318179E-2</v>
      </c>
      <c r="M352" s="843"/>
      <c r="N352" s="843"/>
      <c r="O352" s="48">
        <f>IF(t&lt;Tnet,'2020'!Resal+('2020'!Salim-'2020'!Resal)*(1-EXP(('2020'!Tnet-t)/('2020'!Tau_j))),Resal+(Salim-Resal)*(1-EXP((Tnet-t)/(Tau_j))))*Salcycl</f>
        <v>6.693425336215339E-2</v>
      </c>
      <c r="P352" s="169">
        <f>(INDEX(Models!$BJ352:$BT352,,T352)*(1-R352)+INDEX(Models!$BJ352:$BT352,,T352+1)*R352-ERP_i)*Q352*Ramure*Pc/MaxiM</f>
        <v>1.8951341795528188E-2</v>
      </c>
      <c r="Q352" s="305">
        <f t="shared" si="125"/>
        <v>0.8</v>
      </c>
      <c r="R352" s="177">
        <f t="shared" si="126"/>
        <v>0.19984842966895178</v>
      </c>
      <c r="S352" s="809">
        <f t="shared" si="127"/>
        <v>1</v>
      </c>
      <c r="T352" s="176">
        <f t="shared" si="128"/>
        <v>7</v>
      </c>
      <c r="U352" s="251">
        <f t="shared" si="129"/>
        <v>1.1998484296689518</v>
      </c>
      <c r="V352" s="383">
        <f t="shared" si="130"/>
        <v>15.353945982514048</v>
      </c>
      <c r="W352" s="402"/>
      <c r="X352" s="157">
        <f t="shared" si="131"/>
        <v>44534</v>
      </c>
      <c r="Y352" s="385">
        <f t="shared" si="132"/>
        <v>5.2408086374803879</v>
      </c>
      <c r="Z352" s="385">
        <f t="shared" si="133"/>
        <v>5.4542100159865967</v>
      </c>
      <c r="AA352" s="386">
        <f t="shared" si="134"/>
        <v>6.317916261897814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0.1367074538673565</v>
      </c>
      <c r="AD352" s="231">
        <f>(INDEX(Models!$BJ352:$BT352,,AH352)*(1-AF352)+INDEX(Models!$BJ352:$BT352,,AH352+1)*AF352-ERP_i)*AE352*Ramure*Pc/MaxiM</f>
        <v>4.1217401905454636E-2</v>
      </c>
      <c r="AE352" s="305">
        <f t="shared" si="136"/>
        <v>0.8</v>
      </c>
      <c r="AF352" s="177">
        <f t="shared" si="137"/>
        <v>0.399782003821473</v>
      </c>
      <c r="AG352" s="809">
        <f t="shared" si="143"/>
        <v>2</v>
      </c>
      <c r="AH352" s="176">
        <f t="shared" si="138"/>
        <v>8</v>
      </c>
      <c r="AI352" s="225">
        <f t="shared" si="139"/>
        <v>2.399782003821473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6">
        <v>8.2829999999999995</v>
      </c>
      <c r="C353" s="390"/>
      <c r="D353" s="393">
        <f t="shared" si="122"/>
        <v>8.620479817087304</v>
      </c>
      <c r="E353" s="385">
        <f t="shared" si="120"/>
        <v>9.2404962855546628</v>
      </c>
      <c r="F353" s="385">
        <f t="shared" si="123"/>
        <v>9.3012686906760358</v>
      </c>
      <c r="G353" s="110">
        <f t="shared" si="121"/>
        <v>0.53565277640819253</v>
      </c>
      <c r="H353" s="414" t="b">
        <f>Wh_hp&gt;='2020'!Maxi_hp</f>
        <v>0</v>
      </c>
      <c r="I353" s="380">
        <f>IF(H353,Wh_hp,'2020'!Maxi_hp)</f>
        <v>13.372447869111131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3.9148611707014266E-2</v>
      </c>
      <c r="M353" s="843"/>
      <c r="N353" s="843"/>
      <c r="O353" s="48">
        <f>IF(t&lt;Tnet,'2020'!Resal+('2020'!Salim-'2020'!Resal)*(1-EXP(('2020'!Tnet-t)/('2020'!Tau_j))),Resal+(Salim-Resal)*(1-EXP((Tnet-t)/(Tau_j))))*Salcycl</f>
        <v>6.709774554388466E-2</v>
      </c>
      <c r="P353" s="169">
        <f>(INDEX(Models!$BJ353:$BT353,,T353)*(1-R353)+INDEX(Models!$BJ353:$BT353,,T353+1)*R353-ERP_i)*Q353*Ramure*Pc/MaxiM</f>
        <v>1.8869150999642613E-2</v>
      </c>
      <c r="Q353" s="305">
        <f t="shared" si="125"/>
        <v>0.8</v>
      </c>
      <c r="R353" s="177">
        <f t="shared" si="126"/>
        <v>0.19986518558499466</v>
      </c>
      <c r="S353" s="809">
        <f t="shared" si="127"/>
        <v>1</v>
      </c>
      <c r="T353" s="176">
        <f t="shared" si="128"/>
        <v>7</v>
      </c>
      <c r="U353" s="251">
        <f t="shared" si="129"/>
        <v>1.1998651855849947</v>
      </c>
      <c r="V353" s="383">
        <f t="shared" si="130"/>
        <v>15.271374435627587</v>
      </c>
      <c r="W353" s="402"/>
      <c r="X353" s="157">
        <f t="shared" si="131"/>
        <v>44535</v>
      </c>
      <c r="Y353" s="385">
        <f t="shared" si="132"/>
        <v>7.6058760499136655</v>
      </c>
      <c r="Z353" s="385">
        <f t="shared" si="133"/>
        <v>7.9157673523540337</v>
      </c>
      <c r="AA353" s="386">
        <f t="shared" si="134"/>
        <v>9.1697786156448071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0.1367548024715963</v>
      </c>
      <c r="AD353" s="231">
        <f>(INDEX(Models!$BJ353:$BT353,,AH353)*(1-AF353)+INDEX(Models!$BJ353:$BT353,,AH353+1)*AF353-ERP_i)*AE353*Ramure*Pc/MaxiM</f>
        <v>4.0826195306297462E-2</v>
      </c>
      <c r="AE353" s="305">
        <f t="shared" si="136"/>
        <v>0.8</v>
      </c>
      <c r="AF353" s="177">
        <f t="shared" si="137"/>
        <v>0.39979875973751611</v>
      </c>
      <c r="AG353" s="809">
        <f t="shared" si="143"/>
        <v>2</v>
      </c>
      <c r="AH353" s="176">
        <f t="shared" si="138"/>
        <v>8</v>
      </c>
      <c r="AI353" s="225">
        <f t="shared" si="139"/>
        <v>2.3997987597375161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6">
        <v>9.0960000000000001</v>
      </c>
      <c r="C354" s="390"/>
      <c r="D354" s="393">
        <f t="shared" si="122"/>
        <v>9.4668272751377103</v>
      </c>
      <c r="E354" s="385">
        <f t="shared" si="120"/>
        <v>10.149503089497211</v>
      </c>
      <c r="F354" s="385">
        <f t="shared" si="123"/>
        <v>10.231445342760345</v>
      </c>
      <c r="G354" s="110">
        <f t="shared" si="121"/>
        <v>0.59200627893248892</v>
      </c>
      <c r="H354" s="414" t="b">
        <f>Wh_hp&gt;='2020'!Maxi_hp</f>
        <v>0</v>
      </c>
      <c r="I354" s="380">
        <f>IF(H354,Wh_hp,'2020'!Maxi_hp)</f>
        <v>13.343805020579753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3.9171230694321199E-2</v>
      </c>
      <c r="M354" s="843"/>
      <c r="N354" s="843"/>
      <c r="O354" s="48">
        <f>IF(t&lt;Tnet,'2020'!Resal+('2020'!Salim-'2020'!Resal)*(1-EXP(('2020'!Tnet-t)/('2020'!Tau_j))),Resal+(Salim-Resal)*(1-EXP((Tnet-t)/(Tau_j))))*Salcycl</f>
        <v>6.7261993847357787E-2</v>
      </c>
      <c r="P354" s="169">
        <f>(INDEX(Models!$BJ354:$BT354,,T354)*(1-R354)+INDEX(Models!$BJ354:$BT354,,T354+1)*R354-ERP_i)*Q354*Ramure*Pc/MaxiM</f>
        <v>1.878091188032182E-2</v>
      </c>
      <c r="Q354" s="305">
        <f t="shared" si="125"/>
        <v>0.8</v>
      </c>
      <c r="R354" s="177">
        <f t="shared" si="126"/>
        <v>0.19988126773842207</v>
      </c>
      <c r="S354" s="809">
        <f t="shared" si="127"/>
        <v>1</v>
      </c>
      <c r="T354" s="176">
        <f t="shared" si="128"/>
        <v>7</v>
      </c>
      <c r="U354" s="251">
        <f t="shared" si="129"/>
        <v>1.1998812677384221</v>
      </c>
      <c r="V354" s="383">
        <f t="shared" si="130"/>
        <v>15.19785635278037</v>
      </c>
      <c r="W354" s="402"/>
      <c r="X354" s="157">
        <f t="shared" si="131"/>
        <v>44536</v>
      </c>
      <c r="Y354" s="385">
        <f t="shared" si="132"/>
        <v>8.3394563427755699</v>
      </c>
      <c r="Z354" s="385">
        <f t="shared" si="133"/>
        <v>8.6794407174151225</v>
      </c>
      <c r="AA354" s="386">
        <f t="shared" si="134"/>
        <v>10.055008606536461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0.13680424780811454</v>
      </c>
      <c r="AD354" s="231">
        <f>(INDEX(Models!$BJ354:$BT354,,AH354)*(1-AF354)+INDEX(Models!$BJ354:$BT354,,AH354+1)*AF354-ERP_i)*AE354*Ramure*Pc/MaxiM</f>
        <v>4.0438756118062011E-2</v>
      </c>
      <c r="AE354" s="305">
        <f t="shared" si="136"/>
        <v>0.8</v>
      </c>
      <c r="AF354" s="177">
        <f t="shared" si="137"/>
        <v>0.3998148418909433</v>
      </c>
      <c r="AG354" s="809">
        <f t="shared" si="143"/>
        <v>2</v>
      </c>
      <c r="AH354" s="176">
        <f t="shared" si="138"/>
        <v>8</v>
      </c>
      <c r="AI354" s="225">
        <f t="shared" si="139"/>
        <v>2.3998148418909433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6">
        <v>4.7709999999999999</v>
      </c>
      <c r="C355" s="390"/>
      <c r="D355" s="393">
        <f t="shared" si="122"/>
        <v>4.9656218330880764</v>
      </c>
      <c r="E355" s="385">
        <f t="shared" si="120"/>
        <v>5.3246466752713513</v>
      </c>
      <c r="F355" s="385">
        <f t="shared" si="123"/>
        <v>5.3268155485085105</v>
      </c>
      <c r="G355" s="110">
        <f t="shared" si="121"/>
        <v>0.30948800473878146</v>
      </c>
      <c r="H355" s="414" t="b">
        <f>Wh_hp&gt;='2020'!Maxi_hp</f>
        <v>0</v>
      </c>
      <c r="I355" s="380">
        <f>IF(H355,Wh_hp,'2020'!Maxi_hp)</f>
        <v>14.444482654849191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3.9193849155251301E-2</v>
      </c>
      <c r="M355" s="843"/>
      <c r="N355" s="843"/>
      <c r="O355" s="48">
        <f>IF(t&lt;Tnet,'2020'!Resal+('2020'!Salim-'2020'!Resal)*(1-EXP(('2020'!Tnet-t)/('2020'!Tau_j))),Resal+(Salim-Resal)*(1-EXP((Tnet-t)/(Tau_j))))*Salcycl</f>
        <v>6.7426979493428837E-2</v>
      </c>
      <c r="P355" s="169">
        <f>(INDEX(Models!$BJ355:$BT355,,T355)*(1-R355)+INDEX(Models!$BJ355:$BT355,,T355+1)*R355-ERP_i)*Q355*Ramure*Pc/MaxiM</f>
        <v>1.8685951443892478E-2</v>
      </c>
      <c r="Q355" s="305">
        <f t="shared" si="125"/>
        <v>0.8</v>
      </c>
      <c r="R355" s="177">
        <f t="shared" si="126"/>
        <v>0.19989670318756425</v>
      </c>
      <c r="S355" s="809">
        <f t="shared" si="127"/>
        <v>1</v>
      </c>
      <c r="T355" s="176">
        <f t="shared" si="128"/>
        <v>7</v>
      </c>
      <c r="U355" s="251">
        <f t="shared" si="129"/>
        <v>1.1998967031875643</v>
      </c>
      <c r="V355" s="383">
        <f t="shared" si="130"/>
        <v>15.133886607428407</v>
      </c>
      <c r="W355" s="402"/>
      <c r="X355" s="157">
        <f t="shared" si="131"/>
        <v>44537</v>
      </c>
      <c r="Y355" s="385">
        <f t="shared" si="132"/>
        <v>4.4137488775827389</v>
      </c>
      <c r="Z355" s="385">
        <f t="shared" si="133"/>
        <v>4.5937974831886059</v>
      </c>
      <c r="AA355" s="386">
        <f t="shared" si="134"/>
        <v>5.3221665009605896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0.13685573678322949</v>
      </c>
      <c r="AD355" s="231">
        <f>(INDEX(Models!$BJ355:$BT355,,AH355)*(1-AF355)+INDEX(Models!$BJ355:$BT355,,AH355+1)*AF355-ERP_i)*AE355*Ramure*Pc/MaxiM</f>
        <v>4.0053920742095274E-2</v>
      </c>
      <c r="AE355" s="305">
        <f t="shared" si="136"/>
        <v>0.8</v>
      </c>
      <c r="AF355" s="177">
        <f t="shared" si="137"/>
        <v>0.39983027734008569</v>
      </c>
      <c r="AG355" s="809">
        <f t="shared" si="143"/>
        <v>2</v>
      </c>
      <c r="AH355" s="176">
        <f t="shared" si="138"/>
        <v>8</v>
      </c>
      <c r="AI355" s="225">
        <f t="shared" si="139"/>
        <v>2.3998302773400857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6">
        <v>8.4239999999999995</v>
      </c>
      <c r="C356" s="390"/>
      <c r="D356" s="393">
        <f t="shared" si="122"/>
        <v>8.7678438601918653</v>
      </c>
      <c r="E356" s="385">
        <f t="shared" si="120"/>
        <v>9.4034481271784323</v>
      </c>
      <c r="F356" s="385">
        <f t="shared" si="123"/>
        <v>9.4684576775766622</v>
      </c>
      <c r="G356" s="110">
        <f t="shared" si="121"/>
        <v>0.55203115464314079</v>
      </c>
      <c r="H356" s="414" t="b">
        <f>Wh_hp&gt;='2020'!Maxi_hp</f>
        <v>0</v>
      </c>
      <c r="I356" s="380">
        <f>IF(H356,Wh_hp,'2020'!Maxi_hp)</f>
        <v>13.163873636421526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3.9216467089816673E-2</v>
      </c>
      <c r="M356" s="843"/>
      <c r="N356" s="843"/>
      <c r="O356" s="48">
        <f>IF(t&lt;Tnet,'2020'!Resal+('2020'!Salim-'2020'!Resal)*(1-EXP(('2020'!Tnet-t)/('2020'!Tau_j))),Resal+(Salim-Resal)*(1-EXP((Tnet-t)/(Tau_j))))*Salcycl</f>
        <v>6.7592680726286353E-2</v>
      </c>
      <c r="P356" s="169">
        <f>(INDEX(Models!$BJ356:$BT356,,T356)*(1-R356)+INDEX(Models!$BJ356:$BT356,,T356+1)*R356-ERP_i)*Q356*Ramure*Pc/MaxiM</f>
        <v>1.8583614722675883E-2</v>
      </c>
      <c r="Q356" s="305">
        <f t="shared" si="125"/>
        <v>0.8</v>
      </c>
      <c r="R356" s="177">
        <f t="shared" si="126"/>
        <v>0.1999115179067652</v>
      </c>
      <c r="S356" s="809">
        <f t="shared" si="127"/>
        <v>1</v>
      </c>
      <c r="T356" s="176">
        <f t="shared" si="128"/>
        <v>7</v>
      </c>
      <c r="U356" s="251">
        <f t="shared" si="129"/>
        <v>1.1999115179067652</v>
      </c>
      <c r="V356" s="383">
        <f t="shared" si="130"/>
        <v>15.079959784362718</v>
      </c>
      <c r="W356" s="402"/>
      <c r="X356" s="157">
        <f t="shared" si="131"/>
        <v>44538</v>
      </c>
      <c r="Y356" s="385">
        <f t="shared" si="132"/>
        <v>7.7365768897760958</v>
      </c>
      <c r="Z356" s="385">
        <f t="shared" si="133"/>
        <v>8.0523620823748363</v>
      </c>
      <c r="AA356" s="386">
        <f t="shared" si="134"/>
        <v>9.3296813997333512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0.13690921078987991</v>
      </c>
      <c r="AD356" s="231">
        <f>(INDEX(Models!$BJ356:$BT356,,AH356)*(1-AF356)+INDEX(Models!$BJ356:$BT356,,AH356+1)*AF356-ERP_i)*AE356*Ramure*Pc/MaxiM</f>
        <v>3.96705540076671E-2</v>
      </c>
      <c r="AE356" s="305">
        <f t="shared" si="136"/>
        <v>0.8</v>
      </c>
      <c r="AF356" s="177">
        <f t="shared" si="137"/>
        <v>0.39984509205928642</v>
      </c>
      <c r="AG356" s="809">
        <f t="shared" si="143"/>
        <v>2</v>
      </c>
      <c r="AH356" s="176">
        <f t="shared" si="138"/>
        <v>8</v>
      </c>
      <c r="AI356" s="225">
        <f t="shared" si="139"/>
        <v>2.3998450920592864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6">
        <v>6.8100000000000005</v>
      </c>
      <c r="C357" s="390"/>
      <c r="D357" s="393">
        <f t="shared" si="122"/>
        <v>7.0881318027409232</v>
      </c>
      <c r="E357" s="385">
        <f t="shared" si="120"/>
        <v>7.6033261335490057</v>
      </c>
      <c r="F357" s="385">
        <f t="shared" si="123"/>
        <v>7.6341296995712451</v>
      </c>
      <c r="G357" s="110">
        <f t="shared" si="121"/>
        <v>0.44633030117902006</v>
      </c>
      <c r="H357" s="414" t="b">
        <f>Wh_hp&gt;='2020'!Maxi_hp</f>
        <v>0</v>
      </c>
      <c r="I357" s="380">
        <f>IF(H357,Wh_hp,'2020'!Maxi_hp)</f>
        <v>9.5730272396475531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3.923908449802975E-2</v>
      </c>
      <c r="M357" s="843"/>
      <c r="N357" s="843"/>
      <c r="O357" s="48">
        <f>IF(t&lt;Tnet,'2020'!Resal+('2020'!Salim-'2020'!Resal)*(1-EXP(('2020'!Tnet-t)/('2020'!Tau_j))),Resal+(Salim-Resal)*(1-EXP((Tnet-t)/(Tau_j))))*Salcycl</f>
        <v>6.775907303710578E-2</v>
      </c>
      <c r="P357" s="169">
        <f>(INDEX(Models!$BJ357:$BT357,,T357)*(1-R357)+INDEX(Models!$BJ357:$BT357,,T357+1)*R357-ERP_i)*Q357*Ramure*Pc/MaxiM</f>
        <v>1.847327289820595E-2</v>
      </c>
      <c r="Q357" s="305">
        <f t="shared" si="125"/>
        <v>0.8</v>
      </c>
      <c r="R357" s="177">
        <f t="shared" si="126"/>
        <v>0.19992573682959724</v>
      </c>
      <c r="S357" s="809">
        <f t="shared" si="127"/>
        <v>1</v>
      </c>
      <c r="T357" s="176">
        <f t="shared" si="128"/>
        <v>7</v>
      </c>
      <c r="U357" s="251">
        <f t="shared" si="129"/>
        <v>1.1999257368295972</v>
      </c>
      <c r="V357" s="383">
        <f t="shared" si="130"/>
        <v>15.036570151198815</v>
      </c>
      <c r="W357" s="402"/>
      <c r="X357" s="157">
        <f t="shared" si="131"/>
        <v>44539</v>
      </c>
      <c r="Y357" s="385">
        <f t="shared" si="132"/>
        <v>6.2756769306603708</v>
      </c>
      <c r="Z357" s="385">
        <f t="shared" si="133"/>
        <v>6.5319860845728801</v>
      </c>
      <c r="AA357" s="386">
        <f t="shared" si="134"/>
        <v>7.5686190063537593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0.136964606212922</v>
      </c>
      <c r="AD357" s="231">
        <f>(INDEX(Models!$BJ357:$BT357,,AH357)*(1-AF357)+INDEX(Models!$BJ357:$BT357,,AH357+1)*AF357-ERP_i)*AE357*Ramure*Pc/MaxiM</f>
        <v>3.9287558871706929E-2</v>
      </c>
      <c r="AE357" s="305">
        <f t="shared" si="136"/>
        <v>0.8</v>
      </c>
      <c r="AF357" s="177">
        <f t="shared" si="137"/>
        <v>0.39985931098211847</v>
      </c>
      <c r="AG357" s="809">
        <f t="shared" si="143"/>
        <v>2</v>
      </c>
      <c r="AH357" s="176">
        <f t="shared" si="138"/>
        <v>8</v>
      </c>
      <c r="AI357" s="225">
        <f t="shared" si="139"/>
        <v>2.3998593109821185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6">
        <v>2.1550000000000002</v>
      </c>
      <c r="C358" s="390"/>
      <c r="D358" s="393">
        <f t="shared" si="122"/>
        <v>2.2430666114749602</v>
      </c>
      <c r="E358" s="385">
        <f t="shared" si="120"/>
        <v>2.4065330895216932</v>
      </c>
      <c r="F358" s="385">
        <f t="shared" si="123"/>
        <v>2.4065330895216932</v>
      </c>
      <c r="G358" s="110">
        <f t="shared" si="121"/>
        <v>0.14099017443536516</v>
      </c>
      <c r="H358" s="414" t="b">
        <f>Wh_hp&gt;='2020'!Maxi_hp</f>
        <v>0</v>
      </c>
      <c r="I358" s="380">
        <f>IF(H358,Wh_hp,'2020'!Maxi_hp)</f>
        <v>15.549770066457318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3.9261701379902744E-2</v>
      </c>
      <c r="M358" s="843"/>
      <c r="N358" s="843"/>
      <c r="O358" s="48">
        <f>IF(t&lt;Tnet,'2020'!Resal+('2020'!Salim-'2020'!Resal)*(1-EXP(('2020'!Tnet-t)/('2020'!Tau_j))),Resal+(Salim-Resal)*(1-EXP((Tnet-t)/(Tau_j))))*Salcycl</f>
        <v>6.7926129401039051E-2</v>
      </c>
      <c r="P358" s="169">
        <f>(INDEX(Models!$BJ358:$BT358,,T358)*(1-R358)+INDEX(Models!$BJ358:$BT358,,T358+1)*R358-ERP_i)*Q358*Ramure*Pc/MaxiM</f>
        <v>1.8354331749390451E-2</v>
      </c>
      <c r="Q358" s="305">
        <f t="shared" si="125"/>
        <v>0.8</v>
      </c>
      <c r="R358" s="177">
        <f t="shared" si="126"/>
        <v>0.19993938389037069</v>
      </c>
      <c r="S358" s="809">
        <f t="shared" si="127"/>
        <v>1</v>
      </c>
      <c r="T358" s="176">
        <f t="shared" si="128"/>
        <v>7</v>
      </c>
      <c r="U358" s="251">
        <f t="shared" si="129"/>
        <v>1.1999393838903707</v>
      </c>
      <c r="V358" s="383">
        <f t="shared" si="130"/>
        <v>15.004211630717986</v>
      </c>
      <c r="W358" s="402"/>
      <c r="X358" s="157">
        <f t="shared" si="131"/>
        <v>44540</v>
      </c>
      <c r="Y358" s="385">
        <f t="shared" si="132"/>
        <v>1.9952473309626431</v>
      </c>
      <c r="Z358" s="385">
        <f t="shared" si="133"/>
        <v>2.0767854615855379</v>
      </c>
      <c r="AA358" s="386">
        <f t="shared" si="134"/>
        <v>2.4065330895216932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0.1370218549547115</v>
      </c>
      <c r="AD358" s="231">
        <f>(INDEX(Models!$BJ358:$BT358,,AH358)*(1-AF358)+INDEX(Models!$BJ358:$BT358,,AH358+1)*AF358-ERP_i)*AE358*Ramure*Pc/MaxiM</f>
        <v>3.8903886466865351E-2</v>
      </c>
      <c r="AE358" s="305">
        <f t="shared" si="136"/>
        <v>0.8</v>
      </c>
      <c r="AF358" s="177">
        <f t="shared" si="137"/>
        <v>0.39987295804289191</v>
      </c>
      <c r="AG358" s="809">
        <f t="shared" si="143"/>
        <v>2</v>
      </c>
      <c r="AH358" s="176">
        <f t="shared" si="138"/>
        <v>8</v>
      </c>
      <c r="AI358" s="225">
        <f t="shared" si="139"/>
        <v>2.3998729580428919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6">
        <v>8.14</v>
      </c>
      <c r="C359" s="390"/>
      <c r="D359" s="393">
        <f t="shared" si="122"/>
        <v>8.4728501369029274</v>
      </c>
      <c r="E359" s="385">
        <f t="shared" si="120"/>
        <v>9.0919561684642893</v>
      </c>
      <c r="F359" s="385">
        <f t="shared" si="123"/>
        <v>9.1499048518439139</v>
      </c>
      <c r="G359" s="110">
        <f t="shared" si="121"/>
        <v>0.53674442994544291</v>
      </c>
      <c r="H359" s="414" t="b">
        <f>Wh_hp&gt;='2020'!Maxi_hp</f>
        <v>0</v>
      </c>
      <c r="I359" s="380">
        <f>IF(H359,Wh_hp,'2020'!Maxi_hp)</f>
        <v>14.841331638958879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3.9284317735447757E-2</v>
      </c>
      <c r="M359" s="843"/>
      <c r="N359" s="843"/>
      <c r="O359" s="48">
        <f>IF(t&lt;Tnet,'2020'!Resal+('2020'!Salim-'2020'!Resal)*(1-EXP(('2020'!Tnet-t)/('2020'!Tau_j))),Resal+(Salim-Resal)*(1-EXP((Tnet-t)/(Tau_j))))*Salcycl</f>
        <v>6.8093820525526552E-2</v>
      </c>
      <c r="P359" s="169">
        <f>(INDEX(Models!$BJ359:$BT359,,T359)*(1-R359)+INDEX(Models!$BJ359:$BT359,,T359+1)*R359-ERP_i)*Q359*Ramure*Pc/MaxiM</f>
        <v>1.8225493513140741E-2</v>
      </c>
      <c r="Q359" s="305">
        <f t="shared" si="125"/>
        <v>0.8</v>
      </c>
      <c r="R359" s="177">
        <f t="shared" si="126"/>
        <v>0.1999524820640004</v>
      </c>
      <c r="S359" s="809">
        <f t="shared" si="127"/>
        <v>1</v>
      </c>
      <c r="T359" s="176">
        <f t="shared" si="128"/>
        <v>7</v>
      </c>
      <c r="U359" s="251">
        <f t="shared" si="129"/>
        <v>1.1999524820640004</v>
      </c>
      <c r="V359" s="383">
        <f t="shared" si="130"/>
        <v>14.984003089253585</v>
      </c>
      <c r="W359" s="402"/>
      <c r="X359" s="157">
        <f t="shared" si="131"/>
        <v>44541</v>
      </c>
      <c r="Y359" s="385">
        <f t="shared" si="132"/>
        <v>7.4839264961380207</v>
      </c>
      <c r="Z359" s="385">
        <f t="shared" si="133"/>
        <v>7.7899493412007947</v>
      </c>
      <c r="AA359" s="386">
        <f t="shared" si="134"/>
        <v>9.0274386157158713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0.13708088497668994</v>
      </c>
      <c r="AD359" s="231">
        <f>(INDEX(Models!$BJ359:$BT359,,AH359)*(1-AF359)+INDEX(Models!$BJ359:$BT359,,AH359+1)*AF359-ERP_i)*AE359*Ramure*Pc/MaxiM</f>
        <v>3.8516968151086683E-2</v>
      </c>
      <c r="AE359" s="305">
        <f t="shared" si="136"/>
        <v>0.8</v>
      </c>
      <c r="AF359" s="177">
        <f t="shared" si="137"/>
        <v>0.39988605621652162</v>
      </c>
      <c r="AG359" s="809">
        <f t="shared" si="143"/>
        <v>2</v>
      </c>
      <c r="AH359" s="176">
        <f t="shared" si="138"/>
        <v>8</v>
      </c>
      <c r="AI359" s="225">
        <f t="shared" si="139"/>
        <v>2.3998860562165216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6">
        <v>14.808</v>
      </c>
      <c r="C360" s="390"/>
      <c r="D360" s="393">
        <f t="shared" si="122"/>
        <v>15.413872044424634</v>
      </c>
      <c r="E360" s="385">
        <f t="shared" si="120"/>
        <v>16.543141901124578</v>
      </c>
      <c r="F360" s="385">
        <f t="shared" si="123"/>
        <v>16.842886191960798</v>
      </c>
      <c r="G360" s="110">
        <f t="shared" si="121"/>
        <v>0.98847967649870205</v>
      </c>
      <c r="H360" s="414" t="b">
        <f>Wh_hp&gt;='2020'!Maxi_hp</f>
        <v>1</v>
      </c>
      <c r="I360" s="380">
        <f>IF(H360,Wh_hp,'2020'!Maxi_hp)</f>
        <v>16.842886191960798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3.9306933564677224E-2</v>
      </c>
      <c r="M360" s="843"/>
      <c r="N360" s="843"/>
      <c r="O360" s="48">
        <f>IF(t&lt;Tnet,'2020'!Resal+('2020'!Salim-'2020'!Resal)*(1-EXP(('2020'!Tnet-t)/('2020'!Tau_j))),Resal+(Salim-Resal)*(1-EXP((Tnet-t)/(Tau_j))))*Salcycl</f>
        <v>6.8262115107842844E-2</v>
      </c>
      <c r="P360" s="169">
        <f>(INDEX(Models!$BJ360:$BT360,,T360)*(1-R360)+INDEX(Models!$BJ360:$BT360,,T360+1)*R360-ERP_i)*Q360*Ramure*Pc/MaxiM</f>
        <v>1.8086608189417926E-2</v>
      </c>
      <c r="Q360" s="305">
        <f t="shared" si="125"/>
        <v>0.8</v>
      </c>
      <c r="R360" s="177">
        <f t="shared" si="126"/>
        <v>0.19996505340429804</v>
      </c>
      <c r="S360" s="809">
        <f t="shared" si="127"/>
        <v>1</v>
      </c>
      <c r="T360" s="176">
        <f t="shared" si="128"/>
        <v>7</v>
      </c>
      <c r="U360" s="251">
        <f t="shared" si="129"/>
        <v>1.199965053404298</v>
      </c>
      <c r="V360" s="383">
        <f t="shared" si="130"/>
        <v>14.976156286276105</v>
      </c>
      <c r="W360" s="402"/>
      <c r="X360" s="157">
        <f t="shared" si="131"/>
        <v>44542</v>
      </c>
      <c r="Y360" s="385">
        <f t="shared" si="132"/>
        <v>13.437999856890514</v>
      </c>
      <c r="Z360" s="385">
        <f t="shared" si="133"/>
        <v>13.987818093402682</v>
      </c>
      <c r="AA360" s="386">
        <f t="shared" si="134"/>
        <v>16.211024232301547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0.13714162085261566</v>
      </c>
      <c r="AD360" s="231">
        <f>(INDEX(Models!$BJ360:$BT360,,AH360)*(1-AF360)+INDEX(Models!$BJ360:$BT360,,AH360+1)*AF360-ERP_i)*AE360*Ramure*Pc/MaxiM</f>
        <v>3.8126630076164111E-2</v>
      </c>
      <c r="AE360" s="305">
        <f t="shared" si="136"/>
        <v>0.8</v>
      </c>
      <c r="AF360" s="177">
        <f t="shared" si="137"/>
        <v>0.39989862755681926</v>
      </c>
      <c r="AG360" s="809">
        <f t="shared" si="143"/>
        <v>2</v>
      </c>
      <c r="AH360" s="176">
        <f t="shared" si="138"/>
        <v>8</v>
      </c>
      <c r="AI360" s="225">
        <f t="shared" si="139"/>
        <v>2.3998986275568193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6">
        <v>15.384</v>
      </c>
      <c r="C361" s="390"/>
      <c r="D361" s="393">
        <f t="shared" si="122"/>
        <v>16.013816165435301</v>
      </c>
      <c r="E361" s="385">
        <f t="shared" ref="E361:E379" si="144">Wh_pvt/(1-Psa)</f>
        <v>17.190155343669261</v>
      </c>
      <c r="F361" s="385">
        <f t="shared" si="123"/>
        <v>17.504311781575961</v>
      </c>
      <c r="G361" s="110">
        <f t="shared" ref="G361:G379" si="145">+Wh_hp/MaxiM</f>
        <v>1.0269915942232017</v>
      </c>
      <c r="H361" s="414" t="b">
        <f>Wh_hp&gt;='2020'!Maxi_hp</f>
        <v>1</v>
      </c>
      <c r="I361" s="380">
        <f>IF(H361,Wh_hp,'2020'!Maxi_hp)</f>
        <v>17.504311781575961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3.9329548867603245E-2</v>
      </c>
      <c r="M361" s="843"/>
      <c r="N361" s="843"/>
      <c r="O361" s="48">
        <f>IF(t&lt;Tnet,'2020'!Resal+('2020'!Salim-'2020'!Resal)*(1-EXP(('2020'!Tnet-t)/('2020'!Tau_j))),Resal+(Salim-Resal)*(1-EXP((Tnet-t)/(Tau_j))))*Salcycl</f>
        <v>6.8430980099733543E-2</v>
      </c>
      <c r="P361" s="169">
        <f>(INDEX(Models!$BJ361:$BT361,,T361)*(1-R361)+INDEX(Models!$BJ361:$BT361,,T361+1)*R361-ERP_i)*Q361*Ramure*Pc/MaxiM</f>
        <v>1.7947374442756618E-2</v>
      </c>
      <c r="Q361" s="305">
        <f t="shared" si="125"/>
        <v>0.8</v>
      </c>
      <c r="R361" s="177">
        <f t="shared" si="126"/>
        <v>0.19997711908074889</v>
      </c>
      <c r="S361" s="809">
        <f t="shared" si="127"/>
        <v>1</v>
      </c>
      <c r="T361" s="176">
        <f t="shared" si="128"/>
        <v>7</v>
      </c>
      <c r="U361" s="251">
        <f t="shared" si="129"/>
        <v>1.1999771190807489</v>
      </c>
      <c r="V361" s="383">
        <f t="shared" si="130"/>
        <v>14.979674698930895</v>
      </c>
      <c r="W361" s="402"/>
      <c r="X361" s="157">
        <f t="shared" si="131"/>
        <v>44543</v>
      </c>
      <c r="Y361" s="385">
        <f t="shared" si="132"/>
        <v>13.961032548520061</v>
      </c>
      <c r="Z361" s="385">
        <f t="shared" si="133"/>
        <v>14.532592869972632</v>
      </c>
      <c r="AA361" s="386">
        <f t="shared" si="134"/>
        <v>16.843602202626389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0.1372039843290413</v>
      </c>
      <c r="AD361" s="231">
        <f>(INDEX(Models!$BJ361:$BT361,,AH361)*(1-AF361)+INDEX(Models!$BJ361:$BT361,,AH361+1)*AF361-ERP_i)*AE361*Ramure*Pc/MaxiM</f>
        <v>3.7745533054604007E-2</v>
      </c>
      <c r="AE361" s="305">
        <f t="shared" si="136"/>
        <v>0.8</v>
      </c>
      <c r="AF361" s="177">
        <f t="shared" si="137"/>
        <v>0.39991069323327011</v>
      </c>
      <c r="AG361" s="809">
        <f t="shared" si="143"/>
        <v>2</v>
      </c>
      <c r="AH361" s="176">
        <f t="shared" si="138"/>
        <v>8</v>
      </c>
      <c r="AI361" s="225">
        <f t="shared" si="139"/>
        <v>2.3999106932332701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6">
        <v>15.665000000000001</v>
      </c>
      <c r="C362" s="390"/>
      <c r="D362" s="393">
        <f t="shared" si="122"/>
        <v>16.306704087759687</v>
      </c>
      <c r="E362" s="385">
        <f t="shared" si="144"/>
        <v>17.507741848621425</v>
      </c>
      <c r="F362" s="385">
        <f t="shared" si="123"/>
        <v>17.825188760800483</v>
      </c>
      <c r="G362" s="110">
        <f t="shared" si="145"/>
        <v>1.0447725961337018</v>
      </c>
      <c r="H362" s="414" t="b">
        <f>Wh_hp&gt;='2020'!Maxi_hp</f>
        <v>1</v>
      </c>
      <c r="I362" s="380">
        <f>IF(H362,Wh_hp,'2020'!Maxi_hp)</f>
        <v>17.825188760800483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3.9352163644238145E-2</v>
      </c>
      <c r="M362" s="843"/>
      <c r="N362" s="843"/>
      <c r="O362" s="48">
        <f>IF(t&lt;Tnet,'2020'!Resal+('2020'!Salim-'2020'!Resal)*(1-EXP(('2020'!Tnet-t)/('2020'!Tau_j))),Resal+(Salim-Resal)*(1-EXP((Tnet-t)/(Tau_j))))*Salcycl</f>
        <v>6.8600380976962291E-2</v>
      </c>
      <c r="P362" s="169">
        <f>(INDEX(Models!$BJ362:$BT362,,T362)*(1-R362)+INDEX(Models!$BJ362:$BT362,,T362+1)*R362-ERP_i)*Q362*Ramure*Pc/MaxiM</f>
        <v>1.7808894841952885E-2</v>
      </c>
      <c r="Q362" s="305">
        <f t="shared" si="125"/>
        <v>0.8</v>
      </c>
      <c r="R362" s="177">
        <f t="shared" si="126"/>
        <v>0.19998869941383224</v>
      </c>
      <c r="S362" s="809">
        <f t="shared" si="127"/>
        <v>1</v>
      </c>
      <c r="T362" s="176">
        <f t="shared" si="128"/>
        <v>7</v>
      </c>
      <c r="U362" s="251">
        <f t="shared" si="129"/>
        <v>1.1999886994138322</v>
      </c>
      <c r="V362" s="383">
        <f t="shared" si="130"/>
        <v>14.993693419955786</v>
      </c>
      <c r="W362" s="402"/>
      <c r="X362" s="157">
        <f t="shared" si="131"/>
        <v>44544</v>
      </c>
      <c r="Y362" s="385">
        <f t="shared" si="132"/>
        <v>14.2210269462564</v>
      </c>
      <c r="Z362" s="385">
        <f t="shared" si="133"/>
        <v>14.803579842748794</v>
      </c>
      <c r="AA362" s="386">
        <f t="shared" si="134"/>
        <v>17.158953231302231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0.13726789488863725</v>
      </c>
      <c r="AD362" s="231">
        <f>(INDEX(Models!$BJ362:$BT362,,AH362)*(1-AF362)+INDEX(Models!$BJ362:$BT362,,AH362+1)*AF362-ERP_i)*AE362*Ramure*Pc/MaxiM</f>
        <v>3.7376071492907649E-2</v>
      </c>
      <c r="AE362" s="305">
        <f t="shared" si="136"/>
        <v>0.8</v>
      </c>
      <c r="AF362" s="177">
        <f t="shared" si="137"/>
        <v>0.39992227356635368</v>
      </c>
      <c r="AG362" s="809">
        <f t="shared" si="143"/>
        <v>2</v>
      </c>
      <c r="AH362" s="176">
        <f t="shared" si="138"/>
        <v>8</v>
      </c>
      <c r="AI362" s="225">
        <f t="shared" si="139"/>
        <v>2.3999222735663537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6">
        <v>14.529</v>
      </c>
      <c r="C363" s="390"/>
      <c r="D363" s="393">
        <f t="shared" si="122"/>
        <v>15.124524804956438</v>
      </c>
      <c r="E363" s="385">
        <f t="shared" si="144"/>
        <v>16.24145418987197</v>
      </c>
      <c r="F363" s="385">
        <f t="shared" si="123"/>
        <v>16.519834365528535</v>
      </c>
      <c r="G363" s="110">
        <f t="shared" si="145"/>
        <v>0.96667317804291442</v>
      </c>
      <c r="H363" s="414" t="b">
        <f>Wh_hp&gt;='2020'!Maxi_hp</f>
        <v>0</v>
      </c>
      <c r="I363" s="380">
        <f>IF(H363,Wh_hp,'2020'!Maxi_hp)</f>
        <v>16.523910631894243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3.9374777894594135E-2</v>
      </c>
      <c r="M363" s="843"/>
      <c r="N363" s="843"/>
      <c r="O363" s="48">
        <f>IF(t&lt;Tnet,'2020'!Resal+('2020'!Salim-'2020'!Resal)*(1-EXP(('2020'!Tnet-t)/('2020'!Tau_j))),Resal+(Salim-Resal)*(1-EXP((Tnet-t)/(Tau_j))))*Salcycl</f>
        <v>6.8770282011572426E-2</v>
      </c>
      <c r="P363" s="169">
        <f>(INDEX(Models!$BJ363:$BT363,,T363)*(1-R363)+INDEX(Models!$BJ363:$BT363,,T363+1)*R363-ERP_i)*Q363*Ramure*Pc/MaxiM</f>
        <v>1.7672244140122861E-2</v>
      </c>
      <c r="Q363" s="305">
        <f t="shared" si="125"/>
        <v>0.8</v>
      </c>
      <c r="R363" s="177">
        <f t="shared" si="126"/>
        <v>0.19999981390894006</v>
      </c>
      <c r="S363" s="809">
        <f t="shared" si="127"/>
        <v>1</v>
      </c>
      <c r="T363" s="176">
        <f t="shared" si="128"/>
        <v>7</v>
      </c>
      <c r="U363" s="251">
        <f t="shared" si="129"/>
        <v>1.1999998139089401</v>
      </c>
      <c r="V363" s="383">
        <f t="shared" si="130"/>
        <v>15.01734809479294</v>
      </c>
      <c r="W363" s="402"/>
      <c r="X363" s="157">
        <f t="shared" si="131"/>
        <v>44545</v>
      </c>
      <c r="Y363" s="385">
        <f t="shared" si="132"/>
        <v>13.206711081630441</v>
      </c>
      <c r="Z363" s="385">
        <f t="shared" si="133"/>
        <v>13.748036984376949</v>
      </c>
      <c r="AA363" s="386">
        <f t="shared" si="134"/>
        <v>15.936672310695441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0.13733327031199935</v>
      </c>
      <c r="AD363" s="231">
        <f>(INDEX(Models!$BJ363:$BT363,,AH363)*(1-AF363)+INDEX(Models!$BJ363:$BT363,,AH363+1)*AF363-ERP_i)*AE363*Ramure*Pc/MaxiM</f>
        <v>3.702053201870352E-2</v>
      </c>
      <c r="AE363" s="305">
        <f t="shared" si="136"/>
        <v>0.8</v>
      </c>
      <c r="AF363" s="177">
        <f t="shared" si="137"/>
        <v>0.39993338806146106</v>
      </c>
      <c r="AG363" s="809">
        <f t="shared" si="143"/>
        <v>2</v>
      </c>
      <c r="AH363" s="176">
        <f t="shared" si="138"/>
        <v>8</v>
      </c>
      <c r="AI363" s="225">
        <f t="shared" si="139"/>
        <v>2.3999333880614611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6">
        <v>14.901</v>
      </c>
      <c r="C364" s="390"/>
      <c r="D364" s="393">
        <f t="shared" si="122"/>
        <v>15.512137766426891</v>
      </c>
      <c r="E364" s="385">
        <f t="shared" si="144"/>
        <v>16.660739950528949</v>
      </c>
      <c r="F364" s="385">
        <f t="shared" si="123"/>
        <v>16.953885897183909</v>
      </c>
      <c r="G364" s="110">
        <f t="shared" si="145"/>
        <v>0.98986492822329575</v>
      </c>
      <c r="H364" s="414" t="b">
        <f>Wh_hp&gt;='2020'!Maxi_hp</f>
        <v>1</v>
      </c>
      <c r="I364" s="380">
        <f>IF(H364,Wh_hp,'2020'!Maxi_hp)</f>
        <v>16.953885897183909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3.9397391618683539E-2</v>
      </c>
      <c r="M364" s="843"/>
      <c r="N364" s="843"/>
      <c r="O364" s="48">
        <f>IF(t&lt;Tnet,'2020'!Resal+('2020'!Salim-'2020'!Resal)*(1-EXP(('2020'!Tnet-t)/('2020'!Tau_j))),Resal+(Salim-Resal)*(1-EXP((Tnet-t)/(Tau_j))))*Salcycl</f>
        <v>6.8940646544668749E-2</v>
      </c>
      <c r="P364" s="169">
        <f>(INDEX(Models!$BJ364:$BT364,,T364)*(1-R364)+INDEX(Models!$BJ364:$BT364,,T364+1)*R364-ERP_i)*Q364*Ramure*Pc/MaxiM</f>
        <v>1.7538463380139559E-2</v>
      </c>
      <c r="Q364" s="305">
        <f t="shared" si="125"/>
        <v>0.8</v>
      </c>
      <c r="R364" s="177">
        <f t="shared" si="126"/>
        <v>0.20001048128895427</v>
      </c>
      <c r="S364" s="809">
        <f t="shared" si="127"/>
        <v>1</v>
      </c>
      <c r="T364" s="176">
        <f t="shared" si="128"/>
        <v>7</v>
      </c>
      <c r="U364" s="251">
        <f t="shared" si="129"/>
        <v>1.2000104812889543</v>
      </c>
      <c r="V364" s="383">
        <f t="shared" si="130"/>
        <v>15.049774912181347</v>
      </c>
      <c r="W364" s="402"/>
      <c r="X364" s="157">
        <f t="shared" si="131"/>
        <v>44546</v>
      </c>
      <c r="Y364" s="385">
        <f t="shared" si="132"/>
        <v>13.540229341616335</v>
      </c>
      <c r="Z364" s="385">
        <f t="shared" si="133"/>
        <v>14.09555754218967</v>
      </c>
      <c r="AA364" s="386">
        <f t="shared" si="134"/>
        <v>16.340781343854434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0.13740002723365272</v>
      </c>
      <c r="AD364" s="231">
        <f>(INDEX(Models!$BJ364:$BT364,,AH364)*(1-AF364)+INDEX(Models!$BJ364:$BT364,,AH364+1)*AF364-ERP_i)*AE364*Ramure*Pc/MaxiM</f>
        <v>3.6681086262544578E-2</v>
      </c>
      <c r="AE364" s="305">
        <f t="shared" si="136"/>
        <v>0.8</v>
      </c>
      <c r="AF364" s="177">
        <f t="shared" si="137"/>
        <v>0.39994405544147549</v>
      </c>
      <c r="AG364" s="809">
        <f t="shared" si="143"/>
        <v>2</v>
      </c>
      <c r="AH364" s="176">
        <f t="shared" si="138"/>
        <v>8</v>
      </c>
      <c r="AI364" s="225">
        <f t="shared" si="139"/>
        <v>2.3999440554414755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6">
        <v>14.938000000000001</v>
      </c>
      <c r="C365" s="390"/>
      <c r="D365" s="393">
        <f t="shared" si="122"/>
        <v>15.551021335965544</v>
      </c>
      <c r="E365" s="385">
        <f t="shared" si="144"/>
        <v>16.705567087591401</v>
      </c>
      <c r="F365" s="385">
        <f t="shared" si="123"/>
        <v>16.997202859341002</v>
      </c>
      <c r="G365" s="110">
        <f t="shared" si="145"/>
        <v>0.98966735619814894</v>
      </c>
      <c r="H365" s="414" t="b">
        <f>Wh_hp&gt;='2020'!Maxi_hp</f>
        <v>1</v>
      </c>
      <c r="I365" s="380">
        <f>IF(H365,Wh_hp,'2020'!Maxi_hp)</f>
        <v>16.997202859341002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3.9420004816518459E-2</v>
      </c>
      <c r="M365" s="843"/>
      <c r="N365" s="843"/>
      <c r="O365" s="48">
        <f>IF(t&lt;Tnet,'2020'!Resal+('2020'!Salim-'2020'!Resal)*(1-EXP(('2020'!Tnet-t)/('2020'!Tau_j))),Resal+(Salim-Resal)*(1-EXP((Tnet-t)/(Tau_j))))*Salcycl</f>
        <v>6.911143725754941E-2</v>
      </c>
      <c r="P365" s="169">
        <f>(INDEX(Models!$BJ365:$BT365,,T365)*(1-R365)+INDEX(Models!$BJ365:$BT365,,T365+1)*R365-ERP_i)*Q365*Ramure*Pc/MaxiM</f>
        <v>1.7408555481335641E-2</v>
      </c>
      <c r="Q365" s="305">
        <f t="shared" si="125"/>
        <v>0.8</v>
      </c>
      <c r="R365" s="177">
        <f t="shared" si="126"/>
        <v>0.20002071952552924</v>
      </c>
      <c r="S365" s="809">
        <f t="shared" si="127"/>
        <v>1</v>
      </c>
      <c r="T365" s="176">
        <f t="shared" si="128"/>
        <v>7</v>
      </c>
      <c r="U365" s="251">
        <f t="shared" si="129"/>
        <v>1.2000207195255292</v>
      </c>
      <c r="V365" s="383">
        <f t="shared" si="130"/>
        <v>15.090110602040578</v>
      </c>
      <c r="W365" s="402"/>
      <c r="X365" s="157">
        <f t="shared" si="131"/>
        <v>44547</v>
      </c>
      <c r="Y365" s="385">
        <f t="shared" si="132"/>
        <v>13.578037171125294</v>
      </c>
      <c r="Z365" s="385">
        <f t="shared" si="133"/>
        <v>14.135248744725041</v>
      </c>
      <c r="AA365" s="386">
        <f t="shared" si="134"/>
        <v>16.388087727106264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0.13746808168807734</v>
      </c>
      <c r="AD365" s="231">
        <f>(INDEX(Models!$BJ365:$BT365,,AH365)*(1-AF365)+INDEX(Models!$BJ365:$BT365,,AH365+1)*AF365-ERP_i)*AE365*Ramure*Pc/MaxiM</f>
        <v>3.6359787108468919E-2</v>
      </c>
      <c r="AE365" s="305">
        <f t="shared" si="136"/>
        <v>0.8</v>
      </c>
      <c r="AF365" s="177">
        <f t="shared" si="137"/>
        <v>0.39995429367805047</v>
      </c>
      <c r="AG365" s="809">
        <f t="shared" si="143"/>
        <v>2</v>
      </c>
      <c r="AH365" s="176">
        <f t="shared" si="138"/>
        <v>8</v>
      </c>
      <c r="AI365" s="225">
        <f t="shared" si="139"/>
        <v>2.3999542936780505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6">
        <v>15.618</v>
      </c>
      <c r="C366" s="390"/>
      <c r="D366" s="393">
        <f t="shared" si="122"/>
        <v>16.259309734477728</v>
      </c>
      <c r="E366" s="385">
        <f t="shared" si="144"/>
        <v>17.469653002793731</v>
      </c>
      <c r="F366" s="385">
        <f t="shared" si="123"/>
        <v>17.776988276378741</v>
      </c>
      <c r="G366" s="110">
        <f t="shared" si="145"/>
        <v>1.0317480164763841</v>
      </c>
      <c r="H366" s="414" t="b">
        <f>Wh_hp&gt;='2020'!Maxi_hp</f>
        <v>1</v>
      </c>
      <c r="I366" s="380">
        <f>IF(H366,Wh_hp,'2020'!Maxi_hp)</f>
        <v>17.776988276378741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3.9442617488111328E-2</v>
      </c>
      <c r="M366" s="843"/>
      <c r="N366" s="843"/>
      <c r="O366" s="48">
        <f>IF(t&lt;Tnet,'2020'!Resal+('2020'!Salim-'2020'!Resal)*(1-EXP(('2020'!Tnet-t)/('2020'!Tau_j))),Resal+(Salim-Resal)*(1-EXP((Tnet-t)/(Tau_j))))*Salcycl</f>
        <v>6.9282616439058434E-2</v>
      </c>
      <c r="P366" s="169">
        <f>(INDEX(Models!$BJ366:$BT366,,T366)*(1-R366)+INDEX(Models!$BJ366:$BT366,,T366+1)*R366-ERP_i)*Q366*Ramure*Pc/MaxiM</f>
        <v>1.7288376906530494E-2</v>
      </c>
      <c r="Q366" s="305">
        <f t="shared" si="125"/>
        <v>0.8</v>
      </c>
      <c r="R366" s="177">
        <f t="shared" si="126"/>
        <v>0.20003054586913249</v>
      </c>
      <c r="S366" s="809">
        <f t="shared" si="127"/>
        <v>1</v>
      </c>
      <c r="T366" s="176">
        <f t="shared" si="128"/>
        <v>7</v>
      </c>
      <c r="U366" s="251">
        <f t="shared" si="129"/>
        <v>1.2000305458691325</v>
      </c>
      <c r="V366" s="383">
        <f t="shared" si="130"/>
        <v>15.137417034576369</v>
      </c>
      <c r="W366" s="402"/>
      <c r="X366" s="157">
        <f t="shared" si="131"/>
        <v>44548</v>
      </c>
      <c r="Y366" s="385">
        <f t="shared" si="132"/>
        <v>14.19599529098565</v>
      </c>
      <c r="Z366" s="385">
        <f t="shared" si="133"/>
        <v>14.778914356852541</v>
      </c>
      <c r="AA366" s="386">
        <f t="shared" si="134"/>
        <v>17.135715211219047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0.1375373496417277</v>
      </c>
      <c r="AD366" s="231">
        <f>(INDEX(Models!$BJ366:$BT366,,AH366)*(1-AF366)+INDEX(Models!$BJ366:$BT366,,AH366+1)*AF366-ERP_i)*AE366*Ramure*Pc/MaxiM</f>
        <v>3.607321190686677E-2</v>
      </c>
      <c r="AE366" s="305">
        <f t="shared" si="136"/>
        <v>0.8</v>
      </c>
      <c r="AF366" s="177">
        <f t="shared" si="137"/>
        <v>0.39996412002165371</v>
      </c>
      <c r="AG366" s="809">
        <f t="shared" si="143"/>
        <v>2</v>
      </c>
      <c r="AH366" s="176">
        <f t="shared" si="138"/>
        <v>8</v>
      </c>
      <c r="AI366" s="225">
        <f t="shared" si="139"/>
        <v>2.3999641200216537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6">
        <v>15.015000000000001</v>
      </c>
      <c r="C367" s="390"/>
      <c r="D367" s="393">
        <f t="shared" si="122"/>
        <v>15.631917201987909</v>
      </c>
      <c r="E367" s="385">
        <f t="shared" si="144"/>
        <v>16.798653326909257</v>
      </c>
      <c r="F367" s="385">
        <f t="shared" si="123"/>
        <v>17.087258276429306</v>
      </c>
      <c r="G367" s="110">
        <f t="shared" si="145"/>
        <v>0.98813483217935305</v>
      </c>
      <c r="H367" s="414" t="b">
        <f>Wh_hp&gt;='2020'!Maxi_hp</f>
        <v>1</v>
      </c>
      <c r="I367" s="380">
        <f>IF(H367,Wh_hp,'2020'!Maxi_hp)</f>
        <v>17.087258276429306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3.946522963347425E-2</v>
      </c>
      <c r="M367" s="843"/>
      <c r="N367" s="843"/>
      <c r="O367" s="48">
        <f>IF(t&lt;Tnet,'2020'!Resal+('2020'!Salim-'2020'!Resal)*(1-EXP(('2020'!Tnet-t)/('2020'!Tau_j))),Resal+(Salim-Resal)*(1-EXP((Tnet-t)/(Tau_j))))*Salcycl</f>
        <v>6.9454146247091619E-2</v>
      </c>
      <c r="P367" s="169">
        <f>(INDEX(Models!$BJ367:$BT367,,T367)*(1-R367)+INDEX(Models!$BJ367:$BT367,,T367+1)*R367-ERP_i)*Q367*Ramure*Pc/MaxiM</f>
        <v>1.7174166088062361E-2</v>
      </c>
      <c r="Q367" s="305">
        <f t="shared" si="125"/>
        <v>0.8</v>
      </c>
      <c r="R367" s="177">
        <f t="shared" si="126"/>
        <v>0.20003997687789177</v>
      </c>
      <c r="S367" s="809">
        <f t="shared" si="127"/>
        <v>1</v>
      </c>
      <c r="T367" s="176">
        <f t="shared" si="128"/>
        <v>7</v>
      </c>
      <c r="U367" s="251">
        <f t="shared" si="129"/>
        <v>1.2000399768778918</v>
      </c>
      <c r="V367" s="383">
        <f t="shared" si="130"/>
        <v>15.190903597205972</v>
      </c>
      <c r="W367" s="402"/>
      <c r="X367" s="157">
        <f t="shared" si="131"/>
        <v>44549</v>
      </c>
      <c r="Y367" s="385">
        <f t="shared" si="132"/>
        <v>13.655903946556785</v>
      </c>
      <c r="Z367" s="385">
        <f t="shared" si="133"/>
        <v>14.216980340384653</v>
      </c>
      <c r="AA367" s="386">
        <f t="shared" si="134"/>
        <v>16.485514914227931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0.13760774750720131</v>
      </c>
      <c r="AD367" s="231">
        <f>(INDEX(Models!$BJ367:$BT367,,AH367)*(1-AF367)+INDEX(Models!$BJ367:$BT367,,AH367+1)*AF367-ERP_i)*AE367*Ramure*Pc/MaxiM</f>
        <v>3.58082578348764E-2</v>
      </c>
      <c r="AE367" s="305">
        <f t="shared" si="136"/>
        <v>0.8</v>
      </c>
      <c r="AF367" s="177">
        <f t="shared" si="137"/>
        <v>0.39997355103041299</v>
      </c>
      <c r="AG367" s="809">
        <f t="shared" si="143"/>
        <v>2</v>
      </c>
      <c r="AH367" s="176">
        <f t="shared" si="138"/>
        <v>8</v>
      </c>
      <c r="AI367" s="225">
        <f t="shared" si="139"/>
        <v>2.399973551030413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6">
        <v>15.493</v>
      </c>
      <c r="C368" s="390"/>
      <c r="D368" s="393">
        <f t="shared" si="122"/>
        <v>16.129936366661585</v>
      </c>
      <c r="E368" s="385">
        <f t="shared" si="144"/>
        <v>17.337045290710936</v>
      </c>
      <c r="F368" s="385">
        <f t="shared" si="123"/>
        <v>17.638070585315422</v>
      </c>
      <c r="G368" s="110">
        <f t="shared" si="145"/>
        <v>1.0159538380767177</v>
      </c>
      <c r="H368" s="414" t="b">
        <f>Wh_hp&gt;='2020'!Maxi_hp</f>
        <v>1</v>
      </c>
      <c r="I368" s="380">
        <f>IF(H368,Wh_hp,'2020'!Maxi_hp)</f>
        <v>17.638070585315422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3.9487841252619435E-2</v>
      </c>
      <c r="M368" s="843"/>
      <c r="N368" s="843"/>
      <c r="O368" s="48">
        <f>IF(t&lt;Tnet,'2020'!Resal+('2020'!Salim-'2020'!Resal)*(1-EXP(('2020'!Tnet-t)/('2020'!Tau_j))),Resal+(Salim-Resal)*(1-EXP((Tnet-t)/(Tau_j))))*Salcycl</f>
        <v>6.9625988962266266E-2</v>
      </c>
      <c r="P368" s="169">
        <f>(INDEX(Models!$BJ368:$BT368,,T368)*(1-R368)+INDEX(Models!$BJ368:$BT368,,T368+1)*R368-ERP_i)*Q368*Ramure*Pc/MaxiM</f>
        <v>1.7066792716835234E-2</v>
      </c>
      <c r="Q368" s="305">
        <f t="shared" si="125"/>
        <v>0.8</v>
      </c>
      <c r="R368" s="177">
        <f t="shared" si="126"/>
        <v>0.20004902844529782</v>
      </c>
      <c r="S368" s="809">
        <f t="shared" si="127"/>
        <v>1</v>
      </c>
      <c r="T368" s="176">
        <f t="shared" si="128"/>
        <v>7</v>
      </c>
      <c r="U368" s="251">
        <f t="shared" si="129"/>
        <v>1.2000490284452978</v>
      </c>
      <c r="V368" s="383">
        <f t="shared" si="130"/>
        <v>15.249708617991438</v>
      </c>
      <c r="W368" s="402"/>
      <c r="X368" s="157">
        <f t="shared" si="131"/>
        <v>44550</v>
      </c>
      <c r="Y368" s="385">
        <f t="shared" si="132"/>
        <v>14.089482430823537</v>
      </c>
      <c r="Z368" s="385">
        <f t="shared" si="133"/>
        <v>14.66871845661783</v>
      </c>
      <c r="AA368" s="386">
        <f t="shared" si="134"/>
        <v>17.010743949756755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0.13767919263592324</v>
      </c>
      <c r="AD368" s="231">
        <f>(INDEX(Models!$BJ368:$BT368,,AH368)*(1-AF368)+INDEX(Models!$BJ368:$BT368,,AH368+1)*AF368-ERP_i)*AE368*Ramure*Pc/MaxiM</f>
        <v>3.5566624621683356E-2</v>
      </c>
      <c r="AE368" s="305">
        <f t="shared" si="136"/>
        <v>0.8</v>
      </c>
      <c r="AF368" s="177">
        <f t="shared" si="137"/>
        <v>0.39998260259781926</v>
      </c>
      <c r="AG368" s="809">
        <f t="shared" si="143"/>
        <v>2</v>
      </c>
      <c r="AH368" s="176">
        <f t="shared" si="138"/>
        <v>8</v>
      </c>
      <c r="AI368" s="225">
        <f t="shared" si="139"/>
        <v>2.3999826025978193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6">
        <v>12.297000000000001</v>
      </c>
      <c r="C369" s="390"/>
      <c r="D369" s="393">
        <f t="shared" si="122"/>
        <v>12.802846246510267</v>
      </c>
      <c r="E369" s="385">
        <f t="shared" si="144"/>
        <v>13.763513432993534</v>
      </c>
      <c r="F369" s="385">
        <f t="shared" si="123"/>
        <v>13.933405481564634</v>
      </c>
      <c r="G369" s="110">
        <f t="shared" si="145"/>
        <v>0.79916368034822938</v>
      </c>
      <c r="H369" s="414" t="b">
        <f>Wh_hp&gt;='2020'!Maxi_hp</f>
        <v>1</v>
      </c>
      <c r="I369" s="380">
        <f>IF(H369,Wh_hp,'2020'!Maxi_hp)</f>
        <v>13.933405481564634</v>
      </c>
      <c r="J369" s="85">
        <f>IF(H369,An,'2020'!An_max)</f>
        <v>2021</v>
      </c>
      <c r="K369" s="197">
        <f t="shared" si="124"/>
        <v>44551</v>
      </c>
      <c r="L369" s="147">
        <f>IF(t&lt;Tvie,1-EXP((T0-t)*PertePVj)+'2020'!Pspv,1-EXP((T0-t)*PertePVj)+Pspv)</f>
        <v>3.9510452345559319E-2</v>
      </c>
      <c r="M369" s="843"/>
      <c r="N369" s="843"/>
      <c r="O369" s="48">
        <f>IF(t&lt;Tnet,'2020'!Resal+('2020'!Salim-'2020'!Resal)*(1-EXP(('2020'!Tnet-t)/('2020'!Tau_j))),Resal+(Salim-Resal)*(1-EXP((Tnet-t)/(Tau_j))))*Salcycl</f>
        <v>6.9798107231862888E-2</v>
      </c>
      <c r="P369" s="169">
        <f>(INDEX(Models!$BJ369:$BT369,,T369)*(1-R369)+INDEX(Models!$BJ369:$BT369,,T369+1)*R369-ERP_i)*Q369*Ramure*Pc/MaxiM</f>
        <v>1.6967085536801884E-2</v>
      </c>
      <c r="Q369" s="305">
        <f t="shared" si="125"/>
        <v>0.8</v>
      </c>
      <c r="R369" s="177">
        <f t="shared" si="126"/>
        <v>0.20005771582680199</v>
      </c>
      <c r="S369" s="809">
        <f t="shared" si="127"/>
        <v>1</v>
      </c>
      <c r="T369" s="176">
        <f t="shared" si="128"/>
        <v>7</v>
      </c>
      <c r="U369" s="251">
        <f t="shared" si="129"/>
        <v>1.200057715826802</v>
      </c>
      <c r="V369" s="383">
        <f t="shared" si="130"/>
        <v>15.312970961636655</v>
      </c>
      <c r="W369" s="402"/>
      <c r="X369" s="157">
        <f t="shared" si="131"/>
        <v>44551</v>
      </c>
      <c r="Y369" s="385">
        <f t="shared" si="132"/>
        <v>11.246232958992731</v>
      </c>
      <c r="Z369" s="385">
        <f t="shared" si="133"/>
        <v>11.708855121283252</v>
      </c>
      <c r="AA369" s="386">
        <f t="shared" si="134"/>
        <v>13.579445520217236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0.13775160378595933</v>
      </c>
      <c r="AD369" s="231">
        <f>(INDEX(Models!$BJ369:$BT369,,AH369)*(1-AF369)+INDEX(Models!$BJ369:$BT369,,AH369+1)*AF369-ERP_i)*AE369*Ramure*Pc/MaxiM</f>
        <v>3.5349911848705763E-2</v>
      </c>
      <c r="AE369" s="305">
        <f t="shared" si="136"/>
        <v>0.8</v>
      </c>
      <c r="AF369" s="177">
        <f t="shared" si="137"/>
        <v>0.39999128997932321</v>
      </c>
      <c r="AG369" s="809">
        <f t="shared" si="143"/>
        <v>2</v>
      </c>
      <c r="AH369" s="176">
        <f t="shared" si="138"/>
        <v>8</v>
      </c>
      <c r="AI369" s="225">
        <f t="shared" si="139"/>
        <v>2.3999912899793232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6">
        <v>14.571</v>
      </c>
      <c r="C370" s="390"/>
      <c r="D370" s="393">
        <f t="shared" si="122"/>
        <v>15.170746058351424</v>
      </c>
      <c r="E370" s="385">
        <f t="shared" si="144"/>
        <v>16.312112116923014</v>
      </c>
      <c r="F370" s="385">
        <f t="shared" si="123"/>
        <v>16.570747847760565</v>
      </c>
      <c r="G370" s="110">
        <f t="shared" si="145"/>
        <v>0.94618945728161308</v>
      </c>
      <c r="H370" s="414" t="b">
        <f>Wh_hp&gt;='2020'!Maxi_hp</f>
        <v>1</v>
      </c>
      <c r="I370" s="380">
        <f>IF(H370,Wh_hp,'2020'!Maxi_hp)</f>
        <v>16.570747847760565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3.9533062912306002E-2</v>
      </c>
      <c r="M370" s="843"/>
      <c r="N370" s="843"/>
      <c r="O370" s="48">
        <f>IF(t&lt;Tnet,'2020'!Resal+('2020'!Salim-'2020'!Resal)*(1-EXP(('2020'!Tnet-t)/('2020'!Tau_j))),Resal+(Salim-Resal)*(1-EXP((Tnet-t)/(Tau_j))))*Salcycl</f>
        <v>6.9970464302257895E-2</v>
      </c>
      <c r="P370" s="169">
        <f>(INDEX(Models!$BJ370:$BT370,,T370)*(1-R370)+INDEX(Models!$BJ370:$BT370,,T370+1)*R370-ERP_i)*Q370*Ramure*Pc/MaxiM</f>
        <v>1.6875834545053574E-2</v>
      </c>
      <c r="Q370" s="305">
        <f t="shared" si="125"/>
        <v>0.8</v>
      </c>
      <c r="R370" s="177">
        <f t="shared" si="126"/>
        <v>0.2000660536653589</v>
      </c>
      <c r="S370" s="809">
        <f t="shared" si="127"/>
        <v>1</v>
      </c>
      <c r="T370" s="176">
        <f t="shared" si="128"/>
        <v>7</v>
      </c>
      <c r="U370" s="251">
        <f t="shared" si="129"/>
        <v>1.2000660536653589</v>
      </c>
      <c r="V370" s="383">
        <f t="shared" si="130"/>
        <v>15.379830028197476</v>
      </c>
      <c r="W370" s="402"/>
      <c r="X370" s="157">
        <f t="shared" si="131"/>
        <v>44552</v>
      </c>
      <c r="Y370" s="385">
        <f t="shared" si="132"/>
        <v>13.275865479656206</v>
      </c>
      <c r="Z370" s="385">
        <f t="shared" si="133"/>
        <v>13.822303472424551</v>
      </c>
      <c r="AA370" s="386">
        <f t="shared" si="134"/>
        <v>16.031898273870112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0.13782490156183877</v>
      </c>
      <c r="AD370" s="231">
        <f>(INDEX(Models!$BJ370:$BT370,,AH370)*(1-AF370)+INDEX(Models!$BJ370:$BT370,,AH370+1)*AF370-ERP_i)*AE370*Ramure*Pc/MaxiM</f>
        <v>3.5159628656875823E-2</v>
      </c>
      <c r="AE370" s="305">
        <f t="shared" si="136"/>
        <v>0.8</v>
      </c>
      <c r="AF370" s="177">
        <f t="shared" si="137"/>
        <v>0.39999962781788012</v>
      </c>
      <c r="AG370" s="809">
        <f t="shared" si="143"/>
        <v>2</v>
      </c>
      <c r="AH370" s="176">
        <f t="shared" si="138"/>
        <v>8</v>
      </c>
      <c r="AI370" s="225">
        <f t="shared" si="139"/>
        <v>2.3999996278178801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6">
        <v>4.8710000000000004</v>
      </c>
      <c r="C371" s="390"/>
      <c r="D371" s="393">
        <f t="shared" si="122"/>
        <v>5.0716109854860791</v>
      </c>
      <c r="E371" s="385">
        <f t="shared" si="144"/>
        <v>5.4541839419240343</v>
      </c>
      <c r="F371" s="385">
        <f t="shared" si="123"/>
        <v>5.456184966223744</v>
      </c>
      <c r="G371" s="110">
        <f t="shared" si="145"/>
        <v>0.31010566744271967</v>
      </c>
      <c r="H371" s="414" t="b">
        <f>Wh_hp&gt;='2020'!Maxi_hp</f>
        <v>0</v>
      </c>
      <c r="I371" s="380">
        <f>IF(H371,Wh_hp,'2020'!Maxi_hp)</f>
        <v>14.372652723691925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3.9555672952871809E-2</v>
      </c>
      <c r="M371" s="843"/>
      <c r="N371" s="843"/>
      <c r="O371" s="48">
        <f>IF(t&lt;Tnet,'2020'!Resal+('2020'!Salim-'2020'!Resal)*(1-EXP(('2020'!Tnet-t)/('2020'!Tau_j))),Resal+(Salim-Resal)*(1-EXP((Tnet-t)/(Tau_j))))*Salcycl</f>
        <v>7.0143024238195684E-2</v>
      </c>
      <c r="P371" s="169">
        <f>(INDEX(Models!$BJ371:$BT371,,T371)*(1-R371)+INDEX(Models!$BJ371:$BT371,,T371+1)*R371-ERP_i)*Q371*Ramure*Pc/MaxiM</f>
        <v>1.6793677492525791E-2</v>
      </c>
      <c r="Q371" s="305">
        <f t="shared" si="125"/>
        <v>0.8</v>
      </c>
      <c r="R371" s="177">
        <f t="shared" si="126"/>
        <v>0.2000660536653589</v>
      </c>
      <c r="S371" s="809">
        <f t="shared" si="127"/>
        <v>1</v>
      </c>
      <c r="T371" s="176">
        <f t="shared" si="128"/>
        <v>7</v>
      </c>
      <c r="U371" s="251">
        <f t="shared" si="129"/>
        <v>1.2000660536653589</v>
      </c>
      <c r="V371" s="383">
        <f t="shared" si="130"/>
        <v>15.449427582269333</v>
      </c>
      <c r="W371" s="402"/>
      <c r="X371" s="157">
        <f t="shared" si="131"/>
        <v>44553</v>
      </c>
      <c r="Y371" s="385">
        <f t="shared" si="132"/>
        <v>4.5142684039867707</v>
      </c>
      <c r="Z371" s="385">
        <f t="shared" si="133"/>
        <v>4.7001874828766201</v>
      </c>
      <c r="AA371" s="386">
        <f t="shared" si="134"/>
        <v>5.4520149390649362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0.13789900882356368</v>
      </c>
      <c r="AD371" s="231">
        <f>(INDEX(Models!$BJ371:$BT371,,AH371)*(1-AF371)+INDEX(Models!$BJ371:$BT371,,AH371+1)*AF371-ERP_i)*AE371*Ramure*Pc/MaxiM</f>
        <v>3.499712184917611E-2</v>
      </c>
      <c r="AE371" s="305">
        <f t="shared" si="136"/>
        <v>0.8</v>
      </c>
      <c r="AF371" s="177">
        <f t="shared" si="137"/>
        <v>0.39999962781788012</v>
      </c>
      <c r="AG371" s="809">
        <f t="shared" si="143"/>
        <v>2</v>
      </c>
      <c r="AH371" s="176">
        <f t="shared" si="138"/>
        <v>8</v>
      </c>
      <c r="AI371" s="225">
        <f t="shared" si="139"/>
        <v>2.3999996278178801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6">
        <v>10.86</v>
      </c>
      <c r="C372" s="390"/>
      <c r="D372" s="393">
        <f t="shared" si="122"/>
        <v>11.307532724164883</v>
      </c>
      <c r="E372" s="385">
        <f t="shared" si="144"/>
        <v>12.162766821143652</v>
      </c>
      <c r="F372" s="385">
        <f t="shared" si="123"/>
        <v>12.280016128066864</v>
      </c>
      <c r="G372" s="110">
        <f t="shared" si="145"/>
        <v>0.69463391081622761</v>
      </c>
      <c r="H372" s="414" t="b">
        <f>Wh_hp&gt;='2020'!Maxi_hp</f>
        <v>0</v>
      </c>
      <c r="I372" s="380">
        <f>IF(H372,Wh_hp,'2020'!Maxi_hp)</f>
        <v>13.298420047637212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3.9578282467268841E-2</v>
      </c>
      <c r="M372" s="843"/>
      <c r="N372" s="843"/>
      <c r="O372" s="48">
        <f>IF(t&lt;Tnet,'2020'!Resal+('2020'!Salim-'2020'!Resal)*(1-EXP(('2020'!Tnet-t)/('2020'!Tau_j))),Resal+(Salim-Resal)*(1-EXP((Tnet-t)/(Tau_j))))*Salcycl</f>
        <v>7.0315752127389053E-2</v>
      </c>
      <c r="P372" s="169">
        <f>(INDEX(Models!$BJ372:$BT372,,T372)*(1-R372)+INDEX(Models!$BJ372:$BT372,,T372+1)*R372-ERP_i)*Q372*Ramure*Pc/MaxiM</f>
        <v>1.6721434267509806E-2</v>
      </c>
      <c r="Q372" s="305">
        <f t="shared" si="125"/>
        <v>0.8</v>
      </c>
      <c r="R372" s="177">
        <f t="shared" si="126"/>
        <v>0.2000660536653589</v>
      </c>
      <c r="S372" s="809">
        <f t="shared" si="127"/>
        <v>1</v>
      </c>
      <c r="T372" s="176">
        <f t="shared" si="128"/>
        <v>7</v>
      </c>
      <c r="U372" s="251">
        <f t="shared" si="129"/>
        <v>1.2000660536653589</v>
      </c>
      <c r="V372" s="383">
        <f t="shared" si="130"/>
        <v>15.520902576812368</v>
      </c>
      <c r="W372" s="402"/>
      <c r="X372" s="157">
        <f t="shared" si="131"/>
        <v>44554</v>
      </c>
      <c r="Y372" s="385">
        <f t="shared" si="132"/>
        <v>9.9643391841189555</v>
      </c>
      <c r="Z372" s="385">
        <f t="shared" si="133"/>
        <v>10.374962375608057</v>
      </c>
      <c r="AA372" s="386">
        <f t="shared" si="134"/>
        <v>12.035554128367709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0.13797385106229962</v>
      </c>
      <c r="AD372" s="231">
        <f>(INDEX(Models!$BJ372:$BT372,,AH372)*(1-AF372)+INDEX(Models!$BJ372:$BT372,,AH372+1)*AF372-ERP_i)*AE372*Ramure*Pc/MaxiM</f>
        <v>3.486379038087252E-2</v>
      </c>
      <c r="AE372" s="305">
        <f t="shared" si="136"/>
        <v>0.8</v>
      </c>
      <c r="AF372" s="177">
        <f t="shared" si="137"/>
        <v>0.39999962781788012</v>
      </c>
      <c r="AG372" s="809">
        <f t="shared" si="143"/>
        <v>2</v>
      </c>
      <c r="AH372" s="176">
        <f t="shared" si="138"/>
        <v>8</v>
      </c>
      <c r="AI372" s="225">
        <f t="shared" si="139"/>
        <v>2.3999996278178801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6">
        <v>8.2680000000000007</v>
      </c>
      <c r="C373" s="390"/>
      <c r="D373" s="393">
        <f t="shared" si="122"/>
        <v>8.6089209438463214</v>
      </c>
      <c r="E373" s="385">
        <f t="shared" si="144"/>
        <v>9.2617702978181491</v>
      </c>
      <c r="F373" s="385">
        <f t="shared" si="123"/>
        <v>9.3127821695109532</v>
      </c>
      <c r="G373" s="110">
        <f t="shared" si="145"/>
        <v>0.52421603136143802</v>
      </c>
      <c r="H373" s="414" t="b">
        <f>Wh_hp&gt;='2020'!Maxi_hp</f>
        <v>0</v>
      </c>
      <c r="I373" s="380">
        <f>IF(H373,Wh_hp,'2020'!Maxi_hp)</f>
        <v>13.575447760552157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3.9600891455509532E-2</v>
      </c>
      <c r="M373" s="843"/>
      <c r="N373" s="843"/>
      <c r="O373" s="48">
        <f>IF(t&lt;Tnet,'2020'!Resal+('2020'!Salim-'2020'!Resal)*(1-EXP(('2020'!Tnet-t)/('2020'!Tau_j))),Resal+(Salim-Resal)*(1-EXP((Tnet-t)/(Tau_j))))*Salcycl</f>
        <v>7.0488614269090893E-2</v>
      </c>
      <c r="P373" s="169">
        <f>(INDEX(Models!$BJ373:$BT373,,T373)*(1-R373)+INDEX(Models!$BJ373:$BT373,,T373+1)*R373-ERP_i)*Q373*Ramure*Pc/MaxiM</f>
        <v>1.6658239315400423E-2</v>
      </c>
      <c r="Q373" s="305">
        <f t="shared" si="125"/>
        <v>0.8</v>
      </c>
      <c r="R373" s="177">
        <f t="shared" si="126"/>
        <v>0.2000660536653589</v>
      </c>
      <c r="S373" s="809">
        <f t="shared" si="127"/>
        <v>1</v>
      </c>
      <c r="T373" s="176">
        <f t="shared" si="128"/>
        <v>7</v>
      </c>
      <c r="U373" s="251">
        <f t="shared" si="129"/>
        <v>1.2000660536653589</v>
      </c>
      <c r="V373" s="383">
        <f t="shared" si="130"/>
        <v>15.594810142921812</v>
      </c>
      <c r="W373" s="402"/>
      <c r="X373" s="157">
        <f t="shared" si="131"/>
        <v>44555</v>
      </c>
      <c r="Y373" s="385">
        <f t="shared" si="132"/>
        <v>7.6211655395052427</v>
      </c>
      <c r="Z373" s="385">
        <f t="shared" si="133"/>
        <v>7.9354150495363482</v>
      </c>
      <c r="AA373" s="386">
        <f t="shared" si="134"/>
        <v>9.2063450634817698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0.13804935674057456</v>
      </c>
      <c r="AD373" s="231">
        <f>(INDEX(Models!$BJ373:$BT373,,AH373)*(1-AF373)+INDEX(Models!$BJ373:$BT373,,AH373+1)*AF373-ERP_i)*AE373*Ramure*Pc/MaxiM</f>
        <v>3.475768924830297E-2</v>
      </c>
      <c r="AE373" s="305">
        <f t="shared" si="136"/>
        <v>0.8</v>
      </c>
      <c r="AF373" s="177">
        <f t="shared" si="137"/>
        <v>0.39999962781788012</v>
      </c>
      <c r="AG373" s="809">
        <f t="shared" si="143"/>
        <v>2</v>
      </c>
      <c r="AH373" s="176">
        <f t="shared" si="138"/>
        <v>8</v>
      </c>
      <c r="AI373" s="225">
        <f t="shared" si="139"/>
        <v>2.3999996278178801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6">
        <v>9.1</v>
      </c>
      <c r="C374" s="390"/>
      <c r="D374" s="393">
        <f t="shared" si="122"/>
        <v>9.4754505126055033</v>
      </c>
      <c r="E374" s="385">
        <f t="shared" si="144"/>
        <v>10.195909575906494</v>
      </c>
      <c r="F374" s="385">
        <f t="shared" si="123"/>
        <v>10.264228727379841</v>
      </c>
      <c r="G374" s="110">
        <f t="shared" si="145"/>
        <v>0.57482137729998906</v>
      </c>
      <c r="H374" s="414" t="b">
        <f>Wh_hp&gt;='2020'!Maxi_hp</f>
        <v>0</v>
      </c>
      <c r="I374" s="380">
        <f>IF(H374,Wh_hp,'2020'!Maxi_hp)</f>
        <v>16.123708137993617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3.9623499917605984E-2</v>
      </c>
      <c r="M374" s="843"/>
      <c r="N374" s="843"/>
      <c r="O374" s="48">
        <f>IF(t&lt;Tnet,'2020'!Resal+('2020'!Salim-'2020'!Resal)*(1-EXP(('2020'!Tnet-t)/('2020'!Tau_j))),Resal+(Salim-Resal)*(1-EXP((Tnet-t)/(Tau_j))))*Salcycl</f>
        <v>7.0661578345445078E-2</v>
      </c>
      <c r="P374" s="169">
        <f>(INDEX(Models!$BJ374:$BT374,,T374)*(1-R374)+INDEX(Models!$BJ374:$BT374,,T374+1)*R374-ERP_i)*Q374*Ramure*Pc/MaxiM</f>
        <v>1.660243846612431E-2</v>
      </c>
      <c r="Q374" s="305">
        <f t="shared" si="125"/>
        <v>0.8</v>
      </c>
      <c r="R374" s="177">
        <f t="shared" si="126"/>
        <v>0.2000660536653589</v>
      </c>
      <c r="S374" s="809">
        <f t="shared" si="127"/>
        <v>1</v>
      </c>
      <c r="T374" s="176">
        <f t="shared" si="128"/>
        <v>7</v>
      </c>
      <c r="U374" s="251">
        <f t="shared" si="129"/>
        <v>1.2000660536653589</v>
      </c>
      <c r="V374" s="383">
        <f t="shared" si="130"/>
        <v>15.672488307472939</v>
      </c>
      <c r="W374" s="402"/>
      <c r="X374" s="157">
        <f t="shared" si="131"/>
        <v>44556</v>
      </c>
      <c r="Y374" s="385">
        <f t="shared" si="132"/>
        <v>8.3778421003632406</v>
      </c>
      <c r="Z374" s="385">
        <f t="shared" si="133"/>
        <v>8.7234976070785528</v>
      </c>
      <c r="AA374" s="386">
        <f t="shared" si="134"/>
        <v>10.121539943316954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0.13812545759516562</v>
      </c>
      <c r="AD374" s="231">
        <f>(INDEX(Models!$BJ374:$BT374,,AH374)*(1-AF374)+INDEX(Models!$BJ374:$BT374,,AH374+1)*AF374-ERP_i)*AE374*Ramure*Pc/MaxiM</f>
        <v>3.4675222190579988E-2</v>
      </c>
      <c r="AE374" s="305">
        <f t="shared" si="136"/>
        <v>0.8</v>
      </c>
      <c r="AF374" s="177">
        <f t="shared" si="137"/>
        <v>0.39999962781788012</v>
      </c>
      <c r="AG374" s="809">
        <f t="shared" si="143"/>
        <v>2</v>
      </c>
      <c r="AH374" s="176">
        <f t="shared" si="138"/>
        <v>8</v>
      </c>
      <c r="AI374" s="225">
        <f t="shared" si="139"/>
        <v>2.3999996278178801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6">
        <v>8.245000000000001</v>
      </c>
      <c r="C375" s="390"/>
      <c r="D375" s="393">
        <f t="shared" si="122"/>
        <v>8.5853767735267823</v>
      </c>
      <c r="E375" s="385">
        <f t="shared" si="144"/>
        <v>9.2398801106395521</v>
      </c>
      <c r="F375" s="385">
        <f t="shared" si="123"/>
        <v>9.2889557500289168</v>
      </c>
      <c r="G375" s="110">
        <f t="shared" si="145"/>
        <v>0.51742110991206047</v>
      </c>
      <c r="H375" s="414" t="b">
        <f>Wh_hp&gt;='2020'!Maxi_hp</f>
        <v>0</v>
      </c>
      <c r="I375" s="380">
        <f>IF(H375,Wh_hp,'2020'!Maxi_hp)</f>
        <v>16.697654329104385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3.964610785357052E-2</v>
      </c>
      <c r="M375" s="843"/>
      <c r="N375" s="843"/>
      <c r="O375" s="48">
        <f>IF(t&lt;Tnet,'2020'!Resal+('2020'!Salim-'2020'!Resal)*(1-EXP(('2020'!Tnet-t)/('2020'!Tau_j))),Resal+(Salim-Resal)*(1-EXP((Tnet-t)/(Tau_j))))*Salcycl</f>
        <v>7.083461357459829E-2</v>
      </c>
      <c r="P375" s="169">
        <f>(INDEX(Models!$BJ375:$BT375,,T375)*(1-R375)+INDEX(Models!$BJ375:$BT375,,T375+1)*R375-ERP_i)*Q375*Ramure*Pc/MaxiM</f>
        <v>1.6557896322372995E-2</v>
      </c>
      <c r="Q375" s="305">
        <f t="shared" si="125"/>
        <v>0.8</v>
      </c>
      <c r="R375" s="177">
        <f t="shared" si="126"/>
        <v>0.2000660536653589</v>
      </c>
      <c r="S375" s="809">
        <f t="shared" si="127"/>
        <v>1</v>
      </c>
      <c r="T375" s="176">
        <f t="shared" si="128"/>
        <v>7</v>
      </c>
      <c r="U375" s="251">
        <f t="shared" si="129"/>
        <v>1.2000660536653589</v>
      </c>
      <c r="V375" s="383">
        <f t="shared" si="130"/>
        <v>15.754182502511178</v>
      </c>
      <c r="W375" s="402"/>
      <c r="X375" s="157">
        <f t="shared" si="131"/>
        <v>44557</v>
      </c>
      <c r="Y375" s="385">
        <f t="shared" si="132"/>
        <v>7.6028821854011834</v>
      </c>
      <c r="Z375" s="385">
        <f t="shared" si="133"/>
        <v>7.9167505307948893</v>
      </c>
      <c r="AA375" s="386">
        <f t="shared" si="134"/>
        <v>9.1863190068551948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0.1382020889012131</v>
      </c>
      <c r="AD375" s="231">
        <f>(INDEX(Models!$BJ375:$BT375,,AH375)*(1-AF375)+INDEX(Models!$BJ375:$BT375,,AH375+1)*AF375-ERP_i)*AE375*Ramure*Pc/MaxiM</f>
        <v>3.4629167820986663E-2</v>
      </c>
      <c r="AE375" s="305">
        <f t="shared" si="136"/>
        <v>0.8</v>
      </c>
      <c r="AF375" s="177">
        <f t="shared" si="137"/>
        <v>0.39999962781788012</v>
      </c>
      <c r="AG375" s="809">
        <f t="shared" si="143"/>
        <v>2</v>
      </c>
      <c r="AH375" s="176">
        <f t="shared" si="138"/>
        <v>8</v>
      </c>
      <c r="AI375" s="225">
        <f t="shared" si="139"/>
        <v>2.3999996278178801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6">
        <v>5.4279999999999999</v>
      </c>
      <c r="C376" s="390"/>
      <c r="D376" s="393">
        <f t="shared" si="122"/>
        <v>5.6522161531880952</v>
      </c>
      <c r="E376" s="385">
        <f t="shared" si="144"/>
        <v>6.0842442908140697</v>
      </c>
      <c r="F376" s="385">
        <f t="shared" si="123"/>
        <v>6.0903772305657675</v>
      </c>
      <c r="G376" s="110">
        <f t="shared" si="145"/>
        <v>0.33734964738481465</v>
      </c>
      <c r="H376" s="414" t="b">
        <f>Wh_hp&gt;='2020'!Maxi_hp</f>
        <v>0</v>
      </c>
      <c r="I376" s="380">
        <f>IF(H376,Wh_hp,'2020'!Maxi_hp)</f>
        <v>6.7461079528680346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3.9668715263415352E-2</v>
      </c>
      <c r="M376" s="843"/>
      <c r="N376" s="843"/>
      <c r="O376" s="48">
        <f>IF(t&lt;Tnet,'2020'!Resal+('2020'!Salim-'2020'!Resal)*(1-EXP(('2020'!Tnet-t)/('2020'!Tau_j))),Resal+(Salim-Resal)*(1-EXP((Tnet-t)/(Tau_j))))*Salcycl</f>
        <v>7.100769084473578E-2</v>
      </c>
      <c r="P376" s="169">
        <f>(INDEX(Models!$BJ376:$BT376,,T376)*(1-R376)+INDEX(Models!$BJ376:$BT376,,T376+1)*R376-ERP_i)*Q376*Ramure*Pc/MaxiM</f>
        <v>1.6519365780491967E-2</v>
      </c>
      <c r="Q376" s="305">
        <f t="shared" si="125"/>
        <v>0.8</v>
      </c>
      <c r="R376" s="177">
        <f t="shared" si="126"/>
        <v>0.2000660536653589</v>
      </c>
      <c r="S376" s="809">
        <f t="shared" si="127"/>
        <v>1</v>
      </c>
      <c r="T376" s="176">
        <f t="shared" si="128"/>
        <v>7</v>
      </c>
      <c r="U376" s="251">
        <f t="shared" si="129"/>
        <v>1.2000660536653589</v>
      </c>
      <c r="V376" s="383">
        <f t="shared" si="130"/>
        <v>15.840283167284399</v>
      </c>
      <c r="W376" s="402"/>
      <c r="X376" s="157">
        <f t="shared" si="131"/>
        <v>44558</v>
      </c>
      <c r="Y376" s="385">
        <f t="shared" si="132"/>
        <v>5.0293838487842573</v>
      </c>
      <c r="Z376" s="385">
        <f t="shared" si="133"/>
        <v>5.2371342355714239</v>
      </c>
      <c r="AA376" s="386">
        <f t="shared" si="134"/>
        <v>6.0775301848944832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0.13827918969647202</v>
      </c>
      <c r="AD376" s="231">
        <f>(INDEX(Models!$BJ376:$BT376,,AH376)*(1-AF376)+INDEX(Models!$BJ376:$BT376,,AH376+1)*AF376-ERP_i)*AE376*Ramure*Pc/MaxiM</f>
        <v>3.4604130357532639E-2</v>
      </c>
      <c r="AE376" s="305">
        <f t="shared" si="136"/>
        <v>0.8</v>
      </c>
      <c r="AF376" s="177">
        <f t="shared" si="137"/>
        <v>0.39999962781788012</v>
      </c>
      <c r="AG376" s="809">
        <f t="shared" si="143"/>
        <v>2</v>
      </c>
      <c r="AH376" s="176">
        <f t="shared" si="138"/>
        <v>8</v>
      </c>
      <c r="AI376" s="225">
        <f t="shared" si="139"/>
        <v>2.3999996278178801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6">
        <v>4.0330000000000004</v>
      </c>
      <c r="C377" s="390"/>
      <c r="D377" s="393">
        <f t="shared" si="122"/>
        <v>4.1996913003195795</v>
      </c>
      <c r="E377" s="385">
        <f t="shared" si="144"/>
        <v>4.5215379082145351</v>
      </c>
      <c r="F377" s="385">
        <f t="shared" si="123"/>
        <v>4.5215379082145351</v>
      </c>
      <c r="G377" s="110">
        <f t="shared" si="145"/>
        <v>0.24897899451057073</v>
      </c>
      <c r="H377" s="414" t="b">
        <f>Wh_hp&gt;='2020'!Maxi_hp</f>
        <v>0</v>
      </c>
      <c r="I377" s="380">
        <f>IF(H377,Wh_hp,'2020'!Maxi_hp)</f>
        <v>18.884024419131489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3.9691322147152694E-2</v>
      </c>
      <c r="M377" s="843"/>
      <c r="N377" s="843"/>
      <c r="O377" s="48">
        <f>IF(t&lt;Tnet,'2020'!Resal+('2020'!Salim-'2020'!Resal)*(1-EXP(('2020'!Tnet-t)/('2020'!Tau_j))),Resal+(Salim-Resal)*(1-EXP((Tnet-t)/(Tau_j))))*Salcycl</f>
        <v>7.1180782828390937E-2</v>
      </c>
      <c r="P377" s="169">
        <f>(INDEX(Models!$BJ377:$BT377,,T377)*(1-R377)+INDEX(Models!$BJ377:$BT377,,T377+1)*R377-ERP_i)*Q377*Ramure*Pc/MaxiM</f>
        <v>1.6486329414150076E-2</v>
      </c>
      <c r="Q377" s="305">
        <f t="shared" si="125"/>
        <v>0.8</v>
      </c>
      <c r="R377" s="177">
        <f t="shared" si="126"/>
        <v>0.2000660536653589</v>
      </c>
      <c r="S377" s="809">
        <f t="shared" si="127"/>
        <v>1</v>
      </c>
      <c r="T377" s="176">
        <f t="shared" si="128"/>
        <v>7</v>
      </c>
      <c r="U377" s="251">
        <f t="shared" si="129"/>
        <v>1.2000660536653589</v>
      </c>
      <c r="V377" s="383">
        <f t="shared" si="130"/>
        <v>15.931105518639763</v>
      </c>
      <c r="W377" s="402"/>
      <c r="X377" s="157">
        <f t="shared" si="131"/>
        <v>44559</v>
      </c>
      <c r="Y377" s="385">
        <f t="shared" si="132"/>
        <v>3.741317312021307</v>
      </c>
      <c r="Z377" s="385">
        <f t="shared" si="133"/>
        <v>3.8959528309027807</v>
      </c>
      <c r="AA377" s="386">
        <f t="shared" si="134"/>
        <v>4.5215379082145351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0.1383567029649842</v>
      </c>
      <c r="AD377" s="231">
        <f>(INDEX(Models!$BJ377:$BT377,,AH377)*(1-AF377)+INDEX(Models!$BJ377:$BT377,,AH377+1)*AF377-ERP_i)*AE377*Ramure*Pc/MaxiM</f>
        <v>3.4598839747162602E-2</v>
      </c>
      <c r="AE377" s="305">
        <f t="shared" si="136"/>
        <v>0.8</v>
      </c>
      <c r="AF377" s="177">
        <f t="shared" si="137"/>
        <v>0.39999962781788012</v>
      </c>
      <c r="AG377" s="809">
        <f t="shared" si="143"/>
        <v>2</v>
      </c>
      <c r="AH377" s="176">
        <f t="shared" si="138"/>
        <v>8</v>
      </c>
      <c r="AI377" s="225">
        <f t="shared" si="139"/>
        <v>2.3999996278178801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6">
        <v>13.125999999999999</v>
      </c>
      <c r="C378" s="390"/>
      <c r="D378" s="393">
        <f t="shared" si="122"/>
        <v>13.668843472406378</v>
      </c>
      <c r="E378" s="385">
        <f t="shared" si="144"/>
        <v>14.719108758057031</v>
      </c>
      <c r="F378" s="385">
        <f t="shared" si="123"/>
        <v>14.900937721302801</v>
      </c>
      <c r="G378" s="110">
        <f t="shared" si="145"/>
        <v>0.81546626575084569</v>
      </c>
      <c r="H378" s="414" t="b">
        <f>Wh_hp&gt;='2020'!Maxi_hp</f>
        <v>0</v>
      </c>
      <c r="I378" s="380">
        <f>IF(H378,Wh_hp,'2020'!Maxi_hp)</f>
        <v>17.411891706814348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3.9713928504794868E-2</v>
      </c>
      <c r="M378" s="843"/>
      <c r="N378" s="843"/>
      <c r="O378" s="48">
        <f>IF(t&lt;Tnet,'2020'!Resal+('2020'!Salim-'2020'!Resal)*(1-EXP(('2020'!Tnet-t)/('2020'!Tau_j))),Resal+(Salim-Resal)*(1-EXP((Tnet-t)/(Tau_j))))*Salcycl</f>
        <v>7.1353864076570114E-2</v>
      </c>
      <c r="P378" s="169">
        <f>(INDEX(Models!$BJ378:$BT378,,T378)*(1-R378)+INDEX(Models!$BJ378:$BT378,,T378+1)*R378-ERP_i)*Q378*Ramure*Pc/MaxiM</f>
        <v>1.6458282795307522E-2</v>
      </c>
      <c r="Q378" s="305">
        <f t="shared" si="125"/>
        <v>0.8</v>
      </c>
      <c r="R378" s="177">
        <f t="shared" si="126"/>
        <v>0.2000660536653589</v>
      </c>
      <c r="S378" s="809">
        <f t="shared" si="127"/>
        <v>1</v>
      </c>
      <c r="T378" s="176">
        <f t="shared" si="128"/>
        <v>7</v>
      </c>
      <c r="U378" s="251">
        <f t="shared" si="129"/>
        <v>1.2000660536653589</v>
      </c>
      <c r="V378" s="383">
        <f t="shared" si="130"/>
        <v>16.026964345351335</v>
      </c>
      <c r="W378" s="402"/>
      <c r="X378" s="157">
        <f t="shared" si="131"/>
        <v>44560</v>
      </c>
      <c r="Y378" s="385">
        <f t="shared" si="132"/>
        <v>12.011910530300847</v>
      </c>
      <c r="Z378" s="385">
        <f t="shared" si="133"/>
        <v>12.508679326773745</v>
      </c>
      <c r="AA378" s="386">
        <f t="shared" si="134"/>
        <v>14.518548417951862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0.13843457577983204</v>
      </c>
      <c r="AD378" s="231">
        <f>(INDEX(Models!$BJ378:$BT378,,AH378)*(1-AF378)+INDEX(Models!$BJ378:$BT378,,AH378+1)*AF378-ERP_i)*AE378*Ramure*Pc/MaxiM</f>
        <v>3.4612039688879076E-2</v>
      </c>
      <c r="AE378" s="305">
        <f t="shared" si="136"/>
        <v>0.8</v>
      </c>
      <c r="AF378" s="177">
        <f t="shared" si="137"/>
        <v>0.39999962781788012</v>
      </c>
      <c r="AG378" s="809">
        <f t="shared" si="143"/>
        <v>2</v>
      </c>
      <c r="AH378" s="176">
        <f t="shared" si="138"/>
        <v>8</v>
      </c>
      <c r="AI378" s="225">
        <f t="shared" si="139"/>
        <v>2.3999996278178801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6">
        <v>15.454000000000001</v>
      </c>
      <c r="C379" s="390"/>
      <c r="D379" s="393">
        <f t="shared" si="122"/>
        <v>16.093499911838897</v>
      </c>
      <c r="E379" s="385">
        <f t="shared" si="144"/>
        <v>17.33329711340825</v>
      </c>
      <c r="F379" s="385">
        <f t="shared" si="123"/>
        <v>17.60535838608622</v>
      </c>
      <c r="G379" s="110">
        <f t="shared" si="145"/>
        <v>0.95724383828714976</v>
      </c>
      <c r="H379" s="414" t="b">
        <f>Wh_hp&gt;='2020'!Maxi_hp</f>
        <v>1</v>
      </c>
      <c r="I379" s="380">
        <f>IF(H379,Wh_hp,'2020'!Maxi_hp)</f>
        <v>17.60535838608622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3.9736534336354087E-2</v>
      </c>
      <c r="M379" s="843"/>
      <c r="N379" s="843"/>
      <c r="O379" s="48">
        <f>IF(t&lt;Tnet,'2020'!Resal+('2020'!Salim-'2020'!Resal)*(1-EXP(('2020'!Tnet-t)/('2020'!Tau_j))),Resal+(Salim-Resal)*(1-EXP((Tnet-t)/(Tau_j))))*Salcycl</f>
        <v>7.1526911092425802E-2</v>
      </c>
      <c r="P379" s="169">
        <f>(INDEX(Models!$BJ379:$BT379,,T379)*(1-R379)+INDEX(Models!$BJ379:$BT379,,T379+1)*R379-ERP_i)*Q379*Ramure*Pc/MaxiM</f>
        <v>1.6434734241733091E-2</v>
      </c>
      <c r="Q379" s="306">
        <f t="shared" si="125"/>
        <v>0.8</v>
      </c>
      <c r="R379" s="177">
        <f t="shared" si="126"/>
        <v>0.2000660536653589</v>
      </c>
      <c r="S379" s="809">
        <f t="shared" si="127"/>
        <v>1</v>
      </c>
      <c r="T379" s="176">
        <f t="shared" si="128"/>
        <v>7</v>
      </c>
      <c r="U379" s="307">
        <f t="shared" si="129"/>
        <v>1.2000660536653589</v>
      </c>
      <c r="V379" s="383">
        <f t="shared" si="130"/>
        <v>16.128174016821287</v>
      </c>
      <c r="W379" s="402"/>
      <c r="X379" s="157">
        <f t="shared" si="131"/>
        <v>44561</v>
      </c>
      <c r="Y379" s="385">
        <f t="shared" si="132"/>
        <v>14.089707507091996</v>
      </c>
      <c r="Z379" s="385">
        <f t="shared" si="133"/>
        <v>14.672751813331233</v>
      </c>
      <c r="AA379" s="386">
        <f t="shared" si="134"/>
        <v>17.031885235116572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0.13851275940500382</v>
      </c>
      <c r="AD379" s="231">
        <f>(INDEX(Models!$BJ379:$BT379,,AH379)*(1-AF379)+INDEX(Models!$BJ379:$BT379,,AH379+1)*AF379-ERP_i)*AE379*Ramure*Pc/MaxiM</f>
        <v>3.4642486003920961E-2</v>
      </c>
      <c r="AE379" s="306">
        <f t="shared" si="136"/>
        <v>0.8</v>
      </c>
      <c r="AF379" s="177">
        <f t="shared" si="137"/>
        <v>0.39999962781788012</v>
      </c>
      <c r="AG379" s="809">
        <f t="shared" si="143"/>
        <v>2</v>
      </c>
      <c r="AH379" s="176">
        <f t="shared" si="138"/>
        <v>8</v>
      </c>
      <c r="AI379" s="222">
        <f t="shared" si="139"/>
        <v>2.3999996278178801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5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11.335499542840072</v>
      </c>
      <c r="J380" s="85">
        <f>IF(H380,An,'2020'!An_max)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1.671</v>
      </c>
      <c r="C381" s="375"/>
      <c r="D381" s="373">
        <f>MIN(D15:D380)</f>
        <v>1.7386323970607394</v>
      </c>
      <c r="E381" s="373">
        <f>MIN(E15:E380)</f>
        <v>1.8601814139841262</v>
      </c>
      <c r="F381" s="374">
        <f>MIN(F15:F380)</f>
        <v>1.8601814139841262</v>
      </c>
      <c r="G381" s="125">
        <f>+MIN(G15:G380)</f>
        <v>9.8842262678635565E-2</v>
      </c>
      <c r="H381" s="94"/>
      <c r="I381" s="374">
        <f>MIN(I15:I380)</f>
        <v>6.7461079528680346</v>
      </c>
      <c r="J381" s="57">
        <f>MIN(J15:J380)</f>
        <v>2018</v>
      </c>
      <c r="K381" s="200" t="s">
        <v>7</v>
      </c>
      <c r="L381" s="146">
        <f t="shared" ref="L381:T381" si="146">MIN(L15:L380)</f>
        <v>3.147315764531293E-2</v>
      </c>
      <c r="M381" s="845"/>
      <c r="N381" s="845"/>
      <c r="O381" s="47">
        <f t="shared" si="146"/>
        <v>1.8126319159287287E-2</v>
      </c>
      <c r="P381" s="168">
        <f t="shared" si="146"/>
        <v>1.3728266819883958E-3</v>
      </c>
      <c r="Q381" s="310">
        <f t="shared" si="146"/>
        <v>0.8</v>
      </c>
      <c r="R381" s="311">
        <f t="shared" si="146"/>
        <v>6.5179970759166039E-4</v>
      </c>
      <c r="S381" s="809">
        <f t="shared" si="146"/>
        <v>0</v>
      </c>
      <c r="T381" s="176">
        <f t="shared" si="146"/>
        <v>6</v>
      </c>
      <c r="U381" s="252">
        <f>+MIN(U15:U380)</f>
        <v>0.60006758130876403</v>
      </c>
      <c r="V381" s="57">
        <f>MIN(V15:V380)</f>
        <v>14.976156286276105</v>
      </c>
      <c r="W381" s="58"/>
      <c r="X381" s="112" t="s">
        <v>7</v>
      </c>
      <c r="Y381" s="373">
        <f>MIN(Y15:Y380)</f>
        <v>1.5440404076270073</v>
      </c>
      <c r="Z381" s="373">
        <f>MIN(Z15:Z380)</f>
        <v>1.6065342160809004</v>
      </c>
      <c r="AA381" s="373">
        <f>MIN(AA15:AA380)</f>
        <v>1.8601814139841262</v>
      </c>
      <c r="AB381" s="200" t="s">
        <v>7</v>
      </c>
      <c r="AC381" s="47">
        <f t="shared" ref="AC381:AH381" si="147">MIN(AC15:AC380)</f>
        <v>0.10553674568272284</v>
      </c>
      <c r="AD381" s="168">
        <f t="shared" si="147"/>
        <v>5.7647528521280952E-3</v>
      </c>
      <c r="AE381" s="310">
        <f t="shared" si="147"/>
        <v>0.8</v>
      </c>
      <c r="AF381" s="311">
        <f t="shared" si="147"/>
        <v>4.2934714031677146E-3</v>
      </c>
      <c r="AG381" s="809">
        <f t="shared" si="147"/>
        <v>1</v>
      </c>
      <c r="AH381" s="176">
        <f t="shared" si="147"/>
        <v>7</v>
      </c>
      <c r="AI381" s="226">
        <f>MIN(AI15:AI380)</f>
        <v>1.8000011554612851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26.581287671232872</v>
      </c>
      <c r="C382" s="375"/>
      <c r="D382" s="375">
        <f>AVERAGE(D15:D380)</f>
        <v>27.558179161139133</v>
      </c>
      <c r="E382" s="375">
        <f>AVERAGE(E15:E380)</f>
        <v>29.313129919698643</v>
      </c>
      <c r="F382" s="376">
        <f>AVERAGE(F15:F380)</f>
        <v>29.463235762265654</v>
      </c>
      <c r="G382" s="126">
        <f>AVERAGE(G15:G380)</f>
        <v>0.69181456009186759</v>
      </c>
      <c r="H382" s="94"/>
      <c r="I382" s="376">
        <f>AVERAGE(I15:I380)</f>
        <v>38.186112947878676</v>
      </c>
      <c r="J382" s="59">
        <f>AVERAGE(J15:J380)</f>
        <v>2019.7814207650274</v>
      </c>
      <c r="K382" s="200" t="s">
        <v>8</v>
      </c>
      <c r="L382" s="147">
        <f t="shared" ref="L382:V382" si="148">AVERAGE(L15:L380)</f>
        <v>3.5610663152204222E-2</v>
      </c>
      <c r="M382" s="843"/>
      <c r="N382" s="843"/>
      <c r="O382" s="48">
        <f t="shared" si="148"/>
        <v>6.6212768458725813E-2</v>
      </c>
      <c r="P382" s="169">
        <f t="shared" si="148"/>
        <v>8.9524744861485105E-3</v>
      </c>
      <c r="Q382" s="312">
        <f t="shared" si="148"/>
        <v>0.80000000000000548</v>
      </c>
      <c r="R382" s="177">
        <f t="shared" si="148"/>
        <v>0.42085940455705095</v>
      </c>
      <c r="S382" s="809">
        <f t="shared" si="148"/>
        <v>0.51506849315068493</v>
      </c>
      <c r="T382" s="176">
        <f t="shared" si="148"/>
        <v>6.515068493150685</v>
      </c>
      <c r="U382" s="251">
        <f t="shared" si="148"/>
        <v>0.93592789770773677</v>
      </c>
      <c r="V382" s="59">
        <f t="shared" si="148"/>
        <v>37.316909292771733</v>
      </c>
      <c r="X382" s="112" t="s">
        <v>8</v>
      </c>
      <c r="Y382" s="375">
        <f>AVERAGE(Y15:Y380)</f>
        <v>24.546092914875601</v>
      </c>
      <c r="Z382" s="375">
        <f>AVERAGE(Z15:Z380)</f>
        <v>25.446750837682792</v>
      </c>
      <c r="AA382" s="375">
        <f>AVERAGE(AA15:AA380)</f>
        <v>29.031542871395931</v>
      </c>
      <c r="AB382" s="200" t="s">
        <v>8</v>
      </c>
      <c r="AC382" s="48">
        <f t="shared" ref="AC382:AH382" si="149">AVERAGE(AC15:AC380)</f>
        <v>0.12391862333138878</v>
      </c>
      <c r="AD382" s="169">
        <f t="shared" si="149"/>
        <v>2.4591759400419556E-2</v>
      </c>
      <c r="AE382" s="312">
        <f t="shared" si="149"/>
        <v>0.80000000000000548</v>
      </c>
      <c r="AF382" s="177">
        <f t="shared" si="149"/>
        <v>0.53038201980546351</v>
      </c>
      <c r="AG382" s="809">
        <f t="shared" si="149"/>
        <v>1.6054794520547946</v>
      </c>
      <c r="AH382" s="176">
        <f t="shared" si="149"/>
        <v>7.6054794520547944</v>
      </c>
      <c r="AI382" s="225">
        <f>AVERAGE(AI15:AI380)</f>
        <v>2.1358614718602578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57.863</v>
      </c>
      <c r="C383" s="377"/>
      <c r="D383" s="377">
        <f>MAX(D15:D380)</f>
        <v>59.965921340501772</v>
      </c>
      <c r="E383" s="377">
        <f>MAX(E15:E380)</f>
        <v>61.863368580615628</v>
      </c>
      <c r="F383" s="378">
        <f>MAX(F15:F380)</f>
        <v>62.080946405327232</v>
      </c>
      <c r="G383" s="127">
        <f>+MAX(G15:G380)</f>
        <v>1.0460558502059991</v>
      </c>
      <c r="H383" s="94"/>
      <c r="I383" s="378">
        <f>MAX(I15:I380)</f>
        <v>64.737412852018437</v>
      </c>
      <c r="J383" s="60">
        <f>MAX(J15:J380)</f>
        <v>2021</v>
      </c>
      <c r="K383" s="200" t="s">
        <v>9</v>
      </c>
      <c r="L383" s="148">
        <f t="shared" ref="L383:T383" si="150">MAX(L15:L380)</f>
        <v>3.9736534336354087E-2</v>
      </c>
      <c r="M383" s="846"/>
      <c r="N383" s="846"/>
      <c r="O383" s="49">
        <f t="shared" si="150"/>
        <v>0.11348979200054544</v>
      </c>
      <c r="P383" s="170">
        <f t="shared" si="150"/>
        <v>2.2916845511422763E-2</v>
      </c>
      <c r="Q383" s="313">
        <f t="shared" si="150"/>
        <v>0.8</v>
      </c>
      <c r="R383" s="314">
        <f t="shared" si="150"/>
        <v>0.995135681206331</v>
      </c>
      <c r="S383" s="810">
        <f t="shared" si="150"/>
        <v>1</v>
      </c>
      <c r="T383" s="233">
        <f t="shared" si="150"/>
        <v>7</v>
      </c>
      <c r="U383" s="253">
        <f>+MAX(U15:U380)</f>
        <v>1.2000660536653589</v>
      </c>
      <c r="V383" s="60">
        <f>MAX(V15:V380)</f>
        <v>58.288380445507798</v>
      </c>
      <c r="X383" s="112" t="s">
        <v>9</v>
      </c>
      <c r="Y383" s="377">
        <f>MAX(Y15:Y380)</f>
        <v>52.033309624662408</v>
      </c>
      <c r="Z383" s="377">
        <f>MAX(Z15:Z380)</f>
        <v>53.924361889955236</v>
      </c>
      <c r="AA383" s="377">
        <f>MAX(AA15:AA380)</f>
        <v>61.467085254492702</v>
      </c>
      <c r="AB383" s="200" t="s">
        <v>9</v>
      </c>
      <c r="AC383" s="49">
        <f t="shared" ref="AC383:AH383" si="151">MAX(AC15:AC380)</f>
        <v>0.13851275940500382</v>
      </c>
      <c r="AD383" s="170">
        <f t="shared" si="151"/>
        <v>5.4646503393962105E-2</v>
      </c>
      <c r="AE383" s="313">
        <f t="shared" si="151"/>
        <v>0.8</v>
      </c>
      <c r="AF383" s="314">
        <f t="shared" si="151"/>
        <v>0.99877735290190728</v>
      </c>
      <c r="AG383" s="810">
        <f t="shared" si="151"/>
        <v>2</v>
      </c>
      <c r="AH383" s="233">
        <f t="shared" si="151"/>
        <v>8</v>
      </c>
      <c r="AI383" s="227">
        <f>MAX(AI15:AI380)</f>
        <v>2.3999996278178801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6" priority="7" stopIfTrue="1" operator="lessThan">
      <formula>0.01</formula>
    </cfRule>
    <cfRule type="cellIs" dxfId="15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5" sqref="A385:XFD38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4">
        <f>'2021'!An+1</f>
        <v>2022</v>
      </c>
      <c r="K1" s="1275"/>
      <c r="L1" s="113" t="str">
        <f>"Calcul pertes et enveloppes en "&amp;TEXT(An,0)</f>
        <v>Calcul pertes et enveloppes en 2022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258</v>
      </c>
      <c r="AK2" s="833" t="s">
        <v>260</v>
      </c>
      <c r="AL2" s="833" t="s">
        <v>259</v>
      </c>
      <c r="AM2" s="833" t="s">
        <v>261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4">
        <f>Tmaj</f>
        <v>44947</v>
      </c>
      <c r="F3" s="1284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1.8932963474937472</v>
      </c>
      <c r="AL3" s="831"/>
      <c r="AM3" s="832"/>
      <c r="AN3" s="830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7" t="str">
        <f>Station</f>
        <v>Maternelle Labège</v>
      </c>
      <c r="F4" s="1218"/>
      <c r="G4" s="1218"/>
      <c r="H4" s="1218"/>
      <c r="I4" s="1219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495.68019326629633</v>
      </c>
      <c r="AK4" s="832">
        <f>AM12-AK12</f>
        <v>63.020770543059399</v>
      </c>
      <c r="AL4" s="831"/>
      <c r="AM4" s="832"/>
      <c r="AN4" s="830" t="s">
        <v>268</v>
      </c>
    </row>
    <row r="5" spans="1:40" s="35" customFormat="1" ht="16.5" customHeight="1" x14ac:dyDescent="0.25">
      <c r="D5" s="161" t="s">
        <v>20</v>
      </c>
      <c r="E5" s="1285">
        <f>T0</f>
        <v>43313</v>
      </c>
      <c r="F5" s="1285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495.28300504935737</v>
      </c>
      <c r="AA5" s="237">
        <f>Wh_Pvg_s-Wh_Pvg</f>
        <v>64.954744971390653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3.4965000000000006</v>
      </c>
      <c r="AK5" s="515">
        <f>SUMIF(AK15:AK380,"VRAI",Wh)</f>
        <v>163.02849999999998</v>
      </c>
      <c r="AL5" s="515">
        <f>SUMIF(AJ15:AJ380,"VRAI",Wh_s)</f>
        <v>0</v>
      </c>
      <c r="AM5" s="515">
        <f>SUMIF(AK15:AK380,"VRAI",Wh_s)</f>
        <v>146.09525185128734</v>
      </c>
      <c r="AN5" s="830" t="s">
        <v>264</v>
      </c>
    </row>
    <row r="6" spans="1:40" s="6" customFormat="1" ht="16.5" customHeight="1" x14ac:dyDescent="0.2">
      <c r="B6" s="8"/>
      <c r="C6" s="8"/>
      <c r="D6" s="161" t="s">
        <v>11</v>
      </c>
      <c r="E6" s="1286">
        <f>Tservice</f>
        <v>43340</v>
      </c>
      <c r="F6" s="1286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9206.9295000000002</v>
      </c>
      <c r="AK6" s="515">
        <f>SUMIF(AK15:AK380,"FAUX",Wh)</f>
        <v>9047.3975000000009</v>
      </c>
      <c r="AL6" s="515">
        <f>SUMIF(AJ15:AJ380,"FAUX",Wh_s)</f>
        <v>8633.1699194597877</v>
      </c>
      <c r="AM6" s="515">
        <f>SUMIF(AK15:AK380,"FAUX",Wh_s)</f>
        <v>8487.0746676085</v>
      </c>
      <c r="AN6" s="830" t="s">
        <v>265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179.22479884024392</v>
      </c>
      <c r="AL7" s="515">
        <f>SUMIF(AJ15:AJ380,"VRAI",Wh_pvt_s)</f>
        <v>0</v>
      </c>
      <c r="AM7" s="515">
        <f>SUMIF(AK15:AK380,"VRAI",Wh_sa_s)</f>
        <v>176.72176211103991</v>
      </c>
      <c r="AN7" s="830" t="s">
        <v>256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2" t="s">
        <v>102</v>
      </c>
      <c r="Y8" s="127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9675.0932941323244</v>
      </c>
      <c r="AK8" s="515">
        <f>SUMIF(AK15:AK380,"FAUX",Wh_sa)</f>
        <v>10594.919847848849</v>
      </c>
      <c r="AL8" s="515">
        <f>SUMIF(AJ15:AJ380,"FAUX",Wh_pvt_s)</f>
        <v>9072.4171076224211</v>
      </c>
      <c r="AM8" s="515">
        <f>SUMIF(AK15:AK380,"FAUX",Wh_sa_s)</f>
        <v>10515.67793199152</v>
      </c>
      <c r="AN8" s="830" t="s">
        <v>257</v>
      </c>
    </row>
    <row r="9" spans="1:40" s="19" customFormat="1" ht="15" customHeight="1" x14ac:dyDescent="0.25">
      <c r="A9" s="34"/>
      <c r="B9" s="210"/>
      <c r="C9" s="210"/>
      <c r="D9" s="184">
        <f>SUM(D$15:D$380)</f>
        <v>9675.0932941323244</v>
      </c>
      <c r="E9" s="184">
        <f>SUM(E$15:E$380)</f>
        <v>10774.144646689097</v>
      </c>
      <c r="F9" s="184">
        <f>SUM(F$15:F$380)</f>
        <v>10796.211095101049</v>
      </c>
      <c r="H9" s="1276">
        <f>+SUM(Wh)</f>
        <v>9210.4259999999995</v>
      </c>
      <c r="I9" s="1277"/>
      <c r="J9" s="1278"/>
      <c r="K9" s="191"/>
      <c r="L9" s="232"/>
      <c r="M9" s="232"/>
      <c r="N9" s="232"/>
      <c r="O9" s="223">
        <f>Tnet_2022</f>
        <v>44562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0">
        <f>+SUM(Wh_s)</f>
        <v>8633.1699194597877</v>
      </c>
      <c r="Y9" s="1271"/>
      <c r="Z9" s="515">
        <f>SUM(Z$15:Z$380)</f>
        <v>9072.4171076224211</v>
      </c>
      <c r="AA9" s="515">
        <f>SUM(AA$15:AA$380)</f>
        <v>10692.39969410256</v>
      </c>
      <c r="AB9" s="515">
        <f>F9</f>
        <v>10796.211095101049</v>
      </c>
      <c r="AC9" s="325">
        <f>IF(An_Tnet,Tnet,'2021'!Tnet_s)</f>
        <v>44562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181.346404343487</v>
      </c>
      <c r="AL9" s="515">
        <f>SUMIF(AJ15:AJ380,"VRAI",Wh_sa_s)</f>
        <v>0</v>
      </c>
      <c r="AM9" s="515">
        <f>SUMIF(AK15:AK380,"VRAI",Wh_hp)</f>
        <v>181.346404343487</v>
      </c>
      <c r="AN9" s="830" t="s">
        <v>262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7.1658892900852852E-2</v>
      </c>
      <c r="P10" s="420" t="b">
        <f>NOT(Acti_tai)</f>
        <v>0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IF(OR(Inflex,GainD),'2021'!Resal_s+('2021'!Salim-'2021'!Resal_s)*(1-EXP(('2021'!Tnet_s-Tnet)/('2021'!Tau_j))),IF(Acti_net,'2021'!Resal+('2021'!Salim-'2021'!Resal)*(1-EXP(('2021'!Tnet-Tnet)/'2021'!Tau_j)),'2021'!Resal_s))</f>
        <v>0.13851194071439366</v>
      </c>
      <c r="AD10" s="427"/>
      <c r="AE10" s="427"/>
      <c r="AF10" s="260"/>
      <c r="AG10" s="261"/>
      <c r="AH10" s="262"/>
      <c r="AI10" s="472"/>
      <c r="AJ10" s="515">
        <f>SUMIF(AJ15:AJ380,"FAUX",Wh_sa)</f>
        <v>10774.144646689097</v>
      </c>
      <c r="AK10" s="515">
        <f>SUMIF(AK15:AK380,"FAUX",Wh_hp)</f>
        <v>10614.86469075756</v>
      </c>
      <c r="AL10" s="515">
        <f>SUMIF(AJ15:AJ380,"FAUX",Wh_sa_s)</f>
        <v>10692.39969410256</v>
      </c>
      <c r="AM10" s="515">
        <f>SUMIF(AK15:AK380,"FAUX",Wh_hp)</f>
        <v>10614.86469075756</v>
      </c>
      <c r="AN10" s="830" t="s">
        <v>263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464.66729413232497</v>
      </c>
      <c r="E11" s="51">
        <f>(E$9-D$9)*Prod_an/D$9</f>
        <v>1046.2670328009367</v>
      </c>
      <c r="F11" s="186">
        <f>(F$9-E$9)*Prod_an/E$9</f>
        <v>18.863807461834444</v>
      </c>
      <c r="G11" s="185" t="s">
        <v>6</v>
      </c>
      <c r="K11" s="194"/>
      <c r="L11" s="211">
        <f>Tvie_2022</f>
        <v>44743</v>
      </c>
      <c r="M11" s="842"/>
      <c r="N11" s="842"/>
      <c r="O11" s="202">
        <f>IF(An_Tnet,Salim_2022,'2021'!Salim)</f>
        <v>0.17</v>
      </c>
      <c r="P11" s="256">
        <f>Ttai_2022</f>
        <v>44576</v>
      </c>
      <c r="Q11" s="272">
        <f>Dens_2022</f>
        <v>0.8</v>
      </c>
      <c r="R11" s="277"/>
      <c r="S11" s="230"/>
      <c r="T11" s="230"/>
      <c r="U11" s="266">
        <f>Htf_2022</f>
        <v>0</v>
      </c>
      <c r="V11" s="19"/>
      <c r="W11" s="834"/>
      <c r="X11" s="235" t="s">
        <v>43</v>
      </c>
      <c r="Y11" s="50">
        <f>Z$9-Prod_an_s</f>
        <v>439.24718816263339</v>
      </c>
      <c r="Z11" s="51">
        <f>(AA$9-Z$9)*Prod_an_s/Z$9</f>
        <v>1541.5500378502941</v>
      </c>
      <c r="AA11" s="186">
        <f>(AB$9-AA$9)*Prod_an_s/AA$9</f>
        <v>83.818552433225094</v>
      </c>
      <c r="AB11" s="185" t="s">
        <v>6</v>
      </c>
      <c r="AC11" s="325"/>
      <c r="AD11" s="19"/>
      <c r="AE11" s="272">
        <f>IF(Acti_tai,IF(GainD,Dd_s,Dd)+PousD*Croi_tai,"NA")</f>
        <v>0.8</v>
      </c>
      <c r="AF11" s="247"/>
      <c r="AG11" s="247"/>
      <c r="AH11" s="247"/>
      <c r="AI11" s="266">
        <f>IF(Acti_tai,IF(GainD,Hdd_s,Hdd)+PousH*Croi_tai,"NA")</f>
        <v>1.2007167471649034</v>
      </c>
      <c r="AJ11" s="831">
        <f>IF($AJ7=0,0,($AJ9-$AJ7)*$AJ5/$AJ7)</f>
        <v>0</v>
      </c>
      <c r="AK11" s="832">
        <f>IF($AK7=0,0,($AK9-$AK7)*$AK5/$AK7)</f>
        <v>1.9298789287177465</v>
      </c>
      <c r="AL11" s="831">
        <f>IF($AL7=0,0,($AL9-$AL7)*$AL5/$AL7)</f>
        <v>0</v>
      </c>
      <c r="AM11" s="832">
        <f>IF($AM7=0,0,($AM9-$AM7)*$AM5/$AM7)</f>
        <v>3.8231752762114937</v>
      </c>
      <c r="AN11" s="830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4.5954003629650408E-2</v>
      </c>
      <c r="K12" s="191"/>
      <c r="L12" s="212">
        <f>Pspv_2022</f>
        <v>2.1111111111111112E-2</v>
      </c>
      <c r="M12" s="212"/>
      <c r="N12" s="212"/>
      <c r="O12" s="205">
        <f>IF(An_Tnet,Tau_2022*365,'2021'!Tau_j)</f>
        <v>510.99999999999994</v>
      </c>
      <c r="P12" s="281">
        <f>INDEX(Croivg,MIN(MAX(Ttai-$A$15,0)+1,366))</f>
        <v>1.0844891659074879E-3</v>
      </c>
      <c r="Q12" s="280">
        <f>'2021'!Df</f>
        <v>0.8</v>
      </c>
      <c r="R12" s="278"/>
      <c r="S12" s="279"/>
      <c r="T12" s="279"/>
      <c r="U12" s="267">
        <f>'2021'!Hdf</f>
        <v>1.2000660536653589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'2021'!Df_s</f>
        <v>0.8</v>
      </c>
      <c r="AF12" s="203"/>
      <c r="AG12" s="203"/>
      <c r="AH12" s="203"/>
      <c r="AI12" s="297">
        <f>'2021'!Hdf_s</f>
        <v>2.3999996278178801</v>
      </c>
      <c r="AJ12" s="831">
        <f>IF($AJ8=0,0,($AJ10-$AJ8)*$AJ6/$AJ8)</f>
        <v>1045.8698445839977</v>
      </c>
      <c r="AK12" s="832">
        <f>IF($AK8=0,0,($AK10-$AK8)*$AK6/$AK8)</f>
        <v>17.031645775669258</v>
      </c>
      <c r="AL12" s="831">
        <f>IF($AL8=0,0,($AL10-$AL8)*$AL6/$AL8)</f>
        <v>1541.5500378502941</v>
      </c>
      <c r="AM12" s="832">
        <f>IF($AM8=0,0,($AM10-$AM8)*$AM6/$AM8)</f>
        <v>80.05241631872866</v>
      </c>
      <c r="AN12" s="830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202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206</v>
      </c>
      <c r="AJ13" s="73">
        <f>+AJ11+AJ12</f>
        <v>1045.8698445839977</v>
      </c>
      <c r="AK13" s="73">
        <f>+AK11+AK12</f>
        <v>18.961524704387003</v>
      </c>
      <c r="AL13" s="73">
        <f>+AL11+AL12</f>
        <v>1541.5500378502941</v>
      </c>
      <c r="AM13" s="73">
        <f>+AM11+AM12</f>
        <v>83.875591594940147</v>
      </c>
      <c r="AN13" s="829" t="s">
        <v>271</v>
      </c>
    </row>
    <row r="14" spans="1:40" s="46" customFormat="1" ht="40.5" customHeight="1" thickBot="1" x14ac:dyDescent="0.25">
      <c r="A14" s="45" t="s">
        <v>2</v>
      </c>
      <c r="B14" s="1287" t="s">
        <v>188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203</v>
      </c>
      <c r="S14" s="172" t="s">
        <v>204</v>
      </c>
      <c r="T14" s="172" t="s">
        <v>205</v>
      </c>
      <c r="U14" s="108" t="s">
        <v>201</v>
      </c>
      <c r="V14" s="45" t="str">
        <f>"Enveloppe "&amp; TEXT(An,0)</f>
        <v>Enveloppe 2022</v>
      </c>
      <c r="W14" s="836"/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203</v>
      </c>
      <c r="AG14" s="172" t="s">
        <v>204</v>
      </c>
      <c r="AH14" s="172" t="s">
        <v>205</v>
      </c>
      <c r="AI14" s="108" t="s">
        <v>207</v>
      </c>
      <c r="AJ14" s="691" t="s">
        <v>254</v>
      </c>
      <c r="AK14" s="691" t="s">
        <v>255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615">
        <v>16.157</v>
      </c>
      <c r="C15" s="839"/>
      <c r="D15" s="393">
        <f t="shared" ref="D15:D78" si="0">Wh/(1-Ppv)</f>
        <v>16.825986757086806</v>
      </c>
      <c r="E15" s="400">
        <f t="shared" ref="E15:E79" si="1">Wh_pvt/(1-Psa)</f>
        <v>18.125589774584281</v>
      </c>
      <c r="F15" s="400">
        <f t="shared" ref="F15:F78" si="2">Wh_sa/(1-Pvg*MEDIAN((-Sdif+Wh/Env_an)/Csdif,0,1))</f>
        <v>18.425979166910196</v>
      </c>
      <c r="G15" s="123">
        <f>+Wh_hp/MaxiM</f>
        <v>0.99507856354429802</v>
      </c>
      <c r="H15" s="414" t="b">
        <f>Wh_hp&gt;='2021'!Maxi_hp</f>
        <v>1</v>
      </c>
      <c r="I15" s="379">
        <f>IF(H15,Wh_hp,'2021'!Maxi_hp)</f>
        <v>18.425979166910196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3.9759139641842564E-2</v>
      </c>
      <c r="M15" s="843"/>
      <c r="N15" s="843"/>
      <c r="O15" s="48">
        <f>IF(t&lt;Tnet,'2021'!Resal+('2021'!Salim-'2021'!Resal)*(1-EXP(('2021'!Tnet-t)/('2021'!Tau_j))),Resal+(Salim-Resal)*(1-EXP((Tnet-t)/(Tau_j))))*Salcycl</f>
        <v>7.1699902384405739E-2</v>
      </c>
      <c r="P15" s="338">
        <f>(INDEX(Models!$BJ15:$BT15,,T15)*(1-R15)+INDEX(Models!$BJ15:$BT15,,T15+1)*R15-ERP_i)*Q15*Ramure*Pc/MaxiM</f>
        <v>1.6415227505194072E-2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0.20006748826323406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0">
        <f>IF(OR(t&lt;Ttai,Notai),Hdd+PousH*Croivg,Hdtf+PousH*(Croivg-Croi_tai))</f>
        <v>1.2000674882632341</v>
      </c>
      <c r="V15" s="382">
        <f t="shared" ref="V15:V78" si="8">MaxiM*(1-Ppv)*(1-Pvg)*(1-Psa)</f>
        <v>16.235048116329196</v>
      </c>
      <c r="W15" s="402"/>
      <c r="X15" s="156">
        <f t="shared" ref="X15:X78" si="9">t</f>
        <v>44562</v>
      </c>
      <c r="Y15" s="385">
        <f t="shared" ref="Y15:Y78" si="10">Wh_pvt_s*(1-Ppv)</f>
        <v>14.716159836986858</v>
      </c>
      <c r="Z15" s="385">
        <f>Wh_sa_s*(1-Psa_s)</f>
        <v>15.325488056713104</v>
      </c>
      <c r="AA15" s="386">
        <f t="shared" ref="AA15:AA78" si="11">Wh_hp*(1-Pvg_s*MEDIAN((-Sdif+Wh/Env_an)/Csdif,0,1))</f>
        <v>17.791190690391396</v>
      </c>
      <c r="AB15" s="197">
        <f t="shared" ref="AB15:AB78" si="12">t</f>
        <v>44562</v>
      </c>
      <c r="AC15" s="119">
        <f>IF(OR(t&lt;Tnet,NoTnet),'2021'!Resal_s+('2021'!Salim-'2021'!Resal_s)*(1-EXP(('2021'!Tnet_s-t)/'2021'!Tau_j)),Resal_s+(Salim-Resal_s)*(1-EXP((Tnet_s-t)/Tau_j)))*Salcycl</f>
        <v>0.13859120935677227</v>
      </c>
      <c r="AD15" s="231">
        <f>(INDEX(Models!$BJ15:$BT15,,AH15)*(1-AF15)+INDEX(Models!$BJ15:$BT15,,AH15+1)*AF15-ERP_i)*AE15*Ramure*Pc/MaxiM</f>
        <v>3.4688965475938069E-2</v>
      </c>
      <c r="AE15" s="303">
        <f t="shared" ref="AE15:AE78" si="13">IF(OR(t&lt;Ttai,Notai),Dd_s+PousD*Croivg,Dens_s+PousD*(Croivg-Croi_tai))</f>
        <v>0.8</v>
      </c>
      <c r="AF15" s="304">
        <f>(Hp_vg_s-AG15)/(INDEX(Echel_vg,AH15+1)-AG15)</f>
        <v>0.40000106241575528</v>
      </c>
      <c r="AG15" s="808">
        <f>INDEX(Echel_vg,AH15)</f>
        <v>2</v>
      </c>
      <c r="AH15" s="249">
        <f t="shared" ref="AH15:AH78" si="14">MIN(MATCH(Hp_vg_s,Echel_vg),10)</f>
        <v>8</v>
      </c>
      <c r="AI15" s="224">
        <f>IF(OR(t&lt;Ttai,Notai),Hdd_s+PousH*Croivg,Hdtai_s+PousH*(Croivg-Croi_tai))</f>
        <v>2.4000010624157553</v>
      </c>
      <c r="AJ15" s="265" t="b">
        <f t="shared" ref="AJ15:AJ78" si="15">t&lt;Tnet</f>
        <v>0</v>
      </c>
      <c r="AK15" s="265" t="b">
        <f t="shared" ref="AK15:AK78" si="16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17">A15+1</f>
        <v>44563</v>
      </c>
      <c r="B16" s="616">
        <v>13.17</v>
      </c>
      <c r="C16" s="839"/>
      <c r="D16" s="393">
        <f t="shared" si="0"/>
        <v>13.715631757138784</v>
      </c>
      <c r="E16" s="385">
        <f t="shared" si="1"/>
        <v>14.778014311295973</v>
      </c>
      <c r="F16" s="385">
        <f t="shared" si="2"/>
        <v>14.955085592247945</v>
      </c>
      <c r="G16" s="110">
        <f t="shared" ref="G16:G79" si="18">+Wh_hp/MaxiM</f>
        <v>0.80190552666288328</v>
      </c>
      <c r="H16" s="414" t="b">
        <f>Wh_hp&gt;='2021'!Maxi_hp</f>
        <v>0</v>
      </c>
      <c r="I16" s="380">
        <f>IF(H16,Wh_hp,'2021'!Maxi_hp)</f>
        <v>16.317377222864518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3.9781744421272511E-2</v>
      </c>
      <c r="M16" s="843"/>
      <c r="N16" s="843"/>
      <c r="O16" s="48">
        <f>IF(t&lt;Tnet,'2021'!Resal+('2021'!Salim-'2021'!Resal)*(1-EXP(('2021'!Tnet-t)/('2021'!Tau_j))),Resal+(Salim-Resal)*(1-EXP((Tnet-t)/(Tau_j))))*Salcycl</f>
        <v>7.1889398113867645E-2</v>
      </c>
      <c r="P16" s="339">
        <f>(INDEX(Models!$BJ16:$BT16,,T16)*(1-R16)+INDEX(Models!$BJ16:$BT16,,T16+1)*R16-ERP_i)*Q16*Ramure*Pc/MaxiM</f>
        <v>1.6392151189113545E-2</v>
      </c>
      <c r="Q16" s="305">
        <f t="shared" si="4"/>
        <v>0.8</v>
      </c>
      <c r="R16" s="177">
        <f t="shared" si="5"/>
        <v>0.20010254580002718</v>
      </c>
      <c r="S16" s="809">
        <f t="shared" si="6"/>
        <v>1</v>
      </c>
      <c r="T16" s="176">
        <f t="shared" si="7"/>
        <v>7</v>
      </c>
      <c r="U16" s="251">
        <f t="shared" ref="U16:U78" si="19">IF(OR(t&lt;Ttai,Notai),Hdd+PousH*Croivg,Hdtf+PousH*(Croivg-Croi_tai))</f>
        <v>1.2001025458000272</v>
      </c>
      <c r="V16" s="383">
        <f t="shared" si="8"/>
        <v>16.34772690717373</v>
      </c>
      <c r="W16" s="402"/>
      <c r="X16" s="157">
        <f t="shared" si="9"/>
        <v>44563</v>
      </c>
      <c r="Y16" s="385">
        <f t="shared" si="10"/>
        <v>12.058757259653774</v>
      </c>
      <c r="Z16" s="385">
        <f t="shared" ref="Z16:Z78" si="20">Wh_sa_s*(1-Psa_s)</f>
        <v>12.558350343366374</v>
      </c>
      <c r="AA16" s="386">
        <f t="shared" si="11"/>
        <v>14.579799628521373</v>
      </c>
      <c r="AB16" s="197">
        <f t="shared" si="12"/>
        <v>44563</v>
      </c>
      <c r="AC16" s="119">
        <f>IF(OR(t&lt;Tnet,NoTnet),'2021'!Resal_s+('2021'!Salim-'2021'!Resal_s)*(1-EXP(('2021'!Tnet_s-t)/'2021'!Tau_j)),Resal_s+(Salim-Resal_s)*(1-EXP((Tnet_s-t)/Tau_j)))*Salcycl</f>
        <v>0.13864726105018546</v>
      </c>
      <c r="AD16" s="231">
        <f>(INDEX(Models!$BJ16:$BT16,,AH16)*(1-AF16)+INDEX(Models!$BJ16:$BT16,,AH16+1)*AF16-ERP_i)*AE16*Ramure*Pc/MaxiM</f>
        <v>3.4741626216770384E-2</v>
      </c>
      <c r="AE16" s="305">
        <f>IF(OR(t&lt;Ttai,Notai),Dd_s+PousD*Croivg,Dens_s+PousD*(Croivg-Croi_tai))</f>
        <v>0.8</v>
      </c>
      <c r="AF16" s="177">
        <f t="shared" ref="AF16:AF78" si="21">(Hp_vg_s-AG16)/(INDEX(Echel_vg,AH16+1)-AG16)</f>
        <v>0.4000361199525484</v>
      </c>
      <c r="AG16" s="809">
        <f t="shared" ref="AG16:AG79" si="22">INDEX(Echel_vg,AH16)</f>
        <v>2</v>
      </c>
      <c r="AH16" s="176">
        <f t="shared" si="14"/>
        <v>8</v>
      </c>
      <c r="AI16" s="225">
        <f t="shared" ref="AI16:AI78" si="23">IF(OR(t&lt;Ttai,Notai),Hdd_s+PousH*Croivg,Hdtai_s+PousH*(Croivg-Croi_tai))</f>
        <v>2.4000361199525484</v>
      </c>
      <c r="AJ16" s="265" t="b">
        <f t="shared" si="15"/>
        <v>0</v>
      </c>
      <c r="AK16" s="265" t="b">
        <f t="shared" si="16"/>
        <v>1</v>
      </c>
      <c r="AL16" s="265"/>
      <c r="AM16" s="265"/>
      <c r="AN16" s="75"/>
    </row>
    <row r="17" spans="1:40" s="6" customFormat="1" ht="11.25" x14ac:dyDescent="0.2">
      <c r="A17" s="56">
        <f t="shared" si="17"/>
        <v>44564</v>
      </c>
      <c r="B17" s="616">
        <v>12.429</v>
      </c>
      <c r="C17" s="839"/>
      <c r="D17" s="393">
        <f t="shared" si="0"/>
        <v>12.944236919678231</v>
      </c>
      <c r="E17" s="385">
        <f t="shared" si="1"/>
        <v>13.949713650840399</v>
      </c>
      <c r="F17" s="385">
        <f t="shared" si="2"/>
        <v>14.099623168787522</v>
      </c>
      <c r="G17" s="110">
        <f t="shared" si="18"/>
        <v>0.75041708517673211</v>
      </c>
      <c r="H17" s="414" t="b">
        <f>Wh_hp&gt;='2021'!Maxi_hp</f>
        <v>0</v>
      </c>
      <c r="I17" s="380">
        <f>IF(H17,Wh_hp,'2021'!Maxi_hp)</f>
        <v>18.889891187353829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3.9804348674656251E-2</v>
      </c>
      <c r="M17" s="843"/>
      <c r="N17" s="843"/>
      <c r="O17" s="48">
        <f>IF(t&lt;Tnet,'2021'!Resal+('2021'!Salim-'2021'!Resal)*(1-EXP(('2021'!Tnet-t)/('2021'!Tau_j))),Resal+(Salim-Resal)*(1-EXP((Tnet-t)/(Tau_j))))*Salcycl</f>
        <v>7.2078664575426193E-2</v>
      </c>
      <c r="P17" s="339">
        <f>(INDEX(Models!$BJ17:$BT17,,T17)*(1-R17)+INDEX(Models!$BJ17:$BT17,,T17+1)*R17-ERP_i)*Q17*Ramure*Pc/MaxiM</f>
        <v>1.6364713232562073E-2</v>
      </c>
      <c r="Q17" s="305">
        <f t="shared" si="4"/>
        <v>0.8</v>
      </c>
      <c r="R17" s="177">
        <f t="shared" si="5"/>
        <v>0.20013906971461481</v>
      </c>
      <c r="S17" s="809">
        <f t="shared" si="6"/>
        <v>1</v>
      </c>
      <c r="T17" s="176">
        <f t="shared" si="7"/>
        <v>7</v>
      </c>
      <c r="U17" s="251">
        <f t="shared" si="19"/>
        <v>1.2001390697146148</v>
      </c>
      <c r="V17" s="383">
        <f t="shared" si="8"/>
        <v>16.466821877322683</v>
      </c>
      <c r="W17" s="402"/>
      <c r="X17" s="157">
        <f t="shared" si="9"/>
        <v>44564</v>
      </c>
      <c r="Y17" s="385">
        <f t="shared" si="10"/>
        <v>11.396940565174287</v>
      </c>
      <c r="Z17" s="385">
        <f t="shared" si="20"/>
        <v>11.869394065098357</v>
      </c>
      <c r="AA17" s="386">
        <f t="shared" si="11"/>
        <v>13.780845571782045</v>
      </c>
      <c r="AB17" s="197">
        <f t="shared" si="12"/>
        <v>44564</v>
      </c>
      <c r="AC17" s="119">
        <f>IF(OR(t&lt;Tnet,NoTnet),'2021'!Resal_s+('2021'!Salim-'2021'!Resal_s)*(1-EXP(('2021'!Tnet_s-t)/'2021'!Tau_j)),Resal_s+(Salim-Resal_s)*(1-EXP((Tnet_s-t)/Tau_j)))*Salcycl</f>
        <v>0.13870349948609961</v>
      </c>
      <c r="AD17" s="231">
        <f>(INDEX(Models!$BJ17:$BT17,,AH17)*(1-AF17)+INDEX(Models!$BJ17:$BT17,,AH17+1)*AF17-ERP_i)*AE17*Ramure*Pc/MaxiM</f>
        <v>3.4799017643428992E-2</v>
      </c>
      <c r="AE17" s="305">
        <f t="shared" si="13"/>
        <v>0.8</v>
      </c>
      <c r="AF17" s="177">
        <f>(Hp_vg_s-AG17)/(INDEX(Echel_vg,AH17+1)-AG17)</f>
        <v>0.40007264386713581</v>
      </c>
      <c r="AG17" s="809">
        <f>INDEX(Echel_vg,AH17)</f>
        <v>2</v>
      </c>
      <c r="AH17" s="176">
        <f t="shared" si="14"/>
        <v>8</v>
      </c>
      <c r="AI17" s="225">
        <f t="shared" si="23"/>
        <v>2.4000726438671358</v>
      </c>
      <c r="AJ17" s="265" t="b">
        <f t="shared" si="15"/>
        <v>0</v>
      </c>
      <c r="AK17" s="265" t="b">
        <f t="shared" si="16"/>
        <v>1</v>
      </c>
      <c r="AL17" s="265"/>
      <c r="AM17" s="265"/>
      <c r="AN17" s="75"/>
    </row>
    <row r="18" spans="1:40" s="6" customFormat="1" ht="11.25" x14ac:dyDescent="0.2">
      <c r="A18" s="56">
        <f t="shared" si="17"/>
        <v>44565</v>
      </c>
      <c r="B18" s="616">
        <v>12.996</v>
      </c>
      <c r="C18" s="839"/>
      <c r="D18" s="393">
        <f t="shared" si="0"/>
        <v>13.535060198274984</v>
      </c>
      <c r="E18" s="385">
        <f t="shared" si="1"/>
        <v>14.589402576151818</v>
      </c>
      <c r="F18" s="385">
        <f t="shared" si="2"/>
        <v>14.755775427727324</v>
      </c>
      <c r="G18" s="110">
        <f t="shared" si="18"/>
        <v>0.77923213349390952</v>
      </c>
      <c r="H18" s="414" t="b">
        <f>Wh_hp&gt;='2021'!Maxi_hp</f>
        <v>0</v>
      </c>
      <c r="I18" s="380">
        <f>IF(H18,Wh_hp,'2021'!Maxi_hp)</f>
        <v>18.708529066845525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3.9826952402005997E-2</v>
      </c>
      <c r="M18" s="843"/>
      <c r="N18" s="843"/>
      <c r="O18" s="48">
        <f>IF(t&lt;Tnet,'2021'!Resal+('2021'!Salim-'2021'!Resal)*(1-EXP(('2021'!Tnet-t)/('2021'!Tau_j))),Resal+(Salim-Resal)*(1-EXP((Tnet-t)/(Tau_j))))*Salcycl</f>
        <v>7.2267686930531913E-2</v>
      </c>
      <c r="P18" s="339">
        <f>(INDEX(Models!$BJ18:$BT18,,T18)*(1-R18)+INDEX(Models!$BJ18:$BT18,,T18+1)*R18-ERP_i)*Q18*Ramure*Pc/MaxiM</f>
        <v>1.6332657820113613E-2</v>
      </c>
      <c r="Q18" s="305">
        <f t="shared" si="4"/>
        <v>0.8</v>
      </c>
      <c r="R18" s="177">
        <f t="shared" si="5"/>
        <v>0.20017712115216879</v>
      </c>
      <c r="S18" s="809">
        <f t="shared" si="6"/>
        <v>1</v>
      </c>
      <c r="T18" s="176">
        <f t="shared" si="7"/>
        <v>7</v>
      </c>
      <c r="U18" s="251">
        <f t="shared" si="19"/>
        <v>1.2001771211521688</v>
      </c>
      <c r="V18" s="383">
        <f t="shared" si="8"/>
        <v>16.592645360458892</v>
      </c>
      <c r="W18" s="402"/>
      <c r="X18" s="157">
        <f t="shared" si="9"/>
        <v>44565</v>
      </c>
      <c r="Y18" s="385">
        <f t="shared" si="10"/>
        <v>11.908485001608248</v>
      </c>
      <c r="Z18" s="385">
        <f>Wh_sa_s*(1-Psa_s)</f>
        <v>12.402436239383071</v>
      </c>
      <c r="AA18" s="386">
        <f t="shared" si="11"/>
        <v>14.400671933994895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0.13875989285574214</v>
      </c>
      <c r="AD18" s="231">
        <f>(INDEX(Models!$BJ18:$BT18,,AH18)*(1-AF18)+INDEX(Models!$BJ18:$BT18,,AH18+1)*AF18-ERP_i)*AE18*Ramure*Pc/MaxiM</f>
        <v>3.4860157765742611E-2</v>
      </c>
      <c r="AE18" s="305">
        <f t="shared" si="13"/>
        <v>0.8</v>
      </c>
      <c r="AF18" s="177">
        <f t="shared" si="21"/>
        <v>0.40011069530469001</v>
      </c>
      <c r="AG18" s="809">
        <f t="shared" si="22"/>
        <v>2</v>
      </c>
      <c r="AH18" s="176">
        <f t="shared" si="14"/>
        <v>8</v>
      </c>
      <c r="AI18" s="225">
        <f t="shared" si="23"/>
        <v>2.40011069530469</v>
      </c>
      <c r="AJ18" s="265" t="b">
        <f t="shared" si="15"/>
        <v>0</v>
      </c>
      <c r="AK18" s="265" t="b">
        <f t="shared" si="16"/>
        <v>1</v>
      </c>
      <c r="AL18" s="265"/>
      <c r="AM18" s="265"/>
      <c r="AN18" s="75"/>
    </row>
    <row r="19" spans="1:40" s="6" customFormat="1" ht="11.25" x14ac:dyDescent="0.2">
      <c r="A19" s="56">
        <f t="shared" si="17"/>
        <v>44566</v>
      </c>
      <c r="B19" s="616">
        <v>11.734999999999999</v>
      </c>
      <c r="C19" s="839"/>
      <c r="D19" s="393">
        <f t="shared" si="0"/>
        <v>12.222042981372542</v>
      </c>
      <c r="E19" s="385">
        <f t="shared" si="1"/>
        <v>13.176786159784818</v>
      </c>
      <c r="F19" s="385">
        <f t="shared" si="2"/>
        <v>13.301147097115477</v>
      </c>
      <c r="G19" s="110">
        <f t="shared" si="18"/>
        <v>0.69670333061539957</v>
      </c>
      <c r="H19" s="414" t="b">
        <f>Wh_hp&gt;='2021'!Maxi_hp</f>
        <v>0</v>
      </c>
      <c r="I19" s="380">
        <f>IF(H19,Wh_hp,'2021'!Maxi_hp)</f>
        <v>18.453425057954192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3.9849555603334072E-2</v>
      </c>
      <c r="M19" s="843"/>
      <c r="N19" s="843"/>
      <c r="O19" s="48">
        <f>IF(t&lt;Tnet,'2021'!Resal+('2021'!Salim-'2021'!Resal)*(1-EXP(('2021'!Tnet-t)/('2021'!Tau_j))),Resal+(Salim-Resal)*(1-EXP((Tnet-t)/(Tau_j))))*Salcycl</f>
        <v>7.2456452342387123E-2</v>
      </c>
      <c r="P19" s="339">
        <f>(INDEX(Models!$BJ19:$BT19,,T19)*(1-R19)+INDEX(Models!$BJ19:$BT19,,T19+1)*R19-ERP_i)*Q19*Ramure*Pc/MaxiM</f>
        <v>1.6295754923449996E-2</v>
      </c>
      <c r="Q19" s="305">
        <f t="shared" si="4"/>
        <v>0.8</v>
      </c>
      <c r="R19" s="177">
        <f t="shared" si="5"/>
        <v>0.20021676379124287</v>
      </c>
      <c r="S19" s="809">
        <f t="shared" si="6"/>
        <v>1</v>
      </c>
      <c r="T19" s="176">
        <f t="shared" si="7"/>
        <v>7</v>
      </c>
      <c r="U19" s="251">
        <f t="shared" si="19"/>
        <v>1.2002167637912429</v>
      </c>
      <c r="V19" s="383">
        <f t="shared" si="8"/>
        <v>16.725509299154087</v>
      </c>
      <c r="W19" s="402"/>
      <c r="X19" s="157">
        <f t="shared" si="9"/>
        <v>44566</v>
      </c>
      <c r="Y19" s="385">
        <f t="shared" si="10"/>
        <v>10.777884965868951</v>
      </c>
      <c r="Z19" s="385">
        <f t="shared" si="20"/>
        <v>11.225204371635217</v>
      </c>
      <c r="AA19" s="386">
        <f t="shared" si="11"/>
        <v>13.03462414677044</v>
      </c>
      <c r="AB19" s="197">
        <f t="shared" si="12"/>
        <v>44566</v>
      </c>
      <c r="AC19" s="119">
        <f>IF(OR(t&lt;Tnet,NoTnet),'2021'!Resal_s+('2021'!Salim-'2021'!Resal_s)*(1-EXP(('2021'!Tnet_s-t)/'2021'!Tau_j)),Resal_s+(Salim-Resal_s)*(1-EXP((Tnet_s-t)/Tau_j)))*Salcycl</f>
        <v>0.13881641348159154</v>
      </c>
      <c r="AD19" s="231">
        <f>(INDEX(Models!$BJ19:$BT19,,AH19)*(1-AF19)+INDEX(Models!$BJ19:$BT19,,AH19+1)*AF19-ERP_i)*AE19*Ramure*Pc/MaxiM</f>
        <v>3.4924090904442345E-2</v>
      </c>
      <c r="AE19" s="305">
        <f t="shared" si="13"/>
        <v>0.8</v>
      </c>
      <c r="AF19" s="177">
        <f t="shared" si="21"/>
        <v>0.40015033794376409</v>
      </c>
      <c r="AG19" s="809">
        <f t="shared" si="22"/>
        <v>2</v>
      </c>
      <c r="AH19" s="176">
        <f t="shared" si="14"/>
        <v>8</v>
      </c>
      <c r="AI19" s="225">
        <f t="shared" si="23"/>
        <v>2.4001503379437641</v>
      </c>
      <c r="AJ19" s="265" t="b">
        <f t="shared" si="15"/>
        <v>0</v>
      </c>
      <c r="AK19" s="265" t="b">
        <f t="shared" si="16"/>
        <v>1</v>
      </c>
      <c r="AL19" s="265"/>
      <c r="AM19" s="265"/>
      <c r="AN19" s="75"/>
    </row>
    <row r="20" spans="1:40" s="6" customFormat="1" ht="11.25" x14ac:dyDescent="0.2">
      <c r="A20" s="56">
        <f t="shared" si="17"/>
        <v>44567</v>
      </c>
      <c r="B20" s="616">
        <v>13.633000000000001</v>
      </c>
      <c r="C20" s="839"/>
      <c r="D20" s="393">
        <f t="shared" si="0"/>
        <v>14.199150787626705</v>
      </c>
      <c r="E20" s="385">
        <f t="shared" si="1"/>
        <v>15.311450330296744</v>
      </c>
      <c r="F20" s="385">
        <f t="shared" si="2"/>
        <v>15.494332719237931</v>
      </c>
      <c r="G20" s="110">
        <f t="shared" si="18"/>
        <v>0.80468522712857049</v>
      </c>
      <c r="H20" s="414" t="b">
        <f>Wh_hp&gt;='2021'!Maxi_hp</f>
        <v>0</v>
      </c>
      <c r="I20" s="380">
        <f>IF(H20,Wh_hp,'2021'!Maxi_hp)</f>
        <v>17.976062678070381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3.9872158278652467E-2</v>
      </c>
      <c r="M20" s="843"/>
      <c r="N20" s="843"/>
      <c r="O20" s="48">
        <f>IF(t&lt;Tnet,'2021'!Resal+('2021'!Salim-'2021'!Resal)*(1-EXP(('2021'!Tnet-t)/('2021'!Tau_j))),Resal+(Salim-Resal)*(1-EXP((Tnet-t)/(Tau_j))))*Salcycl</f>
        <v>7.2644949934568437E-2</v>
      </c>
      <c r="P20" s="339">
        <f>(INDEX(Models!$BJ20:$BT20,,T20)*(1-R20)+INDEX(Models!$BJ20:$BT20,,T20+1)*R20-ERP_i)*Q20*Ramure*Pc/MaxiM</f>
        <v>1.6253801042531241E-2</v>
      </c>
      <c r="Q20" s="305">
        <f t="shared" si="4"/>
        <v>0.8</v>
      </c>
      <c r="R20" s="177">
        <f t="shared" si="5"/>
        <v>0.20025806394734369</v>
      </c>
      <c r="S20" s="809">
        <f t="shared" si="6"/>
        <v>1</v>
      </c>
      <c r="T20" s="176">
        <f t="shared" si="7"/>
        <v>7</v>
      </c>
      <c r="U20" s="251">
        <f t="shared" si="19"/>
        <v>1.2002580639473437</v>
      </c>
      <c r="V20" s="383">
        <f t="shared" si="8"/>
        <v>16.865725257608471</v>
      </c>
      <c r="W20" s="402"/>
      <c r="X20" s="157">
        <f t="shared" si="9"/>
        <v>44567</v>
      </c>
      <c r="Y20" s="385">
        <f t="shared" si="10"/>
        <v>12.485086323037116</v>
      </c>
      <c r="Z20" s="385">
        <f t="shared" si="20"/>
        <v>13.00356658823002</v>
      </c>
      <c r="AA20" s="386">
        <f t="shared" si="11"/>
        <v>15.100638067774337</v>
      </c>
      <c r="AB20" s="197">
        <f t="shared" si="12"/>
        <v>44567</v>
      </c>
      <c r="AC20" s="119">
        <f>IF(OR(t&lt;Tnet,NoTnet),'2021'!Resal_s+('2021'!Salim-'2021'!Resal_s)*(1-EXP(('2021'!Tnet_s-t)/'2021'!Tau_j)),Resal_s+(Salim-Resal_s)*(1-EXP((Tnet_s-t)/Tau_j)))*Salcycl</f>
        <v>0.13887303769100937</v>
      </c>
      <c r="AD20" s="231">
        <f>(INDEX(Models!$BJ20:$BT20,,AH20)*(1-AF20)+INDEX(Models!$BJ20:$BT20,,AH20+1)*AF20-ERP_i)*AE20*Ramure*Pc/MaxiM</f>
        <v>3.4989889258586704E-2</v>
      </c>
      <c r="AE20" s="305">
        <f t="shared" si="13"/>
        <v>0.8</v>
      </c>
      <c r="AF20" s="177">
        <f t="shared" si="21"/>
        <v>0.40019163809986491</v>
      </c>
      <c r="AG20" s="809">
        <f t="shared" si="22"/>
        <v>2</v>
      </c>
      <c r="AH20" s="176">
        <f t="shared" si="14"/>
        <v>8</v>
      </c>
      <c r="AI20" s="225">
        <f t="shared" si="23"/>
        <v>2.4001916380998649</v>
      </c>
      <c r="AJ20" s="265" t="b">
        <f t="shared" si="15"/>
        <v>0</v>
      </c>
      <c r="AK20" s="265" t="b">
        <f t="shared" si="16"/>
        <v>1</v>
      </c>
      <c r="AL20" s="265"/>
      <c r="AM20" s="265"/>
      <c r="AN20" s="75"/>
    </row>
    <row r="21" spans="1:40" s="6" customFormat="1" ht="11.25" x14ac:dyDescent="0.2">
      <c r="A21" s="56">
        <f t="shared" si="17"/>
        <v>44568</v>
      </c>
      <c r="B21" s="616">
        <v>9.7439999999999998</v>
      </c>
      <c r="C21" s="839"/>
      <c r="D21" s="393">
        <f t="shared" si="0"/>
        <v>10.14888743273962</v>
      </c>
      <c r="E21" s="385">
        <f t="shared" si="1"/>
        <v>10.946128692671058</v>
      </c>
      <c r="F21" s="385">
        <f t="shared" si="2"/>
        <v>11.015682329806111</v>
      </c>
      <c r="G21" s="110">
        <f t="shared" si="18"/>
        <v>0.56701649617331285</v>
      </c>
      <c r="H21" s="414" t="b">
        <f>Wh_hp&gt;='2021'!Maxi_hp</f>
        <v>0</v>
      </c>
      <c r="I21" s="380">
        <f>IF(H21,Wh_hp,'2021'!Maxi_hp)</f>
        <v>11.683067578020008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3.9894760427973727E-2</v>
      </c>
      <c r="M21" s="843"/>
      <c r="N21" s="843"/>
      <c r="O21" s="48">
        <f>IF(t&lt;Tnet,'2021'!Resal+('2021'!Salim-'2021'!Resal)*(1-EXP(('2021'!Tnet-t)/('2021'!Tau_j))),Resal+(Salim-Resal)*(1-EXP((Tnet-t)/(Tau_j))))*Salcycl</f>
        <v>7.2833170732336375E-2</v>
      </c>
      <c r="P21" s="339">
        <f>(INDEX(Models!$BJ21:$BT21,,T21)*(1-R21)+INDEX(Models!$BJ21:$BT21,,T21+1)*R21-ERP_i)*Q21*Ramure*Pc/MaxiM</f>
        <v>1.6206619803047745E-2</v>
      </c>
      <c r="Q21" s="305">
        <f t="shared" si="4"/>
        <v>0.8</v>
      </c>
      <c r="R21" s="177">
        <f t="shared" si="5"/>
        <v>0.20030109068061952</v>
      </c>
      <c r="S21" s="809">
        <f t="shared" si="6"/>
        <v>1</v>
      </c>
      <c r="T21" s="176">
        <f t="shared" si="7"/>
        <v>7</v>
      </c>
      <c r="U21" s="251">
        <f t="shared" si="19"/>
        <v>1.2003010906806195</v>
      </c>
      <c r="V21" s="383">
        <f t="shared" si="8"/>
        <v>17.01360441212347</v>
      </c>
      <c r="W21" s="402"/>
      <c r="X21" s="157">
        <f t="shared" si="9"/>
        <v>44568</v>
      </c>
      <c r="Y21" s="385">
        <f t="shared" si="10"/>
        <v>8.9824821975130824</v>
      </c>
      <c r="Z21" s="385">
        <f t="shared" si="20"/>
        <v>9.3557266717105794</v>
      </c>
      <c r="AA21" s="386">
        <f t="shared" si="11"/>
        <v>10.8652303624977</v>
      </c>
      <c r="AB21" s="197">
        <f t="shared" si="12"/>
        <v>44568</v>
      </c>
      <c r="AC21" s="119">
        <f>IF(OR(t&lt;Tnet,NoTnet),'2021'!Resal_s+('2021'!Salim-'2021'!Resal_s)*(1-EXP(('2021'!Tnet_s-t)/'2021'!Tau_j)),Resal_s+(Salim-Resal_s)*(1-EXP((Tnet_s-t)/Tau_j)))*Salcycl</f>
        <v>0.1389297456588961</v>
      </c>
      <c r="AD21" s="231">
        <f>(INDEX(Models!$BJ21:$BT21,,AH21)*(1-AF21)+INDEX(Models!$BJ21:$BT21,,AH21+1)*AF21-ERP_i)*AE21*Ramure*Pc/MaxiM</f>
        <v>3.5056654593827473E-2</v>
      </c>
      <c r="AE21" s="305">
        <f t="shared" si="13"/>
        <v>0.8</v>
      </c>
      <c r="AF21" s="177">
        <f t="shared" si="21"/>
        <v>0.40023466483314074</v>
      </c>
      <c r="AG21" s="809">
        <f t="shared" si="22"/>
        <v>2</v>
      </c>
      <c r="AH21" s="176">
        <f t="shared" si="14"/>
        <v>8</v>
      </c>
      <c r="AI21" s="225">
        <f t="shared" si="23"/>
        <v>2.4002346648331407</v>
      </c>
      <c r="AJ21" s="265" t="b">
        <f t="shared" si="15"/>
        <v>0</v>
      </c>
      <c r="AK21" s="265" t="b">
        <f t="shared" si="16"/>
        <v>1</v>
      </c>
      <c r="AL21" s="265"/>
      <c r="AM21" s="265"/>
      <c r="AN21" s="75"/>
    </row>
    <row r="22" spans="1:40" s="6" customFormat="1" ht="11.25" x14ac:dyDescent="0.2">
      <c r="A22" s="56">
        <f t="shared" si="17"/>
        <v>44569</v>
      </c>
      <c r="B22" s="616">
        <v>7.2210000000000001</v>
      </c>
      <c r="C22" s="839"/>
      <c r="D22" s="393">
        <f t="shared" si="0"/>
        <v>7.521227563731772</v>
      </c>
      <c r="E22" s="385">
        <f t="shared" si="1"/>
        <v>8.1136988396353331</v>
      </c>
      <c r="F22" s="385">
        <f t="shared" si="2"/>
        <v>8.1363380151938198</v>
      </c>
      <c r="G22" s="110">
        <f t="shared" si="18"/>
        <v>0.41493299004597961</v>
      </c>
      <c r="H22" s="414" t="b">
        <f>Wh_hp&gt;='2021'!Maxi_hp</f>
        <v>0</v>
      </c>
      <c r="I22" s="380">
        <f>IF(H22,Wh_hp,'2021'!Maxi_hp)</f>
        <v>14.204515850119641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3.9917362051309843E-2</v>
      </c>
      <c r="M22" s="843"/>
      <c r="N22" s="843"/>
      <c r="O22" s="48">
        <f>IF(t&lt;Tnet,'2021'!Resal+('2021'!Salim-'2021'!Resal)*(1-EXP(('2021'!Tnet-t)/('2021'!Tau_j))),Resal+(Salim-Resal)*(1-EXP((Tnet-t)/(Tau_j))))*Salcycl</f>
        <v>7.3021107587743356E-2</v>
      </c>
      <c r="P22" s="339">
        <f>(INDEX(Models!$BJ22:$BT22,,T22)*(1-R22)+INDEX(Models!$BJ22:$BT22,,T22+1)*R22-ERP_i)*Q22*Ramure*Pc/MaxiM</f>
        <v>1.6154062344793555E-2</v>
      </c>
      <c r="Q22" s="305">
        <f t="shared" si="4"/>
        <v>0.8</v>
      </c>
      <c r="R22" s="177">
        <f t="shared" si="5"/>
        <v>0.20034591590781625</v>
      </c>
      <c r="S22" s="809">
        <f t="shared" si="6"/>
        <v>1</v>
      </c>
      <c r="T22" s="176">
        <f t="shared" si="7"/>
        <v>7</v>
      </c>
      <c r="U22" s="251">
        <f t="shared" si="19"/>
        <v>1.2003459159078163</v>
      </c>
      <c r="V22" s="383">
        <f t="shared" si="8"/>
        <v>17.169457574925609</v>
      </c>
      <c r="W22" s="402"/>
      <c r="X22" s="157">
        <f t="shared" si="9"/>
        <v>44569</v>
      </c>
      <c r="Y22" s="385">
        <f t="shared" si="10"/>
        <v>6.6851650237325586</v>
      </c>
      <c r="Z22" s="385">
        <f t="shared" si="20"/>
        <v>6.9631141731883233</v>
      </c>
      <c r="AA22" s="386">
        <f t="shared" si="11"/>
        <v>8.0871140171583153</v>
      </c>
      <c r="AB22" s="197">
        <f t="shared" si="12"/>
        <v>44569</v>
      </c>
      <c r="AC22" s="119">
        <f>IF(OR(t&lt;Tnet,NoTnet),'2021'!Resal_s+('2021'!Salim-'2021'!Resal_s)*(1-EXP(('2021'!Tnet_s-t)/'2021'!Tau_j)),Resal_s+(Salim-Resal_s)*(1-EXP((Tnet_s-t)/Tau_j)))*Salcycl</f>
        <v>0.13898652122193625</v>
      </c>
      <c r="AD22" s="231">
        <f>(INDEX(Models!$BJ22:$BT22,,AH22)*(1-AF22)+INDEX(Models!$BJ22:$BT22,,AH22+1)*AF22-ERP_i)*AE22*Ramure*Pc/MaxiM</f>
        <v>3.5123519894585446E-2</v>
      </c>
      <c r="AE22" s="305">
        <f t="shared" si="13"/>
        <v>0.8</v>
      </c>
      <c r="AF22" s="177">
        <f t="shared" si="21"/>
        <v>0.40027949006033747</v>
      </c>
      <c r="AG22" s="809">
        <f t="shared" si="22"/>
        <v>2</v>
      </c>
      <c r="AH22" s="176">
        <f t="shared" si="14"/>
        <v>8</v>
      </c>
      <c r="AI22" s="225">
        <f t="shared" si="23"/>
        <v>2.4002794900603375</v>
      </c>
      <c r="AJ22" s="265" t="b">
        <f t="shared" si="15"/>
        <v>0</v>
      </c>
      <c r="AK22" s="265" t="b">
        <f t="shared" si="16"/>
        <v>1</v>
      </c>
      <c r="AL22" s="265"/>
      <c r="AM22" s="265"/>
      <c r="AN22" s="75"/>
    </row>
    <row r="23" spans="1:40" s="6" customFormat="1" ht="11.25" x14ac:dyDescent="0.2">
      <c r="A23" s="56">
        <f t="shared" si="17"/>
        <v>44570</v>
      </c>
      <c r="B23" s="616">
        <v>2.1880000000000002</v>
      </c>
      <c r="C23" s="839"/>
      <c r="D23" s="393">
        <f t="shared" si="0"/>
        <v>2.279024140173465</v>
      </c>
      <c r="E23" s="385">
        <f t="shared" si="1"/>
        <v>2.4590479816134363</v>
      </c>
      <c r="F23" s="385">
        <f t="shared" si="2"/>
        <v>2.4590479816134363</v>
      </c>
      <c r="G23" s="110">
        <f t="shared" si="18"/>
        <v>0.12419282246632106</v>
      </c>
      <c r="H23" s="414" t="b">
        <f>Wh_hp&gt;='2021'!Maxi_hp</f>
        <v>0</v>
      </c>
      <c r="I23" s="380">
        <f>IF(H23,Wh_hp,'2021'!Maxi_hp)</f>
        <v>18.029266819342844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3.9939963148673249E-2</v>
      </c>
      <c r="M23" s="843"/>
      <c r="N23" s="843"/>
      <c r="O23" s="48">
        <f>IF(t&lt;Tnet,'2021'!Resal+('2021'!Salim-'2021'!Resal)*(1-EXP(('2021'!Tnet-t)/('2021'!Tau_j))),Resal+(Salim-Resal)*(1-EXP((Tnet-t)/(Tau_j))))*Salcycl</f>
        <v>7.320875508978629E-2</v>
      </c>
      <c r="P23" s="339">
        <f>(INDEX(Models!$BJ23:$BT23,,T23)*(1-R23)+INDEX(Models!$BJ23:$BT23,,T23+1)*R23-ERP_i)*Q23*Ramure*Pc/MaxiM</f>
        <v>1.6095455571062331E-2</v>
      </c>
      <c r="Q23" s="305">
        <f t="shared" si="4"/>
        <v>0.8</v>
      </c>
      <c r="R23" s="177">
        <f t="shared" si="5"/>
        <v>0.20039261451865831</v>
      </c>
      <c r="S23" s="809">
        <f t="shared" si="6"/>
        <v>1</v>
      </c>
      <c r="T23" s="176">
        <f t="shared" si="7"/>
        <v>7</v>
      </c>
      <c r="U23" s="251">
        <f t="shared" si="19"/>
        <v>1.2003926145186583</v>
      </c>
      <c r="V23" s="383">
        <f t="shared" si="8"/>
        <v>17.334199355959669</v>
      </c>
      <c r="W23" s="402"/>
      <c r="X23" s="157">
        <f t="shared" si="9"/>
        <v>44570</v>
      </c>
      <c r="Y23" s="385">
        <f t="shared" si="10"/>
        <v>2.0325754660475375</v>
      </c>
      <c r="Z23" s="385">
        <f t="shared" si="20"/>
        <v>2.1171337083394279</v>
      </c>
      <c r="AA23" s="386">
        <f t="shared" si="11"/>
        <v>2.4590479816134363</v>
      </c>
      <c r="AB23" s="197">
        <f t="shared" si="12"/>
        <v>44570</v>
      </c>
      <c r="AC23" s="119">
        <f>IF(OR(t&lt;Tnet,NoTnet),'2021'!Resal_s+('2021'!Salim-'2021'!Resal_s)*(1-EXP(('2021'!Tnet_s-t)/'2021'!Tau_j)),Resal_s+(Salim-Resal_s)*(1-EXP((Tnet_s-t)/Tau_j)))*Salcycl</f>
        <v>0.13904335166720527</v>
      </c>
      <c r="AD23" s="231">
        <f>(INDEX(Models!$BJ23:$BT23,,AH23)*(1-AF23)+INDEX(Models!$BJ23:$BT23,,AH23+1)*AF23-ERP_i)*AE23*Ramure*Pc/MaxiM</f>
        <v>3.5188444307800118E-2</v>
      </c>
      <c r="AE23" s="305">
        <f t="shared" si="13"/>
        <v>0.8</v>
      </c>
      <c r="AF23" s="177">
        <f t="shared" si="21"/>
        <v>0.40032618867117931</v>
      </c>
      <c r="AG23" s="809">
        <f t="shared" si="22"/>
        <v>2</v>
      </c>
      <c r="AH23" s="176">
        <f t="shared" si="14"/>
        <v>8</v>
      </c>
      <c r="AI23" s="225">
        <f t="shared" si="23"/>
        <v>2.4003261886711793</v>
      </c>
      <c r="AJ23" s="265" t="b">
        <f t="shared" si="15"/>
        <v>0</v>
      </c>
      <c r="AK23" s="265" t="b">
        <f t="shared" si="16"/>
        <v>1</v>
      </c>
      <c r="AL23" s="265"/>
      <c r="AM23" s="265"/>
      <c r="AN23" s="75"/>
    </row>
    <row r="24" spans="1:40" s="6" customFormat="1" ht="11.25" x14ac:dyDescent="0.2">
      <c r="A24" s="56">
        <f t="shared" si="17"/>
        <v>44571</v>
      </c>
      <c r="B24" s="616">
        <v>1.6910000000000001</v>
      </c>
      <c r="C24" s="839"/>
      <c r="D24" s="393">
        <f t="shared" si="0"/>
        <v>1.7613896459626652</v>
      </c>
      <c r="E24" s="385">
        <f t="shared" si="1"/>
        <v>1.9009089687050849</v>
      </c>
      <c r="F24" s="385">
        <f t="shared" si="2"/>
        <v>1.9009089687050849</v>
      </c>
      <c r="G24" s="110">
        <f t="shared" si="18"/>
        <v>9.5035608681478714E-2</v>
      </c>
      <c r="H24" s="414" t="b">
        <f>Wh_hp&gt;='2021'!Maxi_hp</f>
        <v>0</v>
      </c>
      <c r="I24" s="380">
        <f>IF(H24,Wh_hp,'2021'!Maxi_hp)</f>
        <v>8.9775811655834818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3.9962563720076047E-2</v>
      </c>
      <c r="M24" s="843"/>
      <c r="N24" s="843"/>
      <c r="O24" s="48">
        <f>IF(t&lt;Tnet,'2021'!Resal+('2021'!Salim-'2021'!Resal)*(1-EXP(('2021'!Tnet-t)/('2021'!Tau_j))),Resal+(Salim-Resal)*(1-EXP((Tnet-t)/(Tau_j))))*Salcycl</f>
        <v>7.3396109460970888E-2</v>
      </c>
      <c r="P24" s="339">
        <f>(INDEX(Models!$BJ24:$BT24,,T24)*(1-R24)+INDEX(Models!$BJ24:$BT24,,T24+1)*R24-ERP_i)*Q24*Ramure*Pc/MaxiM</f>
        <v>1.6014511247905611E-2</v>
      </c>
      <c r="Q24" s="305">
        <f t="shared" si="4"/>
        <v>0.8</v>
      </c>
      <c r="R24" s="177">
        <f t="shared" si="5"/>
        <v>0.20044126449682165</v>
      </c>
      <c r="S24" s="809">
        <f t="shared" si="6"/>
        <v>1</v>
      </c>
      <c r="T24" s="176">
        <f t="shared" si="7"/>
        <v>7</v>
      </c>
      <c r="U24" s="251">
        <f t="shared" si="19"/>
        <v>1.2004412644968216</v>
      </c>
      <c r="V24" s="383">
        <f t="shared" si="8"/>
        <v>17.508379065120561</v>
      </c>
      <c r="W24" s="402"/>
      <c r="X24" s="157">
        <f t="shared" si="9"/>
        <v>44571</v>
      </c>
      <c r="Y24" s="385">
        <f t="shared" si="10"/>
        <v>1.5710936789331524</v>
      </c>
      <c r="Z24" s="385">
        <f t="shared" si="20"/>
        <v>1.6364920987050542</v>
      </c>
      <c r="AA24" s="386">
        <f t="shared" si="11"/>
        <v>1.9009089687050849</v>
      </c>
      <c r="AB24" s="197">
        <f t="shared" si="12"/>
        <v>44571</v>
      </c>
      <c r="AC24" s="119">
        <f>IF(OR(t&lt;Tnet,NoTnet),'2021'!Resal_s+('2021'!Salim-'2021'!Resal_s)*(1-EXP(('2021'!Tnet_s-t)/'2021'!Tau_j)),Resal_s+(Salim-Resal_s)*(1-EXP((Tnet_s-t)/Tau_j)))*Salcycl</f>
        <v>0.13910022749808673</v>
      </c>
      <c r="AD24" s="231">
        <f>(INDEX(Models!$BJ24:$BT24,,AH24)*(1-AF24)+INDEX(Models!$BJ24:$BT24,,AH24+1)*AF24-ERP_i)*AE24*Ramure*Pc/MaxiM</f>
        <v>3.5233812501070917E-2</v>
      </c>
      <c r="AE24" s="305">
        <f t="shared" si="13"/>
        <v>0.8</v>
      </c>
      <c r="AF24" s="177">
        <f t="shared" si="21"/>
        <v>0.40037483864934309</v>
      </c>
      <c r="AG24" s="809">
        <f t="shared" si="22"/>
        <v>2</v>
      </c>
      <c r="AH24" s="176">
        <f t="shared" si="14"/>
        <v>8</v>
      </c>
      <c r="AI24" s="225">
        <f t="shared" si="23"/>
        <v>2.4003748386493431</v>
      </c>
      <c r="AJ24" s="265" t="b">
        <f t="shared" si="15"/>
        <v>0</v>
      </c>
      <c r="AK24" s="265" t="b">
        <f t="shared" si="16"/>
        <v>1</v>
      </c>
      <c r="AL24" s="265"/>
      <c r="AM24" s="265"/>
      <c r="AN24" s="75"/>
    </row>
    <row r="25" spans="1:40" s="6" customFormat="1" ht="11.25" x14ac:dyDescent="0.2">
      <c r="A25" s="56">
        <f t="shared" si="17"/>
        <v>44572</v>
      </c>
      <c r="B25" s="616">
        <v>18.277999999999999</v>
      </c>
      <c r="C25" s="839"/>
      <c r="D25" s="393">
        <f t="shared" si="0"/>
        <v>19.039289092336347</v>
      </c>
      <c r="E25" s="385">
        <f t="shared" si="1"/>
        <v>20.551536245635937</v>
      </c>
      <c r="F25" s="385">
        <f t="shared" si="2"/>
        <v>20.883768698219409</v>
      </c>
      <c r="G25" s="110">
        <f t="shared" si="18"/>
        <v>1.0331575900476537</v>
      </c>
      <c r="H25" s="414" t="b">
        <f>Wh_hp&gt;='2021'!Maxi_hp</f>
        <v>1</v>
      </c>
      <c r="I25" s="380">
        <f>IF(H25,Wh_hp,'2021'!Maxi_hp)</f>
        <v>20.883768698219409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3.998516376553056E-2</v>
      </c>
      <c r="M25" s="843"/>
      <c r="N25" s="843"/>
      <c r="O25" s="48">
        <f>IF(t&lt;Tnet,'2021'!Resal+('2021'!Salim-'2021'!Resal)*(1-EXP(('2021'!Tnet-t)/('2021'!Tau_j))),Resal+(Salim-Resal)*(1-EXP((Tnet-t)/(Tau_j))))*Salcycl</f>
        <v>7.3583168441761132E-2</v>
      </c>
      <c r="P25" s="339">
        <f>(INDEX(Models!$BJ25:$BT25,,T25)*(1-R25)+INDEX(Models!$BJ25:$BT25,,T25+1)*R25-ERP_i)*Q25*Ramure*Pc/MaxiM</f>
        <v>1.5908644526014155E-2</v>
      </c>
      <c r="Q25" s="305">
        <f t="shared" si="4"/>
        <v>0.8</v>
      </c>
      <c r="R25" s="177">
        <f t="shared" si="5"/>
        <v>0.20049194704566098</v>
      </c>
      <c r="S25" s="809">
        <f t="shared" si="6"/>
        <v>1</v>
      </c>
      <c r="T25" s="176">
        <f t="shared" si="7"/>
        <v>7</v>
      </c>
      <c r="U25" s="251">
        <f t="shared" si="19"/>
        <v>1.200491947045661</v>
      </c>
      <c r="V25" s="383">
        <f t="shared" si="8"/>
        <v>17.691395945856563</v>
      </c>
      <c r="W25" s="402"/>
      <c r="X25" s="157">
        <f t="shared" si="9"/>
        <v>44572</v>
      </c>
      <c r="Y25" s="385">
        <f t="shared" si="10"/>
        <v>16.650451192530543</v>
      </c>
      <c r="Z25" s="385">
        <f t="shared" si="20"/>
        <v>17.343951951659125</v>
      </c>
      <c r="AA25" s="386">
        <f t="shared" si="11"/>
        <v>20.147639948588285</v>
      </c>
      <c r="AB25" s="197">
        <f t="shared" si="12"/>
        <v>44572</v>
      </c>
      <c r="AC25" s="119">
        <f>IF(OR(t&lt;Tnet,NoTnet),'2021'!Resal_s+('2021'!Salim-'2021'!Resal_s)*(1-EXP(('2021'!Tnet_s-t)/'2021'!Tau_j)),Resal_s+(Salim-Resal_s)*(1-EXP((Tnet_s-t)/Tau_j)))*Salcycl</f>
        <v>0.13915714218059624</v>
      </c>
      <c r="AD25" s="231">
        <f>(INDEX(Models!$BJ25:$BT25,,AH25)*(1-AF25)+INDEX(Models!$BJ25:$BT25,,AH25+1)*AF25-ERP_i)*AE25*Ramure*Pc/MaxiM</f>
        <v>3.5248846138287673E-2</v>
      </c>
      <c r="AE25" s="305">
        <f t="shared" si="13"/>
        <v>0.8</v>
      </c>
      <c r="AF25" s="177">
        <f t="shared" si="21"/>
        <v>0.4004255211981822</v>
      </c>
      <c r="AG25" s="809">
        <f t="shared" si="22"/>
        <v>2</v>
      </c>
      <c r="AH25" s="176">
        <f t="shared" si="14"/>
        <v>8</v>
      </c>
      <c r="AI25" s="225">
        <f t="shared" si="23"/>
        <v>2.4004255211981822</v>
      </c>
      <c r="AJ25" s="265" t="b">
        <f t="shared" si="15"/>
        <v>0</v>
      </c>
      <c r="AK25" s="265" t="b">
        <f t="shared" si="16"/>
        <v>1</v>
      </c>
      <c r="AL25" s="265"/>
      <c r="AM25" s="265"/>
      <c r="AN25" s="75"/>
    </row>
    <row r="26" spans="1:40" s="6" customFormat="1" ht="11.25" x14ac:dyDescent="0.2">
      <c r="A26" s="56">
        <f t="shared" si="17"/>
        <v>44573</v>
      </c>
      <c r="B26" s="616">
        <v>16.474</v>
      </c>
      <c r="C26" s="839"/>
      <c r="D26" s="393">
        <f t="shared" si="0"/>
        <v>17.160555439878625</v>
      </c>
      <c r="E26" s="385">
        <f t="shared" si="1"/>
        <v>18.527314127745012</v>
      </c>
      <c r="F26" s="385">
        <f t="shared" si="2"/>
        <v>18.790450446954548</v>
      </c>
      <c r="G26" s="110">
        <f t="shared" si="18"/>
        <v>0.91957280371579853</v>
      </c>
      <c r="H26" s="414" t="b">
        <f>Wh_hp&gt;='2021'!Maxi_hp</f>
        <v>0</v>
      </c>
      <c r="I26" s="380">
        <f>IF(H26,Wh_hp,'2021'!Maxi_hp)</f>
        <v>19.450333694535168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4.0007763285049E-2</v>
      </c>
      <c r="M26" s="843"/>
      <c r="N26" s="843"/>
      <c r="O26" s="48">
        <f>IF(t&lt;Tnet,'2021'!Resal+('2021'!Salim-'2021'!Resal)*(1-EXP(('2021'!Tnet-t)/('2021'!Tau_j))),Resal+(Salim-Resal)*(1-EXP((Tnet-t)/(Tau_j))))*Salcycl</f>
        <v>7.3769931164476707E-2</v>
      </c>
      <c r="P26" s="339">
        <f>(INDEX(Models!$BJ26:$BT26,,T26)*(1-R26)+INDEX(Models!$BJ26:$BT26,,T26+1)*R26-ERP_i)*Q26*Ramure*Pc/MaxiM</f>
        <v>1.5779309485009937E-2</v>
      </c>
      <c r="Q26" s="305">
        <f t="shared" si="4"/>
        <v>0.8</v>
      </c>
      <c r="R26" s="177">
        <f t="shared" si="5"/>
        <v>0.20054474671886635</v>
      </c>
      <c r="S26" s="809">
        <f t="shared" si="6"/>
        <v>1</v>
      </c>
      <c r="T26" s="176">
        <f t="shared" si="7"/>
        <v>7</v>
      </c>
      <c r="U26" s="251">
        <f t="shared" si="19"/>
        <v>1.2005447467188664</v>
      </c>
      <c r="V26" s="383">
        <f t="shared" si="8"/>
        <v>17.882579313798264</v>
      </c>
      <c r="W26" s="402"/>
      <c r="X26" s="157">
        <f t="shared" si="9"/>
        <v>44573</v>
      </c>
      <c r="Y26" s="385">
        <f t="shared" si="10"/>
        <v>15.041892633484347</v>
      </c>
      <c r="Z26" s="385">
        <f t="shared" si="20"/>
        <v>15.668764869346242</v>
      </c>
      <c r="AA26" s="386">
        <f t="shared" si="11"/>
        <v>18.202859411867017</v>
      </c>
      <c r="AB26" s="197">
        <f t="shared" si="12"/>
        <v>44573</v>
      </c>
      <c r="AC26" s="119">
        <f>IF(OR(t&lt;Tnet,NoTnet),'2021'!Resal_s+('2021'!Salim-'2021'!Resal_s)*(1-EXP(('2021'!Tnet_s-t)/'2021'!Tau_j)),Resal_s+(Salim-Resal_s)*(1-EXP((Tnet_s-t)/Tau_j)))*Salcycl</f>
        <v>0.13921409187331957</v>
      </c>
      <c r="AD26" s="231">
        <f>(INDEX(Models!$BJ26:$BT26,,AH26)*(1-AF26)+INDEX(Models!$BJ26:$BT26,,AH26+1)*AF26-ERP_i)*AE26*Ramure*Pc/MaxiM</f>
        <v>3.5235655880252639E-2</v>
      </c>
      <c r="AE26" s="305">
        <f t="shared" si="13"/>
        <v>0.8</v>
      </c>
      <c r="AF26" s="177">
        <f t="shared" si="21"/>
        <v>0.40047832087138735</v>
      </c>
      <c r="AG26" s="809">
        <f t="shared" si="22"/>
        <v>2</v>
      </c>
      <c r="AH26" s="176">
        <f t="shared" si="14"/>
        <v>8</v>
      </c>
      <c r="AI26" s="225">
        <f t="shared" si="23"/>
        <v>2.4004783208713873</v>
      </c>
      <c r="AJ26" s="265" t="b">
        <f t="shared" si="15"/>
        <v>0</v>
      </c>
      <c r="AK26" s="265" t="b">
        <f t="shared" si="16"/>
        <v>1</v>
      </c>
      <c r="AL26" s="265"/>
      <c r="AM26" s="265"/>
      <c r="AN26" s="75"/>
    </row>
    <row r="27" spans="1:40" s="6" customFormat="1" ht="11.25" x14ac:dyDescent="0.2">
      <c r="A27" s="56">
        <f t="shared" si="17"/>
        <v>44574</v>
      </c>
      <c r="B27" s="616">
        <v>4.96</v>
      </c>
      <c r="C27" s="839"/>
      <c r="D27" s="393">
        <f t="shared" si="0"/>
        <v>5.1668300799318656</v>
      </c>
      <c r="E27" s="385">
        <f t="shared" si="1"/>
        <v>5.5794673910330959</v>
      </c>
      <c r="F27" s="385">
        <f t="shared" si="2"/>
        <v>5.5794673910330959</v>
      </c>
      <c r="G27" s="110">
        <f t="shared" si="18"/>
        <v>0.27003016668492474</v>
      </c>
      <c r="H27" s="414" t="b">
        <f>Wh_hp&gt;='2021'!Maxi_hp</f>
        <v>0</v>
      </c>
      <c r="I27" s="380">
        <f>IF(H27,Wh_hp,'2021'!Maxi_hp)</f>
        <v>13.955743056810109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4.003036227864358E-2</v>
      </c>
      <c r="M27" s="843"/>
      <c r="N27" s="843"/>
      <c r="O27" s="48">
        <f>IF(t&lt;Tnet,'2021'!Resal+('2021'!Salim-'2021'!Resal)*(1-EXP(('2021'!Tnet-t)/('2021'!Tau_j))),Resal+(Salim-Resal)*(1-EXP((Tnet-t)/(Tau_j))))*Salcycl</f>
        <v>7.3956398018274999E-2</v>
      </c>
      <c r="P27" s="339">
        <f>(INDEX(Models!$BJ27:$BT27,,T27)*(1-R27)+INDEX(Models!$BJ27:$BT27,,T27+1)*R27-ERP_i)*Q27*Ramure*Pc/MaxiM</f>
        <v>1.5627946545106842E-2</v>
      </c>
      <c r="Q27" s="305">
        <f t="shared" si="4"/>
        <v>0.8</v>
      </c>
      <c r="R27" s="177">
        <f t="shared" si="5"/>
        <v>0.20059975155622922</v>
      </c>
      <c r="S27" s="809">
        <f t="shared" si="6"/>
        <v>1</v>
      </c>
      <c r="T27" s="176">
        <f t="shared" si="7"/>
        <v>7</v>
      </c>
      <c r="U27" s="251">
        <f t="shared" si="19"/>
        <v>1.2005997515562292</v>
      </c>
      <c r="V27" s="383">
        <f t="shared" si="8"/>
        <v>18.081259012935497</v>
      </c>
      <c r="W27" s="402"/>
      <c r="X27" s="157">
        <f t="shared" si="9"/>
        <v>44574</v>
      </c>
      <c r="Y27" s="385">
        <f t="shared" si="10"/>
        <v>4.6101667979222656</v>
      </c>
      <c r="Z27" s="385">
        <f t="shared" si="20"/>
        <v>4.8024089687515987</v>
      </c>
      <c r="AA27" s="386">
        <f t="shared" si="11"/>
        <v>5.5794673910330959</v>
      </c>
      <c r="AB27" s="197">
        <f t="shared" si="12"/>
        <v>44574</v>
      </c>
      <c r="AC27" s="119">
        <f>IF(OR(t&lt;Tnet,NoTnet),'2021'!Resal_s+('2021'!Salim-'2021'!Resal_s)*(1-EXP(('2021'!Tnet_s-t)/'2021'!Tau_j)),Resal_s+(Salim-Resal_s)*(1-EXP((Tnet_s-t)/Tau_j)))*Salcycl</f>
        <v>0.13927107514425618</v>
      </c>
      <c r="AD27" s="231">
        <f>(INDEX(Models!$BJ27:$BT27,,AH27)*(1-AF27)+INDEX(Models!$BJ27:$BT27,,AH27+1)*AF27-ERP_i)*AE27*Ramure*Pc/MaxiM</f>
        <v>3.5196341635252142E-2</v>
      </c>
      <c r="AE27" s="305">
        <f t="shared" si="13"/>
        <v>0.8</v>
      </c>
      <c r="AF27" s="177">
        <f t="shared" si="21"/>
        <v>0.40053332570875044</v>
      </c>
      <c r="AG27" s="809">
        <f t="shared" si="22"/>
        <v>2</v>
      </c>
      <c r="AH27" s="176">
        <f t="shared" si="14"/>
        <v>8</v>
      </c>
      <c r="AI27" s="225">
        <f t="shared" si="23"/>
        <v>2.4005333257087504</v>
      </c>
      <c r="AJ27" s="265" t="b">
        <f t="shared" si="15"/>
        <v>0</v>
      </c>
      <c r="AK27" s="265" t="b">
        <f t="shared" si="16"/>
        <v>1</v>
      </c>
      <c r="AL27" s="265"/>
      <c r="AM27" s="265"/>
      <c r="AN27" s="75"/>
    </row>
    <row r="28" spans="1:40" s="6" customFormat="1" ht="11.25" x14ac:dyDescent="0.2">
      <c r="A28" s="56">
        <f t="shared" si="17"/>
        <v>44575</v>
      </c>
      <c r="B28" s="616">
        <v>18.856000000000002</v>
      </c>
      <c r="C28" s="839"/>
      <c r="D28" s="393">
        <f t="shared" si="0"/>
        <v>19.642750306996007</v>
      </c>
      <c r="E28" s="385">
        <f t="shared" si="1"/>
        <v>21.215739790250947</v>
      </c>
      <c r="F28" s="385">
        <f t="shared" si="2"/>
        <v>21.54879733993512</v>
      </c>
      <c r="G28" s="110">
        <f t="shared" si="18"/>
        <v>1.0311282272603908</v>
      </c>
      <c r="H28" s="414" t="b">
        <f>Wh_hp&gt;='2021'!Maxi_hp</f>
        <v>1</v>
      </c>
      <c r="I28" s="380">
        <f>IF(H28,Wh_hp,'2021'!Maxi_hp)</f>
        <v>21.54879733993512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4.0052960746326624E-2</v>
      </c>
      <c r="M28" s="843"/>
      <c r="N28" s="843"/>
      <c r="O28" s="48">
        <f>IF(t&lt;Tnet,'2021'!Resal+('2021'!Salim-'2021'!Resal)*(1-EXP(('2021'!Tnet-t)/('2021'!Tau_j))),Resal+(Salim-Resal)*(1-EXP((Tnet-t)/(Tau_j))))*Salcycl</f>
        <v>7.4142570506910171E-2</v>
      </c>
      <c r="P28" s="339">
        <f>(INDEX(Models!$BJ28:$BT28,,T28)*(1-R28)+INDEX(Models!$BJ28:$BT28,,T28+1)*R28-ERP_i)*Q28*Ramure*Pc/MaxiM</f>
        <v>1.545596927894151E-2</v>
      </c>
      <c r="Q28" s="305">
        <f t="shared" si="4"/>
        <v>0.8</v>
      </c>
      <c r="R28" s="177">
        <f t="shared" si="5"/>
        <v>0.20065705322469674</v>
      </c>
      <c r="S28" s="809">
        <f t="shared" si="6"/>
        <v>1</v>
      </c>
      <c r="T28" s="176">
        <f t="shared" si="7"/>
        <v>7</v>
      </c>
      <c r="U28" s="251">
        <f t="shared" si="19"/>
        <v>1.2006570532246967</v>
      </c>
      <c r="V28" s="383">
        <f t="shared" si="8"/>
        <v>18.286765410446176</v>
      </c>
      <c r="W28" s="402"/>
      <c r="X28" s="157">
        <f t="shared" si="9"/>
        <v>44575</v>
      </c>
      <c r="Y28" s="385">
        <f t="shared" si="10"/>
        <v>17.17811090879464</v>
      </c>
      <c r="Z28" s="385">
        <f t="shared" si="20"/>
        <v>17.894852743282634</v>
      </c>
      <c r="AA28" s="386">
        <f t="shared" si="11"/>
        <v>20.791723990342479</v>
      </c>
      <c r="AB28" s="197">
        <f t="shared" si="12"/>
        <v>44575</v>
      </c>
      <c r="AC28" s="119">
        <f>IF(OR(t&lt;Tnet,NoTnet),'2021'!Resal_s+('2021'!Salim-'2021'!Resal_s)*(1-EXP(('2021'!Tnet_s-t)/'2021'!Tau_j)),Resal_s+(Salim-Resal_s)*(1-EXP((Tnet_s-t)/Tau_j)))*Salcycl</f>
        <v>0.13932809267790436</v>
      </c>
      <c r="AD28" s="231">
        <f>(INDEX(Models!$BJ28:$BT28,,AH28)*(1-AF28)+INDEX(Models!$BJ28:$BT28,,AH28+1)*AF28-ERP_i)*AE28*Ramure*Pc/MaxiM</f>
        <v>3.5132974599450355E-2</v>
      </c>
      <c r="AE28" s="305">
        <f t="shared" si="13"/>
        <v>0.8</v>
      </c>
      <c r="AF28" s="177">
        <f t="shared" si="21"/>
        <v>0.40059062737721796</v>
      </c>
      <c r="AG28" s="809">
        <f t="shared" si="22"/>
        <v>2</v>
      </c>
      <c r="AH28" s="176">
        <f t="shared" si="14"/>
        <v>8</v>
      </c>
      <c r="AI28" s="225">
        <f t="shared" si="23"/>
        <v>2.400590627377218</v>
      </c>
      <c r="AJ28" s="265" t="b">
        <f t="shared" si="15"/>
        <v>0</v>
      </c>
      <c r="AK28" s="265" t="b">
        <f t="shared" si="16"/>
        <v>1</v>
      </c>
      <c r="AL28" s="265"/>
      <c r="AM28" s="265"/>
      <c r="AN28" s="75"/>
    </row>
    <row r="29" spans="1:40" s="6" customFormat="1" ht="11.25" x14ac:dyDescent="0.2">
      <c r="A29" s="56">
        <f t="shared" si="17"/>
        <v>44576</v>
      </c>
      <c r="B29" s="616">
        <v>18.562000000000001</v>
      </c>
      <c r="C29" s="839"/>
      <c r="D29" s="393">
        <f t="shared" si="0"/>
        <v>19.336938618452166</v>
      </c>
      <c r="E29" s="385">
        <f t="shared" si="1"/>
        <v>20.889632657989388</v>
      </c>
      <c r="F29" s="385">
        <f t="shared" si="2"/>
        <v>20.889632657989388</v>
      </c>
      <c r="G29" s="110">
        <f t="shared" si="18"/>
        <v>0.98811932908150713</v>
      </c>
      <c r="H29" s="414" t="b">
        <f>Wh_hp&gt;='2021'!Maxi_hp</f>
        <v>1</v>
      </c>
      <c r="I29" s="380">
        <f>IF(H29,Wh_hp,'2021'!Maxi_hp)</f>
        <v>20.889632657989388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4.0075558688110233E-2</v>
      </c>
      <c r="M29" s="843"/>
      <c r="N29" s="843"/>
      <c r="O29" s="48">
        <f>IF(t&lt;Tnet,'2021'!Resal+('2021'!Salim-'2021'!Resal)*(1-EXP(('2021'!Tnet-t)/('2021'!Tau_j))),Resal+(Salim-Resal)*(1-EXP((Tnet-t)/(Tau_j))))*Salcycl</f>
        <v>7.4328451101000323E-2</v>
      </c>
      <c r="P29" s="339">
        <f>(INDEX(Models!$BJ29:$BT29,,T29)*(1-R29)+INDEX(Models!$BJ29:$BT29,,T29+1)*R29-ERP_i)*Q29*Ramure*Pc/MaxiM</f>
        <v>0</v>
      </c>
      <c r="Q29" s="305">
        <f t="shared" si="4"/>
        <v>0.8</v>
      </c>
      <c r="R29" s="177">
        <f t="shared" si="5"/>
        <v>0</v>
      </c>
      <c r="S29" s="809">
        <f t="shared" si="6"/>
        <v>0</v>
      </c>
      <c r="T29" s="176">
        <f t="shared" si="7"/>
        <v>6</v>
      </c>
      <c r="U29" s="251">
        <f t="shared" si="19"/>
        <v>0</v>
      </c>
      <c r="V29" s="383">
        <f t="shared" si="8"/>
        <v>18.785180548238092</v>
      </c>
      <c r="W29" s="402"/>
      <c r="X29" s="157">
        <f t="shared" si="9"/>
        <v>44576</v>
      </c>
      <c r="Y29" s="385">
        <f t="shared" si="10"/>
        <v>16.998492919898098</v>
      </c>
      <c r="Z29" s="385">
        <f t="shared" si="20"/>
        <v>17.708157213568754</v>
      </c>
      <c r="AA29" s="386">
        <f t="shared" si="11"/>
        <v>20.576169643534726</v>
      </c>
      <c r="AB29" s="197">
        <f t="shared" si="12"/>
        <v>44576</v>
      </c>
      <c r="AC29" s="119">
        <f>IF(OR(t&lt;Tnet,NoTnet),'2021'!Resal_s+('2021'!Salim-'2021'!Resal_s)*(1-EXP(('2021'!Tnet_s-t)/'2021'!Tau_j)),Resal_s+(Salim-Resal_s)*(1-EXP((Tnet_s-t)/Tau_j)))*Salcycl</f>
        <v>0.13938514697594045</v>
      </c>
      <c r="AD29" s="231">
        <f>(INDEX(Models!$BJ29:$BT29,,AH29)*(1-AF29)+INDEX(Models!$BJ29:$BT29,,AH29+1)*AF29-ERP_i)*AE29*Ramure*Pc/MaxiM</f>
        <v>1.5264753145498791E-2</v>
      </c>
      <c r="AE29" s="305">
        <f t="shared" si="13"/>
        <v>0.8</v>
      </c>
      <c r="AF29" s="177">
        <f t="shared" si="21"/>
        <v>0.2007167471649034</v>
      </c>
      <c r="AG29" s="809">
        <f t="shared" si="22"/>
        <v>1</v>
      </c>
      <c r="AH29" s="176">
        <f t="shared" si="14"/>
        <v>7</v>
      </c>
      <c r="AI29" s="225">
        <f t="shared" si="23"/>
        <v>1.2007167471649034</v>
      </c>
      <c r="AJ29" s="265" t="b">
        <f t="shared" si="15"/>
        <v>0</v>
      </c>
      <c r="AK29" s="265" t="b">
        <f t="shared" si="16"/>
        <v>0</v>
      </c>
      <c r="AL29" s="265"/>
      <c r="AM29" s="265"/>
      <c r="AN29" s="75"/>
    </row>
    <row r="30" spans="1:40" s="6" customFormat="1" ht="11.25" x14ac:dyDescent="0.2">
      <c r="A30" s="56">
        <f t="shared" si="17"/>
        <v>44577</v>
      </c>
      <c r="B30" s="616">
        <v>18.276</v>
      </c>
      <c r="C30" s="839"/>
      <c r="D30" s="393">
        <f t="shared" si="0"/>
        <v>19.039446706157417</v>
      </c>
      <c r="E30" s="385">
        <f t="shared" si="1"/>
        <v>20.572377748069982</v>
      </c>
      <c r="F30" s="385">
        <f t="shared" si="2"/>
        <v>20.57239192220748</v>
      </c>
      <c r="G30" s="110">
        <f t="shared" si="18"/>
        <v>0.96181114688569069</v>
      </c>
      <c r="H30" s="414" t="b">
        <f>Wh_hp&gt;='2021'!Maxi_hp</f>
        <v>1</v>
      </c>
      <c r="I30" s="380">
        <f>IF(H30,Wh_hp,'2021'!Maxi_hp)</f>
        <v>20.57239192220748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4.009815610400673E-2</v>
      </c>
      <c r="M30" s="843"/>
      <c r="N30" s="843"/>
      <c r="O30" s="48">
        <f>IF(t&lt;Tnet,'2021'!Resal+('2021'!Salim-'2021'!Resal)*(1-EXP(('2021'!Tnet-t)/('2021'!Tau_j))),Resal+(Salim-Resal)*(1-EXP((Tnet-t)/(Tau_j))))*Salcycl</f>
        <v>7.4514043086554724E-2</v>
      </c>
      <c r="P30" s="339">
        <f>(INDEX(Models!$BJ30:$BT30,,T30)*(1-R30)+INDEX(Models!$BJ30:$BT30,,T30+1)*R30-ERP_i)*Q30*Ramure*Pc/MaxiM</f>
        <v>7.2874533741516466E-7</v>
      </c>
      <c r="Q30" s="305">
        <f t="shared" si="4"/>
        <v>0.8</v>
      </c>
      <c r="R30" s="177">
        <f t="shared" si="5"/>
        <v>6.218557847194606E-5</v>
      </c>
      <c r="S30" s="809">
        <f t="shared" si="6"/>
        <v>0</v>
      </c>
      <c r="T30" s="176">
        <f t="shared" si="7"/>
        <v>6</v>
      </c>
      <c r="U30" s="251">
        <f t="shared" si="19"/>
        <v>6.218557847194606E-5</v>
      </c>
      <c r="V30" s="383">
        <f t="shared" si="8"/>
        <v>19.00165051380101</v>
      </c>
      <c r="W30" s="402"/>
      <c r="X30" s="157">
        <f t="shared" si="9"/>
        <v>44577</v>
      </c>
      <c r="Y30" s="385">
        <f t="shared" si="10"/>
        <v>16.752040648546195</v>
      </c>
      <c r="Z30" s="385">
        <f t="shared" si="20"/>
        <v>17.451826720692601</v>
      </c>
      <c r="AA30" s="386">
        <f t="shared" si="11"/>
        <v>20.279669272128579</v>
      </c>
      <c r="AB30" s="197">
        <f t="shared" si="12"/>
        <v>44577</v>
      </c>
      <c r="AC30" s="119">
        <f>IF(OR(t&lt;Tnet,NoTnet),'2021'!Resal_s+('2021'!Salim-'2021'!Resal_s)*(1-EXP(('2021'!Tnet_s-t)/'2021'!Tau_j)),Resal_s+(Salim-Resal_s)*(1-EXP((Tnet_s-t)/Tau_j)))*Salcycl</f>
        <v>0.13944224205482633</v>
      </c>
      <c r="AD30" s="231">
        <f>(INDEX(Models!$BJ30:$BT30,,AH30)*(1-AF30)+INDEX(Models!$BJ30:$BT30,,AH30+1)*AF30-ERP_i)*AE30*Ramure*Pc/MaxiM</f>
        <v>1.5049964518505574E-2</v>
      </c>
      <c r="AE30" s="305">
        <f t="shared" si="13"/>
        <v>0.8</v>
      </c>
      <c r="AF30" s="177">
        <f t="shared" si="21"/>
        <v>0.20077893274337533</v>
      </c>
      <c r="AG30" s="809">
        <f t="shared" si="22"/>
        <v>1</v>
      </c>
      <c r="AH30" s="176">
        <f t="shared" si="14"/>
        <v>7</v>
      </c>
      <c r="AI30" s="225">
        <f t="shared" si="23"/>
        <v>1.2007789327433753</v>
      </c>
      <c r="AJ30" s="265" t="b">
        <f t="shared" si="15"/>
        <v>0</v>
      </c>
      <c r="AK30" s="265" t="b">
        <f t="shared" si="16"/>
        <v>0</v>
      </c>
      <c r="AL30" s="265"/>
      <c r="AM30" s="265"/>
      <c r="AN30" s="75"/>
    </row>
    <row r="31" spans="1:40" s="6" customFormat="1" ht="11.25" x14ac:dyDescent="0.2">
      <c r="A31" s="56">
        <f t="shared" si="17"/>
        <v>44578</v>
      </c>
      <c r="B31" s="616">
        <v>12.152000000000001</v>
      </c>
      <c r="C31" s="839"/>
      <c r="D31" s="393">
        <f t="shared" si="0"/>
        <v>12.65992575410311</v>
      </c>
      <c r="E31" s="385">
        <f t="shared" si="1"/>
        <v>13.681959220209622</v>
      </c>
      <c r="F31" s="385">
        <f t="shared" si="2"/>
        <v>13.681968685413491</v>
      </c>
      <c r="G31" s="110">
        <f t="shared" si="18"/>
        <v>0.63217215477003541</v>
      </c>
      <c r="H31" s="414" t="b">
        <f>Wh_hp&gt;='2021'!Maxi_hp</f>
        <v>1</v>
      </c>
      <c r="I31" s="380">
        <f>IF(H31,Wh_hp,'2021'!Maxi_hp)</f>
        <v>13.681968685413491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4.0120752994028439E-2</v>
      </c>
      <c r="M31" s="843"/>
      <c r="N31" s="843"/>
      <c r="O31" s="48">
        <f>IF(t&lt;Tnet,'2021'!Resal+('2021'!Salim-'2021'!Resal)*(1-EXP(('2021'!Tnet-t)/('2021'!Tau_j))),Resal+(Salim-Resal)*(1-EXP((Tnet-t)/(Tau_j))))*Salcycl</f>
        <v>7.4699350411516097E-2</v>
      </c>
      <c r="P31" s="339">
        <f>(INDEX(Models!$BJ31:$BT31,,T31)*(1-R31)+INDEX(Models!$BJ31:$BT31,,T31+1)*R31-ERP_i)*Q31*Ramure*Pc/MaxiM</f>
        <v>1.4578591386704137E-6</v>
      </c>
      <c r="Q31" s="305">
        <f t="shared" si="4"/>
        <v>0.8</v>
      </c>
      <c r="R31" s="177">
        <f t="shared" si="5"/>
        <v>1.2696624569689415E-4</v>
      </c>
      <c r="S31" s="809">
        <f t="shared" si="6"/>
        <v>0</v>
      </c>
      <c r="T31" s="176">
        <f t="shared" si="7"/>
        <v>6</v>
      </c>
      <c r="U31" s="251">
        <f t="shared" si="19"/>
        <v>1.2696624569689415E-4</v>
      </c>
      <c r="V31" s="383">
        <f t="shared" si="8"/>
        <v>19.222597197877771</v>
      </c>
      <c r="W31" s="402"/>
      <c r="X31" s="157">
        <f t="shared" si="9"/>
        <v>44578</v>
      </c>
      <c r="Y31" s="385">
        <f t="shared" si="10"/>
        <v>11.221534648903747</v>
      </c>
      <c r="Z31" s="385">
        <f t="shared" si="20"/>
        <v>11.690569083460908</v>
      </c>
      <c r="AA31" s="386">
        <f t="shared" si="11"/>
        <v>13.585776528748509</v>
      </c>
      <c r="AB31" s="197">
        <f t="shared" si="12"/>
        <v>44578</v>
      </c>
      <c r="AC31" s="119">
        <f>IF(OR(t&lt;Tnet,NoTnet),'2021'!Resal_s+('2021'!Salim-'2021'!Resal_s)*(1-EXP(('2021'!Tnet_s-t)/'2021'!Tau_j)),Resal_s+(Salim-Resal_s)*(1-EXP((Tnet_s-t)/Tau_j)))*Salcycl</f>
        <v>0.13949938314362831</v>
      </c>
      <c r="AD31" s="231">
        <f>(INDEX(Models!$BJ31:$BT31,,AH31)*(1-AF31)+INDEX(Models!$BJ31:$BT31,,AH31+1)*AF31-ERP_i)*AE31*Ramure*Pc/MaxiM</f>
        <v>1.4815804984773463E-2</v>
      </c>
      <c r="AE31" s="305">
        <f t="shared" si="13"/>
        <v>0.8</v>
      </c>
      <c r="AF31" s="177">
        <f t="shared" si="21"/>
        <v>0.20084371341060026</v>
      </c>
      <c r="AG31" s="809">
        <f t="shared" si="22"/>
        <v>1</v>
      </c>
      <c r="AH31" s="176">
        <f t="shared" si="14"/>
        <v>7</v>
      </c>
      <c r="AI31" s="225">
        <f t="shared" si="23"/>
        <v>1.2008437134106003</v>
      </c>
      <c r="AJ31" s="265" t="b">
        <f t="shared" si="15"/>
        <v>0</v>
      </c>
      <c r="AK31" s="265" t="b">
        <f t="shared" si="16"/>
        <v>0</v>
      </c>
      <c r="AL31" s="265"/>
      <c r="AM31" s="265"/>
      <c r="AN31" s="75"/>
    </row>
    <row r="32" spans="1:40" s="6" customFormat="1" ht="11.25" x14ac:dyDescent="0.2">
      <c r="A32" s="56">
        <f t="shared" si="17"/>
        <v>44579</v>
      </c>
      <c r="B32" s="616">
        <v>3.4</v>
      </c>
      <c r="C32" s="839"/>
      <c r="D32" s="393">
        <f t="shared" si="0"/>
        <v>3.5421955952762052</v>
      </c>
      <c r="E32" s="385">
        <f t="shared" si="1"/>
        <v>3.8289220387681366</v>
      </c>
      <c r="F32" s="385">
        <f t="shared" si="2"/>
        <v>3.8289220387681366</v>
      </c>
      <c r="G32" s="110">
        <f t="shared" si="18"/>
        <v>0.17483061037829598</v>
      </c>
      <c r="H32" s="414" t="b">
        <f>Wh_hp&gt;='2021'!Maxi_hp</f>
        <v>0</v>
      </c>
      <c r="I32" s="380">
        <f>IF(H32,Wh_hp,'2021'!Maxi_hp)</f>
        <v>21.36929658640063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4.0143349358187461E-2</v>
      </c>
      <c r="M32" s="843"/>
      <c r="N32" s="843"/>
      <c r="O32" s="48">
        <f>IF(t&lt;Tnet,'2021'!Resal+('2021'!Salim-'2021'!Resal)*(1-EXP(('2021'!Tnet-t)/('2021'!Tau_j))),Resal+(Salim-Resal)*(1-EXP((Tnet-t)/(Tau_j))))*Salcycl</f>
        <v>7.4884377532058205E-2</v>
      </c>
      <c r="P32" s="339">
        <f>(INDEX(Models!$BJ32:$BT32,,T32)*(1-R32)+INDEX(Models!$BJ32:$BT32,,T32+1)*R32-ERP_i)*Q32*Ramure*Pc/MaxiM</f>
        <v>2.1839187055887891E-6</v>
      </c>
      <c r="Q32" s="305">
        <f t="shared" si="4"/>
        <v>0.8</v>
      </c>
      <c r="R32" s="177">
        <f t="shared" si="5"/>
        <v>1.9444970026691427E-4</v>
      </c>
      <c r="S32" s="809">
        <f t="shared" si="6"/>
        <v>0</v>
      </c>
      <c r="T32" s="176">
        <f t="shared" si="7"/>
        <v>6</v>
      </c>
      <c r="U32" s="251">
        <f t="shared" si="19"/>
        <v>1.9444970026691427E-4</v>
      </c>
      <c r="V32" s="383">
        <f t="shared" si="8"/>
        <v>19.447352882424571</v>
      </c>
      <c r="W32" s="402"/>
      <c r="X32" s="157">
        <f t="shared" si="9"/>
        <v>44579</v>
      </c>
      <c r="Y32" s="385">
        <f t="shared" si="10"/>
        <v>3.1623156816720264</v>
      </c>
      <c r="Z32" s="385">
        <f t="shared" si="20"/>
        <v>3.2945707877916242</v>
      </c>
      <c r="AA32" s="386">
        <f t="shared" si="11"/>
        <v>3.8289220387681366</v>
      </c>
      <c r="AB32" s="197">
        <f t="shared" si="12"/>
        <v>44579</v>
      </c>
      <c r="AC32" s="119">
        <f>IF(OR(t&lt;Tnet,NoTnet),'2021'!Resal_s+('2021'!Salim-'2021'!Resal_s)*(1-EXP(('2021'!Tnet_s-t)/'2021'!Tau_j)),Resal_s+(Salim-Resal_s)*(1-EXP((Tnet_s-t)/Tau_j)))*Salcycl</f>
        <v>0.13955657638524993</v>
      </c>
      <c r="AD32" s="231">
        <f>(INDEX(Models!$BJ32:$BT32,,AH32)*(1-AF32)+INDEX(Models!$BJ32:$BT32,,AH32+1)*AF32-ERP_i)*AE32*Ramure*Pc/MaxiM</f>
        <v>1.4563582182222612E-2</v>
      </c>
      <c r="AE32" s="305">
        <f t="shared" si="13"/>
        <v>0.8</v>
      </c>
      <c r="AF32" s="177">
        <f t="shared" si="21"/>
        <v>0.20091119686517023</v>
      </c>
      <c r="AG32" s="809">
        <f t="shared" si="22"/>
        <v>1</v>
      </c>
      <c r="AH32" s="176">
        <f t="shared" si="14"/>
        <v>7</v>
      </c>
      <c r="AI32" s="225">
        <f t="shared" si="23"/>
        <v>1.2009111968651702</v>
      </c>
      <c r="AJ32" s="265" t="b">
        <f t="shared" si="15"/>
        <v>0</v>
      </c>
      <c r="AK32" s="265" t="b">
        <f t="shared" si="16"/>
        <v>0</v>
      </c>
      <c r="AL32" s="265"/>
      <c r="AM32" s="265"/>
      <c r="AN32" s="75"/>
    </row>
    <row r="33" spans="1:40" s="6" customFormat="1" ht="11.25" x14ac:dyDescent="0.2">
      <c r="A33" s="56">
        <f t="shared" si="17"/>
        <v>44580</v>
      </c>
      <c r="B33" s="616">
        <v>8.1639999999999997</v>
      </c>
      <c r="C33" s="839"/>
      <c r="D33" s="393">
        <f t="shared" si="0"/>
        <v>8.5056369474943487</v>
      </c>
      <c r="E33" s="385">
        <f t="shared" si="1"/>
        <v>9.195970441220684</v>
      </c>
      <c r="F33" s="385">
        <f t="shared" si="2"/>
        <v>9.1959748253176681</v>
      </c>
      <c r="G33" s="110">
        <f t="shared" si="18"/>
        <v>0.4149365320234436</v>
      </c>
      <c r="H33" s="414" t="b">
        <f>Wh_hp&gt;='2021'!Maxi_hp</f>
        <v>0</v>
      </c>
      <c r="I33" s="380">
        <f>IF(H33,Wh_hp,'2021'!Maxi_hp)</f>
        <v>22.802724307103638</v>
      </c>
      <c r="J33" s="85">
        <f>IF(H33,An,'2021'!An_max)</f>
        <v>2020</v>
      </c>
      <c r="K33" s="197">
        <f t="shared" si="3"/>
        <v>44580</v>
      </c>
      <c r="L33" s="147">
        <f>IF(t&lt;Tvie,1-EXP((T0-t)*PertePVj)+'2021'!Pspv,1-EXP((T0-t)*PertePVj)+Pspv)</f>
        <v>4.0165945196496008E-2</v>
      </c>
      <c r="M33" s="843"/>
      <c r="N33" s="843"/>
      <c r="O33" s="48">
        <f>IF(t&lt;Tnet,'2021'!Resal+('2021'!Salim-'2021'!Resal)*(1-EXP(('2021'!Tnet-t)/('2021'!Tau_j))),Resal+(Salim-Resal)*(1-EXP((Tnet-t)/(Tau_j))))*Salcycl</f>
        <v>7.5069129260347978E-2</v>
      </c>
      <c r="P33" s="339">
        <f>(INDEX(Models!$BJ33:$BT33,,T33)*(1-R33)+INDEX(Models!$BJ33:$BT33,,T33+1)*R33-ERP_i)*Q33*Ramure*Pc/MaxiM</f>
        <v>2.9034779054296482E-6</v>
      </c>
      <c r="Q33" s="305">
        <f t="shared" si="4"/>
        <v>0.8</v>
      </c>
      <c r="R33" s="177">
        <f t="shared" si="5"/>
        <v>2.64748059299971E-4</v>
      </c>
      <c r="S33" s="809">
        <f t="shared" si="6"/>
        <v>0</v>
      </c>
      <c r="T33" s="176">
        <f t="shared" si="7"/>
        <v>6</v>
      </c>
      <c r="U33" s="251">
        <f t="shared" si="19"/>
        <v>2.64748059299971E-4</v>
      </c>
      <c r="V33" s="383">
        <f t="shared" si="8"/>
        <v>19.675250449261696</v>
      </c>
      <c r="W33" s="402"/>
      <c r="X33" s="157">
        <f t="shared" si="9"/>
        <v>44580</v>
      </c>
      <c r="Y33" s="385">
        <f t="shared" si="10"/>
        <v>7.5764683569828408</v>
      </c>
      <c r="Z33" s="385">
        <f t="shared" si="20"/>
        <v>7.8935190089018938</v>
      </c>
      <c r="AA33" s="386">
        <f t="shared" si="11"/>
        <v>9.1743908384133395</v>
      </c>
      <c r="AB33" s="197">
        <f t="shared" si="12"/>
        <v>44580</v>
      </c>
      <c r="AC33" s="119">
        <f>IF(OR(t&lt;Tnet,NoTnet),'2021'!Resal_s+('2021'!Salim-'2021'!Resal_s)*(1-EXP(('2021'!Tnet_s-t)/'2021'!Tau_j)),Resal_s+(Salim-Resal_s)*(1-EXP((Tnet_s-t)/Tau_j)))*Salcycl</f>
        <v>0.13961382854417015</v>
      </c>
      <c r="AD33" s="231">
        <f>(INDEX(Models!$BJ33:$BT33,,AH33)*(1-AF33)+INDEX(Models!$BJ33:$BT33,,AH33+1)*AF33-ERP_i)*AE33*Ramure*Pc/MaxiM</f>
        <v>1.4294535295295825E-2</v>
      </c>
      <c r="AE33" s="305">
        <f t="shared" si="13"/>
        <v>0.8</v>
      </c>
      <c r="AF33" s="177">
        <f t="shared" si="21"/>
        <v>0.20098149522420328</v>
      </c>
      <c r="AG33" s="809">
        <f t="shared" si="22"/>
        <v>1</v>
      </c>
      <c r="AH33" s="176">
        <f t="shared" si="14"/>
        <v>7</v>
      </c>
      <c r="AI33" s="225">
        <f t="shared" si="23"/>
        <v>1.2009814952242033</v>
      </c>
      <c r="AJ33" s="265" t="b">
        <f t="shared" si="15"/>
        <v>0</v>
      </c>
      <c r="AK33" s="265" t="b">
        <f t="shared" si="16"/>
        <v>0</v>
      </c>
      <c r="AL33" s="265"/>
      <c r="AM33" s="265"/>
      <c r="AN33" s="75"/>
    </row>
    <row r="34" spans="1:40" s="6" customFormat="1" ht="11.25" x14ac:dyDescent="0.2">
      <c r="A34" s="56">
        <f t="shared" si="17"/>
        <v>44581</v>
      </c>
      <c r="B34" s="616">
        <v>6.3849999999999998</v>
      </c>
      <c r="C34" s="839"/>
      <c r="D34" s="393">
        <f t="shared" si="0"/>
        <v>6.6523481636547883</v>
      </c>
      <c r="E34" s="385">
        <f t="shared" si="1"/>
        <v>7.1937000674120224</v>
      </c>
      <c r="F34" s="385">
        <f t="shared" si="2"/>
        <v>7.1937008383766567</v>
      </c>
      <c r="G34" s="110">
        <f t="shared" si="18"/>
        <v>0.32076250488786989</v>
      </c>
      <c r="H34" s="414" t="b">
        <f>Wh_hp&gt;='2021'!Maxi_hp</f>
        <v>0</v>
      </c>
      <c r="I34" s="380">
        <f>IF(H34,Wh_hp,'2021'!Maxi_hp)</f>
        <v>11.121827175647727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4.0188540508966406E-2</v>
      </c>
      <c r="M34" s="843"/>
      <c r="N34" s="843"/>
      <c r="O34" s="48">
        <f>IF(t&lt;Tnet,'2021'!Resal+('2021'!Salim-'2021'!Resal)*(1-EXP(('2021'!Tnet-t)/('2021'!Tau_j))),Resal+(Salim-Resal)*(1-EXP((Tnet-t)/(Tau_j))))*Salcycl</f>
        <v>7.5253610615432384E-2</v>
      </c>
      <c r="P34" s="339">
        <f>(INDEX(Models!$BJ34:$BT34,,T34)*(1-R34)+INDEX(Models!$BJ34:$BT34,,T34+1)*R34-ERP_i)*Q34*Ramure*Pc/MaxiM</f>
        <v>3.6130739764782096E-6</v>
      </c>
      <c r="Q34" s="305">
        <f t="shared" si="4"/>
        <v>0.8</v>
      </c>
      <c r="R34" s="177">
        <f t="shared" si="5"/>
        <v>3.3797803535115078E-4</v>
      </c>
      <c r="S34" s="809">
        <f t="shared" si="6"/>
        <v>0</v>
      </c>
      <c r="T34" s="176">
        <f t="shared" si="7"/>
        <v>6</v>
      </c>
      <c r="U34" s="251">
        <f t="shared" si="19"/>
        <v>3.3797803535115078E-4</v>
      </c>
      <c r="V34" s="383">
        <f t="shared" si="8"/>
        <v>19.905623374049533</v>
      </c>
      <c r="W34" s="402"/>
      <c r="X34" s="157">
        <f t="shared" si="9"/>
        <v>44581</v>
      </c>
      <c r="Y34" s="385">
        <f t="shared" si="10"/>
        <v>5.9377550318783472</v>
      </c>
      <c r="Z34" s="385">
        <f t="shared" si="20"/>
        <v>6.1863764733825999</v>
      </c>
      <c r="AA34" s="386">
        <f t="shared" si="11"/>
        <v>7.1907113771940061</v>
      </c>
      <c r="AB34" s="197">
        <f t="shared" si="12"/>
        <v>44581</v>
      </c>
      <c r="AC34" s="119">
        <f>IF(OR(t&lt;Tnet,NoTnet),'2021'!Resal_s+('2021'!Salim-'2021'!Resal_s)*(1-EXP(('2021'!Tnet_s-t)/'2021'!Tau_j)),Resal_s+(Salim-Resal_s)*(1-EXP((Tnet_s-t)/Tau_j)))*Salcycl</f>
        <v>0.13967114672363926</v>
      </c>
      <c r="AD34" s="231">
        <f>(INDEX(Models!$BJ34:$BT34,,AH34)*(1-AF34)+INDEX(Models!$BJ34:$BT34,,AH34+1)*AF34-ERP_i)*AE34*Ramure*Pc/MaxiM</f>
        <v>1.4009909042620941E-2</v>
      </c>
      <c r="AE34" s="305">
        <f t="shared" si="13"/>
        <v>0.8</v>
      </c>
      <c r="AF34" s="177">
        <f t="shared" si="21"/>
        <v>0.20105472520025458</v>
      </c>
      <c r="AG34" s="809">
        <f t="shared" si="22"/>
        <v>1</v>
      </c>
      <c r="AH34" s="176">
        <f t="shared" si="14"/>
        <v>7</v>
      </c>
      <c r="AI34" s="225">
        <f t="shared" si="23"/>
        <v>1.2010547252002546</v>
      </c>
      <c r="AJ34" s="265" t="b">
        <f t="shared" si="15"/>
        <v>0</v>
      </c>
      <c r="AK34" s="265" t="b">
        <f t="shared" si="16"/>
        <v>0</v>
      </c>
      <c r="AL34" s="265"/>
      <c r="AM34" s="265"/>
      <c r="AN34" s="75"/>
    </row>
    <row r="35" spans="1:40" s="6" customFormat="1" ht="11.25" x14ac:dyDescent="0.2">
      <c r="A35" s="56">
        <f t="shared" si="17"/>
        <v>44582</v>
      </c>
      <c r="B35" s="616">
        <v>14.272</v>
      </c>
      <c r="C35" s="839"/>
      <c r="D35" s="393">
        <f t="shared" si="0"/>
        <v>14.869937050578011</v>
      </c>
      <c r="E35" s="385">
        <f t="shared" si="1"/>
        <v>16.083220230785741</v>
      </c>
      <c r="F35" s="385">
        <f t="shared" si="2"/>
        <v>16.083260697407649</v>
      </c>
      <c r="G35" s="110">
        <f t="shared" si="18"/>
        <v>0.70871546783733241</v>
      </c>
      <c r="H35" s="414" t="b">
        <f>Wh_hp&gt;='2021'!Maxi_hp</f>
        <v>1</v>
      </c>
      <c r="I35" s="380">
        <f>IF(H35,Wh_hp,'2021'!Maxi_hp)</f>
        <v>16.083260697407649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4.0211135295610975E-2</v>
      </c>
      <c r="M35" s="843"/>
      <c r="N35" s="843"/>
      <c r="O35" s="48">
        <f>IF(t&lt;Tnet,'2021'!Resal+('2021'!Salim-'2021'!Resal)*(1-EXP(('2021'!Tnet-t)/('2021'!Tau_j))),Resal+(Salim-Resal)*(1-EXP((Tnet-t)/(Tau_j))))*Salcycl</f>
        <v>7.5437826678846451E-2</v>
      </c>
      <c r="P35" s="339">
        <f>(INDEX(Models!$BJ35:$BT35,,T35)*(1-R35)+INDEX(Models!$BJ35:$BT35,,T35+1)*R35-ERP_i)*Q35*Ramure*Pc/MaxiM</f>
        <v>4.3092180055575325E-6</v>
      </c>
      <c r="Q35" s="305">
        <f t="shared" si="4"/>
        <v>0.8</v>
      </c>
      <c r="R35" s="177">
        <f t="shared" si="5"/>
        <v>4.1426112003457968E-4</v>
      </c>
      <c r="S35" s="809">
        <f t="shared" si="6"/>
        <v>0</v>
      </c>
      <c r="T35" s="176">
        <f t="shared" si="7"/>
        <v>6</v>
      </c>
      <c r="U35" s="251">
        <f t="shared" si="19"/>
        <v>4.1426112003457968E-4</v>
      </c>
      <c r="V35" s="383">
        <f t="shared" si="8"/>
        <v>20.137805728566143</v>
      </c>
      <c r="W35" s="402"/>
      <c r="X35" s="157">
        <f t="shared" si="9"/>
        <v>44582</v>
      </c>
      <c r="Y35" s="385">
        <f t="shared" si="10"/>
        <v>13.173299738571048</v>
      </c>
      <c r="Z35" s="385">
        <f t="shared" si="20"/>
        <v>13.725205847880272</v>
      </c>
      <c r="AA35" s="386">
        <f t="shared" si="11"/>
        <v>15.954505590001578</v>
      </c>
      <c r="AB35" s="197">
        <f t="shared" si="12"/>
        <v>44582</v>
      </c>
      <c r="AC35" s="119">
        <f>IF(OR(t&lt;Tnet,NoTnet),'2021'!Resal_s+('2021'!Salim-'2021'!Resal_s)*(1-EXP(('2021'!Tnet_s-t)/'2021'!Tau_j)),Resal_s+(Salim-Resal_s)*(1-EXP((Tnet_s-t)/Tau_j)))*Salcycl</f>
        <v>0.13972853809511793</v>
      </c>
      <c r="AD35" s="231">
        <f>(INDEX(Models!$BJ35:$BT35,,AH35)*(1-AF35)+INDEX(Models!$BJ35:$BT35,,AH35+1)*AF35-ERP_i)*AE35*Ramure*Pc/MaxiM</f>
        <v>1.3710900514580397E-2</v>
      </c>
      <c r="AE35" s="305">
        <f t="shared" si="13"/>
        <v>0.8</v>
      </c>
      <c r="AF35" s="177">
        <f t="shared" si="21"/>
        <v>0.20113100828493802</v>
      </c>
      <c r="AG35" s="809">
        <f t="shared" si="22"/>
        <v>1</v>
      </c>
      <c r="AH35" s="176">
        <f t="shared" si="14"/>
        <v>7</v>
      </c>
      <c r="AI35" s="225">
        <f t="shared" si="23"/>
        <v>1.201131008284938</v>
      </c>
      <c r="AJ35" s="265" t="b">
        <f t="shared" si="15"/>
        <v>0</v>
      </c>
      <c r="AK35" s="265" t="b">
        <f t="shared" si="16"/>
        <v>0</v>
      </c>
      <c r="AL35" s="265"/>
      <c r="AM35" s="265"/>
      <c r="AN35" s="75"/>
    </row>
    <row r="36" spans="1:40" s="6" customFormat="1" ht="11.25" x14ac:dyDescent="0.2">
      <c r="A36" s="56">
        <f t="shared" si="17"/>
        <v>44583</v>
      </c>
      <c r="B36" s="616">
        <v>19.588999999999999</v>
      </c>
      <c r="C36" s="839"/>
      <c r="D36" s="393">
        <f t="shared" si="0"/>
        <v>20.410177564321877</v>
      </c>
      <c r="E36" s="385">
        <f t="shared" si="1"/>
        <v>22.07989887360203</v>
      </c>
      <c r="F36" s="385">
        <f t="shared" si="2"/>
        <v>22.080002975196251</v>
      </c>
      <c r="G36" s="110">
        <f t="shared" si="18"/>
        <v>0.96160559262060241</v>
      </c>
      <c r="H36" s="414" t="b">
        <f>Wh_hp&gt;='2021'!Maxi_hp</f>
        <v>1</v>
      </c>
      <c r="I36" s="380">
        <f>IF(H36,Wh_hp,'2021'!Maxi_hp)</f>
        <v>22.080002975196251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4.0233729556441708E-2</v>
      </c>
      <c r="M36" s="843"/>
      <c r="N36" s="843"/>
      <c r="O36" s="48">
        <f>IF(t&lt;Tnet,'2021'!Resal+('2021'!Salim-'2021'!Resal)*(1-EXP(('2021'!Tnet-t)/('2021'!Tau_j))),Resal+(Salim-Resal)*(1-EXP((Tnet-t)/(Tau_j))))*Salcycl</f>
        <v>7.5621782456459258E-2</v>
      </c>
      <c r="P36" s="339">
        <f>(INDEX(Models!$BJ36:$BT36,,T36)*(1-R36)+INDEX(Models!$BJ36:$BT36,,T36+1)*R36-ERP_i)*Q36*Ramure*Pc/MaxiM</f>
        <v>4.9883504012112749E-6</v>
      </c>
      <c r="Q36" s="305">
        <f t="shared" si="4"/>
        <v>0.8</v>
      </c>
      <c r="R36" s="177">
        <f t="shared" si="5"/>
        <v>4.9372377457309431E-4</v>
      </c>
      <c r="S36" s="809">
        <f t="shared" si="6"/>
        <v>0</v>
      </c>
      <c r="T36" s="176">
        <f t="shared" si="7"/>
        <v>6</v>
      </c>
      <c r="U36" s="251">
        <f t="shared" si="19"/>
        <v>4.9372377457309431E-4</v>
      </c>
      <c r="V36" s="383">
        <f t="shared" si="8"/>
        <v>20.371132188346873</v>
      </c>
      <c r="W36" s="402"/>
      <c r="X36" s="157">
        <f t="shared" si="9"/>
        <v>44583</v>
      </c>
      <c r="Y36" s="385">
        <f t="shared" si="10"/>
        <v>17.998496649726576</v>
      </c>
      <c r="Z36" s="385">
        <f t="shared" si="20"/>
        <v>18.75299977088018</v>
      </c>
      <c r="AA36" s="386">
        <f t="shared" si="11"/>
        <v>21.800389183495827</v>
      </c>
      <c r="AB36" s="197">
        <f t="shared" si="12"/>
        <v>44583</v>
      </c>
      <c r="AC36" s="119">
        <f>IF(OR(t&lt;Tnet,NoTnet),'2021'!Resal_s+('2021'!Salim-'2021'!Resal_s)*(1-EXP(('2021'!Tnet_s-t)/'2021'!Tau_j)),Resal_s+(Salim-Resal_s)*(1-EXP((Tnet_s-t)/Tau_j)))*Salcycl</f>
        <v>0.1397860096425573</v>
      </c>
      <c r="AD36" s="231">
        <f>(INDEX(Models!$BJ36:$BT36,,AH36)*(1-AF36)+INDEX(Models!$BJ36:$BT36,,AH36+1)*AF36-ERP_i)*AE36*Ramure*Pc/MaxiM</f>
        <v>1.3398561092725456E-2</v>
      </c>
      <c r="AE36" s="305">
        <f t="shared" si="13"/>
        <v>0.8</v>
      </c>
      <c r="AF36" s="177">
        <f t="shared" si="21"/>
        <v>0.20121047093947642</v>
      </c>
      <c r="AG36" s="809">
        <f t="shared" si="22"/>
        <v>1</v>
      </c>
      <c r="AH36" s="176">
        <f t="shared" si="14"/>
        <v>7</v>
      </c>
      <c r="AI36" s="225">
        <f t="shared" si="23"/>
        <v>1.2012104709394764</v>
      </c>
      <c r="AJ36" s="265" t="b">
        <f t="shared" si="15"/>
        <v>0</v>
      </c>
      <c r="AK36" s="265" t="b">
        <f t="shared" si="16"/>
        <v>0</v>
      </c>
      <c r="AL36" s="265"/>
      <c r="AM36" s="265"/>
      <c r="AN36" s="75"/>
    </row>
    <row r="37" spans="1:40" s="6" customFormat="1" ht="11.25" x14ac:dyDescent="0.2">
      <c r="A37" s="56">
        <f t="shared" si="17"/>
        <v>44584</v>
      </c>
      <c r="B37" s="616">
        <v>19.868000000000002</v>
      </c>
      <c r="C37" s="839"/>
      <c r="D37" s="393">
        <f t="shared" si="0"/>
        <v>20.701360667608597</v>
      </c>
      <c r="E37" s="385">
        <f t="shared" si="1"/>
        <v>22.399354552720794</v>
      </c>
      <c r="F37" s="385">
        <f t="shared" si="2"/>
        <v>22.39947454636982</v>
      </c>
      <c r="G37" s="110">
        <f t="shared" si="18"/>
        <v>0.96413694245361048</v>
      </c>
      <c r="H37" s="414" t="b">
        <f>Wh_hp&gt;='2021'!Maxi_hp</f>
        <v>1</v>
      </c>
      <c r="I37" s="380">
        <f>IF(H37,Wh_hp,'2021'!Maxi_hp)</f>
        <v>22.39947454636982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4.0256323291471038E-2</v>
      </c>
      <c r="M37" s="843"/>
      <c r="N37" s="843"/>
      <c r="O37" s="48">
        <f>IF(t&lt;Tnet,'2021'!Resal+('2021'!Salim-'2021'!Resal)*(1-EXP(('2021'!Tnet-t)/('2021'!Tau_j))),Resal+(Salim-Resal)*(1-EXP((Tnet-t)/(Tau_j))))*Salcycl</f>
        <v>7.5805482747981545E-2</v>
      </c>
      <c r="P37" s="339">
        <f>(INDEX(Models!$BJ37:$BT37,,T37)*(1-R37)+INDEX(Models!$BJ37:$BT37,,T37+1)*R37-ERP_i)*Q37*Ramure*Pc/MaxiM</f>
        <v>5.6462570918507734E-6</v>
      </c>
      <c r="Q37" s="305">
        <f t="shared" si="4"/>
        <v>0.8</v>
      </c>
      <c r="R37" s="177">
        <f t="shared" si="5"/>
        <v>5.7649762750584669E-4</v>
      </c>
      <c r="S37" s="809">
        <f t="shared" si="6"/>
        <v>0</v>
      </c>
      <c r="T37" s="176">
        <f t="shared" si="7"/>
        <v>6</v>
      </c>
      <c r="U37" s="251">
        <f t="shared" si="19"/>
        <v>5.7649762750584669E-4</v>
      </c>
      <c r="V37" s="383">
        <f t="shared" si="8"/>
        <v>20.607025182698184</v>
      </c>
      <c r="W37" s="402"/>
      <c r="X37" s="157">
        <f t="shared" si="9"/>
        <v>44584</v>
      </c>
      <c r="Y37" s="385">
        <f t="shared" si="10"/>
        <v>18.262085997068471</v>
      </c>
      <c r="Z37" s="385">
        <f t="shared" si="20"/>
        <v>19.028086811364954</v>
      </c>
      <c r="AA37" s="386">
        <f t="shared" si="11"/>
        <v>22.121658458611137</v>
      </c>
      <c r="AB37" s="197">
        <f t="shared" si="12"/>
        <v>44584</v>
      </c>
      <c r="AC37" s="119">
        <f>IF(OR(t&lt;Tnet,NoTnet),'2021'!Resal_s+('2021'!Salim-'2021'!Resal_s)*(1-EXP(('2021'!Tnet_s-t)/'2021'!Tau_j)),Resal_s+(Salim-Resal_s)*(1-EXP((Tnet_s-t)/Tau_j)))*Salcycl</f>
        <v>0.13984356792390362</v>
      </c>
      <c r="AD37" s="231">
        <f>(INDEX(Models!$BJ37:$BT37,,AH37)*(1-AF37)+INDEX(Models!$BJ37:$BT37,,AH37+1)*AF37-ERP_i)*AE37*Ramure*Pc/MaxiM</f>
        <v>1.3072533992214643E-2</v>
      </c>
      <c r="AE37" s="305">
        <f t="shared" si="13"/>
        <v>0.8</v>
      </c>
      <c r="AF37" s="177">
        <f t="shared" si="21"/>
        <v>0.20129324479240918</v>
      </c>
      <c r="AG37" s="809">
        <f t="shared" si="22"/>
        <v>1</v>
      </c>
      <c r="AH37" s="176">
        <f t="shared" si="14"/>
        <v>7</v>
      </c>
      <c r="AI37" s="225">
        <f t="shared" si="23"/>
        <v>1.2012932447924092</v>
      </c>
      <c r="AJ37" s="265" t="b">
        <f t="shared" si="15"/>
        <v>0</v>
      </c>
      <c r="AK37" s="265" t="b">
        <f t="shared" si="16"/>
        <v>0</v>
      </c>
      <c r="AL37" s="265"/>
      <c r="AM37" s="265"/>
      <c r="AN37" s="75"/>
    </row>
    <row r="38" spans="1:40" s="6" customFormat="1" ht="11.25" x14ac:dyDescent="0.2">
      <c r="A38" s="56">
        <f t="shared" si="17"/>
        <v>44585</v>
      </c>
      <c r="B38" s="616">
        <v>19.981999999999999</v>
      </c>
      <c r="C38" s="839"/>
      <c r="D38" s="393">
        <f t="shared" si="0"/>
        <v>20.820632518713239</v>
      </c>
      <c r="E38" s="385">
        <f t="shared" si="1"/>
        <v>22.532882170288833</v>
      </c>
      <c r="F38" s="385">
        <f t="shared" si="2"/>
        <v>22.533015476555242</v>
      </c>
      <c r="G38" s="110">
        <f t="shared" si="18"/>
        <v>0.95849688653266152</v>
      </c>
      <c r="H38" s="414" t="b">
        <f>Wh_hp&gt;='2021'!Maxi_hp</f>
        <v>1</v>
      </c>
      <c r="I38" s="380">
        <f>IF(H38,Wh_hp,'2021'!Maxi_hp)</f>
        <v>22.533015476555242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4.0278916500711179E-2</v>
      </c>
      <c r="M38" s="843"/>
      <c r="N38" s="843"/>
      <c r="O38" s="48">
        <f>IF(t&lt;Tnet,'2021'!Resal+('2021'!Salim-'2021'!Resal)*(1-EXP(('2021'!Tnet-t)/('2021'!Tau_j))),Resal+(Salim-Resal)*(1-EXP((Tnet-t)/(Tau_j))))*Salcycl</f>
        <v>7.5988932025451761E-2</v>
      </c>
      <c r="P38" s="339">
        <f>(INDEX(Models!$BJ38:$BT38,,T38)*(1-R38)+INDEX(Models!$BJ38:$BT38,,T38+1)*R38-ERP_i)*Q38*Ramure*Pc/MaxiM</f>
        <v>6.2889092590450578E-6</v>
      </c>
      <c r="Q38" s="305">
        <f t="shared" si="4"/>
        <v>0.8</v>
      </c>
      <c r="R38" s="177">
        <f t="shared" si="5"/>
        <v>6.6271967978121882E-4</v>
      </c>
      <c r="S38" s="809">
        <f t="shared" si="6"/>
        <v>0</v>
      </c>
      <c r="T38" s="176">
        <f t="shared" si="7"/>
        <v>6</v>
      </c>
      <c r="U38" s="251">
        <f t="shared" si="19"/>
        <v>6.6271967978121882E-4</v>
      </c>
      <c r="V38" s="383">
        <f t="shared" si="8"/>
        <v>20.847216960304504</v>
      </c>
      <c r="W38" s="402"/>
      <c r="X38" s="157">
        <f t="shared" si="9"/>
        <v>44585</v>
      </c>
      <c r="Y38" s="385">
        <f t="shared" si="10"/>
        <v>18.376987581919984</v>
      </c>
      <c r="Z38" s="385">
        <f t="shared" si="20"/>
        <v>19.14825869503116</v>
      </c>
      <c r="AA38" s="386">
        <f t="shared" si="11"/>
        <v>22.262859935079749</v>
      </c>
      <c r="AB38" s="197">
        <f t="shared" si="12"/>
        <v>44585</v>
      </c>
      <c r="AC38" s="119">
        <f>IF(OR(t&lt;Tnet,NoTnet),'2021'!Resal_s+('2021'!Salim-'2021'!Resal_s)*(1-EXP(('2021'!Tnet_s-t)/'2021'!Tau_j)),Resal_s+(Salim-Resal_s)*(1-EXP((Tnet_s-t)/Tau_j)))*Salcycl</f>
        <v>0.1399012188519809</v>
      </c>
      <c r="AD38" s="231">
        <f>(INDEX(Models!$BJ38:$BT38,,AH38)*(1-AF38)+INDEX(Models!$BJ38:$BT38,,AH38+1)*AF38-ERP_i)*AE38*Ramure*Pc/MaxiM</f>
        <v>1.2744964898750731E-2</v>
      </c>
      <c r="AE38" s="305">
        <f t="shared" si="13"/>
        <v>0.8</v>
      </c>
      <c r="AF38" s="177">
        <f t="shared" si="21"/>
        <v>0.20137946684468466</v>
      </c>
      <c r="AG38" s="809">
        <f t="shared" si="22"/>
        <v>1</v>
      </c>
      <c r="AH38" s="176">
        <f t="shared" si="14"/>
        <v>7</v>
      </c>
      <c r="AI38" s="225">
        <f t="shared" si="23"/>
        <v>1.2013794668446847</v>
      </c>
      <c r="AJ38" s="265" t="b">
        <f t="shared" si="15"/>
        <v>0</v>
      </c>
      <c r="AK38" s="265" t="b">
        <f t="shared" si="16"/>
        <v>0</v>
      </c>
      <c r="AL38" s="265"/>
      <c r="AM38" s="265"/>
      <c r="AN38" s="75"/>
    </row>
    <row r="39" spans="1:40" s="6" customFormat="1" ht="11.25" x14ac:dyDescent="0.2">
      <c r="A39" s="56">
        <f t="shared" si="17"/>
        <v>44586</v>
      </c>
      <c r="B39" s="616">
        <v>20.007999999999999</v>
      </c>
      <c r="C39" s="839"/>
      <c r="D39" s="393">
        <f t="shared" si="0"/>
        <v>20.848214508487441</v>
      </c>
      <c r="E39" s="385">
        <f t="shared" si="1"/>
        <v>22.567206817456857</v>
      </c>
      <c r="F39" s="385">
        <f t="shared" si="2"/>
        <v>22.567351646183756</v>
      </c>
      <c r="G39" s="110">
        <f t="shared" si="18"/>
        <v>0.9486277731915832</v>
      </c>
      <c r="H39" s="414" t="b">
        <f>Wh_hp&gt;='2021'!Maxi_hp</f>
        <v>1</v>
      </c>
      <c r="I39" s="380">
        <f>IF(H39,Wh_hp,'2021'!Maxi_hp)</f>
        <v>22.567351646183756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4.0301509184174342E-2</v>
      </c>
      <c r="M39" s="843"/>
      <c r="N39" s="843"/>
      <c r="O39" s="48">
        <f>IF(t&lt;Tnet,'2021'!Resal+('2021'!Salim-'2021'!Resal)*(1-EXP(('2021'!Tnet-t)/('2021'!Tau_j))),Resal+(Salim-Resal)*(1-EXP((Tnet-t)/(Tau_j))))*Salcycl</f>
        <v>7.617213432189969E-2</v>
      </c>
      <c r="P39" s="339">
        <f>(INDEX(Models!$BJ39:$BT39,,T39)*(1-R39)+INDEX(Models!$BJ39:$BT39,,T39+1)*R39-ERP_i)*Q39*Ramure*Pc/MaxiM</f>
        <v>6.9259012262651967E-6</v>
      </c>
      <c r="Q39" s="305">
        <f t="shared" si="4"/>
        <v>0.8</v>
      </c>
      <c r="R39" s="177">
        <f t="shared" si="5"/>
        <v>7.5253251747109862E-4</v>
      </c>
      <c r="S39" s="809">
        <f t="shared" si="6"/>
        <v>0</v>
      </c>
      <c r="T39" s="176">
        <f t="shared" si="7"/>
        <v>6</v>
      </c>
      <c r="U39" s="251">
        <f t="shared" si="19"/>
        <v>7.5253251747109862E-4</v>
      </c>
      <c r="V39" s="383">
        <f t="shared" si="8"/>
        <v>21.091507539320496</v>
      </c>
      <c r="W39" s="402"/>
      <c r="X39" s="157">
        <f t="shared" si="9"/>
        <v>44586</v>
      </c>
      <c r="Y39" s="385">
        <f t="shared" si="10"/>
        <v>18.412106132290116</v>
      </c>
      <c r="Z39" s="385">
        <f t="shared" si="20"/>
        <v>19.185302788835536</v>
      </c>
      <c r="AA39" s="386">
        <f t="shared" si="11"/>
        <v>22.307427278199022</v>
      </c>
      <c r="AB39" s="197">
        <f t="shared" si="12"/>
        <v>44586</v>
      </c>
      <c r="AC39" s="119">
        <f>IF(OR(t&lt;Tnet,NoTnet),'2021'!Resal_s+('2021'!Salim-'2021'!Resal_s)*(1-EXP(('2021'!Tnet_s-t)/'2021'!Tau_j)),Resal_s+(Salim-Resal_s)*(1-EXP((Tnet_s-t)/Tau_j)))*Salcycl</f>
        <v>0.13995896749665662</v>
      </c>
      <c r="AD39" s="231">
        <f>(INDEX(Models!$BJ39:$BT39,,AH39)*(1-AF39)+INDEX(Models!$BJ39:$BT39,,AH39+1)*AF39-ERP_i)*AE39*Ramure*Pc/MaxiM</f>
        <v>1.2429926973003975E-2</v>
      </c>
      <c r="AE39" s="305">
        <f t="shared" si="13"/>
        <v>0.8</v>
      </c>
      <c r="AF39" s="177">
        <f t="shared" si="21"/>
        <v>0.20146927968237449</v>
      </c>
      <c r="AG39" s="809">
        <f t="shared" si="22"/>
        <v>1</v>
      </c>
      <c r="AH39" s="176">
        <f t="shared" si="14"/>
        <v>7</v>
      </c>
      <c r="AI39" s="225">
        <f t="shared" si="23"/>
        <v>1.2014692796823745</v>
      </c>
      <c r="AJ39" s="265" t="b">
        <f t="shared" si="15"/>
        <v>0</v>
      </c>
      <c r="AK39" s="265" t="b">
        <f t="shared" si="16"/>
        <v>0</v>
      </c>
      <c r="AL39" s="265"/>
      <c r="AM39" s="265"/>
      <c r="AN39" s="75"/>
    </row>
    <row r="40" spans="1:40" s="6" customFormat="1" ht="11.25" x14ac:dyDescent="0.2">
      <c r="A40" s="56">
        <f t="shared" si="17"/>
        <v>44587</v>
      </c>
      <c r="B40" s="616">
        <v>20.28</v>
      </c>
      <c r="C40" s="839"/>
      <c r="D40" s="393">
        <f t="shared" si="0"/>
        <v>21.132134326137226</v>
      </c>
      <c r="E40" s="385">
        <f t="shared" si="1"/>
        <v>22.879067668740248</v>
      </c>
      <c r="F40" s="385">
        <f t="shared" si="2"/>
        <v>22.879228367903401</v>
      </c>
      <c r="G40" s="110">
        <f t="shared" si="18"/>
        <v>0.95034099450153253</v>
      </c>
      <c r="H40" s="414" t="b">
        <f>Wh_hp&gt;='2021'!Maxi_hp</f>
        <v>1</v>
      </c>
      <c r="I40" s="380">
        <f>IF(H40,Wh_hp,'2021'!Maxi_hp)</f>
        <v>22.879228367903401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4.032410134187274E-2</v>
      </c>
      <c r="M40" s="843"/>
      <c r="N40" s="843"/>
      <c r="O40" s="48">
        <f>IF(t&lt;Tnet,'2021'!Resal+('2021'!Salim-'2021'!Resal)*(1-EXP(('2021'!Tnet-t)/('2021'!Tau_j))),Resal+(Salim-Resal)*(1-EXP((Tnet-t)/(Tau_j))))*Salcycl</f>
        <v>7.6355093131258212E-2</v>
      </c>
      <c r="P40" s="339">
        <f>(INDEX(Models!$BJ40:$BT40,,T40)*(1-R40)+INDEX(Models!$BJ40:$BT40,,T40+1)*R40-ERP_i)*Q40*Ramure*Pc/MaxiM</f>
        <v>7.5601221200012515E-6</v>
      </c>
      <c r="Q40" s="305">
        <f t="shared" si="4"/>
        <v>0.8</v>
      </c>
      <c r="R40" s="177">
        <f t="shared" si="5"/>
        <v>8.4608453234230098E-4</v>
      </c>
      <c r="S40" s="809">
        <f t="shared" si="6"/>
        <v>0</v>
      </c>
      <c r="T40" s="176">
        <f t="shared" si="7"/>
        <v>6</v>
      </c>
      <c r="U40" s="251">
        <f t="shared" si="19"/>
        <v>8.4608453234230098E-4</v>
      </c>
      <c r="V40" s="383">
        <f t="shared" si="8"/>
        <v>21.339697267276865</v>
      </c>
      <c r="W40" s="402"/>
      <c r="X40" s="157">
        <f t="shared" si="9"/>
        <v>44587</v>
      </c>
      <c r="Y40" s="385">
        <f t="shared" si="10"/>
        <v>18.66959770833499</v>
      </c>
      <c r="Z40" s="385">
        <f t="shared" si="20"/>
        <v>19.454065413583763</v>
      </c>
      <c r="AA40" s="386">
        <f t="shared" si="11"/>
        <v>22.621448673337316</v>
      </c>
      <c r="AB40" s="197">
        <f t="shared" si="12"/>
        <v>44587</v>
      </c>
      <c r="AC40" s="119">
        <f>IF(OR(t&lt;Tnet,NoTnet),'2021'!Resal_s+('2021'!Salim-'2021'!Resal_s)*(1-EXP(('2021'!Tnet_s-t)/'2021'!Tau_j)),Resal_s+(Salim-Resal_s)*(1-EXP((Tnet_s-t)/Tau_j)))*Salcycl</f>
        <v>0.14001681790993242</v>
      </c>
      <c r="AD40" s="231">
        <f>(INDEX(Models!$BJ40:$BT40,,AH40)*(1-AF40)+INDEX(Models!$BJ40:$BT40,,AH40+1)*AF40-ERP_i)*AE40*Ramure*Pc/MaxiM</f>
        <v>1.2127293837524014E-2</v>
      </c>
      <c r="AE40" s="305">
        <f t="shared" si="13"/>
        <v>0.8</v>
      </c>
      <c r="AF40" s="177">
        <f t="shared" si="21"/>
        <v>0.20156283169724576</v>
      </c>
      <c r="AG40" s="809">
        <f t="shared" si="22"/>
        <v>1</v>
      </c>
      <c r="AH40" s="176">
        <f t="shared" si="14"/>
        <v>7</v>
      </c>
      <c r="AI40" s="225">
        <f t="shared" si="23"/>
        <v>1.2015628316972458</v>
      </c>
      <c r="AJ40" s="265" t="b">
        <f t="shared" si="15"/>
        <v>0</v>
      </c>
      <c r="AK40" s="265" t="b">
        <f t="shared" si="16"/>
        <v>0</v>
      </c>
      <c r="AL40" s="265"/>
      <c r="AM40" s="265"/>
      <c r="AN40" s="75"/>
    </row>
    <row r="41" spans="1:40" s="6" customFormat="1" ht="11.25" x14ac:dyDescent="0.2">
      <c r="A41" s="56">
        <f t="shared" si="17"/>
        <v>44588</v>
      </c>
      <c r="B41" s="616">
        <v>21.22</v>
      </c>
      <c r="C41" s="839"/>
      <c r="D41" s="393">
        <f t="shared" si="0"/>
        <v>22.112152216468182</v>
      </c>
      <c r="E41" s="385">
        <f t="shared" si="1"/>
        <v>23.944837685326668</v>
      </c>
      <c r="F41" s="385">
        <f t="shared" si="2"/>
        <v>23.945029081134049</v>
      </c>
      <c r="G41" s="110">
        <f t="shared" si="18"/>
        <v>0.98279001188485859</v>
      </c>
      <c r="H41" s="414" t="b">
        <f>Wh_hp&gt;='2021'!Maxi_hp</f>
        <v>1</v>
      </c>
      <c r="I41" s="380">
        <f>IF(H41,Wh_hp,'2021'!Maxi_hp)</f>
        <v>23.945029081134049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4.0346692973818585E-2</v>
      </c>
      <c r="M41" s="843"/>
      <c r="N41" s="843"/>
      <c r="O41" s="48">
        <f>IF(t&lt;Tnet,'2021'!Resal+('2021'!Salim-'2021'!Resal)*(1-EXP(('2021'!Tnet-t)/('2021'!Tau_j))),Resal+(Salim-Resal)*(1-EXP((Tnet-t)/(Tau_j))))*Salcycl</f>
        <v>7.6537811320456353E-2</v>
      </c>
      <c r="P41" s="339">
        <f>(INDEX(Models!$BJ41:$BT41,,T41)*(1-R41)+INDEX(Models!$BJ41:$BT41,,T41+1)*R41-ERP_i)*Q41*Ramure*Pc/MaxiM</f>
        <v>8.1946008779356563E-6</v>
      </c>
      <c r="Q41" s="305">
        <f t="shared" si="4"/>
        <v>0.8</v>
      </c>
      <c r="R41" s="177">
        <f t="shared" si="5"/>
        <v>9.4353015052839155E-4</v>
      </c>
      <c r="S41" s="809">
        <f t="shared" si="6"/>
        <v>0</v>
      </c>
      <c r="T41" s="176">
        <f t="shared" si="7"/>
        <v>6</v>
      </c>
      <c r="U41" s="251">
        <f t="shared" si="19"/>
        <v>9.4353015052839155E-4</v>
      </c>
      <c r="V41" s="383">
        <f t="shared" si="8"/>
        <v>21.591586674883906</v>
      </c>
      <c r="W41" s="402"/>
      <c r="X41" s="157">
        <f t="shared" si="9"/>
        <v>44588</v>
      </c>
      <c r="Y41" s="385">
        <f t="shared" si="10"/>
        <v>19.532009609110602</v>
      </c>
      <c r="Z41" s="385">
        <f t="shared" si="20"/>
        <v>20.353193664946883</v>
      </c>
      <c r="AA41" s="386">
        <f t="shared" si="11"/>
        <v>23.668562132278215</v>
      </c>
      <c r="AB41" s="197">
        <f t="shared" si="12"/>
        <v>44588</v>
      </c>
      <c r="AC41" s="119">
        <f>IF(OR(t&lt;Tnet,NoTnet),'2021'!Resal_s+('2021'!Salim-'2021'!Resal_s)*(1-EXP(('2021'!Tnet_s-t)/'2021'!Tau_j)),Resal_s+(Salim-Resal_s)*(1-EXP((Tnet_s-t)/Tau_j)))*Salcycl</f>
        <v>0.14007477297532864</v>
      </c>
      <c r="AD41" s="231">
        <f>(INDEX(Models!$BJ41:$BT41,,AH41)*(1-AF41)+INDEX(Models!$BJ41:$BT41,,AH41+1)*AF41-ERP_i)*AE41*Ramure*Pc/MaxiM</f>
        <v>1.183691708200022E-2</v>
      </c>
      <c r="AE41" s="305">
        <f t="shared" si="13"/>
        <v>0.8</v>
      </c>
      <c r="AF41" s="177">
        <f t="shared" si="21"/>
        <v>0.20166027731543168</v>
      </c>
      <c r="AG41" s="809">
        <f t="shared" si="22"/>
        <v>1</v>
      </c>
      <c r="AH41" s="176">
        <f t="shared" si="14"/>
        <v>7</v>
      </c>
      <c r="AI41" s="225">
        <f t="shared" si="23"/>
        <v>1.2016602773154317</v>
      </c>
      <c r="AJ41" s="265" t="b">
        <f t="shared" si="15"/>
        <v>0</v>
      </c>
      <c r="AK41" s="265" t="b">
        <f t="shared" si="16"/>
        <v>0</v>
      </c>
      <c r="AL41" s="265"/>
      <c r="AM41" s="265"/>
      <c r="AN41" s="75"/>
    </row>
    <row r="42" spans="1:40" s="6" customFormat="1" ht="11.25" x14ac:dyDescent="0.2">
      <c r="A42" s="56">
        <f t="shared" si="17"/>
        <v>44589</v>
      </c>
      <c r="B42" s="616">
        <v>4.22</v>
      </c>
      <c r="C42" s="839"/>
      <c r="D42" s="393">
        <f t="shared" si="0"/>
        <v>4.397524933280593</v>
      </c>
      <c r="E42" s="385">
        <f t="shared" si="1"/>
        <v>4.7629389996050371</v>
      </c>
      <c r="F42" s="385">
        <f t="shared" si="2"/>
        <v>4.7629389996050371</v>
      </c>
      <c r="G42" s="110">
        <f t="shared" si="18"/>
        <v>0.19316003430993312</v>
      </c>
      <c r="H42" s="414" t="b">
        <f>Wh_hp&gt;='2021'!Maxi_hp</f>
        <v>0</v>
      </c>
      <c r="I42" s="380">
        <f>IF(H42,Wh_hp,'2021'!Maxi_hp)</f>
        <v>16.864393920494742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4.0369284080024201E-2</v>
      </c>
      <c r="M42" s="843"/>
      <c r="N42" s="843"/>
      <c r="O42" s="48">
        <f>IF(t&lt;Tnet,'2021'!Resal+('2021'!Salim-'2021'!Resal)*(1-EXP(('2021'!Tnet-t)/('2021'!Tau_j))),Resal+(Salim-Resal)*(1-EXP((Tnet-t)/(Tau_j))))*Salcycl</f>
        <v>7.6720291054482498E-2</v>
      </c>
      <c r="P42" s="339">
        <f>(INDEX(Models!$BJ42:$BT42,,T42)*(1-R42)+INDEX(Models!$BJ42:$BT42,,T42+1)*R42-ERP_i)*Q42*Ramure*Pc/MaxiM</f>
        <v>8.8325093587560548E-6</v>
      </c>
      <c r="Q42" s="305">
        <f t="shared" si="4"/>
        <v>0.8</v>
      </c>
      <c r="R42" s="177">
        <f t="shared" si="5"/>
        <v>1.0450300695435343E-3</v>
      </c>
      <c r="S42" s="809">
        <f t="shared" si="6"/>
        <v>0</v>
      </c>
      <c r="T42" s="176">
        <f t="shared" si="7"/>
        <v>6</v>
      </c>
      <c r="U42" s="251">
        <f t="shared" si="19"/>
        <v>1.0450300695435343E-3</v>
      </c>
      <c r="V42" s="383">
        <f t="shared" si="8"/>
        <v>21.846976481891712</v>
      </c>
      <c r="W42" s="402"/>
      <c r="X42" s="157">
        <f t="shared" si="9"/>
        <v>44589</v>
      </c>
      <c r="Y42" s="385">
        <f t="shared" si="10"/>
        <v>3.9301626627011075</v>
      </c>
      <c r="Z42" s="385">
        <f t="shared" si="20"/>
        <v>4.0954948580750159</v>
      </c>
      <c r="AA42" s="386">
        <f t="shared" si="11"/>
        <v>4.7629389996050371</v>
      </c>
      <c r="AB42" s="197">
        <f t="shared" si="12"/>
        <v>44589</v>
      </c>
      <c r="AC42" s="119">
        <f>IF(OR(t&lt;Tnet,NoTnet),'2021'!Resal_s+('2021'!Salim-'2021'!Resal_s)*(1-EXP(('2021'!Tnet_s-t)/'2021'!Tau_j)),Resal_s+(Salim-Resal_s)*(1-EXP((Tnet_s-t)/Tau_j)))*Salcycl</f>
        <v>0.14013283428264942</v>
      </c>
      <c r="AD42" s="231">
        <f>(INDEX(Models!$BJ42:$BT42,,AH42)*(1-AF42)+INDEX(Models!$BJ42:$BT42,,AH42+1)*AF42-ERP_i)*AE42*Ramure*Pc/MaxiM</f>
        <v>1.1558628930679977E-2</v>
      </c>
      <c r="AE42" s="305">
        <f t="shared" si="13"/>
        <v>0.8</v>
      </c>
      <c r="AF42" s="177">
        <f t="shared" si="21"/>
        <v>0.20176177723444688</v>
      </c>
      <c r="AG42" s="809">
        <f t="shared" si="22"/>
        <v>1</v>
      </c>
      <c r="AH42" s="176">
        <f t="shared" si="14"/>
        <v>7</v>
      </c>
      <c r="AI42" s="225">
        <f t="shared" si="23"/>
        <v>1.2017617772344469</v>
      </c>
      <c r="AJ42" s="265" t="b">
        <f t="shared" si="15"/>
        <v>0</v>
      </c>
      <c r="AK42" s="265" t="b">
        <f t="shared" si="16"/>
        <v>0</v>
      </c>
      <c r="AL42" s="265"/>
      <c r="AM42" s="265"/>
      <c r="AN42" s="75"/>
    </row>
    <row r="43" spans="1:40" s="6" customFormat="1" ht="11.25" x14ac:dyDescent="0.2">
      <c r="A43" s="56">
        <f t="shared" si="17"/>
        <v>44590</v>
      </c>
      <c r="B43" s="616">
        <v>8.3719999999999999</v>
      </c>
      <c r="C43" s="839"/>
      <c r="D43" s="393">
        <f t="shared" si="0"/>
        <v>8.7243946554100749</v>
      </c>
      <c r="E43" s="385">
        <f t="shared" si="1"/>
        <v>9.4512172053844932</v>
      </c>
      <c r="F43" s="385">
        <f t="shared" si="2"/>
        <v>9.4512272790863463</v>
      </c>
      <c r="G43" s="110">
        <f t="shared" si="18"/>
        <v>0.37872321849564933</v>
      </c>
      <c r="H43" s="414" t="b">
        <f>Wh_hp&gt;='2021'!Maxi_hp</f>
        <v>0</v>
      </c>
      <c r="I43" s="380">
        <f>IF(H43,Wh_hp,'2021'!Maxi_hp)</f>
        <v>15.521194705525005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4.03918746605018E-2</v>
      </c>
      <c r="M43" s="843"/>
      <c r="N43" s="843"/>
      <c r="O43" s="48">
        <f>IF(t&lt;Tnet,'2021'!Resal+('2021'!Salim-'2021'!Resal)*(1-EXP(('2021'!Tnet-t)/('2021'!Tau_j))),Resal+(Salim-Resal)*(1-EXP((Tnet-t)/(Tau_j))))*Salcycl</f>
        <v>7.6902533735055623E-2</v>
      </c>
      <c r="P43" s="339">
        <f>(INDEX(Models!$BJ43:$BT43,,T43)*(1-R43)+INDEX(Models!$BJ43:$BT43,,T43+1)*R43-ERP_i)*Q43*Ramure*Pc/MaxiM</f>
        <v>9.4771665096996484E-6</v>
      </c>
      <c r="Q43" s="305">
        <f t="shared" si="4"/>
        <v>0.8</v>
      </c>
      <c r="R43" s="177">
        <f t="shared" si="5"/>
        <v>1.1507515038858621E-3</v>
      </c>
      <c r="S43" s="809">
        <f t="shared" si="6"/>
        <v>0</v>
      </c>
      <c r="T43" s="176">
        <f t="shared" si="7"/>
        <v>6</v>
      </c>
      <c r="U43" s="251">
        <f t="shared" si="19"/>
        <v>1.1507515038858621E-3</v>
      </c>
      <c r="V43" s="383">
        <f t="shared" si="8"/>
        <v>22.105667600038764</v>
      </c>
      <c r="W43" s="402"/>
      <c r="X43" s="157">
        <f t="shared" si="9"/>
        <v>44590</v>
      </c>
      <c r="Y43" s="385">
        <f t="shared" si="10"/>
        <v>7.7881123188069576</v>
      </c>
      <c r="Z43" s="385">
        <f t="shared" si="20"/>
        <v>8.1159299438524588</v>
      </c>
      <c r="AA43" s="386">
        <f t="shared" si="11"/>
        <v>9.4392242498089303</v>
      </c>
      <c r="AB43" s="197">
        <f t="shared" si="12"/>
        <v>44590</v>
      </c>
      <c r="AC43" s="119">
        <f>IF(OR(t&lt;Tnet,NoTnet),'2021'!Resal_s+('2021'!Salim-'2021'!Resal_s)*(1-EXP(('2021'!Tnet_s-t)/'2021'!Tau_j)),Resal_s+(Salim-Resal_s)*(1-EXP((Tnet_s-t)/Tau_j)))*Salcycl</f>
        <v>0.14019100202892812</v>
      </c>
      <c r="AD43" s="231">
        <f>(INDEX(Models!$BJ43:$BT43,,AH43)*(1-AF43)+INDEX(Models!$BJ43:$BT43,,AH43+1)*AF43-ERP_i)*AE43*Ramure*Pc/MaxiM</f>
        <v>1.1292244772398746E-2</v>
      </c>
      <c r="AE43" s="305">
        <f t="shared" si="13"/>
        <v>0.8</v>
      </c>
      <c r="AF43" s="177">
        <f t="shared" si="21"/>
        <v>0.20186749866878917</v>
      </c>
      <c r="AG43" s="809">
        <f t="shared" si="22"/>
        <v>1</v>
      </c>
      <c r="AH43" s="176">
        <f t="shared" si="14"/>
        <v>7</v>
      </c>
      <c r="AI43" s="225">
        <f t="shared" si="23"/>
        <v>1.2018674986687892</v>
      </c>
      <c r="AJ43" s="265" t="b">
        <f t="shared" si="15"/>
        <v>0</v>
      </c>
      <c r="AK43" s="265" t="b">
        <f t="shared" si="16"/>
        <v>0</v>
      </c>
      <c r="AL43" s="265"/>
      <c r="AM43" s="265"/>
      <c r="AN43" s="75"/>
    </row>
    <row r="44" spans="1:40" s="6" customFormat="1" ht="11.25" x14ac:dyDescent="0.2">
      <c r="A44" s="56">
        <f t="shared" si="17"/>
        <v>44591</v>
      </c>
      <c r="B44" s="616">
        <v>4.4080000000000004</v>
      </c>
      <c r="C44" s="839"/>
      <c r="D44" s="393">
        <f t="shared" si="0"/>
        <v>4.5936499018735422</v>
      </c>
      <c r="E44" s="385">
        <f t="shared" si="1"/>
        <v>4.9773246854501112</v>
      </c>
      <c r="F44" s="385">
        <f t="shared" si="2"/>
        <v>4.9773246854501112</v>
      </c>
      <c r="G44" s="110">
        <f t="shared" si="18"/>
        <v>0.19706998985920554</v>
      </c>
      <c r="H44" s="414" t="b">
        <f>Wh_hp&gt;='2021'!Maxi_hp</f>
        <v>0</v>
      </c>
      <c r="I44" s="380">
        <f>IF(H44,Wh_hp,'2021'!Maxi_hp)</f>
        <v>11.334187659797209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4.0414464715263484E-2</v>
      </c>
      <c r="M44" s="843"/>
      <c r="N44" s="843"/>
      <c r="O44" s="48">
        <f>IF(t&lt;Tnet,'2021'!Resal+('2021'!Salim-'2021'!Resal)*(1-EXP(('2021'!Tnet-t)/('2021'!Tau_j))),Resal+(Salim-Resal)*(1-EXP((Tnet-t)/(Tau_j))))*Salcycl</f>
        <v>7.7084539953389153E-2</v>
      </c>
      <c r="P44" s="339">
        <f>(INDEX(Models!$BJ44:$BT44,,T44)*(1-R44)+INDEX(Models!$BJ44:$BT44,,T44+1)*R44-ERP_i)*Q44*Ramure*Pc/MaxiM</f>
        <v>1.0146970229894729E-5</v>
      </c>
      <c r="Q44" s="305">
        <f t="shared" si="4"/>
        <v>0.8</v>
      </c>
      <c r="R44" s="177">
        <f t="shared" si="5"/>
        <v>1.260868439478028E-3</v>
      </c>
      <c r="S44" s="809">
        <f t="shared" si="6"/>
        <v>0</v>
      </c>
      <c r="T44" s="176">
        <f t="shared" si="7"/>
        <v>6</v>
      </c>
      <c r="U44" s="251">
        <f t="shared" si="19"/>
        <v>1.260868439478028E-3</v>
      </c>
      <c r="V44" s="383">
        <f t="shared" si="8"/>
        <v>22.367460795550056</v>
      </c>
      <c r="W44" s="402"/>
      <c r="X44" s="157">
        <f t="shared" si="9"/>
        <v>44591</v>
      </c>
      <c r="Y44" s="385">
        <f t="shared" si="10"/>
        <v>4.1063145652001065</v>
      </c>
      <c r="Z44" s="385">
        <f t="shared" si="20"/>
        <v>4.2792585071445925</v>
      </c>
      <c r="AA44" s="386">
        <f t="shared" si="11"/>
        <v>4.9773246854501112</v>
      </c>
      <c r="AB44" s="197">
        <f t="shared" si="12"/>
        <v>44591</v>
      </c>
      <c r="AC44" s="119">
        <f>IF(OR(t&lt;Tnet,NoTnet),'2021'!Resal_s+('2021'!Salim-'2021'!Resal_s)*(1-EXP(('2021'!Tnet_s-t)/'2021'!Tau_j)),Resal_s+(Salim-Resal_s)*(1-EXP((Tnet_s-t)/Tau_j)))*Salcycl</f>
        <v>0.14024927494606285</v>
      </c>
      <c r="AD44" s="231">
        <f>(INDEX(Models!$BJ44:$BT44,,AH44)*(1-AF44)+INDEX(Models!$BJ44:$BT44,,AH44+1)*AF44-ERP_i)*AE44*Ramure*Pc/MaxiM</f>
        <v>1.1049455952852318E-2</v>
      </c>
      <c r="AE44" s="305">
        <f t="shared" si="13"/>
        <v>0.8</v>
      </c>
      <c r="AF44" s="177">
        <f t="shared" si="21"/>
        <v>0.20197761560438132</v>
      </c>
      <c r="AG44" s="809">
        <f t="shared" si="22"/>
        <v>1</v>
      </c>
      <c r="AH44" s="176">
        <f t="shared" si="14"/>
        <v>7</v>
      </c>
      <c r="AI44" s="225">
        <f t="shared" si="23"/>
        <v>1.2019776156043813</v>
      </c>
      <c r="AJ44" s="265" t="b">
        <f t="shared" si="15"/>
        <v>0</v>
      </c>
      <c r="AK44" s="265" t="b">
        <f t="shared" si="16"/>
        <v>0</v>
      </c>
      <c r="AL44" s="265"/>
      <c r="AM44" s="265"/>
      <c r="AN44" s="75"/>
    </row>
    <row r="45" spans="1:40" s="6" customFormat="1" ht="11.25" x14ac:dyDescent="0.2">
      <c r="A45" s="56">
        <f t="shared" si="17"/>
        <v>44592</v>
      </c>
      <c r="B45" s="616">
        <v>9.0990000000000002</v>
      </c>
      <c r="C45" s="839"/>
      <c r="D45" s="393">
        <f t="shared" si="0"/>
        <v>9.4824420224296215</v>
      </c>
      <c r="E45" s="385">
        <f t="shared" si="1"/>
        <v>10.27646667680828</v>
      </c>
      <c r="F45" s="385">
        <f t="shared" si="2"/>
        <v>10.276482933683862</v>
      </c>
      <c r="G45" s="110">
        <f t="shared" si="18"/>
        <v>0.40203483783315908</v>
      </c>
      <c r="H45" s="414" t="b">
        <f>Wh_hp&gt;='2021'!Maxi_hp</f>
        <v>0</v>
      </c>
      <c r="I45" s="380">
        <f>IF(H45,Wh_hp,'2021'!Maxi_hp)</f>
        <v>19.643738017718885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4.0437054244321688E-2</v>
      </c>
      <c r="M45" s="843"/>
      <c r="N45" s="843"/>
      <c r="O45" s="48">
        <f>IF(t&lt;Tnet,'2021'!Resal+('2021'!Salim-'2021'!Resal)*(1-EXP(('2021'!Tnet-t)/('2021'!Tau_j))),Resal+(Salim-Resal)*(1-EXP((Tnet-t)/(Tau_j))))*Salcycl</f>
        <v>7.7266309457373727E-2</v>
      </c>
      <c r="P45" s="339">
        <f>(INDEX(Models!$BJ45:$BT45,,T45)*(1-R45)+INDEX(Models!$BJ45:$BT45,,T45+1)*R45-ERP_i)*Q45*Ramure*Pc/MaxiM</f>
        <v>1.0852412042488378E-5</v>
      </c>
      <c r="Q45" s="305">
        <f t="shared" si="4"/>
        <v>0.8</v>
      </c>
      <c r="R45" s="177">
        <f t="shared" si="5"/>
        <v>1.3755618971941005E-3</v>
      </c>
      <c r="S45" s="809">
        <f t="shared" si="6"/>
        <v>0</v>
      </c>
      <c r="T45" s="176">
        <f t="shared" si="7"/>
        <v>6</v>
      </c>
      <c r="U45" s="251">
        <f t="shared" si="19"/>
        <v>1.3755618971941005E-3</v>
      </c>
      <c r="V45" s="383">
        <f t="shared" si="8"/>
        <v>22.63215719554773</v>
      </c>
      <c r="W45" s="402"/>
      <c r="X45" s="157">
        <f t="shared" si="9"/>
        <v>44592</v>
      </c>
      <c r="Y45" s="385">
        <f t="shared" si="10"/>
        <v>8.4639795231984731</v>
      </c>
      <c r="Z45" s="385">
        <f t="shared" si="20"/>
        <v>8.8206610734983002</v>
      </c>
      <c r="AA45" s="386">
        <f t="shared" si="11"/>
        <v>10.260253073228343</v>
      </c>
      <c r="AB45" s="197">
        <f t="shared" si="12"/>
        <v>44592</v>
      </c>
      <c r="AC45" s="119">
        <f>IF(OR(t&lt;Tnet,NoTnet),'2021'!Resal_s+('2021'!Salim-'2021'!Resal_s)*(1-EXP(('2021'!Tnet_s-t)/'2021'!Tau_j)),Resal_s+(Salim-Resal_s)*(1-EXP((Tnet_s-t)/Tau_j)))*Salcycl</f>
        <v>0.14030765025536379</v>
      </c>
      <c r="AD45" s="231">
        <f>(INDEX(Models!$BJ45:$BT45,,AH45)*(1-AF45)+INDEX(Models!$BJ45:$BT45,,AH45+1)*AF45-ERP_i)*AE45*Ramure*Pc/MaxiM</f>
        <v>1.0834377870990506E-2</v>
      </c>
      <c r="AE45" s="305">
        <f t="shared" si="13"/>
        <v>0.8</v>
      </c>
      <c r="AF45" s="177">
        <f t="shared" si="21"/>
        <v>0.20209230906209741</v>
      </c>
      <c r="AG45" s="809">
        <f t="shared" si="22"/>
        <v>1</v>
      </c>
      <c r="AH45" s="176">
        <f t="shared" si="14"/>
        <v>7</v>
      </c>
      <c r="AI45" s="225">
        <f t="shared" si="23"/>
        <v>1.2020923090620974</v>
      </c>
      <c r="AJ45" s="265" t="b">
        <f t="shared" si="15"/>
        <v>0</v>
      </c>
      <c r="AK45" s="265" t="b">
        <f t="shared" si="16"/>
        <v>0</v>
      </c>
      <c r="AL45" s="265"/>
      <c r="AM45" s="265"/>
      <c r="AN45" s="75"/>
    </row>
    <row r="46" spans="1:40" s="6" customFormat="1" ht="11.25" x14ac:dyDescent="0.2">
      <c r="A46" s="56">
        <f t="shared" si="17"/>
        <v>44593</v>
      </c>
      <c r="B46" s="616">
        <v>8.9090000000000007</v>
      </c>
      <c r="C46" s="839"/>
      <c r="D46" s="393">
        <f t="shared" si="0"/>
        <v>9.2846537796009585</v>
      </c>
      <c r="E46" s="385">
        <f t="shared" si="1"/>
        <v>10.064096311917028</v>
      </c>
      <c r="F46" s="385">
        <f t="shared" si="2"/>
        <v>10.064111165001188</v>
      </c>
      <c r="G46" s="110">
        <f t="shared" si="18"/>
        <v>0.38904286814254885</v>
      </c>
      <c r="H46" s="414" t="b">
        <f>Wh_hp&gt;='2021'!Maxi_hp</f>
        <v>0</v>
      </c>
      <c r="I46" s="380">
        <f>IF(H46,Wh_hp,'2021'!Maxi_hp)</f>
        <v>19.85137426834298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4.0459643247688512E-2</v>
      </c>
      <c r="M46" s="843"/>
      <c r="N46" s="843"/>
      <c r="O46" s="48">
        <f>IF(t&lt;Tnet,'2021'!Resal+('2021'!Salim-'2021'!Resal)*(1-EXP(('2021'!Tnet-t)/('2021'!Tau_j))),Resal+(Salim-Resal)*(1-EXP((Tnet-t)/(Tau_j))))*Salcycl</f>
        <v>7.7447841133348516E-2</v>
      </c>
      <c r="P46" s="339">
        <f>(INDEX(Models!$BJ46:$BT46,,T46)*(1-R46)+INDEX(Models!$BJ46:$BT46,,T46+1)*R46-ERP_i)*Q46*Ramure*Pc/MaxiM</f>
        <v>1.1601680535562678E-5</v>
      </c>
      <c r="Q46" s="305">
        <f t="shared" si="4"/>
        <v>0.8</v>
      </c>
      <c r="R46" s="177">
        <f t="shared" si="5"/>
        <v>1.4950202057226701E-3</v>
      </c>
      <c r="S46" s="809">
        <f t="shared" si="6"/>
        <v>0</v>
      </c>
      <c r="T46" s="176">
        <f t="shared" si="7"/>
        <v>6</v>
      </c>
      <c r="U46" s="251">
        <f t="shared" si="19"/>
        <v>1.4950202057226701E-3</v>
      </c>
      <c r="V46" s="383">
        <f t="shared" si="8"/>
        <v>22.899558167836538</v>
      </c>
      <c r="W46" s="402"/>
      <c r="X46" s="157">
        <f t="shared" si="9"/>
        <v>44593</v>
      </c>
      <c r="Y46" s="385">
        <f t="shared" si="10"/>
        <v>8.2901736553671448</v>
      </c>
      <c r="Z46" s="385">
        <f t="shared" si="20"/>
        <v>8.6397342196489895</v>
      </c>
      <c r="AA46" s="386">
        <f t="shared" si="11"/>
        <v>10.050481323889516</v>
      </c>
      <c r="AB46" s="197">
        <f t="shared" si="12"/>
        <v>44593</v>
      </c>
      <c r="AC46" s="119">
        <f>IF(OR(t&lt;Tnet,NoTnet),'2021'!Resal_s+('2021'!Salim-'2021'!Resal_s)*(1-EXP(('2021'!Tnet_s-t)/'2021'!Tau_j)),Resal_s+(Salim-Resal_s)*(1-EXP((Tnet_s-t)/Tau_j)))*Salcycl</f>
        <v>0.14036612364894879</v>
      </c>
      <c r="AD46" s="231">
        <f>(INDEX(Models!$BJ46:$BT46,,AH46)*(1-AF46)+INDEX(Models!$BJ46:$BT46,,AH46+1)*AF46-ERP_i)*AE46*Ramure*Pc/MaxiM</f>
        <v>1.0646210619627703E-2</v>
      </c>
      <c r="AE46" s="305">
        <f t="shared" si="13"/>
        <v>0.8</v>
      </c>
      <c r="AF46" s="177">
        <f t="shared" si="21"/>
        <v>0.20221176737062607</v>
      </c>
      <c r="AG46" s="809">
        <f t="shared" si="22"/>
        <v>1</v>
      </c>
      <c r="AH46" s="176">
        <f t="shared" si="14"/>
        <v>7</v>
      </c>
      <c r="AI46" s="225">
        <f t="shared" si="23"/>
        <v>1.2022117673706261</v>
      </c>
      <c r="AJ46" s="265" t="b">
        <f t="shared" si="15"/>
        <v>0</v>
      </c>
      <c r="AK46" s="265" t="b">
        <f t="shared" si="16"/>
        <v>0</v>
      </c>
      <c r="AL46" s="265"/>
      <c r="AM46" s="265"/>
      <c r="AN46" s="75"/>
    </row>
    <row r="47" spans="1:40" s="6" customFormat="1" ht="11.25" x14ac:dyDescent="0.2">
      <c r="A47" s="56">
        <f t="shared" si="17"/>
        <v>44594</v>
      </c>
      <c r="B47" s="616">
        <v>5.3470000000000004</v>
      </c>
      <c r="C47" s="839"/>
      <c r="D47" s="393">
        <f t="shared" si="0"/>
        <v>5.5725909168048195</v>
      </c>
      <c r="E47" s="385">
        <f t="shared" si="1"/>
        <v>6.041594673240871</v>
      </c>
      <c r="F47" s="385">
        <f t="shared" si="2"/>
        <v>6.041594673240871</v>
      </c>
      <c r="G47" s="110">
        <f t="shared" si="18"/>
        <v>0.23077501437856116</v>
      </c>
      <c r="H47" s="414" t="b">
        <f>Wh_hp&gt;='2021'!Maxi_hp</f>
        <v>0</v>
      </c>
      <c r="I47" s="380">
        <f>IF(H47,Wh_hp,'2021'!Maxi_hp)</f>
        <v>23.358776993635303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4.0482231725376169E-2</v>
      </c>
      <c r="M47" s="843"/>
      <c r="N47" s="843"/>
      <c r="O47" s="48">
        <f>IF(t&lt;Tnet,'2021'!Resal+('2021'!Salim-'2021'!Resal)*(1-EXP(('2021'!Tnet-t)/('2021'!Tau_j))),Resal+(Salim-Resal)*(1-EXP((Tnet-t)/(Tau_j))))*Salcycl</f>
        <v>7.7629133002473552E-2</v>
      </c>
      <c r="P47" s="339">
        <f>(INDEX(Models!$BJ47:$BT47,,T47)*(1-R47)+INDEX(Models!$BJ47:$BT47,,T47+1)*R47-ERP_i)*Q47*Ramure*Pc/MaxiM</f>
        <v>1.2403337543779302E-5</v>
      </c>
      <c r="Q47" s="305">
        <f t="shared" si="4"/>
        <v>0.8</v>
      </c>
      <c r="R47" s="177">
        <f t="shared" si="5"/>
        <v>1.6194392840165267E-3</v>
      </c>
      <c r="S47" s="809">
        <f t="shared" si="6"/>
        <v>0</v>
      </c>
      <c r="T47" s="176">
        <f t="shared" si="7"/>
        <v>6</v>
      </c>
      <c r="U47" s="251">
        <f t="shared" si="19"/>
        <v>1.6194392840165267E-3</v>
      </c>
      <c r="V47" s="383">
        <f t="shared" si="8"/>
        <v>23.16946526361426</v>
      </c>
      <c r="W47" s="402"/>
      <c r="X47" s="157">
        <f t="shared" si="9"/>
        <v>44594</v>
      </c>
      <c r="Y47" s="385">
        <f t="shared" si="10"/>
        <v>4.9829730651475801</v>
      </c>
      <c r="Z47" s="385">
        <f t="shared" si="20"/>
        <v>5.193205618388717</v>
      </c>
      <c r="AA47" s="386">
        <f t="shared" si="11"/>
        <v>6.041594673240871</v>
      </c>
      <c r="AB47" s="197">
        <f t="shared" si="12"/>
        <v>44594</v>
      </c>
      <c r="AC47" s="119">
        <f>IF(OR(t&lt;Tnet,NoTnet),'2021'!Resal_s+('2021'!Salim-'2021'!Resal_s)*(1-EXP(('2021'!Tnet_s-t)/'2021'!Tau_j)),Resal_s+(Salim-Resal_s)*(1-EXP((Tnet_s-t)/Tau_j)))*Salcycl</f>
        <v>0.14042468929764462</v>
      </c>
      <c r="AD47" s="231">
        <f>(INDEX(Models!$BJ47:$BT47,,AH47)*(1-AF47)+INDEX(Models!$BJ47:$BT47,,AH47+1)*AF47-ERP_i)*AE47*Ramure*Pc/MaxiM</f>
        <v>1.0484164136334422E-2</v>
      </c>
      <c r="AE47" s="305">
        <f t="shared" si="13"/>
        <v>0.8</v>
      </c>
      <c r="AF47" s="177">
        <f t="shared" si="21"/>
        <v>0.20233618644891993</v>
      </c>
      <c r="AG47" s="809">
        <f t="shared" si="22"/>
        <v>1</v>
      </c>
      <c r="AH47" s="176">
        <f t="shared" si="14"/>
        <v>7</v>
      </c>
      <c r="AI47" s="225">
        <f t="shared" si="23"/>
        <v>1.2023361864489199</v>
      </c>
      <c r="AJ47" s="265" t="b">
        <f t="shared" si="15"/>
        <v>0</v>
      </c>
      <c r="AK47" s="265" t="b">
        <f t="shared" si="16"/>
        <v>0</v>
      </c>
      <c r="AL47" s="265"/>
      <c r="AM47" s="265"/>
      <c r="AN47" s="75"/>
    </row>
    <row r="48" spans="1:40" s="6" customFormat="1" ht="11.25" x14ac:dyDescent="0.2">
      <c r="A48" s="56">
        <f t="shared" si="17"/>
        <v>44595</v>
      </c>
      <c r="B48" s="616">
        <v>9.745000000000001</v>
      </c>
      <c r="C48" s="839"/>
      <c r="D48" s="393">
        <f t="shared" si="0"/>
        <v>10.156382439277621</v>
      </c>
      <c r="E48" s="385">
        <f t="shared" si="1"/>
        <v>11.013331793073306</v>
      </c>
      <c r="F48" s="385">
        <f t="shared" si="2"/>
        <v>11.013355945078194</v>
      </c>
      <c r="G48" s="110">
        <f t="shared" si="18"/>
        <v>0.41570791851274608</v>
      </c>
      <c r="H48" s="414" t="b">
        <f>Wh_hp&gt;='2021'!Maxi_hp</f>
        <v>0</v>
      </c>
      <c r="I48" s="380">
        <f>IF(H48,Wh_hp,'2021'!Maxi_hp)</f>
        <v>21.831324615372054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4.0504819677396983E-2</v>
      </c>
      <c r="M48" s="843"/>
      <c r="N48" s="843"/>
      <c r="O48" s="48">
        <f>IF(t&lt;Tnet,'2021'!Resal+('2021'!Salim-'2021'!Resal)*(1-EXP(('2021'!Tnet-t)/('2021'!Tau_j))),Resal+(Salim-Resal)*(1-EXP((Tnet-t)/(Tau_j))))*Salcycl</f>
        <v>7.7810182231561609E-2</v>
      </c>
      <c r="P48" s="339">
        <f>(INDEX(Models!$BJ48:$BT48,,T48)*(1-R48)+INDEX(Models!$BJ48:$BT48,,T48+1)*R48-ERP_i)*Q48*Ramure*Pc/MaxiM</f>
        <v>1.3266342139532578E-5</v>
      </c>
      <c r="Q48" s="305">
        <f t="shared" si="4"/>
        <v>0.8</v>
      </c>
      <c r="R48" s="177">
        <f t="shared" si="5"/>
        <v>1.7490229335761069E-3</v>
      </c>
      <c r="S48" s="809">
        <f t="shared" si="6"/>
        <v>0</v>
      </c>
      <c r="T48" s="176">
        <f t="shared" si="7"/>
        <v>6</v>
      </c>
      <c r="U48" s="251">
        <f t="shared" si="19"/>
        <v>1.7490229335761069E-3</v>
      </c>
      <c r="V48" s="383">
        <f t="shared" si="8"/>
        <v>23.441680217822228</v>
      </c>
      <c r="W48" s="402"/>
      <c r="X48" s="157">
        <f t="shared" si="9"/>
        <v>44595</v>
      </c>
      <c r="Y48" s="385">
        <f t="shared" si="10"/>
        <v>9.067201922770451</v>
      </c>
      <c r="Z48" s="385">
        <f t="shared" si="20"/>
        <v>9.4499713064966731</v>
      </c>
      <c r="AA48" s="386">
        <f t="shared" si="11"/>
        <v>10.994517901758789</v>
      </c>
      <c r="AB48" s="197">
        <f t="shared" si="12"/>
        <v>44595</v>
      </c>
      <c r="AC48" s="119">
        <f>IF(OR(t&lt;Tnet,NoTnet),'2021'!Resal_s+('2021'!Salim-'2021'!Resal_s)*(1-EXP(('2021'!Tnet_s-t)/'2021'!Tau_j)),Resal_s+(Salim-Resal_s)*(1-EXP((Tnet_s-t)/Tau_j)))*Salcycl</f>
        <v>0.14048333988478345</v>
      </c>
      <c r="AD48" s="231">
        <f>(INDEX(Models!$BJ48:$BT48,,AH48)*(1-AF48)+INDEX(Models!$BJ48:$BT48,,AH48+1)*AF48-ERP_i)*AE48*Ramure*Pc/MaxiM</f>
        <v>1.0347460968831717E-2</v>
      </c>
      <c r="AE48" s="305">
        <f t="shared" si="13"/>
        <v>0.8</v>
      </c>
      <c r="AF48" s="177">
        <f t="shared" si="21"/>
        <v>0.20246577009847955</v>
      </c>
      <c r="AG48" s="809">
        <f t="shared" si="22"/>
        <v>1</v>
      </c>
      <c r="AH48" s="176">
        <f t="shared" si="14"/>
        <v>7</v>
      </c>
      <c r="AI48" s="225">
        <f t="shared" si="23"/>
        <v>1.2024657700984795</v>
      </c>
      <c r="AJ48" s="265" t="b">
        <f t="shared" si="15"/>
        <v>0</v>
      </c>
      <c r="AK48" s="265" t="b">
        <f t="shared" si="16"/>
        <v>0</v>
      </c>
      <c r="AL48" s="265"/>
      <c r="AM48" s="265"/>
      <c r="AN48" s="75"/>
    </row>
    <row r="49" spans="1:40" s="6" customFormat="1" ht="11.25" x14ac:dyDescent="0.2">
      <c r="A49" s="56">
        <f t="shared" si="17"/>
        <v>44596</v>
      </c>
      <c r="B49" s="616">
        <v>8.8620000000000001</v>
      </c>
      <c r="C49" s="839"/>
      <c r="D49" s="393">
        <f t="shared" si="0"/>
        <v>9.2363242739945459</v>
      </c>
      <c r="E49" s="385">
        <f t="shared" si="1"/>
        <v>10.017607339314464</v>
      </c>
      <c r="F49" s="385">
        <f t="shared" si="2"/>
        <v>10.01762231056335</v>
      </c>
      <c r="G49" s="110">
        <f t="shared" si="18"/>
        <v>0.37366695711876258</v>
      </c>
      <c r="H49" s="414" t="b">
        <f>Wh_hp&gt;='2021'!Maxi_hp</f>
        <v>0</v>
      </c>
      <c r="I49" s="380">
        <f>IF(H49,Wh_hp,'2021'!Maxi_hp)</f>
        <v>19.89663781404116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4.0527407103763166E-2</v>
      </c>
      <c r="M49" s="843"/>
      <c r="N49" s="843"/>
      <c r="O49" s="48">
        <f>IF(t&lt;Tnet,'2021'!Resal+('2021'!Salim-'2021'!Resal)*(1-EXP(('2021'!Tnet-t)/('2021'!Tau_j))),Resal+(Salim-Resal)*(1-EXP((Tnet-t)/(Tau_j))))*Salcycl</f>
        <v>7.7990985158077133E-2</v>
      </c>
      <c r="P49" s="339">
        <f>(INDEX(Models!$BJ49:$BT49,,T49)*(1-R49)+INDEX(Models!$BJ49:$BT49,,T49+1)*R49-ERP_i)*Q49*Ramure*Pc/MaxiM</f>
        <v>1.4200076907990685E-5</v>
      </c>
      <c r="Q49" s="305">
        <f t="shared" si="4"/>
        <v>0.8</v>
      </c>
      <c r="R49" s="177">
        <f t="shared" si="5"/>
        <v>1.8839831408152682E-3</v>
      </c>
      <c r="S49" s="809">
        <f t="shared" si="6"/>
        <v>0</v>
      </c>
      <c r="T49" s="176">
        <f t="shared" si="7"/>
        <v>6</v>
      </c>
      <c r="U49" s="251">
        <f t="shared" si="19"/>
        <v>1.8839831408152682E-3</v>
      </c>
      <c r="V49" s="383">
        <f t="shared" si="8"/>
        <v>23.716004945320993</v>
      </c>
      <c r="W49" s="402"/>
      <c r="X49" s="157">
        <f t="shared" si="9"/>
        <v>44596</v>
      </c>
      <c r="Y49" s="385">
        <f t="shared" si="10"/>
        <v>8.2518964353706536</v>
      </c>
      <c r="Z49" s="385">
        <f t="shared" si="20"/>
        <v>8.6004503895850863</v>
      </c>
      <c r="AA49" s="386">
        <f t="shared" si="11"/>
        <v>10.006831115296764</v>
      </c>
      <c r="AB49" s="197">
        <f t="shared" si="12"/>
        <v>44596</v>
      </c>
      <c r="AC49" s="119">
        <f>IF(OR(t&lt;Tnet,NoTnet),'2021'!Resal_s+('2021'!Salim-'2021'!Resal_s)*(1-EXP(('2021'!Tnet_s-t)/'2021'!Tau_j)),Resal_s+(Salim-Resal_s)*(1-EXP((Tnet_s-t)/Tau_j)))*Salcycl</f>
        <v>0.14054206666502433</v>
      </c>
      <c r="AD49" s="231">
        <f>(INDEX(Models!$BJ49:$BT49,,AH49)*(1-AF49)+INDEX(Models!$BJ49:$BT49,,AH49+1)*AF49-ERP_i)*AE49*Ramure*Pc/MaxiM</f>
        <v>1.0235338674273968E-2</v>
      </c>
      <c r="AE49" s="305">
        <f t="shared" si="13"/>
        <v>0.8</v>
      </c>
      <c r="AF49" s="177">
        <f t="shared" si="21"/>
        <v>0.20260073030571868</v>
      </c>
      <c r="AG49" s="809">
        <f t="shared" si="22"/>
        <v>1</v>
      </c>
      <c r="AH49" s="176">
        <f t="shared" si="14"/>
        <v>7</v>
      </c>
      <c r="AI49" s="225">
        <f t="shared" si="23"/>
        <v>1.2026007303057187</v>
      </c>
      <c r="AJ49" s="265" t="b">
        <f t="shared" si="15"/>
        <v>0</v>
      </c>
      <c r="AK49" s="265" t="b">
        <f t="shared" si="16"/>
        <v>0</v>
      </c>
      <c r="AL49" s="265"/>
      <c r="AM49" s="265"/>
      <c r="AN49" s="75"/>
    </row>
    <row r="50" spans="1:40" s="6" customFormat="1" ht="11.25" x14ac:dyDescent="0.2">
      <c r="A50" s="56">
        <f t="shared" si="17"/>
        <v>44597</v>
      </c>
      <c r="B50" s="616">
        <v>9.1940000000000008</v>
      </c>
      <c r="C50" s="839"/>
      <c r="D50" s="393">
        <f t="shared" si="0"/>
        <v>9.5825732894341105</v>
      </c>
      <c r="E50" s="385">
        <f t="shared" si="1"/>
        <v>10.395180532468256</v>
      </c>
      <c r="F50" s="385">
        <f t="shared" si="2"/>
        <v>10.395199332124752</v>
      </c>
      <c r="G50" s="110">
        <f t="shared" si="18"/>
        <v>0.38320207511230669</v>
      </c>
      <c r="H50" s="414" t="b">
        <f>Wh_hp&gt;='2021'!Maxi_hp</f>
        <v>0</v>
      </c>
      <c r="I50" s="380">
        <f>IF(H50,Wh_hp,'2021'!Maxi_hp)</f>
        <v>27.074904186376749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4.0549994004487042E-2</v>
      </c>
      <c r="M50" s="843"/>
      <c r="N50" s="843"/>
      <c r="O50" s="48">
        <f>IF(t&lt;Tnet,'2021'!Resal+('2021'!Salim-'2021'!Resal)*(1-EXP(('2021'!Tnet-t)/('2021'!Tau_j))),Resal+(Salim-Resal)*(1-EXP((Tnet-t)/(Tau_j))))*Salcycl</f>
        <v>7.8171537328866295E-2</v>
      </c>
      <c r="P50" s="339">
        <f>(INDEX(Models!$BJ50:$BT50,,T50)*(1-R50)+INDEX(Models!$BJ50:$BT50,,T50+1)*R50-ERP_i)*Q50*Ramure*Pc/MaxiM</f>
        <v>1.5214376532327269E-5</v>
      </c>
      <c r="Q50" s="305">
        <f t="shared" si="4"/>
        <v>0.8</v>
      </c>
      <c r="R50" s="177">
        <f t="shared" si="5"/>
        <v>2.0245403897522878E-3</v>
      </c>
      <c r="S50" s="809">
        <f t="shared" si="6"/>
        <v>0</v>
      </c>
      <c r="T50" s="176">
        <f t="shared" si="7"/>
        <v>6</v>
      </c>
      <c r="U50" s="251">
        <f t="shared" si="19"/>
        <v>2.0245403897522878E-3</v>
      </c>
      <c r="V50" s="383">
        <f t="shared" si="8"/>
        <v>23.992241543575616</v>
      </c>
      <c r="W50" s="402"/>
      <c r="X50" s="157">
        <f t="shared" si="9"/>
        <v>44597</v>
      </c>
      <c r="Y50" s="385">
        <f t="shared" si="10"/>
        <v>8.5610285259194328</v>
      </c>
      <c r="Z50" s="385">
        <f t="shared" si="20"/>
        <v>8.9228500416096406</v>
      </c>
      <c r="AA50" s="386">
        <f t="shared" si="11"/>
        <v>10.382661119380714</v>
      </c>
      <c r="AB50" s="197">
        <f t="shared" si="12"/>
        <v>44597</v>
      </c>
      <c r="AC50" s="119">
        <f>IF(OR(t&lt;Tnet,NoTnet),'2021'!Resal_s+('2021'!Salim-'2021'!Resal_s)*(1-EXP(('2021'!Tnet_s-t)/'2021'!Tau_j)),Resal_s+(Salim-Resal_s)*(1-EXP((Tnet_s-t)/Tau_j)))*Salcycl</f>
        <v>0.14060085954708929</v>
      </c>
      <c r="AD50" s="231">
        <f>(INDEX(Models!$BJ50:$BT50,,AH50)*(1-AF50)+INDEX(Models!$BJ50:$BT50,,AH50+1)*AF50-ERP_i)*AE50*Ramure*Pc/MaxiM</f>
        <v>1.0147051876677315E-2</v>
      </c>
      <c r="AE50" s="305">
        <f t="shared" si="13"/>
        <v>0.8</v>
      </c>
      <c r="AF50" s="177">
        <f t="shared" si="21"/>
        <v>0.2027412875546557</v>
      </c>
      <c r="AG50" s="809">
        <f t="shared" si="22"/>
        <v>1</v>
      </c>
      <c r="AH50" s="176">
        <f t="shared" si="14"/>
        <v>7</v>
      </c>
      <c r="AI50" s="225">
        <f t="shared" si="23"/>
        <v>1.2027412875546557</v>
      </c>
      <c r="AJ50" s="265" t="b">
        <f t="shared" si="15"/>
        <v>0</v>
      </c>
      <c r="AK50" s="265" t="b">
        <f t="shared" si="16"/>
        <v>0</v>
      </c>
      <c r="AL50" s="265"/>
      <c r="AM50" s="265"/>
      <c r="AN50" s="75"/>
    </row>
    <row r="51" spans="1:40" s="6" customFormat="1" ht="11.25" x14ac:dyDescent="0.2">
      <c r="A51" s="56">
        <f t="shared" si="17"/>
        <v>44598</v>
      </c>
      <c r="B51" s="616">
        <v>15.936</v>
      </c>
      <c r="C51" s="839"/>
      <c r="D51" s="393">
        <f t="shared" si="0"/>
        <v>16.609906777841307</v>
      </c>
      <c r="E51" s="385">
        <f t="shared" si="1"/>
        <v>18.021960421031487</v>
      </c>
      <c r="F51" s="385">
        <f t="shared" si="2"/>
        <v>18.022110260176166</v>
      </c>
      <c r="G51" s="110">
        <f t="shared" si="18"/>
        <v>0.65661238736431737</v>
      </c>
      <c r="H51" s="414" t="b">
        <f>Wh_hp&gt;='2021'!Maxi_hp</f>
        <v>0</v>
      </c>
      <c r="I51" s="380">
        <f>IF(H51,Wh_hp,'2021'!Maxi_hp)</f>
        <v>27.752705659425114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4.05725803795806E-2</v>
      </c>
      <c r="M51" s="843"/>
      <c r="N51" s="843"/>
      <c r="O51" s="48">
        <f>IF(t&lt;Tnet,'2021'!Resal+('2021'!Salim-'2021'!Resal)*(1-EXP(('2021'!Tnet-t)/('2021'!Tau_j))),Resal+(Salim-Resal)*(1-EXP((Tnet-t)/(Tau_j))))*Salcycl</f>
        <v>7.8351833552043851E-2</v>
      </c>
      <c r="P51" s="339">
        <f>(INDEX(Models!$BJ51:$BT51,,T51)*(1-R51)+INDEX(Models!$BJ51:$BT51,,T51+1)*R51-ERP_i)*Q51*Ramure*Pc/MaxiM</f>
        <v>1.6319800910088183E-5</v>
      </c>
      <c r="Q51" s="305">
        <f t="shared" si="4"/>
        <v>0.8</v>
      </c>
      <c r="R51" s="177">
        <f t="shared" si="5"/>
        <v>2.1709239852652669E-3</v>
      </c>
      <c r="S51" s="809">
        <f t="shared" si="6"/>
        <v>0</v>
      </c>
      <c r="T51" s="176">
        <f t="shared" si="7"/>
        <v>6</v>
      </c>
      <c r="U51" s="251">
        <f t="shared" si="19"/>
        <v>2.1709239852652669E-3</v>
      </c>
      <c r="V51" s="383">
        <f t="shared" si="8"/>
        <v>24.26983213856083</v>
      </c>
      <c r="W51" s="402"/>
      <c r="X51" s="157">
        <f t="shared" si="9"/>
        <v>44598</v>
      </c>
      <c r="Y51" s="385">
        <f t="shared" si="10"/>
        <v>14.782453376568442</v>
      </c>
      <c r="Z51" s="385">
        <f t="shared" si="20"/>
        <v>15.407578597677414</v>
      </c>
      <c r="AA51" s="386">
        <f t="shared" si="11"/>
        <v>17.929542844381352</v>
      </c>
      <c r="AB51" s="197">
        <f t="shared" si="12"/>
        <v>44598</v>
      </c>
      <c r="AC51" s="119">
        <f>IF(OR(t&lt;Tnet,NoTnet),'2021'!Resal_s+('2021'!Salim-'2021'!Resal_s)*(1-EXP(('2021'!Tnet_s-t)/'2021'!Tau_j)),Resal_s+(Salim-Resal_s)*(1-EXP((Tnet_s-t)/Tau_j)))*Salcycl</f>
        <v>0.14065970719907431</v>
      </c>
      <c r="AD51" s="231">
        <f>(INDEX(Models!$BJ51:$BT51,,AH51)*(1-AF51)+INDEX(Models!$BJ51:$BT51,,AH51+1)*AF51-ERP_i)*AE51*Ramure*Pc/MaxiM</f>
        <v>1.0082023624639497E-2</v>
      </c>
      <c r="AE51" s="305">
        <f t="shared" si="13"/>
        <v>0.8</v>
      </c>
      <c r="AF51" s="177">
        <f t="shared" si="21"/>
        <v>0.20288767115016859</v>
      </c>
      <c r="AG51" s="809">
        <f t="shared" si="22"/>
        <v>1</v>
      </c>
      <c r="AH51" s="176">
        <f t="shared" si="14"/>
        <v>7</v>
      </c>
      <c r="AI51" s="225">
        <f t="shared" si="23"/>
        <v>1.2028876711501686</v>
      </c>
      <c r="AJ51" s="265" t="b">
        <f t="shared" si="15"/>
        <v>0</v>
      </c>
      <c r="AK51" s="265" t="b">
        <f t="shared" si="16"/>
        <v>0</v>
      </c>
      <c r="AL51" s="265"/>
      <c r="AM51" s="265"/>
      <c r="AN51" s="75"/>
    </row>
    <row r="52" spans="1:40" s="6" customFormat="1" ht="11.25" x14ac:dyDescent="0.2">
      <c r="A52" s="56">
        <f t="shared" si="17"/>
        <v>44599</v>
      </c>
      <c r="B52" s="616">
        <v>9.1920000000000002</v>
      </c>
      <c r="C52" s="839"/>
      <c r="D52" s="393">
        <f t="shared" si="0"/>
        <v>9.5809398456653749</v>
      </c>
      <c r="E52" s="385">
        <f t="shared" si="1"/>
        <v>10.397472807299797</v>
      </c>
      <c r="F52" s="385">
        <f t="shared" si="2"/>
        <v>10.397492197364162</v>
      </c>
      <c r="G52" s="110">
        <f t="shared" si="18"/>
        <v>0.37443485500980273</v>
      </c>
      <c r="H52" s="414" t="b">
        <f>Wh_hp&gt;='2021'!Maxi_hp</f>
        <v>0</v>
      </c>
      <c r="I52" s="380">
        <f>IF(H52,Wh_hp,'2021'!Maxi_hp)</f>
        <v>19.538155508149512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4.0595166229056276E-2</v>
      </c>
      <c r="M52" s="843"/>
      <c r="N52" s="843"/>
      <c r="O52" s="48">
        <f>IF(t&lt;Tnet,'2021'!Resal+('2021'!Salim-'2021'!Resal)*(1-EXP(('2021'!Tnet-t)/('2021'!Tau_j))),Resal+(Salim-Resal)*(1-EXP((Tnet-t)/(Tau_j))))*Salcycl</f>
        <v>7.8531867961333407E-2</v>
      </c>
      <c r="P52" s="339">
        <f>(INDEX(Models!$BJ52:$BT52,,T52)*(1-R52)+INDEX(Models!$BJ52:$BT52,,T52+1)*R52-ERP_i)*Q52*Ramure*Pc/MaxiM</f>
        <v>1.7536305586058919E-5</v>
      </c>
      <c r="Q52" s="305">
        <f t="shared" si="4"/>
        <v>0.8</v>
      </c>
      <c r="R52" s="177">
        <f t="shared" si="5"/>
        <v>2.3233723871470273E-3</v>
      </c>
      <c r="S52" s="809">
        <f t="shared" si="6"/>
        <v>0</v>
      </c>
      <c r="T52" s="176">
        <f t="shared" si="7"/>
        <v>6</v>
      </c>
      <c r="U52" s="251">
        <f t="shared" si="19"/>
        <v>2.3233723871470273E-3</v>
      </c>
      <c r="V52" s="383">
        <f t="shared" si="8"/>
        <v>24.548611928067189</v>
      </c>
      <c r="W52" s="402"/>
      <c r="X52" s="157">
        <f t="shared" si="9"/>
        <v>44599</v>
      </c>
      <c r="Y52" s="385">
        <f t="shared" si="10"/>
        <v>8.5625204972518443</v>
      </c>
      <c r="Z52" s="385">
        <f t="shared" si="20"/>
        <v>8.9248252623418942</v>
      </c>
      <c r="AA52" s="386">
        <f t="shared" si="11"/>
        <v>10.386382427221369</v>
      </c>
      <c r="AB52" s="197">
        <f t="shared" si="12"/>
        <v>44599</v>
      </c>
      <c r="AC52" s="119">
        <f>IF(OR(t&lt;Tnet,NoTnet),'2021'!Resal_s+('2021'!Salim-'2021'!Resal_s)*(1-EXP(('2021'!Tnet_s-t)/'2021'!Tau_j)),Resal_s+(Salim-Resal_s)*(1-EXP((Tnet_s-t)/Tau_j)))*Salcycl</f>
        <v>0.14071859717478943</v>
      </c>
      <c r="AD52" s="231">
        <f>(INDEX(Models!$BJ52:$BT52,,AH52)*(1-AF52)+INDEX(Models!$BJ52:$BT52,,AH52+1)*AF52-ERP_i)*AE52*Ramure*Pc/MaxiM</f>
        <v>1.0047636796867055E-2</v>
      </c>
      <c r="AE52" s="305">
        <f t="shared" si="13"/>
        <v>0.8</v>
      </c>
      <c r="AF52" s="177">
        <f t="shared" si="21"/>
        <v>0.20304011955205037</v>
      </c>
      <c r="AG52" s="809">
        <f t="shared" si="22"/>
        <v>1</v>
      </c>
      <c r="AH52" s="176">
        <f t="shared" si="14"/>
        <v>7</v>
      </c>
      <c r="AI52" s="225">
        <f t="shared" si="23"/>
        <v>1.2030401195520504</v>
      </c>
      <c r="AJ52" s="265" t="b">
        <f t="shared" si="15"/>
        <v>0</v>
      </c>
      <c r="AK52" s="265" t="b">
        <f t="shared" si="16"/>
        <v>0</v>
      </c>
      <c r="AL52" s="265"/>
      <c r="AM52" s="265"/>
      <c r="AN52" s="75"/>
    </row>
    <row r="53" spans="1:40" s="6" customFormat="1" ht="11.25" x14ac:dyDescent="0.2">
      <c r="A53" s="56">
        <f t="shared" si="17"/>
        <v>44600</v>
      </c>
      <c r="B53" s="616">
        <v>25.058</v>
      </c>
      <c r="C53" s="839"/>
      <c r="D53" s="393">
        <f t="shared" si="0"/>
        <v>26.118890609619584</v>
      </c>
      <c r="E53" s="385">
        <f t="shared" si="1"/>
        <v>28.350396657705016</v>
      </c>
      <c r="F53" s="385">
        <f t="shared" si="2"/>
        <v>28.35093087832141</v>
      </c>
      <c r="G53" s="110">
        <f t="shared" si="18"/>
        <v>1.009224158935293</v>
      </c>
      <c r="H53" s="414" t="b">
        <f>Wh_hp&gt;='2021'!Maxi_hp</f>
        <v>1</v>
      </c>
      <c r="I53" s="380">
        <f>IF(H53,Wh_hp,'2021'!Maxi_hp)</f>
        <v>28.35093087832141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4.0617751552926171E-2</v>
      </c>
      <c r="M53" s="843"/>
      <c r="N53" s="843"/>
      <c r="O53" s="48">
        <f>IF(t&lt;Tnet,'2021'!Resal+('2021'!Salim-'2021'!Resal)*(1-EXP(('2021'!Tnet-t)/('2021'!Tau_j))),Resal+(Salim-Resal)*(1-EXP((Tnet-t)/(Tau_j))))*Salcycl</f>
        <v>7.8711634092038588E-2</v>
      </c>
      <c r="P53" s="339">
        <f>(INDEX(Models!$BJ53:$BT53,,T53)*(1-R53)+INDEX(Models!$BJ53:$BT53,,T53+1)*R53-ERP_i)*Q53*Ramure*Pc/MaxiM</f>
        <v>1.8843142000759041E-5</v>
      </c>
      <c r="Q53" s="305">
        <f t="shared" si="4"/>
        <v>0.8</v>
      </c>
      <c r="R53" s="177">
        <f t="shared" si="5"/>
        <v>2.4821335551865418E-3</v>
      </c>
      <c r="S53" s="809">
        <f t="shared" si="6"/>
        <v>0</v>
      </c>
      <c r="T53" s="176">
        <f t="shared" si="7"/>
        <v>6</v>
      </c>
      <c r="U53" s="251">
        <f t="shared" si="19"/>
        <v>2.4821335551865418E-3</v>
      </c>
      <c r="V53" s="383">
        <f t="shared" si="8"/>
        <v>24.828973601301399</v>
      </c>
      <c r="W53" s="402"/>
      <c r="X53" s="157">
        <f t="shared" si="9"/>
        <v>44600</v>
      </c>
      <c r="Y53" s="385">
        <f t="shared" si="10"/>
        <v>23.135863148240837</v>
      </c>
      <c r="Z53" s="385">
        <f t="shared" si="20"/>
        <v>24.115375478012268</v>
      </c>
      <c r="AA53" s="386">
        <f t="shared" si="11"/>
        <v>28.066508883023182</v>
      </c>
      <c r="AB53" s="197">
        <f t="shared" si="12"/>
        <v>44600</v>
      </c>
      <c r="AC53" s="119">
        <f>IF(OR(t&lt;Tnet,NoTnet),'2021'!Resal_s+('2021'!Salim-'2021'!Resal_s)*(1-EXP(('2021'!Tnet_s-t)/'2021'!Tau_j)),Resal_s+(Salim-Resal_s)*(1-EXP((Tnet_s-t)/Tau_j)))*Salcycl</f>
        <v>0.14077751605939381</v>
      </c>
      <c r="AD53" s="231">
        <f>(INDEX(Models!$BJ53:$BT53,,AH53)*(1-AF53)+INDEX(Models!$BJ53:$BT53,,AH53+1)*AF53-ERP_i)*AE53*Ramure*Pc/MaxiM</f>
        <v>1.0032192470819778E-2</v>
      </c>
      <c r="AE53" s="305">
        <f t="shared" si="13"/>
        <v>0.8</v>
      </c>
      <c r="AF53" s="177">
        <f t="shared" si="21"/>
        <v>0.20319888072008996</v>
      </c>
      <c r="AG53" s="809">
        <f t="shared" si="22"/>
        <v>1</v>
      </c>
      <c r="AH53" s="176">
        <f t="shared" si="14"/>
        <v>7</v>
      </c>
      <c r="AI53" s="225">
        <f t="shared" si="23"/>
        <v>1.20319888072009</v>
      </c>
      <c r="AJ53" s="265" t="b">
        <f t="shared" si="15"/>
        <v>0</v>
      </c>
      <c r="AK53" s="265" t="b">
        <f t="shared" si="16"/>
        <v>0</v>
      </c>
      <c r="AL53" s="265"/>
      <c r="AM53" s="265"/>
      <c r="AN53" s="75"/>
    </row>
    <row r="54" spans="1:40" s="6" customFormat="1" ht="11.25" x14ac:dyDescent="0.2">
      <c r="A54" s="56">
        <f t="shared" si="17"/>
        <v>44601</v>
      </c>
      <c r="B54" s="616">
        <v>24.792999999999999</v>
      </c>
      <c r="C54" s="839"/>
      <c r="D54" s="393">
        <f t="shared" si="0"/>
        <v>25.843279574318469</v>
      </c>
      <c r="E54" s="385">
        <f t="shared" si="1"/>
        <v>28.056704559938808</v>
      </c>
      <c r="F54" s="385">
        <f t="shared" si="2"/>
        <v>28.057262374648079</v>
      </c>
      <c r="G54" s="110">
        <f t="shared" si="18"/>
        <v>0.98732372210507857</v>
      </c>
      <c r="H54" s="414" t="b">
        <f>Wh_hp&gt;='2021'!Maxi_hp</f>
        <v>1</v>
      </c>
      <c r="I54" s="380">
        <f>IF(H54,Wh_hp,'2021'!Maxi_hp)</f>
        <v>28.057262374648079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4.0640336351202719E-2</v>
      </c>
      <c r="M54" s="843"/>
      <c r="N54" s="843"/>
      <c r="O54" s="48">
        <f>IF(t&lt;Tnet,'2021'!Resal+('2021'!Salim-'2021'!Resal)*(1-EXP(('2021'!Tnet-t)/('2021'!Tau_j))),Resal+(Salim-Resal)*(1-EXP((Tnet-t)/(Tau_j))))*Salcycl</f>
        <v>7.8891124967713111E-2</v>
      </c>
      <c r="P54" s="339">
        <f>(INDEX(Models!$BJ54:$BT54,,T54)*(1-R54)+INDEX(Models!$BJ54:$BT54,,T54+1)*R54-ERP_i)*Q54*Ramure*Pc/MaxiM</f>
        <v>2.0247954057187285E-5</v>
      </c>
      <c r="Q54" s="305">
        <f t="shared" si="4"/>
        <v>0.8</v>
      </c>
      <c r="R54" s="177">
        <f t="shared" si="5"/>
        <v>2.6474653054959015E-3</v>
      </c>
      <c r="S54" s="809">
        <f t="shared" si="6"/>
        <v>0</v>
      </c>
      <c r="T54" s="176">
        <f t="shared" si="7"/>
        <v>6</v>
      </c>
      <c r="U54" s="251">
        <f t="shared" si="19"/>
        <v>2.6474653054959015E-3</v>
      </c>
      <c r="V54" s="383">
        <f t="shared" si="8"/>
        <v>25.111308838380985</v>
      </c>
      <c r="W54" s="402"/>
      <c r="X54" s="157">
        <f t="shared" si="9"/>
        <v>44601</v>
      </c>
      <c r="Y54" s="385">
        <f t="shared" si="10"/>
        <v>22.898244330149122</v>
      </c>
      <c r="Z54" s="385">
        <f t="shared" si="20"/>
        <v>23.868258378780158</v>
      </c>
      <c r="AA54" s="386">
        <f t="shared" si="11"/>
        <v>27.780808867611569</v>
      </c>
      <c r="AB54" s="197">
        <f t="shared" si="12"/>
        <v>44601</v>
      </c>
      <c r="AC54" s="119">
        <f>IF(OR(t&lt;Tnet,NoTnet),'2021'!Resal_s+('2021'!Salim-'2021'!Resal_s)*(1-EXP(('2021'!Tnet_s-t)/'2021'!Tau_j)),Resal_s+(Salim-Resal_s)*(1-EXP((Tnet_s-t)/Tau_j)))*Salcycl</f>
        <v>0.14083644963242531</v>
      </c>
      <c r="AD54" s="231">
        <f>(INDEX(Models!$BJ54:$BT54,,AH54)*(1-AF54)+INDEX(Models!$BJ54:$BT54,,AH54+1)*AF54-ERP_i)*AE54*Ramure*Pc/MaxiM</f>
        <v>1.0034905527582948E-2</v>
      </c>
      <c r="AE54" s="305">
        <f t="shared" si="13"/>
        <v>0.8</v>
      </c>
      <c r="AF54" s="177">
        <f t="shared" si="21"/>
        <v>0.20336421247039937</v>
      </c>
      <c r="AG54" s="809">
        <f t="shared" si="22"/>
        <v>1</v>
      </c>
      <c r="AH54" s="176">
        <f t="shared" si="14"/>
        <v>7</v>
      </c>
      <c r="AI54" s="225">
        <f t="shared" si="23"/>
        <v>1.2033642124703994</v>
      </c>
      <c r="AJ54" s="265" t="b">
        <f t="shared" si="15"/>
        <v>0</v>
      </c>
      <c r="AK54" s="265" t="b">
        <f t="shared" si="16"/>
        <v>0</v>
      </c>
      <c r="AL54" s="265"/>
      <c r="AM54" s="265"/>
      <c r="AN54" s="75"/>
    </row>
    <row r="55" spans="1:40" s="6" customFormat="1" ht="11.25" x14ac:dyDescent="0.2">
      <c r="A55" s="56">
        <f t="shared" si="17"/>
        <v>44602</v>
      </c>
      <c r="B55" s="616">
        <v>23.17</v>
      </c>
      <c r="C55" s="839"/>
      <c r="D55" s="393">
        <f t="shared" si="0"/>
        <v>24.152094710097561</v>
      </c>
      <c r="E55" s="385">
        <f t="shared" si="1"/>
        <v>26.22577551869762</v>
      </c>
      <c r="F55" s="385">
        <f t="shared" si="2"/>
        <v>26.226274713136441</v>
      </c>
      <c r="G55" s="110">
        <f t="shared" si="18"/>
        <v>0.91234559300467433</v>
      </c>
      <c r="H55" s="414" t="b">
        <f>Wh_hp&gt;='2021'!Maxi_hp</f>
        <v>1</v>
      </c>
      <c r="I55" s="380">
        <f>IF(H55,Wh_hp,'2021'!Maxi_hp)</f>
        <v>26.226274713136441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4.0662920623897911E-2</v>
      </c>
      <c r="M55" s="843"/>
      <c r="N55" s="843"/>
      <c r="O55" s="48">
        <f>IF(t&lt;Tnet,'2021'!Resal+('2021'!Salim-'2021'!Resal)*(1-EXP(('2021'!Tnet-t)/('2021'!Tau_j))),Resal+(Salim-Resal)*(1-EXP((Tnet-t)/(Tau_j))))*Salcycl</f>
        <v>7.9070333196501086E-2</v>
      </c>
      <c r="P55" s="339">
        <f>(INDEX(Models!$BJ55:$BT55,,T55)*(1-R55)+INDEX(Models!$BJ55:$BT55,,T55+1)*R55-ERP_i)*Q55*Ramure*Pc/MaxiM</f>
        <v>2.1758693415048868E-5</v>
      </c>
      <c r="Q55" s="305">
        <f t="shared" si="4"/>
        <v>0.8</v>
      </c>
      <c r="R55" s="177">
        <f t="shared" si="5"/>
        <v>2.8196356782909096E-3</v>
      </c>
      <c r="S55" s="809">
        <f t="shared" si="6"/>
        <v>0</v>
      </c>
      <c r="T55" s="176">
        <f t="shared" si="7"/>
        <v>6</v>
      </c>
      <c r="U55" s="251">
        <f t="shared" si="19"/>
        <v>2.8196356782909096E-3</v>
      </c>
      <c r="V55" s="383">
        <f t="shared" si="8"/>
        <v>25.39600897776057</v>
      </c>
      <c r="W55" s="402"/>
      <c r="X55" s="157">
        <f t="shared" si="9"/>
        <v>44602</v>
      </c>
      <c r="Y55" s="385">
        <f t="shared" si="10"/>
        <v>21.424808734097763</v>
      </c>
      <c r="Z55" s="385">
        <f t="shared" si="20"/>
        <v>22.332930931879783</v>
      </c>
      <c r="AA55" s="386">
        <f t="shared" si="11"/>
        <v>25.995589467400524</v>
      </c>
      <c r="AB55" s="197">
        <f t="shared" si="12"/>
        <v>44602</v>
      </c>
      <c r="AC55" s="119">
        <f>IF(OR(t&lt;Tnet,NoTnet),'2021'!Resal_s+('2021'!Salim-'2021'!Resal_s)*(1-EXP(('2021'!Tnet_s-t)/'2021'!Tau_j)),Resal_s+(Salim-Resal_s)*(1-EXP((Tnet_s-t)/Tau_j)))*Salcycl</f>
        <v>0.14089538304618393</v>
      </c>
      <c r="AD55" s="231">
        <f>(INDEX(Models!$BJ55:$BT55,,AH55)*(1-AF55)+INDEX(Models!$BJ55:$BT55,,AH55+1)*AF55-ERP_i)*AE55*Ramure*Pc/MaxiM</f>
        <v>1.0055018940531305E-2</v>
      </c>
      <c r="AE55" s="305">
        <f t="shared" si="13"/>
        <v>0.8</v>
      </c>
      <c r="AF55" s="177">
        <f t="shared" si="21"/>
        <v>0.2035363828431942</v>
      </c>
      <c r="AG55" s="809">
        <f t="shared" si="22"/>
        <v>1</v>
      </c>
      <c r="AH55" s="176">
        <f t="shared" si="14"/>
        <v>7</v>
      </c>
      <c r="AI55" s="225">
        <f t="shared" si="23"/>
        <v>1.2035363828431942</v>
      </c>
      <c r="AJ55" s="265" t="b">
        <f t="shared" si="15"/>
        <v>0</v>
      </c>
      <c r="AK55" s="265" t="b">
        <f t="shared" si="16"/>
        <v>0</v>
      </c>
      <c r="AL55" s="265"/>
      <c r="AM55" s="265"/>
      <c r="AN55" s="75"/>
    </row>
    <row r="56" spans="1:40" s="6" customFormat="1" ht="11.25" x14ac:dyDescent="0.2">
      <c r="A56" s="56">
        <f t="shared" si="17"/>
        <v>44603</v>
      </c>
      <c r="B56" s="616">
        <v>15.316000000000001</v>
      </c>
      <c r="C56" s="839"/>
      <c r="D56" s="393">
        <f t="shared" si="0"/>
        <v>15.965567152154875</v>
      </c>
      <c r="E56" s="385">
        <f t="shared" si="1"/>
        <v>17.339727576451082</v>
      </c>
      <c r="F56" s="385">
        <f t="shared" si="2"/>
        <v>17.339899227429434</v>
      </c>
      <c r="G56" s="110">
        <f t="shared" si="18"/>
        <v>0.59632893996817438</v>
      </c>
      <c r="H56" s="414" t="b">
        <f>Wh_hp&gt;='2021'!Maxi_hp</f>
        <v>0</v>
      </c>
      <c r="I56" s="380">
        <f>IF(H56,Wh_hp,'2021'!Maxi_hp)</f>
        <v>22.96810519767752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4.068550437102407E-2</v>
      </c>
      <c r="M56" s="843"/>
      <c r="N56" s="843"/>
      <c r="O56" s="48">
        <f>IF(t&lt;Tnet,'2021'!Resal+('2021'!Salim-'2021'!Resal)*(1-EXP(('2021'!Tnet-t)/('2021'!Tau_j))),Resal+(Salim-Resal)*(1-EXP((Tnet-t)/(Tau_j))))*Salcycl</f>
        <v>7.9249251076034186E-2</v>
      </c>
      <c r="P56" s="339">
        <f>(INDEX(Models!$BJ56:$BT56,,T56)*(1-R56)+INDEX(Models!$BJ56:$BT56,,T56+1)*R56-ERP_i)*Q56*Ramure*Pc/MaxiM</f>
        <v>2.3383628428203375E-5</v>
      </c>
      <c r="Q56" s="305">
        <f t="shared" si="4"/>
        <v>0.8</v>
      </c>
      <c r="R56" s="177">
        <f t="shared" si="5"/>
        <v>2.9989233173243562E-3</v>
      </c>
      <c r="S56" s="809">
        <f t="shared" si="6"/>
        <v>0</v>
      </c>
      <c r="T56" s="176">
        <f t="shared" si="7"/>
        <v>6</v>
      </c>
      <c r="U56" s="251">
        <f t="shared" si="19"/>
        <v>2.9989233173243562E-3</v>
      </c>
      <c r="V56" s="383">
        <f t="shared" si="8"/>
        <v>25.683465020384187</v>
      </c>
      <c r="W56" s="402"/>
      <c r="X56" s="157">
        <f t="shared" si="9"/>
        <v>44603</v>
      </c>
      <c r="Y56" s="385">
        <f t="shared" si="10"/>
        <v>14.228674859283894</v>
      </c>
      <c r="Z56" s="385">
        <f t="shared" si="20"/>
        <v>14.83212744529086</v>
      </c>
      <c r="AA56" s="386">
        <f t="shared" si="11"/>
        <v>17.265818876522523</v>
      </c>
      <c r="AB56" s="197">
        <f t="shared" si="12"/>
        <v>44603</v>
      </c>
      <c r="AC56" s="119">
        <f>IF(OR(t&lt;Tnet,NoTnet),'2021'!Resal_s+('2021'!Salim-'2021'!Resal_s)*(1-EXP(('2021'!Tnet_s-t)/'2021'!Tau_j)),Resal_s+(Salim-Resal_s)*(1-EXP((Tnet_s-t)/Tau_j)))*Salcycl</f>
        <v>0.14095430101730738</v>
      </c>
      <c r="AD56" s="231">
        <f>(INDEX(Models!$BJ56:$BT56,,AH56)*(1-AF56)+INDEX(Models!$BJ56:$BT56,,AH56+1)*AF56-ERP_i)*AE56*Ramure*Pc/MaxiM</f>
        <v>1.0091800326842055E-2</v>
      </c>
      <c r="AE56" s="305">
        <f t="shared" si="13"/>
        <v>0.8</v>
      </c>
      <c r="AF56" s="177">
        <f t="shared" si="21"/>
        <v>0.20371567048222783</v>
      </c>
      <c r="AG56" s="809">
        <f t="shared" si="22"/>
        <v>1</v>
      </c>
      <c r="AH56" s="176">
        <f t="shared" si="14"/>
        <v>7</v>
      </c>
      <c r="AI56" s="225">
        <f t="shared" si="23"/>
        <v>1.2037156704822278</v>
      </c>
      <c r="AJ56" s="265" t="b">
        <f t="shared" si="15"/>
        <v>0</v>
      </c>
      <c r="AK56" s="265" t="b">
        <f t="shared" si="16"/>
        <v>0</v>
      </c>
      <c r="AL56" s="265"/>
      <c r="AM56" s="265"/>
      <c r="AN56" s="75"/>
    </row>
    <row r="57" spans="1:40" s="6" customFormat="1" ht="11.25" x14ac:dyDescent="0.2">
      <c r="A57" s="56">
        <f t="shared" si="17"/>
        <v>44604</v>
      </c>
      <c r="B57" s="616">
        <v>21.719000000000001</v>
      </c>
      <c r="C57" s="839"/>
      <c r="D57" s="393">
        <f t="shared" si="0"/>
        <v>22.640657884308368</v>
      </c>
      <c r="E57" s="385">
        <f t="shared" si="1"/>
        <v>24.59411616302619</v>
      </c>
      <c r="F57" s="385">
        <f t="shared" si="2"/>
        <v>24.594589606506364</v>
      </c>
      <c r="G57" s="110">
        <f t="shared" si="18"/>
        <v>0.83617524126088538</v>
      </c>
      <c r="H57" s="414" t="b">
        <f>Wh_hp&gt;='2021'!Maxi_hp</f>
        <v>0</v>
      </c>
      <c r="I57" s="380">
        <f>IF(H57,Wh_hp,'2021'!Maxi_hp)</f>
        <v>29.947194156112754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4.070808759259352E-2</v>
      </c>
      <c r="M57" s="843"/>
      <c r="N57" s="843"/>
      <c r="O57" s="48">
        <f>IF(t&lt;Tnet,'2021'!Resal+('2021'!Salim-'2021'!Resal)*(1-EXP(('2021'!Tnet-t)/('2021'!Tau_j))),Resal+(Salim-Resal)*(1-EXP((Tnet-t)/(Tau_j))))*Salcycl</f>
        <v>7.9427870705700482E-2</v>
      </c>
      <c r="P57" s="339">
        <f>(INDEX(Models!$BJ57:$BT57,,T57)*(1-R57)+INDEX(Models!$BJ57:$BT57,,T57+1)*R57-ERP_i)*Q57*Ramure*Pc/MaxiM</f>
        <v>2.5131352437005378E-5</v>
      </c>
      <c r="Q57" s="305">
        <f t="shared" si="4"/>
        <v>0.8</v>
      </c>
      <c r="R57" s="177">
        <f t="shared" si="5"/>
        <v>3.1856178611517657E-3</v>
      </c>
      <c r="S57" s="809">
        <f t="shared" si="6"/>
        <v>0</v>
      </c>
      <c r="T57" s="176">
        <f t="shared" si="7"/>
        <v>6</v>
      </c>
      <c r="U57" s="251">
        <f t="shared" si="19"/>
        <v>3.1856178611517657E-3</v>
      </c>
      <c r="V57" s="383">
        <f t="shared" si="8"/>
        <v>25.974067619610938</v>
      </c>
      <c r="W57" s="402"/>
      <c r="X57" s="157">
        <f t="shared" si="9"/>
        <v>44604</v>
      </c>
      <c r="Y57" s="385">
        <f t="shared" si="10"/>
        <v>20.10893291287427</v>
      </c>
      <c r="Z57" s="385">
        <f t="shared" si="20"/>
        <v>20.962266701915137</v>
      </c>
      <c r="AA57" s="386">
        <f t="shared" si="11"/>
        <v>24.40347908697559</v>
      </c>
      <c r="AB57" s="197">
        <f t="shared" si="12"/>
        <v>44604</v>
      </c>
      <c r="AC57" s="119">
        <f>IF(OR(t&lt;Tnet,NoTnet),'2021'!Resal_s+('2021'!Salim-'2021'!Resal_s)*(1-EXP(('2021'!Tnet_s-t)/'2021'!Tau_j)),Resal_s+(Salim-Resal_s)*(1-EXP((Tnet_s-t)/Tau_j)))*Salcycl</f>
        <v>0.14101318802928664</v>
      </c>
      <c r="AD57" s="231">
        <f>(INDEX(Models!$BJ57:$BT57,,AH57)*(1-AF57)+INDEX(Models!$BJ57:$BT57,,AH57+1)*AF57-ERP_i)*AE57*Ramure*Pc/MaxiM</f>
        <v>1.0144538940463556E-2</v>
      </c>
      <c r="AE57" s="305">
        <f t="shared" si="13"/>
        <v>0.8</v>
      </c>
      <c r="AF57" s="177">
        <f t="shared" si="21"/>
        <v>0.20390236502605519</v>
      </c>
      <c r="AG57" s="809">
        <f t="shared" si="22"/>
        <v>1</v>
      </c>
      <c r="AH57" s="176">
        <f t="shared" si="14"/>
        <v>7</v>
      </c>
      <c r="AI57" s="225">
        <f t="shared" si="23"/>
        <v>1.2039023650260552</v>
      </c>
      <c r="AJ57" s="265" t="b">
        <f t="shared" si="15"/>
        <v>0</v>
      </c>
      <c r="AK57" s="265" t="b">
        <f t="shared" si="16"/>
        <v>0</v>
      </c>
      <c r="AL57" s="265"/>
      <c r="AM57" s="265"/>
      <c r="AN57" s="75"/>
    </row>
    <row r="58" spans="1:40" s="6" customFormat="1" ht="11.25" x14ac:dyDescent="0.2">
      <c r="A58" s="56">
        <f t="shared" si="17"/>
        <v>44605</v>
      </c>
      <c r="B58" s="616">
        <v>24.884</v>
      </c>
      <c r="C58" s="839"/>
      <c r="D58" s="393">
        <f t="shared" si="0"/>
        <v>25.94057709265752</v>
      </c>
      <c r="E58" s="385">
        <f t="shared" si="1"/>
        <v>28.184214892224009</v>
      </c>
      <c r="F58" s="385">
        <f t="shared" si="2"/>
        <v>28.184919207542954</v>
      </c>
      <c r="G58" s="110">
        <f t="shared" si="18"/>
        <v>0.94730293578991365</v>
      </c>
      <c r="H58" s="414" t="b">
        <f>Wh_hp&gt;='2021'!Maxi_hp</f>
        <v>0</v>
      </c>
      <c r="I58" s="380">
        <f>IF(H58,Wh_hp,'2021'!Maxi_hp)</f>
        <v>30.793710907907265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4.0730670288618362E-2</v>
      </c>
      <c r="M58" s="843"/>
      <c r="N58" s="843"/>
      <c r="O58" s="48">
        <f>IF(t&lt;Tnet,'2021'!Resal+('2021'!Salim-'2021'!Resal)*(1-EXP(('2021'!Tnet-t)/('2021'!Tau_j))),Resal+(Salim-Resal)*(1-EXP((Tnet-t)/(Tau_j))))*Salcycl</f>
        <v>7.9606184105043401E-2</v>
      </c>
      <c r="P58" s="339">
        <f>(INDEX(Models!$BJ58:$BT58,,T58)*(1-R58)+INDEX(Models!$BJ58:$BT58,,T58+1)*R58-ERP_i)*Q58*Ramure*Pc/MaxiM</f>
        <v>2.7023370183562117E-5</v>
      </c>
      <c r="Q58" s="305">
        <f t="shared" si="4"/>
        <v>0.8</v>
      </c>
      <c r="R58" s="177">
        <f t="shared" si="5"/>
        <v>3.3800203463987856E-3</v>
      </c>
      <c r="S58" s="809">
        <f t="shared" si="6"/>
        <v>0</v>
      </c>
      <c r="T58" s="176">
        <f t="shared" si="7"/>
        <v>6</v>
      </c>
      <c r="U58" s="251">
        <f t="shared" si="19"/>
        <v>3.3800203463987856E-3</v>
      </c>
      <c r="V58" s="383">
        <f t="shared" si="8"/>
        <v>26.268206755648546</v>
      </c>
      <c r="W58" s="402"/>
      <c r="X58" s="157">
        <f t="shared" si="9"/>
        <v>44605</v>
      </c>
      <c r="Y58" s="385">
        <f t="shared" si="10"/>
        <v>23.003312347499044</v>
      </c>
      <c r="Z58" s="385">
        <f t="shared" si="20"/>
        <v>23.98003525706396</v>
      </c>
      <c r="AA58" s="386">
        <f t="shared" si="11"/>
        <v>27.918563667688435</v>
      </c>
      <c r="AB58" s="197">
        <f t="shared" si="12"/>
        <v>44605</v>
      </c>
      <c r="AC58" s="119">
        <f>IF(OR(t&lt;Tnet,NoTnet),'2021'!Resal_s+('2021'!Salim-'2021'!Resal_s)*(1-EXP(('2021'!Tnet_s-t)/'2021'!Tau_j)),Resal_s+(Salim-Resal_s)*(1-EXP((Tnet_s-t)/Tau_j)))*Salcycl</f>
        <v>0.14107202854360074</v>
      </c>
      <c r="AD58" s="231">
        <f>(INDEX(Models!$BJ58:$BT58,,AH58)*(1-AF58)+INDEX(Models!$BJ58:$BT58,,AH58+1)*AF58-ERP_i)*AE58*Ramure*Pc/MaxiM</f>
        <v>1.0219604998381048E-2</v>
      </c>
      <c r="AE58" s="305">
        <f t="shared" si="13"/>
        <v>0.8</v>
      </c>
      <c r="AF58" s="177">
        <f t="shared" si="21"/>
        <v>0.20409676751130212</v>
      </c>
      <c r="AG58" s="809">
        <f t="shared" si="22"/>
        <v>1</v>
      </c>
      <c r="AH58" s="176">
        <f t="shared" si="14"/>
        <v>7</v>
      </c>
      <c r="AI58" s="225">
        <f t="shared" si="23"/>
        <v>1.2040967675113021</v>
      </c>
      <c r="AJ58" s="265" t="b">
        <f t="shared" si="15"/>
        <v>0</v>
      </c>
      <c r="AK58" s="265" t="b">
        <f t="shared" si="16"/>
        <v>0</v>
      </c>
      <c r="AL58" s="265"/>
      <c r="AM58" s="265"/>
      <c r="AN58" s="75"/>
    </row>
    <row r="59" spans="1:40" s="6" customFormat="1" ht="11.25" x14ac:dyDescent="0.2">
      <c r="A59" s="56">
        <f t="shared" si="17"/>
        <v>44606</v>
      </c>
      <c r="B59" s="616">
        <v>13.135</v>
      </c>
      <c r="C59" s="839"/>
      <c r="D59" s="393">
        <f t="shared" si="0"/>
        <v>13.693035742547673</v>
      </c>
      <c r="E59" s="385">
        <f t="shared" si="1"/>
        <v>14.880243845626461</v>
      </c>
      <c r="F59" s="385">
        <f t="shared" si="2"/>
        <v>14.880363847752967</v>
      </c>
      <c r="G59" s="110">
        <f t="shared" si="18"/>
        <v>0.49441351493632807</v>
      </c>
      <c r="H59" s="414" t="b">
        <f>Wh_hp&gt;='2021'!Maxi_hp</f>
        <v>0</v>
      </c>
      <c r="I59" s="380">
        <f>IF(H59,Wh_hp,'2021'!Maxi_hp)</f>
        <v>30.902600245057862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4.075325245911092E-2</v>
      </c>
      <c r="M59" s="843"/>
      <c r="N59" s="843"/>
      <c r="O59" s="48">
        <f>IF(t&lt;Tnet,'2021'!Resal+('2021'!Salim-'2021'!Resal)*(1-EXP(('2021'!Tnet-t)/('2021'!Tau_j))),Resal+(Salim-Resal)*(1-EXP((Tnet-t)/(Tau_j))))*Salcycl</f>
        <v>7.9784183337004072E-2</v>
      </c>
      <c r="P59" s="339">
        <f>(INDEX(Models!$BJ59:$BT59,,T59)*(1-R59)+INDEX(Models!$BJ59:$BT59,,T59+1)*R59-ERP_i)*Q59*Ramure*Pc/MaxiM</f>
        <v>2.9035132890907956E-5</v>
      </c>
      <c r="Q59" s="305">
        <f t="shared" si="4"/>
        <v>0.8</v>
      </c>
      <c r="R59" s="177">
        <f t="shared" si="5"/>
        <v>3.582443623176829E-3</v>
      </c>
      <c r="S59" s="809">
        <f t="shared" si="6"/>
        <v>0</v>
      </c>
      <c r="T59" s="176">
        <f t="shared" si="7"/>
        <v>6</v>
      </c>
      <c r="U59" s="251">
        <f t="shared" si="19"/>
        <v>3.582443623176829E-3</v>
      </c>
      <c r="V59" s="383">
        <f t="shared" si="8"/>
        <v>26.566273273710934</v>
      </c>
      <c r="W59" s="402"/>
      <c r="X59" s="157">
        <f t="shared" si="9"/>
        <v>44606</v>
      </c>
      <c r="Y59" s="385">
        <f t="shared" si="10"/>
        <v>12.224355136111093</v>
      </c>
      <c r="Z59" s="385">
        <f t="shared" si="20"/>
        <v>12.743702459715678</v>
      </c>
      <c r="AA59" s="386">
        <f t="shared" si="11"/>
        <v>14.837768739176417</v>
      </c>
      <c r="AB59" s="197">
        <f t="shared" si="12"/>
        <v>44606</v>
      </c>
      <c r="AC59" s="119">
        <f>IF(OR(t&lt;Tnet,NoTnet),'2021'!Resal_s+('2021'!Salim-'2021'!Resal_s)*(1-EXP(('2021'!Tnet_s-t)/'2021'!Tau_j)),Resal_s+(Salim-Resal_s)*(1-EXP((Tnet_s-t)/Tau_j)))*Salcycl</f>
        <v>0.14113080721710808</v>
      </c>
      <c r="AD59" s="231">
        <f>(INDEX(Models!$BJ59:$BT59,,AH59)*(1-AF59)+INDEX(Models!$BJ59:$BT59,,AH59+1)*AF59-ERP_i)*AE59*Ramure*Pc/MaxiM</f>
        <v>1.0306106016840216E-2</v>
      </c>
      <c r="AE59" s="305">
        <f t="shared" si="13"/>
        <v>0.8</v>
      </c>
      <c r="AF59" s="177">
        <f t="shared" si="21"/>
        <v>0.20429919078808023</v>
      </c>
      <c r="AG59" s="809">
        <f t="shared" si="22"/>
        <v>1</v>
      </c>
      <c r="AH59" s="176">
        <f t="shared" si="14"/>
        <v>7</v>
      </c>
      <c r="AI59" s="225">
        <f t="shared" si="23"/>
        <v>1.2042991907880802</v>
      </c>
      <c r="AJ59" s="265" t="b">
        <f t="shared" si="15"/>
        <v>0</v>
      </c>
      <c r="AK59" s="265" t="b">
        <f t="shared" si="16"/>
        <v>0</v>
      </c>
      <c r="AL59" s="265"/>
      <c r="AM59" s="265"/>
      <c r="AN59" s="75"/>
    </row>
    <row r="60" spans="1:40" s="6" customFormat="1" ht="11.25" x14ac:dyDescent="0.2">
      <c r="A60" s="56">
        <f t="shared" si="17"/>
        <v>44607</v>
      </c>
      <c r="B60" s="616">
        <v>16.658999999999999</v>
      </c>
      <c r="C60" s="839"/>
      <c r="D60" s="393">
        <f t="shared" si="0"/>
        <v>17.367160453511374</v>
      </c>
      <c r="E60" s="385">
        <f t="shared" si="1"/>
        <v>18.876565775297323</v>
      </c>
      <c r="F60" s="385">
        <f t="shared" si="2"/>
        <v>18.876834794686705</v>
      </c>
      <c r="G60" s="110">
        <f t="shared" si="18"/>
        <v>0.62000561352467343</v>
      </c>
      <c r="H60" s="414" t="b">
        <f>Wh_hp&gt;='2021'!Maxi_hp</f>
        <v>0</v>
      </c>
      <c r="I60" s="380">
        <f>IF(H60,Wh_hp,'2021'!Maxi_hp)</f>
        <v>31.193309368180032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4.0775834104083294E-2</v>
      </c>
      <c r="M60" s="843"/>
      <c r="N60" s="843"/>
      <c r="O60" s="48">
        <f>IF(t&lt;Tnet,'2021'!Resal+('2021'!Salim-'2021'!Resal)*(1-EXP(('2021'!Tnet-t)/('2021'!Tau_j))),Resal+(Salim-Resal)*(1-EXP((Tnet-t)/(Tau_j))))*Salcycl</f>
        <v>7.9961860634693391E-2</v>
      </c>
      <c r="P60" s="339">
        <f>(INDEX(Models!$BJ60:$BT60,,T60)*(1-R60)+INDEX(Models!$BJ60:$BT60,,T60+1)*R60-ERP_i)*Q60*Ramure*Pc/MaxiM</f>
        <v>3.1173144447346087E-5</v>
      </c>
      <c r="Q60" s="305">
        <f t="shared" si="4"/>
        <v>0.8</v>
      </c>
      <c r="R60" s="177">
        <f t="shared" si="5"/>
        <v>3.7932127827733568E-3</v>
      </c>
      <c r="S60" s="809">
        <f t="shared" si="6"/>
        <v>0</v>
      </c>
      <c r="T60" s="176">
        <f t="shared" si="7"/>
        <v>6</v>
      </c>
      <c r="U60" s="251">
        <f t="shared" si="19"/>
        <v>3.7932127827733568E-3</v>
      </c>
      <c r="V60" s="383">
        <f t="shared" si="8"/>
        <v>26.868656882365492</v>
      </c>
      <c r="W60" s="402"/>
      <c r="X60" s="157">
        <f t="shared" si="9"/>
        <v>44607</v>
      </c>
      <c r="Y60" s="385">
        <f t="shared" si="10"/>
        <v>15.476620791206578</v>
      </c>
      <c r="Z60" s="385">
        <f t="shared" si="20"/>
        <v>16.134519272407395</v>
      </c>
      <c r="AA60" s="386">
        <f t="shared" si="11"/>
        <v>18.787054238167372</v>
      </c>
      <c r="AB60" s="197">
        <f t="shared" si="12"/>
        <v>44607</v>
      </c>
      <c r="AC60" s="119">
        <f>IF(OR(t&lt;Tnet,NoTnet),'2021'!Resal_s+('2021'!Salim-'2021'!Resal_s)*(1-EXP(('2021'!Tnet_s-t)/'2021'!Tau_j)),Resal_s+(Salim-Resal_s)*(1-EXP((Tnet_s-t)/Tau_j)))*Salcycl</f>
        <v>0.14118950912331665</v>
      </c>
      <c r="AD60" s="231">
        <f>(INDEX(Models!$BJ60:$BT60,,AH60)*(1-AF60)+INDEX(Models!$BJ60:$BT60,,AH60+1)*AF60-ERP_i)*AE60*Ramure*Pc/MaxiM</f>
        <v>1.0403496429733429E-2</v>
      </c>
      <c r="AE60" s="305">
        <f t="shared" si="13"/>
        <v>0.8</v>
      </c>
      <c r="AF60" s="177">
        <f t="shared" si="21"/>
        <v>0.20450995994767673</v>
      </c>
      <c r="AG60" s="809">
        <f t="shared" si="22"/>
        <v>1</v>
      </c>
      <c r="AH60" s="176">
        <f t="shared" si="14"/>
        <v>7</v>
      </c>
      <c r="AI60" s="225">
        <f t="shared" si="23"/>
        <v>1.2045099599476767</v>
      </c>
      <c r="AJ60" s="265" t="b">
        <f t="shared" si="15"/>
        <v>0</v>
      </c>
      <c r="AK60" s="265" t="b">
        <f t="shared" si="16"/>
        <v>0</v>
      </c>
      <c r="AL60" s="265"/>
      <c r="AM60" s="265"/>
      <c r="AN60" s="75"/>
    </row>
    <row r="61" spans="1:40" s="6" customFormat="1" ht="11.25" x14ac:dyDescent="0.2">
      <c r="A61" s="56">
        <f t="shared" si="17"/>
        <v>44608</v>
      </c>
      <c r="B61" s="616">
        <v>10.200000000000001</v>
      </c>
      <c r="C61" s="839"/>
      <c r="D61" s="393">
        <f t="shared" si="0"/>
        <v>10.633843982208571</v>
      </c>
      <c r="E61" s="385">
        <f t="shared" si="1"/>
        <v>11.560275294720595</v>
      </c>
      <c r="F61" s="385">
        <f t="shared" si="2"/>
        <v>11.560316903619256</v>
      </c>
      <c r="G61" s="110">
        <f t="shared" si="18"/>
        <v>0.37532346778418707</v>
      </c>
      <c r="H61" s="414" t="b">
        <f>Wh_hp&gt;='2021'!Maxi_hp</f>
        <v>0</v>
      </c>
      <c r="I61" s="380">
        <f>IF(H61,Wh_hp,'2021'!Maxi_hp)</f>
        <v>31.828917483030121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4.079841522354781E-2</v>
      </c>
      <c r="M61" s="843"/>
      <c r="N61" s="843"/>
      <c r="O61" s="48">
        <f>IF(t&lt;Tnet,'2021'!Resal+('2021'!Salim-'2021'!Resal)*(1-EXP(('2021'!Tnet-t)/('2021'!Tau_j))),Resal+(Salim-Resal)*(1-EXP((Tnet-t)/(Tau_j))))*Salcycl</f>
        <v>8.0139208530363562E-2</v>
      </c>
      <c r="P61" s="339">
        <f>(INDEX(Models!$BJ61:$BT61,,T61)*(1-R61)+INDEX(Models!$BJ61:$BT61,,T61+1)*R61-ERP_i)*Q61*Ramure*Pc/MaxiM</f>
        <v>3.3444109222353188E-5</v>
      </c>
      <c r="Q61" s="305">
        <f t="shared" si="4"/>
        <v>0.8</v>
      </c>
      <c r="R61" s="177">
        <f t="shared" si="5"/>
        <v>4.0126655977190508E-3</v>
      </c>
      <c r="S61" s="809">
        <f t="shared" si="6"/>
        <v>0</v>
      </c>
      <c r="T61" s="176">
        <f t="shared" si="7"/>
        <v>6</v>
      </c>
      <c r="U61" s="251">
        <f t="shared" si="19"/>
        <v>4.0126655977190508E-3</v>
      </c>
      <c r="V61" s="383">
        <f t="shared" si="8"/>
        <v>27.175746941522981</v>
      </c>
      <c r="W61" s="402"/>
      <c r="X61" s="157">
        <f t="shared" si="9"/>
        <v>44608</v>
      </c>
      <c r="Y61" s="385">
        <f t="shared" si="10"/>
        <v>9.51164785066387</v>
      </c>
      <c r="Z61" s="385">
        <f t="shared" si="20"/>
        <v>9.9162136527126545</v>
      </c>
      <c r="AA61" s="386">
        <f t="shared" si="11"/>
        <v>11.54723952677211</v>
      </c>
      <c r="AB61" s="197">
        <f t="shared" si="12"/>
        <v>44608</v>
      </c>
      <c r="AC61" s="119">
        <f>IF(OR(t&lt;Tnet,NoTnet),'2021'!Resal_s+('2021'!Salim-'2021'!Resal_s)*(1-EXP(('2021'!Tnet_s-t)/'2021'!Tau_j)),Resal_s+(Salim-Resal_s)*(1-EXP((Tnet_s-t)/Tau_j)))*Salcycl</f>
        <v>0.14124811997516334</v>
      </c>
      <c r="AD61" s="231">
        <f>(INDEX(Models!$BJ61:$BT61,,AH61)*(1-AF61)+INDEX(Models!$BJ61:$BT61,,AH61+1)*AF61-ERP_i)*AE61*Ramure*Pc/MaxiM</f>
        <v>1.0511242394968054E-2</v>
      </c>
      <c r="AE61" s="305">
        <f t="shared" si="13"/>
        <v>0.8</v>
      </c>
      <c r="AF61" s="177">
        <f t="shared" si="21"/>
        <v>0.20472941276262246</v>
      </c>
      <c r="AG61" s="809">
        <f t="shared" si="22"/>
        <v>1</v>
      </c>
      <c r="AH61" s="176">
        <f t="shared" si="14"/>
        <v>7</v>
      </c>
      <c r="AI61" s="225">
        <f t="shared" si="23"/>
        <v>1.2047294127626225</v>
      </c>
      <c r="AJ61" s="265" t="b">
        <f t="shared" si="15"/>
        <v>0</v>
      </c>
      <c r="AK61" s="265" t="b">
        <f t="shared" si="16"/>
        <v>0</v>
      </c>
      <c r="AL61" s="265"/>
      <c r="AM61" s="265"/>
      <c r="AN61" s="75"/>
    </row>
    <row r="62" spans="1:40" s="6" customFormat="1" ht="11.25" x14ac:dyDescent="0.2">
      <c r="A62" s="56">
        <f t="shared" si="17"/>
        <v>44609</v>
      </c>
      <c r="B62" s="616">
        <v>10.959</v>
      </c>
      <c r="C62" s="839"/>
      <c r="D62" s="393">
        <f t="shared" si="0"/>
        <v>11.425396044130942</v>
      </c>
      <c r="E62" s="385">
        <f t="shared" si="1"/>
        <v>12.423178806032336</v>
      </c>
      <c r="F62" s="385">
        <f t="shared" si="2"/>
        <v>12.423241602143198</v>
      </c>
      <c r="G62" s="110">
        <f t="shared" si="18"/>
        <v>0.39867176174234398</v>
      </c>
      <c r="H62" s="414" t="b">
        <f>Wh_hp&gt;='2021'!Maxi_hp</f>
        <v>0</v>
      </c>
      <c r="I62" s="380">
        <f>IF(H62,Wh_hp,'2021'!Maxi_hp)</f>
        <v>32.141014438582829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4.0820995817516789E-2</v>
      </c>
      <c r="M62" s="843"/>
      <c r="N62" s="843"/>
      <c r="O62" s="48">
        <f>IF(t&lt;Tnet,'2021'!Resal+('2021'!Salim-'2021'!Resal)*(1-EXP(('2021'!Tnet-t)/('2021'!Tau_j))),Resal+(Salim-Resal)*(1-EXP((Tnet-t)/(Tau_j))))*Salcycl</f>
        <v>8.0316219985250556E-2</v>
      </c>
      <c r="P62" s="339">
        <f>(INDEX(Models!$BJ62:$BT62,,T62)*(1-R62)+INDEX(Models!$BJ62:$BT62,,T62+1)*R62-ERP_i)*Q62*Ramure*Pc/MaxiM</f>
        <v>3.585493418214808E-5</v>
      </c>
      <c r="Q62" s="305">
        <f t="shared" si="4"/>
        <v>0.8</v>
      </c>
      <c r="R62" s="177">
        <f t="shared" si="5"/>
        <v>4.2411529743066525E-3</v>
      </c>
      <c r="S62" s="809">
        <f t="shared" si="6"/>
        <v>0</v>
      </c>
      <c r="T62" s="176">
        <f t="shared" si="7"/>
        <v>6</v>
      </c>
      <c r="U62" s="251">
        <f t="shared" si="19"/>
        <v>4.2411529743066525E-3</v>
      </c>
      <c r="V62" s="383">
        <f t="shared" si="8"/>
        <v>27.487932455873192</v>
      </c>
      <c r="W62" s="402"/>
      <c r="X62" s="157">
        <f t="shared" si="9"/>
        <v>44609</v>
      </c>
      <c r="Y62" s="385">
        <f t="shared" si="10"/>
        <v>10.21695457296439</v>
      </c>
      <c r="Z62" s="385">
        <f t="shared" si="20"/>
        <v>10.651770449950988</v>
      </c>
      <c r="AA62" s="386">
        <f t="shared" si="11"/>
        <v>12.404626350657031</v>
      </c>
      <c r="AB62" s="197">
        <f t="shared" si="12"/>
        <v>44609</v>
      </c>
      <c r="AC62" s="119">
        <f>IF(OR(t&lt;Tnet,NoTnet),'2021'!Resal_s+('2021'!Salim-'2021'!Resal_s)*(1-EXP(('2021'!Tnet_s-t)/'2021'!Tau_j)),Resal_s+(Salim-Resal_s)*(1-EXP((Tnet_s-t)/Tau_j)))*Salcycl</f>
        <v>0.14130662634696775</v>
      </c>
      <c r="AD62" s="231">
        <f>(INDEX(Models!$BJ62:$BT62,,AH62)*(1-AF62)+INDEX(Models!$BJ62:$BT62,,AH62+1)*AF62-ERP_i)*AE62*Ramure*Pc/MaxiM</f>
        <v>1.0628820919988593E-2</v>
      </c>
      <c r="AE62" s="305">
        <f t="shared" si="13"/>
        <v>0.8</v>
      </c>
      <c r="AF62" s="177">
        <f t="shared" si="21"/>
        <v>0.20495790013921011</v>
      </c>
      <c r="AG62" s="809">
        <f t="shared" si="22"/>
        <v>1</v>
      </c>
      <c r="AH62" s="176">
        <f t="shared" si="14"/>
        <v>7</v>
      </c>
      <c r="AI62" s="225">
        <f t="shared" si="23"/>
        <v>1.2049579001392101</v>
      </c>
      <c r="AJ62" s="265" t="b">
        <f t="shared" si="15"/>
        <v>0</v>
      </c>
      <c r="AK62" s="265" t="b">
        <f t="shared" si="16"/>
        <v>0</v>
      </c>
      <c r="AL62" s="265"/>
      <c r="AM62" s="265"/>
      <c r="AN62" s="75"/>
    </row>
    <row r="63" spans="1:40" s="6" customFormat="1" ht="11.25" x14ac:dyDescent="0.2">
      <c r="A63" s="56">
        <f t="shared" si="17"/>
        <v>44610</v>
      </c>
      <c r="B63" s="616">
        <v>21.626999999999999</v>
      </c>
      <c r="C63" s="839"/>
      <c r="D63" s="393">
        <f t="shared" si="0"/>
        <v>22.54793843452336</v>
      </c>
      <c r="E63" s="385">
        <f t="shared" si="1"/>
        <v>24.521766229959795</v>
      </c>
      <c r="F63" s="385">
        <f t="shared" si="2"/>
        <v>24.522409184069076</v>
      </c>
      <c r="G63" s="110">
        <f t="shared" si="18"/>
        <v>0.77778341997997524</v>
      </c>
      <c r="H63" s="414" t="b">
        <f>Wh_hp&gt;='2021'!Maxi_hp</f>
        <v>0</v>
      </c>
      <c r="I63" s="380">
        <f>IF(H63,Wh_hp,'2021'!Maxi_hp)</f>
        <v>31.856589753625187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4.0843575886002334E-2</v>
      </c>
      <c r="M63" s="843"/>
      <c r="N63" s="843"/>
      <c r="O63" s="48">
        <f>IF(t&lt;Tnet,'2021'!Resal+('2021'!Salim-'2021'!Resal)*(1-EXP(('2021'!Tnet-t)/('2021'!Tau_j))),Resal+(Salim-Resal)*(1-EXP((Tnet-t)/(Tau_j))))*Salcycl</f>
        <v>8.0492888518971462E-2</v>
      </c>
      <c r="P63" s="339">
        <f>(INDEX(Models!$BJ63:$BT63,,T63)*(1-R63)+INDEX(Models!$BJ63:$BT63,,T63+1)*R63-ERP_i)*Q63*Ramure*Pc/MaxiM</f>
        <v>3.8412731063179717E-5</v>
      </c>
      <c r="Q63" s="305">
        <f t="shared" si="4"/>
        <v>0.8</v>
      </c>
      <c r="R63" s="177">
        <f t="shared" si="5"/>
        <v>4.4790394176045783E-3</v>
      </c>
      <c r="S63" s="809">
        <f t="shared" si="6"/>
        <v>0</v>
      </c>
      <c r="T63" s="176">
        <f t="shared" si="7"/>
        <v>6</v>
      </c>
      <c r="U63" s="251">
        <f t="shared" si="19"/>
        <v>4.4790394176045783E-3</v>
      </c>
      <c r="V63" s="383">
        <f t="shared" si="8"/>
        <v>27.805602079764054</v>
      </c>
      <c r="W63" s="402"/>
      <c r="X63" s="157">
        <f t="shared" si="9"/>
        <v>44610</v>
      </c>
      <c r="Y63" s="385">
        <f t="shared" si="10"/>
        <v>20.047538082221863</v>
      </c>
      <c r="Z63" s="385">
        <f t="shared" si="20"/>
        <v>20.901218589804461</v>
      </c>
      <c r="AA63" s="386">
        <f t="shared" si="11"/>
        <v>24.342379447244515</v>
      </c>
      <c r="AB63" s="197">
        <f t="shared" si="12"/>
        <v>44610</v>
      </c>
      <c r="AC63" s="119">
        <f>IF(OR(t&lt;Tnet,NoTnet),'2021'!Resal_s+('2021'!Salim-'2021'!Resal_s)*(1-EXP(('2021'!Tnet_s-t)/'2021'!Tau_j)),Resal_s+(Salim-Resal_s)*(1-EXP((Tnet_s-t)/Tau_j)))*Salcycl</f>
        <v>0.14136501589328329</v>
      </c>
      <c r="AD63" s="231">
        <f>(INDEX(Models!$BJ63:$BT63,,AH63)*(1-AF63)+INDEX(Models!$BJ63:$BT63,,AH63+1)*AF63-ERP_i)*AE63*Ramure*Pc/MaxiM</f>
        <v>1.0755719209516588E-2</v>
      </c>
      <c r="AE63" s="305">
        <f t="shared" si="13"/>
        <v>0.8</v>
      </c>
      <c r="AF63" s="177">
        <f t="shared" si="21"/>
        <v>0.20519578658250803</v>
      </c>
      <c r="AG63" s="809">
        <f t="shared" si="22"/>
        <v>1</v>
      </c>
      <c r="AH63" s="176">
        <f t="shared" si="14"/>
        <v>7</v>
      </c>
      <c r="AI63" s="225">
        <f t="shared" si="23"/>
        <v>1.205195786582508</v>
      </c>
      <c r="AJ63" s="265" t="b">
        <f t="shared" si="15"/>
        <v>0</v>
      </c>
      <c r="AK63" s="265" t="b">
        <f t="shared" si="16"/>
        <v>0</v>
      </c>
      <c r="AL63" s="265"/>
      <c r="AM63" s="265"/>
      <c r="AN63" s="75"/>
    </row>
    <row r="64" spans="1:40" s="6" customFormat="1" ht="11.25" x14ac:dyDescent="0.2">
      <c r="A64" s="56">
        <f t="shared" si="17"/>
        <v>44611</v>
      </c>
      <c r="B64" s="616">
        <v>19.268000000000001</v>
      </c>
      <c r="C64" s="839"/>
      <c r="D64" s="393">
        <f t="shared" si="0"/>
        <v>20.088958500488008</v>
      </c>
      <c r="E64" s="385">
        <f t="shared" si="1"/>
        <v>21.8517194057568</v>
      </c>
      <c r="F64" s="385">
        <f t="shared" si="2"/>
        <v>21.85221365217221</v>
      </c>
      <c r="G64" s="110">
        <f t="shared" si="18"/>
        <v>0.68497083767687539</v>
      </c>
      <c r="H64" s="414" t="b">
        <f>Wh_hp&gt;='2021'!Maxi_hp</f>
        <v>0</v>
      </c>
      <c r="I64" s="380">
        <f>IF(H64,Wh_hp,'2021'!Maxi_hp)</f>
        <v>31.674857385546339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4.0866155429016657E-2</v>
      </c>
      <c r="M64" s="843"/>
      <c r="N64" s="843"/>
      <c r="O64" s="48">
        <f>IF(t&lt;Tnet,'2021'!Resal+('2021'!Salim-'2021'!Resal)*(1-EXP(('2021'!Tnet-t)/('2021'!Tau_j))),Resal+(Salim-Resal)*(1-EXP((Tnet-t)/(Tau_j))))*Salcycl</f>
        <v>8.0669208337189047E-2</v>
      </c>
      <c r="P64" s="339">
        <f>(INDEX(Models!$BJ64:$BT64,,T64)*(1-R64)+INDEX(Models!$BJ64:$BT64,,T64+1)*R64-ERP_i)*Q64*Ramure*Pc/MaxiM</f>
        <v>4.1124818736365964E-5</v>
      </c>
      <c r="Q64" s="305">
        <f t="shared" si="4"/>
        <v>0.8</v>
      </c>
      <c r="R64" s="177">
        <f t="shared" si="5"/>
        <v>4.7267035089753363E-3</v>
      </c>
      <c r="S64" s="809">
        <f t="shared" si="6"/>
        <v>0</v>
      </c>
      <c r="T64" s="176">
        <f t="shared" si="7"/>
        <v>6</v>
      </c>
      <c r="U64" s="251">
        <f t="shared" si="19"/>
        <v>4.7267035089753363E-3</v>
      </c>
      <c r="V64" s="383">
        <f t="shared" si="8"/>
        <v>28.129144098700355</v>
      </c>
      <c r="W64" s="402"/>
      <c r="X64" s="157">
        <f t="shared" si="9"/>
        <v>44611</v>
      </c>
      <c r="Y64" s="385">
        <f t="shared" si="10"/>
        <v>17.887288153185935</v>
      </c>
      <c r="Z64" s="385">
        <f t="shared" si="20"/>
        <v>18.649418174985623</v>
      </c>
      <c r="AA64" s="386">
        <f t="shared" si="11"/>
        <v>21.721318185797987</v>
      </c>
      <c r="AB64" s="197">
        <f t="shared" si="12"/>
        <v>44611</v>
      </c>
      <c r="AC64" s="119">
        <f>IF(OR(t&lt;Tnet,NoTnet),'2021'!Resal_s+('2021'!Salim-'2021'!Resal_s)*(1-EXP(('2021'!Tnet_s-t)/'2021'!Tau_j)),Resal_s+(Salim-Resal_s)*(1-EXP((Tnet_s-t)/Tau_j)))*Salcycl</f>
        <v>0.14142327756244824</v>
      </c>
      <c r="AD64" s="231">
        <f>(INDEX(Models!$BJ64:$BT64,,AH64)*(1-AF64)+INDEX(Models!$BJ64:$BT64,,AH64+1)*AF64-ERP_i)*AE64*Ramure*Pc/MaxiM</f>
        <v>1.0891434232422059E-2</v>
      </c>
      <c r="AE64" s="305">
        <f t="shared" si="13"/>
        <v>0.8</v>
      </c>
      <c r="AF64" s="177">
        <f t="shared" si="21"/>
        <v>0.2054434506738787</v>
      </c>
      <c r="AG64" s="809">
        <f t="shared" si="22"/>
        <v>1</v>
      </c>
      <c r="AH64" s="176">
        <f t="shared" si="14"/>
        <v>7</v>
      </c>
      <c r="AI64" s="225">
        <f t="shared" si="23"/>
        <v>1.2054434506738787</v>
      </c>
      <c r="AJ64" s="265" t="b">
        <f t="shared" si="15"/>
        <v>0</v>
      </c>
      <c r="AK64" s="265" t="b">
        <f t="shared" si="16"/>
        <v>0</v>
      </c>
      <c r="AL64" s="265"/>
      <c r="AM64" s="265"/>
      <c r="AN64" s="75"/>
    </row>
    <row r="65" spans="1:40" s="6" customFormat="1" ht="11.25" x14ac:dyDescent="0.2">
      <c r="A65" s="56">
        <f t="shared" si="17"/>
        <v>44612</v>
      </c>
      <c r="B65" s="616">
        <v>17.525000000000002</v>
      </c>
      <c r="C65" s="839"/>
      <c r="D65" s="393">
        <f t="shared" si="0"/>
        <v>18.272124027119727</v>
      </c>
      <c r="E65" s="385">
        <f t="shared" si="1"/>
        <v>19.879266821355476</v>
      </c>
      <c r="F65" s="385">
        <f t="shared" si="2"/>
        <v>19.879661431383703</v>
      </c>
      <c r="G65" s="110">
        <f t="shared" si="18"/>
        <v>0.61578727864210714</v>
      </c>
      <c r="H65" s="414" t="b">
        <f>Wh_hp&gt;='2021'!Maxi_hp</f>
        <v>0</v>
      </c>
      <c r="I65" s="380">
        <f>IF(H65,Wh_hp,'2021'!Maxi_hp)</f>
        <v>32.961384862018924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4.088873444657197E-2</v>
      </c>
      <c r="M65" s="843"/>
      <c r="N65" s="843"/>
      <c r="O65" s="48">
        <f>IF(t&lt;Tnet,'2021'!Resal+('2021'!Salim-'2021'!Resal)*(1-EXP(('2021'!Tnet-t)/('2021'!Tau_j))),Resal+(Salim-Resal)*(1-EXP((Tnet-t)/(Tau_j))))*Salcycl</f>
        <v>8.0845174456296437E-2</v>
      </c>
      <c r="P65" s="339">
        <f>(INDEX(Models!$BJ65:$BT65,,T65)*(1-R65)+INDEX(Models!$BJ65:$BT65,,T65+1)*R65-ERP_i)*Q65*Ramure*Pc/MaxiM</f>
        <v>4.3998927638970644E-5</v>
      </c>
      <c r="Q65" s="305">
        <f t="shared" si="4"/>
        <v>0.8</v>
      </c>
      <c r="R65" s="177">
        <f t="shared" si="5"/>
        <v>4.9845383960676797E-3</v>
      </c>
      <c r="S65" s="809">
        <f t="shared" si="6"/>
        <v>0</v>
      </c>
      <c r="T65" s="176">
        <f t="shared" si="7"/>
        <v>6</v>
      </c>
      <c r="U65" s="251">
        <f t="shared" si="19"/>
        <v>4.9845383960676797E-3</v>
      </c>
      <c r="V65" s="383">
        <f t="shared" si="8"/>
        <v>28.458815874181884</v>
      </c>
      <c r="W65" s="402"/>
      <c r="X65" s="157">
        <f t="shared" si="9"/>
        <v>44612</v>
      </c>
      <c r="Y65" s="385">
        <f t="shared" si="10"/>
        <v>16.287712364204932</v>
      </c>
      <c r="Z65" s="385">
        <f t="shared" si="20"/>
        <v>16.982088470003077</v>
      </c>
      <c r="AA65" s="386">
        <f t="shared" si="11"/>
        <v>19.780687926461411</v>
      </c>
      <c r="AB65" s="197">
        <f t="shared" si="12"/>
        <v>44612</v>
      </c>
      <c r="AC65" s="119">
        <f>IF(OR(t&lt;Tnet,NoTnet),'2021'!Resal_s+('2021'!Salim-'2021'!Resal_s)*(1-EXP(('2021'!Tnet_s-t)/'2021'!Tau_j)),Resal_s+(Salim-Resal_s)*(1-EXP((Tnet_s-t)/Tau_j)))*Salcycl</f>
        <v>0.14148140180274199</v>
      </c>
      <c r="AD65" s="231">
        <f>(INDEX(Models!$BJ65:$BT65,,AH65)*(1-AF65)+INDEX(Models!$BJ65:$BT65,,AH65+1)*AF65-ERP_i)*AE65*Ramure*Pc/MaxiM</f>
        <v>1.1035523098181114E-2</v>
      </c>
      <c r="AE65" s="305">
        <f t="shared" si="13"/>
        <v>0.8</v>
      </c>
      <c r="AF65" s="177">
        <f t="shared" si="21"/>
        <v>0.205701285560971</v>
      </c>
      <c r="AG65" s="809">
        <f t="shared" si="22"/>
        <v>1</v>
      </c>
      <c r="AH65" s="176">
        <f t="shared" si="14"/>
        <v>7</v>
      </c>
      <c r="AI65" s="225">
        <f t="shared" si="23"/>
        <v>1.205701285560971</v>
      </c>
      <c r="AJ65" s="265" t="b">
        <f t="shared" si="15"/>
        <v>0</v>
      </c>
      <c r="AK65" s="265" t="b">
        <f t="shared" si="16"/>
        <v>0</v>
      </c>
      <c r="AL65" s="265"/>
      <c r="AM65" s="265"/>
      <c r="AN65" s="75"/>
    </row>
    <row r="66" spans="1:40" s="6" customFormat="1" ht="11.25" x14ac:dyDescent="0.2">
      <c r="A66" s="56">
        <f t="shared" si="17"/>
        <v>44613</v>
      </c>
      <c r="B66" s="616">
        <v>18.923000000000002</v>
      </c>
      <c r="C66" s="839"/>
      <c r="D66" s="393">
        <f t="shared" si="0"/>
        <v>19.730187891153967</v>
      </c>
      <c r="E66" s="385">
        <f t="shared" si="1"/>
        <v>21.46967801054608</v>
      </c>
      <c r="F66" s="385">
        <f t="shared" si="2"/>
        <v>21.470193453727344</v>
      </c>
      <c r="G66" s="110">
        <f t="shared" si="18"/>
        <v>0.6571623433451208</v>
      </c>
      <c r="H66" s="414" t="b">
        <f>Wh_hp&gt;='2021'!Maxi_hp</f>
        <v>0</v>
      </c>
      <c r="I66" s="380">
        <f>IF(H66,Wh_hp,'2021'!Maxi_hp)</f>
        <v>32.315694426247191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4.0911312938680597E-2</v>
      </c>
      <c r="M66" s="843"/>
      <c r="N66" s="843"/>
      <c r="O66" s="48">
        <f>IF(t&lt;Tnet,'2021'!Resal+('2021'!Salim-'2021'!Resal)*(1-EXP(('2021'!Tnet-t)/('2021'!Tau_j))),Resal+(Salim-Resal)*(1-EXP((Tnet-t)/(Tau_j))))*Salcycl</f>
        <v>8.1020782823927759E-2</v>
      </c>
      <c r="P66" s="339">
        <f>(INDEX(Models!$BJ66:$BT66,,T66)*(1-R66)+INDEX(Models!$BJ66:$BT66,,T66+1)*R66-ERP_i)*Q66*Ramure*Pc/MaxiM</f>
        <v>4.7049910771003492E-5</v>
      </c>
      <c r="Q66" s="305">
        <f t="shared" si="4"/>
        <v>0.8</v>
      </c>
      <c r="R66" s="177">
        <f t="shared" si="5"/>
        <v>5.2529522952116251E-3</v>
      </c>
      <c r="S66" s="809">
        <f t="shared" si="6"/>
        <v>0</v>
      </c>
      <c r="T66" s="176">
        <f t="shared" si="7"/>
        <v>6</v>
      </c>
      <c r="U66" s="251">
        <f t="shared" si="19"/>
        <v>5.2529522952116251E-3</v>
      </c>
      <c r="V66" s="383">
        <f t="shared" si="8"/>
        <v>28.794352183174745</v>
      </c>
      <c r="W66" s="402"/>
      <c r="X66" s="157">
        <f t="shared" si="9"/>
        <v>44613</v>
      </c>
      <c r="Y66" s="385">
        <f t="shared" si="10"/>
        <v>17.576330944687719</v>
      </c>
      <c r="Z66" s="385">
        <f t="shared" si="20"/>
        <v>18.326074722601721</v>
      </c>
      <c r="AA66" s="386">
        <f t="shared" si="11"/>
        <v>21.347600940399843</v>
      </c>
      <c r="AB66" s="197">
        <f t="shared" si="12"/>
        <v>44613</v>
      </c>
      <c r="AC66" s="119">
        <f>IF(OR(t&lt;Tnet,NoTnet),'2021'!Resal_s+('2021'!Salim-'2021'!Resal_s)*(1-EXP(('2021'!Tnet_s-t)/'2021'!Tau_j)),Resal_s+(Salim-Resal_s)*(1-EXP((Tnet_s-t)/Tau_j)))*Salcycl</f>
        <v>0.14153938075917247</v>
      </c>
      <c r="AD66" s="231">
        <f>(INDEX(Models!$BJ66:$BT66,,AH66)*(1-AF66)+INDEX(Models!$BJ66:$BT66,,AH66+1)*AF66-ERP_i)*AE66*Ramure*Pc/MaxiM</f>
        <v>1.1190305785187777E-2</v>
      </c>
      <c r="AE66" s="305">
        <f t="shared" si="13"/>
        <v>0.8</v>
      </c>
      <c r="AF66" s="177">
        <f t="shared" si="21"/>
        <v>0.20596969946011501</v>
      </c>
      <c r="AG66" s="809">
        <f t="shared" si="22"/>
        <v>1</v>
      </c>
      <c r="AH66" s="176">
        <f t="shared" si="14"/>
        <v>7</v>
      </c>
      <c r="AI66" s="225">
        <f t="shared" si="23"/>
        <v>1.205969699460115</v>
      </c>
      <c r="AJ66" s="265" t="b">
        <f t="shared" si="15"/>
        <v>0</v>
      </c>
      <c r="AK66" s="265" t="b">
        <f t="shared" si="16"/>
        <v>0</v>
      </c>
      <c r="AL66" s="265"/>
      <c r="AM66" s="265"/>
      <c r="AN66" s="75"/>
    </row>
    <row r="67" spans="1:40" s="6" customFormat="1" ht="11.25" x14ac:dyDescent="0.2">
      <c r="A67" s="56">
        <f t="shared" si="17"/>
        <v>44614</v>
      </c>
      <c r="B67" s="616">
        <v>27.547000000000001</v>
      </c>
      <c r="C67" s="839"/>
      <c r="D67" s="393">
        <f t="shared" si="0"/>
        <v>28.72273322847813</v>
      </c>
      <c r="E67" s="385">
        <f t="shared" si="1"/>
        <v>31.261002542305729</v>
      </c>
      <c r="F67" s="385">
        <f t="shared" si="2"/>
        <v>31.262451697337781</v>
      </c>
      <c r="G67" s="110">
        <f t="shared" si="18"/>
        <v>0.94547978416992684</v>
      </c>
      <c r="H67" s="414" t="b">
        <f>Wh_hp&gt;='2021'!Maxi_hp</f>
        <v>0</v>
      </c>
      <c r="I67" s="380">
        <f>IF(H67,Wh_hp,'2021'!Maxi_hp)</f>
        <v>32.908275792453587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4.093389090535475E-2</v>
      </c>
      <c r="M67" s="843"/>
      <c r="N67" s="843"/>
      <c r="O67" s="48">
        <f>IF(t&lt;Tnet,'2021'!Resal+('2021'!Salim-'2021'!Resal)*(1-EXP(('2021'!Tnet-t)/('2021'!Tau_j))),Resal+(Salim-Resal)*(1-EXP((Tnet-t)/(Tau_j))))*Salcycl</f>
        <v>8.1196030434166025E-2</v>
      </c>
      <c r="P67" s="339">
        <f>(INDEX(Models!$BJ67:$BT67,,T67)*(1-R67)+INDEX(Models!$BJ67:$BT67,,T67+1)*R67-ERP_i)*Q67*Ramure*Pc/MaxiM</f>
        <v>5.0269517845441823E-5</v>
      </c>
      <c r="Q67" s="305">
        <f t="shared" si="4"/>
        <v>0.8</v>
      </c>
      <c r="R67" s="177">
        <f t="shared" si="5"/>
        <v>5.5323690060947719E-3</v>
      </c>
      <c r="S67" s="809">
        <f t="shared" si="6"/>
        <v>0</v>
      </c>
      <c r="T67" s="176">
        <f t="shared" si="7"/>
        <v>6</v>
      </c>
      <c r="U67" s="251">
        <f t="shared" si="19"/>
        <v>5.5323690060947719E-3</v>
      </c>
      <c r="V67" s="383">
        <f t="shared" si="8"/>
        <v>29.13535816309091</v>
      </c>
      <c r="W67" s="402"/>
      <c r="X67" s="157">
        <f t="shared" si="9"/>
        <v>44614</v>
      </c>
      <c r="Y67" s="385">
        <f t="shared" si="10"/>
        <v>25.467948803156727</v>
      </c>
      <c r="Z67" s="385">
        <f t="shared" si="20"/>
        <v>26.554946068523236</v>
      </c>
      <c r="AA67" s="386">
        <f t="shared" si="11"/>
        <v>30.935297893025052</v>
      </c>
      <c r="AB67" s="197">
        <f t="shared" si="12"/>
        <v>44614</v>
      </c>
      <c r="AC67" s="119">
        <f>IF(OR(t&lt;Tnet,NoTnet),'2021'!Resal_s+('2021'!Salim-'2021'!Resal_s)*(1-EXP(('2021'!Tnet_s-t)/'2021'!Tau_j)),Resal_s+(Salim-Resal_s)*(1-EXP((Tnet_s-t)/Tau_j)))*Salcycl</f>
        <v>0.14159720845906082</v>
      </c>
      <c r="AD67" s="231">
        <f>(INDEX(Models!$BJ67:$BT67,,AH67)*(1-AF67)+INDEX(Models!$BJ67:$BT67,,AH67+1)*AF67-ERP_i)*AE67*Ramure*Pc/MaxiM</f>
        <v>1.1348588412112231E-2</v>
      </c>
      <c r="AE67" s="305">
        <f t="shared" si="13"/>
        <v>0.8</v>
      </c>
      <c r="AF67" s="177">
        <f t="shared" si="21"/>
        <v>0.20624911617099806</v>
      </c>
      <c r="AG67" s="809">
        <f t="shared" si="22"/>
        <v>1</v>
      </c>
      <c r="AH67" s="176">
        <f t="shared" si="14"/>
        <v>7</v>
      </c>
      <c r="AI67" s="225">
        <f t="shared" si="23"/>
        <v>1.2062491161709981</v>
      </c>
      <c r="AJ67" s="265" t="b">
        <f t="shared" si="15"/>
        <v>0</v>
      </c>
      <c r="AK67" s="265" t="b">
        <f t="shared" si="16"/>
        <v>0</v>
      </c>
      <c r="AL67" s="265"/>
      <c r="AM67" s="265"/>
      <c r="AN67" s="75"/>
    </row>
    <row r="68" spans="1:40" s="6" customFormat="1" ht="11.25" x14ac:dyDescent="0.2">
      <c r="A68" s="56">
        <f t="shared" si="17"/>
        <v>44615</v>
      </c>
      <c r="B68" s="616">
        <v>27.548999999999999</v>
      </c>
      <c r="C68" s="839"/>
      <c r="D68" s="393">
        <f t="shared" si="0"/>
        <v>28.725494819307581</v>
      </c>
      <c r="E68" s="385">
        <f t="shared" si="1"/>
        <v>31.269960098153881</v>
      </c>
      <c r="F68" s="385">
        <f t="shared" si="2"/>
        <v>31.271481165452403</v>
      </c>
      <c r="G68" s="110">
        <f t="shared" si="18"/>
        <v>0.93444766190780248</v>
      </c>
      <c r="H68" s="414" t="b">
        <f>Wh_hp&gt;='2021'!Maxi_hp</f>
        <v>0</v>
      </c>
      <c r="I68" s="380">
        <f>IF(H68,Wh_hp,'2021'!Maxi_hp)</f>
        <v>33.900366462796477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4.0956468346606642E-2</v>
      </c>
      <c r="M68" s="843"/>
      <c r="N68" s="843"/>
      <c r="O68" s="48">
        <f>IF(t&lt;Tnet,'2021'!Resal+('2021'!Salim-'2021'!Resal)*(1-EXP(('2021'!Tnet-t)/('2021'!Tau_j))),Resal+(Salim-Resal)*(1-EXP((Tnet-t)/(Tau_j))))*Salcycl</f>
        <v>8.1370915436394131E-2</v>
      </c>
      <c r="P68" s="339">
        <f>(INDEX(Models!$BJ68:$BT68,,T68)*(1-R68)+INDEX(Models!$BJ68:$BT68,,T68+1)*R68-ERP_i)*Q68*Ramure*Pc/MaxiM</f>
        <v>5.3665972250198334E-5</v>
      </c>
      <c r="Q68" s="305">
        <f t="shared" si="4"/>
        <v>0.8</v>
      </c>
      <c r="R68" s="177">
        <f t="shared" si="5"/>
        <v>5.8232284385482105E-3</v>
      </c>
      <c r="S68" s="809">
        <f t="shared" si="6"/>
        <v>0</v>
      </c>
      <c r="T68" s="176">
        <f t="shared" si="7"/>
        <v>6</v>
      </c>
      <c r="U68" s="251">
        <f t="shared" si="19"/>
        <v>5.8232284385482105E-3</v>
      </c>
      <c r="V68" s="383">
        <f t="shared" si="8"/>
        <v>29.481438795933446</v>
      </c>
      <c r="W68" s="402"/>
      <c r="X68" s="157">
        <f t="shared" si="9"/>
        <v>44615</v>
      </c>
      <c r="Y68" s="385">
        <f t="shared" si="10"/>
        <v>25.473824497820601</v>
      </c>
      <c r="Z68" s="385">
        <f t="shared" si="20"/>
        <v>26.561697834407646</v>
      </c>
      <c r="AA68" s="386">
        <f t="shared" si="11"/>
        <v>30.945242474123695</v>
      </c>
      <c r="AB68" s="197">
        <f t="shared" si="12"/>
        <v>44615</v>
      </c>
      <c r="AC68" s="119">
        <f>IF(OR(t&lt;Tnet,NoTnet),'2021'!Resal_s+('2021'!Salim-'2021'!Resal_s)*(1-EXP(('2021'!Tnet_s-t)/'2021'!Tau_j)),Resal_s+(Salim-Resal_s)*(1-EXP((Tnet_s-t)/Tau_j)))*Salcycl</f>
        <v>0.14165488098474441</v>
      </c>
      <c r="AD68" s="231">
        <f>(INDEX(Models!$BJ68:$BT68,,AH68)*(1-AF68)+INDEX(Models!$BJ68:$BT68,,AH68+1)*AF68-ERP_i)*AE68*Ramure*Pc/MaxiM</f>
        <v>1.1510283978087101E-2</v>
      </c>
      <c r="AE68" s="305">
        <f t="shared" si="13"/>
        <v>0.8</v>
      </c>
      <c r="AF68" s="177">
        <f t="shared" si="21"/>
        <v>0.20653997560345161</v>
      </c>
      <c r="AG68" s="809">
        <f t="shared" si="22"/>
        <v>1</v>
      </c>
      <c r="AH68" s="176">
        <f t="shared" si="14"/>
        <v>7</v>
      </c>
      <c r="AI68" s="225">
        <f t="shared" si="23"/>
        <v>1.2065399756034516</v>
      </c>
      <c r="AJ68" s="265" t="b">
        <f t="shared" si="15"/>
        <v>0</v>
      </c>
      <c r="AK68" s="265" t="b">
        <f t="shared" si="16"/>
        <v>0</v>
      </c>
      <c r="AL68" s="265"/>
      <c r="AM68" s="265"/>
      <c r="AN68" s="75"/>
    </row>
    <row r="69" spans="1:40" s="6" customFormat="1" ht="11.25" x14ac:dyDescent="0.2">
      <c r="A69" s="56">
        <f t="shared" si="17"/>
        <v>44616</v>
      </c>
      <c r="B69" s="616">
        <v>15.708</v>
      </c>
      <c r="C69" s="839"/>
      <c r="D69" s="393">
        <f t="shared" si="0"/>
        <v>16.37920414814992</v>
      </c>
      <c r="E69" s="385">
        <f t="shared" si="1"/>
        <v>17.833439793551598</v>
      </c>
      <c r="F69" s="385">
        <f t="shared" si="2"/>
        <v>17.833770209952799</v>
      </c>
      <c r="G69" s="110">
        <f t="shared" si="18"/>
        <v>0.52652476568691753</v>
      </c>
      <c r="H69" s="414" t="b">
        <f>Wh_hp&gt;='2021'!Maxi_hp</f>
        <v>0</v>
      </c>
      <c r="I69" s="380">
        <f>IF(H69,Wh_hp,'2021'!Maxi_hp)</f>
        <v>34.946187395768554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4.0979045262448485E-2</v>
      </c>
      <c r="M69" s="843"/>
      <c r="N69" s="843"/>
      <c r="O69" s="48">
        <f>IF(t&lt;Tnet,'2021'!Resal+('2021'!Salim-'2021'!Resal)*(1-EXP(('2021'!Tnet-t)/('2021'!Tau_j))),Resal+(Salim-Resal)*(1-EXP((Tnet-t)/(Tau_j))))*Salcycl</f>
        <v>8.1545437236820562E-2</v>
      </c>
      <c r="P69" s="339">
        <f>(INDEX(Models!$BJ69:$BT69,,T69)*(1-R69)+INDEX(Models!$BJ69:$BT69,,T69+1)*R69-ERP_i)*Q69*Ramure*Pc/MaxiM</f>
        <v>5.724818116010467E-5</v>
      </c>
      <c r="Q69" s="305">
        <f t="shared" si="4"/>
        <v>0.8</v>
      </c>
      <c r="R69" s="177">
        <f t="shared" si="5"/>
        <v>6.125987151210154E-3</v>
      </c>
      <c r="S69" s="809">
        <f t="shared" si="6"/>
        <v>0</v>
      </c>
      <c r="T69" s="176">
        <f t="shared" si="7"/>
        <v>6</v>
      </c>
      <c r="U69" s="251">
        <f t="shared" si="19"/>
        <v>6.125987151210154E-3</v>
      </c>
      <c r="V69" s="383">
        <f t="shared" si="8"/>
        <v>29.832199336068733</v>
      </c>
      <c r="W69" s="402"/>
      <c r="X69" s="157">
        <f t="shared" si="9"/>
        <v>44616</v>
      </c>
      <c r="Y69" s="385">
        <f t="shared" si="10"/>
        <v>14.623791382922741</v>
      </c>
      <c r="Z69" s="385">
        <f t="shared" si="20"/>
        <v>15.248667206572906</v>
      </c>
      <c r="AA69" s="386">
        <f t="shared" si="11"/>
        <v>17.766384073047014</v>
      </c>
      <c r="AB69" s="197">
        <f t="shared" si="12"/>
        <v>44616</v>
      </c>
      <c r="AC69" s="119">
        <f>IF(OR(t&lt;Tnet,NoTnet),'2021'!Resal_s+('2021'!Salim-'2021'!Resal_s)*(1-EXP(('2021'!Tnet_s-t)/'2021'!Tau_j)),Resal_s+(Salim-Resal_s)*(1-EXP((Tnet_s-t)/Tau_j)))*Salcycl</f>
        <v>0.14171239663188878</v>
      </c>
      <c r="AD69" s="231">
        <f>(INDEX(Models!$BJ69:$BT69,,AH69)*(1-AF69)+INDEX(Models!$BJ69:$BT69,,AH69+1)*AF69-ERP_i)*AE69*Ramure*Pc/MaxiM</f>
        <v>1.1675370106377534E-2</v>
      </c>
      <c r="AE69" s="305">
        <f t="shared" si="13"/>
        <v>0.8</v>
      </c>
      <c r="AF69" s="177">
        <f t="shared" si="21"/>
        <v>0.20684273431611344</v>
      </c>
      <c r="AG69" s="809">
        <f t="shared" si="22"/>
        <v>1</v>
      </c>
      <c r="AH69" s="176">
        <f t="shared" si="14"/>
        <v>7</v>
      </c>
      <c r="AI69" s="225">
        <f t="shared" si="23"/>
        <v>1.2068427343161134</v>
      </c>
      <c r="AJ69" s="265" t="b">
        <f t="shared" si="15"/>
        <v>0</v>
      </c>
      <c r="AK69" s="265" t="b">
        <f t="shared" si="16"/>
        <v>0</v>
      </c>
      <c r="AL69" s="265"/>
      <c r="AM69" s="265"/>
      <c r="AN69" s="75"/>
    </row>
    <row r="70" spans="1:40" s="6" customFormat="1" ht="11.25" x14ac:dyDescent="0.2">
      <c r="A70" s="56">
        <f t="shared" si="17"/>
        <v>44617</v>
      </c>
      <c r="B70" s="616">
        <v>28.061</v>
      </c>
      <c r="C70" s="839"/>
      <c r="D70" s="393">
        <f t="shared" si="0"/>
        <v>29.260737696308574</v>
      </c>
      <c r="E70" s="385">
        <f t="shared" si="1"/>
        <v>31.864708848960976</v>
      </c>
      <c r="F70" s="385">
        <f t="shared" si="2"/>
        <v>31.866457841095471</v>
      </c>
      <c r="G70" s="110">
        <f t="shared" si="18"/>
        <v>0.92955906989715842</v>
      </c>
      <c r="H70" s="414" t="b">
        <f>Wh_hp&gt;='2021'!Maxi_hp</f>
        <v>0</v>
      </c>
      <c r="I70" s="380">
        <f>IF(H70,Wh_hp,'2021'!Maxi_hp)</f>
        <v>34.047177423693249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4.1001621652892603E-2</v>
      </c>
      <c r="M70" s="843"/>
      <c r="N70" s="843"/>
      <c r="O70" s="48">
        <f>IF(t&lt;Tnet,'2021'!Resal+('2021'!Salim-'2021'!Resal)*(1-EXP(('2021'!Tnet-t)/('2021'!Tau_j))),Resal+(Salim-Resal)*(1-EXP((Tnet-t)/(Tau_j))))*Salcycl</f>
        <v>8.1719596591804694E-2</v>
      </c>
      <c r="P70" s="339">
        <f>(INDEX(Models!$BJ70:$BT70,,T70)*(1-R70)+INDEX(Models!$BJ70:$BT70,,T70+1)*R70-ERP_i)*Q70*Ramure*Pc/MaxiM</f>
        <v>6.1025547150432457E-5</v>
      </c>
      <c r="Q70" s="305">
        <f t="shared" si="4"/>
        <v>0.8</v>
      </c>
      <c r="R70" s="177">
        <f t="shared" si="5"/>
        <v>6.4411189017734172E-3</v>
      </c>
      <c r="S70" s="809">
        <f t="shared" si="6"/>
        <v>0</v>
      </c>
      <c r="T70" s="176">
        <f t="shared" si="7"/>
        <v>6</v>
      </c>
      <c r="U70" s="251">
        <f t="shared" si="19"/>
        <v>6.4411189017734172E-3</v>
      </c>
      <c r="V70" s="383">
        <f t="shared" si="8"/>
        <v>30.187245319610025</v>
      </c>
      <c r="W70" s="402"/>
      <c r="X70" s="157">
        <f t="shared" si="9"/>
        <v>44617</v>
      </c>
      <c r="Y70" s="385">
        <f t="shared" si="10"/>
        <v>25.948037750845003</v>
      </c>
      <c r="Z70" s="385">
        <f t="shared" si="20"/>
        <v>27.057436526188958</v>
      </c>
      <c r="AA70" s="386">
        <f t="shared" si="11"/>
        <v>31.527013545599207</v>
      </c>
      <c r="AB70" s="197">
        <f t="shared" si="12"/>
        <v>44617</v>
      </c>
      <c r="AC70" s="119">
        <f>IF(OR(t&lt;Tnet,NoTnet),'2021'!Resal_s+('2021'!Salim-'2021'!Resal_s)*(1-EXP(('2021'!Tnet_s-t)/'2021'!Tau_j)),Resal_s+(Salim-Resal_s)*(1-EXP((Tnet_s-t)/Tau_j)))*Salcycl</f>
        <v>0.14176975605208084</v>
      </c>
      <c r="AD70" s="231">
        <f>(INDEX(Models!$BJ70:$BT70,,AH70)*(1-AF70)+INDEX(Models!$BJ70:$BT70,,AH70+1)*AF70-ERP_i)*AE70*Ramure*Pc/MaxiM</f>
        <v>1.1843834772724536E-2</v>
      </c>
      <c r="AE70" s="305">
        <f t="shared" si="13"/>
        <v>0.8</v>
      </c>
      <c r="AF70" s="177">
        <f t="shared" si="21"/>
        <v>0.20715786606667685</v>
      </c>
      <c r="AG70" s="809">
        <f t="shared" si="22"/>
        <v>1</v>
      </c>
      <c r="AH70" s="176">
        <f t="shared" si="14"/>
        <v>7</v>
      </c>
      <c r="AI70" s="225">
        <f t="shared" si="23"/>
        <v>1.2071578660666769</v>
      </c>
      <c r="AJ70" s="265" t="b">
        <f t="shared" si="15"/>
        <v>0</v>
      </c>
      <c r="AK70" s="265" t="b">
        <f t="shared" si="16"/>
        <v>0</v>
      </c>
      <c r="AL70" s="265"/>
      <c r="AM70" s="265"/>
      <c r="AN70" s="75"/>
    </row>
    <row r="71" spans="1:40" s="6" customFormat="1" ht="11.25" x14ac:dyDescent="0.2">
      <c r="A71" s="56">
        <f t="shared" si="17"/>
        <v>44618</v>
      </c>
      <c r="B71" s="1288">
        <f>33.16*0.95</f>
        <v>31.501999999999995</v>
      </c>
      <c r="C71" s="839"/>
      <c r="D71" s="393">
        <f t="shared" si="0"/>
        <v>32.849629697084744</v>
      </c>
      <c r="E71" s="385">
        <f t="shared" si="1"/>
        <v>35.779755360600795</v>
      </c>
      <c r="F71" s="385">
        <f t="shared" si="2"/>
        <v>35.782081482153075</v>
      </c>
      <c r="G71" s="110">
        <f t="shared" si="18"/>
        <v>1.031290897084685</v>
      </c>
      <c r="H71" s="414" t="b">
        <f>Wh_hp&gt;='2021'!Maxi_hp</f>
        <v>1</v>
      </c>
      <c r="I71" s="380">
        <f>IF(H71,Wh_hp,'2021'!Maxi_hp)</f>
        <v>35.782081482153075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4.1024197517950986E-2</v>
      </c>
      <c r="M71" s="843"/>
      <c r="N71" s="843"/>
      <c r="O71" s="48">
        <f>IF(t&lt;Tnet,'2021'!Resal+('2021'!Salim-'2021'!Resal)*(1-EXP(('2021'!Tnet-t)/('2021'!Tau_j))),Resal+(Salim-Resal)*(1-EXP((Tnet-t)/(Tau_j))))*Salcycl</f>
        <v>8.1893395692207188E-2</v>
      </c>
      <c r="P71" s="339">
        <f>(INDEX(Models!$BJ71:$BT71,,T71)*(1-R71)+INDEX(Models!$BJ71:$BT71,,T71+1)*R71-ERP_i)*Q71*Ramure*Pc/MaxiM</f>
        <v>6.5007999980039728E-5</v>
      </c>
      <c r="Q71" s="305">
        <f t="shared" si="4"/>
        <v>0.8</v>
      </c>
      <c r="R71" s="177">
        <f t="shared" si="5"/>
        <v>6.7691152084517776E-3</v>
      </c>
      <c r="S71" s="809">
        <f t="shared" si="6"/>
        <v>0</v>
      </c>
      <c r="T71" s="176">
        <f t="shared" si="7"/>
        <v>6</v>
      </c>
      <c r="U71" s="251">
        <f t="shared" si="19"/>
        <v>6.7691152084517776E-3</v>
      </c>
      <c r="V71" s="383">
        <f t="shared" si="8"/>
        <v>30.54618254563454</v>
      </c>
      <c r="W71" s="402"/>
      <c r="X71" s="157">
        <f t="shared" si="9"/>
        <v>44618</v>
      </c>
      <c r="Y71" s="385">
        <f t="shared" si="10"/>
        <v>29.0936472166245</v>
      </c>
      <c r="Z71" s="385">
        <f t="shared" si="20"/>
        <v>30.338249558876747</v>
      </c>
      <c r="AA71" s="386">
        <f t="shared" si="11"/>
        <v>35.352135558772751</v>
      </c>
      <c r="AB71" s="197">
        <f t="shared" si="12"/>
        <v>44618</v>
      </c>
      <c r="AC71" s="119">
        <f>IF(OR(t&lt;Tnet,NoTnet),'2021'!Resal_s+('2021'!Salim-'2021'!Resal_s)*(1-EXP(('2021'!Tnet_s-t)/'2021'!Tau_j)),Resal_s+(Salim-Resal_s)*(1-EXP((Tnet_s-t)/Tau_j)))*Salcycl</f>
        <v>0.14182696237856524</v>
      </c>
      <c r="AD71" s="231">
        <f>(INDEX(Models!$BJ71:$BT71,,AH71)*(1-AF71)+INDEX(Models!$BJ71:$BT71,,AH71+1)*AF71-ERP_i)*AE71*Ramure*Pc/MaxiM</f>
        <v>1.2015676717822251E-2</v>
      </c>
      <c r="AE71" s="305">
        <f t="shared" si="13"/>
        <v>0.8</v>
      </c>
      <c r="AF71" s="177">
        <f t="shared" si="21"/>
        <v>0.20748586237335509</v>
      </c>
      <c r="AG71" s="809">
        <f t="shared" si="22"/>
        <v>1</v>
      </c>
      <c r="AH71" s="176">
        <f t="shared" si="14"/>
        <v>7</v>
      </c>
      <c r="AI71" s="225">
        <f t="shared" si="23"/>
        <v>1.2074858623733551</v>
      </c>
      <c r="AJ71" s="265" t="b">
        <f t="shared" si="15"/>
        <v>0</v>
      </c>
      <c r="AK71" s="265" t="b">
        <f t="shared" si="16"/>
        <v>0</v>
      </c>
      <c r="AL71" s="265"/>
      <c r="AM71" s="265"/>
      <c r="AN71" s="75"/>
    </row>
    <row r="72" spans="1:40" s="6" customFormat="1" ht="11.25" x14ac:dyDescent="0.2">
      <c r="A72" s="56">
        <f t="shared" si="17"/>
        <v>44619</v>
      </c>
      <c r="B72" s="616">
        <v>25.711000000000002</v>
      </c>
      <c r="C72" s="839"/>
      <c r="D72" s="393">
        <f t="shared" si="0"/>
        <v>26.81152664412798</v>
      </c>
      <c r="E72" s="385">
        <f t="shared" si="1"/>
        <v>29.208582673563427</v>
      </c>
      <c r="F72" s="385">
        <f t="shared" si="2"/>
        <v>29.210118178244766</v>
      </c>
      <c r="G72" s="110">
        <f t="shared" si="18"/>
        <v>0.83182538142231199</v>
      </c>
      <c r="H72" s="414" t="b">
        <f>Wh_hp&gt;='2021'!Maxi_hp</f>
        <v>0</v>
      </c>
      <c r="I72" s="380">
        <f>IF(H72,Wh_hp,'2021'!Maxi_hp)</f>
        <v>35.119765108958404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4.1046772857636069E-2</v>
      </c>
      <c r="M72" s="843"/>
      <c r="N72" s="843"/>
      <c r="O72" s="48">
        <f>IF(t&lt;Tnet,'2021'!Resal+('2021'!Salim-'2021'!Resal)*(1-EXP(('2021'!Tnet-t)/('2021'!Tau_j))),Resal+(Salim-Resal)*(1-EXP((Tnet-t)/(Tau_j))))*Salcycl</f>
        <v>8.2066838238098128E-2</v>
      </c>
      <c r="P72" s="339">
        <f>(INDEX(Models!$BJ72:$BT72,,T72)*(1-R72)+INDEX(Models!$BJ72:$BT72,,T72+1)*R72-ERP_i)*Q72*Ramure*Pc/MaxiM</f>
        <v>6.9188755580780427E-5</v>
      </c>
      <c r="Q72" s="305">
        <f t="shared" si="4"/>
        <v>0.8</v>
      </c>
      <c r="R72" s="177">
        <f t="shared" si="5"/>
        <v>7.110485922223935E-3</v>
      </c>
      <c r="S72" s="809">
        <f t="shared" si="6"/>
        <v>0</v>
      </c>
      <c r="T72" s="176">
        <f t="shared" si="7"/>
        <v>6</v>
      </c>
      <c r="U72" s="251">
        <f t="shared" si="19"/>
        <v>7.110485922223935E-3</v>
      </c>
      <c r="V72" s="383">
        <f t="shared" si="8"/>
        <v>30.908617606797915</v>
      </c>
      <c r="W72" s="402"/>
      <c r="X72" s="157">
        <f t="shared" si="9"/>
        <v>44619</v>
      </c>
      <c r="Y72" s="385">
        <f t="shared" si="10"/>
        <v>23.814202172512452</v>
      </c>
      <c r="Z72" s="385">
        <f t="shared" si="20"/>
        <v>24.833538798839719</v>
      </c>
      <c r="AA72" s="386">
        <f t="shared" si="11"/>
        <v>28.9396065523107</v>
      </c>
      <c r="AB72" s="197">
        <f t="shared" si="12"/>
        <v>44619</v>
      </c>
      <c r="AC72" s="119">
        <f>IF(OR(t&lt;Tnet,NoTnet),'2021'!Resal_s+('2021'!Salim-'2021'!Resal_s)*(1-EXP(('2021'!Tnet_s-t)/'2021'!Tau_j)),Resal_s+(Salim-Resal_s)*(1-EXP((Tnet_s-t)/Tau_j)))*Salcycl</f>
        <v>0.14188402133418535</v>
      </c>
      <c r="AD72" s="231">
        <f>(INDEX(Models!$BJ72:$BT72,,AH72)*(1-AF72)+INDEX(Models!$BJ72:$BT72,,AH72+1)*AF72-ERP_i)*AE72*Ramure*Pc/MaxiM</f>
        <v>1.2189062655408109E-2</v>
      </c>
      <c r="AE72" s="305">
        <f t="shared" si="13"/>
        <v>0.8</v>
      </c>
      <c r="AF72" s="177">
        <f t="shared" si="21"/>
        <v>0.20782723308712736</v>
      </c>
      <c r="AG72" s="809">
        <f t="shared" si="22"/>
        <v>1</v>
      </c>
      <c r="AH72" s="176">
        <f t="shared" si="14"/>
        <v>7</v>
      </c>
      <c r="AI72" s="225">
        <f t="shared" si="23"/>
        <v>1.2078272330871274</v>
      </c>
      <c r="AJ72" s="265" t="b">
        <f t="shared" si="15"/>
        <v>0</v>
      </c>
      <c r="AK72" s="265" t="b">
        <f t="shared" si="16"/>
        <v>0</v>
      </c>
      <c r="AL72" s="265"/>
      <c r="AM72" s="265"/>
      <c r="AN72" s="75"/>
    </row>
    <row r="73" spans="1:40" s="6" customFormat="1" ht="11.25" x14ac:dyDescent="0.2">
      <c r="A73" s="56">
        <f t="shared" si="17"/>
        <v>44620</v>
      </c>
      <c r="B73" s="616">
        <v>25.908000000000001</v>
      </c>
      <c r="C73" s="839"/>
      <c r="D73" s="393">
        <f t="shared" si="0"/>
        <v>27.017595002414367</v>
      </c>
      <c r="E73" s="385">
        <f t="shared" si="1"/>
        <v>29.438625487150698</v>
      </c>
      <c r="F73" s="385">
        <f t="shared" si="2"/>
        <v>29.440260131791852</v>
      </c>
      <c r="G73" s="110">
        <f t="shared" si="18"/>
        <v>0.82840066161584502</v>
      </c>
      <c r="H73" s="414" t="b">
        <f>Wh_hp&gt;='2021'!Maxi_hp</f>
        <v>0</v>
      </c>
      <c r="I73" s="380">
        <f>IF(H73,Wh_hp,'2021'!Maxi_hp)</f>
        <v>30.515146112920245</v>
      </c>
      <c r="J73" s="85">
        <f>IF(H73,An,'2021'!An_max)</f>
        <v>2021</v>
      </c>
      <c r="K73" s="197">
        <f t="shared" si="3"/>
        <v>44620</v>
      </c>
      <c r="L73" s="147">
        <f>IF(t&lt;Tvie,1-EXP((T0-t)*PertePVj)+'2021'!Pspv,1-EXP((T0-t)*PertePVj)+Pspv)</f>
        <v>4.1069347671960063E-2</v>
      </c>
      <c r="M73" s="843"/>
      <c r="N73" s="843"/>
      <c r="O73" s="48">
        <f>IF(t&lt;Tnet,'2021'!Resal+('2021'!Salim-'2021'!Resal)*(1-EXP(('2021'!Tnet-t)/('2021'!Tau_j))),Resal+(Salim-Resal)*(1-EXP((Tnet-t)/(Tau_j))))*Salcycl</f>
        <v>8.2239929503266279E-2</v>
      </c>
      <c r="P73" s="339">
        <f>(INDEX(Models!$BJ73:$BT73,,T73)*(1-R73)+INDEX(Models!$BJ73:$BT73,,T73+1)*R73-ERP_i)*Q73*Ramure*Pc/MaxiM</f>
        <v>7.3553632047907425E-5</v>
      </c>
      <c r="Q73" s="305">
        <f t="shared" si="4"/>
        <v>0.8</v>
      </c>
      <c r="R73" s="177">
        <f t="shared" si="5"/>
        <v>7.465759809329126E-3</v>
      </c>
      <c r="S73" s="809">
        <f t="shared" si="6"/>
        <v>0</v>
      </c>
      <c r="T73" s="176">
        <f t="shared" si="7"/>
        <v>6</v>
      </c>
      <c r="U73" s="251">
        <f t="shared" si="19"/>
        <v>7.465759809329126E-3</v>
      </c>
      <c r="V73" s="383">
        <f t="shared" si="8"/>
        <v>31.274157622016663</v>
      </c>
      <c r="W73" s="402"/>
      <c r="X73" s="157">
        <f t="shared" si="9"/>
        <v>44620</v>
      </c>
      <c r="Y73" s="385">
        <f t="shared" si="10"/>
        <v>23.998026573302596</v>
      </c>
      <c r="Z73" s="385">
        <f t="shared" si="20"/>
        <v>25.025820704595777</v>
      </c>
      <c r="AA73" s="386">
        <f t="shared" si="11"/>
        <v>29.165615643190659</v>
      </c>
      <c r="AB73" s="197">
        <f t="shared" si="12"/>
        <v>44620</v>
      </c>
      <c r="AC73" s="119">
        <f>IF(OR(t&lt;Tnet,NoTnet),'2021'!Resal_s+('2021'!Salim-'2021'!Resal_s)*(1-EXP(('2021'!Tnet_s-t)/'2021'!Tau_j)),Resal_s+(Salim-Resal_s)*(1-EXP((Tnet_s-t)/Tau_j)))*Salcycl</f>
        <v>0.14194094132079144</v>
      </c>
      <c r="AD73" s="231">
        <f>(INDEX(Models!$BJ73:$BT73,,AH73)*(1-AF73)+INDEX(Models!$BJ73:$BT73,,AH73+1)*AF73-ERP_i)*AE73*Ramure*Pc/MaxiM</f>
        <v>1.2358098604421304E-2</v>
      </c>
      <c r="AE73" s="305">
        <f t="shared" si="13"/>
        <v>0.8</v>
      </c>
      <c r="AF73" s="177">
        <f t="shared" si="21"/>
        <v>0.20818250697423246</v>
      </c>
      <c r="AG73" s="809">
        <f t="shared" si="22"/>
        <v>1</v>
      </c>
      <c r="AH73" s="176">
        <f t="shared" si="14"/>
        <v>7</v>
      </c>
      <c r="AI73" s="225">
        <f t="shared" si="23"/>
        <v>1.2081825069742325</v>
      </c>
      <c r="AJ73" s="265" t="b">
        <f t="shared" si="15"/>
        <v>0</v>
      </c>
      <c r="AK73" s="265" t="b">
        <f t="shared" si="16"/>
        <v>0</v>
      </c>
      <c r="AL73" s="265"/>
      <c r="AM73" s="265"/>
      <c r="AN73" s="75"/>
    </row>
    <row r="74" spans="1:40" s="6" customFormat="1" ht="11.25" x14ac:dyDescent="0.2">
      <c r="A74" s="56">
        <f t="shared" si="17"/>
        <v>44621</v>
      </c>
      <c r="B74" s="616">
        <v>31.769000000000002</v>
      </c>
      <c r="C74" s="839"/>
      <c r="D74" s="393">
        <f t="shared" si="0"/>
        <v>33.130391460427099</v>
      </c>
      <c r="E74" s="385">
        <f t="shared" si="1"/>
        <v>36.105982077053504</v>
      </c>
      <c r="F74" s="385">
        <f t="shared" si="2"/>
        <v>36.108802524436257</v>
      </c>
      <c r="G74" s="110">
        <f t="shared" si="18"/>
        <v>1.0040006644989006</v>
      </c>
      <c r="H74" s="414" t="b">
        <f>Wh_hp&gt;='2021'!Maxi_hp</f>
        <v>1</v>
      </c>
      <c r="I74" s="380">
        <f>IF(H74,Wh_hp,'2021'!Maxi_hp)</f>
        <v>36.108802524436257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4.1091921960935071E-2</v>
      </c>
      <c r="M74" s="843"/>
      <c r="N74" s="843"/>
      <c r="O74" s="48">
        <f>IF(t&lt;Tnet,'2021'!Resal+('2021'!Salim-'2021'!Resal)*(1-EXP(('2021'!Tnet-t)/('2021'!Tau_j))),Resal+(Salim-Resal)*(1-EXP((Tnet-t)/(Tau_j))))*Salcycl</f>
        <v>8.241267638908753E-2</v>
      </c>
      <c r="P74" s="339">
        <f>(INDEX(Models!$BJ74:$BT74,,T74)*(1-R74)+INDEX(Models!$BJ74:$BT74,,T74+1)*R74-ERP_i)*Q74*Ramure*Pc/MaxiM</f>
        <v>7.8109690312822808E-5</v>
      </c>
      <c r="Q74" s="305">
        <f t="shared" si="4"/>
        <v>0.8</v>
      </c>
      <c r="R74" s="177">
        <f t="shared" si="5"/>
        <v>7.8354851433996651E-3</v>
      </c>
      <c r="S74" s="809">
        <f t="shared" si="6"/>
        <v>0</v>
      </c>
      <c r="T74" s="176">
        <f t="shared" si="7"/>
        <v>6</v>
      </c>
      <c r="U74" s="251">
        <f t="shared" si="19"/>
        <v>7.8354851433996651E-3</v>
      </c>
      <c r="V74" s="383">
        <f t="shared" si="8"/>
        <v>31.64240933630855</v>
      </c>
      <c r="W74" s="402"/>
      <c r="X74" s="157">
        <f t="shared" si="9"/>
        <v>44621</v>
      </c>
      <c r="Y74" s="385">
        <f t="shared" si="10"/>
        <v>29.336307757470049</v>
      </c>
      <c r="Z74" s="385">
        <f t="shared" si="20"/>
        <v>30.593451478124805</v>
      </c>
      <c r="AA74" s="386">
        <f t="shared" si="11"/>
        <v>35.656609163226953</v>
      </c>
      <c r="AB74" s="197">
        <f t="shared" si="12"/>
        <v>44621</v>
      </c>
      <c r="AC74" s="119">
        <f>IF(OR(t&lt;Tnet,NoTnet),'2021'!Resal_s+('2021'!Salim-'2021'!Resal_s)*(1-EXP(('2021'!Tnet_s-t)/'2021'!Tau_j)),Resal_s+(Salim-Resal_s)*(1-EXP((Tnet_s-t)/Tau_j)))*Salcycl</f>
        <v>0.14199773348958367</v>
      </c>
      <c r="AD74" s="231">
        <f>(INDEX(Models!$BJ74:$BT74,,AH74)*(1-AF74)+INDEX(Models!$BJ74:$BT74,,AH74+1)*AF74-ERP_i)*AE74*Ramure*Pc/MaxiM</f>
        <v>1.2523078296581188E-2</v>
      </c>
      <c r="AE74" s="305">
        <f t="shared" si="13"/>
        <v>0.8</v>
      </c>
      <c r="AF74" s="177">
        <f t="shared" si="21"/>
        <v>0.20855223230830311</v>
      </c>
      <c r="AG74" s="809">
        <f t="shared" si="22"/>
        <v>1</v>
      </c>
      <c r="AH74" s="176">
        <f t="shared" si="14"/>
        <v>7</v>
      </c>
      <c r="AI74" s="225">
        <f t="shared" si="23"/>
        <v>1.2085522323083031</v>
      </c>
      <c r="AJ74" s="265" t="b">
        <f t="shared" si="15"/>
        <v>0</v>
      </c>
      <c r="AK74" s="265" t="b">
        <f t="shared" si="16"/>
        <v>0</v>
      </c>
      <c r="AL74" s="265"/>
      <c r="AM74" s="265"/>
      <c r="AN74" s="75"/>
    </row>
    <row r="75" spans="1:40" s="6" customFormat="1" ht="11.25" x14ac:dyDescent="0.2">
      <c r="A75" s="56">
        <f t="shared" si="17"/>
        <v>44622</v>
      </c>
      <c r="B75" s="616">
        <v>9.141</v>
      </c>
      <c r="C75" s="839"/>
      <c r="D75" s="393">
        <f t="shared" si="0"/>
        <v>9.5329421075223326</v>
      </c>
      <c r="E75" s="385">
        <f t="shared" si="1"/>
        <v>10.391091290642033</v>
      </c>
      <c r="F75" s="385">
        <f t="shared" si="2"/>
        <v>10.391091290642033</v>
      </c>
      <c r="G75" s="110">
        <f t="shared" si="18"/>
        <v>0.28551676881347582</v>
      </c>
      <c r="H75" s="414" t="b">
        <f>Wh_hp&gt;='2021'!Maxi_hp</f>
        <v>0</v>
      </c>
      <c r="I75" s="380">
        <f>IF(H75,Wh_hp,'2021'!Maxi_hp)</f>
        <v>24.299923659656329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4.1114495724573416E-2</v>
      </c>
      <c r="M75" s="843"/>
      <c r="N75" s="843"/>
      <c r="O75" s="48">
        <f>IF(t&lt;Tnet,'2021'!Resal+('2021'!Salim-'2021'!Resal)*(1-EXP(('2021'!Tnet-t)/('2021'!Tau_j))),Resal+(Salim-Resal)*(1-EXP((Tnet-t)/(Tau_j))))*Salcycl</f>
        <v>8.2585087467427751E-2</v>
      </c>
      <c r="P75" s="339">
        <f>(INDEX(Models!$BJ75:$BT75,,T75)*(1-R75)+INDEX(Models!$BJ75:$BT75,,T75+1)*R75-ERP_i)*Q75*Ramure*Pc/MaxiM</f>
        <v>8.2864412250196719E-5</v>
      </c>
      <c r="Q75" s="305">
        <f t="shared" si="4"/>
        <v>0.8</v>
      </c>
      <c r="R75" s="177">
        <f t="shared" si="5"/>
        <v>8.2202303065135283E-3</v>
      </c>
      <c r="S75" s="809">
        <f t="shared" si="6"/>
        <v>0</v>
      </c>
      <c r="T75" s="176">
        <f t="shared" si="7"/>
        <v>6</v>
      </c>
      <c r="U75" s="251">
        <f t="shared" si="19"/>
        <v>8.2202303065135283E-3</v>
      </c>
      <c r="V75" s="383">
        <f t="shared" si="8"/>
        <v>32.01297974333275</v>
      </c>
      <c r="W75" s="402"/>
      <c r="X75" s="157">
        <f t="shared" si="9"/>
        <v>44622</v>
      </c>
      <c r="Y75" s="385">
        <f t="shared" si="10"/>
        <v>8.5484555730178435</v>
      </c>
      <c r="Z75" s="385">
        <f t="shared" si="20"/>
        <v>8.9149909294722409</v>
      </c>
      <c r="AA75" s="386">
        <f t="shared" si="11"/>
        <v>10.391091290642033</v>
      </c>
      <c r="AB75" s="197">
        <f t="shared" si="12"/>
        <v>44622</v>
      </c>
      <c r="AC75" s="119">
        <f>IF(OR(t&lt;Tnet,NoTnet),'2021'!Resal_s+('2021'!Salim-'2021'!Resal_s)*(1-EXP(('2021'!Tnet_s-t)/'2021'!Tau_j)),Resal_s+(Salim-Resal_s)*(1-EXP((Tnet_s-t)/Tau_j)))*Salcycl</f>
        <v>0.14205441179206393</v>
      </c>
      <c r="AD75" s="231">
        <f>(INDEX(Models!$BJ75:$BT75,,AH75)*(1-AF75)+INDEX(Models!$BJ75:$BT75,,AH75+1)*AF75-ERP_i)*AE75*Ramure*Pc/MaxiM</f>
        <v>1.2684297981387366E-2</v>
      </c>
      <c r="AE75" s="305">
        <f t="shared" si="13"/>
        <v>0.8</v>
      </c>
      <c r="AF75" s="177">
        <f t="shared" si="21"/>
        <v>0.20893697747141693</v>
      </c>
      <c r="AG75" s="809">
        <f t="shared" si="22"/>
        <v>1</v>
      </c>
      <c r="AH75" s="176">
        <f t="shared" si="14"/>
        <v>7</v>
      </c>
      <c r="AI75" s="225">
        <f t="shared" si="23"/>
        <v>1.2089369774714169</v>
      </c>
      <c r="AJ75" s="265" t="b">
        <f t="shared" si="15"/>
        <v>0</v>
      </c>
      <c r="AK75" s="265" t="b">
        <f t="shared" si="16"/>
        <v>0</v>
      </c>
      <c r="AL75" s="265"/>
      <c r="AM75" s="265"/>
      <c r="AN75" s="75"/>
    </row>
    <row r="76" spans="1:40" s="6" customFormat="1" ht="11.25" x14ac:dyDescent="0.2">
      <c r="A76" s="56">
        <f t="shared" si="17"/>
        <v>44623</v>
      </c>
      <c r="B76" s="616">
        <v>30.938000000000002</v>
      </c>
      <c r="C76" s="839"/>
      <c r="D76" s="393">
        <f t="shared" si="0"/>
        <v>32.265299865682834</v>
      </c>
      <c r="E76" s="385">
        <f t="shared" si="1"/>
        <v>35.17639922205462</v>
      </c>
      <c r="F76" s="385">
        <f t="shared" si="2"/>
        <v>35.179291593929499</v>
      </c>
      <c r="G76" s="110">
        <f t="shared" si="18"/>
        <v>0.9552994193787111</v>
      </c>
      <c r="H76" s="414" t="b">
        <f>Wh_hp&gt;='2021'!Maxi_hp</f>
        <v>1</v>
      </c>
      <c r="I76" s="380">
        <f>IF(H76,Wh_hp,'2021'!Maxi_hp)</f>
        <v>35.179291593929499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4.113706896288731E-2</v>
      </c>
      <c r="M76" s="843"/>
      <c r="N76" s="843"/>
      <c r="O76" s="48">
        <f>IF(t&lt;Tnet,'2021'!Resal+('2021'!Salim-'2021'!Resal)*(1-EXP(('2021'!Tnet-t)/('2021'!Tau_j))),Resal+(Salim-Resal)*(1-EXP((Tnet-t)/(Tau_j))))*Salcycl</f>
        <v>8.2757173012370372E-2</v>
      </c>
      <c r="P76" s="339">
        <f>(INDEX(Models!$BJ76:$BT76,,T76)*(1-R76)+INDEX(Models!$BJ76:$BT76,,T76+1)*R76-ERP_i)*Q76*Ramure*Pc/MaxiM</f>
        <v>8.7825725544610008E-5</v>
      </c>
      <c r="Q76" s="305">
        <f t="shared" si="4"/>
        <v>0.8</v>
      </c>
      <c r="R76" s="177">
        <f t="shared" si="5"/>
        <v>8.6205843983429876E-3</v>
      </c>
      <c r="S76" s="809">
        <f t="shared" si="6"/>
        <v>0</v>
      </c>
      <c r="T76" s="176">
        <f t="shared" si="7"/>
        <v>6</v>
      </c>
      <c r="U76" s="251">
        <f t="shared" si="19"/>
        <v>8.6205843983429876E-3</v>
      </c>
      <c r="V76" s="383">
        <f t="shared" si="8"/>
        <v>32.385476079128424</v>
      </c>
      <c r="W76" s="402"/>
      <c r="X76" s="157">
        <f t="shared" si="9"/>
        <v>44623</v>
      </c>
      <c r="Y76" s="385">
        <f t="shared" si="10"/>
        <v>28.590513652104875</v>
      </c>
      <c r="Z76" s="385">
        <f t="shared" si="20"/>
        <v>29.817101826202812</v>
      </c>
      <c r="AA76" s="386">
        <f t="shared" si="11"/>
        <v>34.756363099779747</v>
      </c>
      <c r="AB76" s="197">
        <f t="shared" si="12"/>
        <v>44623</v>
      </c>
      <c r="AC76" s="119">
        <f>IF(OR(t&lt;Tnet,NoTnet),'2021'!Resal_s+('2021'!Salim-'2021'!Resal_s)*(1-EXP(('2021'!Tnet_s-t)/'2021'!Tau_j)),Resal_s+(Salim-Resal_s)*(1-EXP((Tnet_s-t)/Tau_j)))*Salcycl</f>
        <v>0.14211099301147065</v>
      </c>
      <c r="AD76" s="231">
        <f>(INDEX(Models!$BJ76:$BT76,,AH76)*(1-AF76)+INDEX(Models!$BJ76:$BT76,,AH76+1)*AF76-ERP_i)*AE76*Ramure*Pc/MaxiM</f>
        <v>1.2842056090661854E-2</v>
      </c>
      <c r="AE76" s="305">
        <f t="shared" si="13"/>
        <v>0.8</v>
      </c>
      <c r="AF76" s="177">
        <f t="shared" si="21"/>
        <v>0.2093373315632463</v>
      </c>
      <c r="AG76" s="809">
        <f t="shared" si="22"/>
        <v>1</v>
      </c>
      <c r="AH76" s="176">
        <f t="shared" si="14"/>
        <v>7</v>
      </c>
      <c r="AI76" s="225">
        <f t="shared" si="23"/>
        <v>1.2093373315632463</v>
      </c>
      <c r="AJ76" s="265" t="b">
        <f t="shared" si="15"/>
        <v>0</v>
      </c>
      <c r="AK76" s="265" t="b">
        <f t="shared" si="16"/>
        <v>0</v>
      </c>
      <c r="AL76" s="265"/>
      <c r="AM76" s="265"/>
      <c r="AN76" s="75"/>
    </row>
    <row r="77" spans="1:40" s="6" customFormat="1" ht="11.25" x14ac:dyDescent="0.2">
      <c r="A77" s="56">
        <f t="shared" si="17"/>
        <v>44624</v>
      </c>
      <c r="B77" s="616">
        <v>4.1290000000000004</v>
      </c>
      <c r="C77" s="839"/>
      <c r="D77" s="393">
        <f t="shared" si="0"/>
        <v>4.3062434368290319</v>
      </c>
      <c r="E77" s="385">
        <f t="shared" si="1"/>
        <v>4.6956486233513539</v>
      </c>
      <c r="F77" s="385">
        <f t="shared" si="2"/>
        <v>4.6956486233513539</v>
      </c>
      <c r="G77" s="110">
        <f t="shared" si="18"/>
        <v>0.12602803041158675</v>
      </c>
      <c r="H77" s="414" t="b">
        <f>Wh_hp&gt;='2021'!Maxi_hp</f>
        <v>0</v>
      </c>
      <c r="I77" s="380">
        <f>IF(H77,Wh_hp,'2021'!Maxi_hp)</f>
        <v>28.821969075833852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4.1159641675888967E-2</v>
      </c>
      <c r="M77" s="843"/>
      <c r="N77" s="843"/>
      <c r="O77" s="48">
        <f>IF(t&lt;Tnet,'2021'!Resal+('2021'!Salim-'2021'!Resal)*(1-EXP(('2021'!Tnet-t)/('2021'!Tau_j))),Resal+(Salim-Resal)*(1-EXP((Tnet-t)/(Tau_j))))*Salcycl</f>
        <v>8.2928945020676936E-2</v>
      </c>
      <c r="P77" s="339">
        <f>(INDEX(Models!$BJ77:$BT77,,T77)*(1-R77)+INDEX(Models!$BJ77:$BT77,,T77+1)*R77-ERP_i)*Q77*Ramure*Pc/MaxiM</f>
        <v>9.3002030104624687E-5</v>
      </c>
      <c r="Q77" s="305">
        <f t="shared" si="4"/>
        <v>0.8</v>
      </c>
      <c r="R77" s="177">
        <f t="shared" si="5"/>
        <v>9.0371578524609305E-3</v>
      </c>
      <c r="S77" s="809">
        <f t="shared" si="6"/>
        <v>0</v>
      </c>
      <c r="T77" s="176">
        <f t="shared" si="7"/>
        <v>6</v>
      </c>
      <c r="U77" s="251">
        <f t="shared" si="19"/>
        <v>9.0371578524609305E-3</v>
      </c>
      <c r="V77" s="383">
        <f t="shared" si="8"/>
        <v>32.759505811003478</v>
      </c>
      <c r="W77" s="402"/>
      <c r="X77" s="157">
        <f t="shared" si="9"/>
        <v>44624</v>
      </c>
      <c r="Y77" s="385">
        <f t="shared" si="10"/>
        <v>3.8622856828654717</v>
      </c>
      <c r="Z77" s="385">
        <f t="shared" si="20"/>
        <v>4.0280800128355949</v>
      </c>
      <c r="AA77" s="386">
        <f t="shared" si="11"/>
        <v>4.6956486233513539</v>
      </c>
      <c r="AB77" s="197">
        <f t="shared" si="12"/>
        <v>44624</v>
      </c>
      <c r="AC77" s="119">
        <f>IF(OR(t&lt;Tnet,NoTnet),'2021'!Resal_s+('2021'!Salim-'2021'!Resal_s)*(1-EXP(('2021'!Tnet_s-t)/'2021'!Tau_j)),Resal_s+(Salim-Resal_s)*(1-EXP((Tnet_s-t)/Tau_j)))*Salcycl</f>
        <v>0.1421674967747705</v>
      </c>
      <c r="AD77" s="231">
        <f>(INDEX(Models!$BJ77:$BT77,,AH77)*(1-AF77)+INDEX(Models!$BJ77:$BT77,,AH77+1)*AF77-ERP_i)*AE77*Ramure*Pc/MaxiM</f>
        <v>1.2996652985873542E-2</v>
      </c>
      <c r="AE77" s="305">
        <f t="shared" si="13"/>
        <v>0.8</v>
      </c>
      <c r="AF77" s="177">
        <f t="shared" si="21"/>
        <v>0.20975390501736424</v>
      </c>
      <c r="AG77" s="809">
        <f t="shared" si="22"/>
        <v>1</v>
      </c>
      <c r="AH77" s="176">
        <f t="shared" si="14"/>
        <v>7</v>
      </c>
      <c r="AI77" s="225">
        <f t="shared" si="23"/>
        <v>1.2097539050173642</v>
      </c>
      <c r="AJ77" s="265" t="b">
        <f t="shared" si="15"/>
        <v>0</v>
      </c>
      <c r="AK77" s="265" t="b">
        <f t="shared" si="16"/>
        <v>0</v>
      </c>
      <c r="AL77" s="265"/>
      <c r="AM77" s="265"/>
      <c r="AN77" s="75"/>
    </row>
    <row r="78" spans="1:40" s="6" customFormat="1" ht="11.25" x14ac:dyDescent="0.2">
      <c r="A78" s="56">
        <f t="shared" si="17"/>
        <v>44625</v>
      </c>
      <c r="B78" s="616">
        <v>13.254</v>
      </c>
      <c r="C78" s="839"/>
      <c r="D78" s="393">
        <f t="shared" si="0"/>
        <v>13.823272984335706</v>
      </c>
      <c r="E78" s="385">
        <f t="shared" si="1"/>
        <v>15.076103473009796</v>
      </c>
      <c r="F78" s="385">
        <f t="shared" si="2"/>
        <v>15.076315415996932</v>
      </c>
      <c r="G78" s="110">
        <f t="shared" si="18"/>
        <v>0.39997016512401351</v>
      </c>
      <c r="H78" s="414" t="b">
        <f>Wh_hp&gt;='2021'!Maxi_hp</f>
        <v>0</v>
      </c>
      <c r="I78" s="380">
        <f>IF(H78,Wh_hp,'2021'!Maxi_hp)</f>
        <v>37.277702445333496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4.1182213863590597E-2</v>
      </c>
      <c r="M78" s="843"/>
      <c r="N78" s="843"/>
      <c r="O78" s="48">
        <f>IF(t&lt;Tnet,'2021'!Resal+('2021'!Salim-'2021'!Resal)*(1-EXP(('2021'!Tnet-t)/('2021'!Tau_j))),Resal+(Salim-Resal)*(1-EXP((Tnet-t)/(Tau_j))))*Salcycl</f>
        <v>8.3100417221000644E-2</v>
      </c>
      <c r="P78" s="339">
        <f>(INDEX(Models!$BJ78:$BT78,,T78)*(1-R78)+INDEX(Models!$BJ78:$BT78,,T78+1)*R78-ERP_i)*Q78*Ramure*Pc/MaxiM</f>
        <v>9.840222608858924E-5</v>
      </c>
      <c r="Q78" s="305">
        <f t="shared" si="4"/>
        <v>0.8</v>
      </c>
      <c r="R78" s="177">
        <f t="shared" si="5"/>
        <v>9.4705830587357015E-3</v>
      </c>
      <c r="S78" s="809">
        <f t="shared" si="6"/>
        <v>0</v>
      </c>
      <c r="T78" s="176">
        <f t="shared" si="7"/>
        <v>6</v>
      </c>
      <c r="U78" s="251">
        <f t="shared" si="19"/>
        <v>9.4705830587357015E-3</v>
      </c>
      <c r="V78" s="383">
        <f t="shared" si="8"/>
        <v>33.134676637518993</v>
      </c>
      <c r="W78" s="402"/>
      <c r="X78" s="157">
        <f t="shared" si="9"/>
        <v>44625</v>
      </c>
      <c r="Y78" s="385">
        <f t="shared" si="10"/>
        <v>12.376238287463288</v>
      </c>
      <c r="Z78" s="385">
        <f t="shared" si="20"/>
        <v>12.907810499984343</v>
      </c>
      <c r="AA78" s="386">
        <f t="shared" si="11"/>
        <v>15.04799584105036</v>
      </c>
      <c r="AB78" s="197">
        <f t="shared" si="12"/>
        <v>44625</v>
      </c>
      <c r="AC78" s="119">
        <f>IF(OR(t&lt;Tnet,NoTnet),'2021'!Resal_s+('2021'!Salim-'2021'!Resal_s)*(1-EXP(('2021'!Tnet_s-t)/'2021'!Tau_j)),Resal_s+(Salim-Resal_s)*(1-EXP((Tnet_s-t)/Tau_j)))*Salcycl</f>
        <v>0.14222394554547074</v>
      </c>
      <c r="AD78" s="231">
        <f>(INDEX(Models!$BJ78:$BT78,,AH78)*(1-AF78)+INDEX(Models!$BJ78:$BT78,,AH78+1)*AF78-ERP_i)*AE78*Ramure*Pc/MaxiM</f>
        <v>1.3148390773862746E-2</v>
      </c>
      <c r="AE78" s="305">
        <f t="shared" si="13"/>
        <v>0.8</v>
      </c>
      <c r="AF78" s="177">
        <f t="shared" si="21"/>
        <v>0.210187330223639</v>
      </c>
      <c r="AG78" s="809">
        <f t="shared" si="22"/>
        <v>1</v>
      </c>
      <c r="AH78" s="176">
        <f t="shared" si="14"/>
        <v>7</v>
      </c>
      <c r="AI78" s="225">
        <f t="shared" si="23"/>
        <v>1.210187330223639</v>
      </c>
      <c r="AJ78" s="265" t="b">
        <f t="shared" si="15"/>
        <v>0</v>
      </c>
      <c r="AK78" s="265" t="b">
        <f t="shared" si="16"/>
        <v>0</v>
      </c>
      <c r="AL78" s="265"/>
      <c r="AM78" s="265"/>
      <c r="AN78" s="75"/>
    </row>
    <row r="79" spans="1:40" s="6" customFormat="1" ht="11.25" x14ac:dyDescent="0.2">
      <c r="A79" s="56">
        <f t="shared" si="17"/>
        <v>44626</v>
      </c>
      <c r="B79" s="616">
        <v>15.282</v>
      </c>
      <c r="C79" s="839"/>
      <c r="D79" s="393">
        <f t="shared" ref="D79:D142" si="24">Wh/(1-Ppv)</f>
        <v>15.938752894572858</v>
      </c>
      <c r="E79" s="385">
        <f t="shared" si="1"/>
        <v>17.386559620883585</v>
      </c>
      <c r="F79" s="385">
        <f t="shared" ref="F79:F142" si="25">Wh_sa/(1-Pvg*MEDIAN((-Sdif+Wh/Env_an)/Csdif,0,1))</f>
        <v>17.386962703635632</v>
      </c>
      <c r="G79" s="110">
        <f t="shared" si="18"/>
        <v>0.45596167528773146</v>
      </c>
      <c r="H79" s="414" t="b">
        <f>Wh_hp&gt;='2021'!Maxi_hp</f>
        <v>0</v>
      </c>
      <c r="I79" s="380">
        <f>IF(H79,Wh_hp,'2021'!Maxi_hp)</f>
        <v>22.684826096802258</v>
      </c>
      <c r="J79" s="85">
        <f>IF(H79,An,'2021'!An_max)</f>
        <v>2019</v>
      </c>
      <c r="K79" s="197">
        <f t="shared" ref="K79:K142" si="26">t</f>
        <v>44626</v>
      </c>
      <c r="L79" s="147">
        <f>IF(t&lt;Tvie,1-EXP((T0-t)*PertePVj)+'2021'!Pspv,1-EXP((T0-t)*PertePVj)+Pspv)</f>
        <v>4.1204785526004525E-2</v>
      </c>
      <c r="M79" s="843"/>
      <c r="N79" s="843"/>
      <c r="O79" s="48">
        <f>IF(t&lt;Tnet,'2021'!Resal+('2021'!Salim-'2021'!Resal)*(1-EXP(('2021'!Tnet-t)/('2021'!Tau_j))),Resal+(Salim-Resal)*(1-EXP((Tnet-t)/(Tau_j))))*Salcycl</f>
        <v>8.3271605071984334E-2</v>
      </c>
      <c r="P79" s="339">
        <f>(INDEX(Models!$BJ79:$BT79,,T79)*(1-R79)+INDEX(Models!$BJ79:$BT79,,T79+1)*R79-ERP_i)*Q79*Ramure*Pc/MaxiM</f>
        <v>1.0402746027243229E-4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9.9215149906134517E-3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9.9215149906134517E-3</v>
      </c>
      <c r="V79" s="383">
        <f t="shared" ref="V79:V142" si="32">MaxiM*(1-Ppv)*(1-Pvg)*(1-Psa)</f>
        <v>33.513265116793342</v>
      </c>
      <c r="W79" s="402"/>
      <c r="X79" s="157">
        <f t="shared" ref="X79:X142" si="33">t</f>
        <v>44626</v>
      </c>
      <c r="Y79" s="385">
        <f t="shared" ref="Y79:Y142" si="34">Wh_pvt_s*(1-Ppv)</f>
        <v>14.256276918780491</v>
      </c>
      <c r="Z79" s="385">
        <f t="shared" ref="Z79:Z142" si="35">Wh_sa_s*(1-Psa_s)</f>
        <v>14.868948763580995</v>
      </c>
      <c r="AA79" s="386">
        <f t="shared" ref="AA79:AA142" si="36">Wh_hp*(1-Pvg_s*MEDIAN((-Sdif+Wh/Env_an)/Csdif,0,1))</f>
        <v>17.335441733949487</v>
      </c>
      <c r="AB79" s="197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0.14228036459769852</v>
      </c>
      <c r="AD79" s="231">
        <f>(INDEX(Models!$BJ79:$BT79,,AH79)*(1-AF79)+INDEX(Models!$BJ79:$BT79,,AH79+1)*AF79-ERP_i)*AE79*Ramure*Pc/MaxiM</f>
        <v>1.3296514425375383E-2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0.21063826215551695</v>
      </c>
      <c r="AG79" s="809">
        <f t="shared" si="22"/>
        <v>1</v>
      </c>
      <c r="AH79" s="176">
        <f t="shared" ref="AH79:AH142" si="40">MIN(MATCH(Hp_vg_s,Echel_vg),10)</f>
        <v>7</v>
      </c>
      <c r="AI79" s="225">
        <f t="shared" ref="AI79:AI142" si="41">IF(OR(t&lt;Ttai,Notai),Hdd_s+PousH*Croivg,Hdtai_s+PousH*(Croivg-Croi_tai))</f>
        <v>1.210638262155517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44627</v>
      </c>
      <c r="B80" s="616">
        <v>32.515999999999998</v>
      </c>
      <c r="C80" s="839"/>
      <c r="D80" s="393">
        <f t="shared" si="24"/>
        <v>33.914192510576001</v>
      </c>
      <c r="E80" s="385">
        <f t="shared" ref="E80:E143" si="45">Wh_pvt/(1-Psa)</f>
        <v>37.001708527125359</v>
      </c>
      <c r="F80" s="385">
        <f t="shared" si="25"/>
        <v>37.005534165316867</v>
      </c>
      <c r="G80" s="110">
        <f t="shared" ref="G80:G143" si="46">+Wh_hp/MaxiM</f>
        <v>0.95924461814595363</v>
      </c>
      <c r="H80" s="414" t="b">
        <f>Wh_hp&gt;='2021'!Maxi_hp</f>
        <v>1</v>
      </c>
      <c r="I80" s="380">
        <f>IF(H80,Wh_hp,'2021'!Maxi_hp)</f>
        <v>37.005534165316867</v>
      </c>
      <c r="J80" s="85">
        <f>IF(H80,An,'2021'!An_max)</f>
        <v>2022</v>
      </c>
      <c r="K80" s="197">
        <f t="shared" si="26"/>
        <v>44627</v>
      </c>
      <c r="L80" s="147">
        <f>IF(t&lt;Tvie,1-EXP((T0-t)*PertePVj)+'2021'!Pspv,1-EXP((T0-t)*PertePVj)+Pspv)</f>
        <v>4.1227356663142853E-2</v>
      </c>
      <c r="M80" s="843"/>
      <c r="N80" s="843"/>
      <c r="O80" s="48">
        <f>IF(t&lt;Tnet,'2021'!Resal+('2021'!Salim-'2021'!Resal)*(1-EXP(('2021'!Tnet-t)/('2021'!Tau_j))),Resal+(Salim-Resal)*(1-EXP((Tnet-t)/(Tau_j))))*Salcycl</f>
        <v>8.3442525749478594E-2</v>
      </c>
      <c r="P80" s="339">
        <f>(INDEX(Models!$BJ80:$BT80,,T80)*(1-R80)+INDEX(Models!$BJ80:$BT80,,T80+1)*R80-ERP_i)*Q80*Ramure*Pc/MaxiM</f>
        <v>1.0977024293011701E-4</v>
      </c>
      <c r="Q80" s="305">
        <f t="shared" si="27"/>
        <v>0.8</v>
      </c>
      <c r="R80" s="177">
        <f t="shared" si="28"/>
        <v>1.0390631835936134E-2</v>
      </c>
      <c r="S80" s="809">
        <f t="shared" si="29"/>
        <v>0</v>
      </c>
      <c r="T80" s="176">
        <f t="shared" si="30"/>
        <v>6</v>
      </c>
      <c r="U80" s="251">
        <f t="shared" si="31"/>
        <v>1.0390631835936134E-2</v>
      </c>
      <c r="V80" s="383">
        <f t="shared" si="32"/>
        <v>33.897289162339668</v>
      </c>
      <c r="W80" s="402"/>
      <c r="X80" s="157">
        <f t="shared" si="33"/>
        <v>44627</v>
      </c>
      <c r="Y80" s="385">
        <f t="shared" si="34"/>
        <v>30.044918281332404</v>
      </c>
      <c r="Z80" s="385">
        <f t="shared" si="35"/>
        <v>31.336853935220553</v>
      </c>
      <c r="AA80" s="386">
        <f t="shared" si="36"/>
        <v>36.537481468866602</v>
      </c>
      <c r="AB80" s="197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0.14233678197216401</v>
      </c>
      <c r="AD80" s="231">
        <f>(INDEX(Models!$BJ80:$BT80,,AH80)*(1-AF80)+INDEX(Models!$BJ80:$BT80,,AH80+1)*AF80-ERP_i)*AE80*Ramure*Pc/MaxiM</f>
        <v>1.3429983605739075E-2</v>
      </c>
      <c r="AE80" s="305">
        <f t="shared" si="38"/>
        <v>0.8</v>
      </c>
      <c r="AF80" s="177">
        <f t="shared" si="39"/>
        <v>0.21110737900083953</v>
      </c>
      <c r="AG80" s="809">
        <f t="shared" ref="AG80:AG143" si="47">INDEX(Echel_vg,AH80)</f>
        <v>1</v>
      </c>
      <c r="AH80" s="176">
        <f t="shared" si="40"/>
        <v>7</v>
      </c>
      <c r="AI80" s="225">
        <f t="shared" si="41"/>
        <v>1.2111073790008395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44628</v>
      </c>
      <c r="B81" s="616">
        <v>25.153000000000002</v>
      </c>
      <c r="C81" s="839"/>
      <c r="D81" s="393">
        <f t="shared" si="24"/>
        <v>26.23520009600578</v>
      </c>
      <c r="E81" s="385">
        <f t="shared" si="45"/>
        <v>28.628958909355081</v>
      </c>
      <c r="F81" s="385">
        <f t="shared" si="25"/>
        <v>28.631009499082833</v>
      </c>
      <c r="G81" s="110">
        <f t="shared" si="46"/>
        <v>0.73359153450256176</v>
      </c>
      <c r="H81" s="414" t="b">
        <f>Wh_hp&gt;='2021'!Maxi_hp</f>
        <v>1</v>
      </c>
      <c r="I81" s="380">
        <f>IF(H81,Wh_hp,'2021'!Maxi_hp)</f>
        <v>28.631009499082833</v>
      </c>
      <c r="J81" s="85">
        <f>IF(H81,An,'2021'!An_max)</f>
        <v>2022</v>
      </c>
      <c r="K81" s="197">
        <f t="shared" si="26"/>
        <v>44628</v>
      </c>
      <c r="L81" s="147">
        <f>IF(t&lt;Tvie,1-EXP((T0-t)*PertePVj)+'2021'!Pspv,1-EXP((T0-t)*PertePVj)+Pspv)</f>
        <v>4.1249927275017792E-2</v>
      </c>
      <c r="M81" s="843"/>
      <c r="N81" s="843"/>
      <c r="O81" s="48">
        <f>IF(t&lt;Tnet,'2021'!Resal+('2021'!Salim-'2021'!Resal)*(1-EXP(('2021'!Tnet-t)/('2021'!Tau_j))),Resal+(Salim-Resal)*(1-EXP((Tnet-t)/(Tau_j))))*Salcycl</f>
        <v>8.3613198123215396E-2</v>
      </c>
      <c r="P81" s="339">
        <f>(INDEX(Models!$BJ81:$BT81,,T81)*(1-R81)+INDEX(Models!$BJ81:$BT81,,T81+1)*R81-ERP_i)*Q81*Ramure*Pc/MaxiM</f>
        <v>1.1561842029231819E-4</v>
      </c>
      <c r="Q81" s="305">
        <f t="shared" si="27"/>
        <v>0.8</v>
      </c>
      <c r="R81" s="177">
        <f t="shared" si="28"/>
        <v>1.0878635629788231E-2</v>
      </c>
      <c r="S81" s="809">
        <f t="shared" si="29"/>
        <v>0</v>
      </c>
      <c r="T81" s="176">
        <f t="shared" si="30"/>
        <v>6</v>
      </c>
      <c r="U81" s="251">
        <f t="shared" si="31"/>
        <v>1.0878635629788231E-2</v>
      </c>
      <c r="V81" s="383">
        <f t="shared" si="32"/>
        <v>34.285964433705196</v>
      </c>
      <c r="W81" s="402"/>
      <c r="X81" s="157">
        <f t="shared" si="33"/>
        <v>44628</v>
      </c>
      <c r="Y81" s="385">
        <f t="shared" si="34"/>
        <v>23.343729088134548</v>
      </c>
      <c r="Z81" s="385">
        <f t="shared" si="35"/>
        <v>24.348085859108668</v>
      </c>
      <c r="AA81" s="386">
        <f t="shared" si="36"/>
        <v>28.390734152090719</v>
      </c>
      <c r="AB81" s="197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0.14239322841478347</v>
      </c>
      <c r="AD81" s="231">
        <f>(INDEX(Models!$BJ81:$BT81,,AH81)*(1-AF81)+INDEX(Models!$BJ81:$BT81,,AH81+1)*AF81-ERP_i)*AE81*Ramure*Pc/MaxiM</f>
        <v>1.3547447194575854E-2</v>
      </c>
      <c r="AE81" s="305">
        <f t="shared" si="38"/>
        <v>0.8</v>
      </c>
      <c r="AF81" s="177">
        <f t="shared" si="39"/>
        <v>0.2115953827946917</v>
      </c>
      <c r="AG81" s="809">
        <f t="shared" si="47"/>
        <v>1</v>
      </c>
      <c r="AH81" s="176">
        <f t="shared" si="40"/>
        <v>7</v>
      </c>
      <c r="AI81" s="225">
        <f t="shared" si="41"/>
        <v>1.2115953827946917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44629</v>
      </c>
      <c r="B82" s="616">
        <v>26.25</v>
      </c>
      <c r="C82" s="839"/>
      <c r="D82" s="393">
        <f t="shared" si="24"/>
        <v>27.380042741823548</v>
      </c>
      <c r="E82" s="385">
        <f t="shared" si="45"/>
        <v>29.883817860672227</v>
      </c>
      <c r="F82" s="385">
        <f t="shared" si="25"/>
        <v>29.886189605688685</v>
      </c>
      <c r="G82" s="110">
        <f t="shared" si="46"/>
        <v>0.75692105194310477</v>
      </c>
      <c r="H82" s="414" t="b">
        <f>Wh_hp&gt;='2021'!Maxi_hp</f>
        <v>0</v>
      </c>
      <c r="I82" s="380">
        <f>IF(H82,Wh_hp,'2021'!Maxi_hp)</f>
        <v>38.36219098507231</v>
      </c>
      <c r="J82" s="85">
        <f>IF(H82,An,'2021'!An_max)</f>
        <v>2021</v>
      </c>
      <c r="K82" s="197">
        <f t="shared" si="26"/>
        <v>44629</v>
      </c>
      <c r="L82" s="147">
        <f>IF(t&lt;Tvie,1-EXP((T0-t)*PertePVj)+'2021'!Pspv,1-EXP((T0-t)*PertePVj)+Pspv)</f>
        <v>4.1272497361641666E-2</v>
      </c>
      <c r="M82" s="843"/>
      <c r="N82" s="843"/>
      <c r="O82" s="48">
        <f>IF(t&lt;Tnet,'2021'!Resal+('2021'!Salim-'2021'!Resal)*(1-EXP(('2021'!Tnet-t)/('2021'!Tau_j))),Resal+(Salim-Resal)*(1-EXP((Tnet-t)/(Tau_j))))*Salcycl</f>
        <v>8.3783642723365095E-2</v>
      </c>
      <c r="P82" s="339">
        <f>(INDEX(Models!$BJ82:$BT82,,T82)*(1-R82)+INDEX(Models!$BJ82:$BT82,,T82+1)*R82-ERP_i)*Q82*Ramure*Pc/MaxiM</f>
        <v>1.2156930983483447E-4</v>
      </c>
      <c r="Q82" s="305">
        <f t="shared" si="27"/>
        <v>0.8</v>
      </c>
      <c r="R82" s="177">
        <f t="shared" si="28"/>
        <v>1.138625288769254E-2</v>
      </c>
      <c r="S82" s="809">
        <f t="shared" si="29"/>
        <v>0</v>
      </c>
      <c r="T82" s="176">
        <f t="shared" si="30"/>
        <v>6</v>
      </c>
      <c r="U82" s="251">
        <f t="shared" si="31"/>
        <v>1.138625288769254E-2</v>
      </c>
      <c r="V82" s="383">
        <f t="shared" si="32"/>
        <v>34.678506866867124</v>
      </c>
      <c r="W82" s="402"/>
      <c r="X82" s="157">
        <f t="shared" si="33"/>
        <v>44629</v>
      </c>
      <c r="Y82" s="385">
        <f t="shared" si="34"/>
        <v>24.352200874227268</v>
      </c>
      <c r="Z82" s="385">
        <f t="shared" si="35"/>
        <v>25.400544792145347</v>
      </c>
      <c r="AA82" s="386">
        <f t="shared" si="36"/>
        <v>29.619890398189078</v>
      </c>
      <c r="AB82" s="197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0.14244973729888263</v>
      </c>
      <c r="AD82" s="231">
        <f>(INDEX(Models!$BJ82:$BT82,,AH82)*(1-AF82)+INDEX(Models!$BJ82:$BT82,,AH82+1)*AF82-ERP_i)*AE82*Ramure*Pc/MaxiM</f>
        <v>1.3649785554789124E-2</v>
      </c>
      <c r="AE82" s="305">
        <f t="shared" si="38"/>
        <v>0.8</v>
      </c>
      <c r="AF82" s="177">
        <f t="shared" si="39"/>
        <v>0.21210300005259586</v>
      </c>
      <c r="AG82" s="809">
        <f t="shared" si="47"/>
        <v>1</v>
      </c>
      <c r="AH82" s="176">
        <f t="shared" si="40"/>
        <v>7</v>
      </c>
      <c r="AI82" s="225">
        <f t="shared" si="41"/>
        <v>1.2121030000525959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44630</v>
      </c>
      <c r="B83" s="616">
        <v>20.82</v>
      </c>
      <c r="C83" s="839"/>
      <c r="D83" s="393">
        <f t="shared" si="24"/>
        <v>21.716796567613351</v>
      </c>
      <c r="E83" s="385">
        <f t="shared" si="45"/>
        <v>23.707099603080977</v>
      </c>
      <c r="F83" s="385">
        <f t="shared" si="25"/>
        <v>23.708368654125682</v>
      </c>
      <c r="G83" s="110">
        <f t="shared" si="46"/>
        <v>0.59355586409659511</v>
      </c>
      <c r="H83" s="414" t="b">
        <f>Wh_hp&gt;='2021'!Maxi_hp</f>
        <v>0</v>
      </c>
      <c r="I83" s="380">
        <f>IF(H83,Wh_hp,'2021'!Maxi_hp)</f>
        <v>38.414933458593104</v>
      </c>
      <c r="J83" s="85">
        <f>IF(H83,An,'2021'!An_max)</f>
        <v>2021</v>
      </c>
      <c r="K83" s="197">
        <f t="shared" si="26"/>
        <v>44630</v>
      </c>
      <c r="L83" s="147">
        <f>IF(t&lt;Tvie,1-EXP((T0-t)*PertePVj)+'2021'!Pspv,1-EXP((T0-t)*PertePVj)+Pspv)</f>
        <v>4.1295066923026688E-2</v>
      </c>
      <c r="M83" s="843"/>
      <c r="N83" s="843"/>
      <c r="O83" s="48">
        <f>IF(t&lt;Tnet,'2021'!Resal+('2021'!Salim-'2021'!Resal)*(1-EXP(('2021'!Tnet-t)/('2021'!Tau_j))),Resal+(Salim-Resal)*(1-EXP((Tnet-t)/(Tau_j))))*Salcycl</f>
        <v>8.3953881697488034E-2</v>
      </c>
      <c r="P83" s="339">
        <f>(INDEX(Models!$BJ83:$BT83,,T83)*(1-R83)+INDEX(Models!$BJ83:$BT83,,T83+1)*R83-ERP_i)*Q83*Ramure*Pc/MaxiM</f>
        <v>1.276202623480706E-4</v>
      </c>
      <c r="Q83" s="305">
        <f t="shared" si="27"/>
        <v>0.8</v>
      </c>
      <c r="R83" s="177">
        <f t="shared" si="28"/>
        <v>1.1914235237296652E-2</v>
      </c>
      <c r="S83" s="809">
        <f t="shared" si="29"/>
        <v>0</v>
      </c>
      <c r="T83" s="176">
        <f t="shared" si="30"/>
        <v>6</v>
      </c>
      <c r="U83" s="251">
        <f t="shared" si="31"/>
        <v>1.1914235237296652E-2</v>
      </c>
      <c r="V83" s="383">
        <f t="shared" si="32"/>
        <v>35.074132978158033</v>
      </c>
      <c r="W83" s="402"/>
      <c r="X83" s="157">
        <f t="shared" si="33"/>
        <v>44630</v>
      </c>
      <c r="Y83" s="385">
        <f t="shared" si="34"/>
        <v>19.377952411296029</v>
      </c>
      <c r="Z83" s="385">
        <f t="shared" si="35"/>
        <v>20.212634505908184</v>
      </c>
      <c r="AA83" s="386">
        <f t="shared" si="36"/>
        <v>23.571759834044816</v>
      </c>
      <c r="AB83" s="197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0.14250634453202887</v>
      </c>
      <c r="AD83" s="231">
        <f>(INDEX(Models!$BJ83:$BT83,,AH83)*(1-AF83)+INDEX(Models!$BJ83:$BT83,,AH83+1)*AF83-ERP_i)*AE83*Ramure*Pc/MaxiM</f>
        <v>1.3737866203660281E-2</v>
      </c>
      <c r="AE83" s="305">
        <f t="shared" si="38"/>
        <v>0.8</v>
      </c>
      <c r="AF83" s="177">
        <f t="shared" si="39"/>
        <v>0.21263098240220013</v>
      </c>
      <c r="AG83" s="809">
        <f t="shared" si="47"/>
        <v>1</v>
      </c>
      <c r="AH83" s="176">
        <f t="shared" si="40"/>
        <v>7</v>
      </c>
      <c r="AI83" s="225">
        <f t="shared" si="41"/>
        <v>1.2126309824022001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44631</v>
      </c>
      <c r="B84" s="616">
        <v>13.577</v>
      </c>
      <c r="C84" s="839"/>
      <c r="D84" s="393">
        <f t="shared" si="24"/>
        <v>14.162146409759105</v>
      </c>
      <c r="E84" s="385">
        <f t="shared" si="45"/>
        <v>15.462950729994363</v>
      </c>
      <c r="F84" s="385">
        <f t="shared" si="25"/>
        <v>15.463195260878425</v>
      </c>
      <c r="G84" s="110">
        <f t="shared" si="46"/>
        <v>0.38270679945474728</v>
      </c>
      <c r="H84" s="414" t="b">
        <f>Wh_hp&gt;='2021'!Maxi_hp</f>
        <v>0</v>
      </c>
      <c r="I84" s="380">
        <f>IF(H84,Wh_hp,'2021'!Maxi_hp)</f>
        <v>32.677588662609999</v>
      </c>
      <c r="J84" s="85">
        <f>IF(H84,An,'2021'!An_max)</f>
        <v>2020</v>
      </c>
      <c r="K84" s="197">
        <f t="shared" si="26"/>
        <v>44631</v>
      </c>
      <c r="L84" s="147">
        <f>IF(t&lt;Tvie,1-EXP((T0-t)*PertePVj)+'2021'!Pspv,1-EXP((T0-t)*PertePVj)+Pspv)</f>
        <v>4.1317635959184959E-2</v>
      </c>
      <c r="M84" s="843"/>
      <c r="N84" s="843"/>
      <c r="O84" s="48">
        <f>IF(t&lt;Tnet,'2021'!Resal+('2021'!Salim-'2021'!Resal)*(1-EXP(('2021'!Tnet-t)/('2021'!Tau_j))),Resal+(Salim-Resal)*(1-EXP((Tnet-t)/(Tau_j))))*Salcycl</f>
        <v>8.4123938758468228E-2</v>
      </c>
      <c r="P84" s="339">
        <f>(INDEX(Models!$BJ84:$BT84,,T84)*(1-R84)+INDEX(Models!$BJ84:$BT84,,T84+1)*R84-ERP_i)*Q84*Ramure*Pc/MaxiM</f>
        <v>1.3376863454460372E-4</v>
      </c>
      <c r="Q84" s="305">
        <f t="shared" si="27"/>
        <v>0.8</v>
      </c>
      <c r="R84" s="177">
        <f t="shared" si="28"/>
        <v>1.2463360046494469E-2</v>
      </c>
      <c r="S84" s="809">
        <f t="shared" si="29"/>
        <v>0</v>
      </c>
      <c r="T84" s="176">
        <f t="shared" si="30"/>
        <v>6</v>
      </c>
      <c r="U84" s="251">
        <f t="shared" si="31"/>
        <v>1.2463360046494469E-2</v>
      </c>
      <c r="V84" s="383">
        <f t="shared" si="32"/>
        <v>35.472059865032278</v>
      </c>
      <c r="W84" s="402"/>
      <c r="X84" s="157">
        <f t="shared" si="33"/>
        <v>44631</v>
      </c>
      <c r="Y84" s="385">
        <f t="shared" si="34"/>
        <v>12.690140310753968</v>
      </c>
      <c r="Z84" s="385">
        <f t="shared" si="35"/>
        <v>13.237064523921601</v>
      </c>
      <c r="AA84" s="386">
        <f t="shared" si="36"/>
        <v>15.437945749235361</v>
      </c>
      <c r="AB84" s="197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0.14256308844865381</v>
      </c>
      <c r="AD84" s="231">
        <f>(INDEX(Models!$BJ84:$BT84,,AH84)*(1-AF84)+INDEX(Models!$BJ84:$BT84,,AH84+1)*AF84-ERP_i)*AE84*Ramure*Pc/MaxiM</f>
        <v>1.3812540319185513E-2</v>
      </c>
      <c r="AE84" s="305">
        <f t="shared" si="38"/>
        <v>0.8</v>
      </c>
      <c r="AF84" s="177">
        <f t="shared" si="39"/>
        <v>0.21318010721139791</v>
      </c>
      <c r="AG84" s="809">
        <f t="shared" si="47"/>
        <v>1</v>
      </c>
      <c r="AH84" s="176">
        <f t="shared" si="40"/>
        <v>7</v>
      </c>
      <c r="AI84" s="225">
        <f t="shared" si="41"/>
        <v>1.2131801072113979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44632</v>
      </c>
      <c r="B85" s="616">
        <v>14.250999999999999</v>
      </c>
      <c r="C85" s="839"/>
      <c r="D85" s="393">
        <f t="shared" si="24"/>
        <v>14.865544655623296</v>
      </c>
      <c r="E85" s="385">
        <f t="shared" si="45"/>
        <v>16.233968155683993</v>
      </c>
      <c r="F85" s="385">
        <f t="shared" si="25"/>
        <v>16.234284033582295</v>
      </c>
      <c r="G85" s="110">
        <f t="shared" si="46"/>
        <v>0.39723122479703343</v>
      </c>
      <c r="H85" s="414" t="b">
        <f>Wh_hp&gt;='2021'!Maxi_hp</f>
        <v>0</v>
      </c>
      <c r="I85" s="380">
        <f>IF(H85,Wh_hp,'2021'!Maxi_hp)</f>
        <v>39.534128612030948</v>
      </c>
      <c r="J85" s="85">
        <f>IF(H85,An,'2021'!An_max)</f>
        <v>2020</v>
      </c>
      <c r="K85" s="197">
        <f t="shared" si="26"/>
        <v>44632</v>
      </c>
      <c r="L85" s="147">
        <f>IF(t&lt;Tvie,1-EXP((T0-t)*PertePVj)+'2021'!Pspv,1-EXP((T0-t)*PertePVj)+Pspv)</f>
        <v>4.1340204470128802E-2</v>
      </c>
      <c r="M85" s="843"/>
      <c r="N85" s="843"/>
      <c r="O85" s="48">
        <f>IF(t&lt;Tnet,'2021'!Resal+('2021'!Salim-'2021'!Resal)*(1-EXP(('2021'!Tnet-t)/('2021'!Tau_j))),Resal+(Salim-Resal)*(1-EXP((Tnet-t)/(Tau_j))))*Salcycl</f>
        <v>8.4293839124082004E-2</v>
      </c>
      <c r="P85" s="339">
        <f>(INDEX(Models!$BJ85:$BT85,,T85)*(1-R85)+INDEX(Models!$BJ85:$BT85,,T85+1)*R85-ERP_i)*Q85*Ramure*Pc/MaxiM</f>
        <v>1.4001175809313178E-4</v>
      </c>
      <c r="Q85" s="305">
        <f t="shared" si="27"/>
        <v>0.8</v>
      </c>
      <c r="R85" s="177">
        <f t="shared" si="28"/>
        <v>1.3034431045720761E-2</v>
      </c>
      <c r="S85" s="809">
        <f t="shared" si="29"/>
        <v>0</v>
      </c>
      <c r="T85" s="176">
        <f t="shared" si="30"/>
        <v>6</v>
      </c>
      <c r="U85" s="251">
        <f t="shared" si="31"/>
        <v>1.3034431045720761E-2</v>
      </c>
      <c r="V85" s="383">
        <f t="shared" si="32"/>
        <v>35.871505203348214</v>
      </c>
      <c r="W85" s="402"/>
      <c r="X85" s="157">
        <f t="shared" si="33"/>
        <v>44632</v>
      </c>
      <c r="Y85" s="385">
        <f t="shared" si="34"/>
        <v>13.317809546038399</v>
      </c>
      <c r="Z85" s="385">
        <f t="shared" si="35"/>
        <v>13.892112309432324</v>
      </c>
      <c r="AA85" s="386">
        <f t="shared" si="36"/>
        <v>16.202981719231509</v>
      </c>
      <c r="AB85" s="197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0.14262000968972183</v>
      </c>
      <c r="AD85" s="231">
        <f>(INDEX(Models!$BJ85:$BT85,,AH85)*(1-AF85)+INDEX(Models!$BJ85:$BT85,,AH85+1)*AF85-ERP_i)*AE85*Ramure*Pc/MaxiM</f>
        <v>1.3874639815539101E-2</v>
      </c>
      <c r="AE85" s="305">
        <f t="shared" si="38"/>
        <v>0.8</v>
      </c>
      <c r="AF85" s="177">
        <f t="shared" si="39"/>
        <v>0.21375117821062406</v>
      </c>
      <c r="AG85" s="809">
        <f t="shared" si="47"/>
        <v>1</v>
      </c>
      <c r="AH85" s="176">
        <f t="shared" si="40"/>
        <v>7</v>
      </c>
      <c r="AI85" s="225">
        <f t="shared" si="41"/>
        <v>1.2137511782106241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44633</v>
      </c>
      <c r="B86" s="616">
        <v>10.269</v>
      </c>
      <c r="C86" s="839"/>
      <c r="D86" s="393">
        <f t="shared" si="24"/>
        <v>10.712081384850329</v>
      </c>
      <c r="E86" s="385">
        <f t="shared" si="45"/>
        <v>11.700333810218497</v>
      </c>
      <c r="F86" s="385">
        <f t="shared" si="25"/>
        <v>11.700333810218497</v>
      </c>
      <c r="G86" s="110">
        <f t="shared" si="46"/>
        <v>0.28307194793269491</v>
      </c>
      <c r="H86" s="414" t="b">
        <f>Wh_hp&gt;='2021'!Maxi_hp</f>
        <v>0</v>
      </c>
      <c r="I86" s="380">
        <f>IF(H86,Wh_hp,'2021'!Maxi_hp)</f>
        <v>38.291818478565958</v>
      </c>
      <c r="J86" s="85">
        <f>IF(H86,An,'2021'!An_max)</f>
        <v>2021</v>
      </c>
      <c r="K86" s="197">
        <f t="shared" si="26"/>
        <v>44633</v>
      </c>
      <c r="L86" s="147">
        <f>IF(t&lt;Tvie,1-EXP((T0-t)*PertePVj)+'2021'!Pspv,1-EXP((T0-t)*PertePVj)+Pspv)</f>
        <v>4.1362772455870431E-2</v>
      </c>
      <c r="M86" s="843"/>
      <c r="N86" s="843"/>
      <c r="O86" s="48">
        <f>IF(t&lt;Tnet,'2021'!Resal+('2021'!Salim-'2021'!Resal)*(1-EXP(('2021'!Tnet-t)/('2021'!Tau_j))),Resal+(Salim-Resal)*(1-EXP((Tnet-t)/(Tau_j))))*Salcycl</f>
        <v>8.4463609448909738E-2</v>
      </c>
      <c r="P86" s="339">
        <f>(INDEX(Models!$BJ86:$BT86,,T86)*(1-R86)+INDEX(Models!$BJ86:$BT86,,T86+1)*R86-ERP_i)*Q86*Ramure*Pc/MaxiM</f>
        <v>1.4611910820678839E-4</v>
      </c>
      <c r="Q86" s="305">
        <f t="shared" si="27"/>
        <v>0.8</v>
      </c>
      <c r="R86" s="177">
        <f t="shared" si="28"/>
        <v>1.36282789419357E-2</v>
      </c>
      <c r="S86" s="809">
        <f t="shared" si="29"/>
        <v>0</v>
      </c>
      <c r="T86" s="176">
        <f t="shared" si="30"/>
        <v>6</v>
      </c>
      <c r="U86" s="251">
        <f t="shared" si="31"/>
        <v>1.36282789419357E-2</v>
      </c>
      <c r="V86" s="383">
        <f t="shared" si="32"/>
        <v>36.271695510143211</v>
      </c>
      <c r="W86" s="402"/>
      <c r="X86" s="157">
        <f t="shared" si="33"/>
        <v>44633</v>
      </c>
      <c r="Y86" s="385">
        <f t="shared" si="34"/>
        <v>9.6160550541905678</v>
      </c>
      <c r="Z86" s="385">
        <f t="shared" si="35"/>
        <v>10.030963515599446</v>
      </c>
      <c r="AA86" s="386">
        <f t="shared" si="36"/>
        <v>11.700333810218497</v>
      </c>
      <c r="AB86" s="197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0.14267715107077583</v>
      </c>
      <c r="AD86" s="231">
        <f>(INDEX(Models!$BJ86:$BT86,,AH86)*(1-AF86)+INDEX(Models!$BJ86:$BT86,,AH86+1)*AF86-ERP_i)*AE86*Ramure*Pc/MaxiM</f>
        <v>1.3905251576790236E-2</v>
      </c>
      <c r="AE86" s="305">
        <f t="shared" si="38"/>
        <v>0.8</v>
      </c>
      <c r="AF86" s="177">
        <f t="shared" si="39"/>
        <v>0.21434502610683914</v>
      </c>
      <c r="AG86" s="809">
        <f t="shared" si="47"/>
        <v>1</v>
      </c>
      <c r="AH86" s="176">
        <f t="shared" si="40"/>
        <v>7</v>
      </c>
      <c r="AI86" s="225">
        <f t="shared" si="41"/>
        <v>1.2143450261068391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44634</v>
      </c>
      <c r="B87" s="616">
        <v>13.694000000000001</v>
      </c>
      <c r="C87" s="839"/>
      <c r="D87" s="393">
        <f t="shared" si="24"/>
        <v>14.285197765289835</v>
      </c>
      <c r="E87" s="385">
        <f t="shared" si="45"/>
        <v>15.605983283034519</v>
      </c>
      <c r="F87" s="385">
        <f t="shared" si="25"/>
        <v>15.606232240702749</v>
      </c>
      <c r="G87" s="110">
        <f t="shared" si="46"/>
        <v>0.37336910389205907</v>
      </c>
      <c r="H87" s="414" t="b">
        <f>Wh_hp&gt;='2021'!Maxi_hp</f>
        <v>0</v>
      </c>
      <c r="I87" s="380">
        <f>IF(H87,Wh_hp,'2021'!Maxi_hp)</f>
        <v>37.562812339887081</v>
      </c>
      <c r="J87" s="85">
        <f>IF(H87,An,'2021'!An_max)</f>
        <v>2020</v>
      </c>
      <c r="K87" s="197">
        <f t="shared" si="26"/>
        <v>44634</v>
      </c>
      <c r="L87" s="147">
        <f>IF(t&lt;Tvie,1-EXP((T0-t)*PertePVj)+'2021'!Pspv,1-EXP((T0-t)*PertePVj)+Pspv)</f>
        <v>4.1385339916422167E-2</v>
      </c>
      <c r="M87" s="843"/>
      <c r="N87" s="843"/>
      <c r="O87" s="48">
        <f>IF(t&lt;Tnet,'2021'!Resal+('2021'!Salim-'2021'!Resal)*(1-EXP(('2021'!Tnet-t)/('2021'!Tau_j))),Resal+(Salim-Resal)*(1-EXP((Tnet-t)/(Tau_j))))*Salcycl</f>
        <v>8.4633277749344274E-2</v>
      </c>
      <c r="P87" s="339">
        <f>(INDEX(Models!$BJ87:$BT87,,T87)*(1-R87)+INDEX(Models!$BJ87:$BT87,,T87+1)*R87-ERP_i)*Q87*Ramure*Pc/MaxiM</f>
        <v>1.5209377581283702E-4</v>
      </c>
      <c r="Q87" s="305">
        <f t="shared" si="27"/>
        <v>0.8</v>
      </c>
      <c r="R87" s="177">
        <f t="shared" si="28"/>
        <v>1.4245762021580861E-2</v>
      </c>
      <c r="S87" s="809">
        <f t="shared" si="29"/>
        <v>0</v>
      </c>
      <c r="T87" s="176">
        <f t="shared" si="30"/>
        <v>6</v>
      </c>
      <c r="U87" s="251">
        <f t="shared" si="31"/>
        <v>1.4245762021580861E-2</v>
      </c>
      <c r="V87" s="383">
        <f t="shared" si="32"/>
        <v>36.671849674329188</v>
      </c>
      <c r="W87" s="402"/>
      <c r="X87" s="157">
        <f t="shared" si="33"/>
        <v>44634</v>
      </c>
      <c r="Y87" s="385">
        <f t="shared" si="34"/>
        <v>12.806294682630888</v>
      </c>
      <c r="Z87" s="385">
        <f t="shared" si="35"/>
        <v>13.359168408205187</v>
      </c>
      <c r="AA87" s="386">
        <f t="shared" si="36"/>
        <v>15.583467786019234</v>
      </c>
      <c r="AB87" s="197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0.14273455743974942</v>
      </c>
      <c r="AD87" s="231">
        <f>(INDEX(Models!$BJ87:$BT87,,AH87)*(1-AF87)+INDEX(Models!$BJ87:$BT87,,AH87+1)*AF87-ERP_i)*AE87*Ramure*Pc/MaxiM</f>
        <v>1.3907311599462853E-2</v>
      </c>
      <c r="AE87" s="305">
        <f t="shared" si="38"/>
        <v>0.8</v>
      </c>
      <c r="AF87" s="177">
        <f t="shared" si="39"/>
        <v>0.21496250918648419</v>
      </c>
      <c r="AG87" s="809">
        <f t="shared" si="47"/>
        <v>1</v>
      </c>
      <c r="AH87" s="176">
        <f t="shared" si="40"/>
        <v>7</v>
      </c>
      <c r="AI87" s="225">
        <f t="shared" si="41"/>
        <v>1.2149625091864842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44635</v>
      </c>
      <c r="B88" s="616">
        <v>13.771000000000001</v>
      </c>
      <c r="C88" s="839"/>
      <c r="D88" s="393">
        <f t="shared" si="24"/>
        <v>14.365860201051046</v>
      </c>
      <c r="E88" s="385">
        <f t="shared" si="45"/>
        <v>15.69701191392952</v>
      </c>
      <c r="F88" s="385">
        <f t="shared" si="25"/>
        <v>15.697265012278178</v>
      </c>
      <c r="G88" s="110">
        <f t="shared" si="46"/>
        <v>0.37142179929832647</v>
      </c>
      <c r="H88" s="414" t="b">
        <f>Wh_hp&gt;='2021'!Maxi_hp</f>
        <v>0</v>
      </c>
      <c r="I88" s="380">
        <f>IF(H88,Wh_hp,'2021'!Maxi_hp)</f>
        <v>29.969159838266769</v>
      </c>
      <c r="J88" s="85">
        <f>IF(H88,An,'2021'!An_max)</f>
        <v>2020</v>
      </c>
      <c r="K88" s="197">
        <f t="shared" si="26"/>
        <v>44635</v>
      </c>
      <c r="L88" s="147">
        <f>IF(t&lt;Tvie,1-EXP((T0-t)*PertePVj)+'2021'!Pspv,1-EXP((T0-t)*PertePVj)+Pspv)</f>
        <v>4.1407906851796003E-2</v>
      </c>
      <c r="M88" s="843"/>
      <c r="N88" s="843"/>
      <c r="O88" s="48">
        <f>IF(t&lt;Tnet,'2021'!Resal+('2021'!Salim-'2021'!Resal)*(1-EXP(('2021'!Tnet-t)/('2021'!Tau_j))),Resal+(Salim-Resal)*(1-EXP((Tnet-t)/(Tau_j))))*Salcycl</f>
        <v>8.4802873322483138E-2</v>
      </c>
      <c r="P88" s="339">
        <f>(INDEX(Models!$BJ88:$BT88,,T88)*(1-R88)+INDEX(Models!$BJ88:$BT88,,T88+1)*R88-ERP_i)*Q88*Ramure*Pc/MaxiM</f>
        <v>1.5791101116620392E-4</v>
      </c>
      <c r="Q88" s="305">
        <f t="shared" si="27"/>
        <v>0.8</v>
      </c>
      <c r="R88" s="177">
        <f t="shared" si="28"/>
        <v>1.4887766739538783E-2</v>
      </c>
      <c r="S88" s="809">
        <f t="shared" si="29"/>
        <v>0</v>
      </c>
      <c r="T88" s="176">
        <f t="shared" si="30"/>
        <v>6</v>
      </c>
      <c r="U88" s="251">
        <f t="shared" si="31"/>
        <v>1.4887766739538783E-2</v>
      </c>
      <c r="V88" s="383">
        <f t="shared" si="32"/>
        <v>37.071188179530324</v>
      </c>
      <c r="W88" s="402"/>
      <c r="X88" s="157">
        <f t="shared" si="33"/>
        <v>44635</v>
      </c>
      <c r="Y88" s="385">
        <f t="shared" si="34"/>
        <v>12.880356414217772</v>
      </c>
      <c r="Z88" s="385">
        <f t="shared" si="35"/>
        <v>13.436743852034247</v>
      </c>
      <c r="AA88" s="386">
        <f t="shared" si="36"/>
        <v>15.675014898260349</v>
      </c>
      <c r="AB88" s="197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0.14279227552597168</v>
      </c>
      <c r="AD88" s="231">
        <f>(INDEX(Models!$BJ88:$BT88,,AH88)*(1-AF88)+INDEX(Models!$BJ88:$BT88,,AH88+1)*AF88-ERP_i)*AE88*Ramure*Pc/MaxiM</f>
        <v>1.3882105599519048E-2</v>
      </c>
      <c r="AE88" s="305">
        <f t="shared" si="38"/>
        <v>0.8</v>
      </c>
      <c r="AF88" s="177">
        <f t="shared" si="39"/>
        <v>0.21560451390444224</v>
      </c>
      <c r="AG88" s="809">
        <f t="shared" si="47"/>
        <v>1</v>
      </c>
      <c r="AH88" s="176">
        <f t="shared" si="40"/>
        <v>7</v>
      </c>
      <c r="AI88" s="225">
        <f t="shared" si="41"/>
        <v>1.2156045139044422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44636</v>
      </c>
      <c r="B89" s="616">
        <v>12.542</v>
      </c>
      <c r="C89" s="839"/>
      <c r="D89" s="393">
        <f t="shared" si="24"/>
        <v>13.084079610459058</v>
      </c>
      <c r="E89" s="385">
        <f t="shared" si="45"/>
        <v>14.299109657095851</v>
      </c>
      <c r="F89" s="385">
        <f t="shared" si="25"/>
        <v>14.299225685182353</v>
      </c>
      <c r="G89" s="110">
        <f t="shared" si="46"/>
        <v>0.33467862172870977</v>
      </c>
      <c r="H89" s="414" t="b">
        <f>Wh_hp&gt;='2021'!Maxi_hp</f>
        <v>0</v>
      </c>
      <c r="I89" s="380">
        <f>IF(H89,Wh_hp,'2021'!Maxi_hp)</f>
        <v>42.898084527524084</v>
      </c>
      <c r="J89" s="85">
        <f>IF(H89,An,'2021'!An_max)</f>
        <v>2020</v>
      </c>
      <c r="K89" s="197">
        <f t="shared" si="26"/>
        <v>44636</v>
      </c>
      <c r="L89" s="147">
        <f>IF(t&lt;Tvie,1-EXP((T0-t)*PertePVj)+'2021'!Pspv,1-EXP((T0-t)*PertePVj)+Pspv)</f>
        <v>4.1430473262004261E-2</v>
      </c>
      <c r="M89" s="843"/>
      <c r="N89" s="843"/>
      <c r="O89" s="48">
        <f>IF(t&lt;Tnet,'2021'!Resal+('2021'!Salim-'2021'!Resal)*(1-EXP(('2021'!Tnet-t)/('2021'!Tau_j))),Resal+(Salim-Resal)*(1-EXP((Tnet-t)/(Tau_j))))*Salcycl</f>
        <v>8.497242665971444E-2</v>
      </c>
      <c r="P89" s="339">
        <f>(INDEX(Models!$BJ89:$BT89,,T89)*(1-R89)+INDEX(Models!$BJ89:$BT89,,T89+1)*R89-ERP_i)*Q89*Ramure*Pc/MaxiM</f>
        <v>1.6354442555900576E-4</v>
      </c>
      <c r="Q89" s="305">
        <f t="shared" si="27"/>
        <v>0.8</v>
      </c>
      <c r="R89" s="177">
        <f t="shared" si="28"/>
        <v>1.5555208290865095E-2</v>
      </c>
      <c r="S89" s="809">
        <f t="shared" si="29"/>
        <v>0</v>
      </c>
      <c r="T89" s="176">
        <f t="shared" si="30"/>
        <v>6</v>
      </c>
      <c r="U89" s="251">
        <f t="shared" si="31"/>
        <v>1.5555208290865095E-2</v>
      </c>
      <c r="V89" s="383">
        <f t="shared" si="32"/>
        <v>37.468932179380005</v>
      </c>
      <c r="W89" s="402"/>
      <c r="X89" s="157">
        <f t="shared" si="33"/>
        <v>44636</v>
      </c>
      <c r="Y89" s="385">
        <f t="shared" si="34"/>
        <v>11.740718223741306</v>
      </c>
      <c r="Z89" s="385">
        <f t="shared" si="35"/>
        <v>12.248165517732316</v>
      </c>
      <c r="AA89" s="386">
        <f t="shared" si="36"/>
        <v>14.289413256800817</v>
      </c>
      <c r="AB89" s="197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0.14285035378181127</v>
      </c>
      <c r="AD89" s="231">
        <f>(INDEX(Models!$BJ89:$BT89,,AH89)*(1-AF89)+INDEX(Models!$BJ89:$BT89,,AH89+1)*AF89-ERP_i)*AE89*Ramure*Pc/MaxiM</f>
        <v>1.3830857781019225E-2</v>
      </c>
      <c r="AE89" s="305">
        <f t="shared" si="38"/>
        <v>0.8</v>
      </c>
      <c r="AF89" s="177">
        <f t="shared" si="39"/>
        <v>0.21627195545576838</v>
      </c>
      <c r="AG89" s="809">
        <f t="shared" si="47"/>
        <v>1</v>
      </c>
      <c r="AH89" s="176">
        <f t="shared" si="40"/>
        <v>7</v>
      </c>
      <c r="AI89" s="225">
        <f t="shared" si="41"/>
        <v>1.2162719554557684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44637</v>
      </c>
      <c r="B90" s="616">
        <v>10.365</v>
      </c>
      <c r="C90" s="839"/>
      <c r="D90" s="393">
        <f t="shared" si="24"/>
        <v>10.813241732858812</v>
      </c>
      <c r="E90" s="385">
        <f t="shared" si="45"/>
        <v>11.819584428028516</v>
      </c>
      <c r="F90" s="385">
        <f t="shared" si="25"/>
        <v>11.819584428028516</v>
      </c>
      <c r="G90" s="110">
        <f t="shared" si="46"/>
        <v>0.27369442218673928</v>
      </c>
      <c r="H90" s="414" t="b">
        <f>Wh_hp&gt;='2021'!Maxi_hp</f>
        <v>0</v>
      </c>
      <c r="I90" s="380">
        <f>IF(H90,Wh_hp,'2021'!Maxi_hp)</f>
        <v>25.162053403230466</v>
      </c>
      <c r="J90" s="85">
        <f>IF(H90,An,'2021'!An_max)</f>
        <v>2021</v>
      </c>
      <c r="K90" s="197">
        <f t="shared" si="26"/>
        <v>44637</v>
      </c>
      <c r="L90" s="147">
        <f>IF(t&lt;Tvie,1-EXP((T0-t)*PertePVj)+'2021'!Pspv,1-EXP((T0-t)*PertePVj)+Pspv)</f>
        <v>4.1453039147059265E-2</v>
      </c>
      <c r="M90" s="843"/>
      <c r="N90" s="843"/>
      <c r="O90" s="48">
        <f>IF(t&lt;Tnet,'2021'!Resal+('2021'!Salim-'2021'!Resal)*(1-EXP(('2021'!Tnet-t)/('2021'!Tau_j))),Resal+(Salim-Resal)*(1-EXP((Tnet-t)/(Tau_j))))*Salcycl</f>
        <v>8.5141969355817734E-2</v>
      </c>
      <c r="P90" s="339">
        <f>(INDEX(Models!$BJ90:$BT90,,T90)*(1-R90)+INDEX(Models!$BJ90:$BT90,,T90+1)*R90-ERP_i)*Q90*Ramure*Pc/MaxiM</f>
        <v>1.6896579777588724E-4</v>
      </c>
      <c r="Q90" s="305">
        <f t="shared" si="27"/>
        <v>0.8</v>
      </c>
      <c r="R90" s="177">
        <f t="shared" si="28"/>
        <v>1.6249031161782196E-2</v>
      </c>
      <c r="S90" s="809">
        <f t="shared" si="29"/>
        <v>0</v>
      </c>
      <c r="T90" s="176">
        <f t="shared" si="30"/>
        <v>6</v>
      </c>
      <c r="U90" s="251">
        <f t="shared" si="31"/>
        <v>1.6249031161782196E-2</v>
      </c>
      <c r="V90" s="383">
        <f t="shared" si="32"/>
        <v>37.864303505737148</v>
      </c>
      <c r="W90" s="402"/>
      <c r="X90" s="157">
        <f t="shared" si="33"/>
        <v>44637</v>
      </c>
      <c r="Y90" s="385">
        <f t="shared" si="34"/>
        <v>9.7105228929901823</v>
      </c>
      <c r="Z90" s="385">
        <f t="shared" si="35"/>
        <v>10.130461301916286</v>
      </c>
      <c r="AA90" s="386">
        <f t="shared" si="36"/>
        <v>11.819584428028516</v>
      </c>
      <c r="AB90" s="197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0.14290884221840386</v>
      </c>
      <c r="AD90" s="231">
        <f>(INDEX(Models!$BJ90:$BT90,,AH90)*(1-AF90)+INDEX(Models!$BJ90:$BT90,,AH90+1)*AF90-ERP_i)*AE90*Ramure*Pc/MaxiM</f>
        <v>1.3754727686391749E-2</v>
      </c>
      <c r="AE90" s="305">
        <f t="shared" si="38"/>
        <v>0.8</v>
      </c>
      <c r="AF90" s="177">
        <f t="shared" si="39"/>
        <v>0.21696577832668562</v>
      </c>
      <c r="AG90" s="809">
        <f t="shared" si="47"/>
        <v>1</v>
      </c>
      <c r="AH90" s="176">
        <f t="shared" si="40"/>
        <v>7</v>
      </c>
      <c r="AI90" s="225">
        <f t="shared" si="41"/>
        <v>1.2169657783266856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44638</v>
      </c>
      <c r="B91" s="616">
        <v>13.916</v>
      </c>
      <c r="C91" s="839"/>
      <c r="D91" s="393">
        <f t="shared" si="24"/>
        <v>14.51814900636114</v>
      </c>
      <c r="E91" s="385">
        <f t="shared" si="45"/>
        <v>15.872233603293003</v>
      </c>
      <c r="F91" s="385">
        <f t="shared" si="25"/>
        <v>15.872485354425526</v>
      </c>
      <c r="G91" s="110">
        <f t="shared" si="46"/>
        <v>0.36369736668299713</v>
      </c>
      <c r="H91" s="414" t="b">
        <f>Wh_hp&gt;='2021'!Maxi_hp</f>
        <v>0</v>
      </c>
      <c r="I91" s="380">
        <f>IF(H91,Wh_hp,'2021'!Maxi_hp)</f>
        <v>31.721839412381989</v>
      </c>
      <c r="J91" s="85">
        <f>IF(H91,An,'2021'!An_max)</f>
        <v>2019</v>
      </c>
      <c r="K91" s="197">
        <f t="shared" si="26"/>
        <v>44638</v>
      </c>
      <c r="L91" s="147">
        <f>IF(t&lt;Tvie,1-EXP((T0-t)*PertePVj)+'2021'!Pspv,1-EXP((T0-t)*PertePVj)+Pspv)</f>
        <v>4.1475604506973227E-2</v>
      </c>
      <c r="M91" s="843"/>
      <c r="N91" s="843"/>
      <c r="O91" s="48">
        <f>IF(t&lt;Tnet,'2021'!Resal+('2021'!Salim-'2021'!Resal)*(1-EXP(('2021'!Tnet-t)/('2021'!Tau_j))),Resal+(Salim-Resal)*(1-EXP((Tnet-t)/(Tau_j))))*Salcycl</f>
        <v>8.5311534014401849E-2</v>
      </c>
      <c r="P91" s="339">
        <f>(INDEX(Models!$BJ91:$BT91,,T91)*(1-R91)+INDEX(Models!$BJ91:$BT91,,T91+1)*R91-ERP_i)*Q91*Ramure*Pc/MaxiM</f>
        <v>1.7414486302291267E-4</v>
      </c>
      <c r="Q91" s="305">
        <f t="shared" si="27"/>
        <v>0.8</v>
      </c>
      <c r="R91" s="177">
        <f t="shared" si="28"/>
        <v>1.6970209656132707E-2</v>
      </c>
      <c r="S91" s="809">
        <f t="shared" si="29"/>
        <v>0</v>
      </c>
      <c r="T91" s="176">
        <f t="shared" si="30"/>
        <v>6</v>
      </c>
      <c r="U91" s="251">
        <f t="shared" si="31"/>
        <v>1.6970209656132707E-2</v>
      </c>
      <c r="V91" s="383">
        <f t="shared" si="32"/>
        <v>38.256524680547372</v>
      </c>
      <c r="W91" s="402"/>
      <c r="X91" s="157">
        <f t="shared" si="33"/>
        <v>44638</v>
      </c>
      <c r="Y91" s="385">
        <f t="shared" si="34"/>
        <v>13.022812820770712</v>
      </c>
      <c r="Z91" s="385">
        <f t="shared" si="35"/>
        <v>13.586313381280499</v>
      </c>
      <c r="AA91" s="386">
        <f t="shared" si="36"/>
        <v>15.852745390679518</v>
      </c>
      <c r="AB91" s="197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0.14296779223689215</v>
      </c>
      <c r="AD91" s="231">
        <f>(INDEX(Models!$BJ91:$BT91,,AH91)*(1-AF91)+INDEX(Models!$BJ91:$BT91,,AH91+1)*AF91-ERP_i)*AE91*Ramure*Pc/MaxiM</f>
        <v>1.3654807619662142E-2</v>
      </c>
      <c r="AE91" s="305">
        <f t="shared" si="38"/>
        <v>0.8</v>
      </c>
      <c r="AF91" s="177">
        <f t="shared" si="39"/>
        <v>0.217686956821036</v>
      </c>
      <c r="AG91" s="809">
        <f t="shared" si="47"/>
        <v>1</v>
      </c>
      <c r="AH91" s="176">
        <f t="shared" si="40"/>
        <v>7</v>
      </c>
      <c r="AI91" s="225">
        <f t="shared" si="41"/>
        <v>1.217686956821036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44639</v>
      </c>
      <c r="B92" s="616">
        <v>25.585000000000001</v>
      </c>
      <c r="C92" s="839"/>
      <c r="D92" s="393">
        <f t="shared" si="24"/>
        <v>26.692698106199494</v>
      </c>
      <c r="E92" s="385">
        <f t="shared" si="45"/>
        <v>29.18769605169183</v>
      </c>
      <c r="F92" s="385">
        <f t="shared" si="25"/>
        <v>29.190399317697281</v>
      </c>
      <c r="G92" s="110">
        <f t="shared" si="46"/>
        <v>0.6619978799504791</v>
      </c>
      <c r="H92" s="414" t="b">
        <f>Wh_hp&gt;='2021'!Maxi_hp</f>
        <v>0</v>
      </c>
      <c r="I92" s="380">
        <f>IF(H92,Wh_hp,'2021'!Maxi_hp)</f>
        <v>41.177223902410979</v>
      </c>
      <c r="J92" s="85">
        <f>IF(H92,An,'2021'!An_max)</f>
        <v>2020</v>
      </c>
      <c r="K92" s="197">
        <f t="shared" si="26"/>
        <v>44639</v>
      </c>
      <c r="L92" s="147">
        <f>IF(t&lt;Tvie,1-EXP((T0-t)*PertePVj)+'2021'!Pspv,1-EXP((T0-t)*PertePVj)+Pspv)</f>
        <v>4.1498169341758137E-2</v>
      </c>
      <c r="M92" s="843"/>
      <c r="N92" s="843"/>
      <c r="O92" s="48">
        <f>IF(t&lt;Tnet,'2021'!Resal+('2021'!Salim-'2021'!Resal)*(1-EXP(('2021'!Tnet-t)/('2021'!Tau_j))),Resal+(Salim-Resal)*(1-EXP((Tnet-t)/(Tau_j))))*Salcycl</f>
        <v>8.548115415049061E-2</v>
      </c>
      <c r="P92" s="339">
        <f>(INDEX(Models!$BJ92:$BT92,,T92)*(1-R92)+INDEX(Models!$BJ92:$BT92,,T92+1)*R92-ERP_i)*Q92*Ramure*Pc/MaxiM</f>
        <v>1.7904908285632586E-4</v>
      </c>
      <c r="Q92" s="305">
        <f t="shared" si="27"/>
        <v>0.8</v>
      </c>
      <c r="R92" s="177">
        <f t="shared" si="28"/>
        <v>1.7719748393180614E-2</v>
      </c>
      <c r="S92" s="809">
        <f t="shared" si="29"/>
        <v>0</v>
      </c>
      <c r="T92" s="176">
        <f t="shared" si="30"/>
        <v>6</v>
      </c>
      <c r="U92" s="251">
        <f t="shared" si="31"/>
        <v>1.7719748393180614E-2</v>
      </c>
      <c r="V92" s="383">
        <f t="shared" si="32"/>
        <v>38.644818927966938</v>
      </c>
      <c r="W92" s="402"/>
      <c r="X92" s="157">
        <f t="shared" si="33"/>
        <v>44639</v>
      </c>
      <c r="Y92" s="385">
        <f t="shared" si="34"/>
        <v>23.809464726102274</v>
      </c>
      <c r="Z92" s="385">
        <f t="shared" si="35"/>
        <v>24.840291342741988</v>
      </c>
      <c r="AA92" s="386">
        <f t="shared" si="36"/>
        <v>28.986092649845247</v>
      </c>
      <c r="AB92" s="197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0.14302725645656808</v>
      </c>
      <c r="AD92" s="231">
        <f>(INDEX(Models!$BJ92:$BT92,,AH92)*(1-AF92)+INDEX(Models!$BJ92:$BT92,,AH92+1)*AF92-ERP_i)*AE92*Ramure*Pc/MaxiM</f>
        <v>1.3532120563263398E-2</v>
      </c>
      <c r="AE92" s="305">
        <f t="shared" si="38"/>
        <v>0.8</v>
      </c>
      <c r="AF92" s="177">
        <f t="shared" si="39"/>
        <v>0.21843649555808398</v>
      </c>
      <c r="AG92" s="809">
        <f t="shared" si="47"/>
        <v>1</v>
      </c>
      <c r="AH92" s="176">
        <f t="shared" si="40"/>
        <v>7</v>
      </c>
      <c r="AI92" s="225">
        <f t="shared" si="41"/>
        <v>1.218436495558084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44640</v>
      </c>
      <c r="B93" s="616">
        <v>26.629000000000001</v>
      </c>
      <c r="C93" s="839"/>
      <c r="D93" s="393">
        <f t="shared" si="24"/>
        <v>27.782551939225502</v>
      </c>
      <c r="E93" s="385">
        <f t="shared" si="45"/>
        <v>30.385058451011609</v>
      </c>
      <c r="F93" s="385">
        <f t="shared" si="25"/>
        <v>30.388105297266105</v>
      </c>
      <c r="G93" s="110">
        <f t="shared" si="46"/>
        <v>0.68216637647081102</v>
      </c>
      <c r="H93" s="414" t="b">
        <f>Wh_hp&gt;='2021'!Maxi_hp</f>
        <v>0</v>
      </c>
      <c r="I93" s="380">
        <f>IF(H93,Wh_hp,'2021'!Maxi_hp)</f>
        <v>44.675068559280305</v>
      </c>
      <c r="J93" s="85">
        <f>IF(H93,An,'2021'!An_max)</f>
        <v>2019</v>
      </c>
      <c r="K93" s="197">
        <f t="shared" si="26"/>
        <v>44640</v>
      </c>
      <c r="L93" s="147">
        <f>IF(t&lt;Tvie,1-EXP((T0-t)*PertePVj)+'2021'!Pspv,1-EXP((T0-t)*PertePVj)+Pspv)</f>
        <v>4.1520733651426431E-2</v>
      </c>
      <c r="M93" s="843"/>
      <c r="N93" s="843"/>
      <c r="O93" s="48">
        <f>IF(t&lt;Tnet,'2021'!Resal+('2021'!Salim-'2021'!Resal)*(1-EXP(('2021'!Tnet-t)/('2021'!Tau_j))),Resal+(Salim-Resal)*(1-EXP((Tnet-t)/(Tau_j))))*Salcycl</f>
        <v>8.5650864091046705E-2</v>
      </c>
      <c r="P93" s="339">
        <f>(INDEX(Models!$BJ93:$BT93,,T93)*(1-R93)+INDEX(Models!$BJ93:$BT93,,T93+1)*R93-ERP_i)*Q93*Ramure*Pc/MaxiM</f>
        <v>1.8362332819566967E-4</v>
      </c>
      <c r="Q93" s="305">
        <f t="shared" si="27"/>
        <v>0.8</v>
      </c>
      <c r="R93" s="177">
        <f t="shared" si="28"/>
        <v>1.8498682772326382E-2</v>
      </c>
      <c r="S93" s="809">
        <f t="shared" si="29"/>
        <v>0</v>
      </c>
      <c r="T93" s="176">
        <f t="shared" si="30"/>
        <v>6</v>
      </c>
      <c r="U93" s="251">
        <f t="shared" si="31"/>
        <v>1.8498682772326382E-2</v>
      </c>
      <c r="V93" s="383">
        <f t="shared" si="32"/>
        <v>39.03267726451358</v>
      </c>
      <c r="W93" s="402"/>
      <c r="X93" s="157">
        <f t="shared" si="33"/>
        <v>44640</v>
      </c>
      <c r="Y93" s="385">
        <f t="shared" si="34"/>
        <v>24.776325049333664</v>
      </c>
      <c r="Z93" s="385">
        <f t="shared" si="35"/>
        <v>25.849620246582536</v>
      </c>
      <c r="AA93" s="386">
        <f t="shared" si="36"/>
        <v>30.165989955474107</v>
      </c>
      <c r="AB93" s="197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0.14308728854125657</v>
      </c>
      <c r="AD93" s="231">
        <f>(INDEX(Models!$BJ93:$BT93,,AH93)*(1-AF93)+INDEX(Models!$BJ93:$BT93,,AH93+1)*AF93-ERP_i)*AE93*Ramure*Pc/MaxiM</f>
        <v>1.3386155682456465E-2</v>
      </c>
      <c r="AE93" s="305">
        <f t="shared" si="38"/>
        <v>0.8</v>
      </c>
      <c r="AF93" s="177">
        <f t="shared" si="39"/>
        <v>0.21921542993722976</v>
      </c>
      <c r="AG93" s="809">
        <f t="shared" si="47"/>
        <v>1</v>
      </c>
      <c r="AH93" s="176">
        <f t="shared" si="40"/>
        <v>7</v>
      </c>
      <c r="AI93" s="225">
        <f t="shared" si="41"/>
        <v>1.2192154299372298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44641</v>
      </c>
      <c r="B94" s="616">
        <v>36.878999999999998</v>
      </c>
      <c r="C94" s="839"/>
      <c r="D94" s="393">
        <f t="shared" si="24"/>
        <v>38.477481456745373</v>
      </c>
      <c r="E94" s="385">
        <f t="shared" si="45"/>
        <v>42.089644131474586</v>
      </c>
      <c r="F94" s="385">
        <f t="shared" si="25"/>
        <v>42.096817787826595</v>
      </c>
      <c r="G94" s="110">
        <f t="shared" si="46"/>
        <v>0.9354435311280066</v>
      </c>
      <c r="H94" s="414" t="b">
        <f>Wh_hp&gt;='2021'!Maxi_hp</f>
        <v>0</v>
      </c>
      <c r="I94" s="380">
        <f>IF(H94,Wh_hp,'2021'!Maxi_hp)</f>
        <v>46.027750309068139</v>
      </c>
      <c r="J94" s="85">
        <f>IF(H94,An,'2021'!An_max)</f>
        <v>2020</v>
      </c>
      <c r="K94" s="197">
        <f t="shared" si="26"/>
        <v>44641</v>
      </c>
      <c r="L94" s="147">
        <f>IF(t&lt;Tvie,1-EXP((T0-t)*PertePVj)+'2021'!Pspv,1-EXP((T0-t)*PertePVj)+Pspv)</f>
        <v>4.154329743599032E-2</v>
      </c>
      <c r="M94" s="843"/>
      <c r="N94" s="843"/>
      <c r="O94" s="48">
        <f>IF(t&lt;Tnet,'2021'!Resal+('2021'!Salim-'2021'!Resal)*(1-EXP(('2021'!Tnet-t)/('2021'!Tau_j))),Resal+(Salim-Resal)*(1-EXP((Tnet-t)/(Tau_j))))*Salcycl</f>
        <v>8.5820698874192705E-2</v>
      </c>
      <c r="P94" s="339">
        <f>(INDEX(Models!$BJ94:$BT94,,T94)*(1-R94)+INDEX(Models!$BJ94:$BT94,,T94+1)*R94-ERP_i)*Q94*Ramure*Pc/MaxiM</f>
        <v>1.8771600837424882E-4</v>
      </c>
      <c r="Q94" s="305">
        <f t="shared" si="27"/>
        <v>0.8</v>
      </c>
      <c r="R94" s="177">
        <f t="shared" si="28"/>
        <v>1.9308079399966628E-2</v>
      </c>
      <c r="S94" s="809">
        <f t="shared" si="29"/>
        <v>0</v>
      </c>
      <c r="T94" s="176">
        <f t="shared" si="30"/>
        <v>6</v>
      </c>
      <c r="U94" s="251">
        <f t="shared" si="31"/>
        <v>1.9308079399966628E-2</v>
      </c>
      <c r="V94" s="383">
        <f t="shared" si="32"/>
        <v>39.423396903309609</v>
      </c>
      <c r="W94" s="402"/>
      <c r="X94" s="157">
        <f t="shared" si="33"/>
        <v>44641</v>
      </c>
      <c r="Y94" s="385">
        <f t="shared" si="34"/>
        <v>34.157747212267843</v>
      </c>
      <c r="Z94" s="385">
        <f t="shared" si="35"/>
        <v>35.638278829801024</v>
      </c>
      <c r="AA94" s="386">
        <f t="shared" si="36"/>
        <v>41.592102790329804</v>
      </c>
      <c r="AB94" s="197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0.14314794302520933</v>
      </c>
      <c r="AD94" s="231">
        <f>(INDEX(Models!$BJ94:$BT94,,AH94)*(1-AF94)+INDEX(Models!$BJ94:$BT94,,AH94+1)*AF94-ERP_i)*AE94*Ramure*Pc/MaxiM</f>
        <v>1.32070843719989E-2</v>
      </c>
      <c r="AE94" s="305">
        <f t="shared" si="38"/>
        <v>0.8</v>
      </c>
      <c r="AF94" s="177">
        <f t="shared" si="39"/>
        <v>0.2200248265648701</v>
      </c>
      <c r="AG94" s="809">
        <f t="shared" si="47"/>
        <v>1</v>
      </c>
      <c r="AH94" s="176">
        <f t="shared" si="40"/>
        <v>7</v>
      </c>
      <c r="AI94" s="225">
        <f t="shared" si="41"/>
        <v>1.2200248265648701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44642</v>
      </c>
      <c r="B95" s="616">
        <v>35.097999999999999</v>
      </c>
      <c r="C95" s="839"/>
      <c r="D95" s="393">
        <f t="shared" si="24"/>
        <v>36.620147969132148</v>
      </c>
      <c r="E95" s="385">
        <f t="shared" si="45"/>
        <v>40.065399481890772</v>
      </c>
      <c r="F95" s="385">
        <f t="shared" si="25"/>
        <v>40.07177282702078</v>
      </c>
      <c r="G95" s="110">
        <f t="shared" si="46"/>
        <v>0.88147857608300784</v>
      </c>
      <c r="H95" s="414" t="b">
        <f>Wh_hp&gt;='2021'!Maxi_hp</f>
        <v>0</v>
      </c>
      <c r="I95" s="380">
        <f>IF(H95,Wh_hp,'2021'!Maxi_hp)</f>
        <v>44.110203483465384</v>
      </c>
      <c r="J95" s="85">
        <f>IF(H95,An,'2021'!An_max)</f>
        <v>2019</v>
      </c>
      <c r="K95" s="197">
        <f t="shared" si="26"/>
        <v>44642</v>
      </c>
      <c r="L95" s="147">
        <f>IF(t&lt;Tvie,1-EXP((T0-t)*PertePVj)+'2021'!Pspv,1-EXP((T0-t)*PertePVj)+Pspv)</f>
        <v>4.1565860695462017E-2</v>
      </c>
      <c r="M95" s="843"/>
      <c r="N95" s="843"/>
      <c r="O95" s="48">
        <f>IF(t&lt;Tnet,'2021'!Resal+('2021'!Salim-'2021'!Resal)*(1-EXP(('2021'!Tnet-t)/('2021'!Tau_j))),Resal+(Salim-Resal)*(1-EXP((Tnet-t)/(Tau_j))))*Salcycl</f>
        <v>8.5990694147848212E-2</v>
      </c>
      <c r="P95" s="339">
        <f>(INDEX(Models!$BJ95:$BT95,,T95)*(1-R95)+INDEX(Models!$BJ95:$BT95,,T95+1)*R95-ERP_i)*Q95*Ramure*Pc/MaxiM</f>
        <v>1.9145726995681501E-4</v>
      </c>
      <c r="Q95" s="305">
        <f t="shared" si="27"/>
        <v>0.8</v>
      </c>
      <c r="R95" s="177">
        <f t="shared" si="28"/>
        <v>2.0149036473376281E-2</v>
      </c>
      <c r="S95" s="809">
        <f t="shared" si="29"/>
        <v>0</v>
      </c>
      <c r="T95" s="176">
        <f t="shared" si="30"/>
        <v>6</v>
      </c>
      <c r="U95" s="251">
        <f t="shared" si="31"/>
        <v>2.0149036473376281E-2</v>
      </c>
      <c r="V95" s="383">
        <f t="shared" si="32"/>
        <v>39.815899420999074</v>
      </c>
      <c r="W95" s="402"/>
      <c r="X95" s="157">
        <f t="shared" si="33"/>
        <v>44642</v>
      </c>
      <c r="Y95" s="385">
        <f t="shared" si="34"/>
        <v>32.550531089345306</v>
      </c>
      <c r="Z95" s="385">
        <f t="shared" si="35"/>
        <v>33.962199127177087</v>
      </c>
      <c r="AA95" s="386">
        <f t="shared" si="36"/>
        <v>39.638850120272366</v>
      </c>
      <c r="AB95" s="197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0.14320927513969653</v>
      </c>
      <c r="AD95" s="231">
        <f>(INDEX(Models!$BJ95:$BT95,,AH95)*(1-AF95)+INDEX(Models!$BJ95:$BT95,,AH95+1)*AF95-ERP_i)*AE95*Ramure*Pc/MaxiM</f>
        <v>1.3005132759272302E-2</v>
      </c>
      <c r="AE95" s="305">
        <f t="shared" si="38"/>
        <v>0.8</v>
      </c>
      <c r="AF95" s="177">
        <f t="shared" si="39"/>
        <v>0.22086578363827969</v>
      </c>
      <c r="AG95" s="809">
        <f t="shared" si="47"/>
        <v>1</v>
      </c>
      <c r="AH95" s="176">
        <f t="shared" si="40"/>
        <v>7</v>
      </c>
      <c r="AI95" s="225">
        <f t="shared" si="41"/>
        <v>1.2208657836382797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44643</v>
      </c>
      <c r="B96" s="616">
        <v>39.893999999999998</v>
      </c>
      <c r="C96" s="839"/>
      <c r="D96" s="393">
        <f t="shared" si="24"/>
        <v>41.625123251086009</v>
      </c>
      <c r="E96" s="385">
        <f t="shared" si="45"/>
        <v>45.549728192312841</v>
      </c>
      <c r="F96" s="385">
        <f t="shared" si="25"/>
        <v>45.558504162612145</v>
      </c>
      <c r="G96" s="110">
        <f t="shared" si="46"/>
        <v>0.99216096372561946</v>
      </c>
      <c r="H96" s="414" t="b">
        <f>Wh_hp&gt;='2021'!Maxi_hp</f>
        <v>0</v>
      </c>
      <c r="I96" s="380">
        <f>IF(H96,Wh_hp,'2021'!Maxi_hp)</f>
        <v>47.127501005079935</v>
      </c>
      <c r="J96" s="85">
        <f>IF(H96,An,'2021'!An_max)</f>
        <v>2021</v>
      </c>
      <c r="K96" s="197">
        <f t="shared" si="26"/>
        <v>44643</v>
      </c>
      <c r="L96" s="147">
        <f>IF(t&lt;Tvie,1-EXP((T0-t)*PertePVj)+'2021'!Pspv,1-EXP((T0-t)*PertePVj)+Pspv)</f>
        <v>4.1588423429853624E-2</v>
      </c>
      <c r="M96" s="843"/>
      <c r="N96" s="843"/>
      <c r="O96" s="48">
        <f>IF(t&lt;Tnet,'2021'!Resal+('2021'!Salim-'2021'!Resal)*(1-EXP(('2021'!Tnet-t)/('2021'!Tau_j))),Resal+(Salim-Resal)*(1-EXP((Tnet-t)/(Tau_j))))*Salcycl</f>
        <v>8.6160886068452208E-2</v>
      </c>
      <c r="P96" s="339">
        <f>(INDEX(Models!$BJ96:$BT96,,T96)*(1-R96)+INDEX(Models!$BJ96:$BT96,,T96+1)*R96-ERP_i)*Q96*Ramure*Pc/MaxiM</f>
        <v>1.9481180399907888E-4</v>
      </c>
      <c r="Q96" s="305">
        <f t="shared" si="27"/>
        <v>0.8</v>
      </c>
      <c r="R96" s="177">
        <f t="shared" si="28"/>
        <v>2.1022684116129852E-2</v>
      </c>
      <c r="S96" s="809">
        <f t="shared" si="29"/>
        <v>0</v>
      </c>
      <c r="T96" s="176">
        <f t="shared" si="30"/>
        <v>6</v>
      </c>
      <c r="U96" s="251">
        <f t="shared" si="31"/>
        <v>2.1022684116129852E-2</v>
      </c>
      <c r="V96" s="383">
        <f t="shared" si="32"/>
        <v>40.20911367421099</v>
      </c>
      <c r="W96" s="402"/>
      <c r="X96" s="157">
        <f t="shared" si="33"/>
        <v>44643</v>
      </c>
      <c r="Y96" s="385">
        <f t="shared" si="34"/>
        <v>36.935256980390868</v>
      </c>
      <c r="Z96" s="385">
        <f t="shared" si="35"/>
        <v>38.537991279874284</v>
      </c>
      <c r="AA96" s="386">
        <f t="shared" si="36"/>
        <v>44.982726863281933</v>
      </c>
      <c r="AB96" s="197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0.14327134064138511</v>
      </c>
      <c r="AD96" s="231">
        <f>(INDEX(Models!$BJ96:$BT96,,AH96)*(1-AF96)+INDEX(Models!$BJ96:$BT96,,AH96+1)*AF96-ERP_i)*AE96*Ramure*Pc/MaxiM</f>
        <v>1.278128919752446E-2</v>
      </c>
      <c r="AE96" s="305">
        <f t="shared" si="38"/>
        <v>0.8</v>
      </c>
      <c r="AF96" s="177">
        <f t="shared" si="39"/>
        <v>0.22173943128103324</v>
      </c>
      <c r="AG96" s="809">
        <f t="shared" si="47"/>
        <v>1</v>
      </c>
      <c r="AH96" s="176">
        <f t="shared" si="40"/>
        <v>7</v>
      </c>
      <c r="AI96" s="225">
        <f t="shared" si="41"/>
        <v>1.2217394312810332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44644</v>
      </c>
      <c r="B97" s="616">
        <v>38.874000000000002</v>
      </c>
      <c r="C97" s="839"/>
      <c r="D97" s="393">
        <f t="shared" si="24"/>
        <v>40.561817192704574</v>
      </c>
      <c r="E97" s="385">
        <f t="shared" si="45"/>
        <v>44.394448107874837</v>
      </c>
      <c r="F97" s="385">
        <f t="shared" si="25"/>
        <v>44.402694548154749</v>
      </c>
      <c r="G97" s="110">
        <f t="shared" si="46"/>
        <v>0.95742972625498968</v>
      </c>
      <c r="H97" s="414" t="b">
        <f>Wh_hp&gt;='2021'!Maxi_hp</f>
        <v>0</v>
      </c>
      <c r="I97" s="380">
        <f>IF(H97,Wh_hp,'2021'!Maxi_hp)</f>
        <v>46.384617938296579</v>
      </c>
      <c r="J97" s="85">
        <f>IF(H97,An,'2021'!An_max)</f>
        <v>2021</v>
      </c>
      <c r="K97" s="197">
        <f t="shared" si="26"/>
        <v>44644</v>
      </c>
      <c r="L97" s="147">
        <f>IF(t&lt;Tvie,1-EXP((T0-t)*PertePVj)+'2021'!Pspv,1-EXP((T0-t)*PertePVj)+Pspv)</f>
        <v>4.1610985639177464E-2</v>
      </c>
      <c r="M97" s="843"/>
      <c r="N97" s="843"/>
      <c r="O97" s="48">
        <f>IF(t&lt;Tnet,'2021'!Resal+('2021'!Salim-'2021'!Resal)*(1-EXP(('2021'!Tnet-t)/('2021'!Tau_j))),Resal+(Salim-Resal)*(1-EXP((Tnet-t)/(Tau_j))))*Salcycl</f>
        <v>8.6331311200384495E-2</v>
      </c>
      <c r="P97" s="339">
        <f>(INDEX(Models!$BJ97:$BT97,,T97)*(1-R97)+INDEX(Models!$BJ97:$BT97,,T97+1)*R97-ERP_i)*Q97*Ramure*Pc/MaxiM</f>
        <v>1.977417120611772E-4</v>
      </c>
      <c r="Q97" s="305">
        <f t="shared" si="27"/>
        <v>0.8</v>
      </c>
      <c r="R97" s="177">
        <f t="shared" si="28"/>
        <v>2.1930184659201633E-2</v>
      </c>
      <c r="S97" s="809">
        <f t="shared" si="29"/>
        <v>0</v>
      </c>
      <c r="T97" s="176">
        <f t="shared" si="30"/>
        <v>6</v>
      </c>
      <c r="U97" s="251">
        <f t="shared" si="31"/>
        <v>2.1930184659201633E-2</v>
      </c>
      <c r="V97" s="383">
        <f t="shared" si="32"/>
        <v>40.601969513272245</v>
      </c>
      <c r="W97" s="402"/>
      <c r="X97" s="157">
        <f t="shared" si="33"/>
        <v>44644</v>
      </c>
      <c r="Y97" s="385">
        <f t="shared" si="34"/>
        <v>36.026223709497629</v>
      </c>
      <c r="Z97" s="385">
        <f t="shared" si="35"/>
        <v>37.590397187017594</v>
      </c>
      <c r="AA97" s="386">
        <f t="shared" si="36"/>
        <v>43.879885243293693</v>
      </c>
      <c r="AB97" s="197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0.14333419564348876</v>
      </c>
      <c r="AD97" s="231">
        <f>(INDEX(Models!$BJ97:$BT97,,AH97)*(1-AF97)+INDEX(Models!$BJ97:$BT97,,AH97+1)*AF97-ERP_i)*AE97*Ramure*Pc/MaxiM</f>
        <v>1.2536464646028042E-2</v>
      </c>
      <c r="AE97" s="305">
        <f t="shared" si="38"/>
        <v>0.8</v>
      </c>
      <c r="AF97" s="177">
        <f t="shared" si="39"/>
        <v>0.22264693182410511</v>
      </c>
      <c r="AG97" s="809">
        <f t="shared" si="47"/>
        <v>1</v>
      </c>
      <c r="AH97" s="176">
        <f t="shared" si="40"/>
        <v>7</v>
      </c>
      <c r="AI97" s="225">
        <f t="shared" si="41"/>
        <v>1.2226469318241051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44645</v>
      </c>
      <c r="B98" s="616">
        <v>37.064999999999998</v>
      </c>
      <c r="C98" s="839"/>
      <c r="D98" s="393">
        <f t="shared" si="24"/>
        <v>38.675185151237045</v>
      </c>
      <c r="E98" s="385">
        <f t="shared" si="45"/>
        <v>42.337460424545064</v>
      </c>
      <c r="F98" s="385">
        <f t="shared" si="25"/>
        <v>42.344777516113844</v>
      </c>
      <c r="G98" s="110">
        <f t="shared" si="46"/>
        <v>0.90414520209128169</v>
      </c>
      <c r="H98" s="414" t="b">
        <f>Wh_hp&gt;='2021'!Maxi_hp</f>
        <v>1</v>
      </c>
      <c r="I98" s="380">
        <f>IF(H98,Wh_hp,'2021'!Maxi_hp)</f>
        <v>42.344777516113844</v>
      </c>
      <c r="J98" s="85">
        <f>IF(H98,An,'2021'!An_max)</f>
        <v>2022</v>
      </c>
      <c r="K98" s="197">
        <f t="shared" si="26"/>
        <v>44645</v>
      </c>
      <c r="L98" s="147">
        <f>IF(t&lt;Tvie,1-EXP((T0-t)*PertePVj)+'2021'!Pspv,1-EXP((T0-t)*PertePVj)+Pspv)</f>
        <v>4.1633547323445638E-2</v>
      </c>
      <c r="M98" s="843"/>
      <c r="N98" s="843"/>
      <c r="O98" s="48">
        <f>IF(t&lt;Tnet,'2021'!Resal+('2021'!Salim-'2021'!Resal)*(1-EXP(('2021'!Tnet-t)/('2021'!Tau_j))),Resal+(Salim-Resal)*(1-EXP((Tnet-t)/(Tau_j))))*Salcycl</f>
        <v>8.6502006416634719E-2</v>
      </c>
      <c r="P98" s="339">
        <f>(INDEX(Models!$BJ98:$BT98,,T98)*(1-R98)+INDEX(Models!$BJ98:$BT98,,T98+1)*R98-ERP_i)*Q98*Ramure*Pc/MaxiM</f>
        <v>2.0020620182362745E-4</v>
      </c>
      <c r="Q98" s="305">
        <f t="shared" si="27"/>
        <v>0.8</v>
      </c>
      <c r="R98" s="177">
        <f t="shared" si="28"/>
        <v>2.287273286149832E-2</v>
      </c>
      <c r="S98" s="809">
        <f t="shared" si="29"/>
        <v>0</v>
      </c>
      <c r="T98" s="176">
        <f t="shared" si="30"/>
        <v>6</v>
      </c>
      <c r="U98" s="251">
        <f t="shared" si="31"/>
        <v>2.287273286149832E-2</v>
      </c>
      <c r="V98" s="383">
        <f t="shared" si="32"/>
        <v>40.993397800002107</v>
      </c>
      <c r="W98" s="402"/>
      <c r="X98" s="157">
        <f t="shared" si="33"/>
        <v>44645</v>
      </c>
      <c r="Y98" s="385">
        <f t="shared" si="34"/>
        <v>34.394279989890499</v>
      </c>
      <c r="Z98" s="385">
        <f t="shared" si="35"/>
        <v>35.888443187710848</v>
      </c>
      <c r="AA98" s="386">
        <f t="shared" si="36"/>
        <v>41.896281878134843</v>
      </c>
      <c r="AB98" s="197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0.14339789645055381</v>
      </c>
      <c r="AD98" s="231">
        <f>(INDEX(Models!$BJ98:$BT98,,AH98)*(1-AF98)+INDEX(Models!$BJ98:$BT98,,AH98+1)*AF98-ERP_i)*AE98*Ramure*Pc/MaxiM</f>
        <v>1.22714889338515E-2</v>
      </c>
      <c r="AE98" s="305">
        <f t="shared" si="38"/>
        <v>0.8</v>
      </c>
      <c r="AF98" s="177">
        <f t="shared" si="39"/>
        <v>0.22358948002640178</v>
      </c>
      <c r="AG98" s="809">
        <f t="shared" si="47"/>
        <v>1</v>
      </c>
      <c r="AH98" s="176">
        <f t="shared" si="40"/>
        <v>7</v>
      </c>
      <c r="AI98" s="225">
        <f t="shared" si="41"/>
        <v>1.2235894800264018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44646</v>
      </c>
      <c r="B99" s="616">
        <v>39.33</v>
      </c>
      <c r="C99" s="839"/>
      <c r="D99" s="393">
        <f t="shared" si="24"/>
        <v>41.039547857637494</v>
      </c>
      <c r="E99" s="385">
        <f t="shared" si="45"/>
        <v>44.934123542949777</v>
      </c>
      <c r="F99" s="385">
        <f t="shared" si="25"/>
        <v>44.942565478740086</v>
      </c>
      <c r="G99" s="110">
        <f t="shared" si="46"/>
        <v>0.95039201918366389</v>
      </c>
      <c r="H99" s="414" t="b">
        <f>Wh_hp&gt;='2021'!Maxi_hp</f>
        <v>0</v>
      </c>
      <c r="I99" s="380">
        <f>IF(H99,Wh_hp,'2021'!Maxi_hp)</f>
        <v>48.874468185394626</v>
      </c>
      <c r="J99" s="85">
        <f>IF(H99,An,'2021'!An_max)</f>
        <v>2019</v>
      </c>
      <c r="K99" s="197">
        <f t="shared" si="26"/>
        <v>44646</v>
      </c>
      <c r="L99" s="147">
        <f>IF(t&lt;Tvie,1-EXP((T0-t)*PertePVj)+'2021'!Pspv,1-EXP((T0-t)*PertePVj)+Pspv)</f>
        <v>4.1656108482670581E-2</v>
      </c>
      <c r="M99" s="843"/>
      <c r="N99" s="843"/>
      <c r="O99" s="48">
        <f>IF(t&lt;Tnet,'2021'!Resal+('2021'!Salim-'2021'!Resal)*(1-EXP(('2021'!Tnet-t)/('2021'!Tau_j))),Resal+(Salim-Resal)*(1-EXP((Tnet-t)/(Tau_j))))*Salcycl</f>
        <v>8.6673008801199825E-2</v>
      </c>
      <c r="P99" s="339">
        <f>(INDEX(Models!$BJ99:$BT99,,T99)*(1-R99)+INDEX(Models!$BJ99:$BT99,,T99+1)*R99-ERP_i)*Q99*Ramure*Pc/MaxiM</f>
        <v>2.0216125730245906E-4</v>
      </c>
      <c r="Q99" s="305">
        <f t="shared" si="27"/>
        <v>0.8</v>
      </c>
      <c r="R99" s="177">
        <f t="shared" si="28"/>
        <v>2.385155606318266E-2</v>
      </c>
      <c r="S99" s="809">
        <f t="shared" si="29"/>
        <v>0</v>
      </c>
      <c r="T99" s="176">
        <f t="shared" si="30"/>
        <v>6</v>
      </c>
      <c r="U99" s="251">
        <f t="shared" si="31"/>
        <v>2.385155606318266E-2</v>
      </c>
      <c r="V99" s="383">
        <f t="shared" si="32"/>
        <v>41.382330426811201</v>
      </c>
      <c r="W99" s="402"/>
      <c r="X99" s="157">
        <f t="shared" si="33"/>
        <v>44646</v>
      </c>
      <c r="Y99" s="385">
        <f t="shared" si="34"/>
        <v>36.480550442069756</v>
      </c>
      <c r="Z99" s="385">
        <f t="shared" si="35"/>
        <v>38.066241946104256</v>
      </c>
      <c r="AA99" s="386">
        <f t="shared" si="36"/>
        <v>44.44200273698867</v>
      </c>
      <c r="AB99" s="197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0.14346249939762346</v>
      </c>
      <c r="AD99" s="231">
        <f>(INDEX(Models!$BJ99:$BT99,,AH99)*(1-AF99)+INDEX(Models!$BJ99:$BT99,,AH99+1)*AF99-ERP_i)*AE99*Ramure*Pc/MaxiM</f>
        <v>1.1987107666402102E-2</v>
      </c>
      <c r="AE99" s="305">
        <f t="shared" si="38"/>
        <v>0.8</v>
      </c>
      <c r="AF99" s="177">
        <f t="shared" si="39"/>
        <v>0.22456830322808607</v>
      </c>
      <c r="AG99" s="809">
        <f t="shared" si="47"/>
        <v>1</v>
      </c>
      <c r="AH99" s="176">
        <f t="shared" si="40"/>
        <v>7</v>
      </c>
      <c r="AI99" s="225">
        <f t="shared" si="41"/>
        <v>1.2245683032280861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44647</v>
      </c>
      <c r="B100" s="616">
        <v>37.945</v>
      </c>
      <c r="C100" s="839"/>
      <c r="D100" s="393">
        <f t="shared" si="24"/>
        <v>39.59527851167833</v>
      </c>
      <c r="E100" s="385">
        <f t="shared" si="45"/>
        <v>43.360930584493758</v>
      </c>
      <c r="F100" s="385">
        <f t="shared" si="25"/>
        <v>43.368607803742705</v>
      </c>
      <c r="G100" s="110">
        <f t="shared" si="46"/>
        <v>0.90845300483530056</v>
      </c>
      <c r="H100" s="414" t="b">
        <f>Wh_hp&gt;='2021'!Maxi_hp</f>
        <v>0</v>
      </c>
      <c r="I100" s="380">
        <f>IF(H100,Wh_hp,'2021'!Maxi_hp)</f>
        <v>48.250977884589958</v>
      </c>
      <c r="J100" s="85">
        <f>IF(H100,An,'2021'!An_max)</f>
        <v>2019</v>
      </c>
      <c r="K100" s="197">
        <f t="shared" si="26"/>
        <v>44647</v>
      </c>
      <c r="L100" s="147">
        <f>IF(t&lt;Tvie,1-EXP((T0-t)*PertePVj)+'2021'!Pspv,1-EXP((T0-t)*PertePVj)+Pspv)</f>
        <v>4.1678669116864395E-2</v>
      </c>
      <c r="M100" s="843"/>
      <c r="N100" s="843"/>
      <c r="O100" s="48">
        <f>IF(t&lt;Tnet,'2021'!Resal+('2021'!Salim-'2021'!Resal)*(1-EXP(('2021'!Tnet-t)/('2021'!Tau_j))),Resal+(Salim-Resal)*(1-EXP((Tnet-t)/(Tau_j))))*Salcycl</f>
        <v>8.6844355553615707E-2</v>
      </c>
      <c r="P100" s="339">
        <f>(INDEX(Models!$BJ100:$BT100,,T100)*(1-R100)+INDEX(Models!$BJ100:$BT100,,T100+1)*R100-ERP_i)*Q100*Ramure*Pc/MaxiM</f>
        <v>2.0364895881232764E-4</v>
      </c>
      <c r="Q100" s="305">
        <f t="shared" si="27"/>
        <v>0.8</v>
      </c>
      <c r="R100" s="177">
        <f t="shared" si="28"/>
        <v>2.4867914264740155E-2</v>
      </c>
      <c r="S100" s="809">
        <f t="shared" si="29"/>
        <v>0</v>
      </c>
      <c r="T100" s="176">
        <f t="shared" si="30"/>
        <v>6</v>
      </c>
      <c r="U100" s="251">
        <f t="shared" si="31"/>
        <v>2.4867914264740155E-2</v>
      </c>
      <c r="V100" s="383">
        <f t="shared" si="32"/>
        <v>41.767696598575824</v>
      </c>
      <c r="W100" s="402"/>
      <c r="X100" s="157">
        <f t="shared" si="33"/>
        <v>44647</v>
      </c>
      <c r="Y100" s="385">
        <f t="shared" si="34"/>
        <v>35.234349679680939</v>
      </c>
      <c r="Z100" s="385">
        <f t="shared" si="35"/>
        <v>36.766738404133115</v>
      </c>
      <c r="AA100" s="386">
        <f t="shared" si="36"/>
        <v>42.928129593996985</v>
      </c>
      <c r="AB100" s="197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0.14352806069439075</v>
      </c>
      <c r="AD100" s="231">
        <f>(INDEX(Models!$BJ100:$BT100,,AH100)*(1-AF100)+INDEX(Models!$BJ100:$BT100,,AH100+1)*AF100-ERP_i)*AE100*Ramure*Pc/MaxiM</f>
        <v>1.1684299469047326E-2</v>
      </c>
      <c r="AE100" s="305">
        <f t="shared" si="38"/>
        <v>0.8</v>
      </c>
      <c r="AF100" s="177">
        <f t="shared" si="39"/>
        <v>0.22558466142964351</v>
      </c>
      <c r="AG100" s="809">
        <f t="shared" si="47"/>
        <v>1</v>
      </c>
      <c r="AH100" s="176">
        <f t="shared" si="40"/>
        <v>7</v>
      </c>
      <c r="AI100" s="225">
        <f t="shared" si="41"/>
        <v>1.2255846614296435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44648</v>
      </c>
      <c r="B101" s="616">
        <v>28.763999999999999</v>
      </c>
      <c r="C101" s="839"/>
      <c r="D101" s="393">
        <f t="shared" si="24"/>
        <v>30.015691219940759</v>
      </c>
      <c r="E101" s="385">
        <f t="shared" si="45"/>
        <v>32.876473167266653</v>
      </c>
      <c r="F101" s="385">
        <f t="shared" si="25"/>
        <v>32.880155855748377</v>
      </c>
      <c r="G101" s="110">
        <f t="shared" si="46"/>
        <v>0.68238213325134323</v>
      </c>
      <c r="H101" s="414" t="b">
        <f>Wh_hp&gt;='2021'!Maxi_hp</f>
        <v>0</v>
      </c>
      <c r="I101" s="380">
        <f>IF(H101,Wh_hp,'2021'!Maxi_hp)</f>
        <v>47.544172268799947</v>
      </c>
      <c r="J101" s="85">
        <f>IF(H101,An,'2021'!An_max)</f>
        <v>2021</v>
      </c>
      <c r="K101" s="197">
        <f t="shared" si="26"/>
        <v>44648</v>
      </c>
      <c r="L101" s="147">
        <f>IF(t&lt;Tvie,1-EXP((T0-t)*PertePVj)+'2021'!Pspv,1-EXP((T0-t)*PertePVj)+Pspv)</f>
        <v>4.170122922603918E-2</v>
      </c>
      <c r="M101" s="843"/>
      <c r="N101" s="843"/>
      <c r="O101" s="48">
        <f>IF(t&lt;Tnet,'2021'!Resal+('2021'!Salim-'2021'!Resal)*(1-EXP(('2021'!Tnet-t)/('2021'!Tau_j))),Resal+(Salim-Resal)*(1-EXP((Tnet-t)/(Tau_j))))*Salcycl</f>
        <v>8.7016083895952223E-2</v>
      </c>
      <c r="P101" s="339">
        <f>(INDEX(Models!$BJ101:$BT101,,T101)*(1-R101)+INDEX(Models!$BJ101:$BT101,,T101+1)*R101-ERP_i)*Q101*Ramure*Pc/MaxiM</f>
        <v>2.0500265182940623E-4</v>
      </c>
      <c r="Q101" s="305">
        <f t="shared" si="27"/>
        <v>0.8</v>
      </c>
      <c r="R101" s="177">
        <f t="shared" si="28"/>
        <v>2.5923100124337243E-2</v>
      </c>
      <c r="S101" s="809">
        <f t="shared" si="29"/>
        <v>0</v>
      </c>
      <c r="T101" s="176">
        <f t="shared" si="30"/>
        <v>6</v>
      </c>
      <c r="U101" s="251">
        <f t="shared" si="31"/>
        <v>2.5923100124337243E-2</v>
      </c>
      <c r="V101" s="383">
        <f t="shared" si="32"/>
        <v>42.148414015713833</v>
      </c>
      <c r="W101" s="402"/>
      <c r="X101" s="157">
        <f t="shared" si="33"/>
        <v>44648</v>
      </c>
      <c r="Y101" s="385">
        <f t="shared" si="34"/>
        <v>26.816700078796597</v>
      </c>
      <c r="Z101" s="385">
        <f t="shared" si="35"/>
        <v>27.983652798738692</v>
      </c>
      <c r="AA101" s="386">
        <f t="shared" si="36"/>
        <v>32.675709405900569</v>
      </c>
      <c r="AB101" s="197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0.14359463627481608</v>
      </c>
      <c r="AD101" s="231">
        <f>(INDEX(Models!$BJ101:$BT101,,AH101)*(1-AF101)+INDEX(Models!$BJ101:$BT101,,AH101+1)*AF101-ERP_i)*AE101*Ramure*Pc/MaxiM</f>
        <v>1.1380833481806331E-2</v>
      </c>
      <c r="AE101" s="305">
        <f t="shared" si="38"/>
        <v>0.8</v>
      </c>
      <c r="AF101" s="177">
        <f t="shared" si="39"/>
        <v>0.22663984728924058</v>
      </c>
      <c r="AG101" s="809">
        <f t="shared" si="47"/>
        <v>1</v>
      </c>
      <c r="AH101" s="176">
        <f t="shared" si="40"/>
        <v>7</v>
      </c>
      <c r="AI101" s="225">
        <f t="shared" si="41"/>
        <v>1.2266398472892406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44649</v>
      </c>
      <c r="B102" s="616">
        <v>24.698</v>
      </c>
      <c r="C102" s="839"/>
      <c r="D102" s="393">
        <f t="shared" si="24"/>
        <v>25.77336232664593</v>
      </c>
      <c r="E102" s="385">
        <f t="shared" si="45"/>
        <v>28.235133684119258</v>
      </c>
      <c r="F102" s="385">
        <f t="shared" si="25"/>
        <v>28.237469611720769</v>
      </c>
      <c r="G102" s="110">
        <f t="shared" si="46"/>
        <v>0.58073768657497182</v>
      </c>
      <c r="H102" s="414" t="b">
        <f>Wh_hp&gt;='2021'!Maxi_hp</f>
        <v>0</v>
      </c>
      <c r="I102" s="380">
        <f>IF(H102,Wh_hp,'2021'!Maxi_hp)</f>
        <v>49.462573168637149</v>
      </c>
      <c r="J102" s="85">
        <f>IF(H102,An,'2021'!An_max)</f>
        <v>2021</v>
      </c>
      <c r="K102" s="197">
        <f t="shared" si="26"/>
        <v>44649</v>
      </c>
      <c r="L102" s="147">
        <f>IF(t&lt;Tvie,1-EXP((T0-t)*PertePVj)+'2021'!Pspv,1-EXP((T0-t)*PertePVj)+Pspv)</f>
        <v>4.1723788810207371E-2</v>
      </c>
      <c r="M102" s="843"/>
      <c r="N102" s="843"/>
      <c r="O102" s="48">
        <f>IF(t&lt;Tnet,'2021'!Resal+('2021'!Salim-'2021'!Resal)*(1-EXP(('2021'!Tnet-t)/('2021'!Tau_j))),Resal+(Salim-Resal)*(1-EXP((Tnet-t)/(Tau_j))))*Salcycl</f>
        <v>8.7188230982520251E-2</v>
      </c>
      <c r="P102" s="339">
        <f>(INDEX(Models!$BJ102:$BT102,,T102)*(1-R102)+INDEX(Models!$BJ102:$BT102,,T102+1)*R102-ERP_i)*Q102*Ramure*Pc/MaxiM</f>
        <v>2.0621486778383915E-4</v>
      </c>
      <c r="Q102" s="305">
        <f t="shared" si="27"/>
        <v>0.8</v>
      </c>
      <c r="R102" s="177">
        <f t="shared" si="28"/>
        <v>2.7018438865600902E-2</v>
      </c>
      <c r="S102" s="809">
        <f t="shared" si="29"/>
        <v>0</v>
      </c>
      <c r="T102" s="176">
        <f t="shared" si="30"/>
        <v>6</v>
      </c>
      <c r="U102" s="251">
        <f t="shared" si="31"/>
        <v>2.7018438865600902E-2</v>
      </c>
      <c r="V102" s="383">
        <f t="shared" si="32"/>
        <v>42.523415219751925</v>
      </c>
      <c r="W102" s="402"/>
      <c r="X102" s="157">
        <f t="shared" si="33"/>
        <v>44649</v>
      </c>
      <c r="Y102" s="385">
        <f t="shared" si="34"/>
        <v>23.068930527429579</v>
      </c>
      <c r="Z102" s="385">
        <f t="shared" si="35"/>
        <v>24.073362416862324</v>
      </c>
      <c r="AA102" s="386">
        <f t="shared" si="36"/>
        <v>28.111995887929339</v>
      </c>
      <c r="AB102" s="197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0.14366228165254943</v>
      </c>
      <c r="AD102" s="231">
        <f>(INDEX(Models!$BJ102:$BT102,,AH102)*(1-AF102)+INDEX(Models!$BJ102:$BT102,,AH102+1)*AF102-ERP_i)*AE102*Ramure*Pc/MaxiM</f>
        <v>1.1076776243088584E-2</v>
      </c>
      <c r="AE102" s="305">
        <f t="shared" si="38"/>
        <v>0.8</v>
      </c>
      <c r="AF102" s="177">
        <f t="shared" si="39"/>
        <v>0.22773518603050436</v>
      </c>
      <c r="AG102" s="809">
        <f t="shared" si="47"/>
        <v>1</v>
      </c>
      <c r="AH102" s="176">
        <f t="shared" si="40"/>
        <v>7</v>
      </c>
      <c r="AI102" s="225">
        <f t="shared" si="41"/>
        <v>1.2277351860305044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44650</v>
      </c>
      <c r="B103" s="616">
        <v>7.6180000000000003</v>
      </c>
      <c r="C103" s="839"/>
      <c r="D103" s="393">
        <f t="shared" si="24"/>
        <v>7.9498783887354234</v>
      </c>
      <c r="E103" s="385">
        <f t="shared" si="45"/>
        <v>8.7108669924229236</v>
      </c>
      <c r="F103" s="385">
        <f t="shared" si="25"/>
        <v>8.7108669924229236</v>
      </c>
      <c r="G103" s="110">
        <f t="shared" si="46"/>
        <v>0.17757358043814403</v>
      </c>
      <c r="H103" s="414" t="b">
        <f>Wh_hp&gt;='2021'!Maxi_hp</f>
        <v>0</v>
      </c>
      <c r="I103" s="380">
        <f>IF(H103,Wh_hp,'2021'!Maxi_hp)</f>
        <v>48.853038467776038</v>
      </c>
      <c r="J103" s="85">
        <f>IF(H103,An,'2021'!An_max)</f>
        <v>2019</v>
      </c>
      <c r="K103" s="197">
        <f t="shared" si="26"/>
        <v>44650</v>
      </c>
      <c r="L103" s="147">
        <f>IF(t&lt;Tvie,1-EXP((T0-t)*PertePVj)+'2021'!Pspv,1-EXP((T0-t)*PertePVj)+Pspv)</f>
        <v>4.174634786938107E-2</v>
      </c>
      <c r="M103" s="843"/>
      <c r="N103" s="843"/>
      <c r="O103" s="48">
        <f>IF(t&lt;Tnet,'2021'!Resal+('2021'!Salim-'2021'!Resal)*(1-EXP(('2021'!Tnet-t)/('2021'!Tau_j))),Resal+(Salim-Resal)*(1-EXP((Tnet-t)/(Tau_j))))*Salcycl</f>
        <v>8.736083381245982E-2</v>
      </c>
      <c r="P103" s="339">
        <f>(INDEX(Models!$BJ103:$BT103,,T103)*(1-R103)+INDEX(Models!$BJ103:$BT103,,T103+1)*R103-ERP_i)*Q103*Ramure*Pc/MaxiM</f>
        <v>2.0727713400513949E-4</v>
      </c>
      <c r="Q103" s="305">
        <f t="shared" si="27"/>
        <v>0.8</v>
      </c>
      <c r="R103" s="177">
        <f t="shared" si="28"/>
        <v>2.8155288087542911E-2</v>
      </c>
      <c r="S103" s="809">
        <f t="shared" si="29"/>
        <v>0</v>
      </c>
      <c r="T103" s="176">
        <f t="shared" si="30"/>
        <v>6</v>
      </c>
      <c r="U103" s="251">
        <f t="shared" si="31"/>
        <v>2.8155288087542911E-2</v>
      </c>
      <c r="V103" s="383">
        <f t="shared" si="32"/>
        <v>42.891633676588796</v>
      </c>
      <c r="W103" s="402"/>
      <c r="X103" s="157">
        <f t="shared" si="33"/>
        <v>44650</v>
      </c>
      <c r="Y103" s="385">
        <f t="shared" si="34"/>
        <v>7.1474653830290862</v>
      </c>
      <c r="Z103" s="385">
        <f t="shared" si="35"/>
        <v>7.4588449176657239</v>
      </c>
      <c r="AA103" s="386">
        <f t="shared" si="36"/>
        <v>8.7108669924229236</v>
      </c>
      <c r="AB103" s="197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0.14373105178236115</v>
      </c>
      <c r="AD103" s="231">
        <f>(INDEX(Models!$BJ103:$BT103,,AH103)*(1-AF103)+INDEX(Models!$BJ103:$BT103,,AH103+1)*AF103-ERP_i)*AE103*Ramure*Pc/MaxiM</f>
        <v>1.0772143154843114E-2</v>
      </c>
      <c r="AE103" s="305">
        <f t="shared" si="38"/>
        <v>0.8</v>
      </c>
      <c r="AF103" s="177">
        <f t="shared" si="39"/>
        <v>0.22887203525244626</v>
      </c>
      <c r="AG103" s="809">
        <f t="shared" si="47"/>
        <v>1</v>
      </c>
      <c r="AH103" s="176">
        <f t="shared" si="40"/>
        <v>7</v>
      </c>
      <c r="AI103" s="225">
        <f t="shared" si="41"/>
        <v>1.2288720352524463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44651</v>
      </c>
      <c r="B104" s="616">
        <v>27.603999999999999</v>
      </c>
      <c r="C104" s="839"/>
      <c r="D104" s="393">
        <f t="shared" si="24"/>
        <v>28.807247212566253</v>
      </c>
      <c r="E104" s="385">
        <f t="shared" si="45"/>
        <v>31.570759870098634</v>
      </c>
      <c r="F104" s="385">
        <f t="shared" si="25"/>
        <v>31.573935720220199</v>
      </c>
      <c r="G104" s="110">
        <f t="shared" si="46"/>
        <v>0.63814453032657625</v>
      </c>
      <c r="H104" s="414" t="b">
        <f>Wh_hp&gt;='2021'!Maxi_hp</f>
        <v>0</v>
      </c>
      <c r="I104" s="380">
        <f>IF(H104,Wh_hp,'2021'!Maxi_hp)</f>
        <v>44.47420567428135</v>
      </c>
      <c r="J104" s="85">
        <f>IF(H104,An,'2021'!An_max)</f>
        <v>2021</v>
      </c>
      <c r="K104" s="197">
        <f t="shared" si="26"/>
        <v>44651</v>
      </c>
      <c r="L104" s="147">
        <f>IF(t&lt;Tvie,1-EXP((T0-t)*PertePVj)+'2021'!Pspv,1-EXP((T0-t)*PertePVj)+Pspv)</f>
        <v>4.1768906403572489E-2</v>
      </c>
      <c r="M104" s="843"/>
      <c r="N104" s="843"/>
      <c r="O104" s="48">
        <f>IF(t&lt;Tnet,'2021'!Resal+('2021'!Salim-'2021'!Resal)*(1-EXP(('2021'!Tnet-t)/('2021'!Tau_j))),Resal+(Salim-Resal)*(1-EXP((Tnet-t)/(Tau_j))))*Salcycl</f>
        <v>8.753392914529648E-2</v>
      </c>
      <c r="P104" s="339">
        <f>(INDEX(Models!$BJ104:$BT104,,T104)*(1-R104)+INDEX(Models!$BJ104:$BT104,,T104+1)*R104-ERP_i)*Q104*Ramure*Pc/MaxiM</f>
        <v>2.0817988142378589E-4</v>
      </c>
      <c r="Q104" s="305">
        <f t="shared" si="27"/>
        <v>0.8</v>
      </c>
      <c r="R104" s="177">
        <f t="shared" si="28"/>
        <v>2.9335037467940018E-2</v>
      </c>
      <c r="S104" s="809">
        <f t="shared" si="29"/>
        <v>0</v>
      </c>
      <c r="T104" s="176">
        <f t="shared" si="30"/>
        <v>6</v>
      </c>
      <c r="U104" s="251">
        <f t="shared" si="31"/>
        <v>2.9335037467940018E-2</v>
      </c>
      <c r="V104" s="383">
        <f t="shared" si="32"/>
        <v>43.252003782871391</v>
      </c>
      <c r="W104" s="402"/>
      <c r="X104" s="157">
        <f t="shared" si="33"/>
        <v>44651</v>
      </c>
      <c r="Y104" s="385">
        <f t="shared" si="34"/>
        <v>25.773405500408753</v>
      </c>
      <c r="Z104" s="385">
        <f t="shared" si="35"/>
        <v>26.896857837994123</v>
      </c>
      <c r="AA104" s="386">
        <f t="shared" si="36"/>
        <v>31.414259847460183</v>
      </c>
      <c r="AB104" s="197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0.14380100092765</v>
      </c>
      <c r="AD104" s="231">
        <f>(INDEX(Models!$BJ104:$BT104,,AH104)*(1-AF104)+INDEX(Models!$BJ104:$BT104,,AH104+1)*AF104-ERP_i)*AE104*Ramure*Pc/MaxiM</f>
        <v>1.0466899565472797E-2</v>
      </c>
      <c r="AE104" s="305">
        <f t="shared" si="38"/>
        <v>0.8</v>
      </c>
      <c r="AF104" s="177">
        <f t="shared" si="39"/>
        <v>0.23005178463284337</v>
      </c>
      <c r="AG104" s="809">
        <f t="shared" si="47"/>
        <v>1</v>
      </c>
      <c r="AH104" s="176">
        <f t="shared" si="40"/>
        <v>7</v>
      </c>
      <c r="AI104" s="225">
        <f t="shared" si="41"/>
        <v>1.2300517846328434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44652</v>
      </c>
      <c r="B105" s="616">
        <v>29.63</v>
      </c>
      <c r="C105" s="839"/>
      <c r="D105" s="393">
        <f t="shared" si="24"/>
        <v>30.922287685365106</v>
      </c>
      <c r="E105" s="385">
        <f t="shared" si="45"/>
        <v>33.89514820742923</v>
      </c>
      <c r="F105" s="385">
        <f t="shared" si="25"/>
        <v>33.898987954232226</v>
      </c>
      <c r="G105" s="110">
        <f t="shared" si="46"/>
        <v>0.67946821643983413</v>
      </c>
      <c r="H105" s="414" t="b">
        <f>Wh_hp&gt;='2021'!Maxi_hp</f>
        <v>0</v>
      </c>
      <c r="I105" s="380">
        <f>IF(H105,Wh_hp,'2021'!Maxi_hp)</f>
        <v>45.531723733193161</v>
      </c>
      <c r="J105" s="85">
        <f>IF(H105,An,'2021'!An_max)</f>
        <v>2021</v>
      </c>
      <c r="K105" s="197">
        <f t="shared" si="26"/>
        <v>44652</v>
      </c>
      <c r="L105" s="147">
        <f>IF(t&lt;Tvie,1-EXP((T0-t)*PertePVj)+'2021'!Pspv,1-EXP((T0-t)*PertePVj)+Pspv)</f>
        <v>4.1791464412793841E-2</v>
      </c>
      <c r="M105" s="843"/>
      <c r="N105" s="843"/>
      <c r="O105" s="48">
        <f>IF(t&lt;Tnet,'2021'!Resal+('2021'!Salim-'2021'!Resal)*(1-EXP(('2021'!Tnet-t)/('2021'!Tau_j))),Resal+(Salim-Resal)*(1-EXP((Tnet-t)/(Tau_j))))*Salcycl</f>
        <v>8.7707553419475087E-2</v>
      </c>
      <c r="P105" s="339">
        <f>(INDEX(Models!$BJ105:$BT105,,T105)*(1-R105)+INDEX(Models!$BJ105:$BT105,,T105+1)*R105-ERP_i)*Q105*Ramure*Pc/MaxiM</f>
        <v>2.0891234530170157E-4</v>
      </c>
      <c r="Q105" s="305">
        <f t="shared" si="27"/>
        <v>0.8</v>
      </c>
      <c r="R105" s="177">
        <f t="shared" si="28"/>
        <v>3.0559108351082304E-2</v>
      </c>
      <c r="S105" s="809">
        <f t="shared" si="29"/>
        <v>0</v>
      </c>
      <c r="T105" s="176">
        <f t="shared" si="30"/>
        <v>6</v>
      </c>
      <c r="U105" s="251">
        <f t="shared" si="31"/>
        <v>3.0559108351082304E-2</v>
      </c>
      <c r="V105" s="383">
        <f t="shared" si="32"/>
        <v>43.603460893121692</v>
      </c>
      <c r="W105" s="402"/>
      <c r="X105" s="157">
        <f t="shared" si="33"/>
        <v>44652</v>
      </c>
      <c r="Y105" s="385">
        <f t="shared" si="34"/>
        <v>27.655795620321328</v>
      </c>
      <c r="Z105" s="385">
        <f t="shared" si="35"/>
        <v>28.861980031698835</v>
      </c>
      <c r="AA105" s="386">
        <f t="shared" si="36"/>
        <v>33.712232499493595</v>
      </c>
      <c r="AB105" s="197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0.14387218253396947</v>
      </c>
      <c r="AD105" s="231">
        <f>(INDEX(Models!$BJ105:$BT105,,AH105)*(1-AF105)+INDEX(Models!$BJ105:$BT105,,AH105+1)*AF105-ERP_i)*AE105*Ramure*Pc/MaxiM</f>
        <v>1.0160961659468832E-2</v>
      </c>
      <c r="AE105" s="305">
        <f t="shared" si="38"/>
        <v>0.8</v>
      </c>
      <c r="AF105" s="177">
        <f t="shared" si="39"/>
        <v>0.23127585551598573</v>
      </c>
      <c r="AG105" s="809">
        <f t="shared" si="47"/>
        <v>1</v>
      </c>
      <c r="AH105" s="176">
        <f t="shared" si="40"/>
        <v>7</v>
      </c>
      <c r="AI105" s="225">
        <f t="shared" si="41"/>
        <v>1.2312758555159857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44653</v>
      </c>
      <c r="B106" s="616">
        <v>19.836000000000002</v>
      </c>
      <c r="C106" s="839"/>
      <c r="D106" s="393">
        <f t="shared" si="24"/>
        <v>20.701617904357313</v>
      </c>
      <c r="E106" s="385">
        <f t="shared" si="45"/>
        <v>22.696199465453606</v>
      </c>
      <c r="F106" s="385">
        <f t="shared" si="25"/>
        <v>22.697227619318269</v>
      </c>
      <c r="G106" s="110">
        <f t="shared" si="46"/>
        <v>0.45130890836661536</v>
      </c>
      <c r="H106" s="414" t="b">
        <f>Wh_hp&gt;='2021'!Maxi_hp</f>
        <v>0</v>
      </c>
      <c r="I106" s="380">
        <f>IF(H106,Wh_hp,'2021'!Maxi_hp)</f>
        <v>41.845132643511377</v>
      </c>
      <c r="J106" s="85">
        <f>IF(H106,An,'2021'!An_max)</f>
        <v>2021</v>
      </c>
      <c r="K106" s="197">
        <f t="shared" si="26"/>
        <v>44653</v>
      </c>
      <c r="L106" s="147">
        <f>IF(t&lt;Tvie,1-EXP((T0-t)*PertePVj)+'2021'!Pspv,1-EXP((T0-t)*PertePVj)+Pspv)</f>
        <v>4.1814021897057338E-2</v>
      </c>
      <c r="M106" s="843"/>
      <c r="N106" s="843"/>
      <c r="O106" s="48">
        <f>IF(t&lt;Tnet,'2021'!Resal+('2021'!Salim-'2021'!Resal)*(1-EXP(('2021'!Tnet-t)/('2021'!Tau_j))),Resal+(Salim-Resal)*(1-EXP((Tnet-t)/(Tau_j))))*Salcycl</f>
        <v>8.7881742673802776E-2</v>
      </c>
      <c r="P106" s="339">
        <f>(INDEX(Models!$BJ106:$BT106,,T106)*(1-R106)+INDEX(Models!$BJ106:$BT106,,T106+1)*R106-ERP_i)*Q106*Ramure*Pc/MaxiM</f>
        <v>2.0946245819794917E-4</v>
      </c>
      <c r="Q106" s="305">
        <f t="shared" si="27"/>
        <v>0.8</v>
      </c>
      <c r="R106" s="177">
        <f t="shared" si="28"/>
        <v>3.1828953210409537E-2</v>
      </c>
      <c r="S106" s="809">
        <f t="shared" si="29"/>
        <v>0</v>
      </c>
      <c r="T106" s="176">
        <f t="shared" si="30"/>
        <v>6</v>
      </c>
      <c r="U106" s="251">
        <f t="shared" si="31"/>
        <v>3.1828953210409537E-2</v>
      </c>
      <c r="V106" s="383">
        <f t="shared" si="32"/>
        <v>43.944941328650692</v>
      </c>
      <c r="W106" s="402"/>
      <c r="X106" s="157">
        <f t="shared" si="33"/>
        <v>44653</v>
      </c>
      <c r="Y106" s="385">
        <f t="shared" si="34"/>
        <v>18.577957511171007</v>
      </c>
      <c r="Z106" s="385">
        <f t="shared" si="35"/>
        <v>19.388676035473235</v>
      </c>
      <c r="AA106" s="386">
        <f t="shared" si="36"/>
        <v>22.648857945084071</v>
      </c>
      <c r="AB106" s="197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0.14394464910838731</v>
      </c>
      <c r="AD106" s="231">
        <f>(INDEX(Models!$BJ106:$BT106,,AH106)*(1-AF106)+INDEX(Models!$BJ106:$BT106,,AH106+1)*AF106-ERP_i)*AE106*Ramure*Pc/MaxiM</f>
        <v>9.8541971348431005E-3</v>
      </c>
      <c r="AE106" s="305">
        <f t="shared" si="38"/>
        <v>0.8</v>
      </c>
      <c r="AF106" s="177">
        <f t="shared" si="39"/>
        <v>0.23254570037531286</v>
      </c>
      <c r="AG106" s="809">
        <f t="shared" si="47"/>
        <v>1</v>
      </c>
      <c r="AH106" s="176">
        <f t="shared" si="40"/>
        <v>7</v>
      </c>
      <c r="AI106" s="225">
        <f t="shared" si="41"/>
        <v>1.2325457003753129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44654</v>
      </c>
      <c r="B107" s="616">
        <v>19.829000000000001</v>
      </c>
      <c r="C107" s="839"/>
      <c r="D107" s="393">
        <f t="shared" si="24"/>
        <v>20.694799616053924</v>
      </c>
      <c r="E107" s="385">
        <f t="shared" si="45"/>
        <v>22.693072929337944</v>
      </c>
      <c r="F107" s="385">
        <f t="shared" si="25"/>
        <v>22.694078463210676</v>
      </c>
      <c r="G107" s="110">
        <f t="shared" si="46"/>
        <v>0.44775710966880705</v>
      </c>
      <c r="H107" s="414" t="b">
        <f>Wh_hp&gt;='2021'!Maxi_hp</f>
        <v>0</v>
      </c>
      <c r="I107" s="380">
        <f>IF(H107,Wh_hp,'2021'!Maxi_hp)</f>
        <v>50.711672503234396</v>
      </c>
      <c r="J107" s="85">
        <f>IF(H107,An,'2021'!An_max)</f>
        <v>2021</v>
      </c>
      <c r="K107" s="197">
        <f t="shared" si="26"/>
        <v>44654</v>
      </c>
      <c r="L107" s="147">
        <f>IF(t&lt;Tvie,1-EXP((T0-t)*PertePVj)+'2021'!Pspv,1-EXP((T0-t)*PertePVj)+Pspv)</f>
        <v>4.1836578856375303E-2</v>
      </c>
      <c r="M107" s="843"/>
      <c r="N107" s="843"/>
      <c r="O107" s="48">
        <f>IF(t&lt;Tnet,'2021'!Resal+('2021'!Salim-'2021'!Resal)*(1-EXP(('2021'!Tnet-t)/('2021'!Tau_j))),Resal+(Salim-Resal)*(1-EXP((Tnet-t)/(Tau_j))))*Salcycl</f>
        <v>8.8056532471661078E-2</v>
      </c>
      <c r="P107" s="339">
        <f>(INDEX(Models!$BJ107:$BT107,,T107)*(1-R107)+INDEX(Models!$BJ107:$BT107,,T107+1)*R107-ERP_i)*Q107*Ramure*Pc/MaxiM</f>
        <v>2.098050848158943E-4</v>
      </c>
      <c r="Q107" s="305">
        <f t="shared" si="27"/>
        <v>0.8</v>
      </c>
      <c r="R107" s="177">
        <f t="shared" si="28"/>
        <v>3.3146054976185821E-2</v>
      </c>
      <c r="S107" s="809">
        <f t="shared" si="29"/>
        <v>0</v>
      </c>
      <c r="T107" s="176">
        <f t="shared" si="30"/>
        <v>6</v>
      </c>
      <c r="U107" s="251">
        <f t="shared" si="31"/>
        <v>3.3146054976185821E-2</v>
      </c>
      <c r="V107" s="383">
        <f t="shared" si="32"/>
        <v>44.277841242136041</v>
      </c>
      <c r="W107" s="402"/>
      <c r="X107" s="157">
        <f t="shared" si="33"/>
        <v>44654</v>
      </c>
      <c r="Y107" s="385">
        <f t="shared" si="34"/>
        <v>18.575483732436421</v>
      </c>
      <c r="Z107" s="385">
        <f t="shared" si="35"/>
        <v>19.386550689093809</v>
      </c>
      <c r="AA107" s="386">
        <f t="shared" si="36"/>
        <v>22.648327801871972</v>
      </c>
      <c r="AB107" s="197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0.14401845210437844</v>
      </c>
      <c r="AD107" s="231">
        <f>(INDEX(Models!$BJ107:$BT107,,AH107)*(1-AF107)+INDEX(Models!$BJ107:$BT107,,AH107+1)*AF107-ERP_i)*AE107*Ramure*Pc/MaxiM</f>
        <v>9.5458956111350371E-3</v>
      </c>
      <c r="AE107" s="305">
        <f t="shared" si="38"/>
        <v>0.8</v>
      </c>
      <c r="AF107" s="177">
        <f t="shared" si="39"/>
        <v>0.23386280214108912</v>
      </c>
      <c r="AG107" s="809">
        <f t="shared" si="47"/>
        <v>1</v>
      </c>
      <c r="AH107" s="176">
        <f t="shared" si="40"/>
        <v>7</v>
      </c>
      <c r="AI107" s="225">
        <f t="shared" si="41"/>
        <v>1.2338628021410891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44655</v>
      </c>
      <c r="B108" s="616">
        <v>43.58</v>
      </c>
      <c r="C108" s="839"/>
      <c r="D108" s="393">
        <f t="shared" si="24"/>
        <v>45.483917454272124</v>
      </c>
      <c r="E108" s="385">
        <f t="shared" si="45"/>
        <v>49.885404346822632</v>
      </c>
      <c r="F108" s="385">
        <f t="shared" si="25"/>
        <v>49.895531640302963</v>
      </c>
      <c r="G108" s="110">
        <f t="shared" si="46"/>
        <v>0.97702836348145605</v>
      </c>
      <c r="H108" s="414" t="b">
        <f>Wh_hp&gt;='2021'!Maxi_hp</f>
        <v>0</v>
      </c>
      <c r="I108" s="380">
        <f>IF(H108,Wh_hp,'2021'!Maxi_hp)</f>
        <v>52.742592428937442</v>
      </c>
      <c r="J108" s="85">
        <f>IF(H108,An,'2021'!An_max)</f>
        <v>2020</v>
      </c>
      <c r="K108" s="197">
        <f t="shared" si="26"/>
        <v>44655</v>
      </c>
      <c r="L108" s="147">
        <f>IF(t&lt;Tvie,1-EXP((T0-t)*PertePVj)+'2021'!Pspv,1-EXP((T0-t)*PertePVj)+Pspv)</f>
        <v>4.1859135290759839E-2</v>
      </c>
      <c r="M108" s="843"/>
      <c r="N108" s="843"/>
      <c r="O108" s="48">
        <f>IF(t&lt;Tnet,'2021'!Resal+('2021'!Salim-'2021'!Resal)*(1-EXP(('2021'!Tnet-t)/('2021'!Tau_j))),Resal+(Salim-Resal)*(1-EXP((Tnet-t)/(Tau_j))))*Salcycl</f>
        <v>8.823195782777804E-2</v>
      </c>
      <c r="P108" s="339">
        <f>(INDEX(Models!$BJ108:$BT108,,T108)*(1-R108)+INDEX(Models!$BJ108:$BT108,,T108+1)*R108-ERP_i)*Q108*Ramure*Pc/MaxiM</f>
        <v>2.0985465250769378E-4</v>
      </c>
      <c r="Q108" s="305">
        <f t="shared" si="27"/>
        <v>0.8</v>
      </c>
      <c r="R108" s="177">
        <f t="shared" si="28"/>
        <v>3.4511926218009026E-2</v>
      </c>
      <c r="S108" s="809">
        <f t="shared" si="29"/>
        <v>0</v>
      </c>
      <c r="T108" s="176">
        <f t="shared" si="30"/>
        <v>6</v>
      </c>
      <c r="U108" s="251">
        <f t="shared" si="31"/>
        <v>3.4511926218009026E-2</v>
      </c>
      <c r="V108" s="383">
        <f t="shared" si="32"/>
        <v>44.604334462097484</v>
      </c>
      <c r="W108" s="402"/>
      <c r="X108" s="157">
        <f t="shared" si="33"/>
        <v>44655</v>
      </c>
      <c r="Y108" s="385">
        <f t="shared" si="34"/>
        <v>40.552899649617508</v>
      </c>
      <c r="Z108" s="385">
        <f t="shared" si="35"/>
        <v>42.324569531771083</v>
      </c>
      <c r="AA108" s="386">
        <f t="shared" si="36"/>
        <v>49.45000013946246</v>
      </c>
      <c r="AB108" s="197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0.14409364181184475</v>
      </c>
      <c r="AD108" s="231">
        <f>(INDEX(Models!$BJ108:$BT108,,AH108)*(1-AF108)+INDEX(Models!$BJ108:$BT108,,AH108+1)*AF108-ERP_i)*AE108*Ramure*Pc/MaxiM</f>
        <v>9.2321663701881457E-3</v>
      </c>
      <c r="AE108" s="305">
        <f t="shared" si="38"/>
        <v>0.8</v>
      </c>
      <c r="AF108" s="177">
        <f t="shared" si="39"/>
        <v>0.23522867338291231</v>
      </c>
      <c r="AG108" s="809">
        <f t="shared" si="47"/>
        <v>1</v>
      </c>
      <c r="AH108" s="176">
        <f t="shared" si="40"/>
        <v>7</v>
      </c>
      <c r="AI108" s="225">
        <f t="shared" si="41"/>
        <v>1.2352286733829123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44656</v>
      </c>
      <c r="B109" s="616">
        <v>44.831000000000003</v>
      </c>
      <c r="C109" s="839"/>
      <c r="D109" s="393">
        <f t="shared" si="24"/>
        <v>46.790672496551338</v>
      </c>
      <c r="E109" s="385">
        <f t="shared" si="45"/>
        <v>51.328527701000283</v>
      </c>
      <c r="F109" s="385">
        <f t="shared" si="25"/>
        <v>51.339263601418196</v>
      </c>
      <c r="G109" s="110">
        <f t="shared" si="46"/>
        <v>0.99791779413544413</v>
      </c>
      <c r="H109" s="414" t="b">
        <f>Wh_hp&gt;='2021'!Maxi_hp</f>
        <v>0</v>
      </c>
      <c r="I109" s="380">
        <f>IF(H109,Wh_hp,'2021'!Maxi_hp)</f>
        <v>53.625563554782609</v>
      </c>
      <c r="J109" s="85">
        <f>IF(H109,An,'2021'!An_max)</f>
        <v>2020</v>
      </c>
      <c r="K109" s="197">
        <f t="shared" si="26"/>
        <v>44656</v>
      </c>
      <c r="L109" s="147">
        <f>IF(t&lt;Tvie,1-EXP((T0-t)*PertePVj)+'2021'!Pspv,1-EXP((T0-t)*PertePVj)+Pspv)</f>
        <v>4.1881691200223156E-2</v>
      </c>
      <c r="M109" s="843"/>
      <c r="N109" s="843"/>
      <c r="O109" s="48">
        <f>IF(t&lt;Tnet,'2021'!Resal+('2021'!Salim-'2021'!Resal)*(1-EXP(('2021'!Tnet-t)/('2021'!Tau_j))),Resal+(Salim-Resal)*(1-EXP((Tnet-t)/(Tau_j))))*Salcycl</f>
        <v>8.8408053137290971E-2</v>
      </c>
      <c r="P109" s="339">
        <f>(INDEX(Models!$BJ109:$BT109,,T109)*(1-R109)+INDEX(Models!$BJ109:$BT109,,T109+1)*R109-ERP_i)*Q109*Ramure*Pc/MaxiM</f>
        <v>2.0974046229453542E-4</v>
      </c>
      <c r="Q109" s="305">
        <f t="shared" si="27"/>
        <v>0.8</v>
      </c>
      <c r="R109" s="177">
        <f t="shared" si="28"/>
        <v>3.5928108171631501E-2</v>
      </c>
      <c r="S109" s="809">
        <f t="shared" si="29"/>
        <v>0</v>
      </c>
      <c r="T109" s="176">
        <f t="shared" si="30"/>
        <v>6</v>
      </c>
      <c r="U109" s="251">
        <f t="shared" si="31"/>
        <v>3.5928108171631501E-2</v>
      </c>
      <c r="V109" s="383">
        <f t="shared" si="32"/>
        <v>44.924514119675152</v>
      </c>
      <c r="W109" s="402"/>
      <c r="X109" s="157">
        <f t="shared" si="33"/>
        <v>44656</v>
      </c>
      <c r="Y109" s="385">
        <f t="shared" si="34"/>
        <v>41.723030315656253</v>
      </c>
      <c r="Z109" s="385">
        <f t="shared" si="35"/>
        <v>43.546845867001728</v>
      </c>
      <c r="AA109" s="386">
        <f t="shared" si="36"/>
        <v>50.882604565705023</v>
      </c>
      <c r="AB109" s="197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0.14417026725175947</v>
      </c>
      <c r="AD109" s="231">
        <f>(INDEX(Models!$BJ109:$BT109,,AH109)*(1-AF109)+INDEX(Models!$BJ109:$BT109,,AH109+1)*AF109-ERP_i)*AE109*Ramure*Pc/MaxiM</f>
        <v>8.9214573098769945E-3</v>
      </c>
      <c r="AE109" s="305">
        <f t="shared" si="38"/>
        <v>0.8</v>
      </c>
      <c r="AF109" s="177">
        <f t="shared" si="39"/>
        <v>0.23664485533653501</v>
      </c>
      <c r="AG109" s="809">
        <f t="shared" si="47"/>
        <v>1</v>
      </c>
      <c r="AH109" s="176">
        <f t="shared" si="40"/>
        <v>7</v>
      </c>
      <c r="AI109" s="225">
        <f t="shared" si="41"/>
        <v>1.236644855336535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44657</v>
      </c>
      <c r="B110" s="616">
        <v>10.914</v>
      </c>
      <c r="C110" s="839"/>
      <c r="D110" s="393">
        <f t="shared" si="24"/>
        <v>11.391345761732079</v>
      </c>
      <c r="E110" s="385">
        <f t="shared" si="45"/>
        <v>12.498525823345865</v>
      </c>
      <c r="F110" s="385">
        <f t="shared" si="25"/>
        <v>12.498525823345865</v>
      </c>
      <c r="G110" s="110">
        <f t="shared" si="46"/>
        <v>0.24120426191163305</v>
      </c>
      <c r="H110" s="414" t="b">
        <f>Wh_hp&gt;='2021'!Maxi_hp</f>
        <v>0</v>
      </c>
      <c r="I110" s="380">
        <f>IF(H110,Wh_hp,'2021'!Maxi_hp)</f>
        <v>54.126950024967606</v>
      </c>
      <c r="J110" s="85">
        <f>IF(H110,An,'2021'!An_max)</f>
        <v>2020</v>
      </c>
      <c r="K110" s="197">
        <f t="shared" si="26"/>
        <v>44657</v>
      </c>
      <c r="L110" s="147">
        <f>IF(t&lt;Tvie,1-EXP((T0-t)*PertePVj)+'2021'!Pspv,1-EXP((T0-t)*PertePVj)+Pspv)</f>
        <v>4.1904246584777469E-2</v>
      </c>
      <c r="M110" s="843"/>
      <c r="N110" s="843"/>
      <c r="O110" s="48">
        <f>IF(t&lt;Tnet,'2021'!Resal+('2021'!Salim-'2021'!Resal)*(1-EXP(('2021'!Tnet-t)/('2021'!Tau_j))),Resal+(Salim-Resal)*(1-EXP((Tnet-t)/(Tau_j))))*Salcycl</f>
        <v>8.8584852106773665E-2</v>
      </c>
      <c r="P110" s="339">
        <f>(INDEX(Models!$BJ110:$BT110,,T110)*(1-R110)+INDEX(Models!$BJ110:$BT110,,T110+1)*R110-ERP_i)*Q110*Ramure*Pc/MaxiM</f>
        <v>2.094499370737937E-4</v>
      </c>
      <c r="Q110" s="305">
        <f t="shared" si="27"/>
        <v>0.8</v>
      </c>
      <c r="R110" s="177">
        <f t="shared" si="28"/>
        <v>3.7396169599279744E-2</v>
      </c>
      <c r="S110" s="809">
        <f t="shared" si="29"/>
        <v>0</v>
      </c>
      <c r="T110" s="176">
        <f t="shared" si="30"/>
        <v>6</v>
      </c>
      <c r="U110" s="251">
        <f t="shared" si="31"/>
        <v>3.7396169599279744E-2</v>
      </c>
      <c r="V110" s="383">
        <f t="shared" si="32"/>
        <v>45.238479523153543</v>
      </c>
      <c r="W110" s="402"/>
      <c r="X110" s="157">
        <f t="shared" si="33"/>
        <v>44657</v>
      </c>
      <c r="Y110" s="385">
        <f t="shared" si="34"/>
        <v>10.24744129512014</v>
      </c>
      <c r="Z110" s="385">
        <f t="shared" si="35"/>
        <v>10.695633769998636</v>
      </c>
      <c r="AA110" s="386">
        <f t="shared" si="36"/>
        <v>12.498525823345865</v>
      </c>
      <c r="AB110" s="197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0.14424837607485089</v>
      </c>
      <c r="AD110" s="231">
        <f>(INDEX(Models!$BJ110:$BT110,,AH110)*(1-AF110)+INDEX(Models!$BJ110:$BT110,,AH110+1)*AF110-ERP_i)*AE110*Ramure*Pc/MaxiM</f>
        <v>8.6133583082273358E-3</v>
      </c>
      <c r="AE110" s="305">
        <f t="shared" si="38"/>
        <v>0.8</v>
      </c>
      <c r="AF110" s="177">
        <f t="shared" si="39"/>
        <v>0.23811291676418311</v>
      </c>
      <c r="AG110" s="809">
        <f t="shared" si="47"/>
        <v>1</v>
      </c>
      <c r="AH110" s="176">
        <f t="shared" si="40"/>
        <v>7</v>
      </c>
      <c r="AI110" s="225">
        <f t="shared" si="41"/>
        <v>1.2381129167641831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44658</v>
      </c>
      <c r="B111" s="616">
        <v>32.561999999999998</v>
      </c>
      <c r="C111" s="839"/>
      <c r="D111" s="393">
        <f t="shared" si="24"/>
        <v>33.986964721580733</v>
      </c>
      <c r="E111" s="385">
        <f t="shared" si="45"/>
        <v>37.297587656973533</v>
      </c>
      <c r="F111" s="385">
        <f t="shared" si="25"/>
        <v>37.302208111785987</v>
      </c>
      <c r="G111" s="110">
        <f t="shared" si="46"/>
        <v>0.71485954023019416</v>
      </c>
      <c r="H111" s="414" t="b">
        <f>Wh_hp&gt;='2021'!Maxi_hp</f>
        <v>0</v>
      </c>
      <c r="I111" s="380">
        <f>IF(H111,Wh_hp,'2021'!Maxi_hp)</f>
        <v>53.441018311123912</v>
      </c>
      <c r="J111" s="85">
        <f>IF(H111,An,'2021'!An_max)</f>
        <v>2021</v>
      </c>
      <c r="K111" s="197">
        <f t="shared" si="26"/>
        <v>44658</v>
      </c>
      <c r="L111" s="147">
        <f>IF(t&lt;Tvie,1-EXP((T0-t)*PertePVj)+'2021'!Pspv,1-EXP((T0-t)*PertePVj)+Pspv)</f>
        <v>4.1926801444435099E-2</v>
      </c>
      <c r="M111" s="843"/>
      <c r="N111" s="843"/>
      <c r="O111" s="48">
        <f>IF(t&lt;Tnet,'2021'!Resal+('2021'!Salim-'2021'!Resal)*(1-EXP(('2021'!Tnet-t)/('2021'!Tau_j))),Resal+(Salim-Resal)*(1-EXP((Tnet-t)/(Tau_j))))*Salcycl</f>
        <v>8.8762387686856584E-2</v>
      </c>
      <c r="P111" s="339">
        <f>(INDEX(Models!$BJ111:$BT111,,T111)*(1-R111)+INDEX(Models!$BJ111:$BT111,,T111+1)*R111-ERP_i)*Q111*Ramure*Pc/MaxiM</f>
        <v>2.0896976220094758E-4</v>
      </c>
      <c r="Q111" s="305">
        <f t="shared" si="27"/>
        <v>0.8</v>
      </c>
      <c r="R111" s="177">
        <f t="shared" si="28"/>
        <v>3.8917705472418553E-2</v>
      </c>
      <c r="S111" s="809">
        <f t="shared" si="29"/>
        <v>0</v>
      </c>
      <c r="T111" s="176">
        <f t="shared" si="30"/>
        <v>6</v>
      </c>
      <c r="U111" s="251">
        <f t="shared" si="31"/>
        <v>3.8917705472418553E-2</v>
      </c>
      <c r="V111" s="383">
        <f t="shared" si="32"/>
        <v>45.546329954026497</v>
      </c>
      <c r="W111" s="402"/>
      <c r="X111" s="157">
        <f t="shared" si="33"/>
        <v>44658</v>
      </c>
      <c r="Y111" s="385">
        <f t="shared" si="34"/>
        <v>30.429632925692282</v>
      </c>
      <c r="Z111" s="385">
        <f t="shared" si="35"/>
        <v>31.761281884901269</v>
      </c>
      <c r="AA111" s="386">
        <f t="shared" si="36"/>
        <v>37.11852488076206</v>
      </c>
      <c r="AB111" s="197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0.14432801446367186</v>
      </c>
      <c r="AD111" s="231">
        <f>(INDEX(Models!$BJ111:$BT111,,AH111)*(1-AF111)+INDEX(Models!$BJ111:$BT111,,AH111+1)*AF111-ERP_i)*AE111*Ramure*Pc/MaxiM</f>
        <v>8.3074594743145058E-3</v>
      </c>
      <c r="AE111" s="305">
        <f t="shared" si="38"/>
        <v>0.8</v>
      </c>
      <c r="AF111" s="177">
        <f t="shared" si="39"/>
        <v>0.23963445263732197</v>
      </c>
      <c r="AG111" s="809">
        <f t="shared" si="47"/>
        <v>1</v>
      </c>
      <c r="AH111" s="176">
        <f t="shared" si="40"/>
        <v>7</v>
      </c>
      <c r="AI111" s="225">
        <f t="shared" si="41"/>
        <v>1.239634452637322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44659</v>
      </c>
      <c r="B112" s="616">
        <v>25.548000000000002</v>
      </c>
      <c r="C112" s="839"/>
      <c r="D112" s="393">
        <f t="shared" si="24"/>
        <v>26.666648735233483</v>
      </c>
      <c r="E112" s="385">
        <f t="shared" si="45"/>
        <v>29.269937205240577</v>
      </c>
      <c r="F112" s="385">
        <f t="shared" si="25"/>
        <v>29.272177676527743</v>
      </c>
      <c r="G112" s="110">
        <f t="shared" si="46"/>
        <v>0.55715717436321965</v>
      </c>
      <c r="H112" s="414" t="b">
        <f>Wh_hp&gt;='2021'!Maxi_hp</f>
        <v>0</v>
      </c>
      <c r="I112" s="380">
        <f>IF(H112,Wh_hp,'2021'!Maxi_hp)</f>
        <v>51.207037958344102</v>
      </c>
      <c r="J112" s="85">
        <f>IF(H112,An,'2021'!An_max)</f>
        <v>2021</v>
      </c>
      <c r="K112" s="197">
        <f t="shared" si="26"/>
        <v>44659</v>
      </c>
      <c r="L112" s="147">
        <f>IF(t&lt;Tvie,1-EXP((T0-t)*PertePVj)+'2021'!Pspv,1-EXP((T0-t)*PertePVj)+Pspv)</f>
        <v>4.1949355779208261E-2</v>
      </c>
      <c r="M112" s="843"/>
      <c r="N112" s="843"/>
      <c r="O112" s="48">
        <f>IF(t&lt;Tnet,'2021'!Resal+('2021'!Salim-'2021'!Resal)*(1-EXP(('2021'!Tnet-t)/('2021'!Tau_j))),Resal+(Salim-Resal)*(1-EXP((Tnet-t)/(Tau_j))))*Salcycl</f>
        <v>8.8940692006028388E-2</v>
      </c>
      <c r="P112" s="339">
        <f>(INDEX(Models!$BJ112:$BT112,,T112)*(1-R112)+INDEX(Models!$BJ112:$BT112,,T112+1)*R112-ERP_i)*Q112*Ramure*Pc/MaxiM</f>
        <v>2.0828585182278657E-4</v>
      </c>
      <c r="Q112" s="305">
        <f t="shared" si="27"/>
        <v>0.8</v>
      </c>
      <c r="R112" s="177">
        <f t="shared" si="28"/>
        <v>4.0494335465710851E-2</v>
      </c>
      <c r="S112" s="809">
        <f t="shared" si="29"/>
        <v>0</v>
      </c>
      <c r="T112" s="176">
        <f t="shared" si="30"/>
        <v>6</v>
      </c>
      <c r="U112" s="251">
        <f t="shared" si="31"/>
        <v>4.0494335465710851E-2</v>
      </c>
      <c r="V112" s="383">
        <f t="shared" si="32"/>
        <v>45.848164676397687</v>
      </c>
      <c r="W112" s="402"/>
      <c r="X112" s="157">
        <f t="shared" si="33"/>
        <v>44659</v>
      </c>
      <c r="Y112" s="385">
        <f t="shared" si="34"/>
        <v>23.923815591605319</v>
      </c>
      <c r="Z112" s="385">
        <f t="shared" si="35"/>
        <v>24.971347533577621</v>
      </c>
      <c r="AA112" s="386">
        <f t="shared" si="36"/>
        <v>29.1860879320955</v>
      </c>
      <c r="AB112" s="197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0.14440922703734446</v>
      </c>
      <c r="AD112" s="231">
        <f>(INDEX(Models!$BJ112:$BT112,,AH112)*(1-AF112)+INDEX(Models!$BJ112:$BT112,,AH112+1)*AF112-ERP_i)*AE112*Ramure*Pc/MaxiM</f>
        <v>8.0033499447095986E-3</v>
      </c>
      <c r="AE112" s="305">
        <f t="shared" si="38"/>
        <v>0.8</v>
      </c>
      <c r="AF112" s="177">
        <f t="shared" si="39"/>
        <v>0.24121108263061419</v>
      </c>
      <c r="AG112" s="809">
        <f t="shared" si="47"/>
        <v>1</v>
      </c>
      <c r="AH112" s="176">
        <f t="shared" si="40"/>
        <v>7</v>
      </c>
      <c r="AI112" s="225">
        <f t="shared" si="41"/>
        <v>1.2412110826306142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44660</v>
      </c>
      <c r="B113" s="616">
        <v>34.301000000000002</v>
      </c>
      <c r="C113" s="839"/>
      <c r="D113" s="393">
        <f t="shared" si="24"/>
        <v>35.803751834968182</v>
      </c>
      <c r="E113" s="385">
        <f t="shared" si="45"/>
        <v>39.306762502617502</v>
      </c>
      <c r="F113" s="385">
        <f t="shared" si="25"/>
        <v>39.311925982332177</v>
      </c>
      <c r="G113" s="110">
        <f t="shared" si="46"/>
        <v>0.74328904855940614</v>
      </c>
      <c r="H113" s="414" t="b">
        <f>Wh_hp&gt;='2021'!Maxi_hp</f>
        <v>0</v>
      </c>
      <c r="I113" s="380">
        <f>IF(H113,Wh_hp,'2021'!Maxi_hp)</f>
        <v>43.332487476984227</v>
      </c>
      <c r="J113" s="85">
        <f>IF(H113,An,'2021'!An_max)</f>
        <v>2020</v>
      </c>
      <c r="K113" s="197">
        <f t="shared" si="26"/>
        <v>44660</v>
      </c>
      <c r="L113" s="147">
        <f>IF(t&lt;Tvie,1-EXP((T0-t)*PertePVj)+'2021'!Pspv,1-EXP((T0-t)*PertePVj)+Pspv)</f>
        <v>4.1971909589109055E-2</v>
      </c>
      <c r="M113" s="843"/>
      <c r="N113" s="843"/>
      <c r="O113" s="48">
        <f>IF(t&lt;Tnet,'2021'!Resal+('2021'!Salim-'2021'!Resal)*(1-EXP(('2021'!Tnet-t)/('2021'!Tau_j))),Resal+(Salim-Resal)*(1-EXP((Tnet-t)/(Tau_j))))*Salcycl</f>
        <v>8.9119796305179008E-2</v>
      </c>
      <c r="P113" s="339">
        <f>(INDEX(Models!$BJ113:$BT113,,T113)*(1-R113)+INDEX(Models!$BJ113:$BT113,,T113+1)*R113-ERP_i)*Q113*Ramure*Pc/MaxiM</f>
        <v>2.0738331529495974E-4</v>
      </c>
      <c r="Q113" s="305">
        <f t="shared" si="27"/>
        <v>0.8</v>
      </c>
      <c r="R113" s="177">
        <f t="shared" si="28"/>
        <v>4.2127702250790093E-2</v>
      </c>
      <c r="S113" s="809">
        <f t="shared" si="29"/>
        <v>0</v>
      </c>
      <c r="T113" s="176">
        <f t="shared" si="30"/>
        <v>6</v>
      </c>
      <c r="U113" s="251">
        <f t="shared" si="31"/>
        <v>4.2127702250790093E-2</v>
      </c>
      <c r="V113" s="383">
        <f t="shared" si="32"/>
        <v>46.144082953218117</v>
      </c>
      <c r="W113" s="402"/>
      <c r="X113" s="157">
        <f t="shared" si="33"/>
        <v>44660</v>
      </c>
      <c r="Y113" s="385">
        <f t="shared" si="34"/>
        <v>32.062936227834655</v>
      </c>
      <c r="Z113" s="385">
        <f t="shared" si="35"/>
        <v>33.46763685612089</v>
      </c>
      <c r="AA113" s="386">
        <f t="shared" si="36"/>
        <v>39.120194172952232</v>
      </c>
      <c r="AB113" s="197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0.14449205675823384</v>
      </c>
      <c r="AD113" s="231">
        <f>(INDEX(Models!$BJ113:$BT113,,AH113)*(1-AF113)+INDEX(Models!$BJ113:$BT113,,AH113+1)*AF113-ERP_i)*AE113*Ramure*Pc/MaxiM</f>
        <v>7.7006167301685623E-3</v>
      </c>
      <c r="AE113" s="305">
        <f t="shared" si="38"/>
        <v>0.8</v>
      </c>
      <c r="AF113" s="177">
        <f t="shared" si="39"/>
        <v>0.24284444941569339</v>
      </c>
      <c r="AG113" s="809">
        <f t="shared" si="47"/>
        <v>1</v>
      </c>
      <c r="AH113" s="176">
        <f t="shared" si="40"/>
        <v>7</v>
      </c>
      <c r="AI113" s="225">
        <f t="shared" si="41"/>
        <v>1.2428444494156934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44661</v>
      </c>
      <c r="B114" s="616">
        <v>45.145000000000003</v>
      </c>
      <c r="C114" s="839"/>
      <c r="D114" s="393">
        <f t="shared" si="24"/>
        <v>47.123944748212281</v>
      </c>
      <c r="E114" s="385">
        <f t="shared" si="45"/>
        <v>51.744735722276261</v>
      </c>
      <c r="F114" s="385">
        <f t="shared" si="25"/>
        <v>51.75499087265306</v>
      </c>
      <c r="G114" s="110">
        <f t="shared" si="46"/>
        <v>0.97222844031078737</v>
      </c>
      <c r="H114" s="414" t="b">
        <f>Wh_hp&gt;='2021'!Maxi_hp</f>
        <v>0</v>
      </c>
      <c r="I114" s="380">
        <f>IF(H114,Wh_hp,'2021'!Maxi_hp)</f>
        <v>53.455243179157556</v>
      </c>
      <c r="J114" s="85">
        <f>IF(H114,An,'2021'!An_max)</f>
        <v>2020</v>
      </c>
      <c r="K114" s="197">
        <f t="shared" si="26"/>
        <v>44661</v>
      </c>
      <c r="L114" s="147">
        <f>IF(t&lt;Tvie,1-EXP((T0-t)*PertePVj)+'2021'!Pspv,1-EXP((T0-t)*PertePVj)+Pspv)</f>
        <v>4.1994462874149693E-2</v>
      </c>
      <c r="M114" s="843"/>
      <c r="N114" s="843"/>
      <c r="O114" s="48">
        <f>IF(t&lt;Tnet,'2021'!Resal+('2021'!Salim-'2021'!Resal)*(1-EXP(('2021'!Tnet-t)/('2021'!Tau_j))),Resal+(Salim-Resal)*(1-EXP((Tnet-t)/(Tau_j))))*Salcycl</f>
        <v>8.9299730872424099E-2</v>
      </c>
      <c r="P114" s="339">
        <f>(INDEX(Models!$BJ114:$BT114,,T114)*(1-R114)+INDEX(Models!$BJ114:$BT114,,T114+1)*R114-ERP_i)*Q114*Ramure*Pc/MaxiM</f>
        <v>2.0633163189588414E-4</v>
      </c>
      <c r="Q114" s="305">
        <f t="shared" si="27"/>
        <v>0.8</v>
      </c>
      <c r="R114" s="177">
        <f t="shared" si="28"/>
        <v>4.3819469578401125E-2</v>
      </c>
      <c r="S114" s="809">
        <f t="shared" si="29"/>
        <v>0</v>
      </c>
      <c r="T114" s="176">
        <f t="shared" si="30"/>
        <v>6</v>
      </c>
      <c r="U114" s="251">
        <f t="shared" si="31"/>
        <v>4.3819469578401125E-2</v>
      </c>
      <c r="V114" s="383">
        <f t="shared" si="32"/>
        <v>46.434180082635791</v>
      </c>
      <c r="W114" s="402"/>
      <c r="X114" s="157">
        <f t="shared" si="33"/>
        <v>44661</v>
      </c>
      <c r="Y114" s="385">
        <f t="shared" si="34"/>
        <v>42.111704352606417</v>
      </c>
      <c r="Z114" s="385">
        <f t="shared" si="35"/>
        <v>43.957683667411125</v>
      </c>
      <c r="AA114" s="386">
        <f t="shared" si="36"/>
        <v>51.387045097071628</v>
      </c>
      <c r="AB114" s="197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0.14457654483977872</v>
      </c>
      <c r="AD114" s="231">
        <f>(INDEX(Models!$BJ114:$BT114,,AH114)*(1-AF114)+INDEX(Models!$BJ114:$BT114,,AH114+1)*AF114-ERP_i)*AE114*Ramure*Pc/MaxiM</f>
        <v>7.4029974730265031E-3</v>
      </c>
      <c r="AE114" s="305">
        <f t="shared" si="38"/>
        <v>0.8</v>
      </c>
      <c r="AF114" s="177">
        <f t="shared" si="39"/>
        <v>0.2445362167433045</v>
      </c>
      <c r="AG114" s="809">
        <f t="shared" si="47"/>
        <v>1</v>
      </c>
      <c r="AH114" s="176">
        <f t="shared" si="40"/>
        <v>7</v>
      </c>
      <c r="AI114" s="225">
        <f t="shared" si="41"/>
        <v>1.2445362167433045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44662</v>
      </c>
      <c r="B115" s="616">
        <v>38.103000000000002</v>
      </c>
      <c r="C115" s="839"/>
      <c r="D115" s="393">
        <f t="shared" si="24"/>
        <v>39.77419288426136</v>
      </c>
      <c r="E115" s="385">
        <f t="shared" si="45"/>
        <v>43.682967773192381</v>
      </c>
      <c r="F115" s="385">
        <f t="shared" si="25"/>
        <v>43.689563705396033</v>
      </c>
      <c r="G115" s="110">
        <f t="shared" si="46"/>
        <v>0.8155418446044651</v>
      </c>
      <c r="H115" s="414" t="b">
        <f>Wh_hp&gt;='2021'!Maxi_hp</f>
        <v>0</v>
      </c>
      <c r="I115" s="380">
        <f>IF(H115,Wh_hp,'2021'!Maxi_hp)</f>
        <v>54.340445908416534</v>
      </c>
      <c r="J115" s="85">
        <f>IF(H115,An,'2021'!An_max)</f>
        <v>2020</v>
      </c>
      <c r="K115" s="197">
        <f t="shared" si="26"/>
        <v>44662</v>
      </c>
      <c r="L115" s="147">
        <f>IF(t&lt;Tvie,1-EXP((T0-t)*PertePVj)+'2021'!Pspv,1-EXP((T0-t)*PertePVj)+Pspv)</f>
        <v>4.20170156343425E-2</v>
      </c>
      <c r="M115" s="843"/>
      <c r="N115" s="843"/>
      <c r="O115" s="48">
        <f>IF(t&lt;Tnet,'2021'!Resal+('2021'!Salim-'2021'!Resal)*(1-EXP(('2021'!Tnet-t)/('2021'!Tau_j))),Resal+(Salim-Resal)*(1-EXP((Tnet-t)/(Tau_j))))*Salcycl</f>
        <v>8.9480524977741532E-2</v>
      </c>
      <c r="P115" s="339">
        <f>(INDEX(Models!$BJ115:$BT115,,T115)*(1-R115)+INDEX(Models!$BJ115:$BT115,,T115+1)*R115-ERP_i)*Q115*Ramure*Pc/MaxiM</f>
        <v>2.0497244875672952E-4</v>
      </c>
      <c r="Q115" s="305">
        <f t="shared" si="27"/>
        <v>0.8</v>
      </c>
      <c r="R115" s="177">
        <f t="shared" si="28"/>
        <v>4.5571320137477653E-2</v>
      </c>
      <c r="S115" s="809">
        <f t="shared" si="29"/>
        <v>0</v>
      </c>
      <c r="T115" s="176">
        <f t="shared" si="30"/>
        <v>6</v>
      </c>
      <c r="U115" s="251">
        <f t="shared" si="31"/>
        <v>4.5571320137477653E-2</v>
      </c>
      <c r="V115" s="383">
        <f t="shared" si="32"/>
        <v>46.718561885781121</v>
      </c>
      <c r="W115" s="402"/>
      <c r="X115" s="157">
        <f t="shared" si="33"/>
        <v>44662</v>
      </c>
      <c r="Y115" s="385">
        <f t="shared" si="34"/>
        <v>35.61168762747856</v>
      </c>
      <c r="Z115" s="385">
        <f t="shared" si="35"/>
        <v>37.173611858105559</v>
      </c>
      <c r="AA115" s="386">
        <f t="shared" si="36"/>
        <v>43.46076476541171</v>
      </c>
      <c r="AB115" s="197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0.14466273065470284</v>
      </c>
      <c r="AD115" s="231">
        <f>(INDEX(Models!$BJ115:$BT115,,AH115)*(1-AF115)+INDEX(Models!$BJ115:$BT115,,AH115+1)*AF115-ERP_i)*AE115*Ramure*Pc/MaxiM</f>
        <v>7.1100608001332544E-3</v>
      </c>
      <c r="AE115" s="305">
        <f t="shared" si="38"/>
        <v>0.8</v>
      </c>
      <c r="AF115" s="177">
        <f t="shared" si="39"/>
        <v>0.24628806730238106</v>
      </c>
      <c r="AG115" s="809">
        <f t="shared" si="47"/>
        <v>1</v>
      </c>
      <c r="AH115" s="176">
        <f t="shared" si="40"/>
        <v>7</v>
      </c>
      <c r="AI115" s="225">
        <f t="shared" si="41"/>
        <v>1.2462880673023811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44663</v>
      </c>
      <c r="B116" s="616">
        <v>31.782</v>
      </c>
      <c r="C116" s="839"/>
      <c r="D116" s="393">
        <f t="shared" si="24"/>
        <v>33.176735629177905</v>
      </c>
      <c r="E116" s="385">
        <f t="shared" si="45"/>
        <v>36.444423023248454</v>
      </c>
      <c r="F116" s="385">
        <f t="shared" si="25"/>
        <v>36.448405532249581</v>
      </c>
      <c r="G116" s="110">
        <f t="shared" si="46"/>
        <v>0.67618762514913022</v>
      </c>
      <c r="H116" s="414" t="b">
        <f>Wh_hp&gt;='2021'!Maxi_hp</f>
        <v>0</v>
      </c>
      <c r="I116" s="380">
        <f>IF(H116,Wh_hp,'2021'!Maxi_hp)</f>
        <v>55.077370568801221</v>
      </c>
      <c r="J116" s="85">
        <f>IF(H116,An,'2021'!An_max)</f>
        <v>2019</v>
      </c>
      <c r="K116" s="197">
        <f t="shared" si="26"/>
        <v>44663</v>
      </c>
      <c r="L116" s="147">
        <f>IF(t&lt;Tvie,1-EXP((T0-t)*PertePVj)+'2021'!Pspv,1-EXP((T0-t)*PertePVj)+Pspv)</f>
        <v>4.2039567869699576E-2</v>
      </c>
      <c r="M116" s="843"/>
      <c r="N116" s="843"/>
      <c r="O116" s="48">
        <f>IF(t&lt;Tnet,'2021'!Resal+('2021'!Salim-'2021'!Resal)*(1-EXP(('2021'!Tnet-t)/('2021'!Tau_j))),Resal+(Salim-Resal)*(1-EXP((Tnet-t)/(Tau_j))))*Salcycl</f>
        <v>8.9662206806952027E-2</v>
      </c>
      <c r="P116" s="339">
        <f>(INDEX(Models!$BJ116:$BT116,,T116)*(1-R116)+INDEX(Models!$BJ116:$BT116,,T116+1)*R116-ERP_i)*Q116*Ramure*Pc/MaxiM</f>
        <v>2.0328173773251831E-4</v>
      </c>
      <c r="Q116" s="305">
        <f t="shared" si="27"/>
        <v>0.8</v>
      </c>
      <c r="R116" s="177">
        <f t="shared" si="28"/>
        <v>4.7384953179831643E-2</v>
      </c>
      <c r="S116" s="809">
        <f t="shared" si="29"/>
        <v>0</v>
      </c>
      <c r="T116" s="176">
        <f t="shared" si="30"/>
        <v>6</v>
      </c>
      <c r="U116" s="251">
        <f t="shared" si="31"/>
        <v>4.7384953179831643E-2</v>
      </c>
      <c r="V116" s="383">
        <f t="shared" si="32"/>
        <v>46.997328003173052</v>
      </c>
      <c r="W116" s="402"/>
      <c r="X116" s="157">
        <f t="shared" si="33"/>
        <v>44663</v>
      </c>
      <c r="Y116" s="385">
        <f t="shared" si="34"/>
        <v>29.752507133639732</v>
      </c>
      <c r="Z116" s="385">
        <f t="shared" si="35"/>
        <v>31.058179582090336</v>
      </c>
      <c r="AA116" s="386">
        <f t="shared" si="36"/>
        <v>36.31476556135317</v>
      </c>
      <c r="AB116" s="197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0.14475065164283998</v>
      </c>
      <c r="AD116" s="231">
        <f>(INDEX(Models!$BJ116:$BT116,,AH116)*(1-AF116)+INDEX(Models!$BJ116:$BT116,,AH116+1)*AF116-ERP_i)*AE116*Ramure*Pc/MaxiM</f>
        <v>6.8214699594322491E-3</v>
      </c>
      <c r="AE116" s="305">
        <f t="shared" si="38"/>
        <v>0.8</v>
      </c>
      <c r="AF116" s="177">
        <f t="shared" si="39"/>
        <v>0.248101700344735</v>
      </c>
      <c r="AG116" s="809">
        <f t="shared" si="47"/>
        <v>1</v>
      </c>
      <c r="AH116" s="176">
        <f t="shared" si="40"/>
        <v>7</v>
      </c>
      <c r="AI116" s="225">
        <f t="shared" si="41"/>
        <v>1.248101700344735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44664</v>
      </c>
      <c r="B117" s="616">
        <v>6.8650000000000002</v>
      </c>
      <c r="C117" s="839"/>
      <c r="D117" s="393">
        <f t="shared" si="24"/>
        <v>7.1664354655144944</v>
      </c>
      <c r="E117" s="385">
        <f t="shared" si="45"/>
        <v>7.873860954970092</v>
      </c>
      <c r="F117" s="385">
        <f t="shared" si="25"/>
        <v>7.873860954970092</v>
      </c>
      <c r="G117" s="110">
        <f t="shared" si="46"/>
        <v>0.14519853152874795</v>
      </c>
      <c r="H117" s="414" t="b">
        <f>Wh_hp&gt;='2021'!Maxi_hp</f>
        <v>0</v>
      </c>
      <c r="I117" s="380">
        <f>IF(H117,Wh_hp,'2021'!Maxi_hp)</f>
        <v>54.846872874129055</v>
      </c>
      <c r="J117" s="85">
        <f>IF(H117,An,'2021'!An_max)</f>
        <v>2019</v>
      </c>
      <c r="K117" s="197">
        <f t="shared" si="26"/>
        <v>44664</v>
      </c>
      <c r="L117" s="147">
        <f>IF(t&lt;Tvie,1-EXP((T0-t)*PertePVj)+'2021'!Pspv,1-EXP((T0-t)*PertePVj)+Pspv)</f>
        <v>4.2062119580233134E-2</v>
      </c>
      <c r="M117" s="843"/>
      <c r="N117" s="843"/>
      <c r="O117" s="48">
        <f>IF(t&lt;Tnet,'2021'!Resal+('2021'!Salim-'2021'!Resal)*(1-EXP(('2021'!Tnet-t)/('2021'!Tau_j))),Resal+(Salim-Resal)*(1-EXP((Tnet-t)/(Tau_j))))*Salcycl</f>
        <v>8.9844803394586323E-2</v>
      </c>
      <c r="P117" s="339">
        <f>(INDEX(Models!$BJ117:$BT117,,T117)*(1-R117)+INDEX(Models!$BJ117:$BT117,,T117+1)*R117-ERP_i)*Q117*Ramure*Pc/MaxiM</f>
        <v>2.0123400289463126E-4</v>
      </c>
      <c r="Q117" s="305">
        <f t="shared" si="27"/>
        <v>0.8</v>
      </c>
      <c r="R117" s="177">
        <f t="shared" si="28"/>
        <v>4.92620818993375E-2</v>
      </c>
      <c r="S117" s="809">
        <f t="shared" si="29"/>
        <v>0</v>
      </c>
      <c r="T117" s="176">
        <f t="shared" si="30"/>
        <v>6</v>
      </c>
      <c r="U117" s="251">
        <f t="shared" si="31"/>
        <v>4.92620818993375E-2</v>
      </c>
      <c r="V117" s="383">
        <f t="shared" si="32"/>
        <v>47.270578127101757</v>
      </c>
      <c r="W117" s="402"/>
      <c r="X117" s="157">
        <f t="shared" si="33"/>
        <v>44664</v>
      </c>
      <c r="Y117" s="385">
        <f t="shared" si="34"/>
        <v>6.450186809574106</v>
      </c>
      <c r="Z117" s="385">
        <f t="shared" si="35"/>
        <v>6.7334082318027182</v>
      </c>
      <c r="AA117" s="386">
        <f t="shared" si="36"/>
        <v>7.873860954970092</v>
      </c>
      <c r="AB117" s="197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0.14484034321783443</v>
      </c>
      <c r="AD117" s="231">
        <f>(INDEX(Models!$BJ117:$BT117,,AH117)*(1-AF117)+INDEX(Models!$BJ117:$BT117,,AH117+1)*AF117-ERP_i)*AE117*Ramure*Pc/MaxiM</f>
        <v>6.536896524461008E-3</v>
      </c>
      <c r="AE117" s="305">
        <f t="shared" si="38"/>
        <v>0.8</v>
      </c>
      <c r="AF117" s="177">
        <f t="shared" si="39"/>
        <v>0.24997882906424085</v>
      </c>
      <c r="AG117" s="809">
        <f t="shared" si="47"/>
        <v>1</v>
      </c>
      <c r="AH117" s="176">
        <f t="shared" si="40"/>
        <v>7</v>
      </c>
      <c r="AI117" s="225">
        <f t="shared" si="41"/>
        <v>1.2499788290642408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44665</v>
      </c>
      <c r="B118" s="616">
        <v>35.179000000000002</v>
      </c>
      <c r="C118" s="839"/>
      <c r="D118" s="393">
        <f t="shared" si="24"/>
        <v>36.724540182616522</v>
      </c>
      <c r="E118" s="385">
        <f t="shared" si="45"/>
        <v>40.357894448079222</v>
      </c>
      <c r="F118" s="385">
        <f t="shared" si="25"/>
        <v>40.362938395764004</v>
      </c>
      <c r="G118" s="110">
        <f t="shared" si="46"/>
        <v>0.73995745029107285</v>
      </c>
      <c r="H118" s="414" t="b">
        <f>Wh_hp&gt;='2021'!Maxi_hp</f>
        <v>0</v>
      </c>
      <c r="I118" s="380">
        <f>IF(H118,Wh_hp,'2021'!Maxi_hp)</f>
        <v>54.86097401033841</v>
      </c>
      <c r="J118" s="85">
        <f>IF(H118,An,'2021'!An_max)</f>
        <v>2021</v>
      </c>
      <c r="K118" s="197">
        <f t="shared" si="26"/>
        <v>44665</v>
      </c>
      <c r="L118" s="147">
        <f>IF(t&lt;Tvie,1-EXP((T0-t)*PertePVj)+'2021'!Pspv,1-EXP((T0-t)*PertePVj)+Pspv)</f>
        <v>4.2084670765955609E-2</v>
      </c>
      <c r="M118" s="843"/>
      <c r="N118" s="843"/>
      <c r="O118" s="48">
        <f>IF(t&lt;Tnet,'2021'!Resal+('2021'!Salim-'2021'!Resal)*(1-EXP(('2021'!Tnet-t)/('2021'!Tau_j))),Resal+(Salim-Resal)*(1-EXP((Tnet-t)/(Tau_j))))*Salcycl</f>
        <v>9.0028340555205102E-2</v>
      </c>
      <c r="P118" s="339">
        <f>(INDEX(Models!$BJ118:$BT118,,T118)*(1-R118)+INDEX(Models!$BJ118:$BT118,,T118+1)*R118-ERP_i)*Q118*Ramure*Pc/MaxiM</f>
        <v>1.9880221610176483E-4</v>
      </c>
      <c r="Q118" s="305">
        <f t="shared" si="27"/>
        <v>0.8</v>
      </c>
      <c r="R118" s="177">
        <f t="shared" si="28"/>
        <v>5.1204430554813794E-2</v>
      </c>
      <c r="S118" s="809">
        <f t="shared" si="29"/>
        <v>0</v>
      </c>
      <c r="T118" s="176">
        <f t="shared" si="30"/>
        <v>6</v>
      </c>
      <c r="U118" s="251">
        <f t="shared" si="31"/>
        <v>5.1204430554813794E-2</v>
      </c>
      <c r="V118" s="383">
        <f t="shared" si="32"/>
        <v>47.538412020952812</v>
      </c>
      <c r="W118" s="402"/>
      <c r="X118" s="157">
        <f t="shared" si="33"/>
        <v>44665</v>
      </c>
      <c r="Y118" s="385">
        <f t="shared" si="34"/>
        <v>32.930583032981133</v>
      </c>
      <c r="Z118" s="385">
        <f t="shared" si="35"/>
        <v>34.37734215957547</v>
      </c>
      <c r="AA118" s="386">
        <f t="shared" si="36"/>
        <v>40.204212616436465</v>
      </c>
      <c r="AB118" s="197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0.14493183867202089</v>
      </c>
      <c r="AD118" s="231">
        <f>(INDEX(Models!$BJ118:$BT118,,AH118)*(1-AF118)+INDEX(Models!$BJ118:$BT118,,AH118+1)*AF118-ERP_i)*AE118*Ramure*Pc/MaxiM</f>
        <v>6.2560198191573555E-3</v>
      </c>
      <c r="AE118" s="305">
        <f t="shared" si="38"/>
        <v>0.8</v>
      </c>
      <c r="AF118" s="177">
        <f t="shared" si="39"/>
        <v>0.25192117771971723</v>
      </c>
      <c r="AG118" s="809">
        <f t="shared" si="47"/>
        <v>1</v>
      </c>
      <c r="AH118" s="176">
        <f t="shared" si="40"/>
        <v>7</v>
      </c>
      <c r="AI118" s="225">
        <f t="shared" si="41"/>
        <v>1.2519211777197172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44666</v>
      </c>
      <c r="B119" s="616">
        <v>41.173000000000002</v>
      </c>
      <c r="C119" s="839"/>
      <c r="D119" s="393">
        <f t="shared" si="24"/>
        <v>42.982890069733457</v>
      </c>
      <c r="E119" s="385">
        <f t="shared" si="45"/>
        <v>47.244995414776668</v>
      </c>
      <c r="F119" s="385">
        <f t="shared" si="25"/>
        <v>47.252420763400693</v>
      </c>
      <c r="G119" s="110">
        <f t="shared" si="46"/>
        <v>0.86130964423587819</v>
      </c>
      <c r="H119" s="414" t="b">
        <f>Wh_hp&gt;='2021'!Maxi_hp</f>
        <v>0</v>
      </c>
      <c r="I119" s="380">
        <f>IF(H119,Wh_hp,'2021'!Maxi_hp)</f>
        <v>55.982036059106356</v>
      </c>
      <c r="J119" s="85">
        <f>IF(H119,An,'2021'!An_max)</f>
        <v>2021</v>
      </c>
      <c r="K119" s="197">
        <f t="shared" si="26"/>
        <v>44666</v>
      </c>
      <c r="L119" s="147">
        <f>IF(t&lt;Tvie,1-EXP((T0-t)*PertePVj)+'2021'!Pspv,1-EXP((T0-t)*PertePVj)+Pspv)</f>
        <v>4.210722142687888E-2</v>
      </c>
      <c r="M119" s="843"/>
      <c r="N119" s="843"/>
      <c r="O119" s="48">
        <f>IF(t&lt;Tnet,'2021'!Resal+('2021'!Salim-'2021'!Resal)*(1-EXP(('2021'!Tnet-t)/('2021'!Tau_j))),Resal+(Salim-Resal)*(1-EXP((Tnet-t)/(Tau_j))))*Salcycl</f>
        <v>9.0212842812768368E-2</v>
      </c>
      <c r="P119" s="339">
        <f>(INDEX(Models!$BJ119:$BT119,,T119)*(1-R119)+INDEX(Models!$BJ119:$BT119,,T119+1)*R119-ERP_i)*Q119*Ramure*Pc/MaxiM</f>
        <v>1.959577529567313E-4</v>
      </c>
      <c r="Q119" s="305">
        <f t="shared" si="27"/>
        <v>0.8</v>
      </c>
      <c r="R119" s="177">
        <f t="shared" si="28"/>
        <v>5.3213731326251595E-2</v>
      </c>
      <c r="S119" s="809">
        <f t="shared" si="29"/>
        <v>0</v>
      </c>
      <c r="T119" s="176">
        <f t="shared" si="30"/>
        <v>6</v>
      </c>
      <c r="U119" s="251">
        <f t="shared" si="31"/>
        <v>5.3213731326251595E-2</v>
      </c>
      <c r="V119" s="383">
        <f t="shared" si="32"/>
        <v>47.800929515831584</v>
      </c>
      <c r="W119" s="402"/>
      <c r="X119" s="157">
        <f t="shared" si="33"/>
        <v>44666</v>
      </c>
      <c r="Y119" s="385">
        <f t="shared" si="34"/>
        <v>38.512982287998071</v>
      </c>
      <c r="Z119" s="385">
        <f t="shared" si="35"/>
        <v>40.205942825215864</v>
      </c>
      <c r="AA119" s="386">
        <f t="shared" si="36"/>
        <v>47.025878857624306</v>
      </c>
      <c r="AB119" s="197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0.14502516907884908</v>
      </c>
      <c r="AD119" s="231">
        <f>(INDEX(Models!$BJ119:$BT119,,AH119)*(1-AF119)+INDEX(Models!$BJ119:$BT119,,AH119+1)*AF119-ERP_i)*AE119*Ramure*Pc/MaxiM</f>
        <v>5.9785264038443378E-3</v>
      </c>
      <c r="AE119" s="305">
        <f t="shared" si="38"/>
        <v>0.8</v>
      </c>
      <c r="AF119" s="177">
        <f t="shared" si="39"/>
        <v>0.25393047849115491</v>
      </c>
      <c r="AG119" s="809">
        <f t="shared" si="47"/>
        <v>1</v>
      </c>
      <c r="AH119" s="176">
        <f t="shared" si="40"/>
        <v>7</v>
      </c>
      <c r="AI119" s="225">
        <f t="shared" si="41"/>
        <v>1.2539304784911549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44667</v>
      </c>
      <c r="B120" s="616">
        <v>42.942</v>
      </c>
      <c r="C120" s="839"/>
      <c r="D120" s="393">
        <f t="shared" si="24"/>
        <v>44.830707464487219</v>
      </c>
      <c r="E120" s="385">
        <f t="shared" si="45"/>
        <v>49.286087643722432</v>
      </c>
      <c r="F120" s="385">
        <f t="shared" si="25"/>
        <v>49.294140738939028</v>
      </c>
      <c r="G120" s="110">
        <f t="shared" si="46"/>
        <v>0.89351482611273925</v>
      </c>
      <c r="H120" s="414" t="b">
        <f>Wh_hp&gt;='2021'!Maxi_hp</f>
        <v>1</v>
      </c>
      <c r="I120" s="380">
        <f>IF(H120,Wh_hp,'2021'!Maxi_hp)</f>
        <v>49.294140738939028</v>
      </c>
      <c r="J120" s="85">
        <f>IF(H120,An,'2021'!An_max)</f>
        <v>2022</v>
      </c>
      <c r="K120" s="197">
        <f t="shared" si="26"/>
        <v>44667</v>
      </c>
      <c r="L120" s="147">
        <f>IF(t&lt;Tvie,1-EXP((T0-t)*PertePVj)+'2021'!Pspv,1-EXP((T0-t)*PertePVj)+Pspv)</f>
        <v>4.2129771563015492E-2</v>
      </c>
      <c r="M120" s="843"/>
      <c r="N120" s="843"/>
      <c r="O120" s="48">
        <f>IF(t&lt;Tnet,'2021'!Resal+('2021'!Salim-'2021'!Resal)*(1-EXP(('2021'!Tnet-t)/('2021'!Tau_j))),Resal+(Salim-Resal)*(1-EXP((Tnet-t)/(Tau_j))))*Salcycl</f>
        <v>9.0398333327695091E-2</v>
      </c>
      <c r="P120" s="339">
        <f>(INDEX(Models!$BJ120:$BT120,,T120)*(1-R120)+INDEX(Models!$BJ120:$BT120,,T120+1)*R120-ERP_i)*Q120*Ramure*Pc/MaxiM</f>
        <v>1.9267032934766991E-4</v>
      </c>
      <c r="Q120" s="305">
        <f t="shared" si="27"/>
        <v>0.8</v>
      </c>
      <c r="R120" s="177">
        <f t="shared" si="28"/>
        <v>5.5291720894622469E-2</v>
      </c>
      <c r="S120" s="809">
        <f t="shared" si="29"/>
        <v>0</v>
      </c>
      <c r="T120" s="176">
        <f t="shared" si="30"/>
        <v>6</v>
      </c>
      <c r="U120" s="251">
        <f t="shared" si="31"/>
        <v>5.5291720894622469E-2</v>
      </c>
      <c r="V120" s="383">
        <f t="shared" si="32"/>
        <v>48.058230538075257</v>
      </c>
      <c r="W120" s="402"/>
      <c r="X120" s="157">
        <f t="shared" si="33"/>
        <v>44667</v>
      </c>
      <c r="Y120" s="385">
        <f t="shared" si="34"/>
        <v>40.16995465913913</v>
      </c>
      <c r="Z120" s="385">
        <f t="shared" si="35"/>
        <v>41.936739932597028</v>
      </c>
      <c r="AA120" s="386">
        <f t="shared" si="36"/>
        <v>49.055724486779482</v>
      </c>
      <c r="AB120" s="197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0.14512036319229205</v>
      </c>
      <c r="AD120" s="231">
        <f>(INDEX(Models!$BJ120:$BT120,,AH120)*(1-AF120)+INDEX(Models!$BJ120:$BT120,,AH120+1)*AF120-ERP_i)*AE120*Ramure*Pc/MaxiM</f>
        <v>5.7041096112664608E-3</v>
      </c>
      <c r="AE120" s="305">
        <f t="shared" si="38"/>
        <v>0.8</v>
      </c>
      <c r="AF120" s="177">
        <f t="shared" si="39"/>
        <v>0.25600846805952582</v>
      </c>
      <c r="AG120" s="809">
        <f t="shared" si="47"/>
        <v>1</v>
      </c>
      <c r="AH120" s="176">
        <f t="shared" si="40"/>
        <v>7</v>
      </c>
      <c r="AI120" s="225">
        <f t="shared" si="41"/>
        <v>1.2560084680595258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44668</v>
      </c>
      <c r="B121" s="616">
        <v>46.752000000000002</v>
      </c>
      <c r="C121" s="839"/>
      <c r="D121" s="393">
        <f t="shared" si="24"/>
        <v>48.809430803570656</v>
      </c>
      <c r="E121" s="385">
        <f t="shared" si="45"/>
        <v>53.671230279416584</v>
      </c>
      <c r="F121" s="385">
        <f t="shared" si="25"/>
        <v>53.680903826965675</v>
      </c>
      <c r="G121" s="110">
        <f t="shared" si="46"/>
        <v>0.96773805359950493</v>
      </c>
      <c r="H121" s="414" t="b">
        <f>Wh_hp&gt;='2021'!Maxi_hp</f>
        <v>1</v>
      </c>
      <c r="I121" s="380">
        <f>IF(H121,Wh_hp,'2021'!Maxi_hp)</f>
        <v>53.680903826965675</v>
      </c>
      <c r="J121" s="85">
        <f>IF(H121,An,'2021'!An_max)</f>
        <v>2022</v>
      </c>
      <c r="K121" s="197">
        <f t="shared" si="26"/>
        <v>44668</v>
      </c>
      <c r="L121" s="147">
        <f>IF(t&lt;Tvie,1-EXP((T0-t)*PertePVj)+'2021'!Pspv,1-EXP((T0-t)*PertePVj)+Pspv)</f>
        <v>4.2152321174377325E-2</v>
      </c>
      <c r="M121" s="843"/>
      <c r="N121" s="843"/>
      <c r="O121" s="48">
        <f>IF(t&lt;Tnet,'2021'!Resal+('2021'!Salim-'2021'!Resal)*(1-EXP(('2021'!Tnet-t)/('2021'!Tau_j))),Resal+(Salim-Resal)*(1-EXP((Tnet-t)/(Tau_j))))*Salcycl</f>
        <v>9.0584833821304681E-2</v>
      </c>
      <c r="P121" s="339">
        <f>(INDEX(Models!$BJ121:$BT121,,T121)*(1-R121)+INDEX(Models!$BJ121:$BT121,,T121+1)*R121-ERP_i)*Q121*Ramure*Pc/MaxiM</f>
        <v>1.8890888506715151E-4</v>
      </c>
      <c r="Q121" s="305">
        <f t="shared" si="27"/>
        <v>0.8</v>
      </c>
      <c r="R121" s="177">
        <f t="shared" si="28"/>
        <v>5.7440136736234611E-2</v>
      </c>
      <c r="S121" s="809">
        <f t="shared" si="29"/>
        <v>0</v>
      </c>
      <c r="T121" s="176">
        <f t="shared" si="30"/>
        <v>6</v>
      </c>
      <c r="U121" s="251">
        <f t="shared" si="31"/>
        <v>5.7440136736234611E-2</v>
      </c>
      <c r="V121" s="383">
        <f t="shared" si="32"/>
        <v>48.310173203944707</v>
      </c>
      <c r="W121" s="402"/>
      <c r="X121" s="157">
        <f t="shared" si="33"/>
        <v>44668</v>
      </c>
      <c r="Y121" s="385">
        <f t="shared" si="34"/>
        <v>43.723555749205971</v>
      </c>
      <c r="Z121" s="385">
        <f t="shared" si="35"/>
        <v>45.647712800028508</v>
      </c>
      <c r="AA121" s="386">
        <f t="shared" si="36"/>
        <v>53.402719391177442</v>
      </c>
      <c r="AB121" s="197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0.1452174473427682</v>
      </c>
      <c r="AD121" s="231">
        <f>(INDEX(Models!$BJ121:$BT121,,AH121)*(1-AF121)+INDEX(Models!$BJ121:$BT121,,AH121+1)*AF121-ERP_i)*AE121*Ramure*Pc/MaxiM</f>
        <v>5.4324963350927142E-3</v>
      </c>
      <c r="AE121" s="305">
        <f t="shared" si="38"/>
        <v>0.8</v>
      </c>
      <c r="AF121" s="177">
        <f t="shared" si="39"/>
        <v>0.25815688390113811</v>
      </c>
      <c r="AG121" s="809">
        <f t="shared" si="47"/>
        <v>1</v>
      </c>
      <c r="AH121" s="176">
        <f t="shared" si="40"/>
        <v>7</v>
      </c>
      <c r="AI121" s="225">
        <f t="shared" si="41"/>
        <v>1.2581568839011381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44669</v>
      </c>
      <c r="B122" s="616">
        <v>36.557000000000002</v>
      </c>
      <c r="C122" s="839"/>
      <c r="D122" s="393">
        <f t="shared" si="24"/>
        <v>38.166674547326416</v>
      </c>
      <c r="E122" s="385">
        <f t="shared" si="45"/>
        <v>41.977028696700906</v>
      </c>
      <c r="F122" s="385">
        <f t="shared" si="25"/>
        <v>41.982059519389949</v>
      </c>
      <c r="G122" s="110">
        <f t="shared" si="46"/>
        <v>0.75282591987574488</v>
      </c>
      <c r="H122" s="414" t="b">
        <f>Wh_hp&gt;='2021'!Maxi_hp</f>
        <v>1</v>
      </c>
      <c r="I122" s="380">
        <f>IF(H122,Wh_hp,'2021'!Maxi_hp)</f>
        <v>41.982059519389949</v>
      </c>
      <c r="J122" s="85">
        <f>IF(H122,An,'2021'!An_max)</f>
        <v>2022</v>
      </c>
      <c r="K122" s="197">
        <f t="shared" si="26"/>
        <v>44669</v>
      </c>
      <c r="L122" s="147">
        <f>IF(t&lt;Tvie,1-EXP((T0-t)*PertePVj)+'2021'!Pspv,1-EXP((T0-t)*PertePVj)+Pspv)</f>
        <v>4.2174870260976813E-2</v>
      </c>
      <c r="M122" s="843"/>
      <c r="N122" s="843"/>
      <c r="O122" s="48">
        <f>IF(t&lt;Tnet,'2021'!Resal+('2021'!Salim-'2021'!Resal)*(1-EXP(('2021'!Tnet-t)/('2021'!Tau_j))),Resal+(Salim-Resal)*(1-EXP((Tnet-t)/(Tau_j))))*Salcycl</f>
        <v>9.0772364497393662E-2</v>
      </c>
      <c r="P122" s="339">
        <f>(INDEX(Models!$BJ122:$BT122,,T122)*(1-R122)+INDEX(Models!$BJ122:$BT122,,T122+1)*R122-ERP_i)*Q122*Ramure*Pc/MaxiM</f>
        <v>1.8522295724585972E-4</v>
      </c>
      <c r="Q122" s="305">
        <f t="shared" si="27"/>
        <v>0.8</v>
      </c>
      <c r="R122" s="177">
        <f t="shared" si="28"/>
        <v>5.9660713123502108E-2</v>
      </c>
      <c r="S122" s="809">
        <f t="shared" si="29"/>
        <v>0</v>
      </c>
      <c r="T122" s="176">
        <f t="shared" si="30"/>
        <v>6</v>
      </c>
      <c r="U122" s="251">
        <f t="shared" si="31"/>
        <v>5.9660713123502108E-2</v>
      </c>
      <c r="V122" s="383">
        <f t="shared" si="32"/>
        <v>48.556523196177871</v>
      </c>
      <c r="W122" s="402"/>
      <c r="X122" s="157">
        <f t="shared" si="33"/>
        <v>44669</v>
      </c>
      <c r="Y122" s="385">
        <f t="shared" si="34"/>
        <v>34.253026416195958</v>
      </c>
      <c r="Z122" s="385">
        <f t="shared" si="35"/>
        <v>35.76125260518986</v>
      </c>
      <c r="AA122" s="386">
        <f t="shared" si="36"/>
        <v>41.841512463597603</v>
      </c>
      <c r="AB122" s="197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0.14531644532920779</v>
      </c>
      <c r="AD122" s="231">
        <f>(INDEX(Models!$BJ122:$BT122,,AH122)*(1-AF122)+INDEX(Models!$BJ122:$BT122,,AH122+1)*AF122-ERP_i)*AE122*Ramure*Pc/MaxiM</f>
        <v>5.1746091872297197E-3</v>
      </c>
      <c r="AE122" s="305">
        <f t="shared" si="38"/>
        <v>0.8</v>
      </c>
      <c r="AF122" s="177">
        <f t="shared" si="39"/>
        <v>0.26037746028840547</v>
      </c>
      <c r="AG122" s="809">
        <f t="shared" si="47"/>
        <v>1</v>
      </c>
      <c r="AH122" s="176">
        <f t="shared" si="40"/>
        <v>7</v>
      </c>
      <c r="AI122" s="225">
        <f t="shared" si="41"/>
        <v>1.2603774602884055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44670</v>
      </c>
      <c r="B123" s="616">
        <v>8.3979999999999997</v>
      </c>
      <c r="C123" s="839"/>
      <c r="D123" s="393">
        <f t="shared" si="24"/>
        <v>8.7679863941048843</v>
      </c>
      <c r="E123" s="385">
        <f t="shared" si="45"/>
        <v>9.6453351875857081</v>
      </c>
      <c r="F123" s="385">
        <f t="shared" si="25"/>
        <v>9.6453351875857081</v>
      </c>
      <c r="G123" s="110">
        <f t="shared" si="46"/>
        <v>0.17206849289704945</v>
      </c>
      <c r="H123" s="414" t="b">
        <f>Wh_hp&gt;='2021'!Maxi_hp</f>
        <v>0</v>
      </c>
      <c r="I123" s="380">
        <f>IF(H123,Wh_hp,'2021'!Maxi_hp)</f>
        <v>56.249835170849416</v>
      </c>
      <c r="J123" s="85">
        <f>IF(H123,An,'2021'!An_max)</f>
        <v>2021</v>
      </c>
      <c r="K123" s="197">
        <f t="shared" si="26"/>
        <v>44670</v>
      </c>
      <c r="L123" s="147">
        <f>IF(t&lt;Tvie,1-EXP((T0-t)*PertePVj)+'2021'!Pspv,1-EXP((T0-t)*PertePVj)+Pspv)</f>
        <v>4.2197418822826169E-2</v>
      </c>
      <c r="M123" s="843"/>
      <c r="N123" s="843"/>
      <c r="O123" s="48">
        <f>IF(t&lt;Tnet,'2021'!Resal+('2021'!Salim-'2021'!Resal)*(1-EXP(('2021'!Tnet-t)/('2021'!Tau_j))),Resal+(Salim-Resal)*(1-EXP((Tnet-t)/(Tau_j))))*Salcycl</f>
        <v>9.096094396076973E-2</v>
      </c>
      <c r="P123" s="339">
        <f>(INDEX(Models!$BJ123:$BT123,,T123)*(1-R123)+INDEX(Models!$BJ123:$BT123,,T123+1)*R123-ERP_i)*Q123*Ramure*Pc/MaxiM</f>
        <v>1.8173764647752861E-4</v>
      </c>
      <c r="Q123" s="305">
        <f t="shared" si="27"/>
        <v>0.8</v>
      </c>
      <c r="R123" s="177">
        <f t="shared" si="28"/>
        <v>6.1955176825066335E-2</v>
      </c>
      <c r="S123" s="809">
        <f t="shared" si="29"/>
        <v>0</v>
      </c>
      <c r="T123" s="176">
        <f t="shared" si="30"/>
        <v>6</v>
      </c>
      <c r="U123" s="251">
        <f t="shared" si="31"/>
        <v>6.1955176825066335E-2</v>
      </c>
      <c r="V123" s="383">
        <f t="shared" si="32"/>
        <v>48.797276165303472</v>
      </c>
      <c r="W123" s="402"/>
      <c r="X123" s="157">
        <f t="shared" si="33"/>
        <v>44670</v>
      </c>
      <c r="Y123" s="385">
        <f t="shared" si="34"/>
        <v>7.8949136555778541</v>
      </c>
      <c r="Z123" s="385">
        <f t="shared" si="35"/>
        <v>8.2427358317146329</v>
      </c>
      <c r="AA123" s="386">
        <f t="shared" si="36"/>
        <v>9.6453351875857081</v>
      </c>
      <c r="AB123" s="197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0.1454173783070109</v>
      </c>
      <c r="AD123" s="231">
        <f>(INDEX(Models!$BJ123:$BT123,,AH123)*(1-AF123)+INDEX(Models!$BJ123:$BT123,,AH123+1)*AF123-ERP_i)*AE123*Ramure*Pc/MaxiM</f>
        <v>4.9332424363898461E-3</v>
      </c>
      <c r="AE123" s="305">
        <f t="shared" si="38"/>
        <v>0.8</v>
      </c>
      <c r="AF123" s="177">
        <f t="shared" si="39"/>
        <v>0.26267192398996975</v>
      </c>
      <c r="AG123" s="809">
        <f t="shared" si="47"/>
        <v>1</v>
      </c>
      <c r="AH123" s="176">
        <f t="shared" si="40"/>
        <v>7</v>
      </c>
      <c r="AI123" s="225">
        <f t="shared" si="41"/>
        <v>1.2626719239899697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44671</v>
      </c>
      <c r="B124" s="616">
        <v>9.7720000000000002</v>
      </c>
      <c r="C124" s="839"/>
      <c r="D124" s="393">
        <f t="shared" si="24"/>
        <v>10.20276019741474</v>
      </c>
      <c r="E124" s="385">
        <f t="shared" si="45"/>
        <v>11.226018387004036</v>
      </c>
      <c r="F124" s="385">
        <f t="shared" si="25"/>
        <v>11.226018387004036</v>
      </c>
      <c r="G124" s="110">
        <f t="shared" si="46"/>
        <v>0.19926108869662787</v>
      </c>
      <c r="H124" s="414" t="b">
        <f>Wh_hp&gt;='2021'!Maxi_hp</f>
        <v>0</v>
      </c>
      <c r="I124" s="380">
        <f>IF(H124,Wh_hp,'2021'!Maxi_hp)</f>
        <v>47.97247568092412</v>
      </c>
      <c r="J124" s="85">
        <f>IF(H124,An,'2021'!An_max)</f>
        <v>2019</v>
      </c>
      <c r="K124" s="197">
        <f t="shared" si="26"/>
        <v>44671</v>
      </c>
      <c r="L124" s="147">
        <f>IF(t&lt;Tvie,1-EXP((T0-t)*PertePVj)+'2021'!Pspv,1-EXP((T0-t)*PertePVj)+Pspv)</f>
        <v>4.2219966859937494E-2</v>
      </c>
      <c r="M124" s="843"/>
      <c r="N124" s="843"/>
      <c r="O124" s="48">
        <f>IF(t&lt;Tnet,'2021'!Resal+('2021'!Salim-'2021'!Resal)*(1-EXP(('2021'!Tnet-t)/('2021'!Tau_j))),Resal+(Salim-Resal)*(1-EXP((Tnet-t)/(Tau_j))))*Salcycl</f>
        <v>9.1150589132642582E-2</v>
      </c>
      <c r="P124" s="339">
        <f>(INDEX(Models!$BJ124:$BT124,,T124)*(1-R124)+INDEX(Models!$BJ124:$BT124,,T124+1)*R124-ERP_i)*Q124*Ramure*Pc/MaxiM</f>
        <v>1.7849672574458186E-4</v>
      </c>
      <c r="Q124" s="305">
        <f t="shared" si="27"/>
        <v>0.8</v>
      </c>
      <c r="R124" s="177">
        <f t="shared" si="28"/>
        <v>6.4325242499469387E-2</v>
      </c>
      <c r="S124" s="809">
        <f t="shared" si="29"/>
        <v>0</v>
      </c>
      <c r="T124" s="176">
        <f t="shared" si="30"/>
        <v>6</v>
      </c>
      <c r="U124" s="251">
        <f t="shared" si="31"/>
        <v>6.4325242499469387E-2</v>
      </c>
      <c r="V124" s="383">
        <f t="shared" si="32"/>
        <v>49.032431740203421</v>
      </c>
      <c r="W124" s="402"/>
      <c r="X124" s="157">
        <f t="shared" si="33"/>
        <v>44671</v>
      </c>
      <c r="Y124" s="385">
        <f t="shared" si="34"/>
        <v>9.1874141896166428</v>
      </c>
      <c r="Z124" s="385">
        <f t="shared" si="35"/>
        <v>9.592405220117076</v>
      </c>
      <c r="AA124" s="386">
        <f t="shared" si="36"/>
        <v>11.226018387004036</v>
      </c>
      <c r="AB124" s="197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0.14552026467176787</v>
      </c>
      <c r="AD124" s="231">
        <f>(INDEX(Models!$BJ124:$BT124,,AH124)*(1-AF124)+INDEX(Models!$BJ124:$BT124,,AH124+1)*AF124-ERP_i)*AE124*Ramure*Pc/MaxiM</f>
        <v>4.7081702223301667E-3</v>
      </c>
      <c r="AE124" s="305">
        <f t="shared" si="38"/>
        <v>0.8</v>
      </c>
      <c r="AF124" s="177">
        <f t="shared" si="39"/>
        <v>0.26504198966437276</v>
      </c>
      <c r="AG124" s="809">
        <f t="shared" si="47"/>
        <v>1</v>
      </c>
      <c r="AH124" s="176">
        <f t="shared" si="40"/>
        <v>7</v>
      </c>
      <c r="AI124" s="225">
        <f t="shared" si="41"/>
        <v>1.2650419896643728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44672</v>
      </c>
      <c r="B125" s="616">
        <v>9.2070000000000007</v>
      </c>
      <c r="C125" s="839"/>
      <c r="D125" s="393">
        <f t="shared" si="24"/>
        <v>9.6130806996158231</v>
      </c>
      <c r="E125" s="385">
        <f t="shared" si="45"/>
        <v>10.579418719074605</v>
      </c>
      <c r="F125" s="385">
        <f t="shared" si="25"/>
        <v>10.579418719074605</v>
      </c>
      <c r="G125" s="110">
        <f t="shared" si="46"/>
        <v>0.18686585408743486</v>
      </c>
      <c r="H125" s="414" t="b">
        <f>Wh_hp&gt;='2021'!Maxi_hp</f>
        <v>0</v>
      </c>
      <c r="I125" s="380">
        <f>IF(H125,Wh_hp,'2021'!Maxi_hp)</f>
        <v>54.505282357520926</v>
      </c>
      <c r="J125" s="85">
        <f>IF(H125,An,'2021'!An_max)</f>
        <v>2021</v>
      </c>
      <c r="K125" s="197">
        <f t="shared" si="26"/>
        <v>44672</v>
      </c>
      <c r="L125" s="147">
        <f>IF(t&lt;Tvie,1-EXP((T0-t)*PertePVj)+'2021'!Pspv,1-EXP((T0-t)*PertePVj)+Pspv)</f>
        <v>4.2242514372323112E-2</v>
      </c>
      <c r="M125" s="843"/>
      <c r="N125" s="843"/>
      <c r="O125" s="48">
        <f>IF(t&lt;Tnet,'2021'!Resal+('2021'!Salim-'2021'!Resal)*(1-EXP(('2021'!Tnet-t)/('2021'!Tau_j))),Resal+(Salim-Resal)*(1-EXP((Tnet-t)/(Tau_j))))*Salcycl</f>
        <v>9.1341315162853168E-2</v>
      </c>
      <c r="P125" s="339">
        <f>(INDEX(Models!$BJ125:$BT125,,T125)*(1-R125)+INDEX(Models!$BJ125:$BT125,,T125+1)*R125-ERP_i)*Q125*Ramure*Pc/MaxiM</f>
        <v>1.7554878966387314E-4</v>
      </c>
      <c r="Q125" s="305">
        <f t="shared" si="27"/>
        <v>0.8</v>
      </c>
      <c r="R125" s="177">
        <f t="shared" si="28"/>
        <v>6.6772607778037077E-2</v>
      </c>
      <c r="S125" s="809">
        <f t="shared" si="29"/>
        <v>0</v>
      </c>
      <c r="T125" s="176">
        <f t="shared" si="30"/>
        <v>6</v>
      </c>
      <c r="U125" s="251">
        <f t="shared" si="31"/>
        <v>6.6772607778037077E-2</v>
      </c>
      <c r="V125" s="383">
        <f t="shared" si="32"/>
        <v>49.261989394736339</v>
      </c>
      <c r="W125" s="402"/>
      <c r="X125" s="157">
        <f t="shared" si="33"/>
        <v>44672</v>
      </c>
      <c r="Y125" s="385">
        <f t="shared" si="34"/>
        <v>8.6569683996733868</v>
      </c>
      <c r="Z125" s="385">
        <f t="shared" si="35"/>
        <v>9.0387895992271439</v>
      </c>
      <c r="AA125" s="386">
        <f t="shared" si="36"/>
        <v>10.579418719074605</v>
      </c>
      <c r="AB125" s="197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0.14562511993874672</v>
      </c>
      <c r="AD125" s="231">
        <f>(INDEX(Models!$BJ125:$BT125,,AH125)*(1-AF125)+INDEX(Models!$BJ125:$BT125,,AH125+1)*AF125-ERP_i)*AE125*Ramure*Pc/MaxiM</f>
        <v>4.4992115299044731E-3</v>
      </c>
      <c r="AE125" s="305">
        <f t="shared" si="38"/>
        <v>0.8</v>
      </c>
      <c r="AF125" s="177">
        <f t="shared" si="39"/>
        <v>0.26748935494294046</v>
      </c>
      <c r="AG125" s="809">
        <f t="shared" si="47"/>
        <v>1</v>
      </c>
      <c r="AH125" s="176">
        <f t="shared" si="40"/>
        <v>7</v>
      </c>
      <c r="AI125" s="225">
        <f t="shared" si="41"/>
        <v>1.2674893549429405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44673</v>
      </c>
      <c r="B126" s="616">
        <v>26.408000000000001</v>
      </c>
      <c r="C126" s="839"/>
      <c r="D126" s="393">
        <f t="shared" si="24"/>
        <v>27.573391065277079</v>
      </c>
      <c r="E126" s="385">
        <f t="shared" si="45"/>
        <v>30.3515649693692</v>
      </c>
      <c r="F126" s="385">
        <f t="shared" si="25"/>
        <v>30.353317156337713</v>
      </c>
      <c r="G126" s="110">
        <f t="shared" si="46"/>
        <v>0.53358494475504692</v>
      </c>
      <c r="H126" s="414" t="b">
        <f>Wh_hp&gt;='2021'!Maxi_hp</f>
        <v>0</v>
      </c>
      <c r="I126" s="380">
        <f>IF(H126,Wh_hp,'2021'!Maxi_hp)</f>
        <v>57.608125541806146</v>
      </c>
      <c r="J126" s="85">
        <f>IF(H126,An,'2021'!An_max)</f>
        <v>2021</v>
      </c>
      <c r="K126" s="197">
        <f t="shared" si="26"/>
        <v>44673</v>
      </c>
      <c r="L126" s="147">
        <f>IF(t&lt;Tvie,1-EXP((T0-t)*PertePVj)+'2021'!Pspv,1-EXP((T0-t)*PertePVj)+Pspv)</f>
        <v>4.2265061359995124E-2</v>
      </c>
      <c r="M126" s="843"/>
      <c r="N126" s="843"/>
      <c r="O126" s="48">
        <f>IF(t&lt;Tnet,'2021'!Resal+('2021'!Salim-'2021'!Resal)*(1-EXP(('2021'!Tnet-t)/('2021'!Tau_j))),Resal+(Salim-Resal)*(1-EXP((Tnet-t)/(Tau_j))))*Salcycl</f>
        <v>9.1533135339013069E-2</v>
      </c>
      <c r="P126" s="339">
        <f>(INDEX(Models!$BJ126:$BT126,,T126)*(1-R126)+INDEX(Models!$BJ126:$BT126,,T126+1)*R126-ERP_i)*Q126*Ramure*Pc/MaxiM</f>
        <v>1.7294705320829485E-4</v>
      </c>
      <c r="Q126" s="305">
        <f t="shared" si="27"/>
        <v>0.8</v>
      </c>
      <c r="R126" s="177">
        <f t="shared" si="28"/>
        <v>6.9298948034296023E-2</v>
      </c>
      <c r="S126" s="809">
        <f t="shared" si="29"/>
        <v>0</v>
      </c>
      <c r="T126" s="176">
        <f t="shared" si="30"/>
        <v>6</v>
      </c>
      <c r="U126" s="251">
        <f t="shared" si="31"/>
        <v>6.9298948034296023E-2</v>
      </c>
      <c r="V126" s="383">
        <f t="shared" si="32"/>
        <v>49.485948462797332</v>
      </c>
      <c r="W126" s="402"/>
      <c r="X126" s="157">
        <f t="shared" si="33"/>
        <v>44673</v>
      </c>
      <c r="Y126" s="385">
        <f t="shared" si="34"/>
        <v>24.798246760630352</v>
      </c>
      <c r="Z126" s="385">
        <f t="shared" si="35"/>
        <v>25.892599048171054</v>
      </c>
      <c r="AA126" s="386">
        <f t="shared" si="36"/>
        <v>30.309689387036634</v>
      </c>
      <c r="AB126" s="197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0.1457319566182938</v>
      </c>
      <c r="AD126" s="231">
        <f>(INDEX(Models!$BJ126:$BT126,,AH126)*(1-AF126)+INDEX(Models!$BJ126:$BT126,,AH126+1)*AF126-ERP_i)*AE126*Ramure*Pc/MaxiM</f>
        <v>4.3062151895105049E-3</v>
      </c>
      <c r="AE126" s="305">
        <f t="shared" si="38"/>
        <v>0.8</v>
      </c>
      <c r="AF126" s="177">
        <f t="shared" si="39"/>
        <v>0.27001569519919943</v>
      </c>
      <c r="AG126" s="809">
        <f t="shared" si="47"/>
        <v>1</v>
      </c>
      <c r="AH126" s="176">
        <f t="shared" si="40"/>
        <v>7</v>
      </c>
      <c r="AI126" s="225">
        <f t="shared" si="41"/>
        <v>1.2700156951991994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44674</v>
      </c>
      <c r="B127" s="616">
        <v>9.0500000000000007</v>
      </c>
      <c r="C127" s="839"/>
      <c r="D127" s="393">
        <f t="shared" si="24"/>
        <v>9.4496010221063305</v>
      </c>
      <c r="E127" s="385">
        <f t="shared" si="45"/>
        <v>10.403910776559846</v>
      </c>
      <c r="F127" s="385">
        <f t="shared" si="25"/>
        <v>10.403910776559846</v>
      </c>
      <c r="G127" s="110">
        <f t="shared" si="46"/>
        <v>0.18204568287825071</v>
      </c>
      <c r="H127" s="414" t="b">
        <f>Wh_hp&gt;='2021'!Maxi_hp</f>
        <v>0</v>
      </c>
      <c r="I127" s="380">
        <f>IF(H127,Wh_hp,'2021'!Maxi_hp)</f>
        <v>57.772460785382194</v>
      </c>
      <c r="J127" s="85">
        <f>IF(H127,An,'2021'!An_max)</f>
        <v>2021</v>
      </c>
      <c r="K127" s="197">
        <f t="shared" si="26"/>
        <v>44674</v>
      </c>
      <c r="L127" s="147">
        <f>IF(t&lt;Tvie,1-EXP((T0-t)*PertePVj)+'2021'!Pspv,1-EXP((T0-t)*PertePVj)+Pspv)</f>
        <v>4.2287607822965853E-2</v>
      </c>
      <c r="M127" s="843"/>
      <c r="N127" s="843"/>
      <c r="O127" s="48">
        <f>IF(t&lt;Tnet,'2021'!Resal+('2021'!Salim-'2021'!Resal)*(1-EXP(('2021'!Tnet-t)/('2021'!Tau_j))),Resal+(Salim-Resal)*(1-EXP((Tnet-t)/(Tau_j))))*Salcycl</f>
        <v>9.1726060992717101E-2</v>
      </c>
      <c r="P127" s="339">
        <f>(INDEX(Models!$BJ127:$BT127,,T127)*(1-R127)+INDEX(Models!$BJ127:$BT127,,T127+1)*R127-ERP_i)*Q127*Ramure*Pc/MaxiM</f>
        <v>1.7074919956927036E-4</v>
      </c>
      <c r="Q127" s="305">
        <f t="shared" si="27"/>
        <v>0.8</v>
      </c>
      <c r="R127" s="177">
        <f t="shared" si="28"/>
        <v>7.1905910839136084E-2</v>
      </c>
      <c r="S127" s="809">
        <f t="shared" si="29"/>
        <v>0</v>
      </c>
      <c r="T127" s="176">
        <f t="shared" si="30"/>
        <v>6</v>
      </c>
      <c r="U127" s="251">
        <f t="shared" si="31"/>
        <v>7.1905910839136084E-2</v>
      </c>
      <c r="V127" s="383">
        <f t="shared" si="32"/>
        <v>49.704308153219777</v>
      </c>
      <c r="W127" s="402"/>
      <c r="X127" s="157">
        <f t="shared" si="33"/>
        <v>44674</v>
      </c>
      <c r="Y127" s="385">
        <f t="shared" si="34"/>
        <v>8.5108033733275477</v>
      </c>
      <c r="Z127" s="385">
        <f t="shared" si="35"/>
        <v>8.8865962713306068</v>
      </c>
      <c r="AA127" s="386">
        <f t="shared" si="36"/>
        <v>10.403910776559846</v>
      </c>
      <c r="AB127" s="197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0.1458407840874385</v>
      </c>
      <c r="AD127" s="231">
        <f>(INDEX(Models!$BJ127:$BT127,,AH127)*(1-AF127)+INDEX(Models!$BJ127:$BT127,,AH127+1)*AF127-ERP_i)*AE127*Ramure*Pc/MaxiM</f>
        <v>4.1290481018228468E-3</v>
      </c>
      <c r="AE127" s="305">
        <f t="shared" si="38"/>
        <v>0.8</v>
      </c>
      <c r="AF127" s="177">
        <f t="shared" si="39"/>
        <v>0.2726226580040394</v>
      </c>
      <c r="AG127" s="809">
        <f t="shared" si="47"/>
        <v>1</v>
      </c>
      <c r="AH127" s="176">
        <f t="shared" si="40"/>
        <v>7</v>
      </c>
      <c r="AI127" s="225">
        <f t="shared" si="41"/>
        <v>1.2726226580040394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44675</v>
      </c>
      <c r="B128" s="616">
        <v>28.846</v>
      </c>
      <c r="C128" s="839"/>
      <c r="D128" s="393">
        <f t="shared" si="24"/>
        <v>30.120398700362408</v>
      </c>
      <c r="E128" s="385">
        <f t="shared" si="45"/>
        <v>33.169326561354268</v>
      </c>
      <c r="F128" s="385">
        <f t="shared" si="25"/>
        <v>33.171557574306568</v>
      </c>
      <c r="G128" s="110">
        <f t="shared" si="46"/>
        <v>0.57781968837091258</v>
      </c>
      <c r="H128" s="414" t="b">
        <f>Wh_hp&gt;='2021'!Maxi_hp</f>
        <v>0</v>
      </c>
      <c r="I128" s="380">
        <f>IF(H128,Wh_hp,'2021'!Maxi_hp)</f>
        <v>52.820731246679635</v>
      </c>
      <c r="J128" s="85">
        <f>IF(H128,An,'2021'!An_max)</f>
        <v>2021</v>
      </c>
      <c r="K128" s="197">
        <f t="shared" si="26"/>
        <v>44675</v>
      </c>
      <c r="L128" s="147">
        <f>IF(t&lt;Tvie,1-EXP((T0-t)*PertePVj)+'2021'!Pspv,1-EXP((T0-t)*PertePVj)+Pspv)</f>
        <v>4.2310153761247402E-2</v>
      </c>
      <c r="M128" s="843"/>
      <c r="N128" s="843"/>
      <c r="O128" s="48">
        <f>IF(t&lt;Tnet,'2021'!Resal+('2021'!Salim-'2021'!Resal)*(1-EXP(('2021'!Tnet-t)/('2021'!Tau_j))),Resal+(Salim-Resal)*(1-EXP((Tnet-t)/(Tau_j))))*Salcycl</f>
        <v>9.1920101403089066E-2</v>
      </c>
      <c r="P128" s="339">
        <f>(INDEX(Models!$BJ128:$BT128,,T128)*(1-R128)+INDEX(Models!$BJ128:$BT128,,T128+1)*R128-ERP_i)*Q128*Ramure*Pc/MaxiM</f>
        <v>1.6942557041680953E-4</v>
      </c>
      <c r="Q128" s="305">
        <f t="shared" si="27"/>
        <v>0.8</v>
      </c>
      <c r="R128" s="177">
        <f t="shared" si="28"/>
        <v>7.4595110103033893E-2</v>
      </c>
      <c r="S128" s="809">
        <f t="shared" si="29"/>
        <v>0</v>
      </c>
      <c r="T128" s="176">
        <f t="shared" si="30"/>
        <v>6</v>
      </c>
      <c r="U128" s="251">
        <f t="shared" si="31"/>
        <v>7.4595110103033893E-2</v>
      </c>
      <c r="V128" s="383">
        <f t="shared" si="32"/>
        <v>49.917047172377622</v>
      </c>
      <c r="W128" s="402"/>
      <c r="X128" s="157">
        <f t="shared" si="33"/>
        <v>44675</v>
      </c>
      <c r="Y128" s="385">
        <f t="shared" si="34"/>
        <v>27.088664518466373</v>
      </c>
      <c r="Z128" s="385">
        <f t="shared" si="35"/>
        <v>28.285425208228798</v>
      </c>
      <c r="AA128" s="386">
        <f t="shared" si="36"/>
        <v>33.119230114307278</v>
      </c>
      <c r="AB128" s="197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0.14595160845814195</v>
      </c>
      <c r="AD128" s="231">
        <f>(INDEX(Models!$BJ128:$BT128,,AH128)*(1-AF128)+INDEX(Models!$BJ128:$BT128,,AH128+1)*AF128-ERP_i)*AE128*Ramure*Pc/MaxiM</f>
        <v>3.9738047014451945E-3</v>
      </c>
      <c r="AE128" s="305">
        <f t="shared" si="38"/>
        <v>0.8</v>
      </c>
      <c r="AF128" s="177">
        <f t="shared" si="39"/>
        <v>0.27531185726793739</v>
      </c>
      <c r="AG128" s="809">
        <f t="shared" si="47"/>
        <v>1</v>
      </c>
      <c r="AH128" s="176">
        <f t="shared" si="40"/>
        <v>7</v>
      </c>
      <c r="AI128" s="225">
        <f t="shared" si="41"/>
        <v>1.2753118572679374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44676</v>
      </c>
      <c r="B129" s="616">
        <v>46.149000000000001</v>
      </c>
      <c r="C129" s="839"/>
      <c r="D129" s="393">
        <f t="shared" si="24"/>
        <v>48.188969133891248</v>
      </c>
      <c r="E129" s="385">
        <f t="shared" si="45"/>
        <v>53.078289794997239</v>
      </c>
      <c r="F129" s="385">
        <f t="shared" si="25"/>
        <v>53.086242280958935</v>
      </c>
      <c r="G129" s="110">
        <f t="shared" si="46"/>
        <v>0.92067593894433042</v>
      </c>
      <c r="H129" s="414" t="b">
        <f>Wh_hp&gt;='2021'!Maxi_hp</f>
        <v>0</v>
      </c>
      <c r="I129" s="380">
        <f>IF(H129,Wh_hp,'2021'!Maxi_hp)</f>
        <v>55.359840587650929</v>
      </c>
      <c r="J129" s="85">
        <f>IF(H129,An,'2021'!An_max)</f>
        <v>2020</v>
      </c>
      <c r="K129" s="197">
        <f t="shared" si="26"/>
        <v>44676</v>
      </c>
      <c r="L129" s="147">
        <f>IF(t&lt;Tvie,1-EXP((T0-t)*PertePVj)+'2021'!Pspv,1-EXP((T0-t)*PertePVj)+Pspv)</f>
        <v>4.2332699174852093E-2</v>
      </c>
      <c r="M129" s="843"/>
      <c r="N129" s="843"/>
      <c r="O129" s="48">
        <f>IF(t&lt;Tnet,'2021'!Resal+('2021'!Salim-'2021'!Resal)*(1-EXP(('2021'!Tnet-t)/('2021'!Tau_j))),Resal+(Salim-Resal)*(1-EXP((Tnet-t)/(Tau_j))))*Salcycl</f>
        <v>9.2115263698018091E-2</v>
      </c>
      <c r="P129" s="339">
        <f>(INDEX(Models!$BJ129:$BT129,,T129)*(1-R129)+INDEX(Models!$BJ129:$BT129,,T129+1)*R129-ERP_i)*Q129*Ramure*Pc/MaxiM</f>
        <v>1.6894359214649841E-4</v>
      </c>
      <c r="Q129" s="305">
        <f t="shared" si="27"/>
        <v>0.8</v>
      </c>
      <c r="R129" s="177">
        <f t="shared" si="28"/>
        <v>7.7368119908992908E-2</v>
      </c>
      <c r="S129" s="809">
        <f t="shared" si="29"/>
        <v>0</v>
      </c>
      <c r="T129" s="176">
        <f t="shared" si="30"/>
        <v>6</v>
      </c>
      <c r="U129" s="251">
        <f t="shared" si="31"/>
        <v>7.7368119908992908E-2</v>
      </c>
      <c r="V129" s="383">
        <f t="shared" si="32"/>
        <v>50.124169214196783</v>
      </c>
      <c r="W129" s="402"/>
      <c r="X129" s="157">
        <f t="shared" si="33"/>
        <v>44676</v>
      </c>
      <c r="Y129" s="385">
        <f t="shared" si="34"/>
        <v>43.265526019641683</v>
      </c>
      <c r="Z129" s="385">
        <f t="shared" si="35"/>
        <v>45.178034148564038</v>
      </c>
      <c r="AA129" s="386">
        <f t="shared" si="36"/>
        <v>52.905670948688737</v>
      </c>
      <c r="AB129" s="197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0.14606443244278011</v>
      </c>
      <c r="AD129" s="231">
        <f>(INDEX(Models!$BJ129:$BT129,,AH129)*(1-AF129)+INDEX(Models!$BJ129:$BT129,,AH129+1)*AF129-ERP_i)*AE129*Ramure*Pc/MaxiM</f>
        <v>3.8360796434412136E-3</v>
      </c>
      <c r="AE129" s="305">
        <f t="shared" si="38"/>
        <v>0.8</v>
      </c>
      <c r="AF129" s="177">
        <f t="shared" si="39"/>
        <v>0.27808486707389624</v>
      </c>
      <c r="AG129" s="809">
        <f t="shared" si="47"/>
        <v>1</v>
      </c>
      <c r="AH129" s="176">
        <f t="shared" si="40"/>
        <v>7</v>
      </c>
      <c r="AI129" s="225">
        <f t="shared" si="41"/>
        <v>1.2780848670738962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44677</v>
      </c>
      <c r="B130" s="616">
        <v>48.27</v>
      </c>
      <c r="C130" s="839"/>
      <c r="D130" s="393">
        <f t="shared" si="24"/>
        <v>50.404912365243959</v>
      </c>
      <c r="E130" s="385">
        <f t="shared" si="45"/>
        <v>55.531071832136924</v>
      </c>
      <c r="F130" s="385">
        <f t="shared" si="25"/>
        <v>55.539931860605101</v>
      </c>
      <c r="G130" s="110">
        <f t="shared" si="46"/>
        <v>0.95914315034163689</v>
      </c>
      <c r="H130" s="414" t="b">
        <f>Wh_hp&gt;='2021'!Maxi_hp</f>
        <v>1</v>
      </c>
      <c r="I130" s="380">
        <f>IF(H130,Wh_hp,'2021'!Maxi_hp)</f>
        <v>55.539931860605101</v>
      </c>
      <c r="J130" s="85">
        <f>IF(H130,An,'2021'!An_max)</f>
        <v>2022</v>
      </c>
      <c r="K130" s="197">
        <f t="shared" si="26"/>
        <v>44677</v>
      </c>
      <c r="L130" s="147">
        <f>IF(t&lt;Tvie,1-EXP((T0-t)*PertePVj)+'2021'!Pspv,1-EXP((T0-t)*PertePVj)+Pspv)</f>
        <v>4.2355244063792027E-2</v>
      </c>
      <c r="M130" s="843"/>
      <c r="N130" s="843"/>
      <c r="O130" s="48">
        <f>IF(t&lt;Tnet,'2021'!Resal+('2021'!Salim-'2021'!Resal)*(1-EXP(('2021'!Tnet-t)/('2021'!Tau_j))),Resal+(Salim-Resal)*(1-EXP((Tnet-t)/(Tau_j))))*Salcycl</f>
        <v>9.2311552753540665E-2</v>
      </c>
      <c r="P130" s="339">
        <f>(INDEX(Models!$BJ130:$BT130,,T130)*(1-R130)+INDEX(Models!$BJ130:$BT130,,T130+1)*R130-ERP_i)*Q130*Ramure*Pc/MaxiM</f>
        <v>1.6941108464865707E-4</v>
      </c>
      <c r="Q130" s="305">
        <f t="shared" si="27"/>
        <v>0.8</v>
      </c>
      <c r="R130" s="177">
        <f t="shared" si="28"/>
        <v>8.0226468042423657E-2</v>
      </c>
      <c r="S130" s="809">
        <f t="shared" si="29"/>
        <v>0</v>
      </c>
      <c r="T130" s="176">
        <f t="shared" si="30"/>
        <v>6</v>
      </c>
      <c r="U130" s="251">
        <f t="shared" si="31"/>
        <v>8.0226468042423657E-2</v>
      </c>
      <c r="V130" s="383">
        <f t="shared" si="32"/>
        <v>50.325671119557526</v>
      </c>
      <c r="W130" s="402"/>
      <c r="X130" s="157">
        <f t="shared" si="33"/>
        <v>44677</v>
      </c>
      <c r="Y130" s="385">
        <f t="shared" si="34"/>
        <v>45.253714731517626</v>
      </c>
      <c r="Z130" s="385">
        <f t="shared" si="35"/>
        <v>47.255221156906885</v>
      </c>
      <c r="AA130" s="386">
        <f t="shared" si="36"/>
        <v>55.34559970073115</v>
      </c>
      <c r="AB130" s="197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0.14617925521759939</v>
      </c>
      <c r="AD130" s="231">
        <f>(INDEX(Models!$BJ130:$BT130,,AH130)*(1-AF130)+INDEX(Models!$BJ130:$BT130,,AH130+1)*AF130-ERP_i)*AE130*Ramure*Pc/MaxiM</f>
        <v>3.7157918966753507E-3</v>
      </c>
      <c r="AE130" s="305">
        <f t="shared" si="38"/>
        <v>0.8</v>
      </c>
      <c r="AF130" s="177">
        <f t="shared" si="39"/>
        <v>0.28094321520732701</v>
      </c>
      <c r="AG130" s="809">
        <f t="shared" si="47"/>
        <v>1</v>
      </c>
      <c r="AH130" s="176">
        <f t="shared" si="40"/>
        <v>7</v>
      </c>
      <c r="AI130" s="225">
        <f t="shared" si="41"/>
        <v>1.280943215207327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44678</v>
      </c>
      <c r="B131" s="616">
        <v>35.125</v>
      </c>
      <c r="C131" s="839"/>
      <c r="D131" s="393">
        <f t="shared" si="24"/>
        <v>36.679391492332776</v>
      </c>
      <c r="E131" s="385">
        <f t="shared" si="45"/>
        <v>40.418461807238536</v>
      </c>
      <c r="F131" s="385">
        <f t="shared" si="25"/>
        <v>40.422363464574303</v>
      </c>
      <c r="G131" s="110">
        <f t="shared" si="46"/>
        <v>0.69519613078000764</v>
      </c>
      <c r="H131" s="414" t="b">
        <f>Wh_hp&gt;='2021'!Maxi_hp</f>
        <v>1</v>
      </c>
      <c r="I131" s="380">
        <f>IF(H131,Wh_hp,'2021'!Maxi_hp)</f>
        <v>40.422363464574303</v>
      </c>
      <c r="J131" s="85">
        <f>IF(H131,An,'2021'!An_max)</f>
        <v>2022</v>
      </c>
      <c r="K131" s="197">
        <f t="shared" si="26"/>
        <v>44678</v>
      </c>
      <c r="L131" s="147">
        <f>IF(t&lt;Tvie,1-EXP((T0-t)*PertePVj)+'2021'!Pspv,1-EXP((T0-t)*PertePVj)+Pspv)</f>
        <v>4.2377788428079419E-2</v>
      </c>
      <c r="M131" s="843"/>
      <c r="N131" s="843"/>
      <c r="O131" s="48">
        <f>IF(t&lt;Tnet,'2021'!Resal+('2021'!Salim-'2021'!Resal)*(1-EXP(('2021'!Tnet-t)/('2021'!Tau_j))),Resal+(Salim-Resal)*(1-EXP((Tnet-t)/(Tau_j))))*Salcycl</f>
        <v>9.2508971091921466E-2</v>
      </c>
      <c r="P131" s="339">
        <f>(INDEX(Models!$BJ131:$BT131,,T131)*(1-R131)+INDEX(Models!$BJ131:$BT131,,T131+1)*R131-ERP_i)*Q131*Ramure*Pc/MaxiM</f>
        <v>1.7094480810549121E-4</v>
      </c>
      <c r="Q131" s="305">
        <f t="shared" si="27"/>
        <v>0.8</v>
      </c>
      <c r="R131" s="177">
        <f t="shared" si="28"/>
        <v>8.3171629226985594E-2</v>
      </c>
      <c r="S131" s="809">
        <f t="shared" si="29"/>
        <v>0</v>
      </c>
      <c r="T131" s="176">
        <f t="shared" si="30"/>
        <v>6</v>
      </c>
      <c r="U131" s="251">
        <f t="shared" si="31"/>
        <v>8.3171629226985594E-2</v>
      </c>
      <c r="V131" s="383">
        <f t="shared" si="32"/>
        <v>50.521549387478046</v>
      </c>
      <c r="W131" s="402"/>
      <c r="X131" s="157">
        <f t="shared" si="33"/>
        <v>44678</v>
      </c>
      <c r="Y131" s="385">
        <f t="shared" si="34"/>
        <v>32.978912862989723</v>
      </c>
      <c r="Z131" s="385">
        <f t="shared" si="35"/>
        <v>34.438333263861324</v>
      </c>
      <c r="AA131" s="386">
        <f t="shared" si="36"/>
        <v>40.339902565564145</v>
      </c>
      <c r="AB131" s="197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0.14629607228502953</v>
      </c>
      <c r="AD131" s="231">
        <f>(INDEX(Models!$BJ131:$BT131,,AH131)*(1-AF131)+INDEX(Models!$BJ131:$BT131,,AH131+1)*AF131-ERP_i)*AE131*Ramure*Pc/MaxiM</f>
        <v>3.6128909702779527E-3</v>
      </c>
      <c r="AE131" s="305">
        <f t="shared" si="38"/>
        <v>0.8</v>
      </c>
      <c r="AF131" s="177">
        <f t="shared" si="39"/>
        <v>0.28388837639188891</v>
      </c>
      <c r="AG131" s="809">
        <f t="shared" si="47"/>
        <v>1</v>
      </c>
      <c r="AH131" s="176">
        <f t="shared" si="40"/>
        <v>7</v>
      </c>
      <c r="AI131" s="225">
        <f t="shared" si="41"/>
        <v>1.2838883763918889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44679</v>
      </c>
      <c r="B132" s="616">
        <v>19.652000000000001</v>
      </c>
      <c r="C132" s="839"/>
      <c r="D132" s="393">
        <f t="shared" si="24"/>
        <v>20.522145800800679</v>
      </c>
      <c r="E132" s="385">
        <f t="shared" si="45"/>
        <v>22.619107096737491</v>
      </c>
      <c r="F132" s="385">
        <f t="shared" si="25"/>
        <v>22.619598273022511</v>
      </c>
      <c r="G132" s="110">
        <f t="shared" si="46"/>
        <v>0.38746433038756439</v>
      </c>
      <c r="H132" s="414" t="b">
        <f>Wh_hp&gt;='2021'!Maxi_hp</f>
        <v>0</v>
      </c>
      <c r="I132" s="380">
        <f>IF(H132,Wh_hp,'2021'!Maxi_hp)</f>
        <v>43.833448045184817</v>
      </c>
      <c r="J132" s="85">
        <f>IF(H132,An,'2021'!An_max)</f>
        <v>2019</v>
      </c>
      <c r="K132" s="197">
        <f t="shared" si="26"/>
        <v>44679</v>
      </c>
      <c r="L132" s="147">
        <f>IF(t&lt;Tvie,1-EXP((T0-t)*PertePVj)+'2021'!Pspv,1-EXP((T0-t)*PertePVj)+Pspv)</f>
        <v>4.240033226772659E-2</v>
      </c>
      <c r="M132" s="843"/>
      <c r="N132" s="843"/>
      <c r="O132" s="48">
        <f>IF(t&lt;Tnet,'2021'!Resal+('2021'!Salim-'2021'!Resal)*(1-EXP(('2021'!Tnet-t)/('2021'!Tau_j))),Resal+(Salim-Resal)*(1-EXP((Tnet-t)/(Tau_j))))*Salcycl</f>
        <v>9.2707518779080011E-2</v>
      </c>
      <c r="P132" s="339">
        <f>(INDEX(Models!$BJ132:$BT132,,T132)*(1-R132)+INDEX(Models!$BJ132:$BT132,,T132+1)*R132-ERP_i)*Q132*Ramure*Pc/MaxiM</f>
        <v>1.736709836028683E-4</v>
      </c>
      <c r="Q132" s="305">
        <f t="shared" si="27"/>
        <v>0.8</v>
      </c>
      <c r="R132" s="177">
        <f t="shared" si="28"/>
        <v>8.6205018078438375E-2</v>
      </c>
      <c r="S132" s="809">
        <f t="shared" si="29"/>
        <v>0</v>
      </c>
      <c r="T132" s="176">
        <f t="shared" si="30"/>
        <v>6</v>
      </c>
      <c r="U132" s="251">
        <f t="shared" si="31"/>
        <v>8.6205018078438375E-2</v>
      </c>
      <c r="V132" s="383">
        <f t="shared" si="32"/>
        <v>50.711800152818789</v>
      </c>
      <c r="W132" s="402"/>
      <c r="X132" s="157">
        <f t="shared" si="33"/>
        <v>44679</v>
      </c>
      <c r="Y132" s="385">
        <f t="shared" si="34"/>
        <v>18.480943117796173</v>
      </c>
      <c r="Z132" s="385">
        <f t="shared" si="35"/>
        <v>19.299237187040347</v>
      </c>
      <c r="AA132" s="386">
        <f t="shared" si="36"/>
        <v>22.609622203332581</v>
      </c>
      <c r="AB132" s="197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0.14641487533587788</v>
      </c>
      <c r="AD132" s="231">
        <f>(INDEX(Models!$BJ132:$BT132,,AH132)*(1-AF132)+INDEX(Models!$BJ132:$BT132,,AH132+1)*AF132-ERP_i)*AE132*Ramure*Pc/MaxiM</f>
        <v>3.5273564469228643E-3</v>
      </c>
      <c r="AE132" s="305">
        <f t="shared" si="38"/>
        <v>0.8</v>
      </c>
      <c r="AF132" s="177">
        <f t="shared" si="39"/>
        <v>0.28692176524334179</v>
      </c>
      <c r="AG132" s="809">
        <f t="shared" si="47"/>
        <v>1</v>
      </c>
      <c r="AH132" s="176">
        <f t="shared" si="40"/>
        <v>7</v>
      </c>
      <c r="AI132" s="225">
        <f t="shared" si="41"/>
        <v>1.2869217652433418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44680</v>
      </c>
      <c r="B133" s="616">
        <v>36.569000000000003</v>
      </c>
      <c r="C133" s="839"/>
      <c r="D133" s="393">
        <f t="shared" si="24"/>
        <v>38.189091058597008</v>
      </c>
      <c r="E133" s="385">
        <f t="shared" si="45"/>
        <v>42.100533459701069</v>
      </c>
      <c r="F133" s="385">
        <f t="shared" si="25"/>
        <v>42.105007296383903</v>
      </c>
      <c r="G133" s="110">
        <f t="shared" si="46"/>
        <v>0.71844712606150329</v>
      </c>
      <c r="H133" s="414" t="b">
        <f>Wh_hp&gt;='2021'!Maxi_hp</f>
        <v>0</v>
      </c>
      <c r="I133" s="380">
        <f>IF(H133,Wh_hp,'2021'!Maxi_hp)</f>
        <v>53.521315436728898</v>
      </c>
      <c r="J133" s="85">
        <f>IF(H133,An,'2021'!An_max)</f>
        <v>2019</v>
      </c>
      <c r="K133" s="197">
        <f t="shared" si="26"/>
        <v>44680</v>
      </c>
      <c r="L133" s="147">
        <f>IF(t&lt;Tvie,1-EXP((T0-t)*PertePVj)+'2021'!Pspv,1-EXP((T0-t)*PertePVj)+Pspv)</f>
        <v>4.2422875582745642E-2</v>
      </c>
      <c r="M133" s="843"/>
      <c r="N133" s="843"/>
      <c r="O133" s="48">
        <f>IF(t&lt;Tnet,'2021'!Resal+('2021'!Salim-'2021'!Resal)*(1-EXP(('2021'!Tnet-t)/('2021'!Tau_j))),Resal+(Salim-Resal)*(1-EXP((Tnet-t)/(Tau_j))))*Salcycl</f>
        <v>9.2907193322101692E-2</v>
      </c>
      <c r="P133" s="339">
        <f>(INDEX(Models!$BJ133:$BT133,,T133)*(1-R133)+INDEX(Models!$BJ133:$BT133,,T133+1)*R133-ERP_i)*Q133*Ramure*Pc/MaxiM</f>
        <v>1.7772582152309561E-4</v>
      </c>
      <c r="Q133" s="305">
        <f t="shared" si="27"/>
        <v>0.8</v>
      </c>
      <c r="R133" s="177">
        <f t="shared" si="28"/>
        <v>8.9327981791796879E-2</v>
      </c>
      <c r="S133" s="809">
        <f t="shared" si="29"/>
        <v>0</v>
      </c>
      <c r="T133" s="176">
        <f t="shared" si="30"/>
        <v>6</v>
      </c>
      <c r="U133" s="251">
        <f t="shared" si="31"/>
        <v>8.9327981791796879E-2</v>
      </c>
      <c r="V133" s="383">
        <f t="shared" si="32"/>
        <v>50.896419169262856</v>
      </c>
      <c r="W133" s="402"/>
      <c r="X133" s="157">
        <f t="shared" si="33"/>
        <v>44680</v>
      </c>
      <c r="Y133" s="385">
        <f t="shared" si="34"/>
        <v>34.339486745363729</v>
      </c>
      <c r="Z133" s="385">
        <f t="shared" si="35"/>
        <v>35.860805223664315</v>
      </c>
      <c r="AA133" s="386">
        <f t="shared" si="36"/>
        <v>42.017929996056409</v>
      </c>
      <c r="AB133" s="197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0.14653565211256186</v>
      </c>
      <c r="AD133" s="231">
        <f>(INDEX(Models!$BJ133:$BT133,,AH133)*(1-AF133)+INDEX(Models!$BJ133:$BT133,,AH133+1)*AF133-ERP_i)*AE133*Ramure*Pc/MaxiM</f>
        <v>3.4591975152084495E-3</v>
      </c>
      <c r="AE133" s="305">
        <f t="shared" si="38"/>
        <v>0.8</v>
      </c>
      <c r="AF133" s="177">
        <f t="shared" si="39"/>
        <v>0.2900447289567003</v>
      </c>
      <c r="AG133" s="809">
        <f t="shared" si="47"/>
        <v>1</v>
      </c>
      <c r="AH133" s="176">
        <f t="shared" si="40"/>
        <v>7</v>
      </c>
      <c r="AI133" s="225">
        <f t="shared" si="41"/>
        <v>1.2900447289567003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44681</v>
      </c>
      <c r="B134" s="616">
        <v>41.329000000000001</v>
      </c>
      <c r="C134" s="839"/>
      <c r="D134" s="393">
        <f t="shared" si="24"/>
        <v>43.160986112962348</v>
      </c>
      <c r="E134" s="385">
        <f t="shared" si="45"/>
        <v>47.592200191934907</v>
      </c>
      <c r="F134" s="385">
        <f t="shared" si="25"/>
        <v>47.59854505237719</v>
      </c>
      <c r="G134" s="110">
        <f t="shared" si="46"/>
        <v>0.8091357800663127</v>
      </c>
      <c r="H134" s="414" t="b">
        <f>Wh_hp&gt;='2021'!Maxi_hp</f>
        <v>0</v>
      </c>
      <c r="I134" s="380">
        <f>IF(H134,Wh_hp,'2021'!Maxi_hp)</f>
        <v>59.130369018521904</v>
      </c>
      <c r="J134" s="85">
        <f>IF(H134,An,'2021'!An_max)</f>
        <v>2019</v>
      </c>
      <c r="K134" s="197">
        <f t="shared" si="26"/>
        <v>44681</v>
      </c>
      <c r="L134" s="147">
        <f>IF(t&lt;Tvie,1-EXP((T0-t)*PertePVj)+'2021'!Pspv,1-EXP((T0-t)*PertePVj)+Pspv)</f>
        <v>4.2445418373148788E-2</v>
      </c>
      <c r="M134" s="843"/>
      <c r="N134" s="843"/>
      <c r="O134" s="48">
        <f>IF(t&lt;Tnet,'2021'!Resal+('2021'!Salim-'2021'!Resal)*(1-EXP(('2021'!Tnet-t)/('2021'!Tau_j))),Resal+(Salim-Resal)*(1-EXP((Tnet-t)/(Tau_j))))*Salcycl</f>
        <v>9.310798956765784E-2</v>
      </c>
      <c r="P134" s="339">
        <f>(INDEX(Models!$BJ134:$BT134,,T134)*(1-R134)+INDEX(Models!$BJ134:$BT134,,T134+1)*R134-ERP_i)*Q134*Ramure*Pc/MaxiM</f>
        <v>1.8325605487540562E-4</v>
      </c>
      <c r="Q134" s="305">
        <f t="shared" si="27"/>
        <v>0.8</v>
      </c>
      <c r="R134" s="177">
        <f t="shared" si="28"/>
        <v>9.2541792580531829E-2</v>
      </c>
      <c r="S134" s="809">
        <f t="shared" si="29"/>
        <v>0</v>
      </c>
      <c r="T134" s="176">
        <f t="shared" si="30"/>
        <v>6</v>
      </c>
      <c r="U134" s="251">
        <f t="shared" si="31"/>
        <v>9.2541792580531829E-2</v>
      </c>
      <c r="V134" s="383">
        <f t="shared" si="32"/>
        <v>51.075401788964726</v>
      </c>
      <c r="W134" s="402"/>
      <c r="X134" s="157">
        <f t="shared" si="33"/>
        <v>44681</v>
      </c>
      <c r="Y134" s="385">
        <f t="shared" si="34"/>
        <v>38.797349961916204</v>
      </c>
      <c r="Z134" s="385">
        <f t="shared" si="35"/>
        <v>40.517115897457131</v>
      </c>
      <c r="AA134" s="386">
        <f t="shared" si="36"/>
        <v>47.480534460959952</v>
      </c>
      <c r="AB134" s="197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0.14665838627466107</v>
      </c>
      <c r="AD134" s="231">
        <f>(INDEX(Models!$BJ134:$BT134,,AH134)*(1-AF134)+INDEX(Models!$BJ134:$BT134,,AH134+1)*AF134-ERP_i)*AE134*Ramure*Pc/MaxiM</f>
        <v>3.4084524968461339E-3</v>
      </c>
      <c r="AE134" s="305">
        <f t="shared" si="38"/>
        <v>0.8</v>
      </c>
      <c r="AF134" s="177">
        <f t="shared" si="39"/>
        <v>0.29325853974543525</v>
      </c>
      <c r="AG134" s="809">
        <f t="shared" si="47"/>
        <v>1</v>
      </c>
      <c r="AH134" s="176">
        <f t="shared" si="40"/>
        <v>7</v>
      </c>
      <c r="AI134" s="225">
        <f t="shared" si="41"/>
        <v>1.2932585397454353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44682</v>
      </c>
      <c r="B135" s="616">
        <v>42.131</v>
      </c>
      <c r="C135" s="839"/>
      <c r="D135" s="393">
        <f t="shared" si="24"/>
        <v>43.999572095899211</v>
      </c>
      <c r="E135" s="385">
        <f t="shared" si="45"/>
        <v>48.527685563785028</v>
      </c>
      <c r="F135" s="385">
        <f t="shared" si="25"/>
        <v>48.534578425375749</v>
      </c>
      <c r="G135" s="110">
        <f t="shared" si="46"/>
        <v>0.82204196044803279</v>
      </c>
      <c r="H135" s="414" t="b">
        <f>Wh_hp&gt;='2021'!Maxi_hp</f>
        <v>0</v>
      </c>
      <c r="I135" s="380">
        <f>IF(H135,Wh_hp,'2021'!Maxi_hp)</f>
        <v>53.619994148118579</v>
      </c>
      <c r="J135" s="85">
        <f>IF(H135,An,'2021'!An_max)</f>
        <v>2019</v>
      </c>
      <c r="K135" s="197">
        <f t="shared" si="26"/>
        <v>44682</v>
      </c>
      <c r="L135" s="147">
        <f>IF(t&lt;Tvie,1-EXP((T0-t)*PertePVj)+'2021'!Pspv,1-EXP((T0-t)*PertePVj)+Pspv)</f>
        <v>4.2467960638948241E-2</v>
      </c>
      <c r="M135" s="843"/>
      <c r="N135" s="843"/>
      <c r="O135" s="48">
        <f>IF(t&lt;Tnet,'2021'!Resal+('2021'!Salim-'2021'!Resal)*(1-EXP(('2021'!Tnet-t)/('2021'!Tau_j))),Resal+(Salim-Resal)*(1-EXP((Tnet-t)/(Tau_j))))*Salcycl</f>
        <v>9.3309899602239274E-2</v>
      </c>
      <c r="P135" s="339">
        <f>(INDEX(Models!$BJ135:$BT135,,T135)*(1-R135)+INDEX(Models!$BJ135:$BT135,,T135+1)*R135-ERP_i)*Q135*Ramure*Pc/MaxiM</f>
        <v>1.9041792187770429E-4</v>
      </c>
      <c r="Q135" s="305">
        <f t="shared" si="27"/>
        <v>0.8</v>
      </c>
      <c r="R135" s="177">
        <f t="shared" si="28"/>
        <v>9.5847639890203826E-2</v>
      </c>
      <c r="S135" s="809">
        <f t="shared" si="29"/>
        <v>0</v>
      </c>
      <c r="T135" s="176">
        <f t="shared" si="30"/>
        <v>6</v>
      </c>
      <c r="U135" s="251">
        <f t="shared" si="31"/>
        <v>9.5847639890203826E-2</v>
      </c>
      <c r="V135" s="383">
        <f t="shared" si="32"/>
        <v>51.249160830992096</v>
      </c>
      <c r="W135" s="402"/>
      <c r="X135" s="157">
        <f t="shared" si="33"/>
        <v>44682</v>
      </c>
      <c r="Y135" s="385">
        <f t="shared" si="34"/>
        <v>39.552088359112197</v>
      </c>
      <c r="Z135" s="385">
        <f t="shared" si="35"/>
        <v>41.3062819135585</v>
      </c>
      <c r="AA135" s="386">
        <f t="shared" si="36"/>
        <v>48.412402338500897</v>
      </c>
      <c r="AB135" s="197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0.14678305726818094</v>
      </c>
      <c r="AD135" s="231">
        <f>(INDEX(Models!$BJ135:$BT135,,AH135)*(1-AF135)+INDEX(Models!$BJ135:$BT135,,AH135+1)*AF135-ERP_i)*AE135*Ramure*Pc/MaxiM</f>
        <v>3.3751608471559533E-3</v>
      </c>
      <c r="AE135" s="305">
        <f t="shared" si="38"/>
        <v>0.8</v>
      </c>
      <c r="AF135" s="177">
        <f t="shared" si="39"/>
        <v>0.29656438705510713</v>
      </c>
      <c r="AG135" s="809">
        <f t="shared" si="47"/>
        <v>1</v>
      </c>
      <c r="AH135" s="176">
        <f t="shared" si="40"/>
        <v>7</v>
      </c>
      <c r="AI135" s="225">
        <f t="shared" si="41"/>
        <v>1.2965643870551071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44683</v>
      </c>
      <c r="B136" s="616">
        <v>27.477</v>
      </c>
      <c r="C136" s="839"/>
      <c r="D136" s="393">
        <f t="shared" si="24"/>
        <v>28.696321100001335</v>
      </c>
      <c r="E136" s="385">
        <f t="shared" si="45"/>
        <v>31.656624237257848</v>
      </c>
      <c r="F136" s="385">
        <f t="shared" si="25"/>
        <v>31.658737711174428</v>
      </c>
      <c r="G136" s="110">
        <f t="shared" si="46"/>
        <v>0.53431418104745732</v>
      </c>
      <c r="H136" s="414" t="b">
        <f>Wh_hp&gt;='2021'!Maxi_hp</f>
        <v>0</v>
      </c>
      <c r="I136" s="380">
        <f>IF(H136,Wh_hp,'2021'!Maxi_hp)</f>
        <v>49.269090767711724</v>
      </c>
      <c r="J136" s="85">
        <f>IF(H136,An,'2021'!An_max)</f>
        <v>2021</v>
      </c>
      <c r="K136" s="197">
        <f t="shared" si="26"/>
        <v>44683</v>
      </c>
      <c r="L136" s="147">
        <f>IF(t&lt;Tvie,1-EXP((T0-t)*PertePVj)+'2021'!Pspv,1-EXP((T0-t)*PertePVj)+Pspv)</f>
        <v>4.2490502380156323E-2</v>
      </c>
      <c r="M136" s="843"/>
      <c r="N136" s="843"/>
      <c r="O136" s="48">
        <f>IF(t&lt;Tnet,'2021'!Resal+('2021'!Salim-'2021'!Resal)*(1-EXP(('2021'!Tnet-t)/('2021'!Tau_j))),Resal+(Salim-Resal)*(1-EXP((Tnet-t)/(Tau_j))))*Salcycl</f>
        <v>9.3512912655178901E-2</v>
      </c>
      <c r="P136" s="339">
        <f>(INDEX(Models!$BJ136:$BT136,,T136)*(1-R136)+INDEX(Models!$BJ136:$BT136,,T136+1)*R136-ERP_i)*Q136*Ramure*Pc/MaxiM</f>
        <v>1.9937533127737994E-4</v>
      </c>
      <c r="Q136" s="305">
        <f t="shared" si="27"/>
        <v>0.8</v>
      </c>
      <c r="R136" s="177">
        <f t="shared" si="28"/>
        <v>9.9246622412725929E-2</v>
      </c>
      <c r="S136" s="809">
        <f t="shared" si="29"/>
        <v>0</v>
      </c>
      <c r="T136" s="176">
        <f t="shared" si="30"/>
        <v>6</v>
      </c>
      <c r="U136" s="251">
        <f t="shared" si="31"/>
        <v>9.9246622412725929E-2</v>
      </c>
      <c r="V136" s="383">
        <f t="shared" si="32"/>
        <v>51.417979916553882</v>
      </c>
      <c r="W136" s="402"/>
      <c r="X136" s="157">
        <f t="shared" si="33"/>
        <v>44683</v>
      </c>
      <c r="Y136" s="385">
        <f t="shared" si="34"/>
        <v>25.831074254209856</v>
      </c>
      <c r="Z136" s="385">
        <f t="shared" si="35"/>
        <v>26.977355648607329</v>
      </c>
      <c r="AA136" s="386">
        <f t="shared" si="36"/>
        <v>31.623092839699368</v>
      </c>
      <c r="AB136" s="197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0.14690964020001929</v>
      </c>
      <c r="AD136" s="231">
        <f>(INDEX(Models!$BJ136:$BT136,,AH136)*(1-AF136)+INDEX(Models!$BJ136:$BT136,,AH136+1)*AF136-ERP_i)*AE136*Ramure*Pc/MaxiM</f>
        <v>3.3625719262169551E-3</v>
      </c>
      <c r="AE136" s="305">
        <f t="shared" si="38"/>
        <v>0.8</v>
      </c>
      <c r="AF136" s="177">
        <f t="shared" si="39"/>
        <v>0.29996336957762937</v>
      </c>
      <c r="AG136" s="809">
        <f t="shared" si="47"/>
        <v>1</v>
      </c>
      <c r="AH136" s="176">
        <f t="shared" si="40"/>
        <v>7</v>
      </c>
      <c r="AI136" s="225">
        <f t="shared" si="41"/>
        <v>1.2999633695776294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44684</v>
      </c>
      <c r="B137" s="616">
        <v>33.529000000000003</v>
      </c>
      <c r="C137" s="839"/>
      <c r="D137" s="393">
        <f t="shared" si="24"/>
        <v>35.017709406665112</v>
      </c>
      <c r="E137" s="385">
        <f t="shared" si="45"/>
        <v>38.638824723028151</v>
      </c>
      <c r="F137" s="385">
        <f t="shared" si="25"/>
        <v>38.642868786509517</v>
      </c>
      <c r="G137" s="110">
        <f t="shared" si="46"/>
        <v>0.64994917157572552</v>
      </c>
      <c r="H137" s="414" t="b">
        <f>Wh_hp&gt;='2021'!Maxi_hp</f>
        <v>0</v>
      </c>
      <c r="I137" s="380">
        <f>IF(H137,Wh_hp,'2021'!Maxi_hp)</f>
        <v>58.038935188367326</v>
      </c>
      <c r="J137" s="85">
        <f>IF(H137,An,'2021'!An_max)</f>
        <v>2021</v>
      </c>
      <c r="K137" s="197">
        <f t="shared" si="26"/>
        <v>44684</v>
      </c>
      <c r="L137" s="147">
        <f>IF(t&lt;Tvie,1-EXP((T0-t)*PertePVj)+'2021'!Pspv,1-EXP((T0-t)*PertePVj)+Pspv)</f>
        <v>4.2513043596785136E-2</v>
      </c>
      <c r="M137" s="843"/>
      <c r="N137" s="843"/>
      <c r="O137" s="48">
        <f>IF(t&lt;Tnet,'2021'!Resal+('2021'!Salim-'2021'!Resal)*(1-EXP(('2021'!Tnet-t)/('2021'!Tau_j))),Resal+(Salim-Resal)*(1-EXP((Tnet-t)/(Tau_j))))*Salcycl</f>
        <v>9.3717015005503196E-2</v>
      </c>
      <c r="P137" s="339">
        <f>(INDEX(Models!$BJ137:$BT137,,T137)*(1-R137)+INDEX(Models!$BJ137:$BT137,,T137+1)*R137-ERP_i)*Q137*Ramure*Pc/MaxiM</f>
        <v>2.0929423238805024E-4</v>
      </c>
      <c r="Q137" s="305">
        <f t="shared" si="27"/>
        <v>0.8</v>
      </c>
      <c r="R137" s="177">
        <f t="shared" si="28"/>
        <v>0.10273973993140245</v>
      </c>
      <c r="S137" s="809">
        <f t="shared" si="29"/>
        <v>0</v>
      </c>
      <c r="T137" s="176">
        <f t="shared" si="30"/>
        <v>6</v>
      </c>
      <c r="U137" s="251">
        <f t="shared" si="31"/>
        <v>0.10273973993140245</v>
      </c>
      <c r="V137" s="383">
        <f t="shared" si="32"/>
        <v>51.581712167973521</v>
      </c>
      <c r="W137" s="402"/>
      <c r="X137" s="157">
        <f t="shared" si="33"/>
        <v>44684</v>
      </c>
      <c r="Y137" s="385">
        <f t="shared" si="34"/>
        <v>31.506613502626553</v>
      </c>
      <c r="Z137" s="385">
        <f t="shared" si="35"/>
        <v>32.905527633484077</v>
      </c>
      <c r="AA137" s="386">
        <f t="shared" si="36"/>
        <v>38.57795741418176</v>
      </c>
      <c r="AB137" s="197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0.14703810571921117</v>
      </c>
      <c r="AD137" s="231">
        <f>(INDEX(Models!$BJ137:$BT137,,AH137)*(1-AF137)+INDEX(Models!$BJ137:$BT137,,AH137+1)*AF137-ERP_i)*AE137*Ramure*Pc/MaxiM</f>
        <v>3.359387385285839E-3</v>
      </c>
      <c r="AE137" s="305">
        <f t="shared" si="38"/>
        <v>0.8</v>
      </c>
      <c r="AF137" s="177">
        <f t="shared" si="39"/>
        <v>0.3034564870963059</v>
      </c>
      <c r="AG137" s="809">
        <f t="shared" si="47"/>
        <v>1</v>
      </c>
      <c r="AH137" s="176">
        <f t="shared" si="40"/>
        <v>7</v>
      </c>
      <c r="AI137" s="225">
        <f t="shared" si="41"/>
        <v>1.3034564870963059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44685</v>
      </c>
      <c r="B138" s="616">
        <v>19.73</v>
      </c>
      <c r="C138" s="839"/>
      <c r="D138" s="393">
        <f t="shared" si="24"/>
        <v>20.606509940471902</v>
      </c>
      <c r="E138" s="385">
        <f t="shared" si="45"/>
        <v>22.742539007830331</v>
      </c>
      <c r="F138" s="385">
        <f t="shared" si="25"/>
        <v>22.743121000630524</v>
      </c>
      <c r="G138" s="110">
        <f t="shared" si="46"/>
        <v>0.38125428071876438</v>
      </c>
      <c r="H138" s="414" t="b">
        <f>Wh_hp&gt;='2021'!Maxi_hp</f>
        <v>0</v>
      </c>
      <c r="I138" s="380">
        <f>IF(H138,Wh_hp,'2021'!Maxi_hp)</f>
        <v>56.165663952413723</v>
      </c>
      <c r="J138" s="85">
        <f>IF(H138,An,'2021'!An_max)</f>
        <v>2020</v>
      </c>
      <c r="K138" s="197">
        <f t="shared" si="26"/>
        <v>44685</v>
      </c>
      <c r="L138" s="147">
        <f>IF(t&lt;Tvie,1-EXP((T0-t)*PertePVj)+'2021'!Pspv,1-EXP((T0-t)*PertePVj)+Pspv)</f>
        <v>4.2535584288846892E-2</v>
      </c>
      <c r="M138" s="843"/>
      <c r="N138" s="843"/>
      <c r="O138" s="48">
        <f>IF(t&lt;Tnet,'2021'!Resal+('2021'!Salim-'2021'!Resal)*(1-EXP(('2021'!Tnet-t)/('2021'!Tau_j))),Resal+(Salim-Resal)*(1-EXP((Tnet-t)/(Tau_j))))*Salcycl</f>
        <v>9.3922189893704849E-2</v>
      </c>
      <c r="P138" s="339">
        <f>(INDEX(Models!$BJ138:$BT138,,T138)*(1-R138)+INDEX(Models!$BJ138:$BT138,,T138+1)*R138-ERP_i)*Q138*Ramure*Pc/MaxiM</f>
        <v>2.2025346840987337E-4</v>
      </c>
      <c r="Q138" s="305">
        <f t="shared" si="27"/>
        <v>0.8</v>
      </c>
      <c r="R138" s="177">
        <f t="shared" si="28"/>
        <v>0.10632788503095093</v>
      </c>
      <c r="S138" s="809">
        <f t="shared" si="29"/>
        <v>0</v>
      </c>
      <c r="T138" s="176">
        <f t="shared" si="30"/>
        <v>6</v>
      </c>
      <c r="U138" s="251">
        <f t="shared" si="31"/>
        <v>0.10632788503095093</v>
      </c>
      <c r="V138" s="383">
        <f t="shared" si="32"/>
        <v>51.74016446743375</v>
      </c>
      <c r="W138" s="402"/>
      <c r="X138" s="157">
        <f t="shared" si="33"/>
        <v>44685</v>
      </c>
      <c r="Y138" s="385">
        <f t="shared" si="34"/>
        <v>18.563767292517408</v>
      </c>
      <c r="Z138" s="385">
        <f t="shared" si="35"/>
        <v>19.388467067707406</v>
      </c>
      <c r="AA138" s="386">
        <f t="shared" si="36"/>
        <v>22.734227390575647</v>
      </c>
      <c r="AB138" s="197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0.1471684199065946</v>
      </c>
      <c r="AD138" s="231">
        <f>(INDEX(Models!$BJ138:$BT138,,AH138)*(1-AF138)+INDEX(Models!$BJ138:$BT138,,AH138+1)*AF138-ERP_i)*AE138*Ramure*Pc/MaxiM</f>
        <v>3.3657606427734549E-3</v>
      </c>
      <c r="AE138" s="305">
        <f t="shared" si="38"/>
        <v>0.8</v>
      </c>
      <c r="AF138" s="177">
        <f t="shared" si="39"/>
        <v>0.30704463219585443</v>
      </c>
      <c r="AG138" s="809">
        <f t="shared" si="47"/>
        <v>1</v>
      </c>
      <c r="AH138" s="176">
        <f t="shared" si="40"/>
        <v>7</v>
      </c>
      <c r="AI138" s="225">
        <f t="shared" si="41"/>
        <v>1.3070446321958544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44686</v>
      </c>
      <c r="B139" s="616">
        <v>39.236000000000004</v>
      </c>
      <c r="C139" s="839"/>
      <c r="D139" s="393">
        <f t="shared" si="24"/>
        <v>40.980033359958654</v>
      </c>
      <c r="E139" s="385">
        <f t="shared" si="45"/>
        <v>45.238237018241982</v>
      </c>
      <c r="F139" s="385">
        <f t="shared" si="25"/>
        <v>45.245086281947145</v>
      </c>
      <c r="G139" s="110">
        <f t="shared" si="46"/>
        <v>0.75603095594210823</v>
      </c>
      <c r="H139" s="414" t="b">
        <f>Wh_hp&gt;='2021'!Maxi_hp</f>
        <v>0</v>
      </c>
      <c r="I139" s="380">
        <f>IF(H139,Wh_hp,'2021'!Maxi_hp)</f>
        <v>56.298681599981336</v>
      </c>
      <c r="J139" s="85">
        <f>IF(H139,An,'2021'!An_max)</f>
        <v>2020</v>
      </c>
      <c r="K139" s="197">
        <f t="shared" si="26"/>
        <v>44686</v>
      </c>
      <c r="L139" s="147">
        <f>IF(t&lt;Tvie,1-EXP((T0-t)*PertePVj)+'2021'!Pspv,1-EXP((T0-t)*PertePVj)+Pspv)</f>
        <v>4.2558124456353805E-2</v>
      </c>
      <c r="M139" s="843"/>
      <c r="N139" s="843"/>
      <c r="O139" s="48">
        <f>IF(t&lt;Tnet,'2021'!Resal+('2021'!Salim-'2021'!Resal)*(1-EXP(('2021'!Tnet-t)/('2021'!Tau_j))),Resal+(Salim-Resal)*(1-EXP((Tnet-t)/(Tau_j))))*Salcycl</f>
        <v>9.4128417439570844E-2</v>
      </c>
      <c r="P139" s="339">
        <f>(INDEX(Models!$BJ139:$BT139,,T139)*(1-R139)+INDEX(Models!$BJ139:$BT139,,T139+1)*R139-ERP_i)*Q139*Ramure*Pc/MaxiM</f>
        <v>2.3233673687157936E-4</v>
      </c>
      <c r="Q139" s="305">
        <f t="shared" si="27"/>
        <v>0.8</v>
      </c>
      <c r="R139" s="177">
        <f t="shared" si="28"/>
        <v>0.11001183471084261</v>
      </c>
      <c r="S139" s="809">
        <f t="shared" si="29"/>
        <v>0</v>
      </c>
      <c r="T139" s="176">
        <f t="shared" si="30"/>
        <v>6</v>
      </c>
      <c r="U139" s="251">
        <f t="shared" si="31"/>
        <v>0.11001183471084261</v>
      </c>
      <c r="V139" s="383">
        <f t="shared" si="32"/>
        <v>51.893143854017417</v>
      </c>
      <c r="W139" s="402"/>
      <c r="X139" s="157">
        <f t="shared" si="33"/>
        <v>44686</v>
      </c>
      <c r="Y139" s="385">
        <f t="shared" si="34"/>
        <v>36.857154763540414</v>
      </c>
      <c r="Z139" s="385">
        <f t="shared" si="35"/>
        <v>38.49544886744431</v>
      </c>
      <c r="AA139" s="386">
        <f t="shared" si="36"/>
        <v>45.145389274560763</v>
      </c>
      <c r="AB139" s="197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0.14730054417458907</v>
      </c>
      <c r="AD139" s="231">
        <f>(INDEX(Models!$BJ139:$BT139,,AH139)*(1-AF139)+INDEX(Models!$BJ139:$BT139,,AH139+1)*AF139-ERP_i)*AE139*Ramure*Pc/MaxiM</f>
        <v>3.3818638570679588E-3</v>
      </c>
      <c r="AE139" s="305">
        <f t="shared" si="38"/>
        <v>0.8</v>
      </c>
      <c r="AF139" s="177">
        <f t="shared" si="39"/>
        <v>0.31072858187574592</v>
      </c>
      <c r="AG139" s="809">
        <f t="shared" si="47"/>
        <v>1</v>
      </c>
      <c r="AH139" s="176">
        <f t="shared" si="40"/>
        <v>7</v>
      </c>
      <c r="AI139" s="225">
        <f t="shared" si="41"/>
        <v>1.3107285818757459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44687</v>
      </c>
      <c r="B140" s="616">
        <v>33.049999999999997</v>
      </c>
      <c r="C140" s="839"/>
      <c r="D140" s="393">
        <f t="shared" si="24"/>
        <v>34.519879389012509</v>
      </c>
      <c r="E140" s="385">
        <f t="shared" si="45"/>
        <v>38.115534000433627</v>
      </c>
      <c r="F140" s="385">
        <f t="shared" si="25"/>
        <v>38.120016223734552</v>
      </c>
      <c r="G140" s="110">
        <f t="shared" si="46"/>
        <v>0.63500147758898273</v>
      </c>
      <c r="H140" s="414" t="b">
        <f>Wh_hp&gt;='2021'!Maxi_hp</f>
        <v>0</v>
      </c>
      <c r="I140" s="380">
        <f>IF(H140,Wh_hp,'2021'!Maxi_hp)</f>
        <v>61.556815865324921</v>
      </c>
      <c r="J140" s="85">
        <f>IF(H140,An,'2021'!An_max)</f>
        <v>2019</v>
      </c>
      <c r="K140" s="197">
        <f t="shared" si="26"/>
        <v>44687</v>
      </c>
      <c r="L140" s="147">
        <f>IF(t&lt;Tvie,1-EXP((T0-t)*PertePVj)+'2021'!Pspv,1-EXP((T0-t)*PertePVj)+Pspv)</f>
        <v>4.2580664099318086E-2</v>
      </c>
      <c r="M140" s="843"/>
      <c r="N140" s="843"/>
      <c r="O140" s="48">
        <f>IF(t&lt;Tnet,'2021'!Resal+('2021'!Salim-'2021'!Resal)*(1-EXP(('2021'!Tnet-t)/('2021'!Tau_j))),Resal+(Salim-Resal)*(1-EXP((Tnet-t)/(Tau_j))))*Salcycl</f>
        <v>9.4335674567230618E-2</v>
      </c>
      <c r="P140" s="339">
        <f>(INDEX(Models!$BJ140:$BT140,,T140)*(1-R140)+INDEX(Models!$BJ140:$BT140,,T140+1)*R140-ERP_i)*Q140*Ramure*Pc/MaxiM</f>
        <v>2.4563276859343393E-4</v>
      </c>
      <c r="Q140" s="305">
        <f t="shared" si="27"/>
        <v>0.8</v>
      </c>
      <c r="R140" s="177">
        <f t="shared" si="28"/>
        <v>0.11379224194445225</v>
      </c>
      <c r="S140" s="809">
        <f t="shared" si="29"/>
        <v>0</v>
      </c>
      <c r="T140" s="176">
        <f t="shared" si="30"/>
        <v>6</v>
      </c>
      <c r="U140" s="251">
        <f t="shared" si="31"/>
        <v>0.11379224194445225</v>
      </c>
      <c r="V140" s="383">
        <f t="shared" si="32"/>
        <v>52.040457521513943</v>
      </c>
      <c r="W140" s="402"/>
      <c r="X140" s="157">
        <f t="shared" si="33"/>
        <v>44687</v>
      </c>
      <c r="Y140" s="385">
        <f t="shared" si="34"/>
        <v>31.06518942921808</v>
      </c>
      <c r="Z140" s="385">
        <f t="shared" si="35"/>
        <v>32.446795530814967</v>
      </c>
      <c r="AA140" s="386">
        <f t="shared" si="36"/>
        <v>38.057830235754437</v>
      </c>
      <c r="AB140" s="197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0.14743443517880947</v>
      </c>
      <c r="AD140" s="231">
        <f>(INDEX(Models!$BJ140:$BT140,,AH140)*(1-AF140)+INDEX(Models!$BJ140:$BT140,,AH140+1)*AF140-ERP_i)*AE140*Ramure*Pc/MaxiM</f>
        <v>3.4078883111685263E-3</v>
      </c>
      <c r="AE140" s="305">
        <f t="shared" si="38"/>
        <v>0.8</v>
      </c>
      <c r="AF140" s="177">
        <f t="shared" si="39"/>
        <v>0.31450898910935576</v>
      </c>
      <c r="AG140" s="809">
        <f t="shared" si="47"/>
        <v>1</v>
      </c>
      <c r="AH140" s="176">
        <f t="shared" si="40"/>
        <v>7</v>
      </c>
      <c r="AI140" s="225">
        <f t="shared" si="41"/>
        <v>1.3145089891093558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44688</v>
      </c>
      <c r="B141" s="616">
        <v>48.367000000000004</v>
      </c>
      <c r="C141" s="839"/>
      <c r="D141" s="393">
        <f t="shared" si="24"/>
        <v>50.519283292526701</v>
      </c>
      <c r="E141" s="385">
        <f t="shared" si="45"/>
        <v>55.794295540006473</v>
      </c>
      <c r="F141" s="385">
        <f t="shared" si="25"/>
        <v>55.807301795671179</v>
      </c>
      <c r="G141" s="110">
        <f t="shared" si="46"/>
        <v>0.92686684916890305</v>
      </c>
      <c r="H141" s="414" t="b">
        <f>Wh_hp&gt;='2021'!Maxi_hp</f>
        <v>0</v>
      </c>
      <c r="I141" s="380">
        <f>IF(H141,Wh_hp,'2021'!Maxi_hp)</f>
        <v>58.403819725398094</v>
      </c>
      <c r="J141" s="85">
        <f>IF(H141,An,'2021'!An_max)</f>
        <v>2020</v>
      </c>
      <c r="K141" s="197">
        <f t="shared" si="26"/>
        <v>44688</v>
      </c>
      <c r="L141" s="147">
        <f>IF(t&lt;Tvie,1-EXP((T0-t)*PertePVj)+'2021'!Pspv,1-EXP((T0-t)*PertePVj)+Pspv)</f>
        <v>4.2603203217752059E-2</v>
      </c>
      <c r="M141" s="843"/>
      <c r="N141" s="843"/>
      <c r="O141" s="48">
        <f>IF(t&lt;Tnet,'2021'!Resal+('2021'!Salim-'2021'!Resal)*(1-EXP(('2021'!Tnet-t)/('2021'!Tau_j))),Resal+(Salim-Resal)*(1-EXP((Tnet-t)/(Tau_j))))*Salcycl</f>
        <v>9.4543934938606786E-2</v>
      </c>
      <c r="P141" s="339">
        <f>(INDEX(Models!$BJ141:$BT141,,T141)*(1-R141)+INDEX(Models!$BJ141:$BT141,,T141+1)*R141-ERP_i)*Q141*Ramure*Pc/MaxiM</f>
        <v>2.6023550027602031E-4</v>
      </c>
      <c r="Q141" s="305">
        <f t="shared" si="27"/>
        <v>0.8</v>
      </c>
      <c r="R141" s="177">
        <f t="shared" si="28"/>
        <v>0.11766962723063505</v>
      </c>
      <c r="S141" s="809">
        <f t="shared" si="29"/>
        <v>0</v>
      </c>
      <c r="T141" s="176">
        <f t="shared" si="30"/>
        <v>6</v>
      </c>
      <c r="U141" s="251">
        <f t="shared" si="31"/>
        <v>0.11766962723063505</v>
      </c>
      <c r="V141" s="383">
        <f t="shared" si="32"/>
        <v>52.181912829541425</v>
      </c>
      <c r="W141" s="402"/>
      <c r="X141" s="157">
        <f t="shared" si="33"/>
        <v>44688</v>
      </c>
      <c r="Y141" s="385">
        <f t="shared" si="34"/>
        <v>45.404627043014635</v>
      </c>
      <c r="Z141" s="385">
        <f t="shared" si="35"/>
        <v>47.425087691557778</v>
      </c>
      <c r="AA141" s="386">
        <f t="shared" si="36"/>
        <v>55.635172601687103</v>
      </c>
      <c r="AB141" s="197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0.14757004474324861</v>
      </c>
      <c r="AD141" s="231">
        <f>(INDEX(Models!$BJ141:$BT141,,AH141)*(1-AF141)+INDEX(Models!$BJ141:$BT141,,AH141+1)*AF141-ERP_i)*AE141*Ramure*Pc/MaxiM</f>
        <v>3.4440447783979917E-3</v>
      </c>
      <c r="AE141" s="305">
        <f t="shared" si="38"/>
        <v>0.8</v>
      </c>
      <c r="AF141" s="177">
        <f t="shared" si="39"/>
        <v>0.31838637439553841</v>
      </c>
      <c r="AG141" s="809">
        <f t="shared" si="47"/>
        <v>1</v>
      </c>
      <c r="AH141" s="176">
        <f t="shared" si="40"/>
        <v>7</v>
      </c>
      <c r="AI141" s="225">
        <f t="shared" si="41"/>
        <v>1.3183863743955384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44689</v>
      </c>
      <c r="B142" s="616">
        <v>44.079000000000001</v>
      </c>
      <c r="C142" s="839"/>
      <c r="D142" s="393">
        <f t="shared" si="24"/>
        <v>46.041555455451665</v>
      </c>
      <c r="E142" s="385">
        <f t="shared" si="45"/>
        <v>50.860775065430992</v>
      </c>
      <c r="F142" s="385">
        <f t="shared" si="25"/>
        <v>50.871665515572722</v>
      </c>
      <c r="G142" s="110">
        <f t="shared" si="46"/>
        <v>0.84247934371121702</v>
      </c>
      <c r="H142" s="414" t="b">
        <f>Wh_hp&gt;='2021'!Maxi_hp</f>
        <v>0</v>
      </c>
      <c r="I142" s="380">
        <f>IF(H142,Wh_hp,'2021'!Maxi_hp)</f>
        <v>55.761522255902449</v>
      </c>
      <c r="J142" s="85">
        <f>IF(H142,An,'2021'!An_max)</f>
        <v>2021</v>
      </c>
      <c r="K142" s="197">
        <f t="shared" si="26"/>
        <v>44689</v>
      </c>
      <c r="L142" s="147">
        <f>IF(t&lt;Tvie,1-EXP((T0-t)*PertePVj)+'2021'!Pspv,1-EXP((T0-t)*PertePVj)+Pspv)</f>
        <v>4.2625741811667714E-2</v>
      </c>
      <c r="M142" s="843"/>
      <c r="N142" s="843"/>
      <c r="O142" s="48">
        <f>IF(t&lt;Tnet,'2021'!Resal+('2021'!Salim-'2021'!Resal)*(1-EXP(('2021'!Tnet-t)/('2021'!Tau_j))),Resal+(Salim-Resal)*(1-EXP((Tnet-t)/(Tau_j))))*Salcycl</f>
        <v>9.4753168896453827E-2</v>
      </c>
      <c r="P142" s="339">
        <f>(INDEX(Models!$BJ142:$BT142,,T142)*(1-R142)+INDEX(Models!$BJ142:$BT142,,T142+1)*R142-ERP_i)*Q142*Ramure*Pc/MaxiM</f>
        <v>2.7621215802155387E-4</v>
      </c>
      <c r="Q142" s="305">
        <f t="shared" si="27"/>
        <v>0.8</v>
      </c>
      <c r="R142" s="177">
        <f t="shared" si="28"/>
        <v>0.12164437018839459</v>
      </c>
      <c r="S142" s="809">
        <f t="shared" si="29"/>
        <v>0</v>
      </c>
      <c r="T142" s="176">
        <f t="shared" si="30"/>
        <v>6</v>
      </c>
      <c r="U142" s="251">
        <f t="shared" si="31"/>
        <v>0.12164437018839459</v>
      </c>
      <c r="V142" s="383">
        <f t="shared" si="32"/>
        <v>52.317318975220658</v>
      </c>
      <c r="W142" s="402"/>
      <c r="X142" s="157">
        <f t="shared" si="33"/>
        <v>44689</v>
      </c>
      <c r="Y142" s="385">
        <f t="shared" si="34"/>
        <v>41.397059830684441</v>
      </c>
      <c r="Z142" s="385">
        <f t="shared" si="35"/>
        <v>43.2402056736112</v>
      </c>
      <c r="AA142" s="386">
        <f t="shared" si="36"/>
        <v>50.733986901662178</v>
      </c>
      <c r="AB142" s="197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0.14770731980075186</v>
      </c>
      <c r="AD142" s="231">
        <f>(INDEX(Models!$BJ142:$BT142,,AH142)*(1-AF142)+INDEX(Models!$BJ142:$BT142,,AH142+1)*AF142-ERP_i)*AE142*Ramure*Pc/MaxiM</f>
        <v>3.4919132420360133E-3</v>
      </c>
      <c r="AE142" s="305">
        <f t="shared" si="38"/>
        <v>0.8</v>
      </c>
      <c r="AF142" s="177">
        <f t="shared" si="39"/>
        <v>0.32236111735329809</v>
      </c>
      <c r="AG142" s="809">
        <f t="shared" si="47"/>
        <v>1</v>
      </c>
      <c r="AH142" s="176">
        <f t="shared" si="40"/>
        <v>7</v>
      </c>
      <c r="AI142" s="225">
        <f t="shared" si="41"/>
        <v>1.3223611173532981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44690</v>
      </c>
      <c r="B143" s="616">
        <v>48.767000000000003</v>
      </c>
      <c r="C143" s="839"/>
      <c r="D143" s="393">
        <f t="shared" ref="D143:D206" si="48">Wh/(1-Ppv)</f>
        <v>50.939481253495991</v>
      </c>
      <c r="E143" s="385">
        <f t="shared" si="45"/>
        <v>56.284439843448219</v>
      </c>
      <c r="F143" s="385">
        <f t="shared" ref="F143:F206" si="49">Wh_sa/(1-Pvg*MEDIAN((-Sdif+Wh/Env_an)/Csdif,0,1))</f>
        <v>56.299279898719327</v>
      </c>
      <c r="G143" s="110">
        <f t="shared" si="46"/>
        <v>0.92981510923022648</v>
      </c>
      <c r="H143" s="414" t="b">
        <f>Wh_hp&gt;='2021'!Maxi_hp</f>
        <v>1</v>
      </c>
      <c r="I143" s="380">
        <f>IF(H143,Wh_hp,'2021'!Maxi_hp)</f>
        <v>56.299279898719327</v>
      </c>
      <c r="J143" s="85">
        <f>IF(H143,An,'2021'!An_max)</f>
        <v>2022</v>
      </c>
      <c r="K143" s="197">
        <f t="shared" ref="K143:K206" si="50">t</f>
        <v>44690</v>
      </c>
      <c r="L143" s="147">
        <f>IF(t&lt;Tvie,1-EXP((T0-t)*PertePVj)+'2021'!Pspv,1-EXP((T0-t)*PertePVj)+Pspv)</f>
        <v>4.2648279881077375E-2</v>
      </c>
      <c r="M143" s="843"/>
      <c r="N143" s="843"/>
      <c r="O143" s="48">
        <f>IF(t&lt;Tnet,'2021'!Resal+('2021'!Salim-'2021'!Resal)*(1-EXP(('2021'!Tnet-t)/('2021'!Tau_j))),Resal+(Salim-Resal)*(1-EXP((Tnet-t)/(Tau_j))))*Salcycl</f>
        <v>9.4963343418161608E-2</v>
      </c>
      <c r="P143" s="339">
        <f>(INDEX(Models!$BJ143:$BT143,,T143)*(1-R143)+INDEX(Models!$BJ143:$BT143,,T143+1)*R143-ERP_i)*Q143*Ramure*Pc/MaxiM</f>
        <v>2.9295358220079288E-4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0.12571670124920906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0.12571670124920906</v>
      </c>
      <c r="V143" s="383">
        <f t="shared" ref="V143:V206" si="56">MaxiM*(1-Ppv)*(1-Pvg)*(1-Psa)</f>
        <v>52.446521115340538</v>
      </c>
      <c r="W143" s="402"/>
      <c r="X143" s="157">
        <f t="shared" ref="X143:X206" si="57">t</f>
        <v>44690</v>
      </c>
      <c r="Y143" s="385">
        <f t="shared" ref="Y143:Y206" si="58">Wh_pvt_s*(1-Ppv)</f>
        <v>45.783053713672544</v>
      </c>
      <c r="Z143" s="385">
        <f t="shared" ref="Z143:Z206" si="59">Wh_sa_s*(1-Psa_s)</f>
        <v>47.822605581139342</v>
      </c>
      <c r="AA143" s="386">
        <f t="shared" ref="AA143:AA206" si="60">Wh_hp*(1-Pvg_s*MEDIAN((-Sdif+Wh/Env_an)/Csdif,0,1))</f>
        <v>56.119688386119023</v>
      </c>
      <c r="AB143" s="197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0.14784620235047366</v>
      </c>
      <c r="AD143" s="231">
        <f>(INDEX(Models!$BJ143:$BT143,,AH143)*(1-AF143)+INDEX(Models!$BJ143:$BT143,,AH143+1)*AF143-ERP_i)*AE143*Ramure*Pc/MaxiM</f>
        <v>3.5452682613360668E-3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0.32643344841411248</v>
      </c>
      <c r="AG143" s="809">
        <f t="shared" si="47"/>
        <v>1</v>
      </c>
      <c r="AH143" s="176">
        <f t="shared" ref="AH143:AH206" si="64">MIN(MATCH(Hp_vg_s,Echel_vg),10)</f>
        <v>7</v>
      </c>
      <c r="AI143" s="225">
        <f t="shared" ref="AI143:AI206" si="65">IF(OR(t&lt;Ttai,Notai),Hdd_s+PousH*Croivg,Hdtai_s+PousH*(Croivg-Croi_tai))</f>
        <v>1.3264334484141125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44691</v>
      </c>
      <c r="B144" s="616">
        <v>45.255000000000003</v>
      </c>
      <c r="C144" s="839"/>
      <c r="D144" s="393">
        <f t="shared" si="48"/>
        <v>47.272140893398017</v>
      </c>
      <c r="E144" s="385">
        <f t="shared" ref="E144:E169" si="69">Wh_pvt/(1-Psa)</f>
        <v>52.244478988031759</v>
      </c>
      <c r="F144" s="385">
        <f t="shared" si="49"/>
        <v>52.257479209340723</v>
      </c>
      <c r="G144" s="110">
        <f t="shared" ref="G144:G169" si="70">+Wh_hp/MaxiM</f>
        <v>0.86080999897541466</v>
      </c>
      <c r="H144" s="414" t="b">
        <f>Wh_hp&gt;='2021'!Maxi_hp</f>
        <v>1</v>
      </c>
      <c r="I144" s="380">
        <f>IF(H144,Wh_hp,'2021'!Maxi_hp)</f>
        <v>52.257479209340723</v>
      </c>
      <c r="J144" s="85">
        <f>IF(H144,An,'2021'!An_max)</f>
        <v>2022</v>
      </c>
      <c r="K144" s="197">
        <f t="shared" si="50"/>
        <v>44691</v>
      </c>
      <c r="L144" s="147">
        <f>IF(t&lt;Tvie,1-EXP((T0-t)*PertePVj)+'2021'!Pspv,1-EXP((T0-t)*PertePVj)+Pspv)</f>
        <v>4.2670817425993254E-2</v>
      </c>
      <c r="M144" s="843"/>
      <c r="N144" s="843"/>
      <c r="O144" s="48">
        <f>IF(t&lt;Tnet,'2021'!Resal+('2021'!Salim-'2021'!Resal)*(1-EXP(('2021'!Tnet-t)/('2021'!Tau_j))),Resal+(Salim-Resal)*(1-EXP((Tnet-t)/(Tau_j))))*Salcycl</f>
        <v>9.517442208147614E-2</v>
      </c>
      <c r="P144" s="339">
        <f>(INDEX(Models!$BJ144:$BT144,,T144)*(1-R144)+INDEX(Models!$BJ144:$BT144,,T144+1)*R144-ERP_i)*Q144*Ramure*Pc/MaxiM</f>
        <v>3.1048700642671959E-4</v>
      </c>
      <c r="Q144" s="305">
        <f t="shared" si="51"/>
        <v>0.8</v>
      </c>
      <c r="R144" s="177">
        <f t="shared" si="52"/>
        <v>0.12988669350527096</v>
      </c>
      <c r="S144" s="809">
        <f t="shared" si="53"/>
        <v>0</v>
      </c>
      <c r="T144" s="176">
        <f t="shared" si="54"/>
        <v>6</v>
      </c>
      <c r="U144" s="251">
        <f t="shared" si="55"/>
        <v>0.12988669350527096</v>
      </c>
      <c r="V144" s="383">
        <f t="shared" si="56"/>
        <v>52.569331753575028</v>
      </c>
      <c r="W144" s="402"/>
      <c r="X144" s="157">
        <f t="shared" si="57"/>
        <v>44691</v>
      </c>
      <c r="Y144" s="385">
        <f t="shared" si="58"/>
        <v>42.501097028229388</v>
      </c>
      <c r="Z144" s="385">
        <f t="shared" si="59"/>
        <v>44.395488826481923</v>
      </c>
      <c r="AA144" s="386">
        <f t="shared" si="60"/>
        <v>52.106563535484582</v>
      </c>
      <c r="AB144" s="197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0.14798662943395638</v>
      </c>
      <c r="AD144" s="231">
        <f>(INDEX(Models!$BJ144:$BT144,,AH144)*(1-AF144)+INDEX(Models!$BJ144:$BT144,,AH144+1)*AF144-ERP_i)*AE144*Ramure*Pc/MaxiM</f>
        <v>3.6043506248738008E-3</v>
      </c>
      <c r="AE144" s="305">
        <f t="shared" si="62"/>
        <v>0.8</v>
      </c>
      <c r="AF144" s="177">
        <f t="shared" si="63"/>
        <v>0.33060344067017433</v>
      </c>
      <c r="AG144" s="809">
        <f t="shared" ref="AG144:AG207" si="71">INDEX(Echel_vg,AH144)</f>
        <v>1</v>
      </c>
      <c r="AH144" s="176">
        <f t="shared" si="64"/>
        <v>7</v>
      </c>
      <c r="AI144" s="225">
        <f t="shared" si="65"/>
        <v>1.3306034406701743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44692</v>
      </c>
      <c r="B145" s="616">
        <v>48.913000000000004</v>
      </c>
      <c r="C145" s="839"/>
      <c r="D145" s="393">
        <f t="shared" si="48"/>
        <v>51.094390942742855</v>
      </c>
      <c r="E145" s="385">
        <f t="shared" si="69"/>
        <v>56.482003994098271</v>
      </c>
      <c r="F145" s="385">
        <f t="shared" si="49"/>
        <v>56.498682503617381</v>
      </c>
      <c r="G145" s="110">
        <f t="shared" si="70"/>
        <v>0.92836349422746367</v>
      </c>
      <c r="H145" s="414" t="b">
        <f>Wh_hp&gt;='2021'!Maxi_hp</f>
        <v>1</v>
      </c>
      <c r="I145" s="380">
        <f>IF(H145,Wh_hp,'2021'!Maxi_hp)</f>
        <v>56.498682503617381</v>
      </c>
      <c r="J145" s="85">
        <f>IF(H145,An,'2021'!An_max)</f>
        <v>2022</v>
      </c>
      <c r="K145" s="197">
        <f t="shared" si="50"/>
        <v>44692</v>
      </c>
      <c r="L145" s="147">
        <f>IF(t&lt;Tvie,1-EXP((T0-t)*PertePVj)+'2021'!Pspv,1-EXP((T0-t)*PertePVj)+Pspv)</f>
        <v>4.2693354446427453E-2</v>
      </c>
      <c r="M145" s="843"/>
      <c r="N145" s="843"/>
      <c r="O145" s="48">
        <f>IF(t&lt;Tnet,'2021'!Resal+('2021'!Salim-'2021'!Resal)*(1-EXP(('2021'!Tnet-t)/('2021'!Tau_j))),Resal+(Salim-Resal)*(1-EXP((Tnet-t)/(Tau_j))))*Salcycl</f>
        <v>9.5386365043250876E-2</v>
      </c>
      <c r="P145" s="339">
        <f>(INDEX(Models!$BJ145:$BT145,,T145)*(1-R145)+INDEX(Models!$BJ145:$BT145,,T145+1)*R145-ERP_i)*Q145*Ramure*Pc/MaxiM</f>
        <v>3.2883983406945411E-4</v>
      </c>
      <c r="Q145" s="305">
        <f t="shared" si="51"/>
        <v>0.8</v>
      </c>
      <c r="R145" s="177">
        <f t="shared" si="52"/>
        <v>0.13415425477530807</v>
      </c>
      <c r="S145" s="809">
        <f t="shared" si="53"/>
        <v>0</v>
      </c>
      <c r="T145" s="176">
        <f t="shared" si="54"/>
        <v>6</v>
      </c>
      <c r="U145" s="251">
        <f t="shared" si="55"/>
        <v>0.13415425477530807</v>
      </c>
      <c r="V145" s="383">
        <f t="shared" si="56"/>
        <v>52.685563874820041</v>
      </c>
      <c r="W145" s="402"/>
      <c r="X145" s="157">
        <f t="shared" si="57"/>
        <v>44692</v>
      </c>
      <c r="Y145" s="385">
        <f t="shared" si="58"/>
        <v>45.923027607524297</v>
      </c>
      <c r="Z145" s="385">
        <f t="shared" si="59"/>
        <v>47.971073658397955</v>
      </c>
      <c r="AA145" s="386">
        <f t="shared" si="60"/>
        <v>56.312572405711364</v>
      </c>
      <c r="AB145" s="197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0.14812853313139343</v>
      </c>
      <c r="AD145" s="231">
        <f>(INDEX(Models!$BJ145:$BT145,,AH145)*(1-AF145)+INDEX(Models!$BJ145:$BT145,,AH145+1)*AF145-ERP_i)*AE145*Ramure*Pc/MaxiM</f>
        <v>3.6694174406855014E-3</v>
      </c>
      <c r="AE145" s="305">
        <f t="shared" si="62"/>
        <v>0.8</v>
      </c>
      <c r="AF145" s="177">
        <f t="shared" si="63"/>
        <v>0.33487100194021147</v>
      </c>
      <c r="AG145" s="809">
        <f t="shared" si="71"/>
        <v>1</v>
      </c>
      <c r="AH145" s="176">
        <f t="shared" si="64"/>
        <v>7</v>
      </c>
      <c r="AI145" s="225">
        <f t="shared" si="65"/>
        <v>1.3348710019402115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44693</v>
      </c>
      <c r="B146" s="616">
        <v>37.393000000000001</v>
      </c>
      <c r="C146" s="839"/>
      <c r="D146" s="393">
        <f t="shared" si="48"/>
        <v>39.061548861195767</v>
      </c>
      <c r="E146" s="385">
        <f t="shared" si="69"/>
        <v>43.190525479481096</v>
      </c>
      <c r="F146" s="385">
        <f t="shared" si="49"/>
        <v>43.199294517420611</v>
      </c>
      <c r="G146" s="110">
        <f t="shared" si="70"/>
        <v>0.70816465874862011</v>
      </c>
      <c r="H146" s="414" t="b">
        <f>Wh_hp&gt;='2021'!Maxi_hp</f>
        <v>0</v>
      </c>
      <c r="I146" s="380">
        <f>IF(H146,Wh_hp,'2021'!Maxi_hp)</f>
        <v>59.943333681324077</v>
      </c>
      <c r="J146" s="85">
        <f>IF(H146,An,'2021'!An_max)</f>
        <v>2019</v>
      </c>
      <c r="K146" s="197">
        <f t="shared" si="50"/>
        <v>44693</v>
      </c>
      <c r="L146" s="147">
        <f>IF(t&lt;Tvie,1-EXP((T0-t)*PertePVj)+'2021'!Pspv,1-EXP((T0-t)*PertePVj)+Pspv)</f>
        <v>4.2715890942392296E-2</v>
      </c>
      <c r="M146" s="843"/>
      <c r="N146" s="843"/>
      <c r="O146" s="48">
        <f>IF(t&lt;Tnet,'2021'!Resal+('2021'!Salim-'2021'!Resal)*(1-EXP(('2021'!Tnet-t)/('2021'!Tau_j))),Resal+(Salim-Resal)*(1-EXP((Tnet-t)/(Tau_j))))*Salcycl</f>
        <v>9.5599129032290189E-2</v>
      </c>
      <c r="P146" s="339">
        <f>(INDEX(Models!$BJ146:$BT146,,T146)*(1-R146)+INDEX(Models!$BJ146:$BT146,,T146+1)*R146-ERP_i)*Q146*Ramure*Pc/MaxiM</f>
        <v>3.4803956521880716E-4</v>
      </c>
      <c r="Q146" s="305">
        <f t="shared" si="51"/>
        <v>0.8</v>
      </c>
      <c r="R146" s="177">
        <f t="shared" si="52"/>
        <v>0.13851911995270255</v>
      </c>
      <c r="S146" s="809">
        <f t="shared" si="53"/>
        <v>0</v>
      </c>
      <c r="T146" s="176">
        <f t="shared" si="54"/>
        <v>6</v>
      </c>
      <c r="U146" s="251">
        <f t="shared" si="55"/>
        <v>0.13851911995270255</v>
      </c>
      <c r="V146" s="383">
        <f t="shared" si="56"/>
        <v>52.795030943573437</v>
      </c>
      <c r="W146" s="402"/>
      <c r="X146" s="157">
        <f t="shared" si="57"/>
        <v>44693</v>
      </c>
      <c r="Y146" s="385">
        <f t="shared" si="58"/>
        <v>35.145518432247869</v>
      </c>
      <c r="Z146" s="385">
        <f t="shared" si="59"/>
        <v>36.713780266181011</v>
      </c>
      <c r="AA146" s="386">
        <f t="shared" si="60"/>
        <v>43.105044561591491</v>
      </c>
      <c r="AB146" s="197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0.14827184057954507</v>
      </c>
      <c r="AD146" s="231">
        <f>(INDEX(Models!$BJ146:$BT146,,AH146)*(1-AF146)+INDEX(Models!$BJ146:$BT146,,AH146+1)*AF146-ERP_i)*AE146*Ramure*Pc/MaxiM</f>
        <v>3.7407425848663529E-3</v>
      </c>
      <c r="AE146" s="305">
        <f t="shared" si="62"/>
        <v>0.8</v>
      </c>
      <c r="AF146" s="177">
        <f t="shared" si="63"/>
        <v>0.33923586711760589</v>
      </c>
      <c r="AG146" s="809">
        <f t="shared" si="71"/>
        <v>1</v>
      </c>
      <c r="AH146" s="176">
        <f t="shared" si="64"/>
        <v>7</v>
      </c>
      <c r="AI146" s="225">
        <f t="shared" si="65"/>
        <v>1.3392358671176059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44694</v>
      </c>
      <c r="B147" s="616">
        <v>39.935000000000002</v>
      </c>
      <c r="C147" s="839"/>
      <c r="D147" s="393">
        <f t="shared" si="48"/>
        <v>41.717959983763066</v>
      </c>
      <c r="E147" s="385">
        <f t="shared" si="69"/>
        <v>46.13862468282047</v>
      </c>
      <c r="F147" s="385">
        <f t="shared" si="49"/>
        <v>46.149665879312131</v>
      </c>
      <c r="G147" s="110">
        <f t="shared" si="70"/>
        <v>0.75485263160335703</v>
      </c>
      <c r="H147" s="414" t="b">
        <f>Wh_hp&gt;='2021'!Maxi_hp</f>
        <v>0</v>
      </c>
      <c r="I147" s="380">
        <f>IF(H147,Wh_hp,'2021'!Maxi_hp)</f>
        <v>63.165410025979916</v>
      </c>
      <c r="J147" s="85">
        <f>IF(H147,An,'2021'!An_max)</f>
        <v>2019</v>
      </c>
      <c r="K147" s="197">
        <f t="shared" si="50"/>
        <v>44694</v>
      </c>
      <c r="L147" s="147">
        <f>IF(t&lt;Tvie,1-EXP((T0-t)*PertePVj)+'2021'!Pspv,1-EXP((T0-t)*PertePVj)+Pspv)</f>
        <v>4.2738426913899993E-2</v>
      </c>
      <c r="M147" s="843"/>
      <c r="N147" s="843"/>
      <c r="O147" s="48">
        <f>IF(t&lt;Tnet,'2021'!Resal+('2021'!Salim-'2021'!Resal)*(1-EXP(('2021'!Tnet-t)/('2021'!Tau_j))),Resal+(Salim-Resal)*(1-EXP((Tnet-t)/(Tau_j))))*Salcycl</f>
        <v>9.5812667357278711E-2</v>
      </c>
      <c r="P147" s="339">
        <f>(INDEX(Models!$BJ147:$BT147,,T147)*(1-R147)+INDEX(Models!$BJ147:$BT147,,T147+1)*R147-ERP_i)*Q147*Ramure*Pc/MaxiM</f>
        <v>3.6811371910034697E-4</v>
      </c>
      <c r="Q147" s="305">
        <f t="shared" si="51"/>
        <v>0.8</v>
      </c>
      <c r="R147" s="177">
        <f t="shared" si="52"/>
        <v>0.14298084370324507</v>
      </c>
      <c r="S147" s="809">
        <f t="shared" si="53"/>
        <v>0</v>
      </c>
      <c r="T147" s="176">
        <f t="shared" si="54"/>
        <v>6</v>
      </c>
      <c r="U147" s="251">
        <f t="shared" si="55"/>
        <v>0.14298084370324507</v>
      </c>
      <c r="V147" s="383">
        <f t="shared" si="56"/>
        <v>52.897546922402732</v>
      </c>
      <c r="W147" s="402"/>
      <c r="X147" s="157">
        <f t="shared" si="57"/>
        <v>44694</v>
      </c>
      <c r="Y147" s="385">
        <f t="shared" si="58"/>
        <v>37.527294383312245</v>
      </c>
      <c r="Z147" s="385">
        <f t="shared" si="59"/>
        <v>39.202758617301029</v>
      </c>
      <c r="AA147" s="386">
        <f t="shared" si="60"/>
        <v>46.035130343613218</v>
      </c>
      <c r="AB147" s="197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0.14841647401265787</v>
      </c>
      <c r="AD147" s="231">
        <f>(INDEX(Models!$BJ147:$BT147,,AH147)*(1-AF147)+INDEX(Models!$BJ147:$BT147,,AH147+1)*AF147-ERP_i)*AE147*Ramure*Pc/MaxiM</f>
        <v>3.8186171260630101E-3</v>
      </c>
      <c r="AE147" s="305">
        <f t="shared" si="62"/>
        <v>0.8</v>
      </c>
      <c r="AF147" s="177">
        <f t="shared" si="63"/>
        <v>0.34369759086814855</v>
      </c>
      <c r="AG147" s="809">
        <f t="shared" si="71"/>
        <v>1</v>
      </c>
      <c r="AH147" s="176">
        <f t="shared" si="64"/>
        <v>7</v>
      </c>
      <c r="AI147" s="225">
        <f t="shared" si="65"/>
        <v>1.3436975908681486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44695</v>
      </c>
      <c r="B148" s="616">
        <v>43.585999999999999</v>
      </c>
      <c r="C148" s="839"/>
      <c r="D148" s="393">
        <f t="shared" si="48"/>
        <v>45.53303645816807</v>
      </c>
      <c r="E148" s="385">
        <f t="shared" si="69"/>
        <v>50.36990366834479</v>
      </c>
      <c r="F148" s="385">
        <f t="shared" si="49"/>
        <v>50.384536373423046</v>
      </c>
      <c r="G148" s="110">
        <f t="shared" si="70"/>
        <v>0.82240595536901562</v>
      </c>
      <c r="H148" s="414" t="b">
        <f>Wh_hp&gt;='2021'!Maxi_hp</f>
        <v>0</v>
      </c>
      <c r="I148" s="380">
        <f>IF(H148,Wh_hp,'2021'!Maxi_hp)</f>
        <v>61.55883645461271</v>
      </c>
      <c r="J148" s="85">
        <f>IF(H148,An,'2021'!An_max)</f>
        <v>2019</v>
      </c>
      <c r="K148" s="197">
        <f t="shared" si="50"/>
        <v>44695</v>
      </c>
      <c r="L148" s="147">
        <f>IF(t&lt;Tvie,1-EXP((T0-t)*PertePVj)+'2021'!Pspv,1-EXP((T0-t)*PertePVj)+Pspv)</f>
        <v>4.2760962360962759E-2</v>
      </c>
      <c r="M148" s="843"/>
      <c r="N148" s="843"/>
      <c r="O148" s="48">
        <f>IF(t&lt;Tnet,'2021'!Resal+('2021'!Salim-'2021'!Resal)*(1-EXP(('2021'!Tnet-t)/('2021'!Tau_j))),Resal+(Salim-Resal)*(1-EXP((Tnet-t)/(Tau_j))))*Salcycl</f>
        <v>9.6026929930709326E-2</v>
      </c>
      <c r="P148" s="339">
        <f>(INDEX(Models!$BJ148:$BT148,,T148)*(1-R148)+INDEX(Models!$BJ148:$BT148,,T148+1)*R148-ERP_i)*Q148*Ramure*Pc/MaxiM</f>
        <v>3.8908975260172152E-4</v>
      </c>
      <c r="Q148" s="305">
        <f t="shared" si="51"/>
        <v>0.8</v>
      </c>
      <c r="R148" s="177">
        <f t="shared" si="52"/>
        <v>0.14753879358196792</v>
      </c>
      <c r="S148" s="809">
        <f t="shared" si="53"/>
        <v>0</v>
      </c>
      <c r="T148" s="176">
        <f t="shared" si="54"/>
        <v>6</v>
      </c>
      <c r="U148" s="251">
        <f t="shared" si="55"/>
        <v>0.14753879358196792</v>
      </c>
      <c r="V148" s="383">
        <f t="shared" si="56"/>
        <v>52.992926267790601</v>
      </c>
      <c r="W148" s="402"/>
      <c r="X148" s="157">
        <f t="shared" si="57"/>
        <v>44695</v>
      </c>
      <c r="Y148" s="385">
        <f t="shared" si="58"/>
        <v>40.945233710595062</v>
      </c>
      <c r="Z148" s="385">
        <f t="shared" si="59"/>
        <v>42.774304119045958</v>
      </c>
      <c r="AA148" s="386">
        <f t="shared" si="60"/>
        <v>50.237741026160592</v>
      </c>
      <c r="AB148" s="197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0.14856235082760094</v>
      </c>
      <c r="AD148" s="231">
        <f>(INDEX(Models!$BJ148:$BT148,,AH148)*(1-AF148)+INDEX(Models!$BJ148:$BT148,,AH148+1)*AF148-ERP_i)*AE148*Ramure*Pc/MaxiM</f>
        <v>3.9033497254243243E-3</v>
      </c>
      <c r="AE148" s="305">
        <f t="shared" si="62"/>
        <v>0.8</v>
      </c>
      <c r="AF148" s="177">
        <f t="shared" si="63"/>
        <v>0.34825554074687126</v>
      </c>
      <c r="AG148" s="809">
        <f t="shared" si="71"/>
        <v>1</v>
      </c>
      <c r="AH148" s="176">
        <f t="shared" si="64"/>
        <v>7</v>
      </c>
      <c r="AI148" s="225">
        <f t="shared" si="65"/>
        <v>1.3482555407468713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44696</v>
      </c>
      <c r="B149" s="616">
        <v>45.844000000000001</v>
      </c>
      <c r="C149" s="839"/>
      <c r="D149" s="393">
        <f t="shared" si="48"/>
        <v>47.893031377857589</v>
      </c>
      <c r="E149" s="385">
        <f t="shared" si="69"/>
        <v>52.993195229472953</v>
      </c>
      <c r="F149" s="385">
        <f t="shared" si="49"/>
        <v>53.01073920330375</v>
      </c>
      <c r="G149" s="110">
        <f t="shared" si="70"/>
        <v>0.86359803472247154</v>
      </c>
      <c r="H149" s="414" t="b">
        <f>Wh_hp&gt;='2021'!Maxi_hp</f>
        <v>0</v>
      </c>
      <c r="I149" s="380">
        <f>IF(H149,Wh_hp,'2021'!Maxi_hp)</f>
        <v>62.517859934391758</v>
      </c>
      <c r="J149" s="85">
        <f>IF(H149,An,'2021'!An_max)</f>
        <v>2019</v>
      </c>
      <c r="K149" s="197">
        <f t="shared" si="50"/>
        <v>44696</v>
      </c>
      <c r="L149" s="147">
        <f>IF(t&lt;Tvie,1-EXP((T0-t)*PertePVj)+'2021'!Pspv,1-EXP((T0-t)*PertePVj)+Pspv)</f>
        <v>4.2783497283592695E-2</v>
      </c>
      <c r="M149" s="843"/>
      <c r="N149" s="843"/>
      <c r="O149" s="48">
        <f>IF(t&lt;Tnet,'2021'!Resal+('2021'!Salim-'2021'!Resal)*(1-EXP(('2021'!Tnet-t)/('2021'!Tau_j))),Resal+(Salim-Resal)*(1-EXP((Tnet-t)/(Tau_j))))*Salcycl</f>
        <v>9.6241863309627876E-2</v>
      </c>
      <c r="P149" s="339">
        <f>(INDEX(Models!$BJ149:$BT149,,T149)*(1-R149)+INDEX(Models!$BJ149:$BT149,,T149+1)*R149-ERP_i)*Q149*Ramure*Pc/MaxiM</f>
        <v>4.1099770209421894E-4</v>
      </c>
      <c r="Q149" s="305">
        <f t="shared" si="51"/>
        <v>0.8</v>
      </c>
      <c r="R149" s="177">
        <f t="shared" si="52"/>
        <v>0.15219214364001549</v>
      </c>
      <c r="S149" s="809">
        <f t="shared" si="53"/>
        <v>0</v>
      </c>
      <c r="T149" s="176">
        <f t="shared" si="54"/>
        <v>6</v>
      </c>
      <c r="U149" s="251">
        <f t="shared" si="55"/>
        <v>0.15219214364001549</v>
      </c>
      <c r="V149" s="383">
        <f t="shared" si="56"/>
        <v>53.080631608048698</v>
      </c>
      <c r="W149" s="402"/>
      <c r="X149" s="157">
        <f t="shared" si="57"/>
        <v>44696</v>
      </c>
      <c r="Y149" s="385">
        <f t="shared" si="58"/>
        <v>43.057859301132659</v>
      </c>
      <c r="Z149" s="385">
        <f t="shared" si="59"/>
        <v>44.982362066410516</v>
      </c>
      <c r="AA149" s="386">
        <f t="shared" si="60"/>
        <v>52.840194880286631</v>
      </c>
      <c r="AB149" s="197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0.14870938367427697</v>
      </c>
      <c r="AD149" s="231">
        <f>(INDEX(Models!$BJ149:$BT149,,AH149)*(1-AF149)+INDEX(Models!$BJ149:$BT149,,AH149+1)*AF149-ERP_i)*AE149*Ramure*Pc/MaxiM</f>
        <v>3.9952935145293259E-3</v>
      </c>
      <c r="AE149" s="305">
        <f t="shared" si="62"/>
        <v>0.8</v>
      </c>
      <c r="AF149" s="177">
        <f t="shared" si="63"/>
        <v>0.35290889080491894</v>
      </c>
      <c r="AG149" s="809">
        <f t="shared" si="71"/>
        <v>1</v>
      </c>
      <c r="AH149" s="176">
        <f t="shared" si="64"/>
        <v>7</v>
      </c>
      <c r="AI149" s="225">
        <f t="shared" si="65"/>
        <v>1.3529088908049189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44697</v>
      </c>
      <c r="B150" s="616">
        <v>44.447000000000003</v>
      </c>
      <c r="C150" s="839"/>
      <c r="D150" s="393">
        <f t="shared" si="48"/>
        <v>46.434684579233135</v>
      </c>
      <c r="E150" s="385">
        <f t="shared" si="69"/>
        <v>51.391805026011795</v>
      </c>
      <c r="F150" s="385">
        <f t="shared" si="49"/>
        <v>51.408882772587056</v>
      </c>
      <c r="G150" s="110">
        <f t="shared" si="70"/>
        <v>0.83600550409350527</v>
      </c>
      <c r="H150" s="414" t="b">
        <f>Wh_hp&gt;='2021'!Maxi_hp</f>
        <v>0</v>
      </c>
      <c r="I150" s="380">
        <f>IF(H150,Wh_hp,'2021'!Maxi_hp)</f>
        <v>52.342496301263523</v>
      </c>
      <c r="J150" s="85">
        <f>IF(H150,An,'2021'!An_max)</f>
        <v>2019</v>
      </c>
      <c r="K150" s="197">
        <f t="shared" si="50"/>
        <v>44697</v>
      </c>
      <c r="L150" s="147">
        <f>IF(t&lt;Tvie,1-EXP((T0-t)*PertePVj)+'2021'!Pspv,1-EXP((T0-t)*PertePVj)+Pspv)</f>
        <v>4.2806031681802012E-2</v>
      </c>
      <c r="M150" s="843"/>
      <c r="N150" s="843"/>
      <c r="O150" s="48">
        <f>IF(t&lt;Tnet,'2021'!Resal+('2021'!Salim-'2021'!Resal)*(1-EXP(('2021'!Tnet-t)/('2021'!Tau_j))),Resal+(Salim-Resal)*(1-EXP((Tnet-t)/(Tau_j))))*Salcycl</f>
        <v>9.6457410753905778E-2</v>
      </c>
      <c r="P150" s="339">
        <f>(INDEX(Models!$BJ150:$BT150,,T150)*(1-R150)+INDEX(Models!$BJ150:$BT150,,T150+1)*R150-ERP_i)*Q150*Ramure*Pc/MaxiM</f>
        <v>4.3376286215563201E-4</v>
      </c>
      <c r="Q150" s="305">
        <f t="shared" si="51"/>
        <v>0.8</v>
      </c>
      <c r="R150" s="177">
        <f t="shared" si="52"/>
        <v>0.15693986859336681</v>
      </c>
      <c r="S150" s="809">
        <f t="shared" si="53"/>
        <v>0</v>
      </c>
      <c r="T150" s="176">
        <f t="shared" si="54"/>
        <v>6</v>
      </c>
      <c r="U150" s="251">
        <f t="shared" si="55"/>
        <v>0.15693986859336681</v>
      </c>
      <c r="V150" s="383">
        <f t="shared" si="56"/>
        <v>53.160516135250994</v>
      </c>
      <c r="W150" s="402"/>
      <c r="X150" s="157">
        <f t="shared" si="57"/>
        <v>44697</v>
      </c>
      <c r="Y150" s="385">
        <f t="shared" si="58"/>
        <v>41.751935352263885</v>
      </c>
      <c r="Z150" s="385">
        <f t="shared" si="59"/>
        <v>43.619095746729961</v>
      </c>
      <c r="AA150" s="386">
        <f t="shared" si="60"/>
        <v>51.247699123354167</v>
      </c>
      <c r="AB150" s="197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0.14885748057219145</v>
      </c>
      <c r="AD150" s="231">
        <f>(INDEX(Models!$BJ150:$BT150,,AH150)*(1-AF150)+INDEX(Models!$BJ150:$BT150,,AH150+1)*AF150-ERP_i)*AE150*Ramure*Pc/MaxiM</f>
        <v>4.0939523675359484E-3</v>
      </c>
      <c r="AE150" s="305">
        <f t="shared" si="62"/>
        <v>0.8</v>
      </c>
      <c r="AF150" s="177">
        <f t="shared" si="63"/>
        <v>0.35765661575827012</v>
      </c>
      <c r="AG150" s="809">
        <f t="shared" si="71"/>
        <v>1</v>
      </c>
      <c r="AH150" s="176">
        <f t="shared" si="64"/>
        <v>7</v>
      </c>
      <c r="AI150" s="225">
        <f t="shared" si="65"/>
        <v>1.3576566157582701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44698</v>
      </c>
      <c r="B151" s="616">
        <v>47.378</v>
      </c>
      <c r="C151" s="839"/>
      <c r="D151" s="393">
        <f t="shared" si="48"/>
        <v>49.497925131354549</v>
      </c>
      <c r="E151" s="385">
        <f t="shared" si="69"/>
        <v>54.795166316364316</v>
      </c>
      <c r="F151" s="385">
        <f t="shared" si="49"/>
        <v>54.816299858250623</v>
      </c>
      <c r="G151" s="110">
        <f t="shared" si="70"/>
        <v>0.88994830359642751</v>
      </c>
      <c r="H151" s="414" t="b">
        <f>Wh_hp&gt;='2021'!Maxi_hp</f>
        <v>0</v>
      </c>
      <c r="I151" s="380">
        <f>IF(H151,Wh_hp,'2021'!Maxi_hp)</f>
        <v>59.99498381286103</v>
      </c>
      <c r="J151" s="85">
        <f>IF(H151,An,'2021'!An_max)</f>
        <v>2021</v>
      </c>
      <c r="K151" s="197">
        <f t="shared" si="50"/>
        <v>44698</v>
      </c>
      <c r="L151" s="147">
        <f>IF(t&lt;Tvie,1-EXP((T0-t)*PertePVj)+'2021'!Pspv,1-EXP((T0-t)*PertePVj)+Pspv)</f>
        <v>4.2828565555603035E-2</v>
      </c>
      <c r="M151" s="843"/>
      <c r="N151" s="843"/>
      <c r="O151" s="48">
        <f>IF(t&lt;Tnet,'2021'!Resal+('2021'!Salim-'2021'!Resal)*(1-EXP(('2021'!Tnet-t)/('2021'!Tau_j))),Resal+(Salim-Resal)*(1-EXP((Tnet-t)/(Tau_j))))*Salcycl</f>
        <v>9.667351230263127E-2</v>
      </c>
      <c r="P151" s="339">
        <f>(INDEX(Models!$BJ151:$BT151,,T151)*(1-R151)+INDEX(Models!$BJ151:$BT151,,T151+1)*R151-ERP_i)*Q151*Ramure*Pc/MaxiM</f>
        <v>4.5740357169600206E-4</v>
      </c>
      <c r="Q151" s="305">
        <f t="shared" si="51"/>
        <v>0.8</v>
      </c>
      <c r="R151" s="177">
        <f t="shared" si="52"/>
        <v>0.16178073862533537</v>
      </c>
      <c r="S151" s="809">
        <f t="shared" si="53"/>
        <v>0</v>
      </c>
      <c r="T151" s="176">
        <f t="shared" si="54"/>
        <v>6</v>
      </c>
      <c r="U151" s="251">
        <f t="shared" si="55"/>
        <v>0.16178073862533537</v>
      </c>
      <c r="V151" s="383">
        <f t="shared" si="56"/>
        <v>53.232972582785528</v>
      </c>
      <c r="W151" s="402"/>
      <c r="X151" s="157">
        <f t="shared" si="57"/>
        <v>44698</v>
      </c>
      <c r="Y151" s="385">
        <f t="shared" si="58"/>
        <v>44.492533739286188</v>
      </c>
      <c r="Z151" s="385">
        <f t="shared" si="59"/>
        <v>46.483348894665326</v>
      </c>
      <c r="AA151" s="386">
        <f t="shared" si="60"/>
        <v>54.622451705704322</v>
      </c>
      <c r="AB151" s="197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0.14900654505387231</v>
      </c>
      <c r="AD151" s="231">
        <f>(INDEX(Models!$BJ151:$BT151,,AH151)*(1-AF151)+INDEX(Models!$BJ151:$BT151,,AH151+1)*AF151-ERP_i)*AE151*Ramure*Pc/MaxiM</f>
        <v>4.1955502687784944E-3</v>
      </c>
      <c r="AE151" s="305">
        <f t="shared" si="62"/>
        <v>0.8</v>
      </c>
      <c r="AF151" s="177">
        <f t="shared" si="63"/>
        <v>0.36249748579023877</v>
      </c>
      <c r="AG151" s="809">
        <f t="shared" si="71"/>
        <v>1</v>
      </c>
      <c r="AH151" s="176">
        <f t="shared" si="64"/>
        <v>7</v>
      </c>
      <c r="AI151" s="225">
        <f t="shared" si="65"/>
        <v>1.3624974857902388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44699</v>
      </c>
      <c r="B152" s="616">
        <v>46.261000000000003</v>
      </c>
      <c r="C152" s="839"/>
      <c r="D152" s="393">
        <f t="shared" si="48"/>
        <v>48.332082863049571</v>
      </c>
      <c r="E152" s="385">
        <f t="shared" si="69"/>
        <v>53.517388220005152</v>
      </c>
      <c r="F152" s="385">
        <f t="shared" si="49"/>
        <v>53.538323075086311</v>
      </c>
      <c r="G152" s="110">
        <f t="shared" si="70"/>
        <v>0.86788343158947923</v>
      </c>
      <c r="H152" s="414" t="b">
        <f>Wh_hp&gt;='2021'!Maxi_hp</f>
        <v>0</v>
      </c>
      <c r="I152" s="380">
        <f>IF(H152,Wh_hp,'2021'!Maxi_hp)</f>
        <v>63.269617508467668</v>
      </c>
      <c r="J152" s="85">
        <f>IF(H152,An,'2021'!An_max)</f>
        <v>2020</v>
      </c>
      <c r="K152" s="197">
        <f t="shared" si="50"/>
        <v>44699</v>
      </c>
      <c r="L152" s="147">
        <f>IF(t&lt;Tvie,1-EXP((T0-t)*PertePVj)+'2021'!Pspv,1-EXP((T0-t)*PertePVj)+Pspv)</f>
        <v>4.2851098905007864E-2</v>
      </c>
      <c r="M152" s="843"/>
      <c r="N152" s="843"/>
      <c r="O152" s="48">
        <f>IF(t&lt;Tnet,'2021'!Resal+('2021'!Salim-'2021'!Resal)*(1-EXP(('2021'!Tnet-t)/('2021'!Tau_j))),Resal+(Salim-Resal)*(1-EXP((Tnet-t)/(Tau_j))))*Salcycl</f>
        <v>9.6890104869080312E-2</v>
      </c>
      <c r="P152" s="339">
        <f>(INDEX(Models!$BJ152:$BT152,,T152)*(1-R152)+INDEX(Models!$BJ152:$BT152,,T152+1)*R152-ERP_i)*Q152*Ramure*Pc/MaxiM</f>
        <v>4.8192968369377653E-4</v>
      </c>
      <c r="Q152" s="305">
        <f t="shared" si="51"/>
        <v>0.8</v>
      </c>
      <c r="R152" s="177">
        <f t="shared" si="52"/>
        <v>0.16671331489408392</v>
      </c>
      <c r="S152" s="809">
        <f t="shared" si="53"/>
        <v>0</v>
      </c>
      <c r="T152" s="176">
        <f t="shared" si="54"/>
        <v>6</v>
      </c>
      <c r="U152" s="251">
        <f t="shared" si="55"/>
        <v>0.16671331489408392</v>
      </c>
      <c r="V152" s="383">
        <f t="shared" si="56"/>
        <v>53.298393952045572</v>
      </c>
      <c r="W152" s="402"/>
      <c r="X152" s="157">
        <f t="shared" si="57"/>
        <v>44699</v>
      </c>
      <c r="Y152" s="385">
        <f t="shared" si="58"/>
        <v>43.448625655884513</v>
      </c>
      <c r="Z152" s="385">
        <f t="shared" si="59"/>
        <v>45.393799863509905</v>
      </c>
      <c r="AA152" s="386">
        <f t="shared" si="60"/>
        <v>53.351525399182769</v>
      </c>
      <c r="AB152" s="197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0.14915647633562798</v>
      </c>
      <c r="AD152" s="231">
        <f>(INDEX(Models!$BJ152:$BT152,,AH152)*(1-AF152)+INDEX(Models!$BJ152:$BT152,,AH152+1)*AF152-ERP_i)*AE152*Ramure*Pc/MaxiM</f>
        <v>4.3001656574128749E-3</v>
      </c>
      <c r="AE152" s="305">
        <f t="shared" si="62"/>
        <v>0.8</v>
      </c>
      <c r="AF152" s="177">
        <f t="shared" si="63"/>
        <v>0.36743006205898743</v>
      </c>
      <c r="AG152" s="809">
        <f t="shared" si="71"/>
        <v>1</v>
      </c>
      <c r="AH152" s="176">
        <f t="shared" si="64"/>
        <v>7</v>
      </c>
      <c r="AI152" s="225">
        <f t="shared" si="65"/>
        <v>1.3674300620589874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44700</v>
      </c>
      <c r="B153" s="616">
        <v>48.652999999999999</v>
      </c>
      <c r="C153" s="839"/>
      <c r="D153" s="393">
        <f t="shared" si="48"/>
        <v>50.832368235702724</v>
      </c>
      <c r="E153" s="385">
        <f t="shared" si="69"/>
        <v>56.299445365284832</v>
      </c>
      <c r="F153" s="385">
        <f t="shared" si="49"/>
        <v>56.324422377915887</v>
      </c>
      <c r="G153" s="110">
        <f t="shared" si="70"/>
        <v>0.91177786969050922</v>
      </c>
      <c r="H153" s="414" t="b">
        <f>Wh_hp&gt;='2021'!Maxi_hp</f>
        <v>0</v>
      </c>
      <c r="I153" s="380">
        <f>IF(H153,Wh_hp,'2021'!Maxi_hp)</f>
        <v>62.475898424686022</v>
      </c>
      <c r="J153" s="85">
        <f>IF(H153,An,'2021'!An_max)</f>
        <v>2020</v>
      </c>
      <c r="K153" s="197">
        <f t="shared" si="50"/>
        <v>44700</v>
      </c>
      <c r="L153" s="147">
        <f>IF(t&lt;Tvie,1-EXP((T0-t)*PertePVj)+'2021'!Pspv,1-EXP((T0-t)*PertePVj)+Pspv)</f>
        <v>4.2873631730028713E-2</v>
      </c>
      <c r="M153" s="843"/>
      <c r="N153" s="843"/>
      <c r="O153" s="48">
        <f>IF(t&lt;Tnet,'2021'!Resal+('2021'!Salim-'2021'!Resal)*(1-EXP(('2021'!Tnet-t)/('2021'!Tau_j))),Resal+(Salim-Resal)*(1-EXP((Tnet-t)/(Tau_j))))*Salcycl</f>
        <v>9.7107122354587239E-2</v>
      </c>
      <c r="P153" s="339">
        <f>(INDEX(Models!$BJ153:$BT153,,T153)*(1-R153)+INDEX(Models!$BJ153:$BT153,,T153+1)*R153-ERP_i)*Q153*Ramure*Pc/MaxiM</f>
        <v>5.0734880894166227E-4</v>
      </c>
      <c r="Q153" s="305">
        <f t="shared" si="51"/>
        <v>0.8</v>
      </c>
      <c r="R153" s="177">
        <f t="shared" si="52"/>
        <v>0.17173594581483967</v>
      </c>
      <c r="S153" s="809">
        <f t="shared" si="53"/>
        <v>0</v>
      </c>
      <c r="T153" s="176">
        <f t="shared" si="54"/>
        <v>6</v>
      </c>
      <c r="U153" s="251">
        <f t="shared" si="55"/>
        <v>0.17173594581483967</v>
      </c>
      <c r="V153" s="383">
        <f t="shared" si="56"/>
        <v>53.357173193049505</v>
      </c>
      <c r="W153" s="402"/>
      <c r="X153" s="157">
        <f t="shared" si="57"/>
        <v>44700</v>
      </c>
      <c r="Y153" s="385">
        <f t="shared" si="58"/>
        <v>45.683814290589297</v>
      </c>
      <c r="Z153" s="385">
        <f t="shared" si="59"/>
        <v>47.73018047048884</v>
      </c>
      <c r="AA153" s="386">
        <f t="shared" si="60"/>
        <v>56.107420634223388</v>
      </c>
      <c r="AB153" s="197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0.14930716951591158</v>
      </c>
      <c r="AD153" s="231">
        <f>(INDEX(Models!$BJ153:$BT153,,AH153)*(1-AF153)+INDEX(Models!$BJ153:$BT153,,AH153+1)*AF153-ERP_i)*AE153*Ramure*Pc/MaxiM</f>
        <v>4.4078760669628058E-3</v>
      </c>
      <c r="AE153" s="305">
        <f t="shared" si="62"/>
        <v>0.8</v>
      </c>
      <c r="AF153" s="177">
        <f t="shared" si="63"/>
        <v>0.37245269297974315</v>
      </c>
      <c r="AG153" s="809">
        <f t="shared" si="71"/>
        <v>1</v>
      </c>
      <c r="AH153" s="176">
        <f t="shared" si="64"/>
        <v>7</v>
      </c>
      <c r="AI153" s="225">
        <f t="shared" si="65"/>
        <v>1.3724526929797431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44701</v>
      </c>
      <c r="B154" s="616">
        <v>43.265999999999998</v>
      </c>
      <c r="C154" s="839"/>
      <c r="D154" s="393">
        <f t="shared" si="48"/>
        <v>45.205126522329387</v>
      </c>
      <c r="E154" s="385">
        <f t="shared" si="69"/>
        <v>50.079044253522142</v>
      </c>
      <c r="F154" s="385">
        <f t="shared" si="49"/>
        <v>50.098526216971578</v>
      </c>
      <c r="G154" s="110">
        <f t="shared" si="70"/>
        <v>0.80996018273037196</v>
      </c>
      <c r="H154" s="414" t="b">
        <f>Wh_hp&gt;='2021'!Maxi_hp</f>
        <v>0</v>
      </c>
      <c r="I154" s="380">
        <f>IF(H154,Wh_hp,'2021'!Maxi_hp)</f>
        <v>61.584962409087645</v>
      </c>
      <c r="J154" s="85">
        <f>IF(H154,An,'2021'!An_max)</f>
        <v>2021</v>
      </c>
      <c r="K154" s="197">
        <f t="shared" si="50"/>
        <v>44701</v>
      </c>
      <c r="L154" s="147">
        <f>IF(t&lt;Tvie,1-EXP((T0-t)*PertePVj)+'2021'!Pspv,1-EXP((T0-t)*PertePVj)+Pspv)</f>
        <v>4.2896164030677905E-2</v>
      </c>
      <c r="M154" s="843"/>
      <c r="N154" s="843"/>
      <c r="O154" s="48">
        <f>IF(t&lt;Tnet,'2021'!Resal+('2021'!Salim-'2021'!Resal)*(1-EXP(('2021'!Tnet-t)/('2021'!Tau_j))),Resal+(Salim-Resal)*(1-EXP((Tnet-t)/(Tau_j))))*Salcycl</f>
        <v>9.7324495781485887E-2</v>
      </c>
      <c r="P154" s="339">
        <f>(INDEX(Models!$BJ154:$BT154,,T154)*(1-R154)+INDEX(Models!$BJ154:$BT154,,T154+1)*R154-ERP_i)*Q154*Ramure*Pc/MaxiM</f>
        <v>5.3366611537022999E-4</v>
      </c>
      <c r="Q154" s="305">
        <f t="shared" si="51"/>
        <v>0.8</v>
      </c>
      <c r="R154" s="177">
        <f t="shared" si="52"/>
        <v>0.1768467641840325</v>
      </c>
      <c r="S154" s="809">
        <f t="shared" si="53"/>
        <v>0</v>
      </c>
      <c r="T154" s="176">
        <f t="shared" si="54"/>
        <v>6</v>
      </c>
      <c r="U154" s="251">
        <f t="shared" si="55"/>
        <v>0.1768467641840325</v>
      </c>
      <c r="V154" s="383">
        <f t="shared" si="56"/>
        <v>53.409703175182344</v>
      </c>
      <c r="W154" s="402"/>
      <c r="X154" s="157">
        <f t="shared" si="57"/>
        <v>44701</v>
      </c>
      <c r="Y154" s="385">
        <f t="shared" si="58"/>
        <v>40.648743918804925</v>
      </c>
      <c r="Z154" s="385">
        <f t="shared" si="59"/>
        <v>42.470568386801276</v>
      </c>
      <c r="AA154" s="386">
        <f t="shared" si="60"/>
        <v>49.933564882863521</v>
      </c>
      <c r="AB154" s="197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0.1494585158013311</v>
      </c>
      <c r="AD154" s="231">
        <f>(INDEX(Models!$BJ154:$BT154,,AH154)*(1-AF154)+INDEX(Models!$BJ154:$BT154,,AH154+1)*AF154-ERP_i)*AE154*Ramure*Pc/MaxiM</f>
        <v>4.5187578032486516E-3</v>
      </c>
      <c r="AE154" s="305">
        <f t="shared" si="62"/>
        <v>0.8</v>
      </c>
      <c r="AF154" s="177">
        <f t="shared" si="63"/>
        <v>0.37756351134893595</v>
      </c>
      <c r="AG154" s="809">
        <f t="shared" si="71"/>
        <v>1</v>
      </c>
      <c r="AH154" s="176">
        <f t="shared" si="64"/>
        <v>7</v>
      </c>
      <c r="AI154" s="225">
        <f t="shared" si="65"/>
        <v>1.377563511348936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44702</v>
      </c>
      <c r="B155" s="616">
        <v>42.158000000000001</v>
      </c>
      <c r="C155" s="839"/>
      <c r="D155" s="393">
        <f t="shared" si="48"/>
        <v>44.048504359350858</v>
      </c>
      <c r="E155" s="385">
        <f t="shared" si="69"/>
        <v>48.809486811496143</v>
      </c>
      <c r="F155" s="385">
        <f t="shared" si="49"/>
        <v>48.828604754025037</v>
      </c>
      <c r="G155" s="110">
        <f t="shared" si="70"/>
        <v>0.78850943965985121</v>
      </c>
      <c r="H155" s="414" t="b">
        <f>Wh_hp&gt;='2021'!Maxi_hp</f>
        <v>0</v>
      </c>
      <c r="I155" s="380">
        <f>IF(H155,Wh_hp,'2021'!Maxi_hp)</f>
        <v>60.33184776738014</v>
      </c>
      <c r="J155" s="85">
        <f>IF(H155,An,'2021'!An_max)</f>
        <v>2020</v>
      </c>
      <c r="K155" s="197">
        <f t="shared" si="50"/>
        <v>44702</v>
      </c>
      <c r="L155" s="147">
        <f>IF(t&lt;Tvie,1-EXP((T0-t)*PertePVj)+'2021'!Pspv,1-EXP((T0-t)*PertePVj)+Pspv)</f>
        <v>4.291869580696743E-2</v>
      </c>
      <c r="M155" s="843"/>
      <c r="N155" s="843"/>
      <c r="O155" s="48">
        <f>IF(t&lt;Tnet,'2021'!Resal+('2021'!Salim-'2021'!Resal)*(1-EXP(('2021'!Tnet-t)/('2021'!Tau_j))),Resal+(Salim-Resal)*(1-EXP((Tnet-t)/(Tau_j))))*Salcycl</f>
        <v>9.7542153445135685E-2</v>
      </c>
      <c r="P155" s="339">
        <f>(INDEX(Models!$BJ155:$BT155,,T155)*(1-R155)+INDEX(Models!$BJ155:$BT155,,T155+1)*R155-ERP_i)*Q155*Ramure*Pc/MaxiM</f>
        <v>5.608841277274188E-4</v>
      </c>
      <c r="Q155" s="305">
        <f t="shared" si="51"/>
        <v>0.8</v>
      </c>
      <c r="R155" s="177">
        <f t="shared" si="52"/>
        <v>0.18204368520916392</v>
      </c>
      <c r="S155" s="809">
        <f t="shared" si="53"/>
        <v>0</v>
      </c>
      <c r="T155" s="176">
        <f t="shared" si="54"/>
        <v>6</v>
      </c>
      <c r="U155" s="251">
        <f t="shared" si="55"/>
        <v>0.18204368520916392</v>
      </c>
      <c r="V155" s="383">
        <f t="shared" si="56"/>
        <v>53.456376703031339</v>
      </c>
      <c r="W155" s="402"/>
      <c r="X155" s="157">
        <f t="shared" si="57"/>
        <v>44702</v>
      </c>
      <c r="Y155" s="385">
        <f t="shared" si="58"/>
        <v>39.612685412300422</v>
      </c>
      <c r="Z155" s="385">
        <f t="shared" si="59"/>
        <v>41.389049434729095</v>
      </c>
      <c r="AA155" s="386">
        <f t="shared" si="60"/>
        <v>48.67069113858561</v>
      </c>
      <c r="AB155" s="197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0.14961040276010595</v>
      </c>
      <c r="AD155" s="231">
        <f>(INDEX(Models!$BJ155:$BT155,,AH155)*(1-AF155)+INDEX(Models!$BJ155:$BT155,,AH155+1)*AF155-ERP_i)*AE155*Ramure*Pc/MaxiM</f>
        <v>4.6328855899709503E-3</v>
      </c>
      <c r="AE155" s="305">
        <f t="shared" si="62"/>
        <v>0.8</v>
      </c>
      <c r="AF155" s="177">
        <f t="shared" si="63"/>
        <v>0.38276043237406743</v>
      </c>
      <c r="AG155" s="809">
        <f t="shared" si="71"/>
        <v>1</v>
      </c>
      <c r="AH155" s="176">
        <f t="shared" si="64"/>
        <v>7</v>
      </c>
      <c r="AI155" s="225">
        <f t="shared" si="65"/>
        <v>1.3827604323740674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44703</v>
      </c>
      <c r="B156" s="616">
        <v>31.158000000000001</v>
      </c>
      <c r="C156" s="839"/>
      <c r="D156" s="393">
        <f t="shared" si="48"/>
        <v>32.555994345310559</v>
      </c>
      <c r="E156" s="385">
        <f t="shared" si="69"/>
        <v>36.083520023638279</v>
      </c>
      <c r="F156" s="385">
        <f t="shared" si="49"/>
        <v>36.092093612667618</v>
      </c>
      <c r="G156" s="110">
        <f t="shared" si="70"/>
        <v>0.58221405505326773</v>
      </c>
      <c r="H156" s="414" t="b">
        <f>Wh_hp&gt;='2021'!Maxi_hp</f>
        <v>0</v>
      </c>
      <c r="I156" s="380">
        <f>IF(H156,Wh_hp,'2021'!Maxi_hp)</f>
        <v>60.101475651272665</v>
      </c>
      <c r="J156" s="85">
        <f>IF(H156,An,'2021'!An_max)</f>
        <v>2019</v>
      </c>
      <c r="K156" s="197">
        <f t="shared" si="50"/>
        <v>44703</v>
      </c>
      <c r="L156" s="147">
        <f>IF(t&lt;Tvie,1-EXP((T0-t)*PertePVj)+'2021'!Pspv,1-EXP((T0-t)*PertePVj)+Pspv)</f>
        <v>4.2941227058909612E-2</v>
      </c>
      <c r="M156" s="843"/>
      <c r="N156" s="843"/>
      <c r="O156" s="48">
        <f>IF(t&lt;Tnet,'2021'!Resal+('2021'!Salim-'2021'!Resal)*(1-EXP(('2021'!Tnet-t)/('2021'!Tau_j))),Resal+(Salim-Resal)*(1-EXP((Tnet-t)/(Tau_j))))*Salcycl</f>
        <v>9.7760021084884269E-2</v>
      </c>
      <c r="P156" s="339">
        <f>(INDEX(Models!$BJ156:$BT156,,T156)*(1-R156)+INDEX(Models!$BJ156:$BT156,,T156+1)*R156-ERP_i)*Q156*Ramure*Pc/MaxiM</f>
        <v>5.8878294819257116E-4</v>
      </c>
      <c r="Q156" s="305">
        <f t="shared" si="51"/>
        <v>0.8</v>
      </c>
      <c r="R156" s="177">
        <f t="shared" si="52"/>
        <v>0.18732440550383062</v>
      </c>
      <c r="S156" s="809">
        <f t="shared" si="53"/>
        <v>0</v>
      </c>
      <c r="T156" s="176">
        <f t="shared" si="54"/>
        <v>6</v>
      </c>
      <c r="U156" s="251">
        <f t="shared" si="55"/>
        <v>0.18732440550383062</v>
      </c>
      <c r="V156" s="383">
        <f t="shared" si="56"/>
        <v>53.497598241350346</v>
      </c>
      <c r="W156" s="402"/>
      <c r="X156" s="157">
        <f t="shared" si="57"/>
        <v>44703</v>
      </c>
      <c r="Y156" s="385">
        <f t="shared" si="58"/>
        <v>29.312842380887464</v>
      </c>
      <c r="Z156" s="385">
        <f t="shared" si="59"/>
        <v>30.628048359880349</v>
      </c>
      <c r="AA156" s="386">
        <f t="shared" si="60"/>
        <v>36.022941931512882</v>
      </c>
      <c r="AB156" s="197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0.1497627146025261</v>
      </c>
      <c r="AD156" s="231">
        <f>(INDEX(Models!$BJ156:$BT156,,AH156)*(1-AF156)+INDEX(Models!$BJ156:$BT156,,AH156+1)*AF156-ERP_i)*AE156*Ramure*Pc/MaxiM</f>
        <v>4.7489249325382158E-3</v>
      </c>
      <c r="AE156" s="305">
        <f t="shared" si="62"/>
        <v>0.8</v>
      </c>
      <c r="AF156" s="177">
        <f t="shared" si="63"/>
        <v>0.38804115266873396</v>
      </c>
      <c r="AG156" s="809">
        <f t="shared" si="71"/>
        <v>1</v>
      </c>
      <c r="AH156" s="176">
        <f t="shared" si="64"/>
        <v>7</v>
      </c>
      <c r="AI156" s="225">
        <f t="shared" si="65"/>
        <v>1.388041152668734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44704</v>
      </c>
      <c r="B157" s="616">
        <v>18.245999999999999</v>
      </c>
      <c r="C157" s="839"/>
      <c r="D157" s="393">
        <f t="shared" si="48"/>
        <v>19.065108712915301</v>
      </c>
      <c r="E157" s="385">
        <f t="shared" si="69"/>
        <v>21.135969166454156</v>
      </c>
      <c r="F157" s="385">
        <f t="shared" si="49"/>
        <v>21.136730359566673</v>
      </c>
      <c r="G157" s="110">
        <f t="shared" si="70"/>
        <v>0.34063350342673365</v>
      </c>
      <c r="H157" s="414" t="b">
        <f>Wh_hp&gt;='2021'!Maxi_hp</f>
        <v>0</v>
      </c>
      <c r="I157" s="380">
        <f>IF(H157,Wh_hp,'2021'!Maxi_hp)</f>
        <v>57.387775282609631</v>
      </c>
      <c r="J157" s="85">
        <f>IF(H157,An,'2021'!An_max)</f>
        <v>2020</v>
      </c>
      <c r="K157" s="197">
        <f t="shared" si="50"/>
        <v>44704</v>
      </c>
      <c r="L157" s="147">
        <f>IF(t&lt;Tvie,1-EXP((T0-t)*PertePVj)+'2021'!Pspv,1-EXP((T0-t)*PertePVj)+Pspv)</f>
        <v>4.2963757786516663E-2</v>
      </c>
      <c r="M157" s="843"/>
      <c r="N157" s="843"/>
      <c r="O157" s="48">
        <f>IF(t&lt;Tnet,'2021'!Resal+('2021'!Salim-'2021'!Resal)*(1-EXP(('2021'!Tnet-t)/('2021'!Tau_j))),Resal+(Salim-Resal)*(1-EXP((Tnet-t)/(Tau_j))))*Salcycl</f>
        <v>9.7978022073651264E-2</v>
      </c>
      <c r="P157" s="339">
        <f>(INDEX(Models!$BJ157:$BT157,,T157)*(1-R157)+INDEX(Models!$BJ157:$BT157,,T157+1)*R157-ERP_i)*Q157*Ramure*Pc/MaxiM</f>
        <v>6.1738778095356934E-4</v>
      </c>
      <c r="Q157" s="305">
        <f t="shared" si="51"/>
        <v>0.8</v>
      </c>
      <c r="R157" s="177">
        <f t="shared" si="52"/>
        <v>0.19268640310195745</v>
      </c>
      <c r="S157" s="809">
        <f t="shared" si="53"/>
        <v>0</v>
      </c>
      <c r="T157" s="176">
        <f t="shared" si="54"/>
        <v>6</v>
      </c>
      <c r="U157" s="251">
        <f t="shared" si="55"/>
        <v>0.19268640310195745</v>
      </c>
      <c r="V157" s="383">
        <f t="shared" si="56"/>
        <v>53.533758913479893</v>
      </c>
      <c r="W157" s="402"/>
      <c r="X157" s="157">
        <f t="shared" si="57"/>
        <v>44704</v>
      </c>
      <c r="Y157" s="385">
        <f t="shared" si="58"/>
        <v>17.191157210539689</v>
      </c>
      <c r="Z157" s="385">
        <f t="shared" si="59"/>
        <v>17.9629113843997</v>
      </c>
      <c r="AA157" s="386">
        <f t="shared" si="60"/>
        <v>21.130732115151623</v>
      </c>
      <c r="AB157" s="197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0.1499153324877211</v>
      </c>
      <c r="AD157" s="231">
        <f>(INDEX(Models!$BJ157:$BT157,,AH157)*(1-AF157)+INDEX(Models!$BJ157:$BT157,,AH157+1)*AF157-ERP_i)*AE157*Ramure*Pc/MaxiM</f>
        <v>4.8650503375780446E-3</v>
      </c>
      <c r="AE157" s="305">
        <f t="shared" si="62"/>
        <v>0.8</v>
      </c>
      <c r="AF157" s="177">
        <f t="shared" si="63"/>
        <v>0.3934031502668609</v>
      </c>
      <c r="AG157" s="809">
        <f t="shared" si="71"/>
        <v>1</v>
      </c>
      <c r="AH157" s="176">
        <f t="shared" si="64"/>
        <v>7</v>
      </c>
      <c r="AI157" s="225">
        <f t="shared" si="65"/>
        <v>1.3934031502668609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44705</v>
      </c>
      <c r="B158" s="616">
        <v>15.665000000000001</v>
      </c>
      <c r="C158" s="839"/>
      <c r="D158" s="393">
        <f t="shared" si="48"/>
        <v>16.36862649239978</v>
      </c>
      <c r="E158" s="385">
        <f t="shared" si="69"/>
        <v>18.150981700437693</v>
      </c>
      <c r="F158" s="385">
        <f t="shared" si="49"/>
        <v>18.150981700437693</v>
      </c>
      <c r="G158" s="110">
        <f t="shared" si="70"/>
        <v>0.29225793216526424</v>
      </c>
      <c r="H158" s="414" t="b">
        <f>Wh_hp&gt;='2021'!Maxi_hp</f>
        <v>0</v>
      </c>
      <c r="I158" s="380">
        <f>IF(H158,Wh_hp,'2021'!Maxi_hp)</f>
        <v>32.282065944533301</v>
      </c>
      <c r="J158" s="85">
        <f>IF(H158,An,'2021'!An_max)</f>
        <v>2021</v>
      </c>
      <c r="K158" s="197">
        <f t="shared" si="50"/>
        <v>44705</v>
      </c>
      <c r="L158" s="147">
        <f>IF(t&lt;Tvie,1-EXP((T0-t)*PertePVj)+'2021'!Pspv,1-EXP((T0-t)*PertePVj)+Pspv)</f>
        <v>4.2986287989800795E-2</v>
      </c>
      <c r="M158" s="843"/>
      <c r="N158" s="843"/>
      <c r="O158" s="48">
        <f>IF(t&lt;Tnet,'2021'!Resal+('2021'!Salim-'2021'!Resal)*(1-EXP(('2021'!Tnet-t)/('2021'!Tau_j))),Resal+(Salim-Resal)*(1-EXP((Tnet-t)/(Tau_j))))*Salcycl</f>
        <v>9.8196077625648817E-2</v>
      </c>
      <c r="P158" s="339">
        <f>(INDEX(Models!$BJ158:$BT158,,T158)*(1-R158)+INDEX(Models!$BJ158:$BT158,,T158+1)*R158-ERP_i)*Q158*Ramure*Pc/MaxiM</f>
        <v>6.4667045221593247E-4</v>
      </c>
      <c r="Q158" s="305">
        <f t="shared" si="51"/>
        <v>0.8</v>
      </c>
      <c r="R158" s="177">
        <f t="shared" si="52"/>
        <v>0.19812693853895286</v>
      </c>
      <c r="S158" s="809">
        <f t="shared" si="53"/>
        <v>0</v>
      </c>
      <c r="T158" s="176">
        <f t="shared" si="54"/>
        <v>6</v>
      </c>
      <c r="U158" s="251">
        <f t="shared" si="55"/>
        <v>0.19812693853895286</v>
      </c>
      <c r="V158" s="383">
        <f t="shared" si="56"/>
        <v>53.565252417216236</v>
      </c>
      <c r="W158" s="402"/>
      <c r="X158" s="157">
        <f t="shared" si="57"/>
        <v>44705</v>
      </c>
      <c r="Y158" s="385">
        <f t="shared" si="58"/>
        <v>14.763944064946148</v>
      </c>
      <c r="Z158" s="385">
        <f t="shared" si="59"/>
        <v>15.427097730851326</v>
      </c>
      <c r="AA158" s="386">
        <f t="shared" si="60"/>
        <v>18.150981700437693</v>
      </c>
      <c r="AB158" s="197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0.15006813485579593</v>
      </c>
      <c r="AD158" s="231">
        <f>(INDEX(Models!$BJ158:$BT158,,AH158)*(1-AF158)+INDEX(Models!$BJ158:$BT158,,AH158+1)*AF158-ERP_i)*AE158*Ramure*Pc/MaxiM</f>
        <v>4.9811497940387087E-3</v>
      </c>
      <c r="AE158" s="305">
        <f t="shared" si="62"/>
        <v>0.8</v>
      </c>
      <c r="AF158" s="177">
        <f t="shared" si="63"/>
        <v>0.3988436857038562</v>
      </c>
      <c r="AG158" s="809">
        <f t="shared" si="71"/>
        <v>1</v>
      </c>
      <c r="AH158" s="176">
        <f t="shared" si="64"/>
        <v>7</v>
      </c>
      <c r="AI158" s="225">
        <f t="shared" si="65"/>
        <v>1.3988436857038562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44706</v>
      </c>
      <c r="B159" s="616">
        <v>36.521000000000001</v>
      </c>
      <c r="C159" s="839"/>
      <c r="D159" s="393">
        <f t="shared" si="48"/>
        <v>38.162316094736653</v>
      </c>
      <c r="E159" s="385">
        <f t="shared" si="69"/>
        <v>42.327987152356911</v>
      </c>
      <c r="F159" s="385">
        <f t="shared" si="49"/>
        <v>42.343599543051702</v>
      </c>
      <c r="G159" s="110">
        <f t="shared" si="70"/>
        <v>0.68124775232454782</v>
      </c>
      <c r="H159" s="414" t="b">
        <f>Wh_hp&gt;='2021'!Maxi_hp</f>
        <v>0</v>
      </c>
      <c r="I159" s="380">
        <f>IF(H159,Wh_hp,'2021'!Maxi_hp)</f>
        <v>58.648188470902781</v>
      </c>
      <c r="J159" s="85">
        <f>IF(H159,An,'2021'!An_max)</f>
        <v>2020</v>
      </c>
      <c r="K159" s="197">
        <f t="shared" si="50"/>
        <v>44706</v>
      </c>
      <c r="L159" s="147">
        <f>IF(t&lt;Tvie,1-EXP((T0-t)*PertePVj)+'2021'!Pspv,1-EXP((T0-t)*PertePVj)+Pspv)</f>
        <v>4.3008817668774221E-2</v>
      </c>
      <c r="M159" s="843"/>
      <c r="N159" s="843"/>
      <c r="O159" s="48">
        <f>IF(t&lt;Tnet,'2021'!Resal+('2021'!Salim-'2021'!Resal)*(1-EXP(('2021'!Tnet-t)/('2021'!Tau_j))),Resal+(Salim-Resal)*(1-EXP((Tnet-t)/(Tau_j))))*Salcycl</f>
        <v>9.8414107021583333E-2</v>
      </c>
      <c r="P159" s="339">
        <f>(INDEX(Models!$BJ159:$BT159,,T159)*(1-R159)+INDEX(Models!$BJ159:$BT159,,T159+1)*R159-ERP_i)*Q159*Ramure*Pc/MaxiM</f>
        <v>6.7660211575906628E-4</v>
      </c>
      <c r="Q159" s="305">
        <f t="shared" si="51"/>
        <v>0.8</v>
      </c>
      <c r="R159" s="177">
        <f t="shared" si="52"/>
        <v>0.20364305704021335</v>
      </c>
      <c r="S159" s="809">
        <f t="shared" si="53"/>
        <v>0</v>
      </c>
      <c r="T159" s="176">
        <f t="shared" si="54"/>
        <v>6</v>
      </c>
      <c r="U159" s="251">
        <f t="shared" si="55"/>
        <v>0.20364305704021335</v>
      </c>
      <c r="V159" s="383">
        <f t="shared" si="56"/>
        <v>53.592472192789337</v>
      </c>
      <c r="W159" s="402"/>
      <c r="X159" s="157">
        <f t="shared" si="57"/>
        <v>44706</v>
      </c>
      <c r="Y159" s="385">
        <f t="shared" si="58"/>
        <v>34.33948034158486</v>
      </c>
      <c r="Z159" s="385">
        <f t="shared" si="59"/>
        <v>35.88275521821847</v>
      </c>
      <c r="AA159" s="386">
        <f t="shared" si="60"/>
        <v>42.225984785046073</v>
      </c>
      <c r="AB159" s="197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0.15022099778414158</v>
      </c>
      <c r="AD159" s="231">
        <f>(INDEX(Models!$BJ159:$BT159,,AH159)*(1-AF159)+INDEX(Models!$BJ159:$BT159,,AH159+1)*AF159-ERP_i)*AE159*Ramure*Pc/MaxiM</f>
        <v>5.0971305847245605E-3</v>
      </c>
      <c r="AE159" s="305">
        <f t="shared" si="62"/>
        <v>0.8</v>
      </c>
      <c r="AF159" s="177">
        <f t="shared" si="63"/>
        <v>0.40435980420511664</v>
      </c>
      <c r="AG159" s="809">
        <f t="shared" si="71"/>
        <v>1</v>
      </c>
      <c r="AH159" s="176">
        <f t="shared" si="64"/>
        <v>7</v>
      </c>
      <c r="AI159" s="225">
        <f t="shared" si="65"/>
        <v>1.4043598042051166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44707</v>
      </c>
      <c r="B160" s="616">
        <v>19.829000000000001</v>
      </c>
      <c r="C160" s="839"/>
      <c r="D160" s="393">
        <f t="shared" si="48"/>
        <v>20.720636913424322</v>
      </c>
      <c r="E160" s="385">
        <f t="shared" si="69"/>
        <v>22.987988872082898</v>
      </c>
      <c r="F160" s="385">
        <f t="shared" si="49"/>
        <v>22.989610748242253</v>
      </c>
      <c r="G160" s="110">
        <f t="shared" si="70"/>
        <v>0.36959947733499265</v>
      </c>
      <c r="H160" s="414" t="b">
        <f>Wh_hp&gt;='2021'!Maxi_hp</f>
        <v>0</v>
      </c>
      <c r="I160" s="380">
        <f>IF(H160,Wh_hp,'2021'!Maxi_hp)</f>
        <v>61.484504066070642</v>
      </c>
      <c r="J160" s="85">
        <f>IF(H160,An,'2021'!An_max)</f>
        <v>2020</v>
      </c>
      <c r="K160" s="197">
        <f t="shared" si="50"/>
        <v>44707</v>
      </c>
      <c r="L160" s="147">
        <f>IF(t&lt;Tvie,1-EXP((T0-t)*PertePVj)+'2021'!Pspv,1-EXP((T0-t)*PertePVj)+Pspv)</f>
        <v>4.3031346823449043E-2</v>
      </c>
      <c r="M160" s="843"/>
      <c r="N160" s="843"/>
      <c r="O160" s="48">
        <f>IF(t&lt;Tnet,'2021'!Resal+('2021'!Salim-'2021'!Resal)*(1-EXP(('2021'!Tnet-t)/('2021'!Tau_j))),Resal+(Salim-Resal)*(1-EXP((Tnet-t)/(Tau_j))))*Salcycl</f>
        <v>9.8632027850513573E-2</v>
      </c>
      <c r="P160" s="339">
        <f>(INDEX(Models!$BJ160:$BT160,,T160)*(1-R160)+INDEX(Models!$BJ160:$BT160,,T160+1)*R160-ERP_i)*Q160*Ramure*Pc/MaxiM</f>
        <v>7.0714976420136974E-4</v>
      </c>
      <c r="Q160" s="305">
        <f t="shared" si="51"/>
        <v>0.8</v>
      </c>
      <c r="R160" s="177">
        <f t="shared" si="52"/>
        <v>0.20923159184921214</v>
      </c>
      <c r="S160" s="809">
        <f t="shared" si="53"/>
        <v>0</v>
      </c>
      <c r="T160" s="176">
        <f t="shared" si="54"/>
        <v>6</v>
      </c>
      <c r="U160" s="251">
        <f t="shared" si="55"/>
        <v>0.20923159184921214</v>
      </c>
      <c r="V160" s="383">
        <f t="shared" si="56"/>
        <v>53.61581158149388</v>
      </c>
      <c r="W160" s="402"/>
      <c r="X160" s="157">
        <f t="shared" si="57"/>
        <v>44707</v>
      </c>
      <c r="Y160" s="385">
        <f t="shared" si="58"/>
        <v>18.682341693652685</v>
      </c>
      <c r="Z160" s="385">
        <f t="shared" si="59"/>
        <v>19.522417616960315</v>
      </c>
      <c r="AA160" s="386">
        <f t="shared" si="60"/>
        <v>22.977654773938195</v>
      </c>
      <c r="AB160" s="197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0.15037379536648332</v>
      </c>
      <c r="AD160" s="231">
        <f>(INDEX(Models!$BJ160:$BT160,,AH160)*(1-AF160)+INDEX(Models!$BJ160:$BT160,,AH160+1)*AF160-ERP_i)*AE160*Ramure*Pc/MaxiM</f>
        <v>5.2128914782718916E-3</v>
      </c>
      <c r="AE160" s="305">
        <f t="shared" si="62"/>
        <v>0.8</v>
      </c>
      <c r="AF160" s="177">
        <f t="shared" si="63"/>
        <v>0.40994833901411543</v>
      </c>
      <c r="AG160" s="809">
        <f t="shared" si="71"/>
        <v>1</v>
      </c>
      <c r="AH160" s="176">
        <f t="shared" si="64"/>
        <v>7</v>
      </c>
      <c r="AI160" s="225">
        <f t="shared" si="65"/>
        <v>1.4099483390141154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44708</v>
      </c>
      <c r="B161" s="616">
        <v>42.869</v>
      </c>
      <c r="C161" s="839"/>
      <c r="D161" s="393">
        <f t="shared" si="48"/>
        <v>44.797715253124494</v>
      </c>
      <c r="E161" s="385">
        <f t="shared" si="69"/>
        <v>49.711705195317052</v>
      </c>
      <c r="F161" s="385">
        <f t="shared" si="49"/>
        <v>49.737895319212313</v>
      </c>
      <c r="G161" s="110">
        <f t="shared" si="70"/>
        <v>0.79909366691618966</v>
      </c>
      <c r="H161" s="414" t="b">
        <f>Wh_hp&gt;='2021'!Maxi_hp</f>
        <v>0</v>
      </c>
      <c r="I161" s="380">
        <f>IF(H161,Wh_hp,'2021'!Maxi_hp)</f>
        <v>61.220926609696406</v>
      </c>
      <c r="J161" s="85">
        <f>IF(H161,An,'2021'!An_max)</f>
        <v>2020</v>
      </c>
      <c r="K161" s="197">
        <f t="shared" si="50"/>
        <v>44708</v>
      </c>
      <c r="L161" s="147">
        <f>IF(t&lt;Tvie,1-EXP((T0-t)*PertePVj)+'2021'!Pspv,1-EXP((T0-t)*PertePVj)+Pspv)</f>
        <v>4.3053875453837473E-2</v>
      </c>
      <c r="M161" s="843"/>
      <c r="N161" s="843"/>
      <c r="O161" s="48">
        <f>IF(t&lt;Tnet,'2021'!Resal+('2021'!Salim-'2021'!Resal)*(1-EXP(('2021'!Tnet-t)/('2021'!Tau_j))),Resal+(Salim-Resal)*(1-EXP((Tnet-t)/(Tau_j))))*Salcycl</f>
        <v>9.8849756267372399E-2</v>
      </c>
      <c r="P161" s="339">
        <f>(INDEX(Models!$BJ161:$BT161,,T161)*(1-R161)+INDEX(Models!$BJ161:$BT161,,T161+1)*R161-ERP_i)*Q161*Ramure*Pc/MaxiM</f>
        <v>7.3827613918975808E-4</v>
      </c>
      <c r="Q161" s="305">
        <f t="shared" si="51"/>
        <v>0.8</v>
      </c>
      <c r="R161" s="177">
        <f t="shared" si="52"/>
        <v>0.21488916871838318</v>
      </c>
      <c r="S161" s="809">
        <f t="shared" si="53"/>
        <v>0</v>
      </c>
      <c r="T161" s="176">
        <f t="shared" si="54"/>
        <v>6</v>
      </c>
      <c r="U161" s="251">
        <f t="shared" si="55"/>
        <v>0.21488916871838318</v>
      </c>
      <c r="V161" s="383">
        <f t="shared" si="56"/>
        <v>53.635663818204861</v>
      </c>
      <c r="W161" s="402"/>
      <c r="X161" s="157">
        <f t="shared" si="57"/>
        <v>44708</v>
      </c>
      <c r="Y161" s="385">
        <f t="shared" si="58"/>
        <v>40.278303472713112</v>
      </c>
      <c r="Z161" s="385">
        <f t="shared" si="59"/>
        <v>42.090460935630354</v>
      </c>
      <c r="AA161" s="386">
        <f t="shared" si="60"/>
        <v>49.548874669240838</v>
      </c>
      <c r="AB161" s="197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0.15052640011298896</v>
      </c>
      <c r="AD161" s="231">
        <f>(INDEX(Models!$BJ161:$BT161,,AH161)*(1-AF161)+INDEX(Models!$BJ161:$BT161,,AH161+1)*AF161-ERP_i)*AE161*Ramure*Pc/MaxiM</f>
        <v>5.3283228535373267E-3</v>
      </c>
      <c r="AE161" s="305">
        <f t="shared" si="62"/>
        <v>0.8</v>
      </c>
      <c r="AF161" s="177">
        <f t="shared" si="63"/>
        <v>0.41560591588328655</v>
      </c>
      <c r="AG161" s="809">
        <f t="shared" si="71"/>
        <v>1</v>
      </c>
      <c r="AH161" s="176">
        <f t="shared" si="64"/>
        <v>7</v>
      </c>
      <c r="AI161" s="225">
        <f t="shared" si="65"/>
        <v>1.4156059158832865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44709</v>
      </c>
      <c r="B162" s="616">
        <v>49.124000000000002</v>
      </c>
      <c r="C162" s="839"/>
      <c r="D162" s="393">
        <f t="shared" si="48"/>
        <v>51.335341904778339</v>
      </c>
      <c r="E162" s="385">
        <f t="shared" si="69"/>
        <v>56.980212418439471</v>
      </c>
      <c r="F162" s="385">
        <f t="shared" si="49"/>
        <v>57.018820073046456</v>
      </c>
      <c r="G162" s="110">
        <f t="shared" si="70"/>
        <v>0.9155120048637323</v>
      </c>
      <c r="H162" s="414" t="b">
        <f>Wh_hp&gt;='2021'!Maxi_hp</f>
        <v>0</v>
      </c>
      <c r="I162" s="380">
        <f>IF(H162,Wh_hp,'2021'!Maxi_hp)</f>
        <v>59.964902917287468</v>
      </c>
      <c r="J162" s="85">
        <f>IF(H162,An,'2021'!An_max)</f>
        <v>2020</v>
      </c>
      <c r="K162" s="197">
        <f t="shared" si="50"/>
        <v>44709</v>
      </c>
      <c r="L162" s="147">
        <f>IF(t&lt;Tvie,1-EXP((T0-t)*PertePVj)+'2021'!Pspv,1-EXP((T0-t)*PertePVj)+Pspv)</f>
        <v>4.3076403559951834E-2</v>
      </c>
      <c r="M162" s="843"/>
      <c r="N162" s="843"/>
      <c r="O162" s="48">
        <f>IF(t&lt;Tnet,'2021'!Resal+('2021'!Salim-'2021'!Resal)*(1-EXP(('2021'!Tnet-t)/('2021'!Tau_j))),Resal+(Salim-Resal)*(1-EXP((Tnet-t)/(Tau_j))))*Salcycl</f>
        <v>9.9067207264997667E-2</v>
      </c>
      <c r="P162" s="339">
        <f>(INDEX(Models!$BJ162:$BT162,,T162)*(1-R162)+INDEX(Models!$BJ162:$BT162,,T162+1)*R162-ERP_i)*Q162*Ramure*Pc/MaxiM</f>
        <v>7.6993966605776003E-4</v>
      </c>
      <c r="Q162" s="305">
        <f t="shared" si="51"/>
        <v>0.8</v>
      </c>
      <c r="R162" s="177">
        <f t="shared" si="52"/>
        <v>0.22061221157623404</v>
      </c>
      <c r="S162" s="809">
        <f t="shared" si="53"/>
        <v>0</v>
      </c>
      <c r="T162" s="176">
        <f t="shared" si="54"/>
        <v>6</v>
      </c>
      <c r="U162" s="251">
        <f t="shared" si="55"/>
        <v>0.22061221157623404</v>
      </c>
      <c r="V162" s="383">
        <f t="shared" si="56"/>
        <v>53.65242200597492</v>
      </c>
      <c r="W162" s="402"/>
      <c r="X162" s="157">
        <f t="shared" si="57"/>
        <v>44709</v>
      </c>
      <c r="Y162" s="385">
        <f t="shared" si="58"/>
        <v>46.119391079203503</v>
      </c>
      <c r="Z162" s="385">
        <f t="shared" si="59"/>
        <v>48.195478981579178</v>
      </c>
      <c r="AA162" s="386">
        <f t="shared" si="60"/>
        <v>56.745872307533979</v>
      </c>
      <c r="AB162" s="197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0.15067868336953197</v>
      </c>
      <c r="AD162" s="231">
        <f>(INDEX(Models!$BJ162:$BT162,,AH162)*(1-AF162)+INDEX(Models!$BJ162:$BT162,,AH162+1)*AF162-ERP_i)*AE162*Ramure*Pc/MaxiM</f>
        <v>5.4433068667133298E-3</v>
      </c>
      <c r="AE162" s="305">
        <f t="shared" si="62"/>
        <v>0.8</v>
      </c>
      <c r="AF162" s="177">
        <f t="shared" si="63"/>
        <v>0.42132895874113752</v>
      </c>
      <c r="AG162" s="809">
        <f t="shared" si="71"/>
        <v>1</v>
      </c>
      <c r="AH162" s="176">
        <f t="shared" si="64"/>
        <v>7</v>
      </c>
      <c r="AI162" s="225">
        <f t="shared" si="65"/>
        <v>1.4213289587411375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44710</v>
      </c>
      <c r="B163" s="616">
        <v>52.606999999999999</v>
      </c>
      <c r="C163" s="839"/>
      <c r="D163" s="393">
        <f t="shared" si="48"/>
        <v>54.976425162501187</v>
      </c>
      <c r="E163" s="385">
        <f t="shared" si="69"/>
        <v>61.036379020415367</v>
      </c>
      <c r="F163" s="385">
        <f t="shared" si="49"/>
        <v>61.083995775588619</v>
      </c>
      <c r="G163" s="110">
        <f t="shared" si="70"/>
        <v>0.98026477848952021</v>
      </c>
      <c r="H163" s="414" t="b">
        <f>Wh_hp&gt;='2021'!Maxi_hp</f>
        <v>1</v>
      </c>
      <c r="I163" s="380">
        <f>IF(H163,Wh_hp,'2021'!Maxi_hp)</f>
        <v>61.083995775588619</v>
      </c>
      <c r="J163" s="85">
        <f>IF(H163,An,'2021'!An_max)</f>
        <v>2022</v>
      </c>
      <c r="K163" s="197">
        <f t="shared" si="50"/>
        <v>44710</v>
      </c>
      <c r="L163" s="147">
        <f>IF(t&lt;Tvie,1-EXP((T0-t)*PertePVj)+'2021'!Pspv,1-EXP((T0-t)*PertePVj)+Pspv)</f>
        <v>4.3098931141804228E-2</v>
      </c>
      <c r="M163" s="843"/>
      <c r="N163" s="843"/>
      <c r="O163" s="48">
        <f>IF(t&lt;Tnet,'2021'!Resal+('2021'!Salim-'2021'!Resal)*(1-EXP(('2021'!Tnet-t)/('2021'!Tau_j))),Resal+(Salim-Resal)*(1-EXP((Tnet-t)/(Tau_j))))*Salcycl</f>
        <v>9.9284294959359531E-2</v>
      </c>
      <c r="P163" s="339">
        <f>(INDEX(Models!$BJ163:$BT163,,T163)*(1-R163)+INDEX(Models!$BJ163:$BT163,,T163+1)*R163-ERP_i)*Q163*Ramure*Pc/MaxiM</f>
        <v>8.0211800629799012E-4</v>
      </c>
      <c r="Q163" s="305">
        <f t="shared" si="51"/>
        <v>0.8</v>
      </c>
      <c r="R163" s="177">
        <f t="shared" si="52"/>
        <v>0.22639694937370042</v>
      </c>
      <c r="S163" s="809">
        <f t="shared" si="53"/>
        <v>0</v>
      </c>
      <c r="T163" s="176">
        <f t="shared" si="54"/>
        <v>6</v>
      </c>
      <c r="U163" s="251">
        <f t="shared" si="55"/>
        <v>0.22639694937370042</v>
      </c>
      <c r="V163" s="383">
        <f t="shared" si="56"/>
        <v>53.664899418216756</v>
      </c>
      <c r="W163" s="402"/>
      <c r="X163" s="157">
        <f t="shared" si="57"/>
        <v>44710</v>
      </c>
      <c r="Y163" s="385">
        <f t="shared" si="58"/>
        <v>49.366997807074327</v>
      </c>
      <c r="Z163" s="385">
        <f t="shared" si="59"/>
        <v>51.590492908509937</v>
      </c>
      <c r="AA163" s="386">
        <f t="shared" si="60"/>
        <v>60.754058954812116</v>
      </c>
      <c r="AB163" s="197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0.15083051575398262</v>
      </c>
      <c r="AD163" s="231">
        <f>(INDEX(Models!$BJ163:$BT163,,AH163)*(1-AF163)+INDEX(Models!$BJ163:$BT163,,AH163+1)*AF163-ERP_i)*AE163*Ramure*Pc/MaxiM</f>
        <v>5.5578811265624226E-3</v>
      </c>
      <c r="AE163" s="305">
        <f t="shared" si="62"/>
        <v>0.8</v>
      </c>
      <c r="AF163" s="177">
        <f t="shared" si="63"/>
        <v>0.42711369653860376</v>
      </c>
      <c r="AG163" s="809">
        <f t="shared" si="71"/>
        <v>1</v>
      </c>
      <c r="AH163" s="176">
        <f t="shared" si="64"/>
        <v>7</v>
      </c>
      <c r="AI163" s="225">
        <f t="shared" si="65"/>
        <v>1.4271136965386038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44711</v>
      </c>
      <c r="B164" s="616">
        <v>47.297000000000004</v>
      </c>
      <c r="C164" s="839"/>
      <c r="D164" s="393">
        <f t="shared" si="48"/>
        <v>49.428425796861866</v>
      </c>
      <c r="E164" s="385">
        <f t="shared" si="69"/>
        <v>54.890035539185241</v>
      </c>
      <c r="F164" s="385">
        <f t="shared" si="49"/>
        <v>54.928099974815311</v>
      </c>
      <c r="G164" s="110">
        <f t="shared" si="70"/>
        <v>0.88110044903469631</v>
      </c>
      <c r="H164" s="414" t="b">
        <f>Wh_hp&gt;='2021'!Maxi_hp</f>
        <v>0</v>
      </c>
      <c r="I164" s="380">
        <f>IF(H164,Wh_hp,'2021'!Maxi_hp)</f>
        <v>56.346398541738836</v>
      </c>
      <c r="J164" s="85">
        <f>IF(H164,An,'2021'!An_max)</f>
        <v>2020</v>
      </c>
      <c r="K164" s="197">
        <f t="shared" si="50"/>
        <v>44711</v>
      </c>
      <c r="L164" s="147">
        <f>IF(t&lt;Tvie,1-EXP((T0-t)*PertePVj)+'2021'!Pspv,1-EXP((T0-t)*PertePVj)+Pspv)</f>
        <v>4.3121458199406867E-2</v>
      </c>
      <c r="M164" s="843"/>
      <c r="N164" s="843"/>
      <c r="O164" s="48">
        <f>IF(t&lt;Tnet,'2021'!Resal+('2021'!Salim-'2021'!Resal)*(1-EXP(('2021'!Tnet-t)/('2021'!Tau_j))),Resal+(Salim-Resal)*(1-EXP((Tnet-t)/(Tau_j))))*Salcycl</f>
        <v>9.9500932886523771E-2</v>
      </c>
      <c r="P164" s="339">
        <f>(INDEX(Models!$BJ164:$BT164,,T164)*(1-R164)+INDEX(Models!$BJ164:$BT164,,T164+1)*R164-ERP_i)*Q164*Ramure*Pc/MaxiM</f>
        <v>8.3459989671748086E-4</v>
      </c>
      <c r="Q164" s="305">
        <f t="shared" si="51"/>
        <v>0.8</v>
      </c>
      <c r="R164" s="177">
        <f t="shared" si="52"/>
        <v>0.23223942410180548</v>
      </c>
      <c r="S164" s="809">
        <f t="shared" si="53"/>
        <v>0</v>
      </c>
      <c r="T164" s="176">
        <f t="shared" si="54"/>
        <v>6</v>
      </c>
      <c r="U164" s="251">
        <f t="shared" si="55"/>
        <v>0.23223942410180548</v>
      </c>
      <c r="V164" s="383">
        <f t="shared" si="56"/>
        <v>53.671857188995766</v>
      </c>
      <c r="W164" s="402"/>
      <c r="X164" s="157">
        <f t="shared" si="57"/>
        <v>44711</v>
      </c>
      <c r="Y164" s="385">
        <f t="shared" si="58"/>
        <v>44.413868246268812</v>
      </c>
      <c r="Z164" s="385">
        <f t="shared" si="59"/>
        <v>46.41536653407821</v>
      </c>
      <c r="AA164" s="386">
        <f t="shared" si="60"/>
        <v>54.669457925850466</v>
      </c>
      <c r="AB164" s="197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0.15098176760719831</v>
      </c>
      <c r="AD164" s="231">
        <f>(INDEX(Models!$BJ164:$BT164,,AH164)*(1-AF164)+INDEX(Models!$BJ164:$BT164,,AH164+1)*AF164-ERP_i)*AE164*Ramure*Pc/MaxiM</f>
        <v>5.6709793217670388E-3</v>
      </c>
      <c r="AE164" s="305">
        <f t="shared" si="62"/>
        <v>0.8</v>
      </c>
      <c r="AF164" s="177">
        <f t="shared" si="63"/>
        <v>0.43295617126670893</v>
      </c>
      <c r="AG164" s="809">
        <f t="shared" si="71"/>
        <v>1</v>
      </c>
      <c r="AH164" s="176">
        <f t="shared" si="64"/>
        <v>7</v>
      </c>
      <c r="AI164" s="225">
        <f t="shared" si="65"/>
        <v>1.4329561712667089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44712</v>
      </c>
      <c r="B165" s="616">
        <v>48.521999999999998</v>
      </c>
      <c r="C165" s="839"/>
      <c r="D165" s="393">
        <f t="shared" si="48"/>
        <v>50.709823866706756</v>
      </c>
      <c r="E165" s="385">
        <f t="shared" si="69"/>
        <v>56.326539320698323</v>
      </c>
      <c r="F165" s="385">
        <f t="shared" si="49"/>
        <v>56.368733782004284</v>
      </c>
      <c r="G165" s="110">
        <f t="shared" si="70"/>
        <v>0.90391246841530015</v>
      </c>
      <c r="H165" s="414" t="b">
        <f>Wh_hp&gt;='2021'!Maxi_hp</f>
        <v>0</v>
      </c>
      <c r="I165" s="380">
        <f>IF(H165,Wh_hp,'2021'!Maxi_hp)</f>
        <v>62.468341792037805</v>
      </c>
      <c r="J165" s="85">
        <f>IF(H165,An,'2021'!An_max)</f>
        <v>2019</v>
      </c>
      <c r="K165" s="197">
        <f t="shared" si="50"/>
        <v>44712</v>
      </c>
      <c r="L165" s="147">
        <f>IF(t&lt;Tvie,1-EXP((T0-t)*PertePVj)+'2021'!Pspv,1-EXP((T0-t)*PertePVj)+Pspv)</f>
        <v>4.3143984732772075E-2</v>
      </c>
      <c r="M165" s="843"/>
      <c r="N165" s="843"/>
      <c r="O165" s="48">
        <f>IF(t&lt;Tnet,'2021'!Resal+('2021'!Salim-'2021'!Resal)*(1-EXP(('2021'!Tnet-t)/('2021'!Tau_j))),Resal+(Salim-Resal)*(1-EXP((Tnet-t)/(Tau_j))))*Salcycl</f>
        <v>9.9717034309750263E-2</v>
      </c>
      <c r="P165" s="339">
        <f>(INDEX(Models!$BJ165:$BT165,,T165)*(1-R165)+INDEX(Models!$BJ165:$BT165,,T165+1)*R165-ERP_i)*Q165*Ramure*Pc/MaxiM</f>
        <v>8.6748871237458253E-4</v>
      </c>
      <c r="Q165" s="305">
        <f t="shared" si="51"/>
        <v>0.8</v>
      </c>
      <c r="R165" s="177">
        <f t="shared" si="52"/>
        <v>0.23813549996135747</v>
      </c>
      <c r="S165" s="809">
        <f t="shared" si="53"/>
        <v>0</v>
      </c>
      <c r="T165" s="176">
        <f t="shared" si="54"/>
        <v>6</v>
      </c>
      <c r="U165" s="251">
        <f t="shared" si="55"/>
        <v>0.23813549996135747</v>
      </c>
      <c r="V165" s="383">
        <f t="shared" si="56"/>
        <v>53.673586683010285</v>
      </c>
      <c r="W165" s="402"/>
      <c r="X165" s="157">
        <f t="shared" si="57"/>
        <v>44712</v>
      </c>
      <c r="Y165" s="385">
        <f t="shared" si="58"/>
        <v>45.556686807694732</v>
      </c>
      <c r="Z165" s="385">
        <f t="shared" si="59"/>
        <v>47.610806726205084</v>
      </c>
      <c r="AA165" s="386">
        <f t="shared" si="60"/>
        <v>56.087429474084985</v>
      </c>
      <c r="AB165" s="197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0.15113230945619457</v>
      </c>
      <c r="AD165" s="231">
        <f>(INDEX(Models!$BJ165:$BT165,,AH165)*(1-AF165)+INDEX(Models!$BJ165:$BT165,,AH165+1)*AF165-ERP_i)*AE165*Ramure*Pc/MaxiM</f>
        <v>5.7834204848078666E-3</v>
      </c>
      <c r="AE165" s="305">
        <f t="shared" si="62"/>
        <v>0.8</v>
      </c>
      <c r="AF165" s="177">
        <f t="shared" si="63"/>
        <v>0.43885224712626081</v>
      </c>
      <c r="AG165" s="809">
        <f t="shared" si="71"/>
        <v>1</v>
      </c>
      <c r="AH165" s="176">
        <f t="shared" si="64"/>
        <v>7</v>
      </c>
      <c r="AI165" s="225">
        <f t="shared" si="65"/>
        <v>1.4388522471262608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44713</v>
      </c>
      <c r="B166" s="616">
        <v>49.738</v>
      </c>
      <c r="C166" s="839"/>
      <c r="D166" s="393">
        <f t="shared" si="48"/>
        <v>51.981876218155747</v>
      </c>
      <c r="E166" s="385">
        <f t="shared" si="69"/>
        <v>57.753309548554277</v>
      </c>
      <c r="F166" s="385">
        <f t="shared" si="49"/>
        <v>57.799922342921327</v>
      </c>
      <c r="G166" s="110">
        <f t="shared" si="70"/>
        <v>0.92664333856282055</v>
      </c>
      <c r="H166" s="414" t="b">
        <f>Wh_hp&gt;='2021'!Maxi_hp</f>
        <v>0</v>
      </c>
      <c r="I166" s="380">
        <f>IF(H166,Wh_hp,'2021'!Maxi_hp)</f>
        <v>62.676293728135057</v>
      </c>
      <c r="J166" s="85">
        <f>IF(H166,An,'2021'!An_max)</f>
        <v>2019</v>
      </c>
      <c r="K166" s="197">
        <f t="shared" si="50"/>
        <v>44713</v>
      </c>
      <c r="L166" s="147">
        <f>IF(t&lt;Tvie,1-EXP((T0-t)*PertePVj)+'2021'!Pspv,1-EXP((T0-t)*PertePVj)+Pspv)</f>
        <v>4.3166510741911843E-2</v>
      </c>
      <c r="M166" s="843"/>
      <c r="N166" s="843"/>
      <c r="O166" s="48">
        <f>IF(t&lt;Tnet,'2021'!Resal+('2021'!Salim-'2021'!Resal)*(1-EXP(('2021'!Tnet-t)/('2021'!Tau_j))),Resal+(Salim-Resal)*(1-EXP((Tnet-t)/(Tau_j))))*Salcycl</f>
        <v>9.993251253499813E-2</v>
      </c>
      <c r="P166" s="339">
        <f>(INDEX(Models!$BJ166:$BT166,,T166)*(1-R166)+INDEX(Models!$BJ166:$BT166,,T166+1)*R166-ERP_i)*Q166*Ramure*Pc/MaxiM</f>
        <v>9.0073056281423335E-4</v>
      </c>
      <c r="Q166" s="305">
        <f t="shared" si="51"/>
        <v>0.8</v>
      </c>
      <c r="R166" s="177">
        <f t="shared" si="52"/>
        <v>0.24408087365385631</v>
      </c>
      <c r="S166" s="809">
        <f t="shared" si="53"/>
        <v>0</v>
      </c>
      <c r="T166" s="176">
        <f t="shared" si="54"/>
        <v>6</v>
      </c>
      <c r="U166" s="251">
        <f t="shared" si="55"/>
        <v>0.24408087365385631</v>
      </c>
      <c r="V166" s="383">
        <f t="shared" si="56"/>
        <v>53.670387364148972</v>
      </c>
      <c r="W166" s="402"/>
      <c r="X166" s="157">
        <f t="shared" si="57"/>
        <v>44713</v>
      </c>
      <c r="Y166" s="385">
        <f t="shared" si="58"/>
        <v>46.690522465925731</v>
      </c>
      <c r="Z166" s="385">
        <f t="shared" si="59"/>
        <v>48.796915022412875</v>
      </c>
      <c r="AA166" s="386">
        <f t="shared" si="60"/>
        <v>57.494851930016871</v>
      </c>
      <c r="AB166" s="197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0.15128201248680803</v>
      </c>
      <c r="AD166" s="231">
        <f>(INDEX(Models!$BJ166:$BT166,,AH166)*(1-AF166)+INDEX(Models!$BJ166:$BT166,,AH166+1)*AF166-ERP_i)*AE166*Ramure*Pc/MaxiM</f>
        <v>5.8950819929307098E-3</v>
      </c>
      <c r="AE166" s="305">
        <f t="shared" si="62"/>
        <v>0.8</v>
      </c>
      <c r="AF166" s="177">
        <f t="shared" si="63"/>
        <v>0.44479762081875962</v>
      </c>
      <c r="AG166" s="809">
        <f t="shared" si="71"/>
        <v>1</v>
      </c>
      <c r="AH166" s="176">
        <f t="shared" si="64"/>
        <v>7</v>
      </c>
      <c r="AI166" s="225">
        <f t="shared" si="65"/>
        <v>1.4447976208187596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44714</v>
      </c>
      <c r="B167" s="616">
        <v>40.905000000000001</v>
      </c>
      <c r="C167" s="839"/>
      <c r="D167" s="393">
        <f t="shared" si="48"/>
        <v>42.751391391557739</v>
      </c>
      <c r="E167" s="385">
        <f t="shared" si="69"/>
        <v>47.509320692097681</v>
      </c>
      <c r="F167" s="385">
        <f t="shared" si="49"/>
        <v>47.538650521947623</v>
      </c>
      <c r="G167" s="110">
        <f t="shared" si="70"/>
        <v>0.76202130423388736</v>
      </c>
      <c r="H167" s="414" t="b">
        <f>Wh_hp&gt;='2021'!Maxi_hp</f>
        <v>0</v>
      </c>
      <c r="I167" s="380">
        <f>IF(H167,Wh_hp,'2021'!Maxi_hp)</f>
        <v>61.321691281882586</v>
      </c>
      <c r="J167" s="85">
        <f>IF(H167,An,'2021'!An_max)</f>
        <v>2019</v>
      </c>
      <c r="K167" s="197">
        <f t="shared" si="50"/>
        <v>44714</v>
      </c>
      <c r="L167" s="147">
        <f>IF(t&lt;Tvie,1-EXP((T0-t)*PertePVj)+'2021'!Pspv,1-EXP((T0-t)*PertePVj)+Pspv)</f>
        <v>4.3189036226838493E-2</v>
      </c>
      <c r="M167" s="843"/>
      <c r="N167" s="843"/>
      <c r="O167" s="48">
        <f>IF(t&lt;Tnet,'2021'!Resal+('2021'!Salim-'2021'!Resal)*(1-EXP(('2021'!Tnet-t)/('2021'!Tau_j))),Resal+(Salim-Resal)*(1-EXP((Tnet-t)/(Tau_j))))*Salcycl</f>
        <v>0.10014728123299269</v>
      </c>
      <c r="P167" s="339">
        <f>(INDEX(Models!$BJ167:$BT167,,T167)*(1-R167)+INDEX(Models!$BJ167:$BT167,,T167+1)*R167-ERP_i)*Q167*Ramure*Pc/MaxiM</f>
        <v>9.3426762759181783E-4</v>
      </c>
      <c r="Q167" s="305">
        <f t="shared" si="51"/>
        <v>0.8</v>
      </c>
      <c r="R167" s="177">
        <f t="shared" si="52"/>
        <v>0.25007108575115133</v>
      </c>
      <c r="S167" s="809">
        <f t="shared" si="53"/>
        <v>0</v>
      </c>
      <c r="T167" s="176">
        <f t="shared" si="54"/>
        <v>6</v>
      </c>
      <c r="U167" s="251">
        <f t="shared" si="55"/>
        <v>0.25007108575115133</v>
      </c>
      <c r="V167" s="383">
        <f t="shared" si="56"/>
        <v>53.662558542748165</v>
      </c>
      <c r="W167" s="402"/>
      <c r="X167" s="157">
        <f t="shared" si="57"/>
        <v>44714</v>
      </c>
      <c r="Y167" s="385">
        <f t="shared" si="58"/>
        <v>38.444516049306486</v>
      </c>
      <c r="Z167" s="385">
        <f t="shared" si="59"/>
        <v>40.179844822953783</v>
      </c>
      <c r="AA167" s="386">
        <f t="shared" si="60"/>
        <v>47.350106990906696</v>
      </c>
      <c r="AB167" s="197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0.15143074902301537</v>
      </c>
      <c r="AD167" s="231">
        <f>(INDEX(Models!$BJ167:$BT167,,AH167)*(1-AF167)+INDEX(Models!$BJ167:$BT167,,AH167+1)*AF167-ERP_i)*AE167*Ramure*Pc/MaxiM</f>
        <v>6.0058349586286017E-3</v>
      </c>
      <c r="AE167" s="305">
        <f t="shared" si="62"/>
        <v>0.8</v>
      </c>
      <c r="AF167" s="177">
        <f t="shared" si="63"/>
        <v>0.45078783291605484</v>
      </c>
      <c r="AG167" s="809">
        <f t="shared" si="71"/>
        <v>1</v>
      </c>
      <c r="AH167" s="176">
        <f t="shared" si="64"/>
        <v>7</v>
      </c>
      <c r="AI167" s="225">
        <f t="shared" si="65"/>
        <v>1.4507878329160548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44715</v>
      </c>
      <c r="B168" s="616">
        <v>47.658999999999999</v>
      </c>
      <c r="C168" s="839"/>
      <c r="D168" s="393">
        <f t="shared" si="48"/>
        <v>49.811429639716657</v>
      </c>
      <c r="E168" s="385">
        <f t="shared" si="69"/>
        <v>55.368257429547917</v>
      </c>
      <c r="F168" s="385">
        <f t="shared" si="49"/>
        <v>55.413341824549725</v>
      </c>
      <c r="G168" s="110">
        <f t="shared" si="70"/>
        <v>0.88818786633253055</v>
      </c>
      <c r="H168" s="414" t="b">
        <f>Wh_hp&gt;='2021'!Maxi_hp</f>
        <v>1</v>
      </c>
      <c r="I168" s="380">
        <f>IF(H168,Wh_hp,'2021'!Maxi_hp)</f>
        <v>55.413341824549725</v>
      </c>
      <c r="J168" s="85">
        <f>IF(H168,An,'2021'!An_max)</f>
        <v>2022</v>
      </c>
      <c r="K168" s="197">
        <f t="shared" si="50"/>
        <v>44715</v>
      </c>
      <c r="L168" s="147">
        <f>IF(t&lt;Tvie,1-EXP((T0-t)*PertePVj)+'2021'!Pspv,1-EXP((T0-t)*PertePVj)+Pspv)</f>
        <v>4.3211561187564126E-2</v>
      </c>
      <c r="M168" s="843"/>
      <c r="N168" s="843"/>
      <c r="O168" s="48">
        <f>IF(t&lt;Tnet,'2021'!Resal+('2021'!Salim-'2021'!Resal)*(1-EXP(('2021'!Tnet-t)/('2021'!Tau_j))),Resal+(Salim-Resal)*(1-EXP((Tnet-t)/(Tau_j))))*Salcycl</f>
        <v>0.10036125476590839</v>
      </c>
      <c r="P168" s="339">
        <f>(INDEX(Models!$BJ168:$BT168,,T168)*(1-R168)+INDEX(Models!$BJ168:$BT168,,T168+1)*R168-ERP_i)*Q168*Ramure*Pc/MaxiM</f>
        <v>9.6803824749576797E-4</v>
      </c>
      <c r="Q168" s="305">
        <f t="shared" si="51"/>
        <v>0.8</v>
      </c>
      <c r="R168" s="177">
        <f t="shared" si="52"/>
        <v>0.25610153308987765</v>
      </c>
      <c r="S168" s="809">
        <f t="shared" si="53"/>
        <v>0</v>
      </c>
      <c r="T168" s="176">
        <f t="shared" si="54"/>
        <v>6</v>
      </c>
      <c r="U168" s="251">
        <f t="shared" si="55"/>
        <v>0.25610153308987765</v>
      </c>
      <c r="V168" s="383">
        <f t="shared" si="56"/>
        <v>53.65039934309403</v>
      </c>
      <c r="W168" s="402"/>
      <c r="X168" s="157">
        <f t="shared" si="57"/>
        <v>44715</v>
      </c>
      <c r="Y168" s="385">
        <f t="shared" si="58"/>
        <v>44.751128899190164</v>
      </c>
      <c r="Z168" s="385">
        <f t="shared" si="59"/>
        <v>46.772229976707479</v>
      </c>
      <c r="AA168" s="386">
        <f t="shared" si="60"/>
        <v>55.128522884561136</v>
      </c>
      <c r="AB168" s="197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0.15157839300994325</v>
      </c>
      <c r="AD168" s="231">
        <f>(INDEX(Models!$BJ168:$BT168,,AH168)*(1-AF168)+INDEX(Models!$BJ168:$BT168,,AH168+1)*AF168-ERP_i)*AE168*Ramure*Pc/MaxiM</f>
        <v>6.1155445805383523E-3</v>
      </c>
      <c r="AE168" s="305">
        <f t="shared" si="62"/>
        <v>0.8</v>
      </c>
      <c r="AF168" s="177">
        <f t="shared" si="63"/>
        <v>0.45681828025478111</v>
      </c>
      <c r="AG168" s="809">
        <f t="shared" si="71"/>
        <v>1</v>
      </c>
      <c r="AH168" s="176">
        <f t="shared" si="64"/>
        <v>7</v>
      </c>
      <c r="AI168" s="225">
        <f t="shared" si="65"/>
        <v>1.4568182802547811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44716</v>
      </c>
      <c r="B169" s="616">
        <v>22.567</v>
      </c>
      <c r="C169" s="839"/>
      <c r="D169" s="393">
        <f t="shared" si="48"/>
        <v>23.586751639998084</v>
      </c>
      <c r="E169" s="385">
        <f t="shared" si="69"/>
        <v>26.224237213045864</v>
      </c>
      <c r="F169" s="385">
        <f t="shared" si="49"/>
        <v>26.228770905783421</v>
      </c>
      <c r="G169" s="110">
        <f t="shared" si="70"/>
        <v>0.42040866190621728</v>
      </c>
      <c r="H169" s="414" t="b">
        <f>Wh_hp&gt;='2021'!Maxi_hp</f>
        <v>0</v>
      </c>
      <c r="I169" s="380">
        <f>IF(H169,Wh_hp,'2021'!Maxi_hp)</f>
        <v>56.408226720952712</v>
      </c>
      <c r="J169" s="85">
        <f>IF(H169,An,'2021'!An_max)</f>
        <v>2019</v>
      </c>
      <c r="K169" s="197">
        <f t="shared" si="50"/>
        <v>44716</v>
      </c>
      <c r="L169" s="147">
        <f>IF(t&lt;Tvie,1-EXP((T0-t)*PertePVj)+'2021'!Pspv,1-EXP((T0-t)*PertePVj)+Pspv)</f>
        <v>4.3234085624101179E-2</v>
      </c>
      <c r="M169" s="843"/>
      <c r="N169" s="843"/>
      <c r="O169" s="48">
        <f>IF(t&lt;Tnet,'2021'!Resal+('2021'!Salim-'2021'!Resal)*(1-EXP(('2021'!Tnet-t)/('2021'!Tau_j))),Resal+(Salim-Resal)*(1-EXP((Tnet-t)/(Tau_j))))*Salcycl</f>
        <v>0.1005743485166348</v>
      </c>
      <c r="P169" s="339">
        <f>(INDEX(Models!$BJ169:$BT169,,T169)*(1-R169)+INDEX(Models!$BJ169:$BT169,,T169+1)*R169-ERP_i)*Q169*Ramure*Pc/MaxiM</f>
        <v>1.0019770446523979E-3</v>
      </c>
      <c r="Q169" s="305">
        <f t="shared" si="51"/>
        <v>0.8</v>
      </c>
      <c r="R169" s="177">
        <f t="shared" si="52"/>
        <v>0.26216748212546942</v>
      </c>
      <c r="S169" s="809">
        <f t="shared" si="53"/>
        <v>0</v>
      </c>
      <c r="T169" s="176">
        <f t="shared" si="54"/>
        <v>6</v>
      </c>
      <c r="U169" s="251">
        <f t="shared" si="55"/>
        <v>0.26216748212546942</v>
      </c>
      <c r="V169" s="383">
        <f t="shared" si="56"/>
        <v>53.634208666697539</v>
      </c>
      <c r="W169" s="402"/>
      <c r="X169" s="157">
        <f t="shared" si="57"/>
        <v>44716</v>
      </c>
      <c r="Y169" s="385">
        <f t="shared" si="58"/>
        <v>21.264434285573689</v>
      </c>
      <c r="Z169" s="385">
        <f t="shared" si="59"/>
        <v>22.225325929848307</v>
      </c>
      <c r="AA169" s="386">
        <f t="shared" si="60"/>
        <v>26.20060856063618</v>
      </c>
      <c r="AB169" s="197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0.15172482049750335</v>
      </c>
      <c r="AD169" s="231">
        <f>(INDEX(Models!$BJ169:$BT169,,AH169)*(1-AF169)+INDEX(Models!$BJ169:$BT169,,AH169+1)*AF169-ERP_i)*AE169*Ramure*Pc/MaxiM</f>
        <v>6.2240705302649881E-3</v>
      </c>
      <c r="AE169" s="305">
        <f t="shared" si="62"/>
        <v>0.8</v>
      </c>
      <c r="AF169" s="177">
        <f t="shared" si="63"/>
        <v>0.46288422929037276</v>
      </c>
      <c r="AG169" s="809">
        <f t="shared" si="71"/>
        <v>1</v>
      </c>
      <c r="AH169" s="176">
        <f t="shared" si="64"/>
        <v>7</v>
      </c>
      <c r="AI169" s="225">
        <f t="shared" si="65"/>
        <v>1.4628842292903728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44717</v>
      </c>
      <c r="B170" s="616">
        <v>31.903000000000002</v>
      </c>
      <c r="C170" s="839"/>
      <c r="D170" s="393">
        <f t="shared" si="48"/>
        <v>33.345409352180759</v>
      </c>
      <c r="E170" s="385">
        <f t="shared" ref="E170:E232" si="72">Wh_pvt/(1-Psa)</f>
        <v>37.082860279059602</v>
      </c>
      <c r="F170" s="385">
        <f t="shared" si="49"/>
        <v>37.099058991232859</v>
      </c>
      <c r="G170" s="110">
        <f t="shared" ref="G170:G232" si="73">+Wh_hp/MaxiM</f>
        <v>0.59468981997392334</v>
      </c>
      <c r="H170" s="414" t="b">
        <f>Wh_hp&gt;='2021'!Maxi_hp</f>
        <v>0</v>
      </c>
      <c r="I170" s="380">
        <f>IF(H170,Wh_hp,'2021'!Maxi_hp)</f>
        <v>45.470659595237684</v>
      </c>
      <c r="J170" s="85">
        <f>IF(H170,An,'2021'!An_max)</f>
        <v>2021</v>
      </c>
      <c r="K170" s="197">
        <f t="shared" si="50"/>
        <v>44717</v>
      </c>
      <c r="L170" s="147">
        <f>IF(t&lt;Tvie,1-EXP((T0-t)*PertePVj)+'2021'!Pspv,1-EXP((T0-t)*PertePVj)+Pspv)</f>
        <v>4.3256609536461529E-2</v>
      </c>
      <c r="M170" s="843"/>
      <c r="N170" s="843"/>
      <c r="O170" s="48">
        <f>IF(t&lt;Tnet,'2021'!Resal+('2021'!Salim-'2021'!Resal)*(1-EXP(('2021'!Tnet-t)/('2021'!Tau_j))),Resal+(Salim-Resal)*(1-EXP((Tnet-t)/(Tau_j))))*Salcycl</f>
        <v>0.10078647921852335</v>
      </c>
      <c r="P170" s="339">
        <f>(INDEX(Models!$BJ170:$BT170,,T170)*(1-R170)+INDEX(Models!$BJ170:$BT170,,T170+1)*R170-ERP_i)*Q170*Ramure*Pc/MaxiM</f>
        <v>1.0359172239113919E-3</v>
      </c>
      <c r="Q170" s="305">
        <f t="shared" si="51"/>
        <v>0.8</v>
      </c>
      <c r="R170" s="177">
        <f t="shared" si="52"/>
        <v>0.26826408316979578</v>
      </c>
      <c r="S170" s="809">
        <f t="shared" si="53"/>
        <v>0</v>
      </c>
      <c r="T170" s="176">
        <f t="shared" si="54"/>
        <v>6</v>
      </c>
      <c r="U170" s="251">
        <f t="shared" si="55"/>
        <v>0.26826408316979578</v>
      </c>
      <c r="V170" s="383">
        <f t="shared" si="56"/>
        <v>53.614290418661227</v>
      </c>
      <c r="W170" s="402"/>
      <c r="X170" s="157">
        <f t="shared" si="57"/>
        <v>44717</v>
      </c>
      <c r="Y170" s="385">
        <f t="shared" si="58"/>
        <v>30.023444037555819</v>
      </c>
      <c r="Z170" s="385">
        <f t="shared" si="59"/>
        <v>31.380874262438933</v>
      </c>
      <c r="AA170" s="386">
        <f t="shared" si="60"/>
        <v>37.000071848570741</v>
      </c>
      <c r="AB170" s="197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0.15186991012150883</v>
      </c>
      <c r="AD170" s="231">
        <f>(INDEX(Models!$BJ170:$BT170,,AH170)*(1-AF170)+INDEX(Models!$BJ170:$BT170,,AH170+1)*AF170-ERP_i)*AE170*Ramure*Pc/MaxiM</f>
        <v>6.3302863173758418E-3</v>
      </c>
      <c r="AE170" s="305">
        <f t="shared" si="62"/>
        <v>0.8</v>
      </c>
      <c r="AF170" s="177">
        <f t="shared" si="63"/>
        <v>0.46898083033469917</v>
      </c>
      <c r="AG170" s="809">
        <f t="shared" si="71"/>
        <v>1</v>
      </c>
      <c r="AH170" s="176">
        <f t="shared" si="64"/>
        <v>7</v>
      </c>
      <c r="AI170" s="225">
        <f t="shared" si="65"/>
        <v>1.4689808303346992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44718</v>
      </c>
      <c r="B171" s="616">
        <v>40.561999999999998</v>
      </c>
      <c r="C171" s="839"/>
      <c r="D171" s="393">
        <f t="shared" si="48"/>
        <v>42.396901119128316</v>
      </c>
      <c r="E171" s="385">
        <f t="shared" si="72"/>
        <v>47.159940264785035</v>
      </c>
      <c r="F171" s="385">
        <f t="shared" si="49"/>
        <v>47.192902637470766</v>
      </c>
      <c r="G171" s="110">
        <f t="shared" si="73"/>
        <v>0.75660037881869691</v>
      </c>
      <c r="H171" s="414" t="b">
        <f>Wh_hp&gt;='2021'!Maxi_hp</f>
        <v>0</v>
      </c>
      <c r="I171" s="380">
        <f>IF(H171,Wh_hp,'2021'!Maxi_hp)</f>
        <v>63.6888163743956</v>
      </c>
      <c r="J171" s="85">
        <f>IF(H171,An,'2021'!An_max)</f>
        <v>2019</v>
      </c>
      <c r="K171" s="197">
        <f t="shared" si="50"/>
        <v>44718</v>
      </c>
      <c r="L171" s="147">
        <f>IF(t&lt;Tvie,1-EXP((T0-t)*PertePVj)+'2021'!Pspv,1-EXP((T0-t)*PertePVj)+Pspv)</f>
        <v>4.3279132924657612E-2</v>
      </c>
      <c r="M171" s="843"/>
      <c r="N171" s="843"/>
      <c r="O171" s="48">
        <f>IF(t&lt;Tnet,'2021'!Resal+('2021'!Salim-'2021'!Resal)*(1-EXP(('2021'!Tnet-t)/('2021'!Tau_j))),Resal+(Salim-Resal)*(1-EXP((Tnet-t)/(Tau_j))))*Salcycl</f>
        <v>0.10099756528346041</v>
      </c>
      <c r="P171" s="339">
        <f>(INDEX(Models!$BJ171:$BT171,,T171)*(1-R171)+INDEX(Models!$BJ171:$BT171,,T171+1)*R171-ERP_i)*Q171*Ramure*Pc/MaxiM</f>
        <v>1.0701283691649252E-3</v>
      </c>
      <c r="Q171" s="305">
        <f t="shared" si="51"/>
        <v>0.8</v>
      </c>
      <c r="R171" s="177">
        <f t="shared" si="52"/>
        <v>0.27438638542636368</v>
      </c>
      <c r="S171" s="809">
        <f t="shared" si="53"/>
        <v>0</v>
      </c>
      <c r="T171" s="176">
        <f t="shared" si="54"/>
        <v>6</v>
      </c>
      <c r="U171" s="251">
        <f t="shared" si="55"/>
        <v>0.27438638542636368</v>
      </c>
      <c r="V171" s="383">
        <f t="shared" si="56"/>
        <v>53.590924616299141</v>
      </c>
      <c r="W171" s="402"/>
      <c r="X171" s="157">
        <f t="shared" si="57"/>
        <v>44718</v>
      </c>
      <c r="Y171" s="385">
        <f t="shared" si="58"/>
        <v>38.126135244696606</v>
      </c>
      <c r="Z171" s="385">
        <f t="shared" si="59"/>
        <v>39.850845274491277</v>
      </c>
      <c r="AA171" s="386">
        <f t="shared" si="60"/>
        <v>46.994671875643995</v>
      </c>
      <c r="AB171" s="197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0.15201354357907876</v>
      </c>
      <c r="AD171" s="231">
        <f>(INDEX(Models!$BJ171:$BT171,,AH171)*(1-AF171)+INDEX(Models!$BJ171:$BT171,,AH171+1)*AF171-ERP_i)*AE171*Ramure*Pc/MaxiM</f>
        <v>6.435591390659974E-3</v>
      </c>
      <c r="AE171" s="305">
        <f t="shared" si="62"/>
        <v>0.8</v>
      </c>
      <c r="AF171" s="177">
        <f t="shared" si="63"/>
        <v>0.47510313259126713</v>
      </c>
      <c r="AG171" s="809">
        <f t="shared" si="71"/>
        <v>1</v>
      </c>
      <c r="AH171" s="176">
        <f t="shared" si="64"/>
        <v>7</v>
      </c>
      <c r="AI171" s="225">
        <f t="shared" si="65"/>
        <v>1.4751031325912671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44719</v>
      </c>
      <c r="B172" s="616">
        <v>27.37</v>
      </c>
      <c r="C172" s="839"/>
      <c r="D172" s="393">
        <f t="shared" si="48"/>
        <v>28.608808790783275</v>
      </c>
      <c r="E172" s="385">
        <f t="shared" si="72"/>
        <v>31.830271897255127</v>
      </c>
      <c r="F172" s="385">
        <f t="shared" si="49"/>
        <v>31.840871820949332</v>
      </c>
      <c r="G172" s="110">
        <f t="shared" si="73"/>
        <v>0.51057920257616252</v>
      </c>
      <c r="H172" s="414" t="b">
        <f>Wh_hp&gt;='2021'!Maxi_hp</f>
        <v>0</v>
      </c>
      <c r="I172" s="380">
        <f>IF(H172,Wh_hp,'2021'!Maxi_hp)</f>
        <v>51.75274626686349</v>
      </c>
      <c r="J172" s="85">
        <f>IF(H172,An,'2021'!An_max)</f>
        <v>2021</v>
      </c>
      <c r="K172" s="197">
        <f t="shared" si="50"/>
        <v>44719</v>
      </c>
      <c r="L172" s="147">
        <f>IF(t&lt;Tvie,1-EXP((T0-t)*PertePVj)+'2021'!Pspv,1-EXP((T0-t)*PertePVj)+Pspv)</f>
        <v>4.3301655788701529E-2</v>
      </c>
      <c r="M172" s="843"/>
      <c r="N172" s="843"/>
      <c r="O172" s="48">
        <f>IF(t&lt;Tnet,'2021'!Resal+('2021'!Salim-'2021'!Resal)*(1-EXP(('2021'!Tnet-t)/('2021'!Tau_j))),Resal+(Salim-Resal)*(1-EXP((Tnet-t)/(Tau_j))))*Salcycl</f>
        <v>0.10120752712607693</v>
      </c>
      <c r="P172" s="339">
        <f>(INDEX(Models!$BJ172:$BT172,,T172)*(1-R172)+INDEX(Models!$BJ172:$BT172,,T172+1)*R172-ERP_i)*Q172*Ramure*Pc/MaxiM</f>
        <v>1.1045557912925858E-3</v>
      </c>
      <c r="Q172" s="305">
        <f t="shared" si="51"/>
        <v>0.8</v>
      </c>
      <c r="R172" s="177">
        <f t="shared" si="52"/>
        <v>0.28052935272775487</v>
      </c>
      <c r="S172" s="809">
        <f t="shared" si="53"/>
        <v>0</v>
      </c>
      <c r="T172" s="176">
        <f t="shared" si="54"/>
        <v>6</v>
      </c>
      <c r="U172" s="251">
        <f t="shared" si="55"/>
        <v>0.28052935272775487</v>
      </c>
      <c r="V172" s="383">
        <f t="shared" si="56"/>
        <v>53.564408212246576</v>
      </c>
      <c r="W172" s="402"/>
      <c r="X172" s="157">
        <f t="shared" si="57"/>
        <v>44719</v>
      </c>
      <c r="Y172" s="385">
        <f t="shared" si="58"/>
        <v>25.776222209665814</v>
      </c>
      <c r="Z172" s="385">
        <f t="shared" si="59"/>
        <v>26.942894137561947</v>
      </c>
      <c r="AA172" s="386">
        <f t="shared" si="60"/>
        <v>31.778112034770949</v>
      </c>
      <c r="AB172" s="197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0.15215560609511378</v>
      </c>
      <c r="AD172" s="231">
        <f>(INDEX(Models!$BJ172:$BT172,,AH172)*(1-AF172)+INDEX(Models!$BJ172:$BT172,,AH172+1)*AF172-ERP_i)*AE172*Ramure*Pc/MaxiM</f>
        <v>6.539828708532161E-3</v>
      </c>
      <c r="AE172" s="305">
        <f t="shared" si="62"/>
        <v>0.8</v>
      </c>
      <c r="AF172" s="177">
        <f t="shared" si="63"/>
        <v>0.48124609989265821</v>
      </c>
      <c r="AG172" s="809">
        <f t="shared" si="71"/>
        <v>1</v>
      </c>
      <c r="AH172" s="176">
        <f t="shared" si="64"/>
        <v>7</v>
      </c>
      <c r="AI172" s="225">
        <f t="shared" si="65"/>
        <v>1.4812460998926582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44720</v>
      </c>
      <c r="B173" s="616">
        <v>18.643000000000001</v>
      </c>
      <c r="C173" s="839"/>
      <c r="D173" s="393">
        <f t="shared" si="48"/>
        <v>19.487269954760254</v>
      </c>
      <c r="E173" s="385">
        <f t="shared" si="72"/>
        <v>21.686649427631984</v>
      </c>
      <c r="F173" s="385">
        <f t="shared" si="49"/>
        <v>21.688352004678848</v>
      </c>
      <c r="G173" s="110">
        <f t="shared" si="73"/>
        <v>0.34786983811811023</v>
      </c>
      <c r="H173" s="414" t="b">
        <f>Wh_hp&gt;='2021'!Maxi_hp</f>
        <v>0</v>
      </c>
      <c r="I173" s="380">
        <f>IF(H173,Wh_hp,'2021'!Maxi_hp)</f>
        <v>63.160398004063062</v>
      </c>
      <c r="J173" s="85">
        <f>IF(H173,An,'2021'!An_max)</f>
        <v>2019</v>
      </c>
      <c r="K173" s="197">
        <f t="shared" si="50"/>
        <v>44720</v>
      </c>
      <c r="L173" s="147">
        <f>IF(t&lt;Tvie,1-EXP((T0-t)*PertePVj)+'2021'!Pspv,1-EXP((T0-t)*PertePVj)+Pspv)</f>
        <v>4.3324178128605492E-2</v>
      </c>
      <c r="M173" s="843"/>
      <c r="N173" s="843"/>
      <c r="O173" s="48">
        <f>IF(t&lt;Tnet,'2021'!Resal+('2021'!Salim-'2021'!Resal)*(1-EXP(('2021'!Tnet-t)/('2021'!Tau_j))),Resal+(Salim-Resal)*(1-EXP((Tnet-t)/(Tau_j))))*Salcycl</f>
        <v>0.10141628748189181</v>
      </c>
      <c r="P173" s="339">
        <f>(INDEX(Models!$BJ173:$BT173,,T173)*(1-R173)+INDEX(Models!$BJ173:$BT173,,T173+1)*R173-ERP_i)*Q173*Ramure*Pc/MaxiM</f>
        <v>1.1391422266222801E-3</v>
      </c>
      <c r="Q173" s="305">
        <f t="shared" si="51"/>
        <v>0.8</v>
      </c>
      <c r="R173" s="177">
        <f t="shared" si="52"/>
        <v>0.28668787987167466</v>
      </c>
      <c r="S173" s="809">
        <f t="shared" si="53"/>
        <v>0</v>
      </c>
      <c r="T173" s="176">
        <f t="shared" si="54"/>
        <v>6</v>
      </c>
      <c r="U173" s="251">
        <f t="shared" si="55"/>
        <v>0.28668787987167466</v>
      </c>
      <c r="V173" s="383">
        <f t="shared" si="56"/>
        <v>53.535037791533441</v>
      </c>
      <c r="W173" s="402"/>
      <c r="X173" s="157">
        <f t="shared" si="57"/>
        <v>44720</v>
      </c>
      <c r="Y173" s="385">
        <f t="shared" si="58"/>
        <v>17.580723116932919</v>
      </c>
      <c r="Z173" s="385">
        <f t="shared" si="59"/>
        <v>18.376886626592604</v>
      </c>
      <c r="AA173" s="386">
        <f t="shared" si="60"/>
        <v>21.678423532387139</v>
      </c>
      <c r="AB173" s="197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0.15229598687663357</v>
      </c>
      <c r="AD173" s="231">
        <f>(INDEX(Models!$BJ173:$BT173,,AH173)*(1-AF173)+INDEX(Models!$BJ173:$BT173,,AH173+1)*AF173-ERP_i)*AE173*Ramure*Pc/MaxiM</f>
        <v>6.6428371357147879E-3</v>
      </c>
      <c r="AE173" s="305">
        <f t="shared" si="62"/>
        <v>0.8</v>
      </c>
      <c r="AF173" s="177">
        <f t="shared" si="63"/>
        <v>0.48740462703657794</v>
      </c>
      <c r="AG173" s="809">
        <f t="shared" si="71"/>
        <v>1</v>
      </c>
      <c r="AH173" s="176">
        <f t="shared" si="64"/>
        <v>7</v>
      </c>
      <c r="AI173" s="225">
        <f t="shared" si="65"/>
        <v>1.4874046270365779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44721</v>
      </c>
      <c r="B174" s="616">
        <v>39.910000000000004</v>
      </c>
      <c r="C174" s="839"/>
      <c r="D174" s="393">
        <f t="shared" si="48"/>
        <v>41.718352926477856</v>
      </c>
      <c r="E174" s="385">
        <f t="shared" si="72"/>
        <v>46.437507597701902</v>
      </c>
      <c r="F174" s="385">
        <f t="shared" si="49"/>
        <v>46.472259185487765</v>
      </c>
      <c r="G174" s="110">
        <f t="shared" si="73"/>
        <v>0.74561991854128695</v>
      </c>
      <c r="H174" s="414" t="b">
        <f>Wh_hp&gt;='2021'!Maxi_hp</f>
        <v>0</v>
      </c>
      <c r="I174" s="380">
        <f>IF(H174,Wh_hp,'2021'!Maxi_hp)</f>
        <v>59.632877338436153</v>
      </c>
      <c r="J174" s="85">
        <f>IF(H174,An,'2021'!An_max)</f>
        <v>2021</v>
      </c>
      <c r="K174" s="197">
        <f t="shared" si="50"/>
        <v>44721</v>
      </c>
      <c r="L174" s="147">
        <f>IF(t&lt;Tvie,1-EXP((T0-t)*PertePVj)+'2021'!Pspv,1-EXP((T0-t)*PertePVj)+Pspv)</f>
        <v>4.3346699944381714E-2</v>
      </c>
      <c r="M174" s="843"/>
      <c r="N174" s="843"/>
      <c r="O174" s="48">
        <f>IF(t&lt;Tnet,'2021'!Resal+('2021'!Salim-'2021'!Resal)*(1-EXP(('2021'!Tnet-t)/('2021'!Tau_j))),Resal+(Salim-Resal)*(1-EXP((Tnet-t)/(Tau_j))))*Salcycl</f>
        <v>0.10162377171718807</v>
      </c>
      <c r="P174" s="339">
        <f>(INDEX(Models!$BJ174:$BT174,,T174)*(1-R174)+INDEX(Models!$BJ174:$BT174,,T174+1)*R174-ERP_i)*Q174*Ramure*Pc/MaxiM</f>
        <v>1.1738280162714874E-3</v>
      </c>
      <c r="Q174" s="305">
        <f t="shared" si="51"/>
        <v>0.8</v>
      </c>
      <c r="R174" s="177">
        <f t="shared" si="52"/>
        <v>0.29285680944484171</v>
      </c>
      <c r="S174" s="809">
        <f t="shared" si="53"/>
        <v>0</v>
      </c>
      <c r="T174" s="176">
        <f t="shared" si="54"/>
        <v>6</v>
      </c>
      <c r="U174" s="251">
        <f t="shared" si="55"/>
        <v>0.29285680944484171</v>
      </c>
      <c r="V174" s="383">
        <f t="shared" si="56"/>
        <v>53.50310954661969</v>
      </c>
      <c r="W174" s="402"/>
      <c r="X174" s="157">
        <f t="shared" si="57"/>
        <v>44721</v>
      </c>
      <c r="Y174" s="385">
        <f t="shared" si="58"/>
        <v>37.519028764914488</v>
      </c>
      <c r="Z174" s="385">
        <f t="shared" si="59"/>
        <v>39.219044937944801</v>
      </c>
      <c r="AA174" s="386">
        <f t="shared" si="60"/>
        <v>46.272587332793016</v>
      </c>
      <c r="AB174" s="197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0.15243457955179932</v>
      </c>
      <c r="AD174" s="231">
        <f>(INDEX(Models!$BJ174:$BT174,,AH174)*(1-AF174)+INDEX(Models!$BJ174:$BT174,,AH174+1)*AF174-ERP_i)*AE174*Ramure*Pc/MaxiM</f>
        <v>6.7444519714655793E-3</v>
      </c>
      <c r="AE174" s="305">
        <f t="shared" si="62"/>
        <v>0.8</v>
      </c>
      <c r="AF174" s="177">
        <f t="shared" si="63"/>
        <v>0.493573556609745</v>
      </c>
      <c r="AG174" s="809">
        <f t="shared" si="71"/>
        <v>1</v>
      </c>
      <c r="AH174" s="176">
        <f t="shared" si="64"/>
        <v>7</v>
      </c>
      <c r="AI174" s="225">
        <f t="shared" si="65"/>
        <v>1.493573556609745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44722</v>
      </c>
      <c r="B175" s="616">
        <v>50.683</v>
      </c>
      <c r="C175" s="839"/>
      <c r="D175" s="393">
        <f t="shared" si="48"/>
        <v>52.980733136651146</v>
      </c>
      <c r="E175" s="385">
        <f t="shared" si="72"/>
        <v>58.987416321393056</v>
      </c>
      <c r="F175" s="385">
        <f t="shared" si="49"/>
        <v>59.05347320995299</v>
      </c>
      <c r="G175" s="110">
        <f t="shared" si="73"/>
        <v>0.94781110835496862</v>
      </c>
      <c r="H175" s="414" t="b">
        <f>Wh_hp&gt;='2021'!Maxi_hp</f>
        <v>0</v>
      </c>
      <c r="I175" s="380">
        <f>IF(H175,Wh_hp,'2021'!Maxi_hp)</f>
        <v>59.456159779115154</v>
      </c>
      <c r="J175" s="85">
        <f>IF(H175,An,'2021'!An_max)</f>
        <v>2021</v>
      </c>
      <c r="K175" s="197">
        <f t="shared" si="50"/>
        <v>44722</v>
      </c>
      <c r="L175" s="147">
        <f>IF(t&lt;Tvie,1-EXP((T0-t)*PertePVj)+'2021'!Pspv,1-EXP((T0-t)*PertePVj)+Pspv)</f>
        <v>4.3369221236042407E-2</v>
      </c>
      <c r="M175" s="843"/>
      <c r="N175" s="843"/>
      <c r="O175" s="48">
        <f>IF(t&lt;Tnet,'2021'!Resal+('2021'!Salim-'2021'!Resal)*(1-EXP(('2021'!Tnet-t)/('2021'!Tau_j))),Resal+(Salim-Resal)*(1-EXP((Tnet-t)/(Tau_j))))*Salcycl</f>
        <v>0.10182990812844697</v>
      </c>
      <c r="P175" s="339">
        <f>(INDEX(Models!$BJ175:$BT175,,T175)*(1-R175)+INDEX(Models!$BJ175:$BT175,,T175+1)*R175-ERP_i)*Q175*Ramure*Pc/MaxiM</f>
        <v>1.2085513053536972E-3</v>
      </c>
      <c r="Q175" s="305">
        <f t="shared" si="51"/>
        <v>0.8</v>
      </c>
      <c r="R175" s="177">
        <f t="shared" si="52"/>
        <v>0.29903094901805555</v>
      </c>
      <c r="S175" s="809">
        <f t="shared" si="53"/>
        <v>0</v>
      </c>
      <c r="T175" s="176">
        <f t="shared" si="54"/>
        <v>6</v>
      </c>
      <c r="U175" s="251">
        <f t="shared" si="55"/>
        <v>0.29903094901805555</v>
      </c>
      <c r="V175" s="383">
        <f t="shared" si="56"/>
        <v>53.468919244855279</v>
      </c>
      <c r="W175" s="402"/>
      <c r="X175" s="157">
        <f t="shared" si="57"/>
        <v>44722</v>
      </c>
      <c r="Y175" s="385">
        <f t="shared" si="58"/>
        <v>47.569977507921806</v>
      </c>
      <c r="Z175" s="385">
        <f t="shared" si="59"/>
        <v>49.726580582516867</v>
      </c>
      <c r="AA175" s="386">
        <f t="shared" si="60"/>
        <v>58.679366843415842</v>
      </c>
      <c r="AB175" s="197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0.15257128259050953</v>
      </c>
      <c r="AD175" s="231">
        <f>(INDEX(Models!$BJ175:$BT175,,AH175)*(1-AF175)+INDEX(Models!$BJ175:$BT175,,AH175+1)*AF175-ERP_i)*AE175*Ramure*Pc/MaxiM</f>
        <v>6.8445055084511422E-3</v>
      </c>
      <c r="AE175" s="305">
        <f t="shared" si="62"/>
        <v>0.8</v>
      </c>
      <c r="AF175" s="177">
        <f t="shared" si="63"/>
        <v>0.499747696182959</v>
      </c>
      <c r="AG175" s="809">
        <f t="shared" si="71"/>
        <v>1</v>
      </c>
      <c r="AH175" s="176">
        <f t="shared" si="64"/>
        <v>7</v>
      </c>
      <c r="AI175" s="225">
        <f t="shared" si="65"/>
        <v>1.499747696182959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44723</v>
      </c>
      <c r="B176" s="616">
        <v>49.728999999999999</v>
      </c>
      <c r="C176" s="839"/>
      <c r="D176" s="393">
        <f t="shared" si="48"/>
        <v>51.98470699401711</v>
      </c>
      <c r="E176" s="385">
        <f t="shared" si="72"/>
        <v>57.891661113282126</v>
      </c>
      <c r="F176" s="385">
        <f t="shared" si="49"/>
        <v>57.956580464308153</v>
      </c>
      <c r="G176" s="110">
        <f t="shared" si="73"/>
        <v>0.93056897894327195</v>
      </c>
      <c r="H176" s="414" t="b">
        <f>Wh_hp&gt;='2021'!Maxi_hp</f>
        <v>1</v>
      </c>
      <c r="I176" s="380">
        <f>IF(H176,Wh_hp,'2021'!Maxi_hp)</f>
        <v>57.956580464308153</v>
      </c>
      <c r="J176" s="85">
        <f>IF(H176,An,'2021'!An_max)</f>
        <v>2022</v>
      </c>
      <c r="K176" s="197">
        <f t="shared" si="50"/>
        <v>44723</v>
      </c>
      <c r="L176" s="147">
        <f>IF(t&lt;Tvie,1-EXP((T0-t)*PertePVj)+'2021'!Pspv,1-EXP((T0-t)*PertePVj)+Pspv)</f>
        <v>4.3391742003599673E-2</v>
      </c>
      <c r="M176" s="843"/>
      <c r="N176" s="843"/>
      <c r="O176" s="48">
        <f>IF(t&lt;Tnet,'2021'!Resal+('2021'!Salim-'2021'!Resal)*(1-EXP(('2021'!Tnet-t)/('2021'!Tau_j))),Resal+(Salim-Resal)*(1-EXP((Tnet-t)/(Tau_j))))*Salcycl</f>
        <v>0.10203462822920761</v>
      </c>
      <c r="P176" s="339">
        <f>(INDEX(Models!$BJ176:$BT176,,T176)*(1-R176)+INDEX(Models!$BJ176:$BT176,,T176+1)*R176-ERP_i)*Q176*Ramure*Pc/MaxiM</f>
        <v>1.24324826028857E-3</v>
      </c>
      <c r="Q176" s="305">
        <f t="shared" si="51"/>
        <v>0.8</v>
      </c>
      <c r="R176" s="177">
        <f t="shared" si="52"/>
        <v>0.30520508859126938</v>
      </c>
      <c r="S176" s="809">
        <f t="shared" si="53"/>
        <v>0</v>
      </c>
      <c r="T176" s="176">
        <f t="shared" si="54"/>
        <v>6</v>
      </c>
      <c r="U176" s="251">
        <f t="shared" si="55"/>
        <v>0.30520508859126938</v>
      </c>
      <c r="V176" s="383">
        <f t="shared" si="56"/>
        <v>53.432762207803194</v>
      </c>
      <c r="W176" s="402"/>
      <c r="X176" s="157">
        <f t="shared" si="57"/>
        <v>44723</v>
      </c>
      <c r="Y176" s="385">
        <f t="shared" si="58"/>
        <v>46.681609825867305</v>
      </c>
      <c r="Z176" s="385">
        <f t="shared" si="59"/>
        <v>48.79908722891556</v>
      </c>
      <c r="AA176" s="386">
        <f t="shared" si="60"/>
        <v>57.594043167828076</v>
      </c>
      <c r="AB176" s="197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0.15270599970354862</v>
      </c>
      <c r="AD176" s="231">
        <f>(INDEX(Models!$BJ176:$BT176,,AH176)*(1-AF176)+INDEX(Models!$BJ176:$BT176,,AH176+1)*AF176-ERP_i)*AE176*Ramure*Pc/MaxiM</f>
        <v>6.9428276163433899E-3</v>
      </c>
      <c r="AE176" s="305">
        <f t="shared" si="62"/>
        <v>0.8</v>
      </c>
      <c r="AF176" s="177">
        <f t="shared" si="63"/>
        <v>0.50592183575617278</v>
      </c>
      <c r="AG176" s="809">
        <f t="shared" si="71"/>
        <v>1</v>
      </c>
      <c r="AH176" s="176">
        <f t="shared" si="64"/>
        <v>7</v>
      </c>
      <c r="AI176" s="225">
        <f t="shared" si="65"/>
        <v>1.5059218357561728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44724</v>
      </c>
      <c r="B177" s="616">
        <v>37.454000000000001</v>
      </c>
      <c r="C177" s="839"/>
      <c r="D177" s="393">
        <f t="shared" si="48"/>
        <v>39.153834854344829</v>
      </c>
      <c r="E177" s="385">
        <f t="shared" si="72"/>
        <v>43.612704764544432</v>
      </c>
      <c r="F177" s="385">
        <f t="shared" si="49"/>
        <v>43.644691089069163</v>
      </c>
      <c r="G177" s="110">
        <f t="shared" si="73"/>
        <v>0.70107915210758087</v>
      </c>
      <c r="H177" s="414" t="b">
        <f>Wh_hp&gt;='2021'!Maxi_hp</f>
        <v>0</v>
      </c>
      <c r="I177" s="380">
        <f>IF(H177,Wh_hp,'2021'!Maxi_hp)</f>
        <v>57.157834054855876</v>
      </c>
      <c r="J177" s="85">
        <f>IF(H177,An,'2021'!An_max)</f>
        <v>2019</v>
      </c>
      <c r="K177" s="197">
        <f t="shared" si="50"/>
        <v>44724</v>
      </c>
      <c r="L177" s="147">
        <f>IF(t&lt;Tvie,1-EXP((T0-t)*PertePVj)+'2021'!Pspv,1-EXP((T0-t)*PertePVj)+Pspv)</f>
        <v>4.3414262247065835E-2</v>
      </c>
      <c r="M177" s="843"/>
      <c r="N177" s="843"/>
      <c r="O177" s="48">
        <f>IF(t&lt;Tnet,'2021'!Resal+('2021'!Salim-'2021'!Resal)*(1-EXP(('2021'!Tnet-t)/('2021'!Tau_j))),Resal+(Salim-Resal)*(1-EXP((Tnet-t)/(Tau_j))))*Salcycl</f>
        <v>0.10223786702228346</v>
      </c>
      <c r="P177" s="339">
        <f>(INDEX(Models!$BJ177:$BT177,,T177)*(1-R177)+INDEX(Models!$BJ177:$BT177,,T177+1)*R177-ERP_i)*Q177*Ramure*Pc/MaxiM</f>
        <v>1.277870403804284E-3</v>
      </c>
      <c r="Q177" s="305">
        <f t="shared" si="51"/>
        <v>0.8</v>
      </c>
      <c r="R177" s="177">
        <f t="shared" si="52"/>
        <v>0.31137401816443644</v>
      </c>
      <c r="S177" s="809">
        <f t="shared" si="53"/>
        <v>0</v>
      </c>
      <c r="T177" s="176">
        <f t="shared" si="54"/>
        <v>6</v>
      </c>
      <c r="U177" s="251">
        <f t="shared" si="55"/>
        <v>0.31137401816443644</v>
      </c>
      <c r="V177" s="383">
        <f t="shared" si="56"/>
        <v>53.394217827134689</v>
      </c>
      <c r="W177" s="402"/>
      <c r="X177" s="157">
        <f t="shared" si="57"/>
        <v>44724</v>
      </c>
      <c r="Y177" s="385">
        <f t="shared" si="58"/>
        <v>35.226102181287565</v>
      </c>
      <c r="Z177" s="385">
        <f t="shared" si="59"/>
        <v>36.824824781556295</v>
      </c>
      <c r="AA177" s="386">
        <f t="shared" si="60"/>
        <v>43.468489628712312</v>
      </c>
      <c r="AB177" s="197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0.15283864021738774</v>
      </c>
      <c r="AD177" s="231">
        <f>(INDEX(Models!$BJ177:$BT177,,AH177)*(1-AF177)+INDEX(Models!$BJ177:$BT177,,AH177+1)*AF177-ERP_i)*AE177*Ramure*Pc/MaxiM</f>
        <v>7.0393405507728508E-3</v>
      </c>
      <c r="AE177" s="305">
        <f t="shared" si="62"/>
        <v>0.8</v>
      </c>
      <c r="AF177" s="177">
        <f t="shared" si="63"/>
        <v>0.51209076532933984</v>
      </c>
      <c r="AG177" s="809">
        <f t="shared" si="71"/>
        <v>1</v>
      </c>
      <c r="AH177" s="176">
        <f t="shared" si="64"/>
        <v>7</v>
      </c>
      <c r="AI177" s="225">
        <f t="shared" si="65"/>
        <v>1.5120907653293398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44725</v>
      </c>
      <c r="B178" s="616">
        <v>48.673999999999999</v>
      </c>
      <c r="C178" s="839"/>
      <c r="D178" s="393">
        <f t="shared" si="48"/>
        <v>50.884247985262782</v>
      </c>
      <c r="E178" s="385">
        <f t="shared" si="72"/>
        <v>56.691723367190924</v>
      </c>
      <c r="F178" s="385">
        <f t="shared" si="49"/>
        <v>56.75687108295319</v>
      </c>
      <c r="G178" s="110">
        <f t="shared" si="73"/>
        <v>0.91215636719991378</v>
      </c>
      <c r="H178" s="414" t="b">
        <f>Wh_hp&gt;='2021'!Maxi_hp</f>
        <v>0</v>
      </c>
      <c r="I178" s="380">
        <f>IF(H178,Wh_hp,'2021'!Maxi_hp)</f>
        <v>63.561322397498678</v>
      </c>
      <c r="J178" s="85">
        <f>IF(H178,An,'2021'!An_max)</f>
        <v>2019</v>
      </c>
      <c r="K178" s="197">
        <f t="shared" si="50"/>
        <v>44725</v>
      </c>
      <c r="L178" s="147">
        <f>IF(t&lt;Tvie,1-EXP((T0-t)*PertePVj)+'2021'!Pspv,1-EXP((T0-t)*PertePVj)+Pspv)</f>
        <v>4.3436781966452995E-2</v>
      </c>
      <c r="M178" s="843"/>
      <c r="N178" s="843"/>
      <c r="O178" s="48">
        <f>IF(t&lt;Tnet,'2021'!Resal+('2021'!Salim-'2021'!Resal)*(1-EXP(('2021'!Tnet-t)/('2021'!Tau_j))),Resal+(Salim-Resal)*(1-EXP((Tnet-t)/(Tau_j))))*Salcycl</f>
        <v>0.10243956325534978</v>
      </c>
      <c r="P178" s="339">
        <f>(INDEX(Models!$BJ178:$BT178,,T178)*(1-R178)+INDEX(Models!$BJ178:$BT178,,T178+1)*R178-ERP_i)*Q178*Ramure*Pc/MaxiM</f>
        <v>1.3122298331575896E-3</v>
      </c>
      <c r="Q178" s="305">
        <f t="shared" si="51"/>
        <v>0.8</v>
      </c>
      <c r="R178" s="177">
        <f t="shared" si="52"/>
        <v>0.31753254530835628</v>
      </c>
      <c r="S178" s="809">
        <f t="shared" si="53"/>
        <v>0</v>
      </c>
      <c r="T178" s="176">
        <f t="shared" si="54"/>
        <v>6</v>
      </c>
      <c r="U178" s="251">
        <f t="shared" si="55"/>
        <v>0.31753254530835628</v>
      </c>
      <c r="V178" s="383">
        <f t="shared" si="56"/>
        <v>53.352682682472143</v>
      </c>
      <c r="W178" s="402"/>
      <c r="X178" s="157">
        <f t="shared" si="57"/>
        <v>44725</v>
      </c>
      <c r="Y178" s="385">
        <f t="shared" si="58"/>
        <v>45.699687211805923</v>
      </c>
      <c r="Z178" s="385">
        <f t="shared" si="59"/>
        <v>47.774873997092385</v>
      </c>
      <c r="AA178" s="386">
        <f t="shared" si="60"/>
        <v>56.402753538908925</v>
      </c>
      <c r="AB178" s="197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0.15296911942188557</v>
      </c>
      <c r="AD178" s="231">
        <f>(INDEX(Models!$BJ178:$BT178,,AH178)*(1-AF178)+INDEX(Models!$BJ178:$BT178,,AH178+1)*AF178-ERP_i)*AE178*Ramure*Pc/MaxiM</f>
        <v>7.1327689743575203E-3</v>
      </c>
      <c r="AE178" s="305">
        <f t="shared" si="62"/>
        <v>0.8</v>
      </c>
      <c r="AF178" s="177">
        <f t="shared" si="63"/>
        <v>0.51824929247325979</v>
      </c>
      <c r="AG178" s="809">
        <f t="shared" si="71"/>
        <v>1</v>
      </c>
      <c r="AH178" s="176">
        <f t="shared" si="64"/>
        <v>7</v>
      </c>
      <c r="AI178" s="225">
        <f t="shared" si="65"/>
        <v>1.5182492924732598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44726</v>
      </c>
      <c r="B179" s="616">
        <v>41.353999999999999</v>
      </c>
      <c r="C179" s="839"/>
      <c r="D179" s="393">
        <f t="shared" si="48"/>
        <v>43.232870331839301</v>
      </c>
      <c r="E179" s="385">
        <f t="shared" si="72"/>
        <v>48.177825995032642</v>
      </c>
      <c r="F179" s="385">
        <f t="shared" si="49"/>
        <v>48.221957588797729</v>
      </c>
      <c r="G179" s="110">
        <f t="shared" si="73"/>
        <v>0.77541884474303724</v>
      </c>
      <c r="H179" s="414" t="b">
        <f>Wh_hp&gt;='2021'!Maxi_hp</f>
        <v>0</v>
      </c>
      <c r="I179" s="380">
        <f>IF(H179,Wh_hp,'2021'!Maxi_hp)</f>
        <v>54.436884810261837</v>
      </c>
      <c r="J179" s="85">
        <f>IF(H179,An,'2021'!An_max)</f>
        <v>2021</v>
      </c>
      <c r="K179" s="197">
        <f t="shared" si="50"/>
        <v>44726</v>
      </c>
      <c r="L179" s="147">
        <f>IF(t&lt;Tvie,1-EXP((T0-t)*PertePVj)+'2021'!Pspv,1-EXP((T0-t)*PertePVj)+Pspv)</f>
        <v>4.3459301161773364E-2</v>
      </c>
      <c r="M179" s="843"/>
      <c r="N179" s="843"/>
      <c r="O179" s="48">
        <f>IF(t&lt;Tnet,'2021'!Resal+('2021'!Salim-'2021'!Resal)*(1-EXP(('2021'!Tnet-t)/('2021'!Tau_j))),Resal+(Salim-Resal)*(1-EXP((Tnet-t)/(Tau_j))))*Salcycl</f>
        <v>0.10263965965801754</v>
      </c>
      <c r="P179" s="339">
        <f>(INDEX(Models!$BJ179:$BT179,,T179)*(1-R179)+INDEX(Models!$BJ179:$BT179,,T179+1)*R179-ERP_i)*Q179*Ramure*Pc/MaxiM</f>
        <v>1.3465440389429141E-3</v>
      </c>
      <c r="Q179" s="305">
        <f t="shared" si="51"/>
        <v>0.8</v>
      </c>
      <c r="R179" s="177">
        <f t="shared" si="52"/>
        <v>0.32367551260974736</v>
      </c>
      <c r="S179" s="809">
        <f t="shared" si="53"/>
        <v>0</v>
      </c>
      <c r="T179" s="176">
        <f t="shared" si="54"/>
        <v>6</v>
      </c>
      <c r="U179" s="251">
        <f t="shared" si="55"/>
        <v>0.32367551260974736</v>
      </c>
      <c r="V179" s="383">
        <f t="shared" si="56"/>
        <v>53.308151019375742</v>
      </c>
      <c r="W179" s="402"/>
      <c r="X179" s="157">
        <f t="shared" si="57"/>
        <v>44726</v>
      </c>
      <c r="Y179" s="385">
        <f t="shared" si="58"/>
        <v>38.872651993279931</v>
      </c>
      <c r="Z179" s="385">
        <f t="shared" si="59"/>
        <v>40.638785198050627</v>
      </c>
      <c r="AA179" s="386">
        <f t="shared" si="60"/>
        <v>47.985191243123232</v>
      </c>
      <c r="AB179" s="197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0.15309735888830955</v>
      </c>
      <c r="AD179" s="231">
        <f>(INDEX(Models!$BJ179:$BT179,,AH179)*(1-AF179)+INDEX(Models!$BJ179:$BT179,,AH179+1)*AF179-ERP_i)*AE179*Ramure*Pc/MaxiM</f>
        <v>7.2242192993826528E-3</v>
      </c>
      <c r="AE179" s="305">
        <f t="shared" si="62"/>
        <v>0.8</v>
      </c>
      <c r="AF179" s="177">
        <f t="shared" si="63"/>
        <v>0.52439225977465087</v>
      </c>
      <c r="AG179" s="809">
        <f t="shared" si="71"/>
        <v>1</v>
      </c>
      <c r="AH179" s="176">
        <f t="shared" si="64"/>
        <v>7</v>
      </c>
      <c r="AI179" s="225">
        <f t="shared" si="65"/>
        <v>1.5243922597746509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44727</v>
      </c>
      <c r="B180" s="616">
        <v>47.794000000000004</v>
      </c>
      <c r="C180" s="839"/>
      <c r="D180" s="393">
        <f t="shared" si="48"/>
        <v>49.966640458059601</v>
      </c>
      <c r="E180" s="385">
        <f t="shared" si="72"/>
        <v>55.694117899987319</v>
      </c>
      <c r="F180" s="385">
        <f t="shared" si="49"/>
        <v>55.759820062838301</v>
      </c>
      <c r="G180" s="110">
        <f t="shared" si="73"/>
        <v>0.8971788617960903</v>
      </c>
      <c r="H180" s="414" t="b">
        <f>Wh_hp&gt;='2021'!Maxi_hp</f>
        <v>0</v>
      </c>
      <c r="I180" s="380">
        <f>IF(H180,Wh_hp,'2021'!Maxi_hp)</f>
        <v>56.029931246616755</v>
      </c>
      <c r="J180" s="85">
        <f>IF(H180,An,'2021'!An_max)</f>
        <v>2020</v>
      </c>
      <c r="K180" s="197">
        <f t="shared" si="50"/>
        <v>44727</v>
      </c>
      <c r="L180" s="147">
        <f>IF(t&lt;Tvie,1-EXP((T0-t)*PertePVj)+'2021'!Pspv,1-EXP((T0-t)*PertePVj)+Pspv)</f>
        <v>4.3481819833039267E-2</v>
      </c>
      <c r="M180" s="843"/>
      <c r="N180" s="843"/>
      <c r="O180" s="48">
        <f>IF(t&lt;Tnet,'2021'!Resal+('2021'!Salim-'2021'!Resal)*(1-EXP(('2021'!Tnet-t)/('2021'!Tau_j))),Resal+(Salim-Resal)*(1-EXP((Tnet-t)/(Tau_j))))*Salcycl</f>
        <v>0.10283810315862864</v>
      </c>
      <c r="P180" s="339">
        <f>(INDEX(Models!$BJ180:$BT180,,T180)*(1-R180)+INDEX(Models!$BJ180:$BT180,,T180+1)*R180-ERP_i)*Q180*Ramure*Pc/MaxiM</f>
        <v>1.3807646385624807E-3</v>
      </c>
      <c r="Q180" s="305">
        <f t="shared" si="51"/>
        <v>0.8</v>
      </c>
      <c r="R180" s="177">
        <f t="shared" si="52"/>
        <v>0.32979781486631543</v>
      </c>
      <c r="S180" s="809">
        <f t="shared" si="53"/>
        <v>0</v>
      </c>
      <c r="T180" s="176">
        <f t="shared" si="54"/>
        <v>6</v>
      </c>
      <c r="U180" s="251">
        <f t="shared" si="55"/>
        <v>0.32979781486631543</v>
      </c>
      <c r="V180" s="383">
        <f t="shared" si="56"/>
        <v>53.26063100593808</v>
      </c>
      <c r="W180" s="402"/>
      <c r="X180" s="157">
        <f t="shared" si="57"/>
        <v>44727</v>
      </c>
      <c r="Y180" s="385">
        <f t="shared" si="58"/>
        <v>44.881203326292507</v>
      </c>
      <c r="Z180" s="385">
        <f t="shared" si="59"/>
        <v>46.921432605137177</v>
      </c>
      <c r="AA180" s="386">
        <f t="shared" si="60"/>
        <v>55.41181266705162</v>
      </c>
      <c r="AB180" s="197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0.15322328675529684</v>
      </c>
      <c r="AD180" s="231">
        <f>(INDEX(Models!$BJ180:$BT180,,AH180)*(1-AF180)+INDEX(Models!$BJ180:$BT180,,AH180+1)*AF180-ERP_i)*AE180*Ramure*Pc/MaxiM</f>
        <v>7.3135538498229295E-3</v>
      </c>
      <c r="AE180" s="305">
        <f t="shared" si="62"/>
        <v>0.8</v>
      </c>
      <c r="AF180" s="177">
        <f t="shared" si="63"/>
        <v>0.53051456203121883</v>
      </c>
      <c r="AG180" s="809">
        <f t="shared" si="71"/>
        <v>1</v>
      </c>
      <c r="AH180" s="176">
        <f t="shared" si="64"/>
        <v>7</v>
      </c>
      <c r="AI180" s="225">
        <f t="shared" si="65"/>
        <v>1.5305145620312188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44728</v>
      </c>
      <c r="B181" s="616">
        <v>45.898000000000003</v>
      </c>
      <c r="C181" s="839"/>
      <c r="D181" s="393">
        <f t="shared" si="48"/>
        <v>47.985580931001543</v>
      </c>
      <c r="E181" s="385">
        <f t="shared" si="72"/>
        <v>53.497709100233173</v>
      </c>
      <c r="F181" s="385">
        <f t="shared" si="49"/>
        <v>53.558610035935828</v>
      </c>
      <c r="G181" s="110">
        <f t="shared" si="73"/>
        <v>0.86234024830950973</v>
      </c>
      <c r="H181" s="414" t="b">
        <f>Wh_hp&gt;='2021'!Maxi_hp</f>
        <v>0</v>
      </c>
      <c r="I181" s="380">
        <f>IF(H181,Wh_hp,'2021'!Maxi_hp)</f>
        <v>64.737412852018437</v>
      </c>
      <c r="J181" s="85">
        <f>IF(H181,An,'2021'!An_max)</f>
        <v>2019</v>
      </c>
      <c r="K181" s="197">
        <f t="shared" si="50"/>
        <v>44728</v>
      </c>
      <c r="L181" s="147">
        <f>IF(t&lt;Tvie,1-EXP((T0-t)*PertePVj)+'2021'!Pspv,1-EXP((T0-t)*PertePVj)+Pspv)</f>
        <v>4.3504337980262694E-2</v>
      </c>
      <c r="M181" s="843"/>
      <c r="N181" s="843"/>
      <c r="O181" s="48">
        <f>IF(t&lt;Tnet,'2021'!Resal+('2021'!Salim-'2021'!Resal)*(1-EXP(('2021'!Tnet-t)/('2021'!Tau_j))),Resal+(Salim-Resal)*(1-EXP((Tnet-t)/(Tau_j))))*Salcycl</f>
        <v>0.10303484507914389</v>
      </c>
      <c r="P181" s="339">
        <f>(INDEX(Models!$BJ181:$BT181,,T181)*(1-R181)+INDEX(Models!$BJ181:$BT181,,T181+1)*R181-ERP_i)*Q181*Ramure*Pc/MaxiM</f>
        <v>1.4148432829237485E-3</v>
      </c>
      <c r="Q181" s="305">
        <f t="shared" si="51"/>
        <v>0.8</v>
      </c>
      <c r="R181" s="177">
        <f t="shared" si="52"/>
        <v>0.33589441591064173</v>
      </c>
      <c r="S181" s="809">
        <f t="shared" si="53"/>
        <v>0</v>
      </c>
      <c r="T181" s="176">
        <f t="shared" si="54"/>
        <v>6</v>
      </c>
      <c r="U181" s="251">
        <f t="shared" si="55"/>
        <v>0.33589441591064173</v>
      </c>
      <c r="V181" s="383">
        <f t="shared" si="56"/>
        <v>53.210130498420099</v>
      </c>
      <c r="W181" s="402"/>
      <c r="X181" s="157">
        <f t="shared" si="57"/>
        <v>44728</v>
      </c>
      <c r="Y181" s="385">
        <f t="shared" si="58"/>
        <v>43.114865268626048</v>
      </c>
      <c r="Z181" s="385">
        <f t="shared" si="59"/>
        <v>45.075860749420073</v>
      </c>
      <c r="AA181" s="386">
        <f t="shared" si="60"/>
        <v>53.240054808166008</v>
      </c>
      <c r="AB181" s="197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0.15334683798059687</v>
      </c>
      <c r="AD181" s="231">
        <f>(INDEX(Models!$BJ181:$BT181,,AH181)*(1-AF181)+INDEX(Models!$BJ181:$BT181,,AH181+1)*AF181-ERP_i)*AE181*Ramure*Pc/MaxiM</f>
        <v>7.4006371010612521E-3</v>
      </c>
      <c r="AE181" s="305">
        <f t="shared" si="62"/>
        <v>0.8</v>
      </c>
      <c r="AF181" s="177">
        <f t="shared" si="63"/>
        <v>0.53661116307554524</v>
      </c>
      <c r="AG181" s="809">
        <f t="shared" si="71"/>
        <v>1</v>
      </c>
      <c r="AH181" s="176">
        <f t="shared" si="64"/>
        <v>7</v>
      </c>
      <c r="AI181" s="225">
        <f t="shared" si="65"/>
        <v>1.5366111630755452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44729</v>
      </c>
      <c r="B182" s="616">
        <v>46.294000000000004</v>
      </c>
      <c r="C182" s="839"/>
      <c r="D182" s="393">
        <f t="shared" si="48"/>
        <v>48.400731657978447</v>
      </c>
      <c r="E182" s="385">
        <f t="shared" si="72"/>
        <v>53.972281736605972</v>
      </c>
      <c r="F182" s="385">
        <f t="shared" si="49"/>
        <v>54.036127537490387</v>
      </c>
      <c r="G182" s="110">
        <f t="shared" si="73"/>
        <v>0.87066453294791424</v>
      </c>
      <c r="H182" s="414" t="b">
        <f>Wh_hp&gt;='2021'!Maxi_hp</f>
        <v>0</v>
      </c>
      <c r="I182" s="380">
        <f>IF(H182,Wh_hp,'2021'!Maxi_hp)</f>
        <v>61.823807905736835</v>
      </c>
      <c r="J182" s="85">
        <f>IF(H182,An,'2021'!An_max)</f>
        <v>2019</v>
      </c>
      <c r="K182" s="197">
        <f t="shared" si="50"/>
        <v>44729</v>
      </c>
      <c r="L182" s="147">
        <f>IF(t&lt;Tvie,1-EXP((T0-t)*PertePVj)+'2021'!Pspv,1-EXP((T0-t)*PertePVj)+Pspv)</f>
        <v>4.3526855603455969E-2</v>
      </c>
      <c r="M182" s="843"/>
      <c r="N182" s="843"/>
      <c r="O182" s="48">
        <f>IF(t&lt;Tnet,'2021'!Resal+('2021'!Salim-'2021'!Resal)*(1-EXP(('2021'!Tnet-t)/('2021'!Tau_j))),Resal+(Salim-Resal)*(1-EXP((Tnet-t)/(Tau_j))))*Salcycl</f>
        <v>0.10322984130664797</v>
      </c>
      <c r="P182" s="339">
        <f>(INDEX(Models!$BJ182:$BT182,,T182)*(1-R182)+INDEX(Models!$BJ182:$BT182,,T182+1)*R182-ERP_i)*Q182*Ramure*Pc/MaxiM</f>
        <v>1.4487318750504307E-3</v>
      </c>
      <c r="Q182" s="305">
        <f t="shared" si="51"/>
        <v>0.8</v>
      </c>
      <c r="R182" s="177">
        <f t="shared" si="52"/>
        <v>0.34196036494623344</v>
      </c>
      <c r="S182" s="809">
        <f t="shared" si="53"/>
        <v>0</v>
      </c>
      <c r="T182" s="176">
        <f t="shared" si="54"/>
        <v>6</v>
      </c>
      <c r="U182" s="251">
        <f t="shared" si="55"/>
        <v>0.34196036494623344</v>
      </c>
      <c r="V182" s="383">
        <f t="shared" si="56"/>
        <v>53.156657009594291</v>
      </c>
      <c r="W182" s="402"/>
      <c r="X182" s="157">
        <f t="shared" si="57"/>
        <v>44729</v>
      </c>
      <c r="Y182" s="385">
        <f t="shared" si="58"/>
        <v>43.48515224024424</v>
      </c>
      <c r="Z182" s="385">
        <f t="shared" si="59"/>
        <v>45.464059806592687</v>
      </c>
      <c r="AA182" s="386">
        <f t="shared" si="60"/>
        <v>53.706247803984304</v>
      </c>
      <c r="AB182" s="197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0.1534679545566793</v>
      </c>
      <c r="AD182" s="231">
        <f>(INDEX(Models!$BJ182:$BT182,,AH182)*(1-AF182)+INDEX(Models!$BJ182:$BT182,,AH182+1)*AF182-ERP_i)*AE182*Ramure*Pc/MaxiM</f>
        <v>7.4853362044682578E-3</v>
      </c>
      <c r="AE182" s="305">
        <f t="shared" si="62"/>
        <v>0.8</v>
      </c>
      <c r="AF182" s="177">
        <f t="shared" si="63"/>
        <v>0.54267711211113689</v>
      </c>
      <c r="AG182" s="809">
        <f t="shared" si="71"/>
        <v>1</v>
      </c>
      <c r="AH182" s="176">
        <f t="shared" si="64"/>
        <v>7</v>
      </c>
      <c r="AI182" s="225">
        <f t="shared" si="65"/>
        <v>1.5426771121111369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44730</v>
      </c>
      <c r="B183" s="616">
        <v>47.838999999999999</v>
      </c>
      <c r="C183" s="839"/>
      <c r="D183" s="393">
        <f t="shared" si="48"/>
        <v>50.017218489550359</v>
      </c>
      <c r="E183" s="385">
        <f t="shared" si="72"/>
        <v>55.786866510096431</v>
      </c>
      <c r="F183" s="385">
        <f t="shared" si="49"/>
        <v>55.857949111411173</v>
      </c>
      <c r="G183" s="110">
        <f t="shared" si="73"/>
        <v>0.90072981967275678</v>
      </c>
      <c r="H183" s="414" t="b">
        <f>Wh_hp&gt;='2021'!Maxi_hp</f>
        <v>0</v>
      </c>
      <c r="I183" s="380">
        <f>IF(H183,Wh_hp,'2021'!Maxi_hp)</f>
        <v>61.050936871155521</v>
      </c>
      <c r="J183" s="85">
        <f>IF(H183,An,'2021'!An_max)</f>
        <v>2019</v>
      </c>
      <c r="K183" s="197">
        <f t="shared" si="50"/>
        <v>44730</v>
      </c>
      <c r="L183" s="147">
        <f>IF(t&lt;Tvie,1-EXP((T0-t)*PertePVj)+'2021'!Pspv,1-EXP((T0-t)*PertePVj)+Pspv)</f>
        <v>4.3549372702631192E-2</v>
      </c>
      <c r="M183" s="843"/>
      <c r="N183" s="843"/>
      <c r="O183" s="48">
        <f>IF(t&lt;Tnet,'2021'!Resal+('2021'!Salim-'2021'!Resal)*(1-EXP(('2021'!Tnet-t)/('2021'!Tau_j))),Resal+(Salim-Resal)*(1-EXP((Tnet-t)/(Tau_j))))*Salcycl</f>
        <v>0.10342305244016295</v>
      </c>
      <c r="P183" s="339">
        <f>(INDEX(Models!$BJ183:$BT183,,T183)*(1-R183)+INDEX(Models!$BJ183:$BT183,,T183+1)*R183-ERP_i)*Q183*Ramure*Pc/MaxiM</f>
        <v>1.4823827858218507E-3</v>
      </c>
      <c r="Q183" s="305">
        <f t="shared" si="51"/>
        <v>0.8</v>
      </c>
      <c r="R183" s="177">
        <f t="shared" si="52"/>
        <v>0.34799081228495982</v>
      </c>
      <c r="S183" s="809">
        <f t="shared" si="53"/>
        <v>0</v>
      </c>
      <c r="T183" s="176">
        <f t="shared" si="54"/>
        <v>6</v>
      </c>
      <c r="U183" s="251">
        <f t="shared" si="55"/>
        <v>0.34799081228495982</v>
      </c>
      <c r="V183" s="383">
        <f t="shared" si="56"/>
        <v>53.100217691786646</v>
      </c>
      <c r="W183" s="402"/>
      <c r="X183" s="157">
        <f t="shared" si="57"/>
        <v>44730</v>
      </c>
      <c r="Y183" s="385">
        <f t="shared" si="58"/>
        <v>44.926184108514114</v>
      </c>
      <c r="Z183" s="385">
        <f t="shared" si="59"/>
        <v>46.971775464732033</v>
      </c>
      <c r="AA183" s="386">
        <f t="shared" si="60"/>
        <v>55.495074476038887</v>
      </c>
      <c r="AB183" s="197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0.15358658568855427</v>
      </c>
      <c r="AD183" s="231">
        <f>(INDEX(Models!$BJ183:$BT183,,AH183)*(1-AF183)+INDEX(Models!$BJ183:$BT183,,AH183+1)*AF183-ERP_i)*AE183*Ramure*Pc/MaxiM</f>
        <v>7.5675214882114086E-3</v>
      </c>
      <c r="AE183" s="305">
        <f t="shared" si="62"/>
        <v>0.8</v>
      </c>
      <c r="AF183" s="177">
        <f t="shared" si="63"/>
        <v>0.54870755944986316</v>
      </c>
      <c r="AG183" s="809">
        <f t="shared" si="71"/>
        <v>1</v>
      </c>
      <c r="AH183" s="176">
        <f t="shared" si="64"/>
        <v>7</v>
      </c>
      <c r="AI183" s="225">
        <f t="shared" si="65"/>
        <v>1.5487075594498632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44731</v>
      </c>
      <c r="B184" s="616">
        <v>48.97</v>
      </c>
      <c r="C184" s="839"/>
      <c r="D184" s="393">
        <f t="shared" si="48"/>
        <v>51.200920854388862</v>
      </c>
      <c r="E184" s="385">
        <f t="shared" si="72"/>
        <v>57.119305980140012</v>
      </c>
      <c r="F184" s="385">
        <f t="shared" si="49"/>
        <v>57.196487657929183</v>
      </c>
      <c r="G184" s="110">
        <f t="shared" si="73"/>
        <v>0.92309742089635249</v>
      </c>
      <c r="H184" s="414" t="b">
        <f>Wh_hp&gt;='2021'!Maxi_hp</f>
        <v>1</v>
      </c>
      <c r="I184" s="380">
        <f>IF(H184,Wh_hp,'2021'!Maxi_hp)</f>
        <v>57.196487657929183</v>
      </c>
      <c r="J184" s="85">
        <f>IF(H184,An,'2021'!An_max)</f>
        <v>2022</v>
      </c>
      <c r="K184" s="197">
        <f t="shared" si="50"/>
        <v>44731</v>
      </c>
      <c r="L184" s="147">
        <f>IF(t&lt;Tvie,1-EXP((T0-t)*PertePVj)+'2021'!Pspv,1-EXP((T0-t)*PertePVj)+Pspv)</f>
        <v>4.3571889277800688E-2</v>
      </c>
      <c r="M184" s="843"/>
      <c r="N184" s="843"/>
      <c r="O184" s="48">
        <f>IF(t&lt;Tnet,'2021'!Resal+('2021'!Salim-'2021'!Resal)*(1-EXP(('2021'!Tnet-t)/('2021'!Tau_j))),Resal+(Salim-Resal)*(1-EXP((Tnet-t)/(Tau_j))))*Salcycl</f>
        <v>0.1036144439116423</v>
      </c>
      <c r="P184" s="339">
        <f>(INDEX(Models!$BJ184:$BT184,,T184)*(1-R184)+INDEX(Models!$BJ184:$BT184,,T184+1)*R184-ERP_i)*Q184*Ramure*Pc/MaxiM</f>
        <v>1.5155835372088085E-3</v>
      </c>
      <c r="Q184" s="305">
        <f t="shared" si="51"/>
        <v>0.8</v>
      </c>
      <c r="R184" s="177">
        <f t="shared" si="52"/>
        <v>0.35398102438225482</v>
      </c>
      <c r="S184" s="809">
        <f t="shared" si="53"/>
        <v>0</v>
      </c>
      <c r="T184" s="176">
        <f t="shared" si="54"/>
        <v>6</v>
      </c>
      <c r="U184" s="251">
        <f t="shared" si="55"/>
        <v>0.35398102438225482</v>
      </c>
      <c r="V184" s="383">
        <f t="shared" si="56"/>
        <v>53.040828107193533</v>
      </c>
      <c r="W184" s="402"/>
      <c r="X184" s="157">
        <f t="shared" si="57"/>
        <v>44731</v>
      </c>
      <c r="Y184" s="385">
        <f t="shared" si="58"/>
        <v>45.980967266074963</v>
      </c>
      <c r="Z184" s="385">
        <f t="shared" si="59"/>
        <v>48.075717087983449</v>
      </c>
      <c r="AA184" s="386">
        <f t="shared" si="60"/>
        <v>56.80712487498144</v>
      </c>
      <c r="AB184" s="197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0.1537026879324325</v>
      </c>
      <c r="AD184" s="231">
        <f>(INDEX(Models!$BJ184:$BT184,,AH184)*(1-AF184)+INDEX(Models!$BJ184:$BT184,,AH184+1)*AF184-ERP_i)*AE184*Ramure*Pc/MaxiM</f>
        <v>7.6457501409769599E-3</v>
      </c>
      <c r="AE184" s="305">
        <f t="shared" si="62"/>
        <v>0.8</v>
      </c>
      <c r="AF184" s="177">
        <f t="shared" si="63"/>
        <v>0.55469777154715816</v>
      </c>
      <c r="AG184" s="809">
        <f t="shared" si="71"/>
        <v>1</v>
      </c>
      <c r="AH184" s="176">
        <f t="shared" si="64"/>
        <v>7</v>
      </c>
      <c r="AI184" s="225">
        <f t="shared" si="65"/>
        <v>1.5546977715471582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44732</v>
      </c>
      <c r="B185" s="616">
        <v>29.709</v>
      </c>
      <c r="C185" s="839"/>
      <c r="D185" s="393">
        <f t="shared" si="48"/>
        <v>31.063180898914606</v>
      </c>
      <c r="E185" s="385">
        <f t="shared" si="72"/>
        <v>34.661146017655426</v>
      </c>
      <c r="F185" s="385">
        <f t="shared" si="49"/>
        <v>34.681151521646981</v>
      </c>
      <c r="G185" s="110">
        <f t="shared" si="73"/>
        <v>0.56022963356144084</v>
      </c>
      <c r="H185" s="414" t="b">
        <f>Wh_hp&gt;='2021'!Maxi_hp</f>
        <v>0</v>
      </c>
      <c r="I185" s="380">
        <f>IF(H185,Wh_hp,'2021'!Maxi_hp)</f>
        <v>54.149543241445002</v>
      </c>
      <c r="J185" s="85">
        <f>IF(H185,An,'2021'!An_max)</f>
        <v>2020</v>
      </c>
      <c r="K185" s="197">
        <f t="shared" si="50"/>
        <v>44732</v>
      </c>
      <c r="L185" s="147">
        <f>IF(t&lt;Tvie,1-EXP((T0-t)*PertePVj)+'2021'!Pspv,1-EXP((T0-t)*PertePVj)+Pspv)</f>
        <v>4.3594405328976668E-2</v>
      </c>
      <c r="M185" s="843"/>
      <c r="N185" s="843"/>
      <c r="O185" s="48">
        <f>IF(t&lt;Tnet,'2021'!Resal+('2021'!Salim-'2021'!Resal)*(1-EXP(('2021'!Tnet-t)/('2021'!Tau_j))),Resal+(Salim-Resal)*(1-EXP((Tnet-t)/(Tau_j))))*Salcycl</f>
        <v>0.10380398608020985</v>
      </c>
      <c r="P185" s="339">
        <f>(INDEX(Models!$BJ185:$BT185,,T185)*(1-R185)+INDEX(Models!$BJ185:$BT185,,T185+1)*R185-ERP_i)*Q185*Ramure*Pc/MaxiM</f>
        <v>1.5484187900084226E-3</v>
      </c>
      <c r="Q185" s="305">
        <f t="shared" si="51"/>
        <v>0.8</v>
      </c>
      <c r="R185" s="177">
        <f t="shared" si="52"/>
        <v>0.35992639807475357</v>
      </c>
      <c r="S185" s="809">
        <f t="shared" si="53"/>
        <v>0</v>
      </c>
      <c r="T185" s="176">
        <f t="shared" si="54"/>
        <v>6</v>
      </c>
      <c r="U185" s="251">
        <f t="shared" si="55"/>
        <v>0.35992639807475357</v>
      </c>
      <c r="V185" s="383">
        <f t="shared" si="56"/>
        <v>52.978487663366657</v>
      </c>
      <c r="W185" s="402"/>
      <c r="X185" s="157">
        <f t="shared" si="57"/>
        <v>44732</v>
      </c>
      <c r="Y185" s="385">
        <f t="shared" si="58"/>
        <v>27.986547293162761</v>
      </c>
      <c r="Z185" s="385">
        <f t="shared" si="59"/>
        <v>29.262216207329221</v>
      </c>
      <c r="AA185" s="386">
        <f t="shared" si="60"/>
        <v>34.581396006442127</v>
      </c>
      <c r="AB185" s="197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0.15381622529414371</v>
      </c>
      <c r="AD185" s="231">
        <f>(INDEX(Models!$BJ185:$BT185,,AH185)*(1-AF185)+INDEX(Models!$BJ185:$BT185,,AH185+1)*AF185-ERP_i)*AE185*Ramure*Pc/MaxiM</f>
        <v>7.721040880318465E-3</v>
      </c>
      <c r="AE185" s="305">
        <f t="shared" si="62"/>
        <v>0.8</v>
      </c>
      <c r="AF185" s="177">
        <f t="shared" si="63"/>
        <v>0.56064314523965697</v>
      </c>
      <c r="AG185" s="809">
        <f t="shared" si="71"/>
        <v>1</v>
      </c>
      <c r="AH185" s="176">
        <f t="shared" si="64"/>
        <v>7</v>
      </c>
      <c r="AI185" s="225">
        <f t="shared" si="65"/>
        <v>1.560643145239657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44733</v>
      </c>
      <c r="B186" s="616">
        <v>21.522000000000002</v>
      </c>
      <c r="C186" s="839"/>
      <c r="D186" s="393">
        <f t="shared" si="48"/>
        <v>22.503534900750104</v>
      </c>
      <c r="E186" s="385">
        <f t="shared" si="72"/>
        <v>25.115318410502105</v>
      </c>
      <c r="F186" s="385">
        <f t="shared" si="49"/>
        <v>25.121374153620767</v>
      </c>
      <c r="G186" s="110">
        <f t="shared" si="73"/>
        <v>0.40619651193176459</v>
      </c>
      <c r="H186" s="414" t="b">
        <f>Wh_hp&gt;='2021'!Maxi_hp</f>
        <v>0</v>
      </c>
      <c r="I186" s="380">
        <f>IF(H186,Wh_hp,'2021'!Maxi_hp)</f>
        <v>52.018835844669908</v>
      </c>
      <c r="J186" s="85">
        <f>IF(H186,An,'2021'!An_max)</f>
        <v>2020</v>
      </c>
      <c r="K186" s="197">
        <f t="shared" si="50"/>
        <v>44733</v>
      </c>
      <c r="L186" s="147">
        <f>IF(t&lt;Tvie,1-EXP((T0-t)*PertePVj)+'2021'!Pspv,1-EXP((T0-t)*PertePVj)+Pspv)</f>
        <v>4.3616920856171124E-2</v>
      </c>
      <c r="M186" s="843"/>
      <c r="N186" s="843"/>
      <c r="O186" s="48">
        <f>IF(t&lt;Tnet,'2021'!Resal+('2021'!Salim-'2021'!Resal)*(1-EXP(('2021'!Tnet-t)/('2021'!Tau_j))),Resal+(Salim-Resal)*(1-EXP((Tnet-t)/(Tau_j))))*Salcycl</f>
        <v>0.10399165429891065</v>
      </c>
      <c r="P186" s="339">
        <f>(INDEX(Models!$BJ186:$BT186,,T186)*(1-R186)+INDEX(Models!$BJ186:$BT186,,T186+1)*R186-ERP_i)*Q186*Ramure*Pc/MaxiM</f>
        <v>1.5808418718530901E-3</v>
      </c>
      <c r="Q186" s="305">
        <f t="shared" si="51"/>
        <v>0.8</v>
      </c>
      <c r="R186" s="177">
        <f t="shared" si="52"/>
        <v>0.36582247393430561</v>
      </c>
      <c r="S186" s="809">
        <f t="shared" si="53"/>
        <v>0</v>
      </c>
      <c r="T186" s="176">
        <f t="shared" si="54"/>
        <v>6</v>
      </c>
      <c r="U186" s="251">
        <f t="shared" si="55"/>
        <v>0.36582247393430561</v>
      </c>
      <c r="V186" s="383">
        <f t="shared" si="56"/>
        <v>52.913202397099738</v>
      </c>
      <c r="W186" s="402"/>
      <c r="X186" s="157">
        <f t="shared" si="57"/>
        <v>44733</v>
      </c>
      <c r="Y186" s="385">
        <f t="shared" si="58"/>
        <v>20.303299017381608</v>
      </c>
      <c r="Z186" s="385">
        <f t="shared" si="59"/>
        <v>21.229253695660823</v>
      </c>
      <c r="AA186" s="386">
        <f t="shared" si="60"/>
        <v>25.091520404643017</v>
      </c>
      <c r="AB186" s="197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0.15392716928654135</v>
      </c>
      <c r="AD186" s="231">
        <f>(INDEX(Models!$BJ186:$BT186,,AH186)*(1-AF186)+INDEX(Models!$BJ186:$BT186,,AH186+1)*AF186-ERP_i)*AE186*Ramure*Pc/MaxiM</f>
        <v>7.7932725168593274E-3</v>
      </c>
      <c r="AE186" s="305">
        <f t="shared" si="62"/>
        <v>0.8</v>
      </c>
      <c r="AF186" s="177">
        <f t="shared" si="63"/>
        <v>0.56653922109920907</v>
      </c>
      <c r="AG186" s="809">
        <f t="shared" si="71"/>
        <v>1</v>
      </c>
      <c r="AH186" s="176">
        <f t="shared" si="64"/>
        <v>7</v>
      </c>
      <c r="AI186" s="225">
        <f t="shared" si="65"/>
        <v>1.5665392210992091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44734</v>
      </c>
      <c r="B187" s="616">
        <v>37.715000000000003</v>
      </c>
      <c r="C187" s="839"/>
      <c r="D187" s="393">
        <f t="shared" si="48"/>
        <v>39.435963186009374</v>
      </c>
      <c r="E187" s="385">
        <f t="shared" si="72"/>
        <v>44.022069169275454</v>
      </c>
      <c r="F187" s="385">
        <f t="shared" si="49"/>
        <v>44.064068796152462</v>
      </c>
      <c r="G187" s="110">
        <f t="shared" si="73"/>
        <v>0.71322003974282433</v>
      </c>
      <c r="H187" s="414" t="b">
        <f>Wh_hp&gt;='2021'!Maxi_hp</f>
        <v>0</v>
      </c>
      <c r="I187" s="380">
        <f>IF(H187,Wh_hp,'2021'!Maxi_hp)</f>
        <v>63.102397192098245</v>
      </c>
      <c r="J187" s="85">
        <f>IF(H187,An,'2021'!An_max)</f>
        <v>2020</v>
      </c>
      <c r="K187" s="197">
        <f t="shared" si="50"/>
        <v>44734</v>
      </c>
      <c r="L187" s="147">
        <f>IF(t&lt;Tvie,1-EXP((T0-t)*PertePVj)+'2021'!Pspv,1-EXP((T0-t)*PertePVj)+Pspv)</f>
        <v>4.3639435859396378E-2</v>
      </c>
      <c r="M187" s="843"/>
      <c r="N187" s="843"/>
      <c r="O187" s="48">
        <f>IF(t&lt;Tnet,'2021'!Resal+('2021'!Salim-'2021'!Resal)*(1-EXP(('2021'!Tnet-t)/('2021'!Tau_j))),Resal+(Salim-Resal)*(1-EXP((Tnet-t)/(Tau_j))))*Salcycl</f>
        <v>0.10417742895345056</v>
      </c>
      <c r="P187" s="339">
        <f>(INDEX(Models!$BJ187:$BT187,,T187)*(1-R187)+INDEX(Models!$BJ187:$BT187,,T187+1)*R187-ERP_i)*Q187*Ramure*Pc/MaxiM</f>
        <v>1.6128074001742071E-3</v>
      </c>
      <c r="Q187" s="305">
        <f t="shared" si="51"/>
        <v>0.8</v>
      </c>
      <c r="R187" s="177">
        <f t="shared" si="52"/>
        <v>0.37166494866241073</v>
      </c>
      <c r="S187" s="809">
        <f t="shared" si="53"/>
        <v>0</v>
      </c>
      <c r="T187" s="176">
        <f t="shared" si="54"/>
        <v>6</v>
      </c>
      <c r="U187" s="251">
        <f t="shared" si="55"/>
        <v>0.37166494866241073</v>
      </c>
      <c r="V187" s="383">
        <f t="shared" si="56"/>
        <v>52.844977917642623</v>
      </c>
      <c r="W187" s="402"/>
      <c r="X187" s="157">
        <f t="shared" si="57"/>
        <v>44734</v>
      </c>
      <c r="Y187" s="385">
        <f t="shared" si="58"/>
        <v>35.484257861861131</v>
      </c>
      <c r="Z187" s="385">
        <f t="shared" si="59"/>
        <v>37.103430643595892</v>
      </c>
      <c r="AA187" s="386">
        <f t="shared" si="60"/>
        <v>43.859323408184721</v>
      </c>
      <c r="AB187" s="197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0.1540354989454327</v>
      </c>
      <c r="AD187" s="231">
        <f>(INDEX(Models!$BJ187:$BT187,,AH187)*(1-AF187)+INDEX(Models!$BJ187:$BT187,,AH187+1)*AF187-ERP_i)*AE187*Ramure*Pc/MaxiM</f>
        <v>7.8623288209898733E-3</v>
      </c>
      <c r="AE187" s="305">
        <f t="shared" si="62"/>
        <v>0.8</v>
      </c>
      <c r="AF187" s="177">
        <f t="shared" si="63"/>
        <v>0.57238169582731402</v>
      </c>
      <c r="AG187" s="809">
        <f t="shared" si="71"/>
        <v>1</v>
      </c>
      <c r="AH187" s="176">
        <f t="shared" si="64"/>
        <v>7</v>
      </c>
      <c r="AI187" s="225">
        <f t="shared" si="65"/>
        <v>1.572381695827314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44735</v>
      </c>
      <c r="B188" s="616">
        <v>37.212000000000003</v>
      </c>
      <c r="C188" s="839"/>
      <c r="D188" s="393">
        <f t="shared" si="48"/>
        <v>38.910926960584447</v>
      </c>
      <c r="E188" s="385">
        <f t="shared" si="72"/>
        <v>43.444892191341076</v>
      </c>
      <c r="F188" s="385">
        <f t="shared" si="49"/>
        <v>43.486273996828743</v>
      </c>
      <c r="G188" s="110">
        <f t="shared" si="73"/>
        <v>0.70463347951457678</v>
      </c>
      <c r="H188" s="414" t="b">
        <f>Wh_hp&gt;='2021'!Maxi_hp</f>
        <v>0</v>
      </c>
      <c r="I188" s="380">
        <f>IF(H188,Wh_hp,'2021'!Maxi_hp)</f>
        <v>54.439058781268628</v>
      </c>
      <c r="J188" s="85">
        <f>IF(H188,An,'2021'!An_max)</f>
        <v>2020</v>
      </c>
      <c r="K188" s="197">
        <f t="shared" si="50"/>
        <v>44735</v>
      </c>
      <c r="L188" s="147">
        <f>IF(t&lt;Tvie,1-EXP((T0-t)*PertePVj)+'2021'!Pspv,1-EXP((T0-t)*PertePVj)+Pspv)</f>
        <v>4.3661950338664643E-2</v>
      </c>
      <c r="M188" s="843"/>
      <c r="N188" s="843"/>
      <c r="O188" s="48">
        <f>IF(t&lt;Tnet,'2021'!Resal+('2021'!Salim-'2021'!Resal)*(1-EXP(('2021'!Tnet-t)/('2021'!Tau_j))),Resal+(Salim-Resal)*(1-EXP((Tnet-t)/(Tau_j))))*Salcycl</f>
        <v>0.10436129547261903</v>
      </c>
      <c r="P188" s="339">
        <f>(INDEX(Models!$BJ188:$BT188,,T188)*(1-R188)+INDEX(Models!$BJ188:$BT188,,T188+1)*R188-ERP_i)*Q188*Ramure*Pc/MaxiM</f>
        <v>1.6442546451710151E-3</v>
      </c>
      <c r="Q188" s="305">
        <f t="shared" si="51"/>
        <v>0.8</v>
      </c>
      <c r="R188" s="177">
        <f t="shared" si="52"/>
        <v>0.37744968645987703</v>
      </c>
      <c r="S188" s="809">
        <f t="shared" si="53"/>
        <v>0</v>
      </c>
      <c r="T188" s="176">
        <f t="shared" si="54"/>
        <v>6</v>
      </c>
      <c r="U188" s="251">
        <f t="shared" si="55"/>
        <v>0.37744968645987703</v>
      </c>
      <c r="V188" s="383">
        <f t="shared" si="56"/>
        <v>52.773820282728494</v>
      </c>
      <c r="W188" s="402"/>
      <c r="X188" s="157">
        <f t="shared" si="57"/>
        <v>44735</v>
      </c>
      <c r="Y188" s="385">
        <f t="shared" si="58"/>
        <v>35.015815183802744</v>
      </c>
      <c r="Z188" s="385">
        <f t="shared" si="59"/>
        <v>36.614474553430945</v>
      </c>
      <c r="AA188" s="386">
        <f t="shared" si="60"/>
        <v>43.286745480722125</v>
      </c>
      <c r="AB188" s="197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0.15414120080389729</v>
      </c>
      <c r="AD188" s="231">
        <f>(INDEX(Models!$BJ188:$BT188,,AH188)*(1-AF188)+INDEX(Models!$BJ188:$BT188,,AH188+1)*AF188-ERP_i)*AE188*Ramure*Pc/MaxiM</f>
        <v>7.9280177746271965E-3</v>
      </c>
      <c r="AE188" s="305">
        <f t="shared" si="62"/>
        <v>0.8</v>
      </c>
      <c r="AF188" s="177">
        <f t="shared" si="63"/>
        <v>0.57816643362478048</v>
      </c>
      <c r="AG188" s="809">
        <f t="shared" si="71"/>
        <v>1</v>
      </c>
      <c r="AH188" s="176">
        <f t="shared" si="64"/>
        <v>7</v>
      </c>
      <c r="AI188" s="225">
        <f t="shared" si="65"/>
        <v>1.5781664336247805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44736</v>
      </c>
      <c r="B189" s="616">
        <v>36.36</v>
      </c>
      <c r="C189" s="839"/>
      <c r="D189" s="393">
        <f t="shared" si="48"/>
        <v>38.020923683056942</v>
      </c>
      <c r="E189" s="385">
        <f t="shared" si="72"/>
        <v>42.459809970133954</v>
      </c>
      <c r="F189" s="385">
        <f t="shared" si="49"/>
        <v>42.499468541054881</v>
      </c>
      <c r="G189" s="110">
        <f t="shared" si="73"/>
        <v>0.68943414427656791</v>
      </c>
      <c r="H189" s="414" t="b">
        <f>Wh_hp&gt;='2021'!Maxi_hp</f>
        <v>0</v>
      </c>
      <c r="I189" s="380">
        <f>IF(H189,Wh_hp,'2021'!Maxi_hp)</f>
        <v>61.680272578542535</v>
      </c>
      <c r="J189" s="85">
        <f>IF(H189,An,'2021'!An_max)</f>
        <v>2020</v>
      </c>
      <c r="K189" s="197">
        <f t="shared" si="50"/>
        <v>44736</v>
      </c>
      <c r="L189" s="147">
        <f>IF(t&lt;Tvie,1-EXP((T0-t)*PertePVj)+'2021'!Pspv,1-EXP((T0-t)*PertePVj)+Pspv)</f>
        <v>4.3684464293988021E-2</v>
      </c>
      <c r="M189" s="843"/>
      <c r="N189" s="843"/>
      <c r="O189" s="48">
        <f>IF(t&lt;Tnet,'2021'!Resal+('2021'!Salim-'2021'!Resal)*(1-EXP(('2021'!Tnet-t)/('2021'!Tau_j))),Resal+(Salim-Resal)*(1-EXP((Tnet-t)/(Tau_j))))*Salcycl</f>
        <v>0.10454324431030909</v>
      </c>
      <c r="P189" s="339">
        <f>(INDEX(Models!$BJ189:$BT189,,T189)*(1-R189)+INDEX(Models!$BJ189:$BT189,,T189+1)*R189-ERP_i)*Q189*Ramure*Pc/MaxiM</f>
        <v>1.6751223360648426E-3</v>
      </c>
      <c r="Q189" s="305">
        <f t="shared" si="51"/>
        <v>0.8</v>
      </c>
      <c r="R189" s="177">
        <f t="shared" si="52"/>
        <v>0.38317272931772789</v>
      </c>
      <c r="S189" s="809">
        <f t="shared" si="53"/>
        <v>0</v>
      </c>
      <c r="T189" s="176">
        <f t="shared" si="54"/>
        <v>6</v>
      </c>
      <c r="U189" s="251">
        <f t="shared" si="55"/>
        <v>0.38317272931772789</v>
      </c>
      <c r="V189" s="383">
        <f t="shared" si="56"/>
        <v>52.699735215482761</v>
      </c>
      <c r="W189" s="402"/>
      <c r="X189" s="157">
        <f t="shared" si="57"/>
        <v>44736</v>
      </c>
      <c r="Y189" s="385">
        <f t="shared" si="58"/>
        <v>34.220967326966182</v>
      </c>
      <c r="Z189" s="385">
        <f t="shared" si="59"/>
        <v>35.7841800632279</v>
      </c>
      <c r="AA189" s="386">
        <f t="shared" si="60"/>
        <v>42.310301596798908</v>
      </c>
      <c r="AB189" s="197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0.15424426882517797</v>
      </c>
      <c r="AD189" s="231">
        <f>(INDEX(Models!$BJ189:$BT189,,AH189)*(1-AF189)+INDEX(Models!$BJ189:$BT189,,AH189+1)*AF189-ERP_i)*AE189*Ramure*Pc/MaxiM</f>
        <v>7.9901460443482265E-3</v>
      </c>
      <c r="AE189" s="305">
        <f t="shared" si="62"/>
        <v>0.8</v>
      </c>
      <c r="AF189" s="177">
        <f t="shared" si="63"/>
        <v>0.58388947648263123</v>
      </c>
      <c r="AG189" s="809">
        <f t="shared" si="71"/>
        <v>1</v>
      </c>
      <c r="AH189" s="176">
        <f t="shared" si="64"/>
        <v>7</v>
      </c>
      <c r="AI189" s="225">
        <f t="shared" si="65"/>
        <v>1.5838894764826312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44737</v>
      </c>
      <c r="B190" s="616">
        <v>29.507000000000001</v>
      </c>
      <c r="C190" s="839"/>
      <c r="D190" s="393">
        <f t="shared" si="48"/>
        <v>30.85560525142721</v>
      </c>
      <c r="E190" s="385">
        <f t="shared" si="72"/>
        <v>34.464880241465146</v>
      </c>
      <c r="F190" s="385">
        <f t="shared" si="49"/>
        <v>34.486786034237518</v>
      </c>
      <c r="G190" s="110">
        <f t="shared" si="73"/>
        <v>0.56012684886871633</v>
      </c>
      <c r="H190" s="414" t="b">
        <f>Wh_hp&gt;='2021'!Maxi_hp</f>
        <v>0</v>
      </c>
      <c r="I190" s="380">
        <f>IF(H190,Wh_hp,'2021'!Maxi_hp)</f>
        <v>58.487024218685626</v>
      </c>
      <c r="J190" s="85">
        <f>IF(H190,An,'2021'!An_max)</f>
        <v>2021</v>
      </c>
      <c r="K190" s="197">
        <f t="shared" si="50"/>
        <v>44737</v>
      </c>
      <c r="L190" s="147">
        <f>IF(t&lt;Tvie,1-EXP((T0-t)*PertePVj)+'2021'!Pspv,1-EXP((T0-t)*PertePVj)+Pspv)</f>
        <v>4.3706977725378834E-2</v>
      </c>
      <c r="M190" s="843"/>
      <c r="N190" s="843"/>
      <c r="O190" s="48">
        <f>IF(t&lt;Tnet,'2021'!Resal+('2021'!Salim-'2021'!Resal)*(1-EXP(('2021'!Tnet-t)/('2021'!Tau_j))),Resal+(Salim-Resal)*(1-EXP((Tnet-t)/(Tau_j))))*Salcycl</f>
        <v>0.10472327089927243</v>
      </c>
      <c r="P190" s="339">
        <f>(INDEX(Models!$BJ190:$BT190,,T190)*(1-R190)+INDEX(Models!$BJ190:$BT190,,T190+1)*R190-ERP_i)*Q190*Ramure*Pc/MaxiM</f>
        <v>1.7053666907606284E-3</v>
      </c>
      <c r="Q190" s="305">
        <f t="shared" si="51"/>
        <v>0.8</v>
      </c>
      <c r="R190" s="177">
        <f t="shared" si="52"/>
        <v>0.38883030618689896</v>
      </c>
      <c r="S190" s="809">
        <f t="shared" si="53"/>
        <v>0</v>
      </c>
      <c r="T190" s="176">
        <f t="shared" si="54"/>
        <v>6</v>
      </c>
      <c r="U190" s="251">
        <f t="shared" si="55"/>
        <v>0.38883030618689896</v>
      </c>
      <c r="V190" s="383">
        <f t="shared" si="56"/>
        <v>52.622727150986044</v>
      </c>
      <c r="W190" s="402"/>
      <c r="X190" s="157">
        <f t="shared" si="57"/>
        <v>44737</v>
      </c>
      <c r="Y190" s="385">
        <f t="shared" si="58"/>
        <v>27.805658192467611</v>
      </c>
      <c r="Z190" s="385">
        <f t="shared" si="59"/>
        <v>29.076504319073223</v>
      </c>
      <c r="AA190" s="386">
        <f t="shared" si="60"/>
        <v>34.383400029229435</v>
      </c>
      <c r="AB190" s="197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0.15434470429465397</v>
      </c>
      <c r="AD190" s="231">
        <f>(INDEX(Models!$BJ190:$BT190,,AH190)*(1-AF190)+INDEX(Models!$BJ190:$BT190,,AH190+1)*AF190-ERP_i)*AE190*Ramure*Pc/MaxiM</f>
        <v>8.0486039041673153E-3</v>
      </c>
      <c r="AE190" s="305">
        <f t="shared" si="62"/>
        <v>0.8</v>
      </c>
      <c r="AF190" s="177">
        <f t="shared" si="63"/>
        <v>0.58954705335180235</v>
      </c>
      <c r="AG190" s="809">
        <f t="shared" si="71"/>
        <v>1</v>
      </c>
      <c r="AH190" s="176">
        <f t="shared" si="64"/>
        <v>7</v>
      </c>
      <c r="AI190" s="225">
        <f t="shared" si="65"/>
        <v>1.5895470533518024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44738</v>
      </c>
      <c r="B191" s="616">
        <v>10.867000000000001</v>
      </c>
      <c r="C191" s="839"/>
      <c r="D191" s="393">
        <f t="shared" si="48"/>
        <v>11.363939276127695</v>
      </c>
      <c r="E191" s="385">
        <f t="shared" si="72"/>
        <v>12.69573985040225</v>
      </c>
      <c r="F191" s="385">
        <f t="shared" si="49"/>
        <v>12.69573985040225</v>
      </c>
      <c r="G191" s="110">
        <f t="shared" si="73"/>
        <v>0.20646304210209235</v>
      </c>
      <c r="H191" s="414" t="b">
        <f>Wh_hp&gt;='2021'!Maxi_hp</f>
        <v>0</v>
      </c>
      <c r="I191" s="380">
        <f>IF(H191,Wh_hp,'2021'!Maxi_hp)</f>
        <v>59.355416952943592</v>
      </c>
      <c r="J191" s="85">
        <f>IF(H191,An,'2021'!An_max)</f>
        <v>2019</v>
      </c>
      <c r="K191" s="197">
        <f t="shared" si="50"/>
        <v>44738</v>
      </c>
      <c r="L191" s="147">
        <f>IF(t&lt;Tvie,1-EXP((T0-t)*PertePVj)+'2021'!Pspv,1-EXP((T0-t)*PertePVj)+Pspv)</f>
        <v>4.3729490632849297E-2</v>
      </c>
      <c r="M191" s="843"/>
      <c r="N191" s="843"/>
      <c r="O191" s="48">
        <f>IF(t&lt;Tnet,'2021'!Resal+('2021'!Salim-'2021'!Resal)*(1-EXP(('2021'!Tnet-t)/('2021'!Tau_j))),Resal+(Salim-Resal)*(1-EXP((Tnet-t)/(Tau_j))))*Salcycl</f>
        <v>0.1049013755769702</v>
      </c>
      <c r="P191" s="339">
        <f>(INDEX(Models!$BJ191:$BT191,,T191)*(1-R191)+INDEX(Models!$BJ191:$BT191,,T191+1)*R191-ERP_i)*Q191*Ramure*Pc/MaxiM</f>
        <v>1.7349458235952401E-3</v>
      </c>
      <c r="Q191" s="305">
        <f t="shared" si="51"/>
        <v>0.8</v>
      </c>
      <c r="R191" s="177">
        <f t="shared" si="52"/>
        <v>0.39441884099589769</v>
      </c>
      <c r="S191" s="809">
        <f t="shared" si="53"/>
        <v>0</v>
      </c>
      <c r="T191" s="176">
        <f t="shared" si="54"/>
        <v>6</v>
      </c>
      <c r="U191" s="251">
        <f t="shared" si="55"/>
        <v>0.39441884099589769</v>
      </c>
      <c r="V191" s="383">
        <f t="shared" si="56"/>
        <v>52.542800073490994</v>
      </c>
      <c r="W191" s="402"/>
      <c r="X191" s="157">
        <f t="shared" si="57"/>
        <v>44738</v>
      </c>
      <c r="Y191" s="385">
        <f t="shared" si="58"/>
        <v>10.265542736274753</v>
      </c>
      <c r="Z191" s="385">
        <f t="shared" si="59"/>
        <v>10.734977849592346</v>
      </c>
      <c r="AA191" s="386">
        <f t="shared" si="60"/>
        <v>12.69573985040225</v>
      </c>
      <c r="AB191" s="197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0.15444251567172582</v>
      </c>
      <c r="AD191" s="231">
        <f>(INDEX(Models!$BJ191:$BT191,,AH191)*(1-AF191)+INDEX(Models!$BJ191:$BT191,,AH191+1)*AF191-ERP_i)*AE191*Ramure*Pc/MaxiM</f>
        <v>8.1032878772089745E-3</v>
      </c>
      <c r="AE191" s="305">
        <f t="shared" si="62"/>
        <v>0.8</v>
      </c>
      <c r="AF191" s="177">
        <f t="shared" si="63"/>
        <v>0.59513558816080114</v>
      </c>
      <c r="AG191" s="809">
        <f t="shared" si="71"/>
        <v>1</v>
      </c>
      <c r="AH191" s="176">
        <f t="shared" si="64"/>
        <v>7</v>
      </c>
      <c r="AI191" s="225">
        <f t="shared" si="65"/>
        <v>1.5951355881608011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44739</v>
      </c>
      <c r="B192" s="616">
        <v>11.548</v>
      </c>
      <c r="C192" s="839"/>
      <c r="D192" s="393">
        <f t="shared" si="48"/>
        <v>12.076365165132147</v>
      </c>
      <c r="E192" s="385">
        <f t="shared" si="72"/>
        <v>13.49431489520779</v>
      </c>
      <c r="F192" s="385">
        <f t="shared" si="49"/>
        <v>13.49431489520779</v>
      </c>
      <c r="G192" s="110">
        <f t="shared" si="73"/>
        <v>0.21974153154209039</v>
      </c>
      <c r="H192" s="414" t="b">
        <f>Wh_hp&gt;='2021'!Maxi_hp</f>
        <v>0</v>
      </c>
      <c r="I192" s="380">
        <f>IF(H192,Wh_hp,'2021'!Maxi_hp)</f>
        <v>59.191456400170118</v>
      </c>
      <c r="J192" s="85">
        <f>IF(H192,An,'2021'!An_max)</f>
        <v>2019</v>
      </c>
      <c r="K192" s="197">
        <f t="shared" si="50"/>
        <v>44739</v>
      </c>
      <c r="L192" s="147">
        <f>IF(t&lt;Tvie,1-EXP((T0-t)*PertePVj)+'2021'!Pspv,1-EXP((T0-t)*PertePVj)+Pspv)</f>
        <v>4.3752003016411398E-2</v>
      </c>
      <c r="M192" s="843"/>
      <c r="N192" s="843"/>
      <c r="O192" s="48">
        <f>IF(t&lt;Tnet,'2021'!Resal+('2021'!Salim-'2021'!Resal)*(1-EXP(('2021'!Tnet-t)/('2021'!Tau_j))),Resal+(Salim-Resal)*(1-EXP((Tnet-t)/(Tau_j))))*Salcycl</f>
        <v>0.10507756348410072</v>
      </c>
      <c r="P192" s="339">
        <f>(INDEX(Models!$BJ192:$BT192,,T192)*(1-R192)+INDEX(Models!$BJ192:$BT192,,T192+1)*R192-ERP_i)*Q192*Ramure*Pc/MaxiM</f>
        <v>1.7636586516836009E-3</v>
      </c>
      <c r="Q192" s="305">
        <f t="shared" si="51"/>
        <v>0.8</v>
      </c>
      <c r="R192" s="177">
        <f t="shared" si="52"/>
        <v>0.39993495949715824</v>
      </c>
      <c r="S192" s="809">
        <f t="shared" si="53"/>
        <v>0</v>
      </c>
      <c r="T192" s="176">
        <f t="shared" si="54"/>
        <v>6</v>
      </c>
      <c r="U192" s="251">
        <f t="shared" si="55"/>
        <v>0.39993495949715824</v>
      </c>
      <c r="V192" s="383">
        <f t="shared" si="56"/>
        <v>52.459965983636998</v>
      </c>
      <c r="W192" s="402"/>
      <c r="X192" s="157">
        <f t="shared" si="57"/>
        <v>44739</v>
      </c>
      <c r="Y192" s="385">
        <f t="shared" si="58"/>
        <v>10.909770533741121</v>
      </c>
      <c r="Z192" s="385">
        <f t="shared" si="59"/>
        <v>11.408934259894044</v>
      </c>
      <c r="AA192" s="386">
        <f t="shared" si="60"/>
        <v>13.49431489520779</v>
      </c>
      <c r="AB192" s="197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0.15453771840275668</v>
      </c>
      <c r="AD192" s="231">
        <f>(INDEX(Models!$BJ192:$BT192,,AH192)*(1-AF192)+INDEX(Models!$BJ192:$BT192,,AH192+1)*AF192-ERP_i)*AE192*Ramure*Pc/MaxiM</f>
        <v>8.1528253856644455E-3</v>
      </c>
      <c r="AE192" s="305">
        <f t="shared" si="62"/>
        <v>0.8</v>
      </c>
      <c r="AF192" s="177">
        <f t="shared" si="63"/>
        <v>0.60065170666206158</v>
      </c>
      <c r="AG192" s="809">
        <f t="shared" si="71"/>
        <v>1</v>
      </c>
      <c r="AH192" s="176">
        <f t="shared" si="64"/>
        <v>7</v>
      </c>
      <c r="AI192" s="225">
        <f t="shared" si="65"/>
        <v>1.6006517066620616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44740</v>
      </c>
      <c r="B193" s="616">
        <v>52.872</v>
      </c>
      <c r="C193" s="839"/>
      <c r="D193" s="393">
        <f t="shared" si="48"/>
        <v>55.292397894151527</v>
      </c>
      <c r="E193" s="385">
        <f t="shared" si="72"/>
        <v>61.796604497424646</v>
      </c>
      <c r="F193" s="385">
        <f t="shared" si="49"/>
        <v>61.907521444604441</v>
      </c>
      <c r="G193" s="110">
        <f t="shared" si="73"/>
        <v>1.0095043316533832</v>
      </c>
      <c r="H193" s="414" t="b">
        <f>Wh_hp&gt;='2021'!Maxi_hp</f>
        <v>1</v>
      </c>
      <c r="I193" s="380">
        <f>IF(H193,Wh_hp,'2021'!Maxi_hp)</f>
        <v>61.907521444604441</v>
      </c>
      <c r="J193" s="85">
        <f>IF(H193,An,'2021'!An_max)</f>
        <v>2022</v>
      </c>
      <c r="K193" s="197">
        <f t="shared" si="50"/>
        <v>44740</v>
      </c>
      <c r="L193" s="147">
        <f>IF(t&lt;Tvie,1-EXP((T0-t)*PertePVj)+'2021'!Pspv,1-EXP((T0-t)*PertePVj)+Pspv)</f>
        <v>4.3774514876077461E-2</v>
      </c>
      <c r="M193" s="843"/>
      <c r="N193" s="843"/>
      <c r="O193" s="48">
        <f>IF(t&lt;Tnet,'2021'!Resal+('2021'!Salim-'2021'!Resal)*(1-EXP(('2021'!Tnet-t)/('2021'!Tau_j))),Resal+(Salim-Resal)*(1-EXP((Tnet-t)/(Tau_j))))*Salcycl</f>
        <v>0.10525184443660139</v>
      </c>
      <c r="P193" s="339">
        <f>(INDEX(Models!$BJ193:$BT193,,T193)*(1-R193)+INDEX(Models!$BJ193:$BT193,,T193+1)*R193-ERP_i)*Q193*Ramure*Pc/MaxiM</f>
        <v>1.7916554336462197E-3</v>
      </c>
      <c r="Q193" s="305">
        <f t="shared" si="51"/>
        <v>0.8</v>
      </c>
      <c r="R193" s="177">
        <f t="shared" si="52"/>
        <v>0.40537549493415365</v>
      </c>
      <c r="S193" s="809">
        <f t="shared" si="53"/>
        <v>0</v>
      </c>
      <c r="T193" s="176">
        <f t="shared" si="54"/>
        <v>6</v>
      </c>
      <c r="U193" s="251">
        <f t="shared" si="55"/>
        <v>0.40537549493415365</v>
      </c>
      <c r="V193" s="383">
        <f t="shared" si="56"/>
        <v>52.374218061457292</v>
      </c>
      <c r="W193" s="402"/>
      <c r="X193" s="157">
        <f t="shared" si="57"/>
        <v>44740</v>
      </c>
      <c r="Y193" s="385">
        <f t="shared" si="58"/>
        <v>49.633526915126559</v>
      </c>
      <c r="Z193" s="385">
        <f t="shared" si="59"/>
        <v>51.905672550333954</v>
      </c>
      <c r="AA193" s="386">
        <f t="shared" si="60"/>
        <v>61.399970546258309</v>
      </c>
      <c r="AB193" s="197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0.15463033469651941</v>
      </c>
      <c r="AD193" s="231">
        <f>(INDEX(Models!$BJ193:$BT193,,AH193)*(1-AF193)+INDEX(Models!$BJ193:$BT193,,AH193+1)*AF193-ERP_i)*AE193*Ramure*Pc/MaxiM</f>
        <v>8.198533659602214E-3</v>
      </c>
      <c r="AE193" s="305">
        <f t="shared" si="62"/>
        <v>0.8</v>
      </c>
      <c r="AF193" s="177">
        <f t="shared" si="63"/>
        <v>0.6060922420990571</v>
      </c>
      <c r="AG193" s="809">
        <f t="shared" si="71"/>
        <v>1</v>
      </c>
      <c r="AH193" s="176">
        <f t="shared" si="64"/>
        <v>7</v>
      </c>
      <c r="AI193" s="225">
        <f t="shared" si="65"/>
        <v>1.6060922420990571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44741</v>
      </c>
      <c r="B194" s="616">
        <v>49.78</v>
      </c>
      <c r="C194" s="839"/>
      <c r="D194" s="393">
        <f t="shared" si="48"/>
        <v>52.060076536667857</v>
      </c>
      <c r="E194" s="385">
        <f t="shared" si="72"/>
        <v>58.195268018485351</v>
      </c>
      <c r="F194" s="385">
        <f t="shared" si="49"/>
        <v>58.29404049517651</v>
      </c>
      <c r="G194" s="110">
        <f t="shared" si="73"/>
        <v>0.95196058015150131</v>
      </c>
      <c r="H194" s="414" t="b">
        <f>Wh_hp&gt;='2021'!Maxi_hp</f>
        <v>1</v>
      </c>
      <c r="I194" s="380">
        <f>IF(H194,Wh_hp,'2021'!Maxi_hp)</f>
        <v>58.29404049517651</v>
      </c>
      <c r="J194" s="85">
        <f>IF(H194,An,'2021'!An_max)</f>
        <v>2022</v>
      </c>
      <c r="K194" s="197">
        <f t="shared" si="50"/>
        <v>44741</v>
      </c>
      <c r="L194" s="147">
        <f>IF(t&lt;Tvie,1-EXP((T0-t)*PertePVj)+'2021'!Pspv,1-EXP((T0-t)*PertePVj)+Pspv)</f>
        <v>4.3797026211859588E-2</v>
      </c>
      <c r="M194" s="843"/>
      <c r="N194" s="843"/>
      <c r="O194" s="48">
        <f>IF(t&lt;Tnet,'2021'!Resal+('2021'!Salim-'2021'!Resal)*(1-EXP(('2021'!Tnet-t)/('2021'!Tau_j))),Resal+(Salim-Resal)*(1-EXP((Tnet-t)/(Tau_j))))*Salcycl</f>
        <v>0.10542423277213346</v>
      </c>
      <c r="P194" s="339">
        <f>(INDEX(Models!$BJ194:$BT194,,T194)*(1-R194)+INDEX(Models!$BJ194:$BT194,,T194+1)*R194-ERP_i)*Q194*Ramure*Pc/MaxiM</f>
        <v>1.8189023729863021E-3</v>
      </c>
      <c r="Q194" s="305">
        <f t="shared" si="51"/>
        <v>0.8</v>
      </c>
      <c r="R194" s="177">
        <f t="shared" si="52"/>
        <v>0.41073749253228048</v>
      </c>
      <c r="S194" s="809">
        <f t="shared" si="53"/>
        <v>0</v>
      </c>
      <c r="T194" s="176">
        <f t="shared" si="54"/>
        <v>6</v>
      </c>
      <c r="U194" s="251">
        <f t="shared" si="55"/>
        <v>0.41073749253228048</v>
      </c>
      <c r="V194" s="383">
        <f t="shared" si="56"/>
        <v>52.285558857910459</v>
      </c>
      <c r="W194" s="402"/>
      <c r="X194" s="157">
        <f t="shared" si="57"/>
        <v>44741</v>
      </c>
      <c r="Y194" s="385">
        <f t="shared" si="58"/>
        <v>46.754997759914666</v>
      </c>
      <c r="Z194" s="385">
        <f t="shared" si="59"/>
        <v>48.896519924726633</v>
      </c>
      <c r="AA194" s="386">
        <f t="shared" si="60"/>
        <v>57.846562882939544</v>
      </c>
      <c r="AB194" s="197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0.15472039326389272</v>
      </c>
      <c r="AD194" s="231">
        <f>(INDEX(Models!$BJ194:$BT194,,AH194)*(1-AF194)+INDEX(Models!$BJ194:$BT194,,AH194+1)*AF194-ERP_i)*AE194*Ramure*Pc/MaxiM</f>
        <v>8.2403329148163472E-3</v>
      </c>
      <c r="AE194" s="305">
        <f t="shared" si="62"/>
        <v>0.8</v>
      </c>
      <c r="AF194" s="177">
        <f t="shared" si="63"/>
        <v>0.61145423969718382</v>
      </c>
      <c r="AG194" s="809">
        <f t="shared" si="71"/>
        <v>1</v>
      </c>
      <c r="AH194" s="176">
        <f t="shared" si="64"/>
        <v>7</v>
      </c>
      <c r="AI194" s="225">
        <f t="shared" si="65"/>
        <v>1.6114542396971838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44742</v>
      </c>
      <c r="B195" s="616">
        <v>12.57</v>
      </c>
      <c r="C195" s="839"/>
      <c r="D195" s="393">
        <f t="shared" si="48"/>
        <v>13.146053999968084</v>
      </c>
      <c r="E195" s="385">
        <f t="shared" si="72"/>
        <v>14.698095699243343</v>
      </c>
      <c r="F195" s="385">
        <f t="shared" si="49"/>
        <v>14.698095699243343</v>
      </c>
      <c r="G195" s="110">
        <f t="shared" si="73"/>
        <v>0.24038789917533962</v>
      </c>
      <c r="H195" s="414" t="b">
        <f>Wh_hp&gt;='2021'!Maxi_hp</f>
        <v>0</v>
      </c>
      <c r="I195" s="380">
        <f>IF(H195,Wh_hp,'2021'!Maxi_hp)</f>
        <v>53.913631634693168</v>
      </c>
      <c r="J195" s="85">
        <f>IF(H195,An,'2021'!An_max)</f>
        <v>2019</v>
      </c>
      <c r="K195" s="197">
        <f t="shared" si="50"/>
        <v>44742</v>
      </c>
      <c r="L195" s="147">
        <f>IF(t&lt;Tvie,1-EXP((T0-t)*PertePVj)+'2021'!Pspv,1-EXP((T0-t)*PertePVj)+Pspv)</f>
        <v>4.3819537023770214E-2</v>
      </c>
      <c r="M195" s="843"/>
      <c r="N195" s="843"/>
      <c r="O195" s="48">
        <f>IF(t&lt;Tnet,'2021'!Resal+('2021'!Salim-'2021'!Resal)*(1-EXP(('2021'!Tnet-t)/('2021'!Tau_j))),Resal+(Salim-Resal)*(1-EXP((Tnet-t)/(Tau_j))))*Salcycl</f>
        <v>0.10559474717225838</v>
      </c>
      <c r="P195" s="339">
        <f>(INDEX(Models!$BJ195:$BT195,,T195)*(1-R195)+INDEX(Models!$BJ195:$BT195,,T195+1)*R195-ERP_i)*Q195*Ramure*Pc/MaxiM</f>
        <v>1.845367941839413E-3</v>
      </c>
      <c r="Q195" s="305">
        <f t="shared" si="51"/>
        <v>0.8</v>
      </c>
      <c r="R195" s="177">
        <f t="shared" si="52"/>
        <v>0.41601821282694718</v>
      </c>
      <c r="S195" s="809">
        <f t="shared" si="53"/>
        <v>0</v>
      </c>
      <c r="T195" s="176">
        <f t="shared" si="54"/>
        <v>6</v>
      </c>
      <c r="U195" s="251">
        <f t="shared" si="55"/>
        <v>0.41601821282694718</v>
      </c>
      <c r="V195" s="383">
        <f t="shared" si="56"/>
        <v>52.193990496249576</v>
      </c>
      <c r="W195" s="402"/>
      <c r="X195" s="157">
        <f t="shared" si="57"/>
        <v>44742</v>
      </c>
      <c r="Y195" s="385">
        <f t="shared" si="58"/>
        <v>11.878356369868762</v>
      </c>
      <c r="Z195" s="385">
        <f t="shared" si="59"/>
        <v>12.42271394344945</v>
      </c>
      <c r="AA195" s="386">
        <f t="shared" si="60"/>
        <v>14.698095699243343</v>
      </c>
      <c r="AB195" s="197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0.15480792902382773</v>
      </c>
      <c r="AD195" s="231">
        <f>(INDEX(Models!$BJ195:$BT195,,AH195)*(1-AF195)+INDEX(Models!$BJ195:$BT195,,AH195+1)*AF195-ERP_i)*AE195*Ramure*Pc/MaxiM</f>
        <v>8.2781498863974193E-3</v>
      </c>
      <c r="AE195" s="305">
        <f t="shared" si="62"/>
        <v>0.8</v>
      </c>
      <c r="AF195" s="177">
        <f t="shared" si="63"/>
        <v>0.61673495999185057</v>
      </c>
      <c r="AG195" s="809">
        <f t="shared" si="71"/>
        <v>1</v>
      </c>
      <c r="AH195" s="176">
        <f t="shared" si="64"/>
        <v>7</v>
      </c>
      <c r="AI195" s="225">
        <f t="shared" si="65"/>
        <v>1.6167349599918506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44743</v>
      </c>
      <c r="B196" s="616">
        <v>46.994</v>
      </c>
      <c r="C196" s="839"/>
      <c r="D196" s="393">
        <f t="shared" si="48"/>
        <v>49.66823971249503</v>
      </c>
      <c r="E196" s="385">
        <f t="shared" si="72"/>
        <v>55.54261623105743</v>
      </c>
      <c r="F196" s="385">
        <f t="shared" si="49"/>
        <v>55.633553362373959</v>
      </c>
      <c r="G196" s="110">
        <f t="shared" si="73"/>
        <v>0.91132201825363179</v>
      </c>
      <c r="H196" s="414" t="b">
        <f>Wh_hp&gt;='2021'!Maxi_hp</f>
        <v>0</v>
      </c>
      <c r="I196" s="380">
        <f>IF(H196,Wh_hp,'2021'!Maxi_hp)</f>
        <v>59.241632276839347</v>
      </c>
      <c r="J196" s="85">
        <f>IF(H196,An,'2021'!An_max)</f>
        <v>2020</v>
      </c>
      <c r="K196" s="197">
        <f t="shared" si="50"/>
        <v>44743</v>
      </c>
      <c r="L196" s="147">
        <f>IF(t&lt;Tvie,1-EXP((T0-t)*PertePVj)+'2021'!Pspv,1-EXP((T0-t)*PertePVj)+Pspv)</f>
        <v>5.3842047311821212E-2</v>
      </c>
      <c r="M196" s="843"/>
      <c r="N196" s="843"/>
      <c r="O196" s="48">
        <f>IF(t&lt;Tnet,'2021'!Resal+('2021'!Salim-'2021'!Resal)*(1-EXP(('2021'!Tnet-t)/('2021'!Tau_j))),Resal+(Salim-Resal)*(1-EXP((Tnet-t)/(Tau_j))))*Salcycl</f>
        <v>0.10576341046170709</v>
      </c>
      <c r="P196" s="339">
        <f>(INDEX(Models!$BJ196:$BT196,,T196)*(1-R196)+INDEX(Models!$BJ196:$BT196,,T196+1)*R196-ERP_i)*Q196*Ramure*Pc/MaxiM</f>
        <v>1.8710229306990853E-3</v>
      </c>
      <c r="Q196" s="305">
        <f t="shared" si="51"/>
        <v>0.8</v>
      </c>
      <c r="R196" s="177">
        <f t="shared" si="52"/>
        <v>0.42121513385207865</v>
      </c>
      <c r="S196" s="809">
        <f t="shared" si="53"/>
        <v>0</v>
      </c>
      <c r="T196" s="176">
        <f t="shared" si="54"/>
        <v>6</v>
      </c>
      <c r="U196" s="251">
        <f t="shared" si="55"/>
        <v>0.42121513385207865</v>
      </c>
      <c r="V196" s="383">
        <f t="shared" si="56"/>
        <v>51.554630702594764</v>
      </c>
      <c r="W196" s="402"/>
      <c r="X196" s="157">
        <f t="shared" si="57"/>
        <v>44743</v>
      </c>
      <c r="Y196" s="385">
        <f t="shared" si="58"/>
        <v>44.161825219022774</v>
      </c>
      <c r="Z196" s="385">
        <f t="shared" si="59"/>
        <v>46.674897244748941</v>
      </c>
      <c r="AA196" s="386">
        <f t="shared" si="60"/>
        <v>55.229570094174981</v>
      </c>
      <c r="AB196" s="197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0.15489298277786695</v>
      </c>
      <c r="AD196" s="231">
        <f>(INDEX(Models!$BJ196:$BT196,,AH196)*(1-AF196)+INDEX(Models!$BJ196:$BT196,,AH196+1)*AF196-ERP_i)*AE196*Ramure*Pc/MaxiM</f>
        <v>8.3119177774374376E-3</v>
      </c>
      <c r="AE196" s="305">
        <f t="shared" si="62"/>
        <v>0.8</v>
      </c>
      <c r="AF196" s="177">
        <f t="shared" si="63"/>
        <v>0.62193188101698205</v>
      </c>
      <c r="AG196" s="809">
        <f t="shared" si="71"/>
        <v>1</v>
      </c>
      <c r="AH196" s="176">
        <f t="shared" si="64"/>
        <v>7</v>
      </c>
      <c r="AI196" s="225">
        <f t="shared" si="65"/>
        <v>1.621931881016982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44744</v>
      </c>
      <c r="B197" s="616">
        <v>49.407000000000004</v>
      </c>
      <c r="C197" s="839"/>
      <c r="D197" s="393">
        <f t="shared" si="48"/>
        <v>52.21979619250984</v>
      </c>
      <c r="E197" s="385">
        <f t="shared" si="72"/>
        <v>58.406848186807395</v>
      </c>
      <c r="F197" s="385">
        <f t="shared" si="49"/>
        <v>58.511459605426658</v>
      </c>
      <c r="G197" s="110">
        <f t="shared" si="73"/>
        <v>0.96003366195574003</v>
      </c>
      <c r="H197" s="414" t="b">
        <f>Wh_hp&gt;='2021'!Maxi_hp</f>
        <v>1</v>
      </c>
      <c r="I197" s="380">
        <f>IF(H197,Wh_hp,'2021'!Maxi_hp)</f>
        <v>58.511459605426658</v>
      </c>
      <c r="J197" s="85">
        <f>IF(H197,An,'2021'!An_max)</f>
        <v>2022</v>
      </c>
      <c r="K197" s="197">
        <f t="shared" si="50"/>
        <v>44744</v>
      </c>
      <c r="L197" s="147">
        <f>IF(t&lt;Tvie,1-EXP((T0-t)*PertePVj)+'2021'!Pspv,1-EXP((T0-t)*PertePVj)+Pspv)</f>
        <v>5.3864557076025027E-2</v>
      </c>
      <c r="M197" s="843"/>
      <c r="N197" s="843"/>
      <c r="O197" s="48">
        <f>IF(t&lt;Tnet,'2021'!Resal+('2021'!Salim-'2021'!Resal)*(1-EXP(('2021'!Tnet-t)/('2021'!Tau_j))),Resal+(Salim-Resal)*(1-EXP((Tnet-t)/(Tau_j))))*Salcycl</f>
        <v>0.10593024938632199</v>
      </c>
      <c r="P197" s="339">
        <f>(INDEX(Models!$BJ197:$BT197,,T197)*(1-R197)+INDEX(Models!$BJ197:$BT197,,T197+1)*R197-ERP_i)*Q197*Ramure*Pc/MaxiM</f>
        <v>1.8958404792018279E-3</v>
      </c>
      <c r="Q197" s="305">
        <f t="shared" si="51"/>
        <v>0.8</v>
      </c>
      <c r="R197" s="177">
        <f t="shared" si="52"/>
        <v>0.4263259522212714</v>
      </c>
      <c r="S197" s="809">
        <f t="shared" si="53"/>
        <v>0</v>
      </c>
      <c r="T197" s="176">
        <f t="shared" si="54"/>
        <v>6</v>
      </c>
      <c r="U197" s="251">
        <f t="shared" si="55"/>
        <v>0.4263259522212714</v>
      </c>
      <c r="V197" s="383">
        <f t="shared" si="56"/>
        <v>51.458254391019352</v>
      </c>
      <c r="W197" s="402"/>
      <c r="X197" s="157">
        <f t="shared" si="57"/>
        <v>44744</v>
      </c>
      <c r="Y197" s="385">
        <f t="shared" si="58"/>
        <v>46.412352653396127</v>
      </c>
      <c r="Z197" s="385">
        <f t="shared" si="59"/>
        <v>49.054660197446495</v>
      </c>
      <c r="AA197" s="386">
        <f t="shared" si="60"/>
        <v>58.051176092812376</v>
      </c>
      <c r="AB197" s="197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0.15497560085573858</v>
      </c>
      <c r="AD197" s="231">
        <f>(INDEX(Models!$BJ197:$BT197,,AH197)*(1-AF197)+INDEX(Models!$BJ197:$BT197,,AH197+1)*AF197-ERP_i)*AE197*Ramure*Pc/MaxiM</f>
        <v>8.3415761552690683E-3</v>
      </c>
      <c r="AE197" s="305">
        <f t="shared" si="62"/>
        <v>0.8</v>
      </c>
      <c r="AF197" s="177">
        <f t="shared" si="63"/>
        <v>0.62704269938617485</v>
      </c>
      <c r="AG197" s="809">
        <f t="shared" si="71"/>
        <v>1</v>
      </c>
      <c r="AH197" s="176">
        <f t="shared" si="64"/>
        <v>7</v>
      </c>
      <c r="AI197" s="225">
        <f t="shared" si="65"/>
        <v>1.6270426993861749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44745</v>
      </c>
      <c r="B198" s="616">
        <v>38.244999999999997</v>
      </c>
      <c r="C198" s="839"/>
      <c r="D198" s="393">
        <f t="shared" si="48"/>
        <v>40.423292651857636</v>
      </c>
      <c r="E198" s="385">
        <f t="shared" si="72"/>
        <v>45.221031276966407</v>
      </c>
      <c r="F198" s="385">
        <f t="shared" si="49"/>
        <v>45.27623424296916</v>
      </c>
      <c r="G198" s="110">
        <f t="shared" si="73"/>
        <v>0.74413778330483549</v>
      </c>
      <c r="H198" s="414" t="b">
        <f>Wh_hp&gt;='2021'!Maxi_hp</f>
        <v>0</v>
      </c>
      <c r="I198" s="380">
        <f>IF(H198,Wh_hp,'2021'!Maxi_hp)</f>
        <v>51.855426044960964</v>
      </c>
      <c r="J198" s="85">
        <f>IF(H198,An,'2021'!An_max)</f>
        <v>2019</v>
      </c>
      <c r="K198" s="197">
        <f t="shared" si="50"/>
        <v>44745</v>
      </c>
      <c r="L198" s="147">
        <f>IF(t&lt;Tvie,1-EXP((T0-t)*PertePVj)+'2021'!Pspv,1-EXP((T0-t)*PertePVj)+Pspv)</f>
        <v>5.3887066316393645E-2</v>
      </c>
      <c r="M198" s="843"/>
      <c r="N198" s="843"/>
      <c r="O198" s="48">
        <f>IF(t&lt;Tnet,'2021'!Resal+('2021'!Salim-'2021'!Resal)*(1-EXP(('2021'!Tnet-t)/('2021'!Tau_j))),Resal+(Salim-Resal)*(1-EXP((Tnet-t)/(Tau_j))))*Salcycl</f>
        <v>0.1060952943714162</v>
      </c>
      <c r="P198" s="339">
        <f>(INDEX(Models!$BJ198:$BT198,,T198)*(1-R198)+INDEX(Models!$BJ198:$BT198,,T198+1)*R198-ERP_i)*Q198*Ramure*Pc/MaxiM</f>
        <v>1.9193859066523049E-3</v>
      </c>
      <c r="Q198" s="305">
        <f t="shared" si="51"/>
        <v>0.8</v>
      </c>
      <c r="R198" s="177">
        <f t="shared" si="52"/>
        <v>0.43134858314202718</v>
      </c>
      <c r="S198" s="809">
        <f t="shared" si="53"/>
        <v>0</v>
      </c>
      <c r="T198" s="176">
        <f t="shared" si="54"/>
        <v>6</v>
      </c>
      <c r="U198" s="251">
        <f t="shared" si="55"/>
        <v>0.43134858314202718</v>
      </c>
      <c r="V198" s="383">
        <f t="shared" si="56"/>
        <v>51.359024366921886</v>
      </c>
      <c r="W198" s="402"/>
      <c r="X198" s="157">
        <f t="shared" si="57"/>
        <v>44745</v>
      </c>
      <c r="Y198" s="385">
        <f t="shared" si="58"/>
        <v>36.002052716199294</v>
      </c>
      <c r="Z198" s="385">
        <f t="shared" si="59"/>
        <v>38.052595450765601</v>
      </c>
      <c r="AA198" s="386">
        <f t="shared" si="60"/>
        <v>45.035633140114811</v>
      </c>
      <c r="AB198" s="197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0.15505583473476633</v>
      </c>
      <c r="AD198" s="231">
        <f>(INDEX(Models!$BJ198:$BT198,,AH198)*(1-AF198)+INDEX(Models!$BJ198:$BT198,,AH198+1)*AF198-ERP_i)*AE198*Ramure*Pc/MaxiM</f>
        <v>8.3656078537627972E-3</v>
      </c>
      <c r="AE198" s="305">
        <f t="shared" si="62"/>
        <v>0.8</v>
      </c>
      <c r="AF198" s="177">
        <f t="shared" si="63"/>
        <v>0.63206533030693057</v>
      </c>
      <c r="AG198" s="809">
        <f t="shared" si="71"/>
        <v>1</v>
      </c>
      <c r="AH198" s="176">
        <f t="shared" si="64"/>
        <v>7</v>
      </c>
      <c r="AI198" s="225">
        <f t="shared" si="65"/>
        <v>1.6320653303069306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44746</v>
      </c>
      <c r="B199" s="616">
        <v>39.194000000000003</v>
      </c>
      <c r="C199" s="839"/>
      <c r="D199" s="393">
        <f t="shared" si="48"/>
        <v>41.427329741091704</v>
      </c>
      <c r="E199" s="385">
        <f t="shared" si="72"/>
        <v>46.352702000657011</v>
      </c>
      <c r="F199" s="385">
        <f t="shared" si="49"/>
        <v>46.412526960469009</v>
      </c>
      <c r="G199" s="110">
        <f t="shared" si="73"/>
        <v>0.76415771345760219</v>
      </c>
      <c r="H199" s="414" t="b">
        <f>Wh_hp&gt;='2021'!Maxi_hp</f>
        <v>0</v>
      </c>
      <c r="I199" s="380">
        <f>IF(H199,Wh_hp,'2021'!Maxi_hp)</f>
        <v>57.973124882145292</v>
      </c>
      <c r="J199" s="85">
        <f>IF(H199,An,'2021'!An_max)</f>
        <v>2019</v>
      </c>
      <c r="K199" s="197">
        <f t="shared" si="50"/>
        <v>44746</v>
      </c>
      <c r="L199" s="147">
        <f>IF(t&lt;Tvie,1-EXP((T0-t)*PertePVj)+'2021'!Pspv,1-EXP((T0-t)*PertePVj)+Pspv)</f>
        <v>5.3909575032939389E-2</v>
      </c>
      <c r="M199" s="843"/>
      <c r="N199" s="843"/>
      <c r="O199" s="48">
        <f>IF(t&lt;Tnet,'2021'!Resal+('2021'!Salim-'2021'!Resal)*(1-EXP(('2021'!Tnet-t)/('2021'!Tau_j))),Resal+(Salim-Resal)*(1-EXP((Tnet-t)/(Tau_j))))*Salcycl</f>
        <v>0.10625857926244496</v>
      </c>
      <c r="P199" s="339">
        <f>(INDEX(Models!$BJ199:$BT199,,T199)*(1-R199)+INDEX(Models!$BJ199:$BT199,,T199+1)*R199-ERP_i)*Q199*Ramure*Pc/MaxiM</f>
        <v>1.9418345690998841E-3</v>
      </c>
      <c r="Q199" s="305">
        <f t="shared" si="51"/>
        <v>0.8</v>
      </c>
      <c r="R199" s="177">
        <f t="shared" si="52"/>
        <v>0.43628115941077572</v>
      </c>
      <c r="S199" s="809">
        <f t="shared" si="53"/>
        <v>0</v>
      </c>
      <c r="T199" s="176">
        <f t="shared" si="54"/>
        <v>6</v>
      </c>
      <c r="U199" s="251">
        <f t="shared" si="55"/>
        <v>0.43628115941077572</v>
      </c>
      <c r="V199" s="383">
        <f t="shared" si="56"/>
        <v>51.256930895604008</v>
      </c>
      <c r="W199" s="402"/>
      <c r="X199" s="157">
        <f t="shared" si="57"/>
        <v>44746</v>
      </c>
      <c r="Y199" s="385">
        <f t="shared" si="58"/>
        <v>36.891956466372548</v>
      </c>
      <c r="Z199" s="385">
        <f t="shared" si="59"/>
        <v>38.994112500036124</v>
      </c>
      <c r="AA199" s="386">
        <f t="shared" si="60"/>
        <v>46.154183656702692</v>
      </c>
      <c r="AB199" s="197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0.15513374063602919</v>
      </c>
      <c r="AD199" s="231">
        <f>(INDEX(Models!$BJ199:$BT199,,AH199)*(1-AF199)+INDEX(Models!$BJ199:$BT199,,AH199+1)*AF199-ERP_i)*AE199*Ramure*Pc/MaxiM</f>
        <v>8.3854625147329505E-3</v>
      </c>
      <c r="AE199" s="305">
        <f t="shared" si="62"/>
        <v>0.8</v>
      </c>
      <c r="AF199" s="177">
        <f t="shared" si="63"/>
        <v>0.63699790657567901</v>
      </c>
      <c r="AG199" s="809">
        <f t="shared" si="71"/>
        <v>1</v>
      </c>
      <c r="AH199" s="176">
        <f t="shared" si="64"/>
        <v>7</v>
      </c>
      <c r="AI199" s="225">
        <f t="shared" si="65"/>
        <v>1.636997906575679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44747</v>
      </c>
      <c r="B200" s="616">
        <v>48.404000000000003</v>
      </c>
      <c r="C200" s="839"/>
      <c r="D200" s="393">
        <f t="shared" si="48"/>
        <v>51.163345825145726</v>
      </c>
      <c r="E200" s="385">
        <f t="shared" si="72"/>
        <v>57.256601424819479</v>
      </c>
      <c r="F200" s="385">
        <f t="shared" si="49"/>
        <v>57.360567167012228</v>
      </c>
      <c r="G200" s="110">
        <f t="shared" si="73"/>
        <v>0.94613540349089353</v>
      </c>
      <c r="H200" s="414" t="b">
        <f>Wh_hp&gt;='2021'!Maxi_hp</f>
        <v>0</v>
      </c>
      <c r="I200" s="380">
        <f>IF(H200,Wh_hp,'2021'!Maxi_hp)</f>
        <v>60.257495392536157</v>
      </c>
      <c r="J200" s="85">
        <f>IF(H200,An,'2021'!An_max)</f>
        <v>2020</v>
      </c>
      <c r="K200" s="197">
        <f t="shared" si="50"/>
        <v>44747</v>
      </c>
      <c r="L200" s="147">
        <f>IF(t&lt;Tvie,1-EXP((T0-t)*PertePVj)+'2021'!Pspv,1-EXP((T0-t)*PertePVj)+Pspv)</f>
        <v>5.3932083225674471E-2</v>
      </c>
      <c r="M200" s="843"/>
      <c r="N200" s="843"/>
      <c r="O200" s="48">
        <f>IF(t&lt;Tnet,'2021'!Resal+('2021'!Salim-'2021'!Resal)*(1-EXP(('2021'!Tnet-t)/('2021'!Tau_j))),Resal+(Salim-Resal)*(1-EXP((Tnet-t)/(Tau_j))))*Salcycl</f>
        <v>0.10642014105001456</v>
      </c>
      <c r="P200" s="339">
        <f>(INDEX(Models!$BJ200:$BT200,,T200)*(1-R200)+INDEX(Models!$BJ200:$BT200,,T200+1)*R200-ERP_i)*Q200*Ramure*Pc/MaxiM</f>
        <v>1.963158357854735E-3</v>
      </c>
      <c r="Q200" s="305">
        <f t="shared" si="51"/>
        <v>0.8</v>
      </c>
      <c r="R200" s="177">
        <f t="shared" si="52"/>
        <v>0.44112202944274431</v>
      </c>
      <c r="S200" s="809">
        <f t="shared" si="53"/>
        <v>0</v>
      </c>
      <c r="T200" s="176">
        <f t="shared" si="54"/>
        <v>6</v>
      </c>
      <c r="U200" s="251">
        <f t="shared" si="55"/>
        <v>0.44112202944274431</v>
      </c>
      <c r="V200" s="383">
        <f t="shared" si="56"/>
        <v>51.151974517717164</v>
      </c>
      <c r="W200" s="402"/>
      <c r="X200" s="157">
        <f t="shared" si="57"/>
        <v>44747</v>
      </c>
      <c r="Y200" s="385">
        <f t="shared" si="58"/>
        <v>45.488661455554485</v>
      </c>
      <c r="Z200" s="385">
        <f t="shared" si="59"/>
        <v>48.081813841284003</v>
      </c>
      <c r="AA200" s="386">
        <f t="shared" si="60"/>
        <v>56.915657740235154</v>
      </c>
      <c r="AB200" s="197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0.15520937910037141</v>
      </c>
      <c r="AD200" s="231">
        <f>(INDEX(Models!$BJ200:$BT200,,AH200)*(1-AF200)+INDEX(Models!$BJ200:$BT200,,AH200+1)*AF200-ERP_i)*AE200*Ramure*Pc/MaxiM</f>
        <v>8.4011102238511024E-3</v>
      </c>
      <c r="AE200" s="305">
        <f t="shared" si="62"/>
        <v>0.8</v>
      </c>
      <c r="AF200" s="177">
        <f t="shared" si="63"/>
        <v>0.64183877660764765</v>
      </c>
      <c r="AG200" s="809">
        <f t="shared" si="71"/>
        <v>1</v>
      </c>
      <c r="AH200" s="176">
        <f t="shared" si="64"/>
        <v>7</v>
      </c>
      <c r="AI200" s="225">
        <f t="shared" si="65"/>
        <v>1.6418387766076477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44748</v>
      </c>
      <c r="B201" s="616">
        <v>43.582000000000001</v>
      </c>
      <c r="C201" s="839"/>
      <c r="D201" s="393">
        <f t="shared" si="48"/>
        <v>46.067556145336134</v>
      </c>
      <c r="E201" s="385">
        <f t="shared" si="72"/>
        <v>51.563158598434569</v>
      </c>
      <c r="F201" s="385">
        <f t="shared" si="49"/>
        <v>51.644194870962501</v>
      </c>
      <c r="G201" s="110">
        <f t="shared" si="73"/>
        <v>0.85345558898100959</v>
      </c>
      <c r="H201" s="414" t="b">
        <f>Wh_hp&gt;='2021'!Maxi_hp</f>
        <v>0</v>
      </c>
      <c r="I201" s="380">
        <f>IF(H201,Wh_hp,'2021'!Maxi_hp)</f>
        <v>59.845160048198764</v>
      </c>
      <c r="J201" s="85">
        <f>IF(H201,An,'2021'!An_max)</f>
        <v>2020</v>
      </c>
      <c r="K201" s="197">
        <f t="shared" si="50"/>
        <v>44748</v>
      </c>
      <c r="L201" s="147">
        <f>IF(t&lt;Tvie,1-EXP((T0-t)*PertePVj)+'2021'!Pspv,1-EXP((T0-t)*PertePVj)+Pspv)</f>
        <v>5.3954590894610993E-2</v>
      </c>
      <c r="M201" s="843"/>
      <c r="N201" s="843"/>
      <c r="O201" s="48">
        <f>IF(t&lt;Tnet,'2021'!Resal+('2021'!Salim-'2021'!Resal)*(1-EXP(('2021'!Tnet-t)/('2021'!Tau_j))),Resal+(Salim-Resal)*(1-EXP((Tnet-t)/(Tau_j))))*Salcycl</f>
        <v>0.10658001958136983</v>
      </c>
      <c r="P201" s="339">
        <f>(INDEX(Models!$BJ201:$BT201,,T201)*(1-R201)+INDEX(Models!$BJ201:$BT201,,T201+1)*R201-ERP_i)*Q201*Ramure*Pc/MaxiM</f>
        <v>1.9833316878875682E-3</v>
      </c>
      <c r="Q201" s="305">
        <f t="shared" si="51"/>
        <v>0.8</v>
      </c>
      <c r="R201" s="177">
        <f t="shared" si="52"/>
        <v>0.44586975439609566</v>
      </c>
      <c r="S201" s="809">
        <f t="shared" si="53"/>
        <v>0</v>
      </c>
      <c r="T201" s="176">
        <f t="shared" si="54"/>
        <v>6</v>
      </c>
      <c r="U201" s="251">
        <f t="shared" si="55"/>
        <v>0.44586975439609566</v>
      </c>
      <c r="V201" s="383">
        <f t="shared" si="56"/>
        <v>51.044155431013316</v>
      </c>
      <c r="W201" s="402"/>
      <c r="X201" s="157">
        <f t="shared" si="57"/>
        <v>44748</v>
      </c>
      <c r="Y201" s="385">
        <f t="shared" si="58"/>
        <v>40.996299687562932</v>
      </c>
      <c r="Z201" s="385">
        <f t="shared" si="59"/>
        <v>43.334388913033628</v>
      </c>
      <c r="AA201" s="386">
        <f t="shared" si="60"/>
        <v>51.300470334127617</v>
      </c>
      <c r="AB201" s="197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0.15528281454750253</v>
      </c>
      <c r="AD201" s="231">
        <f>(INDEX(Models!$BJ201:$BT201,,AH201)*(1-AF201)+INDEX(Models!$BJ201:$BT201,,AH201+1)*AF201-ERP_i)*AE201*Ramure*Pc/MaxiM</f>
        <v>8.4125262002164945E-3</v>
      </c>
      <c r="AE201" s="305">
        <f t="shared" si="62"/>
        <v>0.8</v>
      </c>
      <c r="AF201" s="177">
        <f t="shared" si="63"/>
        <v>0.64658650156099906</v>
      </c>
      <c r="AG201" s="809">
        <f t="shared" si="71"/>
        <v>1</v>
      </c>
      <c r="AH201" s="176">
        <f t="shared" si="64"/>
        <v>7</v>
      </c>
      <c r="AI201" s="225">
        <f t="shared" si="65"/>
        <v>1.6465865015609991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44749</v>
      </c>
      <c r="B202" s="616">
        <v>47.914000000000001</v>
      </c>
      <c r="C202" s="839"/>
      <c r="D202" s="393">
        <f t="shared" si="48"/>
        <v>50.647822479475046</v>
      </c>
      <c r="E202" s="385">
        <f t="shared" si="72"/>
        <v>56.699867526119569</v>
      </c>
      <c r="F202" s="385">
        <f t="shared" si="49"/>
        <v>56.803975288408445</v>
      </c>
      <c r="G202" s="110">
        <f t="shared" si="73"/>
        <v>0.94055748973049935</v>
      </c>
      <c r="H202" s="414" t="b">
        <f>Wh_hp&gt;='2021'!Maxi_hp</f>
        <v>1</v>
      </c>
      <c r="I202" s="380">
        <f>IF(H202,Wh_hp,'2021'!Maxi_hp)</f>
        <v>56.803975288408445</v>
      </c>
      <c r="J202" s="85">
        <f>IF(H202,An,'2021'!An_max)</f>
        <v>2022</v>
      </c>
      <c r="K202" s="197">
        <f t="shared" si="50"/>
        <v>44749</v>
      </c>
      <c r="L202" s="147">
        <f>IF(t&lt;Tvie,1-EXP((T0-t)*PertePVj)+'2021'!Pspv,1-EXP((T0-t)*PertePVj)+Pspv)</f>
        <v>5.3977098039761168E-2</v>
      </c>
      <c r="M202" s="843"/>
      <c r="N202" s="843"/>
      <c r="O202" s="48">
        <f>IF(t&lt;Tnet,'2021'!Resal+('2021'!Salim-'2021'!Resal)*(1-EXP(('2021'!Tnet-t)/('2021'!Tau_j))),Resal+(Salim-Resal)*(1-EXP((Tnet-t)/(Tau_j))))*Salcycl</f>
        <v>0.10673825726059352</v>
      </c>
      <c r="P202" s="339">
        <f>(INDEX(Models!$BJ202:$BT202,,T202)*(1-R202)+INDEX(Models!$BJ202:$BT202,,T202+1)*R202-ERP_i)*Q202*Ramure*Pc/MaxiM</f>
        <v>2.0023314428780407E-3</v>
      </c>
      <c r="Q202" s="305">
        <f t="shared" si="51"/>
        <v>0.8</v>
      </c>
      <c r="R202" s="177">
        <f t="shared" si="52"/>
        <v>0.45052310445414318</v>
      </c>
      <c r="S202" s="809">
        <f t="shared" si="53"/>
        <v>0</v>
      </c>
      <c r="T202" s="176">
        <f t="shared" si="54"/>
        <v>6</v>
      </c>
      <c r="U202" s="251">
        <f t="shared" si="55"/>
        <v>0.45052310445414318</v>
      </c>
      <c r="V202" s="383">
        <f t="shared" si="56"/>
        <v>50.933473511674613</v>
      </c>
      <c r="W202" s="402"/>
      <c r="X202" s="157">
        <f t="shared" si="57"/>
        <v>44749</v>
      </c>
      <c r="Y202" s="385">
        <f t="shared" si="58"/>
        <v>45.039663805352482</v>
      </c>
      <c r="Z202" s="385">
        <f t="shared" si="59"/>
        <v>47.609485681611424</v>
      </c>
      <c r="AA202" s="386">
        <f t="shared" si="60"/>
        <v>56.366208037054577</v>
      </c>
      <c r="AB202" s="197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0.15535411482153588</v>
      </c>
      <c r="AD202" s="231">
        <f>(INDEX(Models!$BJ202:$BT202,,AH202)*(1-AF202)+INDEX(Models!$BJ202:$BT202,,AH202+1)*AF202-ERP_i)*AE202*Ramure*Pc/MaxiM</f>
        <v>8.4196904512832856E-3</v>
      </c>
      <c r="AE202" s="305">
        <f t="shared" si="62"/>
        <v>0.8</v>
      </c>
      <c r="AF202" s="177">
        <f t="shared" si="63"/>
        <v>0.65123985161904652</v>
      </c>
      <c r="AG202" s="809">
        <f t="shared" si="71"/>
        <v>1</v>
      </c>
      <c r="AH202" s="176">
        <f t="shared" si="64"/>
        <v>7</v>
      </c>
      <c r="AI202" s="225">
        <f t="shared" si="65"/>
        <v>1.6512398516190465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44750</v>
      </c>
      <c r="B203" s="616">
        <v>50.759</v>
      </c>
      <c r="C203" s="839"/>
      <c r="D203" s="393">
        <f t="shared" si="48"/>
        <v>53.65642577962965</v>
      </c>
      <c r="E203" s="385">
        <f t="shared" si="72"/>
        <v>60.078512264592661</v>
      </c>
      <c r="F203" s="385">
        <f t="shared" si="49"/>
        <v>60.199916048696345</v>
      </c>
      <c r="G203" s="110">
        <f t="shared" si="73"/>
        <v>0.99879763071096006</v>
      </c>
      <c r="H203" s="414" t="b">
        <f>Wh_hp&gt;='2021'!Maxi_hp</f>
        <v>0</v>
      </c>
      <c r="I203" s="380">
        <f>IF(H203,Wh_hp,'2021'!Maxi_hp)</f>
        <v>61.470681296854167</v>
      </c>
      <c r="J203" s="85">
        <f>IF(H203,An,'2021'!An_max)</f>
        <v>2020</v>
      </c>
      <c r="K203" s="197">
        <f t="shared" si="50"/>
        <v>44750</v>
      </c>
      <c r="L203" s="147">
        <f>IF(t&lt;Tvie,1-EXP((T0-t)*PertePVj)+'2021'!Pspv,1-EXP((T0-t)*PertePVj)+Pspv)</f>
        <v>5.3999604661137207E-2</v>
      </c>
      <c r="M203" s="843"/>
      <c r="N203" s="843"/>
      <c r="O203" s="48">
        <f>IF(t&lt;Tnet,'2021'!Resal+('2021'!Salim-'2021'!Resal)*(1-EXP(('2021'!Tnet-t)/('2021'!Tau_j))),Resal+(Salim-Resal)*(1-EXP((Tnet-t)/(Tau_j))))*Salcycl</f>
        <v>0.10689489873982573</v>
      </c>
      <c r="P203" s="339">
        <f>(INDEX(Models!$BJ203:$BT203,,T203)*(1-R203)+INDEX(Models!$BJ203:$BT203,,T203+1)*R203-ERP_i)*Q203*Ramure*Pc/MaxiM</f>
        <v>2.0201369030252866E-3</v>
      </c>
      <c r="Q203" s="305">
        <f t="shared" si="51"/>
        <v>0.8</v>
      </c>
      <c r="R203" s="177">
        <f t="shared" si="52"/>
        <v>0.45508105433286605</v>
      </c>
      <c r="S203" s="809">
        <f t="shared" si="53"/>
        <v>0</v>
      </c>
      <c r="T203" s="176">
        <f t="shared" si="54"/>
        <v>6</v>
      </c>
      <c r="U203" s="251">
        <f t="shared" si="55"/>
        <v>0.45508105433286605</v>
      </c>
      <c r="V203" s="383">
        <f t="shared" si="56"/>
        <v>50.819928343322211</v>
      </c>
      <c r="W203" s="402"/>
      <c r="X203" s="157">
        <f t="shared" si="57"/>
        <v>44750</v>
      </c>
      <c r="Y203" s="385">
        <f t="shared" si="58"/>
        <v>47.693502466158371</v>
      </c>
      <c r="Z203" s="385">
        <f t="shared" si="59"/>
        <v>50.415943482850537</v>
      </c>
      <c r="AA203" s="386">
        <f t="shared" si="60"/>
        <v>59.693745412227059</v>
      </c>
      <c r="AB203" s="197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0.15542335072639196</v>
      </c>
      <c r="AD203" s="231">
        <f>(INDEX(Models!$BJ203:$BT203,,AH203)*(1-AF203)+INDEX(Models!$BJ203:$BT203,,AH203+1)*AF203-ERP_i)*AE203*Ramure*Pc/MaxiM</f>
        <v>8.422587397161679E-3</v>
      </c>
      <c r="AE203" s="305">
        <f t="shared" si="62"/>
        <v>0.8</v>
      </c>
      <c r="AF203" s="177">
        <f t="shared" si="63"/>
        <v>0.65579780149776945</v>
      </c>
      <c r="AG203" s="809">
        <f t="shared" si="71"/>
        <v>1</v>
      </c>
      <c r="AH203" s="176">
        <f t="shared" si="64"/>
        <v>7</v>
      </c>
      <c r="AI203" s="225">
        <f t="shared" si="65"/>
        <v>1.6557978014977695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44751</v>
      </c>
      <c r="B204" s="616">
        <v>49.847000000000001</v>
      </c>
      <c r="C204" s="839"/>
      <c r="D204" s="393">
        <f t="shared" si="48"/>
        <v>52.693620608808679</v>
      </c>
      <c r="E204" s="385">
        <f t="shared" si="72"/>
        <v>59.010717346252193</v>
      </c>
      <c r="F204" s="385">
        <f t="shared" si="49"/>
        <v>59.128239359433145</v>
      </c>
      <c r="G204" s="110">
        <f t="shared" si="73"/>
        <v>0.98305888485502047</v>
      </c>
      <c r="H204" s="414" t="b">
        <f>Wh_hp&gt;='2021'!Maxi_hp</f>
        <v>0</v>
      </c>
      <c r="I204" s="380">
        <f>IF(H204,Wh_hp,'2021'!Maxi_hp)</f>
        <v>60.783742606554995</v>
      </c>
      <c r="J204" s="85">
        <f>IF(H204,An,'2021'!An_max)</f>
        <v>2021</v>
      </c>
      <c r="K204" s="197">
        <f t="shared" si="50"/>
        <v>44751</v>
      </c>
      <c r="L204" s="147">
        <f>IF(t&lt;Tvie,1-EXP((T0-t)*PertePVj)+'2021'!Pspv,1-EXP((T0-t)*PertePVj)+Pspv)</f>
        <v>5.4022110758751213E-2</v>
      </c>
      <c r="M204" s="843"/>
      <c r="N204" s="843"/>
      <c r="O204" s="48">
        <f>IF(t&lt;Tnet,'2021'!Resal+('2021'!Salim-'2021'!Resal)*(1-EXP(('2021'!Tnet-t)/('2021'!Tau_j))),Resal+(Salim-Resal)*(1-EXP((Tnet-t)/(Tau_j))))*Salcycl</f>
        <v>0.10704999060386299</v>
      </c>
      <c r="P204" s="339">
        <f>(INDEX(Models!$BJ204:$BT204,,T204)*(1-R204)+INDEX(Models!$BJ204:$BT204,,T204+1)*R204-ERP_i)*Q204*Ramure*Pc/MaxiM</f>
        <v>2.0367296575522272E-3</v>
      </c>
      <c r="Q204" s="305">
        <f t="shared" si="51"/>
        <v>0.8</v>
      </c>
      <c r="R204" s="177">
        <f t="shared" si="52"/>
        <v>0.45954277808340854</v>
      </c>
      <c r="S204" s="809">
        <f t="shared" si="53"/>
        <v>0</v>
      </c>
      <c r="T204" s="176">
        <f t="shared" si="54"/>
        <v>6</v>
      </c>
      <c r="U204" s="251">
        <f t="shared" si="55"/>
        <v>0.45954277808340854</v>
      </c>
      <c r="V204" s="383">
        <f t="shared" si="56"/>
        <v>50.703519237086354</v>
      </c>
      <c r="W204" s="402"/>
      <c r="X204" s="157">
        <f t="shared" si="57"/>
        <v>44751</v>
      </c>
      <c r="Y204" s="385">
        <f t="shared" si="58"/>
        <v>46.848603893133337</v>
      </c>
      <c r="Z204" s="385">
        <f t="shared" si="59"/>
        <v>49.523994615465831</v>
      </c>
      <c r="AA204" s="386">
        <f t="shared" si="60"/>
        <v>58.642324590790629</v>
      </c>
      <c r="AB204" s="197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0.15549059555454209</v>
      </c>
      <c r="AD204" s="231">
        <f>(INDEX(Models!$BJ204:$BT204,,AH204)*(1-AF204)+INDEX(Models!$BJ204:$BT204,,AH204+1)*AF204-ERP_i)*AE204*Ramure*Pc/MaxiM</f>
        <v>8.4212054707827107E-3</v>
      </c>
      <c r="AE204" s="305">
        <f t="shared" si="62"/>
        <v>0.8</v>
      </c>
      <c r="AF204" s="177">
        <f t="shared" si="63"/>
        <v>0.66025952524831188</v>
      </c>
      <c r="AG204" s="809">
        <f t="shared" si="71"/>
        <v>1</v>
      </c>
      <c r="AH204" s="176">
        <f t="shared" si="64"/>
        <v>7</v>
      </c>
      <c r="AI204" s="225">
        <f t="shared" si="65"/>
        <v>1.6602595252483119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44752</v>
      </c>
      <c r="B205" s="616">
        <v>49.27</v>
      </c>
      <c r="C205" s="839"/>
      <c r="D205" s="393">
        <f t="shared" si="48"/>
        <v>52.08490891926067</v>
      </c>
      <c r="E205" s="385">
        <f t="shared" si="72"/>
        <v>58.339065674734051</v>
      </c>
      <c r="F205" s="385">
        <f t="shared" si="49"/>
        <v>58.45457108017979</v>
      </c>
      <c r="G205" s="110">
        <f t="shared" si="73"/>
        <v>0.97395612349224636</v>
      </c>
      <c r="H205" s="414" t="b">
        <f>Wh_hp&gt;='2021'!Maxi_hp</f>
        <v>0</v>
      </c>
      <c r="I205" s="380">
        <f>IF(H205,Wh_hp,'2021'!Maxi_hp)</f>
        <v>60.976537805718309</v>
      </c>
      <c r="J205" s="85">
        <f>IF(H205,An,'2021'!An_max)</f>
        <v>2019</v>
      </c>
      <c r="K205" s="197">
        <f t="shared" si="50"/>
        <v>44752</v>
      </c>
      <c r="L205" s="147">
        <f>IF(t&lt;Tvie,1-EXP((T0-t)*PertePVj)+'2021'!Pspv,1-EXP((T0-t)*PertePVj)+Pspv)</f>
        <v>5.4044616332615508E-2</v>
      </c>
      <c r="M205" s="843"/>
      <c r="N205" s="843"/>
      <c r="O205" s="48">
        <f>IF(t&lt;Tnet,'2021'!Resal+('2021'!Salim-'2021'!Resal)*(1-EXP(('2021'!Tnet-t)/('2021'!Tau_j))),Resal+(Salim-Resal)*(1-EXP((Tnet-t)/(Tau_j))))*Salcycl</f>
        <v>0.10720358105052724</v>
      </c>
      <c r="P205" s="339">
        <f>(INDEX(Models!$BJ205:$BT205,,T205)*(1-R205)+INDEX(Models!$BJ205:$BT205,,T205+1)*R205-ERP_i)*Q205*Ramure*Pc/MaxiM</f>
        <v>2.0521181894740605E-3</v>
      </c>
      <c r="Q205" s="305">
        <f t="shared" si="51"/>
        <v>0.8</v>
      </c>
      <c r="R205" s="177">
        <f t="shared" si="52"/>
        <v>0.46390764326080303</v>
      </c>
      <c r="S205" s="809">
        <f t="shared" si="53"/>
        <v>0</v>
      </c>
      <c r="T205" s="176">
        <f t="shared" si="54"/>
        <v>6</v>
      </c>
      <c r="U205" s="251">
        <f t="shared" si="55"/>
        <v>0.46390764326080303</v>
      </c>
      <c r="V205" s="383">
        <f t="shared" si="56"/>
        <v>50.583635489050771</v>
      </c>
      <c r="W205" s="402"/>
      <c r="X205" s="157">
        <f t="shared" si="57"/>
        <v>44752</v>
      </c>
      <c r="Y205" s="385">
        <f t="shared" si="58"/>
        <v>46.315506308061572</v>
      </c>
      <c r="Z205" s="385">
        <f t="shared" si="59"/>
        <v>48.961618177487921</v>
      </c>
      <c r="AA205" s="386">
        <f t="shared" si="60"/>
        <v>57.980888971273806</v>
      </c>
      <c r="AB205" s="197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0.15555592461258078</v>
      </c>
      <c r="AD205" s="231">
        <f>(INDEX(Models!$BJ205:$BT205,,AH205)*(1-AF205)+INDEX(Models!$BJ205:$BT205,,AH205+1)*AF205-ERP_i)*AE205*Ramure*Pc/MaxiM</f>
        <v>8.4156379345471932E-3</v>
      </c>
      <c r="AE205" s="305">
        <f t="shared" si="62"/>
        <v>0.8</v>
      </c>
      <c r="AF205" s="177">
        <f t="shared" si="63"/>
        <v>0.66462439042570631</v>
      </c>
      <c r="AG205" s="809">
        <f t="shared" si="71"/>
        <v>1</v>
      </c>
      <c r="AH205" s="176">
        <f t="shared" si="64"/>
        <v>7</v>
      </c>
      <c r="AI205" s="225">
        <f t="shared" si="65"/>
        <v>1.6646243904257063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44753</v>
      </c>
      <c r="B206" s="616">
        <v>47.923999999999999</v>
      </c>
      <c r="C206" s="839"/>
      <c r="D206" s="393">
        <f t="shared" si="48"/>
        <v>50.663214149035781</v>
      </c>
      <c r="E206" s="385">
        <f t="shared" si="72"/>
        <v>56.756330892060781</v>
      </c>
      <c r="F206" s="385">
        <f t="shared" si="49"/>
        <v>56.865360088656033</v>
      </c>
      <c r="G206" s="110">
        <f t="shared" si="73"/>
        <v>0.94960334450757611</v>
      </c>
      <c r="H206" s="414" t="b">
        <f>Wh_hp&gt;='2021'!Maxi_hp</f>
        <v>0</v>
      </c>
      <c r="I206" s="380">
        <f>IF(H206,Wh_hp,'2021'!Maxi_hp)</f>
        <v>60.655127137032757</v>
      </c>
      <c r="J206" s="85">
        <f>IF(H206,An,'2021'!An_max)</f>
        <v>2019</v>
      </c>
      <c r="K206" s="197">
        <f t="shared" si="50"/>
        <v>44753</v>
      </c>
      <c r="L206" s="147">
        <f>IF(t&lt;Tvie,1-EXP((T0-t)*PertePVj)+'2021'!Pspv,1-EXP((T0-t)*PertePVj)+Pspv)</f>
        <v>5.4067121382742306E-2</v>
      </c>
      <c r="M206" s="843"/>
      <c r="N206" s="843"/>
      <c r="O206" s="48">
        <f>IF(t&lt;Tnet,'2021'!Resal+('2021'!Salim-'2021'!Resal)*(1-EXP(('2021'!Tnet-t)/('2021'!Tau_j))),Resal+(Salim-Resal)*(1-EXP((Tnet-t)/(Tau_j))))*Salcycl</f>
        <v>0.10735571956920358</v>
      </c>
      <c r="P206" s="339">
        <f>(INDEX(Models!$BJ206:$BT206,,T206)*(1-R206)+INDEX(Models!$BJ206:$BT206,,T206+1)*R206-ERP_i)*Q206*Ramure*Pc/MaxiM</f>
        <v>2.0656202035577121E-3</v>
      </c>
      <c r="Q206" s="305">
        <f t="shared" si="51"/>
        <v>0.8</v>
      </c>
      <c r="R206" s="177">
        <f t="shared" si="52"/>
        <v>0.46817520453084016</v>
      </c>
      <c r="S206" s="809">
        <f t="shared" si="53"/>
        <v>0</v>
      </c>
      <c r="T206" s="176">
        <f t="shared" si="54"/>
        <v>6</v>
      </c>
      <c r="U206" s="251">
        <f t="shared" si="55"/>
        <v>0.46817520453084016</v>
      </c>
      <c r="V206" s="383">
        <f t="shared" si="56"/>
        <v>50.459888935193028</v>
      </c>
      <c r="W206" s="402"/>
      <c r="X206" s="157">
        <f t="shared" si="57"/>
        <v>44753</v>
      </c>
      <c r="Y206" s="385">
        <f t="shared" si="58"/>
        <v>45.065614992632767</v>
      </c>
      <c r="Z206" s="385">
        <f t="shared" si="59"/>
        <v>47.641451112798421</v>
      </c>
      <c r="AA206" s="386">
        <f t="shared" si="60"/>
        <v>56.421774665187762</v>
      </c>
      <c r="AB206" s="197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0.15561941474710117</v>
      </c>
      <c r="AD206" s="231">
        <f>(INDEX(Models!$BJ206:$BT206,,AH206)*(1-AF206)+INDEX(Models!$BJ206:$BT206,,AH206+1)*AF206-ERP_i)*AE206*Ramure*Pc/MaxiM</f>
        <v>8.4039783960003136E-3</v>
      </c>
      <c r="AE206" s="305">
        <f t="shared" si="62"/>
        <v>0.8</v>
      </c>
      <c r="AF206" s="177">
        <f t="shared" si="63"/>
        <v>0.66889195169574345</v>
      </c>
      <c r="AG206" s="809">
        <f t="shared" si="71"/>
        <v>1</v>
      </c>
      <c r="AH206" s="176">
        <f t="shared" si="64"/>
        <v>7</v>
      </c>
      <c r="AI206" s="225">
        <f t="shared" si="65"/>
        <v>1.6688919516957434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44754</v>
      </c>
      <c r="B207" s="616">
        <v>47.606999999999999</v>
      </c>
      <c r="C207" s="839"/>
      <c r="D207" s="393">
        <f t="shared" ref="D207:D270" si="74">Wh/(1-Ppv)</f>
        <v>50.329292609520806</v>
      </c>
      <c r="E207" s="385">
        <f t="shared" si="72"/>
        <v>56.391772223822166</v>
      </c>
      <c r="F207" s="385">
        <f t="shared" ref="F207:F270" si="75">Wh_sa/(1-Pvg*MEDIAN((-Sdif+Wh/Env_an)/Csdif,0,1))</f>
        <v>56.500065040400266</v>
      </c>
      <c r="G207" s="110">
        <f t="shared" si="73"/>
        <v>0.94569684428208434</v>
      </c>
      <c r="H207" s="414" t="b">
        <f>Wh_hp&gt;='2021'!Maxi_hp</f>
        <v>0</v>
      </c>
      <c r="I207" s="380">
        <f>IF(H207,Wh_hp,'2021'!Maxi_hp)</f>
        <v>61.032000698200029</v>
      </c>
      <c r="J207" s="85">
        <f>IF(H207,An,'2021'!An_max)</f>
        <v>2019</v>
      </c>
      <c r="K207" s="197">
        <f t="shared" ref="K207:K270" si="76">t</f>
        <v>44754</v>
      </c>
      <c r="L207" s="147">
        <f>IF(t&lt;Tvie,1-EXP((T0-t)*PertePVj)+'2021'!Pspv,1-EXP((T0-t)*PertePVj)+Pspv)</f>
        <v>5.4089625909143596E-2</v>
      </c>
      <c r="M207" s="843"/>
      <c r="N207" s="843"/>
      <c r="O207" s="48">
        <f>IF(t&lt;Tnet,'2021'!Resal+('2021'!Salim-'2021'!Resal)*(1-EXP(('2021'!Tnet-t)/('2021'!Tau_j))),Resal+(Salim-Resal)*(1-EXP((Tnet-t)/(Tau_j))))*Salcycl</f>
        <v>0.10750645661993087</v>
      </c>
      <c r="P207" s="339">
        <f>(INDEX(Models!$BJ207:$BT207,,T207)*(1-R207)+INDEX(Models!$BJ207:$BT207,,T207+1)*R207-ERP_i)*Q207*Ramure*Pc/MaxiM</f>
        <v>2.0773881876232402E-3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0.47234519678690201</v>
      </c>
      <c r="S207" s="809">
        <f t="shared" ref="S207:S270" si="79">INDEX(Echel_vg,T207)</f>
        <v>0</v>
      </c>
      <c r="T207" s="176">
        <f t="shared" ref="T207:T270" si="80">MIN(MATCH(Hp_vg,Echel_vg),10)</f>
        <v>6</v>
      </c>
      <c r="U207" s="251">
        <f t="shared" ref="U207:U270" si="81">IF(OR(t&lt;Ttai,Notai),Hdd+PousH*Croivg,Hdtf+PousH*(Croivg-Croi_tai))</f>
        <v>0.47234519678690201</v>
      </c>
      <c r="V207" s="383">
        <f t="shared" ref="V207:V270" si="82">MaxiM*(1-Ppv)*(1-Pvg)*(1-Psa)</f>
        <v>50.33255106038132</v>
      </c>
      <c r="W207" s="402"/>
      <c r="X207" s="157">
        <f t="shared" ref="X207:X270" si="83">t</f>
        <v>44754</v>
      </c>
      <c r="Y207" s="385">
        <f t="shared" ref="Y207:Y270" si="84">Wh_pvt_s*(1-Ppv)</f>
        <v>44.774573494902185</v>
      </c>
      <c r="Z207" s="385">
        <f t="shared" ref="Z207:Z270" si="85">Wh_sa_s*(1-Psa_s)</f>
        <v>47.334900558561273</v>
      </c>
      <c r="AA207" s="386">
        <f t="shared" ref="AA207:AA270" si="86">Wh_hp*(1-Pvg_s*MEDIAN((-Sdif+Wh/Env_an)/Csdif,0,1))</f>
        <v>56.062825335638415</v>
      </c>
      <c r="AB207" s="197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0.15568114387429763</v>
      </c>
      <c r="AD207" s="231">
        <f>(INDEX(Models!$BJ207:$BT207,,AH207)*(1-AF207)+INDEX(Models!$BJ207:$BT207,,AH207+1)*AF207-ERP_i)*AE207*Ramure*Pc/MaxiM</f>
        <v>8.3875978715269826E-3</v>
      </c>
      <c r="AE207" s="305">
        <f t="shared" ref="AE207:AE270" si="88">IF(OR(t&lt;Ttai,Notai),Dd_s+PousD*Croivg,Dens_s+PousD*(Croivg-Croi_tai))</f>
        <v>0.8</v>
      </c>
      <c r="AF207" s="177">
        <f t="shared" ref="AF207:AF270" si="89">(Hp_vg_s-AG207)/(INDEX(Echel_vg,AH207+1)-AG207)</f>
        <v>0.6730619439518053</v>
      </c>
      <c r="AG207" s="809">
        <f t="shared" si="71"/>
        <v>1</v>
      </c>
      <c r="AH207" s="176">
        <f t="shared" ref="AH207:AH270" si="90">MIN(MATCH(Hp_vg_s,Echel_vg),10)</f>
        <v>7</v>
      </c>
      <c r="AI207" s="225">
        <f t="shared" ref="AI207:AI270" si="91">IF(OR(t&lt;Ttai,Notai),Hdd_s+PousH*Croivg,Hdtai_s+PousH*(Croivg-Croi_tai))</f>
        <v>1.6730619439518053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44755</v>
      </c>
      <c r="B208" s="616">
        <v>47.289000000000001</v>
      </c>
      <c r="C208" s="839"/>
      <c r="D208" s="393">
        <f t="shared" si="74"/>
        <v>49.994297945265004</v>
      </c>
      <c r="E208" s="385">
        <f t="shared" si="72"/>
        <v>56.025803016419857</v>
      </c>
      <c r="F208" s="385">
        <f t="shared" si="75"/>
        <v>56.133262205738227</v>
      </c>
      <c r="G208" s="110">
        <f t="shared" si="73"/>
        <v>0.94181295053957959</v>
      </c>
      <c r="H208" s="414" t="b">
        <f>Wh_hp&gt;='2021'!Maxi_hp</f>
        <v>1</v>
      </c>
      <c r="I208" s="380">
        <f>IF(H208,Wh_hp,'2021'!Maxi_hp)</f>
        <v>56.133262205738227</v>
      </c>
      <c r="J208" s="85">
        <f>IF(H208,An,'2021'!An_max)</f>
        <v>2022</v>
      </c>
      <c r="K208" s="197">
        <f t="shared" si="76"/>
        <v>44755</v>
      </c>
      <c r="L208" s="147">
        <f>IF(t&lt;Tvie,1-EXP((T0-t)*PertePVj)+'2021'!Pspv,1-EXP((T0-t)*PertePVj)+Pspv)</f>
        <v>5.4112129911831702E-2</v>
      </c>
      <c r="M208" s="843"/>
      <c r="N208" s="843"/>
      <c r="O208" s="48">
        <f>IF(t&lt;Tnet,'2021'!Resal+('2021'!Salim-'2021'!Resal)*(1-EXP(('2021'!Tnet-t)/('2021'!Tau_j))),Resal+(Salim-Resal)*(1-EXP((Tnet-t)/(Tau_j))))*Salcycl</f>
        <v>0.10765584331539461</v>
      </c>
      <c r="P208" s="339">
        <f>(INDEX(Models!$BJ208:$BT208,,T208)*(1-R208)+INDEX(Models!$BJ208:$BT208,,T208+1)*R208-ERP_i)*Q208*Ramure*Pc/MaxiM</f>
        <v>2.0873840316191885E-3</v>
      </c>
      <c r="Q208" s="305">
        <f t="shared" si="77"/>
        <v>0.8</v>
      </c>
      <c r="R208" s="177">
        <f t="shared" si="78"/>
        <v>0.47641752784771652</v>
      </c>
      <c r="S208" s="809">
        <f t="shared" si="79"/>
        <v>0</v>
      </c>
      <c r="T208" s="176">
        <f t="shared" si="80"/>
        <v>6</v>
      </c>
      <c r="U208" s="251">
        <f t="shared" si="81"/>
        <v>0.47641752784771652</v>
      </c>
      <c r="V208" s="383">
        <f t="shared" si="82"/>
        <v>50.201902698673862</v>
      </c>
      <c r="W208" s="402"/>
      <c r="X208" s="157">
        <f t="shared" si="83"/>
        <v>44755</v>
      </c>
      <c r="Y208" s="385">
        <f t="shared" si="84"/>
        <v>44.482621063442515</v>
      </c>
      <c r="Z208" s="385">
        <f t="shared" si="85"/>
        <v>47.027372345197946</v>
      </c>
      <c r="AA208" s="386">
        <f t="shared" si="86"/>
        <v>55.702554497448773</v>
      </c>
      <c r="AB208" s="197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0.15574119051664245</v>
      </c>
      <c r="AD208" s="231">
        <f>(INDEX(Models!$BJ208:$BT208,,AH208)*(1-AF208)+INDEX(Models!$BJ208:$BT208,,AH208+1)*AF208-ERP_i)*AE208*Ramure*Pc/MaxiM</f>
        <v>8.3664542630700368E-3</v>
      </c>
      <c r="AE208" s="305">
        <f t="shared" si="88"/>
        <v>0.8</v>
      </c>
      <c r="AF208" s="177">
        <f t="shared" si="89"/>
        <v>0.67713427501261991</v>
      </c>
      <c r="AG208" s="809">
        <f t="shared" ref="AG208:AG271" si="95">INDEX(Echel_vg,AH208)</f>
        <v>1</v>
      </c>
      <c r="AH208" s="176">
        <f t="shared" si="90"/>
        <v>7</v>
      </c>
      <c r="AI208" s="225">
        <f t="shared" si="91"/>
        <v>1.6771342750126199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44756</v>
      </c>
      <c r="B209" s="616">
        <v>46.606999999999999</v>
      </c>
      <c r="C209" s="839"/>
      <c r="D209" s="393">
        <f t="shared" si="74"/>
        <v>49.274454531600774</v>
      </c>
      <c r="E209" s="385">
        <f t="shared" si="72"/>
        <v>55.228280250999006</v>
      </c>
      <c r="F209" s="385">
        <f t="shared" si="75"/>
        <v>55.332782752288203</v>
      </c>
      <c r="G209" s="110">
        <f t="shared" si="73"/>
        <v>0.9306768303534434</v>
      </c>
      <c r="H209" s="414" t="b">
        <f>Wh_hp&gt;='2021'!Maxi_hp</f>
        <v>0</v>
      </c>
      <c r="I209" s="380">
        <f>IF(H209,Wh_hp,'2021'!Maxi_hp)</f>
        <v>60.641960912358456</v>
      </c>
      <c r="J209" s="85">
        <f>IF(H209,An,'2021'!An_max)</f>
        <v>2019</v>
      </c>
      <c r="K209" s="197">
        <f t="shared" si="76"/>
        <v>44756</v>
      </c>
      <c r="L209" s="147">
        <f>IF(t&lt;Tvie,1-EXP((T0-t)*PertePVj)+'2021'!Pspv,1-EXP((T0-t)*PertePVj)+Pspv)</f>
        <v>5.4134633390818837E-2</v>
      </c>
      <c r="M209" s="843"/>
      <c r="N209" s="843"/>
      <c r="O209" s="48">
        <f>IF(t&lt;Tnet,'2021'!Resal+('2021'!Salim-'2021'!Resal)*(1-EXP(('2021'!Tnet-t)/('2021'!Tau_j))),Resal+(Salim-Resal)*(1-EXP((Tnet-t)/(Tau_j))))*Salcycl</f>
        <v>0.10780393110811262</v>
      </c>
      <c r="P209" s="339">
        <f>(INDEX(Models!$BJ209:$BT209,,T209)*(1-R209)+INDEX(Models!$BJ209:$BT209,,T209+1)*R209-ERP_i)*Q209*Ramure*Pc/MaxiM</f>
        <v>2.0955713249711195E-3</v>
      </c>
      <c r="Q209" s="305">
        <f t="shared" si="77"/>
        <v>0.8</v>
      </c>
      <c r="R209" s="177">
        <f t="shared" si="78"/>
        <v>0.48039227080547603</v>
      </c>
      <c r="S209" s="809">
        <f t="shared" si="79"/>
        <v>0</v>
      </c>
      <c r="T209" s="176">
        <f t="shared" si="80"/>
        <v>6</v>
      </c>
      <c r="U209" s="251">
        <f t="shared" si="81"/>
        <v>0.48039227080547603</v>
      </c>
      <c r="V209" s="383">
        <f t="shared" si="82"/>
        <v>50.068224291725947</v>
      </c>
      <c r="W209" s="402"/>
      <c r="X209" s="157">
        <f t="shared" si="83"/>
        <v>44756</v>
      </c>
      <c r="Y209" s="385">
        <f t="shared" si="84"/>
        <v>43.851103579105931</v>
      </c>
      <c r="Z209" s="385">
        <f t="shared" si="85"/>
        <v>46.360830121423206</v>
      </c>
      <c r="AA209" s="386">
        <f t="shared" si="86"/>
        <v>54.916856178809368</v>
      </c>
      <c r="AB209" s="197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0.15579963334987212</v>
      </c>
      <c r="AD209" s="231">
        <f>(INDEX(Models!$BJ209:$BT209,,AH209)*(1-AF209)+INDEX(Models!$BJ209:$BT209,,AH209+1)*AF209-ERP_i)*AE209*Ramure*Pc/MaxiM</f>
        <v>8.3405065900163805E-3</v>
      </c>
      <c r="AE209" s="305">
        <f t="shared" si="88"/>
        <v>0.8</v>
      </c>
      <c r="AF209" s="177">
        <f t="shared" si="89"/>
        <v>0.68110901797037937</v>
      </c>
      <c r="AG209" s="809">
        <f t="shared" si="95"/>
        <v>1</v>
      </c>
      <c r="AH209" s="176">
        <f t="shared" si="90"/>
        <v>7</v>
      </c>
      <c r="AI209" s="225">
        <f t="shared" si="91"/>
        <v>1.6811090179703794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44757</v>
      </c>
      <c r="B210" s="616">
        <v>45.053000000000004</v>
      </c>
      <c r="C210" s="839"/>
      <c r="D210" s="393">
        <f t="shared" si="74"/>
        <v>47.632647801513123</v>
      </c>
      <c r="E210" s="385">
        <f t="shared" si="72"/>
        <v>53.396882457719158</v>
      </c>
      <c r="F210" s="385">
        <f t="shared" si="75"/>
        <v>53.493626768861262</v>
      </c>
      <c r="G210" s="110">
        <f t="shared" si="73"/>
        <v>0.90202559102032132</v>
      </c>
      <c r="H210" s="414" t="b">
        <f>Wh_hp&gt;='2021'!Maxi_hp</f>
        <v>0</v>
      </c>
      <c r="I210" s="380">
        <f>IF(H210,Wh_hp,'2021'!Maxi_hp)</f>
        <v>61.822480130513313</v>
      </c>
      <c r="J210" s="85">
        <f>IF(H210,An,'2021'!An_max)</f>
        <v>2019</v>
      </c>
      <c r="K210" s="197">
        <f t="shared" si="76"/>
        <v>44757</v>
      </c>
      <c r="L210" s="147">
        <f>IF(t&lt;Tvie,1-EXP((T0-t)*PertePVj)+'2021'!Pspv,1-EXP((T0-t)*PertePVj)+Pspv)</f>
        <v>5.4157136346117102E-2</v>
      </c>
      <c r="M210" s="843"/>
      <c r="N210" s="843"/>
      <c r="O210" s="48">
        <f>IF(t&lt;Tnet,'2021'!Resal+('2021'!Salim-'2021'!Resal)*(1-EXP(('2021'!Tnet-t)/('2021'!Tau_j))),Resal+(Salim-Resal)*(1-EXP((Tnet-t)/(Tau_j))))*Salcycl</f>
        <v>0.10795077148502602</v>
      </c>
      <c r="P210" s="339">
        <f>(INDEX(Models!$BJ210:$BT210,,T210)*(1-R210)+INDEX(Models!$BJ210:$BT210,,T210+1)*R210-ERP_i)*Q210*Ramure*Pc/MaxiM</f>
        <v>2.1019152701436256E-3</v>
      </c>
      <c r="Q210" s="305">
        <f t="shared" si="77"/>
        <v>0.8</v>
      </c>
      <c r="R210" s="177">
        <f t="shared" si="78"/>
        <v>0.4842696560916589</v>
      </c>
      <c r="S210" s="809">
        <f t="shared" si="79"/>
        <v>0</v>
      </c>
      <c r="T210" s="176">
        <f t="shared" si="80"/>
        <v>6</v>
      </c>
      <c r="U210" s="251">
        <f t="shared" si="81"/>
        <v>0.4842696560916589</v>
      </c>
      <c r="V210" s="383">
        <f t="shared" si="82"/>
        <v>49.931795923401253</v>
      </c>
      <c r="W210" s="402"/>
      <c r="X210" s="157">
        <f t="shared" si="83"/>
        <v>44757</v>
      </c>
      <c r="Y210" s="385">
        <f t="shared" si="84"/>
        <v>42.405385336220782</v>
      </c>
      <c r="Z210" s="385">
        <f t="shared" si="85"/>
        <v>44.833435833521705</v>
      </c>
      <c r="AA210" s="386">
        <f t="shared" si="86"/>
        <v>53.111157675944497</v>
      </c>
      <c r="AB210" s="197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0.15585655076338134</v>
      </c>
      <c r="AD210" s="231">
        <f>(INDEX(Models!$BJ210:$BT210,,AH210)*(1-AF210)+INDEX(Models!$BJ210:$BT210,,AH210+1)*AF210-ERP_i)*AE210*Ramure*Pc/MaxiM</f>
        <v>8.3097147239887433E-3</v>
      </c>
      <c r="AE210" s="305">
        <f t="shared" si="88"/>
        <v>0.8</v>
      </c>
      <c r="AF210" s="177">
        <f t="shared" si="89"/>
        <v>0.68498640325656224</v>
      </c>
      <c r="AG210" s="809">
        <f t="shared" si="95"/>
        <v>1</v>
      </c>
      <c r="AH210" s="176">
        <f t="shared" si="90"/>
        <v>7</v>
      </c>
      <c r="AI210" s="225">
        <f t="shared" si="91"/>
        <v>1.6849864032565622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44758</v>
      </c>
      <c r="B211" s="616">
        <v>46.7</v>
      </c>
      <c r="C211" s="839"/>
      <c r="D211" s="393">
        <f t="shared" si="74"/>
        <v>49.375126519427745</v>
      </c>
      <c r="E211" s="385">
        <f t="shared" si="72"/>
        <v>55.35926459652871</v>
      </c>
      <c r="F211" s="385">
        <f t="shared" si="75"/>
        <v>55.465729429752706</v>
      </c>
      <c r="G211" s="110">
        <f t="shared" si="73"/>
        <v>0.93770912937184459</v>
      </c>
      <c r="H211" s="414" t="b">
        <f>Wh_hp&gt;='2021'!Maxi_hp</f>
        <v>0</v>
      </c>
      <c r="I211" s="380">
        <f>IF(H211,Wh_hp,'2021'!Maxi_hp)</f>
        <v>59.884372222442117</v>
      </c>
      <c r="J211" s="85">
        <f>IF(H211,An,'2021'!An_max)</f>
        <v>2019</v>
      </c>
      <c r="K211" s="197">
        <f t="shared" si="76"/>
        <v>44758</v>
      </c>
      <c r="L211" s="147">
        <f>IF(t&lt;Tvie,1-EXP((T0-t)*PertePVj)+'2021'!Pspv,1-EXP((T0-t)*PertePVj)+Pspv)</f>
        <v>5.4179638777738709E-2</v>
      </c>
      <c r="M211" s="843"/>
      <c r="N211" s="843"/>
      <c r="O211" s="48">
        <f>IF(t&lt;Tnet,'2021'!Resal+('2021'!Salim-'2021'!Resal)*(1-EXP(('2021'!Tnet-t)/('2021'!Tau_j))),Resal+(Salim-Resal)*(1-EXP((Tnet-t)/(Tau_j))))*Salcycl</f>
        <v>0.10809641567160919</v>
      </c>
      <c r="P211" s="339">
        <f>(INDEX(Models!$BJ211:$BT211,,T211)*(1-R211)+INDEX(Models!$BJ211:$BT211,,T211+1)*R211-ERP_i)*Q211*Ramure*Pc/MaxiM</f>
        <v>2.1063825935243715E-3</v>
      </c>
      <c r="Q211" s="305">
        <f t="shared" si="77"/>
        <v>0.8</v>
      </c>
      <c r="R211" s="177">
        <f t="shared" si="78"/>
        <v>0.48805006332526857</v>
      </c>
      <c r="S211" s="809">
        <f t="shared" si="79"/>
        <v>0</v>
      </c>
      <c r="T211" s="176">
        <f t="shared" si="80"/>
        <v>6</v>
      </c>
      <c r="U211" s="251">
        <f t="shared" si="81"/>
        <v>0.48805006332526857</v>
      </c>
      <c r="V211" s="383">
        <f t="shared" si="82"/>
        <v>49.792897346708493</v>
      </c>
      <c r="W211" s="402"/>
      <c r="X211" s="157">
        <f t="shared" si="83"/>
        <v>44758</v>
      </c>
      <c r="Y211" s="385">
        <f t="shared" si="84"/>
        <v>43.947501367926904</v>
      </c>
      <c r="Z211" s="385">
        <f t="shared" si="85"/>
        <v>46.464955894092391</v>
      </c>
      <c r="AA211" s="386">
        <f t="shared" si="86"/>
        <v>55.047527057719414</v>
      </c>
      <c r="AB211" s="197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0.15591202043695576</v>
      </c>
      <c r="AD211" s="231">
        <f>(INDEX(Models!$BJ211:$BT211,,AH211)*(1-AF211)+INDEX(Models!$BJ211:$BT211,,AH211+1)*AF211-ERP_i)*AE211*Ramure*Pc/MaxiM</f>
        <v>8.2740391389911124E-3</v>
      </c>
      <c r="AE211" s="305">
        <f t="shared" si="88"/>
        <v>0.8</v>
      </c>
      <c r="AF211" s="177">
        <f t="shared" si="89"/>
        <v>0.68876681049017208</v>
      </c>
      <c r="AG211" s="809">
        <f t="shared" si="95"/>
        <v>1</v>
      </c>
      <c r="AH211" s="176">
        <f t="shared" si="90"/>
        <v>7</v>
      </c>
      <c r="AI211" s="225">
        <f t="shared" si="91"/>
        <v>1.6887668104901721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44759</v>
      </c>
      <c r="B212" s="616">
        <v>46.121000000000002</v>
      </c>
      <c r="C212" s="839"/>
      <c r="D212" s="393">
        <f t="shared" si="74"/>
        <v>48.764119675040668</v>
      </c>
      <c r="E212" s="385">
        <f t="shared" si="72"/>
        <v>54.683064585049465</v>
      </c>
      <c r="F212" s="385">
        <f t="shared" si="75"/>
        <v>54.786848447567323</v>
      </c>
      <c r="G212" s="110">
        <f t="shared" si="73"/>
        <v>0.9286888943313546</v>
      </c>
      <c r="H212" s="414" t="b">
        <f>Wh_hp&gt;='2021'!Maxi_hp</f>
        <v>0</v>
      </c>
      <c r="I212" s="380">
        <f>IF(H212,Wh_hp,'2021'!Maxi_hp)</f>
        <v>59.284108427339568</v>
      </c>
      <c r="J212" s="85">
        <f>IF(H212,An,'2021'!An_max)</f>
        <v>2021</v>
      </c>
      <c r="K212" s="197">
        <f t="shared" si="76"/>
        <v>44759</v>
      </c>
      <c r="L212" s="147">
        <f>IF(t&lt;Tvie,1-EXP((T0-t)*PertePVj)+'2021'!Pspv,1-EXP((T0-t)*PertePVj)+Pspv)</f>
        <v>5.4202140685695871E-2</v>
      </c>
      <c r="M212" s="843"/>
      <c r="N212" s="843"/>
      <c r="O212" s="48">
        <f>IF(t&lt;Tnet,'2021'!Resal+('2021'!Salim-'2021'!Resal)*(1-EXP(('2021'!Tnet-t)/('2021'!Tau_j))),Resal+(Salim-Resal)*(1-EXP((Tnet-t)/(Tau_j))))*Salcycl</f>
        <v>0.1082409143474935</v>
      </c>
      <c r="P212" s="339">
        <f>(INDEX(Models!$BJ212:$BT212,,T212)*(1-R212)+INDEX(Models!$BJ212:$BT212,,T212+1)*R212-ERP_i)*Q212*Ramure*Pc/MaxiM</f>
        <v>2.1085217089564811E-3</v>
      </c>
      <c r="Q212" s="305">
        <f t="shared" si="77"/>
        <v>0.8</v>
      </c>
      <c r="R212" s="177">
        <f t="shared" si="78"/>
        <v>0.49173401300516018</v>
      </c>
      <c r="S212" s="809">
        <f t="shared" si="79"/>
        <v>0</v>
      </c>
      <c r="T212" s="176">
        <f t="shared" si="80"/>
        <v>6</v>
      </c>
      <c r="U212" s="251">
        <f t="shared" si="81"/>
        <v>0.49173401300516018</v>
      </c>
      <c r="V212" s="383">
        <f t="shared" si="82"/>
        <v>49.651828904269259</v>
      </c>
      <c r="W212" s="402"/>
      <c r="X212" s="157">
        <f t="shared" si="83"/>
        <v>44759</v>
      </c>
      <c r="Y212" s="385">
        <f t="shared" si="84"/>
        <v>43.41208322114808</v>
      </c>
      <c r="Z212" s="385">
        <f t="shared" si="85"/>
        <v>45.899959271023825</v>
      </c>
      <c r="AA212" s="386">
        <f t="shared" si="86"/>
        <v>54.381654932137828</v>
      </c>
      <c r="AB212" s="197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0.15596611893658258</v>
      </c>
      <c r="AD212" s="231">
        <f>(INDEX(Models!$BJ212:$BT212,,AH212)*(1-AF212)+INDEX(Models!$BJ212:$BT212,,AH212+1)*AF212-ERP_i)*AE212*Ramure*Pc/MaxiM</f>
        <v>8.2321018208821647E-3</v>
      </c>
      <c r="AE212" s="305">
        <f t="shared" si="88"/>
        <v>0.8</v>
      </c>
      <c r="AF212" s="177">
        <f t="shared" si="89"/>
        <v>0.69245076017006357</v>
      </c>
      <c r="AG212" s="809">
        <f t="shared" si="95"/>
        <v>1</v>
      </c>
      <c r="AH212" s="176">
        <f t="shared" si="90"/>
        <v>7</v>
      </c>
      <c r="AI212" s="225">
        <f t="shared" si="91"/>
        <v>1.6924507601700636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44760</v>
      </c>
      <c r="B213" s="616">
        <v>46.206000000000003</v>
      </c>
      <c r="C213" s="839"/>
      <c r="D213" s="393">
        <f t="shared" si="74"/>
        <v>48.855153195289631</v>
      </c>
      <c r="E213" s="385">
        <f t="shared" si="72"/>
        <v>54.793959042399216</v>
      </c>
      <c r="F213" s="385">
        <f t="shared" si="75"/>
        <v>54.898695193030804</v>
      </c>
      <c r="G213" s="110">
        <f t="shared" si="73"/>
        <v>0.9330998387355488</v>
      </c>
      <c r="H213" s="414" t="b">
        <f>Wh_hp&gt;='2021'!Maxi_hp</f>
        <v>1</v>
      </c>
      <c r="I213" s="380">
        <f>IF(H213,Wh_hp,'2021'!Maxi_hp)</f>
        <v>54.898695193030804</v>
      </c>
      <c r="J213" s="85">
        <f>IF(H213,An,'2021'!An_max)</f>
        <v>2022</v>
      </c>
      <c r="K213" s="197">
        <f t="shared" si="76"/>
        <v>44760</v>
      </c>
      <c r="L213" s="147">
        <f>IF(t&lt;Tvie,1-EXP((T0-t)*PertePVj)+'2021'!Pspv,1-EXP((T0-t)*PertePVj)+Pspv)</f>
        <v>5.4224642070000689E-2</v>
      </c>
      <c r="M213" s="843"/>
      <c r="N213" s="843"/>
      <c r="O213" s="48">
        <f>IF(t&lt;Tnet,'2021'!Resal+('2021'!Salim-'2021'!Resal)*(1-EXP(('2021'!Tnet-t)/('2021'!Tau_j))),Resal+(Salim-Resal)*(1-EXP((Tnet-t)/(Tau_j))))*Salcycl</f>
        <v>0.10838431737546432</v>
      </c>
      <c r="P213" s="339">
        <f>(INDEX(Models!$BJ213:$BT213,,T213)*(1-R213)+INDEX(Models!$BJ213:$BT213,,T213+1)*R213-ERP_i)*Q213*Ramure*Pc/MaxiM</f>
        <v>2.1087812392012947E-3</v>
      </c>
      <c r="Q213" s="305">
        <f t="shared" si="77"/>
        <v>0.8</v>
      </c>
      <c r="R213" s="177">
        <f t="shared" si="78"/>
        <v>0.4953221581047087</v>
      </c>
      <c r="S213" s="809">
        <f t="shared" si="79"/>
        <v>0</v>
      </c>
      <c r="T213" s="176">
        <f t="shared" si="80"/>
        <v>6</v>
      </c>
      <c r="U213" s="251">
        <f t="shared" si="81"/>
        <v>0.4953221581047087</v>
      </c>
      <c r="V213" s="383">
        <f t="shared" si="82"/>
        <v>49.50884583453734</v>
      </c>
      <c r="W213" s="402"/>
      <c r="X213" s="157">
        <f t="shared" si="83"/>
        <v>44760</v>
      </c>
      <c r="Y213" s="385">
        <f t="shared" si="84"/>
        <v>43.496535430546338</v>
      </c>
      <c r="Z213" s="385">
        <f t="shared" si="85"/>
        <v>45.99034545131984</v>
      </c>
      <c r="AA213" s="386">
        <f t="shared" si="86"/>
        <v>54.49215226945114</v>
      </c>
      <c r="AB213" s="197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0.15601892133186127</v>
      </c>
      <c r="AD213" s="231">
        <f>(INDEX(Models!$BJ213:$BT213,,AH213)*(1-AF213)+INDEX(Models!$BJ213:$BT213,,AH213+1)*AF213-ERP_i)*AE213*Ramure*Pc/MaxiM</f>
        <v>8.185426760531439E-3</v>
      </c>
      <c r="AE213" s="305">
        <f t="shared" si="88"/>
        <v>0.8</v>
      </c>
      <c r="AF213" s="177">
        <f t="shared" si="89"/>
        <v>0.6960389052696121</v>
      </c>
      <c r="AG213" s="809">
        <f t="shared" si="95"/>
        <v>1</v>
      </c>
      <c r="AH213" s="176">
        <f t="shared" si="90"/>
        <v>7</v>
      </c>
      <c r="AI213" s="225">
        <f t="shared" si="91"/>
        <v>1.6960389052696121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44761</v>
      </c>
      <c r="B214" s="616">
        <v>39.289000000000001</v>
      </c>
      <c r="C214" s="839"/>
      <c r="D214" s="393">
        <f t="shared" si="74"/>
        <v>41.542565487718811</v>
      </c>
      <c r="E214" s="385">
        <f t="shared" si="72"/>
        <v>46.599897332812489</v>
      </c>
      <c r="F214" s="385">
        <f t="shared" si="75"/>
        <v>46.669563545541116</v>
      </c>
      <c r="G214" s="110">
        <f t="shared" si="73"/>
        <v>0.79541052183161698</v>
      </c>
      <c r="H214" s="414" t="b">
        <f>Wh_hp&gt;='2021'!Maxi_hp</f>
        <v>0</v>
      </c>
      <c r="I214" s="380">
        <f>IF(H214,Wh_hp,'2021'!Maxi_hp)</f>
        <v>58.756624023834831</v>
      </c>
      <c r="J214" s="85">
        <f>IF(H214,An,'2021'!An_max)</f>
        <v>2020</v>
      </c>
      <c r="K214" s="197">
        <f t="shared" si="76"/>
        <v>44761</v>
      </c>
      <c r="L214" s="147">
        <f>IF(t&lt;Tvie,1-EXP((T0-t)*PertePVj)+'2021'!Pspv,1-EXP((T0-t)*PertePVj)+Pspv)</f>
        <v>5.4247142930665487E-2</v>
      </c>
      <c r="M214" s="843"/>
      <c r="N214" s="843"/>
      <c r="O214" s="48">
        <f>IF(t&lt;Tnet,'2021'!Resal+('2021'!Salim-'2021'!Resal)*(1-EXP(('2021'!Tnet-t)/('2021'!Tau_j))),Resal+(Salim-Resal)*(1-EXP((Tnet-t)/(Tau_j))))*Salcycl</f>
        <v>0.1085266735455369</v>
      </c>
      <c r="P214" s="339">
        <f>(INDEX(Models!$BJ214:$BT214,,T214)*(1-R214)+INDEX(Models!$BJ214:$BT214,,T214+1)*R214-ERP_i)*Q214*Ramure*Pc/MaxiM</f>
        <v>2.1071341508332449E-3</v>
      </c>
      <c r="Q214" s="305">
        <f t="shared" si="77"/>
        <v>0.8</v>
      </c>
      <c r="R214" s="177">
        <f t="shared" si="78"/>
        <v>0.49881527562338518</v>
      </c>
      <c r="S214" s="809">
        <f t="shared" si="79"/>
        <v>0</v>
      </c>
      <c r="T214" s="176">
        <f t="shared" si="80"/>
        <v>6</v>
      </c>
      <c r="U214" s="251">
        <f t="shared" si="81"/>
        <v>0.49881527562338518</v>
      </c>
      <c r="V214" s="383">
        <f t="shared" si="82"/>
        <v>49.364227004253415</v>
      </c>
      <c r="W214" s="402"/>
      <c r="X214" s="157">
        <f t="shared" si="83"/>
        <v>44761</v>
      </c>
      <c r="Y214" s="385">
        <f t="shared" si="84"/>
        <v>37.034610037159403</v>
      </c>
      <c r="Z214" s="385">
        <f t="shared" si="85"/>
        <v>39.158866674662704</v>
      </c>
      <c r="AA214" s="386">
        <f t="shared" si="86"/>
        <v>46.400637391528463</v>
      </c>
      <c r="AB214" s="197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0.15607050083729915</v>
      </c>
      <c r="AD214" s="231">
        <f>(INDEX(Models!$BJ214:$BT214,,AH214)*(1-AF214)+INDEX(Models!$BJ214:$BT214,,AH214+1)*AF214-ERP_i)*AE214*Ramure*Pc/MaxiM</f>
        <v>8.1339785956159108E-3</v>
      </c>
      <c r="AE214" s="305">
        <f t="shared" si="88"/>
        <v>0.8</v>
      </c>
      <c r="AF214" s="177">
        <f t="shared" si="89"/>
        <v>0.69953202278828863</v>
      </c>
      <c r="AG214" s="809">
        <f t="shared" si="95"/>
        <v>1</v>
      </c>
      <c r="AH214" s="176">
        <f t="shared" si="90"/>
        <v>7</v>
      </c>
      <c r="AI214" s="225">
        <f t="shared" si="91"/>
        <v>1.6995320227882886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44762</v>
      </c>
      <c r="B215" s="616">
        <v>37.899000000000001</v>
      </c>
      <c r="C215" s="839"/>
      <c r="D215" s="393">
        <f t="shared" si="74"/>
        <v>40.073790304193281</v>
      </c>
      <c r="E215" s="385">
        <f t="shared" si="72"/>
        <v>44.959444593111513</v>
      </c>
      <c r="F215" s="385">
        <f t="shared" si="75"/>
        <v>45.023037130303578</v>
      </c>
      <c r="G215" s="110">
        <f t="shared" si="73"/>
        <v>0.76948631342781182</v>
      </c>
      <c r="H215" s="414" t="b">
        <f>Wh_hp&gt;='2021'!Maxi_hp</f>
        <v>0</v>
      </c>
      <c r="I215" s="380">
        <f>IF(H215,Wh_hp,'2021'!Maxi_hp)</f>
        <v>56.850317250869089</v>
      </c>
      <c r="J215" s="85">
        <f>IF(H215,An,'2021'!An_max)</f>
        <v>2020</v>
      </c>
      <c r="K215" s="197">
        <f t="shared" si="76"/>
        <v>44762</v>
      </c>
      <c r="L215" s="147">
        <f>IF(t&lt;Tvie,1-EXP((T0-t)*PertePVj)+'2021'!Pspv,1-EXP((T0-t)*PertePVj)+Pspv)</f>
        <v>5.4269643267702478E-2</v>
      </c>
      <c r="M215" s="843"/>
      <c r="N215" s="843"/>
      <c r="O215" s="48">
        <f>IF(t&lt;Tnet,'2021'!Resal+('2021'!Salim-'2021'!Resal)*(1-EXP(('2021'!Tnet-t)/('2021'!Tau_j))),Resal+(Salim-Resal)*(1-EXP((Tnet-t)/(Tau_j))))*Salcycl</f>
        <v>0.10866803033565031</v>
      </c>
      <c r="P215" s="339">
        <f>(INDEX(Models!$BJ215:$BT215,,T215)*(1-R215)+INDEX(Models!$BJ215:$BT215,,T215+1)*R215-ERP_i)*Q215*Ramure*Pc/MaxiM</f>
        <v>2.1035545275109968E-3</v>
      </c>
      <c r="Q215" s="305">
        <f t="shared" si="77"/>
        <v>0.8</v>
      </c>
      <c r="R215" s="177">
        <f t="shared" si="78"/>
        <v>0.50221425814590737</v>
      </c>
      <c r="S215" s="809">
        <f t="shared" si="79"/>
        <v>0</v>
      </c>
      <c r="T215" s="176">
        <f t="shared" si="80"/>
        <v>6</v>
      </c>
      <c r="U215" s="251">
        <f t="shared" si="81"/>
        <v>0.50221425814590737</v>
      </c>
      <c r="V215" s="383">
        <f t="shared" si="82"/>
        <v>49.218251071156779</v>
      </c>
      <c r="W215" s="402"/>
      <c r="X215" s="157">
        <f t="shared" si="83"/>
        <v>44762</v>
      </c>
      <c r="Y215" s="385">
        <f t="shared" si="84"/>
        <v>35.737188344406711</v>
      </c>
      <c r="Z215" s="385">
        <f t="shared" si="85"/>
        <v>37.787925585773102</v>
      </c>
      <c r="AA215" s="386">
        <f t="shared" si="86"/>
        <v>44.778839600427261</v>
      </c>
      <c r="AB215" s="197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0.15612092847951906</v>
      </c>
      <c r="AD215" s="231">
        <f>(INDEX(Models!$BJ215:$BT215,,AH215)*(1-AF215)+INDEX(Models!$BJ215:$BT215,,AH215+1)*AF215-ERP_i)*AE215*Ramure*Pc/MaxiM</f>
        <v>8.0777217305690683E-3</v>
      </c>
      <c r="AE215" s="305">
        <f t="shared" si="88"/>
        <v>0.8</v>
      </c>
      <c r="AF215" s="177">
        <f t="shared" si="89"/>
        <v>0.70293100531081087</v>
      </c>
      <c r="AG215" s="809">
        <f t="shared" si="95"/>
        <v>1</v>
      </c>
      <c r="AH215" s="176">
        <f t="shared" si="90"/>
        <v>7</v>
      </c>
      <c r="AI215" s="225">
        <f t="shared" si="91"/>
        <v>1.7029310053108109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44763</v>
      </c>
      <c r="B216" s="616">
        <v>44.905000000000001</v>
      </c>
      <c r="C216" s="839"/>
      <c r="D216" s="393">
        <f t="shared" si="74"/>
        <v>47.482951179342891</v>
      </c>
      <c r="E216" s="385">
        <f t="shared" si="72"/>
        <v>53.280296823235311</v>
      </c>
      <c r="F216" s="385">
        <f t="shared" si="75"/>
        <v>53.378703386572745</v>
      </c>
      <c r="G216" s="110">
        <f t="shared" si="73"/>
        <v>0.91486565312203927</v>
      </c>
      <c r="H216" s="414" t="b">
        <f>Wh_hp&gt;='2021'!Maxi_hp</f>
        <v>1</v>
      </c>
      <c r="I216" s="380">
        <f>IF(H216,Wh_hp,'2021'!Maxi_hp)</f>
        <v>53.378703386572745</v>
      </c>
      <c r="J216" s="85">
        <f>IF(H216,An,'2021'!An_max)</f>
        <v>2022</v>
      </c>
      <c r="K216" s="197">
        <f t="shared" si="76"/>
        <v>44763</v>
      </c>
      <c r="L216" s="147">
        <f>IF(t&lt;Tvie,1-EXP((T0-t)*PertePVj)+'2021'!Pspv,1-EXP((T0-t)*PertePVj)+Pspv)</f>
        <v>5.4292143081123651E-2</v>
      </c>
      <c r="M216" s="843"/>
      <c r="N216" s="843"/>
      <c r="O216" s="48">
        <f>IF(t&lt;Tnet,'2021'!Resal+('2021'!Salim-'2021'!Resal)*(1-EXP(('2021'!Tnet-t)/('2021'!Tau_j))),Resal+(Salim-Resal)*(1-EXP((Tnet-t)/(Tau_j))))*Salcycl</f>
        <v>0.10880843369033595</v>
      </c>
      <c r="P216" s="339">
        <f>(INDEX(Models!$BJ216:$BT216,,T216)*(1-R216)+INDEX(Models!$BJ216:$BT216,,T216+1)*R216-ERP_i)*Q216*Ramure*Pc/MaxiM</f>
        <v>2.0980174937417981E-3</v>
      </c>
      <c r="Q216" s="305">
        <f t="shared" si="77"/>
        <v>0.8</v>
      </c>
      <c r="R216" s="177">
        <f t="shared" si="78"/>
        <v>0.50552010545557924</v>
      </c>
      <c r="S216" s="809">
        <f t="shared" si="79"/>
        <v>0</v>
      </c>
      <c r="T216" s="176">
        <f t="shared" si="80"/>
        <v>6</v>
      </c>
      <c r="U216" s="251">
        <f t="shared" si="81"/>
        <v>0.50552010545557924</v>
      </c>
      <c r="V216" s="383">
        <f t="shared" si="82"/>
        <v>49.071196512522164</v>
      </c>
      <c r="W216" s="402"/>
      <c r="X216" s="157">
        <f t="shared" si="83"/>
        <v>44763</v>
      </c>
      <c r="Y216" s="385">
        <f t="shared" si="84"/>
        <v>42.297013971986118</v>
      </c>
      <c r="Z216" s="385">
        <f t="shared" si="85"/>
        <v>44.725243279452201</v>
      </c>
      <c r="AA216" s="386">
        <f t="shared" si="86"/>
        <v>53.002687434872328</v>
      </c>
      <c r="AB216" s="197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0.15617027279213216</v>
      </c>
      <c r="AD216" s="231">
        <f>(INDEX(Models!$BJ216:$BT216,,AH216)*(1-AF216)+INDEX(Models!$BJ216:$BT216,,AH216+1)*AF216-ERP_i)*AE216*Ramure*Pc/MaxiM</f>
        <v>8.016620211483071E-3</v>
      </c>
      <c r="AE216" s="305">
        <f t="shared" si="88"/>
        <v>0.8</v>
      </c>
      <c r="AF216" s="177">
        <f t="shared" si="89"/>
        <v>0.70623685262048275</v>
      </c>
      <c r="AG216" s="809">
        <f t="shared" si="95"/>
        <v>1</v>
      </c>
      <c r="AH216" s="176">
        <f t="shared" si="90"/>
        <v>7</v>
      </c>
      <c r="AI216" s="225">
        <f t="shared" si="91"/>
        <v>1.7062368526204827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44764</v>
      </c>
      <c r="B217" s="616">
        <v>34.049999999999997</v>
      </c>
      <c r="C217" s="839"/>
      <c r="D217" s="393">
        <f t="shared" si="74"/>
        <v>36.005633084313835</v>
      </c>
      <c r="E217" s="385">
        <f t="shared" si="72"/>
        <v>40.408001067956498</v>
      </c>
      <c r="F217" s="385">
        <f t="shared" si="75"/>
        <v>40.455843574535287</v>
      </c>
      <c r="G217" s="110">
        <f t="shared" si="73"/>
        <v>0.69535415619949181</v>
      </c>
      <c r="H217" s="414" t="b">
        <f>Wh_hp&gt;='2021'!Maxi_hp</f>
        <v>0</v>
      </c>
      <c r="I217" s="380">
        <f>IF(H217,Wh_hp,'2021'!Maxi_hp)</f>
        <v>52.403107161067176</v>
      </c>
      <c r="J217" s="85">
        <f>IF(H217,An,'2021'!An_max)</f>
        <v>2021</v>
      </c>
      <c r="K217" s="197">
        <f t="shared" si="76"/>
        <v>44764</v>
      </c>
      <c r="L217" s="147">
        <f>IF(t&lt;Tvie,1-EXP((T0-t)*PertePVj)+'2021'!Pspv,1-EXP((T0-t)*PertePVj)+Pspv)</f>
        <v>5.431464237094133E-2</v>
      </c>
      <c r="M217" s="843"/>
      <c r="N217" s="843"/>
      <c r="O217" s="48">
        <f>IF(t&lt;Tnet,'2021'!Resal+('2021'!Salim-'2021'!Resal)*(1-EXP(('2021'!Tnet-t)/('2021'!Tau_j))),Resal+(Salim-Resal)*(1-EXP((Tnet-t)/(Tau_j))))*Salcycl</f>
        <v>0.10894792781852637</v>
      </c>
      <c r="P217" s="339">
        <f>(INDEX(Models!$BJ217:$BT217,,T217)*(1-R217)+INDEX(Models!$BJ217:$BT217,,T217+1)*R217-ERP_i)*Q217*Ramure*Pc/MaxiM</f>
        <v>2.0904991467206703E-3</v>
      </c>
      <c r="Q217" s="305">
        <f t="shared" si="77"/>
        <v>0.8</v>
      </c>
      <c r="R217" s="177">
        <f t="shared" si="78"/>
        <v>0.50873391624431419</v>
      </c>
      <c r="S217" s="809">
        <f t="shared" si="79"/>
        <v>0</v>
      </c>
      <c r="T217" s="176">
        <f t="shared" si="80"/>
        <v>6</v>
      </c>
      <c r="U217" s="251">
        <f t="shared" si="81"/>
        <v>0.50873391624431419</v>
      </c>
      <c r="V217" s="383">
        <f t="shared" si="82"/>
        <v>48.923341645894979</v>
      </c>
      <c r="W217" s="402"/>
      <c r="X217" s="157">
        <f t="shared" si="83"/>
        <v>44764</v>
      </c>
      <c r="Y217" s="385">
        <f t="shared" si="84"/>
        <v>32.136617842021685</v>
      </c>
      <c r="Z217" s="385">
        <f t="shared" si="85"/>
        <v>33.98235743291179</v>
      </c>
      <c r="AA217" s="386">
        <f t="shared" si="86"/>
        <v>40.273887779910091</v>
      </c>
      <c r="AB217" s="197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0.15621859953974235</v>
      </c>
      <c r="AD217" s="231">
        <f>(INDEX(Models!$BJ217:$BT217,,AH217)*(1-AF217)+INDEX(Models!$BJ217:$BT217,,AH217+1)*AF217-ERP_i)*AE217*Ramure*Pc/MaxiM</f>
        <v>7.9506376359778363E-3</v>
      </c>
      <c r="AE217" s="305">
        <f t="shared" si="88"/>
        <v>0.8</v>
      </c>
      <c r="AF217" s="177">
        <f t="shared" si="89"/>
        <v>0.7094506634092177</v>
      </c>
      <c r="AG217" s="809">
        <f t="shared" si="95"/>
        <v>1</v>
      </c>
      <c r="AH217" s="176">
        <f t="shared" si="90"/>
        <v>7</v>
      </c>
      <c r="AI217" s="225">
        <f t="shared" si="91"/>
        <v>1.7094506634092177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44765</v>
      </c>
      <c r="B218" s="616">
        <v>43.017000000000003</v>
      </c>
      <c r="C218" s="839"/>
      <c r="D218" s="393">
        <f t="shared" si="74"/>
        <v>45.488727400934735</v>
      </c>
      <c r="E218" s="385">
        <f t="shared" si="72"/>
        <v>51.058526119246331</v>
      </c>
      <c r="F218" s="385">
        <f t="shared" si="75"/>
        <v>51.147011973870903</v>
      </c>
      <c r="G218" s="110">
        <f t="shared" si="73"/>
        <v>0.88163830504481233</v>
      </c>
      <c r="H218" s="414" t="b">
        <f>Wh_hp&gt;='2021'!Maxi_hp</f>
        <v>0</v>
      </c>
      <c r="I218" s="380">
        <f>IF(H218,Wh_hp,'2021'!Maxi_hp)</f>
        <v>54.77401411835254</v>
      </c>
      <c r="J218" s="85">
        <f>IF(H218,An,'2021'!An_max)</f>
        <v>2019</v>
      </c>
      <c r="K218" s="197">
        <f t="shared" si="76"/>
        <v>44765</v>
      </c>
      <c r="L218" s="147">
        <f>IF(t&lt;Tvie,1-EXP((T0-t)*PertePVj)+'2021'!Pspv,1-EXP((T0-t)*PertePVj)+Pspv)</f>
        <v>5.4337141137167616E-2</v>
      </c>
      <c r="M218" s="843"/>
      <c r="N218" s="843"/>
      <c r="O218" s="48">
        <f>IF(t&lt;Tnet,'2021'!Resal+('2021'!Salim-'2021'!Resal)*(1-EXP(('2021'!Tnet-t)/('2021'!Tau_j))),Resal+(Salim-Resal)*(1-EXP((Tnet-t)/(Tau_j))))*Salcycl</f>
        <v>0.10908655501146716</v>
      </c>
      <c r="P218" s="339">
        <f>(INDEX(Models!$BJ218:$BT218,,T218)*(1-R218)+INDEX(Models!$BJ218:$BT218,,T218+1)*R218-ERP_i)*Q218*Ramure*Pc/MaxiM</f>
        <v>2.0809764972897159E-3</v>
      </c>
      <c r="Q218" s="305">
        <f t="shared" si="77"/>
        <v>0.8</v>
      </c>
      <c r="R218" s="177">
        <f t="shared" si="78"/>
        <v>0.51185687995767271</v>
      </c>
      <c r="S218" s="809">
        <f t="shared" si="79"/>
        <v>0</v>
      </c>
      <c r="T218" s="176">
        <f t="shared" si="80"/>
        <v>6</v>
      </c>
      <c r="U218" s="251">
        <f t="shared" si="81"/>
        <v>0.51185687995767271</v>
      </c>
      <c r="V218" s="383">
        <f t="shared" si="82"/>
        <v>48.77496465010087</v>
      </c>
      <c r="W218" s="402"/>
      <c r="X218" s="157">
        <f t="shared" si="83"/>
        <v>44765</v>
      </c>
      <c r="Y218" s="385">
        <f t="shared" si="84"/>
        <v>40.542245933626397</v>
      </c>
      <c r="Z218" s="385">
        <f t="shared" si="85"/>
        <v>42.871775658376592</v>
      </c>
      <c r="AA218" s="386">
        <f t="shared" si="86"/>
        <v>50.811955200129141</v>
      </c>
      <c r="AB218" s="197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0.15626597147224852</v>
      </c>
      <c r="AD218" s="231">
        <f>(INDEX(Models!$BJ218:$BT218,,AH218)*(1-AF218)+INDEX(Models!$BJ218:$BT218,,AH218+1)*AF218-ERP_i)*AE218*Ramure*Pc/MaxiM</f>
        <v>7.8797370989135106E-3</v>
      </c>
      <c r="AE218" s="305">
        <f t="shared" si="88"/>
        <v>0.8</v>
      </c>
      <c r="AF218" s="177">
        <f t="shared" si="89"/>
        <v>0.71257362712257599</v>
      </c>
      <c r="AG218" s="809">
        <f t="shared" si="95"/>
        <v>1</v>
      </c>
      <c r="AH218" s="176">
        <f t="shared" si="90"/>
        <v>7</v>
      </c>
      <c r="AI218" s="225">
        <f t="shared" si="91"/>
        <v>1.712573627122576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44766</v>
      </c>
      <c r="B219" s="616">
        <v>44.631</v>
      </c>
      <c r="C219" s="839"/>
      <c r="D219" s="393">
        <f t="shared" si="74"/>
        <v>47.196589590073515</v>
      </c>
      <c r="E219" s="385">
        <f t="shared" si="72"/>
        <v>52.983700082622271</v>
      </c>
      <c r="F219" s="385">
        <f t="shared" si="75"/>
        <v>53.08065243959522</v>
      </c>
      <c r="G219" s="110">
        <f t="shared" si="73"/>
        <v>0.91761039954093104</v>
      </c>
      <c r="H219" s="414" t="b">
        <f>Wh_hp&gt;='2021'!Maxi_hp</f>
        <v>0</v>
      </c>
      <c r="I219" s="380">
        <f>IF(H219,Wh_hp,'2021'!Maxi_hp)</f>
        <v>54.951989772892752</v>
      </c>
      <c r="J219" s="85">
        <f>IF(H219,An,'2021'!An_max)</f>
        <v>2019</v>
      </c>
      <c r="K219" s="197">
        <f t="shared" si="76"/>
        <v>44766</v>
      </c>
      <c r="L219" s="147">
        <f>IF(t&lt;Tvie,1-EXP((T0-t)*PertePVj)+'2021'!Pspv,1-EXP((T0-t)*PertePVj)+Pspv)</f>
        <v>5.4359639379814834E-2</v>
      </c>
      <c r="M219" s="843"/>
      <c r="N219" s="843"/>
      <c r="O219" s="48">
        <f>IF(t&lt;Tnet,'2021'!Resal+('2021'!Salim-'2021'!Resal)*(1-EXP(('2021'!Tnet-t)/('2021'!Tau_j))),Resal+(Salim-Resal)*(1-EXP((Tnet-t)/(Tau_j))))*Salcycl</f>
        <v>0.10922435548148565</v>
      </c>
      <c r="P219" s="339">
        <f>(INDEX(Models!$BJ219:$BT219,,T219)*(1-R219)+INDEX(Models!$BJ219:$BT219,,T219+1)*R219-ERP_i)*Q219*Ramure*Pc/MaxiM</f>
        <v>2.0694194433412069E-3</v>
      </c>
      <c r="Q219" s="305">
        <f t="shared" si="77"/>
        <v>0.8</v>
      </c>
      <c r="R219" s="177">
        <f t="shared" si="78"/>
        <v>0.51489026880912547</v>
      </c>
      <c r="S219" s="809">
        <f t="shared" si="79"/>
        <v>0</v>
      </c>
      <c r="T219" s="176">
        <f t="shared" si="80"/>
        <v>6</v>
      </c>
      <c r="U219" s="251">
        <f t="shared" si="81"/>
        <v>0.51489026880912547</v>
      </c>
      <c r="V219" s="383">
        <f t="shared" si="82"/>
        <v>48.626452909856674</v>
      </c>
      <c r="W219" s="402"/>
      <c r="X219" s="157">
        <f t="shared" si="83"/>
        <v>44766</v>
      </c>
      <c r="Y219" s="385">
        <f t="shared" si="84"/>
        <v>42.057378270980138</v>
      </c>
      <c r="Z219" s="385">
        <f t="shared" si="85"/>
        <v>44.47502456789956</v>
      </c>
      <c r="AA219" s="386">
        <f t="shared" si="86"/>
        <v>52.71504180461632</v>
      </c>
      <c r="AB219" s="197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0.15631244811030715</v>
      </c>
      <c r="AD219" s="231">
        <f>(INDEX(Models!$BJ219:$BT219,,AH219)*(1-AF219)+INDEX(Models!$BJ219:$BT219,,AH219+1)*AF219-ERP_i)*AE219*Ramure*Pc/MaxiM</f>
        <v>7.8038510907860095E-3</v>
      </c>
      <c r="AE219" s="305">
        <f t="shared" si="88"/>
        <v>0.8</v>
      </c>
      <c r="AF219" s="177">
        <f t="shared" si="89"/>
        <v>0.71560701597402887</v>
      </c>
      <c r="AG219" s="809">
        <f t="shared" si="95"/>
        <v>1</v>
      </c>
      <c r="AH219" s="176">
        <f t="shared" si="90"/>
        <v>7</v>
      </c>
      <c r="AI219" s="225">
        <f t="shared" si="91"/>
        <v>1.7156070159740289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44767</v>
      </c>
      <c r="B220" s="616">
        <v>24.167999999999999</v>
      </c>
      <c r="C220" s="839"/>
      <c r="D220" s="393">
        <f t="shared" si="74"/>
        <v>25.557892831945736</v>
      </c>
      <c r="E220" s="385">
        <f t="shared" si="72"/>
        <v>28.696142174107557</v>
      </c>
      <c r="F220" s="385">
        <f t="shared" si="75"/>
        <v>28.712882584692206</v>
      </c>
      <c r="G220" s="110">
        <f t="shared" si="73"/>
        <v>0.49780324682313859</v>
      </c>
      <c r="H220" s="414" t="b">
        <f>Wh_hp&gt;='2021'!Maxi_hp</f>
        <v>0</v>
      </c>
      <c r="I220" s="380">
        <f>IF(H220,Wh_hp,'2021'!Maxi_hp)</f>
        <v>56.624993980258836</v>
      </c>
      <c r="J220" s="85">
        <f>IF(H220,An,'2021'!An_max)</f>
        <v>2020</v>
      </c>
      <c r="K220" s="197">
        <f t="shared" si="76"/>
        <v>44767</v>
      </c>
      <c r="L220" s="147">
        <f>IF(t&lt;Tvie,1-EXP((T0-t)*PertePVj)+'2021'!Pspv,1-EXP((T0-t)*PertePVj)+Pspv)</f>
        <v>5.4382137098894973E-2</v>
      </c>
      <c r="M220" s="843"/>
      <c r="N220" s="843"/>
      <c r="O220" s="48">
        <f>IF(t&lt;Tnet,'2021'!Resal+('2021'!Salim-'2021'!Resal)*(1-EXP(('2021'!Tnet-t)/('2021'!Tau_j))),Resal+(Salim-Resal)*(1-EXP((Tnet-t)/(Tau_j))))*Salcycl</f>
        <v>0.10936136722215758</v>
      </c>
      <c r="P220" s="339">
        <f>(INDEX(Models!$BJ220:$BT220,,T220)*(1-R220)+INDEX(Models!$BJ220:$BT220,,T220+1)*R220-ERP_i)*Q220*Ramure*Pc/MaxiM</f>
        <v>2.0556259879706954E-3</v>
      </c>
      <c r="Q220" s="305">
        <f t="shared" si="77"/>
        <v>0.8</v>
      </c>
      <c r="R220" s="177">
        <f t="shared" si="78"/>
        <v>0.51783542999368748</v>
      </c>
      <c r="S220" s="809">
        <f t="shared" si="79"/>
        <v>0</v>
      </c>
      <c r="T220" s="176">
        <f t="shared" si="80"/>
        <v>6</v>
      </c>
      <c r="U220" s="251">
        <f t="shared" si="81"/>
        <v>0.51783542999368748</v>
      </c>
      <c r="V220" s="383">
        <f t="shared" si="82"/>
        <v>48.47776634766916</v>
      </c>
      <c r="W220" s="402"/>
      <c r="X220" s="157">
        <f t="shared" si="83"/>
        <v>44767</v>
      </c>
      <c r="Y220" s="385">
        <f t="shared" si="84"/>
        <v>22.85586710126557</v>
      </c>
      <c r="Z220" s="385">
        <f t="shared" si="85"/>
        <v>24.170299650585058</v>
      </c>
      <c r="AA220" s="386">
        <f t="shared" si="86"/>
        <v>28.649951166426813</v>
      </c>
      <c r="AB220" s="197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0.15635808556250513</v>
      </c>
      <c r="AD220" s="231">
        <f>(INDEX(Models!$BJ220:$BT220,,AH220)*(1-AF220)+INDEX(Models!$BJ220:$BT220,,AH220+1)*AF220-ERP_i)*AE220*Ramure*Pc/MaxiM</f>
        <v>7.7276156514831931E-3</v>
      </c>
      <c r="AE220" s="305">
        <f t="shared" si="88"/>
        <v>0.8</v>
      </c>
      <c r="AF220" s="177">
        <f t="shared" si="89"/>
        <v>0.71855217715859077</v>
      </c>
      <c r="AG220" s="809">
        <f t="shared" si="95"/>
        <v>1</v>
      </c>
      <c r="AH220" s="176">
        <f t="shared" si="90"/>
        <v>7</v>
      </c>
      <c r="AI220" s="225">
        <f t="shared" si="91"/>
        <v>1.7185521771585908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44768</v>
      </c>
      <c r="B221" s="616">
        <v>49.036000000000001</v>
      </c>
      <c r="C221" s="839"/>
      <c r="D221" s="393">
        <f t="shared" si="74"/>
        <v>51.85727614412594</v>
      </c>
      <c r="E221" s="385">
        <f t="shared" si="72"/>
        <v>58.233731488885958</v>
      </c>
      <c r="F221" s="385">
        <f t="shared" si="75"/>
        <v>58.352794111069471</v>
      </c>
      <c r="G221" s="110">
        <f t="shared" si="73"/>
        <v>1.014639607517938</v>
      </c>
      <c r="H221" s="414" t="b">
        <f>Wh_hp&gt;='2021'!Maxi_hp</f>
        <v>1</v>
      </c>
      <c r="I221" s="380">
        <f>IF(H221,Wh_hp,'2021'!Maxi_hp)</f>
        <v>58.352794111069471</v>
      </c>
      <c r="J221" s="85">
        <f>IF(H221,An,'2021'!An_max)</f>
        <v>2022</v>
      </c>
      <c r="K221" s="197">
        <f t="shared" si="76"/>
        <v>44768</v>
      </c>
      <c r="L221" s="147">
        <f>IF(t&lt;Tvie,1-EXP((T0-t)*PertePVj)+'2021'!Pspv,1-EXP((T0-t)*PertePVj)+Pspv)</f>
        <v>5.4404634294420356E-2</v>
      </c>
      <c r="M221" s="843"/>
      <c r="N221" s="843"/>
      <c r="O221" s="48">
        <f>IF(t&lt;Tnet,'2021'!Resal+('2021'!Salim-'2021'!Resal)*(1-EXP(('2021'!Tnet-t)/('2021'!Tau_j))),Resal+(Salim-Resal)*(1-EXP((Tnet-t)/(Tau_j))))*Salcycl</f>
        <v>0.10949762589019349</v>
      </c>
      <c r="P221" s="339">
        <f>(INDEX(Models!$BJ221:$BT221,,T221)*(1-R221)+INDEX(Models!$BJ221:$BT221,,T221+1)*R221-ERP_i)*Q221*Ramure*Pc/MaxiM</f>
        <v>2.0403928208971079E-3</v>
      </c>
      <c r="Q221" s="305">
        <f t="shared" si="77"/>
        <v>0.8</v>
      </c>
      <c r="R221" s="177">
        <f t="shared" si="78"/>
        <v>0.52069377812711815</v>
      </c>
      <c r="S221" s="809">
        <f t="shared" si="79"/>
        <v>0</v>
      </c>
      <c r="T221" s="176">
        <f t="shared" si="80"/>
        <v>6</v>
      </c>
      <c r="U221" s="251">
        <f t="shared" si="81"/>
        <v>0.52069377812711815</v>
      </c>
      <c r="V221" s="383">
        <f t="shared" si="82"/>
        <v>48.32848987627667</v>
      </c>
      <c r="W221" s="402"/>
      <c r="X221" s="157">
        <f t="shared" si="83"/>
        <v>44768</v>
      </c>
      <c r="Y221" s="385">
        <f t="shared" si="84"/>
        <v>46.191863838173155</v>
      </c>
      <c r="Z221" s="385">
        <f t="shared" si="85"/>
        <v>48.84950319495902</v>
      </c>
      <c r="AA221" s="386">
        <f t="shared" si="86"/>
        <v>57.906203448621589</v>
      </c>
      <c r="AB221" s="197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0.15640293637448199</v>
      </c>
      <c r="AD221" s="231">
        <f>(INDEX(Models!$BJ221:$BT221,,AH221)*(1-AF221)+INDEX(Models!$BJ221:$BT221,,AH221+1)*AF221-ERP_i)*AE221*Ramure*Pc/MaxiM</f>
        <v>7.6532866892000222E-3</v>
      </c>
      <c r="AE221" s="305">
        <f t="shared" si="88"/>
        <v>0.8</v>
      </c>
      <c r="AF221" s="177">
        <f t="shared" si="89"/>
        <v>0.72141052529202154</v>
      </c>
      <c r="AG221" s="809">
        <f t="shared" si="95"/>
        <v>1</v>
      </c>
      <c r="AH221" s="176">
        <f t="shared" si="90"/>
        <v>7</v>
      </c>
      <c r="AI221" s="225">
        <f t="shared" si="91"/>
        <v>1.7214105252920215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44769</v>
      </c>
      <c r="B222" s="616">
        <v>47.993000000000002</v>
      </c>
      <c r="C222" s="839"/>
      <c r="D222" s="393">
        <f t="shared" si="74"/>
        <v>50.755474878472619</v>
      </c>
      <c r="E222" s="385">
        <f t="shared" si="72"/>
        <v>57.0051273999809</v>
      </c>
      <c r="F222" s="385">
        <f t="shared" si="75"/>
        <v>57.120088666927721</v>
      </c>
      <c r="G222" s="110">
        <f t="shared" si="73"/>
        <v>0.99614387528836823</v>
      </c>
      <c r="H222" s="414" t="b">
        <f>Wh_hp&gt;='2021'!Maxi_hp</f>
        <v>1</v>
      </c>
      <c r="I222" s="380">
        <f>IF(H222,Wh_hp,'2021'!Maxi_hp)</f>
        <v>57.120088666927721</v>
      </c>
      <c r="J222" s="85">
        <f>IF(H222,An,'2021'!An_max)</f>
        <v>2022</v>
      </c>
      <c r="K222" s="197">
        <f t="shared" si="76"/>
        <v>44769</v>
      </c>
      <c r="L222" s="147">
        <f>IF(t&lt;Tvie,1-EXP((T0-t)*PertePVj)+'2021'!Pspv,1-EXP((T0-t)*PertePVj)+Pspv)</f>
        <v>5.4427130966403198E-2</v>
      </c>
      <c r="M222" s="843"/>
      <c r="N222" s="843"/>
      <c r="O222" s="48">
        <f>IF(t&lt;Tnet,'2021'!Resal+('2021'!Salim-'2021'!Resal)*(1-EXP(('2021'!Tnet-t)/('2021'!Tau_j))),Resal+(Salim-Resal)*(1-EXP((Tnet-t)/(Tau_j))))*Salcycl</f>
        <v>0.10963316470915159</v>
      </c>
      <c r="P222" s="339">
        <f>(INDEX(Models!$BJ222:$BT222,,T222)*(1-R222)+INDEX(Models!$BJ222:$BT222,,T222+1)*R222-ERP_i)*Q222*Ramure*Pc/MaxiM</f>
        <v>2.0237402982457345E-3</v>
      </c>
      <c r="Q222" s="305">
        <f t="shared" si="77"/>
        <v>0.8</v>
      </c>
      <c r="R222" s="177">
        <f t="shared" si="78"/>
        <v>0.52346678793307722</v>
      </c>
      <c r="S222" s="809">
        <f t="shared" si="79"/>
        <v>0</v>
      </c>
      <c r="T222" s="176">
        <f t="shared" si="80"/>
        <v>6</v>
      </c>
      <c r="U222" s="251">
        <f t="shared" si="81"/>
        <v>0.52346678793307722</v>
      </c>
      <c r="V222" s="383">
        <f t="shared" si="82"/>
        <v>48.178246752179213</v>
      </c>
      <c r="W222" s="402"/>
      <c r="X222" s="157">
        <f t="shared" si="83"/>
        <v>44769</v>
      </c>
      <c r="Y222" s="385">
        <f t="shared" si="84"/>
        <v>45.217807450160024</v>
      </c>
      <c r="Z222" s="385">
        <f t="shared" si="85"/>
        <v>47.820542372767051</v>
      </c>
      <c r="AA222" s="386">
        <f t="shared" si="86"/>
        <v>56.689437621332893</v>
      </c>
      <c r="AB222" s="197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0.15644704940993062</v>
      </c>
      <c r="AD222" s="231">
        <f>(INDEX(Models!$BJ222:$BT222,,AH222)*(1-AF222)+INDEX(Models!$BJ222:$BT222,,AH222+1)*AF222-ERP_i)*AE222*Ramure*Pc/MaxiM</f>
        <v>7.5810392369378525E-3</v>
      </c>
      <c r="AE222" s="305">
        <f t="shared" si="88"/>
        <v>0.8</v>
      </c>
      <c r="AF222" s="177">
        <f t="shared" si="89"/>
        <v>0.72418353509798061</v>
      </c>
      <c r="AG222" s="809">
        <f t="shared" si="95"/>
        <v>1</v>
      </c>
      <c r="AH222" s="176">
        <f t="shared" si="90"/>
        <v>7</v>
      </c>
      <c r="AI222" s="225">
        <f t="shared" si="91"/>
        <v>1.7241835350979806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44770</v>
      </c>
      <c r="B223" s="616">
        <v>40.558999999999997</v>
      </c>
      <c r="C223" s="839"/>
      <c r="D223" s="393">
        <f t="shared" si="74"/>
        <v>42.894594685889544</v>
      </c>
      <c r="E223" s="385">
        <f t="shared" si="72"/>
        <v>48.183614360623103</v>
      </c>
      <c r="F223" s="385">
        <f t="shared" si="75"/>
        <v>48.258906358914722</v>
      </c>
      <c r="G223" s="110">
        <f t="shared" si="73"/>
        <v>0.84413326589378423</v>
      </c>
      <c r="H223" s="414" t="b">
        <f>Wh_hp&gt;='2021'!Maxi_hp</f>
        <v>0</v>
      </c>
      <c r="I223" s="380">
        <f>IF(H223,Wh_hp,'2021'!Maxi_hp)</f>
        <v>54.720346355997435</v>
      </c>
      <c r="J223" s="85">
        <f>IF(H223,An,'2021'!An_max)</f>
        <v>2019</v>
      </c>
      <c r="K223" s="197">
        <f t="shared" si="76"/>
        <v>44770</v>
      </c>
      <c r="L223" s="147">
        <f>IF(t&lt;Tvie,1-EXP((T0-t)*PertePVj)+'2021'!Pspv,1-EXP((T0-t)*PertePVj)+Pspv)</f>
        <v>5.4449627114855487E-2</v>
      </c>
      <c r="M223" s="843"/>
      <c r="N223" s="843"/>
      <c r="O223" s="48">
        <f>IF(t&lt;Tnet,'2021'!Resal+('2021'!Salim-'2021'!Resal)*(1-EXP(('2021'!Tnet-t)/('2021'!Tau_j))),Resal+(Salim-Resal)*(1-EXP((Tnet-t)/(Tau_j))))*Salcycl</f>
        <v>0.10976801439486626</v>
      </c>
      <c r="P223" s="339">
        <f>(INDEX(Models!$BJ223:$BT223,,T223)*(1-R223)+INDEX(Models!$BJ223:$BT223,,T223+1)*R223-ERP_i)*Q223*Ramure*Pc/MaxiM</f>
        <v>2.005688331748919E-3</v>
      </c>
      <c r="Q223" s="305">
        <f t="shared" si="77"/>
        <v>0.8</v>
      </c>
      <c r="R223" s="177">
        <f t="shared" si="78"/>
        <v>0.52615598719697498</v>
      </c>
      <c r="S223" s="809">
        <f t="shared" si="79"/>
        <v>0</v>
      </c>
      <c r="T223" s="176">
        <f t="shared" si="80"/>
        <v>6</v>
      </c>
      <c r="U223" s="251">
        <f t="shared" si="81"/>
        <v>0.52615598719697498</v>
      </c>
      <c r="V223" s="383">
        <f t="shared" si="82"/>
        <v>48.026660647286732</v>
      </c>
      <c r="W223" s="402"/>
      <c r="X223" s="157">
        <f t="shared" si="83"/>
        <v>44770</v>
      </c>
      <c r="Y223" s="385">
        <f t="shared" si="84"/>
        <v>38.265489895896621</v>
      </c>
      <c r="Z223" s="385">
        <f t="shared" si="85"/>
        <v>40.469012538314239</v>
      </c>
      <c r="AA223" s="386">
        <f t="shared" si="86"/>
        <v>47.976947607158053</v>
      </c>
      <c r="AB223" s="197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0.15649046976310024</v>
      </c>
      <c r="AD223" s="231">
        <f>(INDEX(Models!$BJ223:$BT223,,AH223)*(1-AF223)+INDEX(Models!$BJ223:$BT223,,AH223+1)*AF223-ERP_i)*AE223*Ramure*Pc/MaxiM</f>
        <v>7.5110422257948879E-3</v>
      </c>
      <c r="AE223" s="305">
        <f t="shared" si="88"/>
        <v>0.8</v>
      </c>
      <c r="AF223" s="177">
        <f t="shared" si="89"/>
        <v>0.72687273436187838</v>
      </c>
      <c r="AG223" s="809">
        <f t="shared" si="95"/>
        <v>1</v>
      </c>
      <c r="AH223" s="176">
        <f t="shared" si="90"/>
        <v>7</v>
      </c>
      <c r="AI223" s="225">
        <f t="shared" si="91"/>
        <v>1.7268727343618784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44771</v>
      </c>
      <c r="B224" s="616">
        <v>28.108000000000001</v>
      </c>
      <c r="C224" s="839"/>
      <c r="D224" s="393">
        <f t="shared" si="74"/>
        <v>29.727309660553399</v>
      </c>
      <c r="E224" s="385">
        <f t="shared" si="72"/>
        <v>33.397801639507954</v>
      </c>
      <c r="F224" s="385">
        <f t="shared" si="75"/>
        <v>33.425034379979216</v>
      </c>
      <c r="G224" s="110">
        <f t="shared" si="73"/>
        <v>0.58644404207142864</v>
      </c>
      <c r="H224" s="414" t="b">
        <f>Wh_hp&gt;='2021'!Maxi_hp</f>
        <v>0</v>
      </c>
      <c r="I224" s="380">
        <f>IF(H224,Wh_hp,'2021'!Maxi_hp)</f>
        <v>57.337532868317645</v>
      </c>
      <c r="J224" s="85">
        <f>IF(H224,An,'2021'!An_max)</f>
        <v>2019</v>
      </c>
      <c r="K224" s="197">
        <f t="shared" si="76"/>
        <v>44771</v>
      </c>
      <c r="L224" s="147">
        <f>IF(t&lt;Tvie,1-EXP((T0-t)*PertePVj)+'2021'!Pspv,1-EXP((T0-t)*PertePVj)+Pspv)</f>
        <v>5.4472122739789658E-2</v>
      </c>
      <c r="M224" s="843"/>
      <c r="N224" s="843"/>
      <c r="O224" s="48">
        <f>IF(t&lt;Tnet,'2021'!Resal+('2021'!Salim-'2021'!Resal)*(1-EXP(('2021'!Tnet-t)/('2021'!Tau_j))),Resal+(Salim-Resal)*(1-EXP((Tnet-t)/(Tau_j))))*Salcycl</f>
        <v>0.10990220310227083</v>
      </c>
      <c r="P224" s="339">
        <f>(INDEX(Models!$BJ224:$BT224,,T224)*(1-R224)+INDEX(Models!$BJ224:$BT224,,T224+1)*R224-ERP_i)*Q224*Ramure*Pc/MaxiM</f>
        <v>1.9862562039648303E-3</v>
      </c>
      <c r="Q224" s="305">
        <f t="shared" si="77"/>
        <v>0.8</v>
      </c>
      <c r="R224" s="177">
        <f t="shared" si="78"/>
        <v>0.52876295000181506</v>
      </c>
      <c r="S224" s="809">
        <f t="shared" si="79"/>
        <v>0</v>
      </c>
      <c r="T224" s="176">
        <f t="shared" si="80"/>
        <v>6</v>
      </c>
      <c r="U224" s="251">
        <f t="shared" si="81"/>
        <v>0.52876295000181506</v>
      </c>
      <c r="V224" s="383">
        <f t="shared" si="82"/>
        <v>47.873355651198743</v>
      </c>
      <c r="W224" s="402"/>
      <c r="X224" s="157">
        <f t="shared" si="83"/>
        <v>44771</v>
      </c>
      <c r="Y224" s="385">
        <f t="shared" si="84"/>
        <v>26.575787686989582</v>
      </c>
      <c r="Z224" s="385">
        <f t="shared" si="85"/>
        <v>28.106826172059964</v>
      </c>
      <c r="AA224" s="386">
        <f t="shared" si="86"/>
        <v>33.322980183369701</v>
      </c>
      <c r="AB224" s="197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0.1565332387021294</v>
      </c>
      <c r="AD224" s="231">
        <f>(INDEX(Models!$BJ224:$BT224,,AH224)*(1-AF224)+INDEX(Models!$BJ224:$BT224,,AH224+1)*AF224-ERP_i)*AE224*Ramure*Pc/MaxiM</f>
        <v>7.4434587797069778E-3</v>
      </c>
      <c r="AE224" s="305">
        <f t="shared" si="88"/>
        <v>0.8</v>
      </c>
      <c r="AF224" s="177">
        <f t="shared" si="89"/>
        <v>0.72947969716671857</v>
      </c>
      <c r="AG224" s="809">
        <f t="shared" si="95"/>
        <v>1</v>
      </c>
      <c r="AH224" s="176">
        <f t="shared" si="90"/>
        <v>7</v>
      </c>
      <c r="AI224" s="225">
        <f t="shared" si="91"/>
        <v>1.7294796971667186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44772</v>
      </c>
      <c r="B225" s="616">
        <v>44.795999999999999</v>
      </c>
      <c r="C225" s="839"/>
      <c r="D225" s="393">
        <f t="shared" si="74"/>
        <v>47.377837128458815</v>
      </c>
      <c r="E225" s="385">
        <f t="shared" si="72"/>
        <v>53.235663644690277</v>
      </c>
      <c r="F225" s="385">
        <f t="shared" si="75"/>
        <v>53.331314939696405</v>
      </c>
      <c r="G225" s="110">
        <f t="shared" si="73"/>
        <v>0.93860441148678997</v>
      </c>
      <c r="H225" s="414" t="b">
        <f>Wh_hp&gt;='2021'!Maxi_hp</f>
        <v>1</v>
      </c>
      <c r="I225" s="380">
        <f>IF(H225,Wh_hp,'2021'!Maxi_hp)</f>
        <v>53.331314939696405</v>
      </c>
      <c r="J225" s="85">
        <f>IF(H225,An,'2021'!An_max)</f>
        <v>2022</v>
      </c>
      <c r="K225" s="197">
        <f t="shared" si="76"/>
        <v>44772</v>
      </c>
      <c r="L225" s="147">
        <f>IF(t&lt;Tvie,1-EXP((T0-t)*PertePVj)+'2021'!Pspv,1-EXP((T0-t)*PertePVj)+Pspv)</f>
        <v>5.4494617841217702E-2</v>
      </c>
      <c r="M225" s="843"/>
      <c r="N225" s="843"/>
      <c r="O225" s="48">
        <f>IF(t&lt;Tnet,'2021'!Resal+('2021'!Salim-'2021'!Resal)*(1-EXP(('2021'!Tnet-t)/('2021'!Tau_j))),Resal+(Salim-Resal)*(1-EXP((Tnet-t)/(Tau_j))))*Salcycl</f>
        <v>0.11003575639308705</v>
      </c>
      <c r="P225" s="339">
        <f>(INDEX(Models!$BJ225:$BT225,,T225)*(1-R225)+INDEX(Models!$BJ225:$BT225,,T225+1)*R225-ERP_i)*Q225*Ramure*Pc/MaxiM</f>
        <v>1.965462393941326E-3</v>
      </c>
      <c r="Q225" s="305">
        <f t="shared" si="77"/>
        <v>0.8</v>
      </c>
      <c r="R225" s="177">
        <f t="shared" si="78"/>
        <v>0.53128929025807403</v>
      </c>
      <c r="S225" s="809">
        <f t="shared" si="79"/>
        <v>0</v>
      </c>
      <c r="T225" s="176">
        <f t="shared" si="80"/>
        <v>6</v>
      </c>
      <c r="U225" s="251">
        <f t="shared" si="81"/>
        <v>0.53128929025807403</v>
      </c>
      <c r="V225" s="383">
        <f t="shared" si="82"/>
        <v>47.717956270606429</v>
      </c>
      <c r="W225" s="402"/>
      <c r="X225" s="157">
        <f t="shared" si="83"/>
        <v>44772</v>
      </c>
      <c r="Y225" s="385">
        <f t="shared" si="84"/>
        <v>42.243371266378759</v>
      </c>
      <c r="Z225" s="385">
        <f t="shared" si="85"/>
        <v>44.678086516999507</v>
      </c>
      <c r="AA225" s="386">
        <f t="shared" si="86"/>
        <v>52.972235076158974</v>
      </c>
      <c r="AB225" s="197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0.15657539364225143</v>
      </c>
      <c r="AD225" s="231">
        <f>(INDEX(Models!$BJ225:$BT225,,AH225)*(1-AF225)+INDEX(Models!$BJ225:$BT225,,AH225+1)*AF225-ERP_i)*AE225*Ramure*Pc/MaxiM</f>
        <v>7.3784465558903506E-3</v>
      </c>
      <c r="AE225" s="305">
        <f t="shared" si="88"/>
        <v>0.8</v>
      </c>
      <c r="AF225" s="177">
        <f t="shared" si="89"/>
        <v>0.73200603742297732</v>
      </c>
      <c r="AG225" s="809">
        <f t="shared" si="95"/>
        <v>1</v>
      </c>
      <c r="AH225" s="176">
        <f t="shared" si="90"/>
        <v>7</v>
      </c>
      <c r="AI225" s="225">
        <f t="shared" si="91"/>
        <v>1.7320060374229773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44773</v>
      </c>
      <c r="B226" s="616">
        <v>45.773000000000003</v>
      </c>
      <c r="C226" s="839"/>
      <c r="D226" s="393">
        <f t="shared" si="74"/>
        <v>48.412298732467498</v>
      </c>
      <c r="E226" s="385">
        <f t="shared" si="72"/>
        <v>54.406153819737895</v>
      </c>
      <c r="F226" s="385">
        <f t="shared" si="75"/>
        <v>54.506389871073182</v>
      </c>
      <c r="G226" s="110">
        <f t="shared" si="73"/>
        <v>0.96232402891174473</v>
      </c>
      <c r="H226" s="414" t="b">
        <f>Wh_hp&gt;='2021'!Maxi_hp</f>
        <v>0</v>
      </c>
      <c r="I226" s="380">
        <f>IF(H226,Wh_hp,'2021'!Maxi_hp)</f>
        <v>55.057825166695693</v>
      </c>
      <c r="J226" s="85">
        <f>IF(H226,An,'2021'!An_max)</f>
        <v>2019</v>
      </c>
      <c r="K226" s="197">
        <f t="shared" si="76"/>
        <v>44773</v>
      </c>
      <c r="L226" s="147">
        <f>IF(t&lt;Tvie,1-EXP((T0-t)*PertePVj)+'2021'!Pspv,1-EXP((T0-t)*PertePVj)+Pspv)</f>
        <v>5.4517112419151942E-2</v>
      </c>
      <c r="M226" s="843"/>
      <c r="N226" s="843"/>
      <c r="O226" s="48">
        <f>IF(t&lt;Tnet,'2021'!Resal+('2021'!Salim-'2021'!Resal)*(1-EXP(('2021'!Tnet-t)/('2021'!Tau_j))),Resal+(Salim-Resal)*(1-EXP((Tnet-t)/(Tau_j))))*Salcycl</f>
        <v>0.11016869722365674</v>
      </c>
      <c r="P226" s="339">
        <f>(INDEX(Models!$BJ226:$BT226,,T226)*(1-R226)+INDEX(Models!$BJ226:$BT226,,T226+1)*R226-ERP_i)*Q226*Ramure*Pc/MaxiM</f>
        <v>1.9432922285305759E-3</v>
      </c>
      <c r="Q226" s="305">
        <f t="shared" si="77"/>
        <v>0.8</v>
      </c>
      <c r="R226" s="177">
        <f t="shared" si="78"/>
        <v>0.53373665553664174</v>
      </c>
      <c r="S226" s="809">
        <f t="shared" si="79"/>
        <v>0</v>
      </c>
      <c r="T226" s="176">
        <f t="shared" si="80"/>
        <v>6</v>
      </c>
      <c r="U226" s="251">
        <f t="shared" si="81"/>
        <v>0.53373665553664174</v>
      </c>
      <c r="V226" s="383">
        <f t="shared" si="82"/>
        <v>47.560088964288944</v>
      </c>
      <c r="W226" s="402"/>
      <c r="X226" s="157">
        <f t="shared" si="83"/>
        <v>44773</v>
      </c>
      <c r="Y226" s="385">
        <f t="shared" si="84"/>
        <v>43.16224361163529</v>
      </c>
      <c r="Z226" s="385">
        <f t="shared" si="85"/>
        <v>45.651004559238515</v>
      </c>
      <c r="AA226" s="386">
        <f t="shared" si="86"/>
        <v>54.128436113984115</v>
      </c>
      <c r="AB226" s="197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0.15661696814764334</v>
      </c>
      <c r="AD226" s="231">
        <f>(INDEX(Models!$BJ226:$BT226,,AH226)*(1-AF226)+INDEX(Models!$BJ226:$BT226,,AH226+1)*AF226-ERP_i)*AE226*Ramure*Pc/MaxiM</f>
        <v>7.3274494466896156E-3</v>
      </c>
      <c r="AE226" s="305">
        <f t="shared" si="88"/>
        <v>0.8</v>
      </c>
      <c r="AF226" s="177">
        <f t="shared" si="89"/>
        <v>0.73445340270154524</v>
      </c>
      <c r="AG226" s="809">
        <f t="shared" si="95"/>
        <v>1</v>
      </c>
      <c r="AH226" s="176">
        <f t="shared" si="90"/>
        <v>7</v>
      </c>
      <c r="AI226" s="225">
        <f t="shared" si="91"/>
        <v>1.7344534027015452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44774</v>
      </c>
      <c r="B227" s="616">
        <v>45.715000000000003</v>
      </c>
      <c r="C227" s="839"/>
      <c r="D227" s="393">
        <f t="shared" si="74"/>
        <v>48.352104766114373</v>
      </c>
      <c r="E227" s="385">
        <f t="shared" si="72"/>
        <v>54.346590547420156</v>
      </c>
      <c r="F227" s="385">
        <f t="shared" si="75"/>
        <v>54.44583213474823</v>
      </c>
      <c r="G227" s="110">
        <f t="shared" si="73"/>
        <v>0.96437038378915785</v>
      </c>
      <c r="H227" s="414" t="b">
        <f>Wh_hp&gt;='2021'!Maxi_hp</f>
        <v>1</v>
      </c>
      <c r="I227" s="380">
        <f>IF(H227,Wh_hp,'2021'!Maxi_hp)</f>
        <v>54.44583213474823</v>
      </c>
      <c r="J227" s="85">
        <f>IF(H227,An,'2021'!An_max)</f>
        <v>2022</v>
      </c>
      <c r="K227" s="197">
        <f t="shared" si="76"/>
        <v>44774</v>
      </c>
      <c r="L227" s="147">
        <f>IF(t&lt;Tvie,1-EXP((T0-t)*PertePVj)+'2021'!Pspv,1-EXP((T0-t)*PertePVj)+Pspv)</f>
        <v>5.4539606473604479E-2</v>
      </c>
      <c r="M227" s="843"/>
      <c r="N227" s="843"/>
      <c r="O227" s="48">
        <f>IF(t&lt;Tnet,'2021'!Resal+('2021'!Salim-'2021'!Resal)*(1-EXP(('2021'!Tnet-t)/('2021'!Tau_j))),Resal+(Salim-Resal)*(1-EXP((Tnet-t)/(Tau_j))))*Salcycl</f>
        <v>0.11030104595200486</v>
      </c>
      <c r="P227" s="339">
        <f>(INDEX(Models!$BJ227:$BT227,,T227)*(1-R227)+INDEX(Models!$BJ227:$BT227,,T227+1)*R227-ERP_i)*Q227*Ramure*Pc/MaxiM</f>
        <v>1.9202389380799814E-3</v>
      </c>
      <c r="Q227" s="305">
        <f t="shared" si="77"/>
        <v>0.8</v>
      </c>
      <c r="R227" s="177">
        <f t="shared" si="78"/>
        <v>0.53610672121104475</v>
      </c>
      <c r="S227" s="809">
        <f t="shared" si="79"/>
        <v>0</v>
      </c>
      <c r="T227" s="176">
        <f t="shared" si="80"/>
        <v>6</v>
      </c>
      <c r="U227" s="251">
        <f t="shared" si="81"/>
        <v>0.53610672121104475</v>
      </c>
      <c r="V227" s="383">
        <f t="shared" si="82"/>
        <v>47.399356408167279</v>
      </c>
      <c r="W227" s="402"/>
      <c r="X227" s="157">
        <f t="shared" si="83"/>
        <v>44774</v>
      </c>
      <c r="Y227" s="385">
        <f t="shared" si="84"/>
        <v>43.111689809610972</v>
      </c>
      <c r="Z227" s="385">
        <f t="shared" si="85"/>
        <v>45.598620634770533</v>
      </c>
      <c r="AA227" s="386">
        <f t="shared" si="86"/>
        <v>54.068954469337164</v>
      </c>
      <c r="AB227" s="197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0.15665799196043648</v>
      </c>
      <c r="AD227" s="231">
        <f>(INDEX(Models!$BJ227:$BT227,,AH227)*(1-AF227)+INDEX(Models!$BJ227:$BT227,,AH227+1)*AF227-ERP_i)*AE227*Ramure*Pc/MaxiM</f>
        <v>7.2922570819288317E-3</v>
      </c>
      <c r="AE227" s="305">
        <f t="shared" si="88"/>
        <v>0.8</v>
      </c>
      <c r="AF227" s="177">
        <f t="shared" si="89"/>
        <v>0.73682346837594803</v>
      </c>
      <c r="AG227" s="809">
        <f t="shared" si="95"/>
        <v>1</v>
      </c>
      <c r="AH227" s="176">
        <f t="shared" si="90"/>
        <v>7</v>
      </c>
      <c r="AI227" s="225">
        <f t="shared" si="91"/>
        <v>1.736823468375948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44775</v>
      </c>
      <c r="B228" s="616">
        <v>45.728000000000002</v>
      </c>
      <c r="C228" s="839"/>
      <c r="D228" s="393">
        <f t="shared" si="74"/>
        <v>48.367005384723711</v>
      </c>
      <c r="E228" s="385">
        <f t="shared" si="72"/>
        <v>54.371391494527856</v>
      </c>
      <c r="F228" s="385">
        <f t="shared" si="75"/>
        <v>54.469975403068354</v>
      </c>
      <c r="G228" s="110">
        <f t="shared" si="73"/>
        <v>0.96800397521716897</v>
      </c>
      <c r="H228" s="414" t="b">
        <f>Wh_hp&gt;='2021'!Maxi_hp</f>
        <v>0</v>
      </c>
      <c r="I228" s="380">
        <f>IF(H228,Wh_hp,'2021'!Maxi_hp)</f>
        <v>54.855614137032767</v>
      </c>
      <c r="J228" s="85">
        <f>IF(H228,An,'2021'!An_max)</f>
        <v>2019</v>
      </c>
      <c r="K228" s="197">
        <f t="shared" si="76"/>
        <v>44775</v>
      </c>
      <c r="L228" s="147">
        <f>IF(t&lt;Tvie,1-EXP((T0-t)*PertePVj)+'2021'!Pspv,1-EXP((T0-t)*PertePVj)+Pspv)</f>
        <v>5.4562100004587416E-2</v>
      </c>
      <c r="M228" s="843"/>
      <c r="N228" s="843"/>
      <c r="O228" s="48">
        <f>IF(t&lt;Tnet,'2021'!Resal+('2021'!Salim-'2021'!Resal)*(1-EXP(('2021'!Tnet-t)/('2021'!Tau_j))),Resal+(Salim-Resal)*(1-EXP((Tnet-t)/(Tau_j))))*Salcycl</f>
        <v>0.1104328203630479</v>
      </c>
      <c r="P228" s="339">
        <f>(INDEX(Models!$BJ228:$BT228,,T228)*(1-R228)+INDEX(Models!$BJ228:$BT228,,T228+1)*R228-ERP_i)*Q228*Ramure*Pc/MaxiM</f>
        <v>1.8963274847861062E-3</v>
      </c>
      <c r="Q228" s="305">
        <f t="shared" si="77"/>
        <v>0.8</v>
      </c>
      <c r="R228" s="177">
        <f t="shared" si="78"/>
        <v>0.53840118491260902</v>
      </c>
      <c r="S228" s="809">
        <f t="shared" si="79"/>
        <v>0</v>
      </c>
      <c r="T228" s="176">
        <f t="shared" si="80"/>
        <v>6</v>
      </c>
      <c r="U228" s="251">
        <f t="shared" si="81"/>
        <v>0.53840118491260902</v>
      </c>
      <c r="V228" s="383">
        <f t="shared" si="82"/>
        <v>47.23538410526146</v>
      </c>
      <c r="W228" s="402"/>
      <c r="X228" s="157">
        <f t="shared" si="83"/>
        <v>44775</v>
      </c>
      <c r="Y228" s="385">
        <f t="shared" si="84"/>
        <v>43.126858679297044</v>
      </c>
      <c r="Z228" s="385">
        <f t="shared" si="85"/>
        <v>45.615749780610976</v>
      </c>
      <c r="AA228" s="386">
        <f t="shared" si="86"/>
        <v>54.09186310799695</v>
      </c>
      <c r="AB228" s="197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0.15669849105517064</v>
      </c>
      <c r="AD228" s="231">
        <f>(INDEX(Models!$BJ228:$BT228,,AH228)*(1-AF228)+INDEX(Models!$BJ228:$BT228,,AH228+1)*AF228-ERP_i)*AE228*Ramure*Pc/MaxiM</f>
        <v>7.2732431498687949E-3</v>
      </c>
      <c r="AE228" s="305">
        <f t="shared" si="88"/>
        <v>0.8</v>
      </c>
      <c r="AF228" s="177">
        <f t="shared" si="89"/>
        <v>0.73911793207751231</v>
      </c>
      <c r="AG228" s="809">
        <f t="shared" si="95"/>
        <v>1</v>
      </c>
      <c r="AH228" s="176">
        <f t="shared" si="90"/>
        <v>7</v>
      </c>
      <c r="AI228" s="225">
        <f t="shared" si="91"/>
        <v>1.7391179320775123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44776</v>
      </c>
      <c r="B229" s="616">
        <v>42.669000000000004</v>
      </c>
      <c r="C229" s="839"/>
      <c r="D229" s="393">
        <f t="shared" si="74"/>
        <v>45.132541404147759</v>
      </c>
      <c r="E229" s="385">
        <f t="shared" si="72"/>
        <v>50.742878876289716</v>
      </c>
      <c r="F229" s="385">
        <f t="shared" si="75"/>
        <v>50.82530265131939</v>
      </c>
      <c r="G229" s="110">
        <f t="shared" si="73"/>
        <v>0.90631647632735313</v>
      </c>
      <c r="H229" s="414" t="b">
        <f>Wh_hp&gt;='2021'!Maxi_hp</f>
        <v>0</v>
      </c>
      <c r="I229" s="380">
        <f>IF(H229,Wh_hp,'2021'!Maxi_hp)</f>
        <v>54.652362848660495</v>
      </c>
      <c r="J229" s="85">
        <f>IF(H229,An,'2021'!An_max)</f>
        <v>2019</v>
      </c>
      <c r="K229" s="197">
        <f t="shared" si="76"/>
        <v>44776</v>
      </c>
      <c r="L229" s="147">
        <f>IF(t&lt;Tvie,1-EXP((T0-t)*PertePVj)+'2021'!Pspv,1-EXP((T0-t)*PertePVj)+Pspv)</f>
        <v>5.4584593012113186E-2</v>
      </c>
      <c r="M229" s="843"/>
      <c r="N229" s="843"/>
      <c r="O229" s="48">
        <f>IF(t&lt;Tnet,'2021'!Resal+('2021'!Salim-'2021'!Resal)*(1-EXP(('2021'!Tnet-t)/('2021'!Tau_j))),Resal+(Salim-Resal)*(1-EXP((Tnet-t)/(Tau_j))))*Salcycl</f>
        <v>0.11056403571070275</v>
      </c>
      <c r="P229" s="339">
        <f>(INDEX(Models!$BJ229:$BT229,,T229)*(1-R229)+INDEX(Models!$BJ229:$BT229,,T229+1)*R229-ERP_i)*Q229*Ramure*Pc/MaxiM</f>
        <v>1.8715813598719044E-3</v>
      </c>
      <c r="Q229" s="305">
        <f t="shared" si="77"/>
        <v>0.8</v>
      </c>
      <c r="R229" s="177">
        <f t="shared" si="78"/>
        <v>0.54062176129987649</v>
      </c>
      <c r="S229" s="809">
        <f t="shared" si="79"/>
        <v>0</v>
      </c>
      <c r="T229" s="176">
        <f t="shared" si="80"/>
        <v>6</v>
      </c>
      <c r="U229" s="251">
        <f t="shared" si="81"/>
        <v>0.54062176129987649</v>
      </c>
      <c r="V229" s="383">
        <f t="shared" si="82"/>
        <v>47.067797980530912</v>
      </c>
      <c r="W229" s="402"/>
      <c r="X229" s="157">
        <f t="shared" si="83"/>
        <v>44776</v>
      </c>
      <c r="Y229" s="385">
        <f t="shared" si="84"/>
        <v>40.264303493521126</v>
      </c>
      <c r="Z229" s="385">
        <f t="shared" si="85"/>
        <v>42.58900711360738</v>
      </c>
      <c r="AA229" s="386">
        <f t="shared" si="86"/>
        <v>50.505100129961235</v>
      </c>
      <c r="AB229" s="197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0.1567384877167638</v>
      </c>
      <c r="AD229" s="231">
        <f>(INDEX(Models!$BJ229:$BT229,,AH229)*(1-AF229)+INDEX(Models!$BJ229:$BT229,,AH229+1)*AF229-ERP_i)*AE229*Ramure*Pc/MaxiM</f>
        <v>7.2707792156101033E-3</v>
      </c>
      <c r="AE229" s="305">
        <f t="shared" si="88"/>
        <v>0.8</v>
      </c>
      <c r="AF229" s="177">
        <f t="shared" si="89"/>
        <v>0.74133850846477989</v>
      </c>
      <c r="AG229" s="809">
        <f t="shared" si="95"/>
        <v>1</v>
      </c>
      <c r="AH229" s="176">
        <f t="shared" si="90"/>
        <v>7</v>
      </c>
      <c r="AI229" s="225">
        <f t="shared" si="91"/>
        <v>1.7413385084647799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44777</v>
      </c>
      <c r="B230" s="616">
        <v>42.191000000000003</v>
      </c>
      <c r="C230" s="839"/>
      <c r="D230" s="393">
        <f t="shared" si="74"/>
        <v>44.62800530099608</v>
      </c>
      <c r="E230" s="385">
        <f t="shared" si="72"/>
        <v>50.182997380815458</v>
      </c>
      <c r="F230" s="385">
        <f t="shared" si="75"/>
        <v>50.262483862323442</v>
      </c>
      <c r="G230" s="110">
        <f t="shared" si="73"/>
        <v>0.89942888483266614</v>
      </c>
      <c r="H230" s="414" t="b">
        <f>Wh_hp&gt;='2021'!Maxi_hp</f>
        <v>0</v>
      </c>
      <c r="I230" s="380">
        <f>IF(H230,Wh_hp,'2021'!Maxi_hp)</f>
        <v>51.450131759098554</v>
      </c>
      <c r="J230" s="85">
        <f>IF(H230,An,'2021'!An_max)</f>
        <v>2019</v>
      </c>
      <c r="K230" s="197">
        <f t="shared" si="76"/>
        <v>44777</v>
      </c>
      <c r="L230" s="147">
        <f>IF(t&lt;Tvie,1-EXP((T0-t)*PertePVj)+'2021'!Pspv,1-EXP((T0-t)*PertePVj)+Pspv)</f>
        <v>5.4607085496193669E-2</v>
      </c>
      <c r="M230" s="843"/>
      <c r="N230" s="843"/>
      <c r="O230" s="48">
        <f>IF(t&lt;Tnet,'2021'!Resal+('2021'!Salim-'2021'!Resal)*(1-EXP(('2021'!Tnet-t)/('2021'!Tau_j))),Resal+(Salim-Resal)*(1-EXP((Tnet-t)/(Tau_j))))*Salcycl</f>
        <v>0.11069470477550633</v>
      </c>
      <c r="P230" s="339">
        <f>(INDEX(Models!$BJ230:$BT230,,T230)*(1-R230)+INDEX(Models!$BJ230:$BT230,,T230+1)*R230-ERP_i)*Q230*Ramure*Pc/MaxiM</f>
        <v>1.8460225107428351E-3</v>
      </c>
      <c r="Q230" s="305">
        <f t="shared" si="77"/>
        <v>0.8</v>
      </c>
      <c r="R230" s="177">
        <f t="shared" si="78"/>
        <v>0.54277017714148867</v>
      </c>
      <c r="S230" s="809">
        <f t="shared" si="79"/>
        <v>0</v>
      </c>
      <c r="T230" s="176">
        <f t="shared" si="80"/>
        <v>6</v>
      </c>
      <c r="U230" s="251">
        <f t="shared" si="81"/>
        <v>0.54277017714148867</v>
      </c>
      <c r="V230" s="383">
        <f t="shared" si="82"/>
        <v>46.896224378672862</v>
      </c>
      <c r="W230" s="402"/>
      <c r="X230" s="157">
        <f t="shared" si="83"/>
        <v>44777</v>
      </c>
      <c r="Y230" s="385">
        <f t="shared" si="84"/>
        <v>39.81798528118955</v>
      </c>
      <c r="Z230" s="385">
        <f t="shared" si="85"/>
        <v>42.117922263134581</v>
      </c>
      <c r="AA230" s="386">
        <f t="shared" si="86"/>
        <v>49.948794380478468</v>
      </c>
      <c r="AB230" s="197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0.15677800063988001</v>
      </c>
      <c r="AD230" s="231">
        <f>(INDEX(Models!$BJ230:$BT230,,AH230)*(1-AF230)+INDEX(Models!$BJ230:$BT230,,AH230+1)*AF230-ERP_i)*AE230*Ramure*Pc/MaxiM</f>
        <v>7.285236858935654E-3</v>
      </c>
      <c r="AE230" s="305">
        <f t="shared" si="88"/>
        <v>0.8</v>
      </c>
      <c r="AF230" s="177">
        <f t="shared" si="89"/>
        <v>0.74348692430639218</v>
      </c>
      <c r="AG230" s="809">
        <f t="shared" si="95"/>
        <v>1</v>
      </c>
      <c r="AH230" s="176">
        <f t="shared" si="90"/>
        <v>7</v>
      </c>
      <c r="AI230" s="225">
        <f t="shared" si="91"/>
        <v>1.7434869243063922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44778</v>
      </c>
      <c r="B231" s="616">
        <v>40.185000000000002</v>
      </c>
      <c r="C231" s="839"/>
      <c r="D231" s="393">
        <f t="shared" si="74"/>
        <v>42.507147507214761</v>
      </c>
      <c r="E231" s="385">
        <f t="shared" si="72"/>
        <v>47.805144948668946</v>
      </c>
      <c r="F231" s="385">
        <f t="shared" si="75"/>
        <v>47.874852929827959</v>
      </c>
      <c r="G231" s="110">
        <f t="shared" si="73"/>
        <v>0.85980558684924213</v>
      </c>
      <c r="H231" s="414" t="b">
        <f>Wh_hp&gt;='2021'!Maxi_hp</f>
        <v>0</v>
      </c>
      <c r="I231" s="380">
        <f>IF(H231,Wh_hp,'2021'!Maxi_hp)</f>
        <v>55.321706068538063</v>
      </c>
      <c r="J231" s="85">
        <f>IF(H231,An,'2021'!An_max)</f>
        <v>2020</v>
      </c>
      <c r="K231" s="197">
        <f t="shared" si="76"/>
        <v>44778</v>
      </c>
      <c r="L231" s="147">
        <f>IF(t&lt;Tvie,1-EXP((T0-t)*PertePVj)+'2021'!Pspv,1-EXP((T0-t)*PertePVj)+Pspv)</f>
        <v>5.4629577456841188E-2</v>
      </c>
      <c r="M231" s="843"/>
      <c r="N231" s="843"/>
      <c r="O231" s="48">
        <f>IF(t&lt;Tnet,'2021'!Resal+('2021'!Salim-'2021'!Resal)*(1-EXP(('2021'!Tnet-t)/('2021'!Tau_j))),Resal+(Salim-Resal)*(1-EXP((Tnet-t)/(Tau_j))))*Salcycl</f>
        <v>0.11082483793622926</v>
      </c>
      <c r="P231" s="339">
        <f>(INDEX(Models!$BJ231:$BT231,,T231)*(1-R231)+INDEX(Models!$BJ231:$BT231,,T231+1)*R231-ERP_i)*Q231*Ramure*Pc/MaxiM</f>
        <v>1.8196712753737838E-3</v>
      </c>
      <c r="Q231" s="305">
        <f t="shared" si="77"/>
        <v>0.8</v>
      </c>
      <c r="R231" s="177">
        <f t="shared" si="78"/>
        <v>0.54484816670985947</v>
      </c>
      <c r="S231" s="809">
        <f t="shared" si="79"/>
        <v>0</v>
      </c>
      <c r="T231" s="176">
        <f t="shared" si="80"/>
        <v>6</v>
      </c>
      <c r="U231" s="251">
        <f t="shared" si="81"/>
        <v>0.54484816670985947</v>
      </c>
      <c r="V231" s="383">
        <f t="shared" si="82"/>
        <v>46.720290051260086</v>
      </c>
      <c r="W231" s="402"/>
      <c r="X231" s="157">
        <f t="shared" si="83"/>
        <v>44778</v>
      </c>
      <c r="Y231" s="385">
        <f t="shared" si="84"/>
        <v>37.938581361449664</v>
      </c>
      <c r="Z231" s="385">
        <f t="shared" si="85"/>
        <v>40.130916365450034</v>
      </c>
      <c r="AA231" s="386">
        <f t="shared" si="86"/>
        <v>47.594553625324075</v>
      </c>
      <c r="AB231" s="197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0.15681704504741475</v>
      </c>
      <c r="AD231" s="231">
        <f>(INDEX(Models!$BJ231:$BT231,,AH231)*(1-AF231)+INDEX(Models!$BJ231:$BT231,,AH231+1)*AF231-ERP_i)*AE231*Ramure*Pc/MaxiM</f>
        <v>7.3169898831166244E-3</v>
      </c>
      <c r="AE231" s="305">
        <f t="shared" si="88"/>
        <v>0.8</v>
      </c>
      <c r="AF231" s="177">
        <f t="shared" si="89"/>
        <v>0.74556491387476287</v>
      </c>
      <c r="AG231" s="809">
        <f t="shared" si="95"/>
        <v>1</v>
      </c>
      <c r="AH231" s="176">
        <f t="shared" si="90"/>
        <v>7</v>
      </c>
      <c r="AI231" s="225">
        <f t="shared" si="91"/>
        <v>1.7455649138747629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44779</v>
      </c>
      <c r="B232" s="616">
        <v>41.262999999999998</v>
      </c>
      <c r="C232" s="839"/>
      <c r="D232" s="393">
        <f t="shared" si="74"/>
        <v>43.648479720823794</v>
      </c>
      <c r="E232" s="385">
        <f t="shared" si="72"/>
        <v>49.095886470177021</v>
      </c>
      <c r="F232" s="385">
        <f t="shared" si="75"/>
        <v>49.169749624344462</v>
      </c>
      <c r="G232" s="110">
        <f t="shared" si="73"/>
        <v>0.88636305601615306</v>
      </c>
      <c r="H232" s="414" t="b">
        <f>Wh_hp&gt;='2021'!Maxi_hp</f>
        <v>0</v>
      </c>
      <c r="I232" s="380">
        <f>IF(H232,Wh_hp,'2021'!Maxi_hp)</f>
        <v>54.962682458177952</v>
      </c>
      <c r="J232" s="85">
        <f>IF(H232,An,'2021'!An_max)</f>
        <v>2020</v>
      </c>
      <c r="K232" s="197">
        <f t="shared" si="76"/>
        <v>44779</v>
      </c>
      <c r="L232" s="147">
        <f>IF(t&lt;Tvie,1-EXP((T0-t)*PertePVj)+'2021'!Pspv,1-EXP((T0-t)*PertePVj)+Pspv)</f>
        <v>5.4652068894068068E-2</v>
      </c>
      <c r="M232" s="843"/>
      <c r="N232" s="843"/>
      <c r="O232" s="48">
        <f>IF(t&lt;Tnet,'2021'!Resal+('2021'!Salim-'2021'!Resal)*(1-EXP(('2021'!Tnet-t)/('2021'!Tau_j))),Resal+(Salim-Resal)*(1-EXP((Tnet-t)/(Tau_j))))*Salcycl</f>
        <v>0.11095444325386036</v>
      </c>
      <c r="P232" s="339">
        <f>(INDEX(Models!$BJ232:$BT232,,T232)*(1-R232)+INDEX(Models!$BJ232:$BT232,,T232+1)*R232-ERP_i)*Q232*Ramure*Pc/MaxiM</f>
        <v>1.7925463220558068E-3</v>
      </c>
      <c r="Q232" s="305">
        <f t="shared" si="77"/>
        <v>0.8</v>
      </c>
      <c r="R232" s="177">
        <f t="shared" si="78"/>
        <v>0.54685746748129738</v>
      </c>
      <c r="S232" s="809">
        <f t="shared" si="79"/>
        <v>0</v>
      </c>
      <c r="T232" s="176">
        <f t="shared" si="80"/>
        <v>6</v>
      </c>
      <c r="U232" s="251">
        <f t="shared" si="81"/>
        <v>0.54685746748129738</v>
      </c>
      <c r="V232" s="383">
        <f t="shared" si="82"/>
        <v>46.539622150091148</v>
      </c>
      <c r="W232" s="402"/>
      <c r="X232" s="157">
        <f t="shared" si="83"/>
        <v>44779</v>
      </c>
      <c r="Y232" s="385">
        <f t="shared" si="84"/>
        <v>38.949535997690262</v>
      </c>
      <c r="Z232" s="385">
        <f t="shared" si="85"/>
        <v>41.20127068149867</v>
      </c>
      <c r="AA232" s="386">
        <f t="shared" si="86"/>
        <v>48.866211156197664</v>
      </c>
      <c r="AB232" s="197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0.15685563282568621</v>
      </c>
      <c r="AD232" s="231">
        <f>(INDEX(Models!$BJ232:$BT232,,AH232)*(1-AF232)+INDEX(Models!$BJ232:$BT232,,AH232+1)*AF232-ERP_i)*AE232*Ramure*Pc/MaxiM</f>
        <v>7.3664165958245813E-3</v>
      </c>
      <c r="AE232" s="305">
        <f t="shared" si="88"/>
        <v>0.8</v>
      </c>
      <c r="AF232" s="177">
        <f t="shared" si="89"/>
        <v>0.74757421464620077</v>
      </c>
      <c r="AG232" s="809">
        <f t="shared" si="95"/>
        <v>1</v>
      </c>
      <c r="AH232" s="176">
        <f t="shared" si="90"/>
        <v>7</v>
      </c>
      <c r="AI232" s="225">
        <f t="shared" si="91"/>
        <v>1.7475742146462008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44780</v>
      </c>
      <c r="B233" s="616">
        <v>43.738</v>
      </c>
      <c r="C233" s="839"/>
      <c r="D233" s="393">
        <f t="shared" si="74"/>
        <v>46.26766417193992</v>
      </c>
      <c r="E233" s="385">
        <f t="shared" ref="E233:E296" si="96">Wh_pvt/(1-Psa)</f>
        <v>52.049506961227593</v>
      </c>
      <c r="F233" s="385">
        <f t="shared" si="75"/>
        <v>52.134084294598985</v>
      </c>
      <c r="G233" s="110">
        <f t="shared" ref="G233:G296" si="97">+Wh_hp/MaxiM</f>
        <v>0.94341021303055528</v>
      </c>
      <c r="H233" s="414" t="b">
        <f>Wh_hp&gt;='2021'!Maxi_hp</f>
        <v>0</v>
      </c>
      <c r="I233" s="380">
        <f>IF(H233,Wh_hp,'2021'!Maxi_hp)</f>
        <v>52.959519523212762</v>
      </c>
      <c r="J233" s="85">
        <f>IF(H233,An,'2021'!An_max)</f>
        <v>2020</v>
      </c>
      <c r="K233" s="197">
        <f t="shared" si="76"/>
        <v>44780</v>
      </c>
      <c r="L233" s="147">
        <f>IF(t&lt;Tvie,1-EXP((T0-t)*PertePVj)+'2021'!Pspv,1-EXP((T0-t)*PertePVj)+Pspv)</f>
        <v>5.4674559807886186E-2</v>
      </c>
      <c r="M233" s="843"/>
      <c r="N233" s="843"/>
      <c r="O233" s="48">
        <f>IF(t&lt;Tnet,'2021'!Resal+('2021'!Salim-'2021'!Resal)*(1-EXP(('2021'!Tnet-t)/('2021'!Tau_j))),Resal+(Salim-Resal)*(1-EXP((Tnet-t)/(Tau_j))))*Salcycl</f>
        <v>0.11108352656624876</v>
      </c>
      <c r="P233" s="339">
        <f>(INDEX(Models!$BJ233:$BT233,,T233)*(1-R233)+INDEX(Models!$BJ233:$BT233,,T233+1)*R233-ERP_i)*Q233*Ramure*Pc/MaxiM</f>
        <v>1.7646214374232758E-3</v>
      </c>
      <c r="Q233" s="305">
        <f t="shared" si="77"/>
        <v>0.8</v>
      </c>
      <c r="R233" s="177">
        <f t="shared" si="78"/>
        <v>0.54879981613677364</v>
      </c>
      <c r="S233" s="809">
        <f t="shared" si="79"/>
        <v>0</v>
      </c>
      <c r="T233" s="176">
        <f t="shared" si="80"/>
        <v>6</v>
      </c>
      <c r="U233" s="251">
        <f t="shared" si="81"/>
        <v>0.54879981613677364</v>
      </c>
      <c r="V233" s="383">
        <f t="shared" si="82"/>
        <v>46.354983867103314</v>
      </c>
      <c r="W233" s="402"/>
      <c r="X233" s="157">
        <f t="shared" si="83"/>
        <v>44780</v>
      </c>
      <c r="Y233" s="385">
        <f t="shared" si="84"/>
        <v>41.267404402314327</v>
      </c>
      <c r="Z233" s="385">
        <f t="shared" si="85"/>
        <v>43.654177331700453</v>
      </c>
      <c r="AA233" s="386">
        <f t="shared" si="86"/>
        <v>51.777790172591274</v>
      </c>
      <c r="AB233" s="197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0.15689377267381102</v>
      </c>
      <c r="AD233" s="231">
        <f>(INDEX(Models!$BJ233:$BT233,,AH233)*(1-AF233)+INDEX(Models!$BJ233:$BT233,,AH233+1)*AF233-ERP_i)*AE233*Ramure*Pc/MaxiM</f>
        <v>7.4337203676299373E-3</v>
      </c>
      <c r="AE233" s="305">
        <f t="shared" si="88"/>
        <v>0.8</v>
      </c>
      <c r="AF233" s="177">
        <f t="shared" si="89"/>
        <v>0.74951656330167715</v>
      </c>
      <c r="AG233" s="809">
        <f t="shared" si="95"/>
        <v>1</v>
      </c>
      <c r="AH233" s="176">
        <f t="shared" si="90"/>
        <v>7</v>
      </c>
      <c r="AI233" s="225">
        <f t="shared" si="91"/>
        <v>1.7495165633016772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44781</v>
      </c>
      <c r="B234" s="616">
        <v>43.401000000000003</v>
      </c>
      <c r="C234" s="839"/>
      <c r="D234" s="393">
        <f t="shared" si="74"/>
        <v>45.912265490237573</v>
      </c>
      <c r="E234" s="385">
        <f t="shared" si="96"/>
        <v>51.657167087766084</v>
      </c>
      <c r="F234" s="385">
        <f t="shared" si="75"/>
        <v>51.739505700444859</v>
      </c>
      <c r="G234" s="110">
        <f t="shared" si="97"/>
        <v>0.93994444687202761</v>
      </c>
      <c r="H234" s="414" t="b">
        <f>Wh_hp&gt;='2021'!Maxi_hp</f>
        <v>0</v>
      </c>
      <c r="I234" s="380">
        <f>IF(H234,Wh_hp,'2021'!Maxi_hp)</f>
        <v>52.507741008384137</v>
      </c>
      <c r="J234" s="85">
        <f>IF(H234,An,'2021'!An_max)</f>
        <v>2019</v>
      </c>
      <c r="K234" s="197">
        <f t="shared" si="76"/>
        <v>44781</v>
      </c>
      <c r="L234" s="147">
        <f>IF(t&lt;Tvie,1-EXP((T0-t)*PertePVj)+'2021'!Pspv,1-EXP((T0-t)*PertePVj)+Pspv)</f>
        <v>5.4697050198307978E-2</v>
      </c>
      <c r="M234" s="843"/>
      <c r="N234" s="843"/>
      <c r="O234" s="48">
        <f>IF(t&lt;Tnet,'2021'!Resal+('2021'!Salim-'2021'!Resal)*(1-EXP(('2021'!Tnet-t)/('2021'!Tau_j))),Resal+(Salim-Resal)*(1-EXP((Tnet-t)/(Tau_j))))*Salcycl</f>
        <v>0.11121209159162478</v>
      </c>
      <c r="P234" s="339">
        <f>(INDEX(Models!$BJ234:$BT234,,T234)*(1-R234)+INDEX(Models!$BJ234:$BT234,,T234+1)*R234-ERP_i)*Q234*Ramure*Pc/MaxiM</f>
        <v>1.7403710786633745E-3</v>
      </c>
      <c r="Q234" s="305">
        <f t="shared" si="77"/>
        <v>0.8</v>
      </c>
      <c r="R234" s="177">
        <f t="shared" si="78"/>
        <v>0.55067694485627949</v>
      </c>
      <c r="S234" s="809">
        <f t="shared" si="79"/>
        <v>0</v>
      </c>
      <c r="T234" s="176">
        <f t="shared" si="80"/>
        <v>6</v>
      </c>
      <c r="U234" s="251">
        <f t="shared" si="81"/>
        <v>0.55067694485627949</v>
      </c>
      <c r="V234" s="383">
        <f t="shared" si="82"/>
        <v>46.167116205891574</v>
      </c>
      <c r="W234" s="402"/>
      <c r="X234" s="157">
        <f t="shared" si="83"/>
        <v>44781</v>
      </c>
      <c r="Y234" s="385">
        <f t="shared" si="84"/>
        <v>40.950140016673707</v>
      </c>
      <c r="Z234" s="385">
        <f t="shared" si="85"/>
        <v>43.319594025665872</v>
      </c>
      <c r="AA234" s="386">
        <f t="shared" si="86"/>
        <v>51.383241691236584</v>
      </c>
      <c r="AB234" s="197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0.15693147026467133</v>
      </c>
      <c r="AD234" s="231">
        <f>(INDEX(Models!$BJ234:$BT234,,AH234)*(1-AF234)+INDEX(Models!$BJ234:$BT234,,AH234+1)*AF234-ERP_i)*AE234*Ramure*Pc/MaxiM</f>
        <v>7.5302650581887797E-3</v>
      </c>
      <c r="AE234" s="305">
        <f t="shared" si="88"/>
        <v>0.8</v>
      </c>
      <c r="AF234" s="177">
        <f t="shared" si="89"/>
        <v>0.75139369202118278</v>
      </c>
      <c r="AG234" s="809">
        <f t="shared" si="95"/>
        <v>1</v>
      </c>
      <c r="AH234" s="176">
        <f t="shared" si="90"/>
        <v>7</v>
      </c>
      <c r="AI234" s="225">
        <f t="shared" si="91"/>
        <v>1.7513936920211828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44782</v>
      </c>
      <c r="B235" s="616">
        <v>42.618000000000002</v>
      </c>
      <c r="C235" s="839"/>
      <c r="D235" s="393">
        <f t="shared" si="74"/>
        <v>45.085032227309661</v>
      </c>
      <c r="E235" s="385">
        <f t="shared" si="96"/>
        <v>50.733733184817282</v>
      </c>
      <c r="F235" s="385">
        <f t="shared" si="75"/>
        <v>50.812016053872632</v>
      </c>
      <c r="G235" s="110">
        <f t="shared" si="97"/>
        <v>0.92679699407507565</v>
      </c>
      <c r="H235" s="414" t="b">
        <f>Wh_hp&gt;='2021'!Maxi_hp</f>
        <v>0</v>
      </c>
      <c r="I235" s="380">
        <f>IF(H235,Wh_hp,'2021'!Maxi_hp)</f>
        <v>52.165063941951729</v>
      </c>
      <c r="J235" s="85">
        <f>IF(H235,An,'2021'!An_max)</f>
        <v>2021</v>
      </c>
      <c r="K235" s="197">
        <f t="shared" si="76"/>
        <v>44782</v>
      </c>
      <c r="L235" s="147">
        <f>IF(t&lt;Tvie,1-EXP((T0-t)*PertePVj)+'2021'!Pspv,1-EXP((T0-t)*PertePVj)+Pspv)</f>
        <v>5.4719540065345434E-2</v>
      </c>
      <c r="M235" s="843"/>
      <c r="N235" s="843"/>
      <c r="O235" s="48">
        <f>IF(t&lt;Tnet,'2021'!Resal+('2021'!Salim-'2021'!Resal)*(1-EXP(('2021'!Tnet-t)/('2021'!Tau_j))),Resal+(Salim-Resal)*(1-EXP((Tnet-t)/(Tau_j))))*Salcycl</f>
        <v>0.11134014003917357</v>
      </c>
      <c r="P235" s="339">
        <f>(INDEX(Models!$BJ235:$BT235,,T235)*(1-R235)+INDEX(Models!$BJ235:$BT235,,T235+1)*R235-ERP_i)*Q235*Ramure*Pc/MaxiM</f>
        <v>1.7201091641552836E-3</v>
      </c>
      <c r="Q235" s="305">
        <f t="shared" si="77"/>
        <v>0.8</v>
      </c>
      <c r="R235" s="177">
        <f t="shared" si="78"/>
        <v>0.55249057789863343</v>
      </c>
      <c r="S235" s="809">
        <f t="shared" si="79"/>
        <v>0</v>
      </c>
      <c r="T235" s="176">
        <f t="shared" si="80"/>
        <v>6</v>
      </c>
      <c r="U235" s="251">
        <f t="shared" si="81"/>
        <v>0.55249057789863343</v>
      </c>
      <c r="V235" s="383">
        <f t="shared" si="82"/>
        <v>45.975914599568171</v>
      </c>
      <c r="W235" s="402"/>
      <c r="X235" s="157">
        <f t="shared" si="83"/>
        <v>44782</v>
      </c>
      <c r="Y235" s="385">
        <f t="shared" si="84"/>
        <v>40.214649613627621</v>
      </c>
      <c r="Z235" s="385">
        <f t="shared" si="85"/>
        <v>42.542558868092527</v>
      </c>
      <c r="AA235" s="386">
        <f t="shared" si="86"/>
        <v>50.463796898185002</v>
      </c>
      <c r="AB235" s="197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0.1569687284148327</v>
      </c>
      <c r="AD235" s="231">
        <f>(INDEX(Models!$BJ235:$BT235,,AH235)*(1-AF235)+INDEX(Models!$BJ235:$BT235,,AH235+1)*AF235-ERP_i)*AE235*Ramure*Pc/MaxiM</f>
        <v>7.651418095180041E-3</v>
      </c>
      <c r="AE235" s="305">
        <f t="shared" si="88"/>
        <v>0.8</v>
      </c>
      <c r="AF235" s="177">
        <f t="shared" si="89"/>
        <v>0.75320732506353671</v>
      </c>
      <c r="AG235" s="809">
        <f t="shared" si="95"/>
        <v>1</v>
      </c>
      <c r="AH235" s="176">
        <f t="shared" si="90"/>
        <v>7</v>
      </c>
      <c r="AI235" s="225">
        <f t="shared" si="91"/>
        <v>1.7532073250635367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44783</v>
      </c>
      <c r="B236" s="616">
        <v>39.802</v>
      </c>
      <c r="C236" s="839"/>
      <c r="D236" s="393">
        <f t="shared" si="74"/>
        <v>42.107023943014418</v>
      </c>
      <c r="E236" s="385">
        <f t="shared" si="96"/>
        <v>47.389411283157578</v>
      </c>
      <c r="F236" s="385">
        <f t="shared" si="75"/>
        <v>47.455185149627916</v>
      </c>
      <c r="G236" s="110">
        <f t="shared" si="97"/>
        <v>0.86911778478336421</v>
      </c>
      <c r="H236" s="414" t="b">
        <f>Wh_hp&gt;='2021'!Maxi_hp</f>
        <v>0</v>
      </c>
      <c r="I236" s="380">
        <f>IF(H236,Wh_hp,'2021'!Maxi_hp)</f>
        <v>48.556121526495438</v>
      </c>
      <c r="J236" s="85">
        <f>IF(H236,An,'2021'!An_max)</f>
        <v>2021</v>
      </c>
      <c r="K236" s="197">
        <f t="shared" si="76"/>
        <v>44783</v>
      </c>
      <c r="L236" s="147">
        <f>IF(t&lt;Tvie,1-EXP((T0-t)*PertePVj)+'2021'!Pspv,1-EXP((T0-t)*PertePVj)+Pspv)</f>
        <v>5.4742029409010878E-2</v>
      </c>
      <c r="M236" s="843"/>
      <c r="N236" s="843"/>
      <c r="O236" s="48">
        <f>IF(t&lt;Tnet,'2021'!Resal+('2021'!Salim-'2021'!Resal)*(1-EXP(('2021'!Tnet-t)/('2021'!Tau_j))),Resal+(Salim-Resal)*(1-EXP((Tnet-t)/(Tau_j))))*Salcycl</f>
        <v>0.11146767172481314</v>
      </c>
      <c r="P236" s="339">
        <f>(INDEX(Models!$BJ236:$BT236,,T236)*(1-R236)+INDEX(Models!$BJ236:$BT236,,T236+1)*R236-ERP_i)*Q236*Ramure*Pc/MaxiM</f>
        <v>1.7039404855429242E-3</v>
      </c>
      <c r="Q236" s="305">
        <f t="shared" si="77"/>
        <v>0.8</v>
      </c>
      <c r="R236" s="177">
        <f t="shared" si="78"/>
        <v>0.55424242845770999</v>
      </c>
      <c r="S236" s="809">
        <f t="shared" si="79"/>
        <v>0</v>
      </c>
      <c r="T236" s="176">
        <f t="shared" si="80"/>
        <v>6</v>
      </c>
      <c r="U236" s="251">
        <f t="shared" si="81"/>
        <v>0.55424242845770999</v>
      </c>
      <c r="V236" s="383">
        <f t="shared" si="82"/>
        <v>45.781284526019832</v>
      </c>
      <c r="W236" s="402"/>
      <c r="X236" s="157">
        <f t="shared" si="83"/>
        <v>44783</v>
      </c>
      <c r="Y236" s="385">
        <f t="shared" si="84"/>
        <v>37.574686024995607</v>
      </c>
      <c r="Z236" s="385">
        <f t="shared" si="85"/>
        <v>39.750721172447093</v>
      </c>
      <c r="AA236" s="386">
        <f t="shared" si="86"/>
        <v>47.154190686878721</v>
      </c>
      <c r="AB236" s="197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0.15700554726076002</v>
      </c>
      <c r="AD236" s="231">
        <f>(INDEX(Models!$BJ236:$BT236,,AH236)*(1-AF236)+INDEX(Models!$BJ236:$BT236,,AH236+1)*AF236-ERP_i)*AE236*Ramure*Pc/MaxiM</f>
        <v>7.797574911212927E-3</v>
      </c>
      <c r="AE236" s="305">
        <f t="shared" si="88"/>
        <v>0.8</v>
      </c>
      <c r="AF236" s="177">
        <f t="shared" si="89"/>
        <v>0.75495917562261328</v>
      </c>
      <c r="AG236" s="809">
        <f t="shared" si="95"/>
        <v>1</v>
      </c>
      <c r="AH236" s="176">
        <f t="shared" si="90"/>
        <v>7</v>
      </c>
      <c r="AI236" s="225">
        <f t="shared" si="91"/>
        <v>1.7549591756226133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44784</v>
      </c>
      <c r="B237" s="616">
        <v>37.956000000000003</v>
      </c>
      <c r="C237" s="839"/>
      <c r="D237" s="393">
        <f t="shared" si="74"/>
        <v>40.155073240477684</v>
      </c>
      <c r="E237" s="385">
        <f t="shared" si="96"/>
        <v>45.199046593367839</v>
      </c>
      <c r="F237" s="385">
        <f t="shared" si="75"/>
        <v>45.257316819954525</v>
      </c>
      <c r="G237" s="110">
        <f t="shared" si="97"/>
        <v>0.8323392423373448</v>
      </c>
      <c r="H237" s="414" t="b">
        <f>Wh_hp&gt;='2021'!Maxi_hp</f>
        <v>0</v>
      </c>
      <c r="I237" s="380">
        <f>IF(H237,Wh_hp,'2021'!Maxi_hp)</f>
        <v>47.670695144219835</v>
      </c>
      <c r="J237" s="85">
        <f>IF(H237,An,'2021'!An_max)</f>
        <v>2021</v>
      </c>
      <c r="K237" s="197">
        <f t="shared" si="76"/>
        <v>44784</v>
      </c>
      <c r="L237" s="147">
        <f>IF(t&lt;Tvie,1-EXP((T0-t)*PertePVj)+'2021'!Pspv,1-EXP((T0-t)*PertePVj)+Pspv)</f>
        <v>5.4764518229316522E-2</v>
      </c>
      <c r="M237" s="843"/>
      <c r="N237" s="843"/>
      <c r="O237" s="48">
        <f>IF(t&lt;Tnet,'2021'!Resal+('2021'!Salim-'2021'!Resal)*(1-EXP(('2021'!Tnet-t)/('2021'!Tau_j))),Resal+(Salim-Resal)*(1-EXP((Tnet-t)/(Tau_j))))*Salcycl</f>
        <v>0.11159468469032424</v>
      </c>
      <c r="P237" s="339">
        <f>(INDEX(Models!$BJ237:$BT237,,T237)*(1-R237)+INDEX(Models!$BJ237:$BT237,,T237+1)*R237-ERP_i)*Q237*Ramure*Pc/MaxiM</f>
        <v>1.6919692048281759E-3</v>
      </c>
      <c r="Q237" s="305">
        <f t="shared" si="77"/>
        <v>0.8</v>
      </c>
      <c r="R237" s="177">
        <f t="shared" si="78"/>
        <v>0.55593419578532099</v>
      </c>
      <c r="S237" s="809">
        <f t="shared" si="79"/>
        <v>0</v>
      </c>
      <c r="T237" s="176">
        <f t="shared" si="80"/>
        <v>6</v>
      </c>
      <c r="U237" s="251">
        <f t="shared" si="81"/>
        <v>0.55593419578532099</v>
      </c>
      <c r="V237" s="383">
        <f t="shared" si="82"/>
        <v>45.583131789443058</v>
      </c>
      <c r="W237" s="402"/>
      <c r="X237" s="157">
        <f t="shared" si="83"/>
        <v>44784</v>
      </c>
      <c r="Y237" s="385">
        <f t="shared" si="84"/>
        <v>35.842071845675136</v>
      </c>
      <c r="Z237" s="385">
        <f t="shared" si="85"/>
        <v>37.918669513477397</v>
      </c>
      <c r="AA237" s="386">
        <f t="shared" si="86"/>
        <v>44.982865237073945</v>
      </c>
      <c r="AB237" s="197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0.15704192443869461</v>
      </c>
      <c r="AD237" s="231">
        <f>(INDEX(Models!$BJ237:$BT237,,AH237)*(1-AF237)+INDEX(Models!$BJ237:$BT237,,AH237+1)*AF237-ERP_i)*AE237*Ramure*Pc/MaxiM</f>
        <v>7.9691405654561051E-3</v>
      </c>
      <c r="AE237" s="305">
        <f t="shared" si="88"/>
        <v>0.8</v>
      </c>
      <c r="AF237" s="177">
        <f t="shared" si="89"/>
        <v>0.75665094295022439</v>
      </c>
      <c r="AG237" s="809">
        <f t="shared" si="95"/>
        <v>1</v>
      </c>
      <c r="AH237" s="176">
        <f t="shared" si="90"/>
        <v>7</v>
      </c>
      <c r="AI237" s="225">
        <f t="shared" si="91"/>
        <v>1.7566509429502244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44785</v>
      </c>
      <c r="B238" s="616">
        <v>39.265000000000001</v>
      </c>
      <c r="C238" s="839"/>
      <c r="D238" s="393">
        <f t="shared" si="74"/>
        <v>41.54090164979462</v>
      </c>
      <c r="E238" s="385">
        <f t="shared" si="96"/>
        <v>46.765610634641412</v>
      </c>
      <c r="F238" s="385">
        <f t="shared" si="75"/>
        <v>46.829298793552006</v>
      </c>
      <c r="G238" s="110">
        <f t="shared" si="97"/>
        <v>0.86494206322115863</v>
      </c>
      <c r="H238" s="414" t="b">
        <f>Wh_hp&gt;='2021'!Maxi_hp</f>
        <v>1</v>
      </c>
      <c r="I238" s="380">
        <f>IF(H238,Wh_hp,'2021'!Maxi_hp)</f>
        <v>46.829298793552006</v>
      </c>
      <c r="J238" s="85">
        <f>IF(H238,An,'2021'!An_max)</f>
        <v>2022</v>
      </c>
      <c r="K238" s="197">
        <f t="shared" si="76"/>
        <v>44785</v>
      </c>
      <c r="L238" s="147">
        <f>IF(t&lt;Tvie,1-EXP((T0-t)*PertePVj)+'2021'!Pspv,1-EXP((T0-t)*PertePVj)+Pspv)</f>
        <v>5.4787006526274357E-2</v>
      </c>
      <c r="M238" s="843"/>
      <c r="N238" s="843"/>
      <c r="O238" s="48">
        <f>IF(t&lt;Tnet,'2021'!Resal+('2021'!Salim-'2021'!Resal)*(1-EXP(('2021'!Tnet-t)/('2021'!Tau_j))),Resal+(Salim-Resal)*(1-EXP((Tnet-t)/(Tau_j))))*Salcycl</f>
        <v>0.11172117532400211</v>
      </c>
      <c r="P238" s="339">
        <f>(INDEX(Models!$BJ238:$BT238,,T238)*(1-R238)+INDEX(Models!$BJ238:$BT238,,T238+1)*R238-ERP_i)*Q238*Ramure*Pc/MaxiM</f>
        <v>1.6842991533385821E-3</v>
      </c>
      <c r="Q238" s="305">
        <f t="shared" si="77"/>
        <v>0.8</v>
      </c>
      <c r="R238" s="177">
        <f t="shared" si="78"/>
        <v>0.5575675625704003</v>
      </c>
      <c r="S238" s="809">
        <f t="shared" si="79"/>
        <v>0</v>
      </c>
      <c r="T238" s="176">
        <f t="shared" si="80"/>
        <v>6</v>
      </c>
      <c r="U238" s="251">
        <f t="shared" si="81"/>
        <v>0.5575675625704003</v>
      </c>
      <c r="V238" s="383">
        <f t="shared" si="82"/>
        <v>45.381362502607175</v>
      </c>
      <c r="W238" s="402"/>
      <c r="X238" s="157">
        <f t="shared" si="83"/>
        <v>44785</v>
      </c>
      <c r="Y238" s="385">
        <f t="shared" si="84"/>
        <v>37.064787161343332</v>
      </c>
      <c r="Z238" s="385">
        <f t="shared" si="85"/>
        <v>39.213158745445909</v>
      </c>
      <c r="AA238" s="386">
        <f t="shared" si="86"/>
        <v>46.520498945726409</v>
      </c>
      <c r="AB238" s="197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0.15707785526560414</v>
      </c>
      <c r="AD238" s="231">
        <f>(INDEX(Models!$BJ238:$BT238,,AH238)*(1-AF238)+INDEX(Models!$BJ238:$BT238,,AH238+1)*AF238-ERP_i)*AE238*Ramure*Pc/MaxiM</f>
        <v>8.1665309712265662E-3</v>
      </c>
      <c r="AE238" s="305">
        <f t="shared" si="88"/>
        <v>0.8</v>
      </c>
      <c r="AF238" s="177">
        <f t="shared" si="89"/>
        <v>0.75828430973530381</v>
      </c>
      <c r="AG238" s="809">
        <f t="shared" si="95"/>
        <v>1</v>
      </c>
      <c r="AH238" s="176">
        <f t="shared" si="90"/>
        <v>7</v>
      </c>
      <c r="AI238" s="225">
        <f t="shared" si="91"/>
        <v>1.7582843097353038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44786</v>
      </c>
      <c r="B239" s="616">
        <v>30.449000000000002</v>
      </c>
      <c r="C239" s="839"/>
      <c r="D239" s="393">
        <f t="shared" si="74"/>
        <v>32.21466975850165</v>
      </c>
      <c r="E239" s="385">
        <f t="shared" si="96"/>
        <v>36.271537428147973</v>
      </c>
      <c r="F239" s="385">
        <f t="shared" si="75"/>
        <v>36.304144965225312</v>
      </c>
      <c r="G239" s="110">
        <f t="shared" si="97"/>
        <v>0.67348193939674017</v>
      </c>
      <c r="H239" s="414" t="b">
        <f>Wh_hp&gt;='2021'!Maxi_hp</f>
        <v>0</v>
      </c>
      <c r="I239" s="380">
        <f>IF(H239,Wh_hp,'2021'!Maxi_hp)</f>
        <v>47.124763109850662</v>
      </c>
      <c r="J239" s="85">
        <f>IF(H239,An,'2021'!An_max)</f>
        <v>2019</v>
      </c>
      <c r="K239" s="197">
        <f t="shared" si="76"/>
        <v>44786</v>
      </c>
      <c r="L239" s="147">
        <f>IF(t&lt;Tvie,1-EXP((T0-t)*PertePVj)+'2021'!Pspv,1-EXP((T0-t)*PertePVj)+Pspv)</f>
        <v>5.4809494299896705E-2</v>
      </c>
      <c r="M239" s="843"/>
      <c r="N239" s="843"/>
      <c r="O239" s="48">
        <f>IF(t&lt;Tnet,'2021'!Resal+('2021'!Salim-'2021'!Resal)*(1-EXP(('2021'!Tnet-t)/('2021'!Tau_j))),Resal+(Salim-Resal)*(1-EXP((Tnet-t)/(Tau_j))))*Salcycl</f>
        <v>0.11184713848104084</v>
      </c>
      <c r="P239" s="339">
        <f>(INDEX(Models!$BJ239:$BT239,,T239)*(1-R239)+INDEX(Models!$BJ239:$BT239,,T239+1)*R239-ERP_i)*Q239*Ramure*Pc/MaxiM</f>
        <v>1.6810341317526425E-3</v>
      </c>
      <c r="Q239" s="305">
        <f t="shared" si="77"/>
        <v>0.8</v>
      </c>
      <c r="R239" s="177">
        <f t="shared" si="78"/>
        <v>0.55914419256369263</v>
      </c>
      <c r="S239" s="809">
        <f t="shared" si="79"/>
        <v>0</v>
      </c>
      <c r="T239" s="176">
        <f t="shared" si="80"/>
        <v>6</v>
      </c>
      <c r="U239" s="251">
        <f t="shared" si="81"/>
        <v>0.55914419256369263</v>
      </c>
      <c r="V239" s="383">
        <f t="shared" si="82"/>
        <v>45.175883071175384</v>
      </c>
      <c r="W239" s="402"/>
      <c r="X239" s="157">
        <f t="shared" si="83"/>
        <v>44786</v>
      </c>
      <c r="Y239" s="385">
        <f t="shared" si="84"/>
        <v>28.793435397844533</v>
      </c>
      <c r="Z239" s="385">
        <f t="shared" si="85"/>
        <v>30.463102648832908</v>
      </c>
      <c r="AA239" s="386">
        <f t="shared" si="86"/>
        <v>36.141398171973265</v>
      </c>
      <c r="AB239" s="197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0.15711333291869514</v>
      </c>
      <c r="AD239" s="231">
        <f>(INDEX(Models!$BJ239:$BT239,,AH239)*(1-AF239)+INDEX(Models!$BJ239:$BT239,,AH239+1)*AF239-ERP_i)*AE239*Ramure*Pc/MaxiM</f>
        <v>8.3901741379947235E-3</v>
      </c>
      <c r="AE239" s="305">
        <f t="shared" si="88"/>
        <v>0.8</v>
      </c>
      <c r="AF239" s="177">
        <f t="shared" si="89"/>
        <v>0.75986093972859603</v>
      </c>
      <c r="AG239" s="809">
        <f t="shared" si="95"/>
        <v>1</v>
      </c>
      <c r="AH239" s="176">
        <f t="shared" si="90"/>
        <v>7</v>
      </c>
      <c r="AI239" s="225">
        <f t="shared" si="91"/>
        <v>1.759860939728596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44787</v>
      </c>
      <c r="B240" s="616">
        <v>27.55</v>
      </c>
      <c r="C240" s="839"/>
      <c r="D240" s="393">
        <f t="shared" si="74"/>
        <v>29.148256672062921</v>
      </c>
      <c r="E240" s="385">
        <f t="shared" si="96"/>
        <v>32.823599371642651</v>
      </c>
      <c r="F240" s="385">
        <f t="shared" si="75"/>
        <v>32.84840640561152</v>
      </c>
      <c r="G240" s="110">
        <f t="shared" si="97"/>
        <v>0.61210853192444203</v>
      </c>
      <c r="H240" s="414" t="b">
        <f>Wh_hp&gt;='2021'!Maxi_hp</f>
        <v>0</v>
      </c>
      <c r="I240" s="380">
        <f>IF(H240,Wh_hp,'2021'!Maxi_hp)</f>
        <v>53.688303667232056</v>
      </c>
      <c r="J240" s="85">
        <f>IF(H240,An,'2021'!An_max)</f>
        <v>2019</v>
      </c>
      <c r="K240" s="197">
        <f t="shared" si="76"/>
        <v>44787</v>
      </c>
      <c r="L240" s="147">
        <f>IF(t&lt;Tvie,1-EXP((T0-t)*PertePVj)+'2021'!Pspv,1-EXP((T0-t)*PertePVj)+Pspv)</f>
        <v>5.4831981550195669E-2</v>
      </c>
      <c r="M240" s="843"/>
      <c r="N240" s="843"/>
      <c r="O240" s="48">
        <f>IF(t&lt;Tnet,'2021'!Resal+('2021'!Salim-'2021'!Resal)*(1-EXP(('2021'!Tnet-t)/('2021'!Tau_j))),Resal+(Salim-Resal)*(1-EXP((Tnet-t)/(Tau_j))))*Salcycl</f>
        <v>0.11197256760192408</v>
      </c>
      <c r="P240" s="339">
        <f>(INDEX(Models!$BJ240:$BT240,,T240)*(1-R240)+INDEX(Models!$BJ240:$BT240,,T240+1)*R240-ERP_i)*Q240*Ramure*Pc/MaxiM</f>
        <v>1.6906571668016802E-3</v>
      </c>
      <c r="Q240" s="305">
        <f t="shared" si="77"/>
        <v>0.8</v>
      </c>
      <c r="R240" s="177">
        <f t="shared" si="78"/>
        <v>0.56066572843683127</v>
      </c>
      <c r="S240" s="809">
        <f t="shared" si="79"/>
        <v>0</v>
      </c>
      <c r="T240" s="176">
        <f t="shared" si="80"/>
        <v>6</v>
      </c>
      <c r="U240" s="251">
        <f t="shared" si="81"/>
        <v>0.56066572843683127</v>
      </c>
      <c r="V240" s="383">
        <f t="shared" si="82"/>
        <v>44.966222773748662</v>
      </c>
      <c r="W240" s="402"/>
      <c r="X240" s="157">
        <f t="shared" si="83"/>
        <v>44787</v>
      </c>
      <c r="Y240" s="385">
        <f t="shared" si="84"/>
        <v>26.066988109070277</v>
      </c>
      <c r="Z240" s="385">
        <f t="shared" si="85"/>
        <v>27.579210891861798</v>
      </c>
      <c r="AA240" s="386">
        <f t="shared" si="86"/>
        <v>32.721310857509287</v>
      </c>
      <c r="AB240" s="197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0.15714834861108312</v>
      </c>
      <c r="AD240" s="231">
        <f>(INDEX(Models!$BJ240:$BT240,,AH240)*(1-AF240)+INDEX(Models!$BJ240:$BT240,,AH240+1)*AF240-ERP_i)*AE240*Ramure*Pc/MaxiM</f>
        <v>8.6618577431412814E-3</v>
      </c>
      <c r="AE240" s="305">
        <f t="shared" si="88"/>
        <v>0.8</v>
      </c>
      <c r="AF240" s="177">
        <f t="shared" si="89"/>
        <v>0.76138247560173467</v>
      </c>
      <c r="AG240" s="809">
        <f t="shared" si="95"/>
        <v>1</v>
      </c>
      <c r="AH240" s="176">
        <f t="shared" si="90"/>
        <v>7</v>
      </c>
      <c r="AI240" s="225">
        <f t="shared" si="91"/>
        <v>1.7613824756017347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44788</v>
      </c>
      <c r="B241" s="616">
        <v>33.591000000000001</v>
      </c>
      <c r="C241" s="839"/>
      <c r="D241" s="393">
        <f t="shared" si="74"/>
        <v>35.54055843523922</v>
      </c>
      <c r="E241" s="385">
        <f t="shared" si="96"/>
        <v>40.027544271000686</v>
      </c>
      <c r="F241" s="385">
        <f t="shared" si="75"/>
        <v>40.07174293836816</v>
      </c>
      <c r="G241" s="110">
        <f t="shared" si="97"/>
        <v>0.75013981080964121</v>
      </c>
      <c r="H241" s="414" t="b">
        <f>Wh_hp&gt;='2021'!Maxi_hp</f>
        <v>0</v>
      </c>
      <c r="I241" s="380">
        <f>IF(H241,Wh_hp,'2021'!Maxi_hp)</f>
        <v>46.59214980096219</v>
      </c>
      <c r="J241" s="85">
        <f>IF(H241,An,'2021'!An_max)</f>
        <v>2020</v>
      </c>
      <c r="K241" s="197">
        <f t="shared" si="76"/>
        <v>44788</v>
      </c>
      <c r="L241" s="147">
        <f>IF(t&lt;Tvie,1-EXP((T0-t)*PertePVj)+'2021'!Pspv,1-EXP((T0-t)*PertePVj)+Pspv)</f>
        <v>5.4854468277183571E-2</v>
      </c>
      <c r="M241" s="843"/>
      <c r="N241" s="843"/>
      <c r="O241" s="48">
        <f>IF(t&lt;Tnet,'2021'!Resal+('2021'!Salim-'2021'!Resal)*(1-EXP(('2021'!Tnet-t)/('2021'!Tau_j))),Resal+(Salim-Resal)*(1-EXP((Tnet-t)/(Tau_j))))*Salcycl</f>
        <v>0.11209745482718042</v>
      </c>
      <c r="P241" s="339">
        <f>(INDEX(Models!$BJ241:$BT241,,T241)*(1-R241)+INDEX(Models!$BJ241:$BT241,,T241+1)*R241-ERP_i)*Q241*Ramure*Pc/MaxiM</f>
        <v>1.7134805984282803E-3</v>
      </c>
      <c r="Q241" s="305">
        <f t="shared" si="77"/>
        <v>0.8</v>
      </c>
      <c r="R241" s="177">
        <f t="shared" si="78"/>
        <v>0.56213378986447959</v>
      </c>
      <c r="S241" s="809">
        <f t="shared" si="79"/>
        <v>0</v>
      </c>
      <c r="T241" s="176">
        <f t="shared" si="80"/>
        <v>6</v>
      </c>
      <c r="U241" s="251">
        <f t="shared" si="81"/>
        <v>0.56213378986447959</v>
      </c>
      <c r="V241" s="383">
        <f t="shared" si="82"/>
        <v>44.752284612255181</v>
      </c>
      <c r="W241" s="402"/>
      <c r="X241" s="157">
        <f t="shared" si="83"/>
        <v>44788</v>
      </c>
      <c r="Y241" s="385">
        <f t="shared" si="84"/>
        <v>31.736230677599963</v>
      </c>
      <c r="Z241" s="385">
        <f t="shared" si="85"/>
        <v>33.578141791297462</v>
      </c>
      <c r="AA241" s="386">
        <f t="shared" si="86"/>
        <v>39.840365677282406</v>
      </c>
      <c r="AB241" s="197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0.15718289176135156</v>
      </c>
      <c r="AD241" s="231">
        <f>(INDEX(Models!$BJ241:$BT241,,AH241)*(1-AF241)+INDEX(Models!$BJ241:$BT241,,AH241+1)*AF241-ERP_i)*AE241*Ramure*Pc/MaxiM</f>
        <v>8.9699638337896459E-3</v>
      </c>
      <c r="AE241" s="305">
        <f t="shared" si="88"/>
        <v>0.8</v>
      </c>
      <c r="AF241" s="177">
        <f t="shared" si="89"/>
        <v>0.76285053702938299</v>
      </c>
      <c r="AG241" s="809">
        <f t="shared" si="95"/>
        <v>1</v>
      </c>
      <c r="AH241" s="176">
        <f t="shared" si="90"/>
        <v>7</v>
      </c>
      <c r="AI241" s="225">
        <f t="shared" si="91"/>
        <v>1.762850537029383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44789</v>
      </c>
      <c r="B242" s="616">
        <v>30.433</v>
      </c>
      <c r="C242" s="839"/>
      <c r="D242" s="393">
        <f t="shared" si="74"/>
        <v>32.200040136873469</v>
      </c>
      <c r="E242" s="385">
        <f t="shared" si="96"/>
        <v>36.270365519585674</v>
      </c>
      <c r="F242" s="385">
        <f t="shared" si="75"/>
        <v>36.305156638634472</v>
      </c>
      <c r="G242" s="110">
        <f t="shared" si="97"/>
        <v>0.6828245277303655</v>
      </c>
      <c r="H242" s="414" t="b">
        <f>Wh_hp&gt;='2021'!Maxi_hp</f>
        <v>0</v>
      </c>
      <c r="I242" s="380">
        <f>IF(H242,Wh_hp,'2021'!Maxi_hp)</f>
        <v>52.312778726424021</v>
      </c>
      <c r="J242" s="85">
        <f>IF(H242,An,'2021'!An_max)</f>
        <v>2019</v>
      </c>
      <c r="K242" s="197">
        <f t="shared" si="76"/>
        <v>44789</v>
      </c>
      <c r="L242" s="147">
        <f>IF(t&lt;Tvie,1-EXP((T0-t)*PertePVj)+'2021'!Pspv,1-EXP((T0-t)*PertePVj)+Pspv)</f>
        <v>5.4876954480872403E-2</v>
      </c>
      <c r="M242" s="843"/>
      <c r="N242" s="843"/>
      <c r="O242" s="48">
        <f>IF(t&lt;Tnet,'2021'!Resal+('2021'!Salim-'2021'!Resal)*(1-EXP(('2021'!Tnet-t)/('2021'!Tau_j))),Resal+(Salim-Resal)*(1-EXP((Tnet-t)/(Tau_j))))*Salcycl</f>
        <v>0.11222179110696488</v>
      </c>
      <c r="P242" s="339">
        <f>(INDEX(Models!$BJ242:$BT242,,T242)*(1-R242)+INDEX(Models!$BJ242:$BT242,,T242+1)*R242-ERP_i)*Q242*Ramure*Pc/MaxiM</f>
        <v>1.7497847113376716E-3</v>
      </c>
      <c r="Q242" s="305">
        <f t="shared" si="77"/>
        <v>0.8</v>
      </c>
      <c r="R242" s="177">
        <f t="shared" si="78"/>
        <v>0.56354997181810207</v>
      </c>
      <c r="S242" s="809">
        <f t="shared" si="79"/>
        <v>0</v>
      </c>
      <c r="T242" s="176">
        <f t="shared" si="80"/>
        <v>6</v>
      </c>
      <c r="U242" s="251">
        <f t="shared" si="81"/>
        <v>0.56354997181810207</v>
      </c>
      <c r="V242" s="383">
        <f t="shared" si="82"/>
        <v>44.533973680662072</v>
      </c>
      <c r="W242" s="402"/>
      <c r="X242" s="157">
        <f t="shared" si="83"/>
        <v>44789</v>
      </c>
      <c r="Y242" s="385">
        <f t="shared" si="84"/>
        <v>28.770752510791294</v>
      </c>
      <c r="Z242" s="385">
        <f t="shared" si="85"/>
        <v>30.441277087882654</v>
      </c>
      <c r="AA242" s="386">
        <f t="shared" si="86"/>
        <v>36.119944620952324</v>
      </c>
      <c r="AB242" s="197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0.15721695015489062</v>
      </c>
      <c r="AD242" s="231">
        <f>(INDEX(Models!$BJ242:$BT242,,AH242)*(1-AF242)+INDEX(Models!$BJ242:$BT242,,AH242+1)*AF242-ERP_i)*AE242*Ramure*Pc/MaxiM</f>
        <v>9.3150541217631461E-3</v>
      </c>
      <c r="AE242" s="305">
        <f t="shared" si="88"/>
        <v>0.8</v>
      </c>
      <c r="AF242" s="177">
        <f t="shared" si="89"/>
        <v>0.76426671898300547</v>
      </c>
      <c r="AG242" s="809">
        <f t="shared" si="95"/>
        <v>1</v>
      </c>
      <c r="AH242" s="176">
        <f t="shared" si="90"/>
        <v>7</v>
      </c>
      <c r="AI242" s="225">
        <f t="shared" si="91"/>
        <v>1.7642667189830055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44790</v>
      </c>
      <c r="B243" s="616">
        <v>24.283999999999999</v>
      </c>
      <c r="C243" s="839"/>
      <c r="D243" s="393">
        <f t="shared" si="74"/>
        <v>25.694620267862167</v>
      </c>
      <c r="E243" s="385">
        <f t="shared" si="96"/>
        <v>28.946647808513447</v>
      </c>
      <c r="F243" s="385">
        <f t="shared" si="75"/>
        <v>28.965120239424692</v>
      </c>
      <c r="G243" s="110">
        <f t="shared" si="97"/>
        <v>0.54739577887585966</v>
      </c>
      <c r="H243" s="414" t="b">
        <f>Wh_hp&gt;='2021'!Maxi_hp</f>
        <v>0</v>
      </c>
      <c r="I243" s="380">
        <f>IF(H243,Wh_hp,'2021'!Maxi_hp)</f>
        <v>51.695304108145685</v>
      </c>
      <c r="J243" s="85">
        <f>IF(H243,An,'2021'!An_max)</f>
        <v>2019</v>
      </c>
      <c r="K243" s="197">
        <f t="shared" si="76"/>
        <v>44790</v>
      </c>
      <c r="L243" s="147">
        <f>IF(t&lt;Tvie,1-EXP((T0-t)*PertePVj)+'2021'!Pspv,1-EXP((T0-t)*PertePVj)+Pspv)</f>
        <v>5.4899440161274488E-2</v>
      </c>
      <c r="M243" s="843"/>
      <c r="N243" s="843"/>
      <c r="O243" s="48">
        <f>IF(t&lt;Tnet,'2021'!Resal+('2021'!Salim-'2021'!Resal)*(1-EXP(('2021'!Tnet-t)/('2021'!Tau_j))),Resal+(Salim-Resal)*(1-EXP((Tnet-t)/(Tau_j))))*Salcycl</f>
        <v>0.11234556630404828</v>
      </c>
      <c r="P243" s="339">
        <f>(INDEX(Models!$BJ243:$BT243,,T243)*(1-R243)+INDEX(Models!$BJ243:$BT243,,T243+1)*R243-ERP_i)*Q243*Ramure*Pc/MaxiM</f>
        <v>1.7998536275593922E-3</v>
      </c>
      <c r="Q243" s="305">
        <f t="shared" si="77"/>
        <v>0.8</v>
      </c>
      <c r="R243" s="177">
        <f t="shared" si="78"/>
        <v>0.56491584305992526</v>
      </c>
      <c r="S243" s="809">
        <f t="shared" si="79"/>
        <v>0</v>
      </c>
      <c r="T243" s="176">
        <f t="shared" si="80"/>
        <v>6</v>
      </c>
      <c r="U243" s="251">
        <f t="shared" si="81"/>
        <v>0.56491584305992526</v>
      </c>
      <c r="V243" s="383">
        <f t="shared" si="82"/>
        <v>44.311195555344796</v>
      </c>
      <c r="W243" s="402"/>
      <c r="X243" s="157">
        <f t="shared" si="83"/>
        <v>44790</v>
      </c>
      <c r="Y243" s="385">
        <f t="shared" si="84"/>
        <v>22.990951910620737</v>
      </c>
      <c r="Z243" s="385">
        <f t="shared" si="85"/>
        <v>24.326461000662167</v>
      </c>
      <c r="AA243" s="386">
        <f t="shared" si="86"/>
        <v>28.865589706149834</v>
      </c>
      <c r="AB243" s="197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0.157250510095091</v>
      </c>
      <c r="AD243" s="231">
        <f>(INDEX(Models!$BJ243:$BT243,,AH243)*(1-AF243)+INDEX(Models!$BJ243:$BT243,,AH243+1)*AF243-ERP_i)*AE243*Ramure*Pc/MaxiM</f>
        <v>9.6977161386284025E-3</v>
      </c>
      <c r="AE243" s="305">
        <f t="shared" si="88"/>
        <v>0.8</v>
      </c>
      <c r="AF243" s="177">
        <f t="shared" si="89"/>
        <v>0.76563259022482866</v>
      </c>
      <c r="AG243" s="809">
        <f t="shared" si="95"/>
        <v>1</v>
      </c>
      <c r="AH243" s="176">
        <f t="shared" si="90"/>
        <v>7</v>
      </c>
      <c r="AI243" s="225">
        <f t="shared" si="91"/>
        <v>1.7656325902248287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44791</v>
      </c>
      <c r="B244" s="616">
        <v>32.76</v>
      </c>
      <c r="C244" s="839"/>
      <c r="D244" s="393">
        <f t="shared" si="74"/>
        <v>34.663802787972848</v>
      </c>
      <c r="E244" s="385">
        <f t="shared" si="96"/>
        <v>39.056431580668168</v>
      </c>
      <c r="F244" s="385">
        <f t="shared" si="75"/>
        <v>39.102571622553164</v>
      </c>
      <c r="G244" s="110">
        <f t="shared" si="97"/>
        <v>0.7426202788514249</v>
      </c>
      <c r="H244" s="414" t="b">
        <f>Wh_hp&gt;='2021'!Maxi_hp</f>
        <v>0</v>
      </c>
      <c r="I244" s="380">
        <f>IF(H244,Wh_hp,'2021'!Maxi_hp)</f>
        <v>51.933307624444232</v>
      </c>
      <c r="J244" s="85">
        <f>IF(H244,An,'2021'!An_max)</f>
        <v>2021</v>
      </c>
      <c r="K244" s="197">
        <f t="shared" si="76"/>
        <v>44791</v>
      </c>
      <c r="L244" s="147">
        <f>IF(t&lt;Tvie,1-EXP((T0-t)*PertePVj)+'2021'!Pspv,1-EXP((T0-t)*PertePVj)+Pspv)</f>
        <v>5.4921925318401815E-2</v>
      </c>
      <c r="M244" s="843"/>
      <c r="N244" s="843"/>
      <c r="O244" s="48">
        <f>IF(t&lt;Tnet,'2021'!Resal+('2021'!Salim-'2021'!Resal)*(1-EXP(('2021'!Tnet-t)/('2021'!Tau_j))),Resal+(Salim-Resal)*(1-EXP((Tnet-t)/(Tau_j))))*Salcycl</f>
        <v>0.11246876928893705</v>
      </c>
      <c r="P244" s="339">
        <f>(INDEX(Models!$BJ244:$BT244,,T244)*(1-R244)+INDEX(Models!$BJ244:$BT244,,T244+1)*R244-ERP_i)*Q244*Ramure*Pc/MaxiM</f>
        <v>1.8639761631484538E-3</v>
      </c>
      <c r="Q244" s="305">
        <f t="shared" si="77"/>
        <v>0.8</v>
      </c>
      <c r="R244" s="177">
        <f t="shared" si="78"/>
        <v>0.56623294482570152</v>
      </c>
      <c r="S244" s="809">
        <f t="shared" si="79"/>
        <v>0</v>
      </c>
      <c r="T244" s="176">
        <f t="shared" si="80"/>
        <v>6</v>
      </c>
      <c r="U244" s="251">
        <f t="shared" si="81"/>
        <v>0.56623294482570152</v>
      </c>
      <c r="V244" s="383">
        <f t="shared" si="82"/>
        <v>44.083856271644912</v>
      </c>
      <c r="W244" s="402"/>
      <c r="X244" s="157">
        <f t="shared" si="83"/>
        <v>44791</v>
      </c>
      <c r="Y244" s="385">
        <f t="shared" si="84"/>
        <v>30.943089013576902</v>
      </c>
      <c r="Z244" s="385">
        <f t="shared" si="85"/>
        <v>32.741304493813161</v>
      </c>
      <c r="AA244" s="386">
        <f t="shared" si="86"/>
        <v>38.85210114031814</v>
      </c>
      <c r="AB244" s="197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0.15728355654267562</v>
      </c>
      <c r="AD244" s="231">
        <f>(INDEX(Models!$BJ244:$BT244,,AH244)*(1-AF244)+INDEX(Models!$BJ244:$BT244,,AH244+1)*AF244-ERP_i)*AE244*Ramure*Pc/MaxiM</f>
        <v>1.0118564903388812E-2</v>
      </c>
      <c r="AE244" s="305">
        <f t="shared" si="88"/>
        <v>0.8</v>
      </c>
      <c r="AF244" s="177">
        <f t="shared" si="89"/>
        <v>0.76694969199060492</v>
      </c>
      <c r="AG244" s="809">
        <f t="shared" si="95"/>
        <v>1</v>
      </c>
      <c r="AH244" s="176">
        <f t="shared" si="90"/>
        <v>7</v>
      </c>
      <c r="AI244" s="225">
        <f t="shared" si="91"/>
        <v>1.7669496919906049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44792</v>
      </c>
      <c r="B245" s="616">
        <v>34.002000000000002</v>
      </c>
      <c r="C245" s="839"/>
      <c r="D245" s="393">
        <f t="shared" si="74"/>
        <v>35.978835909835333</v>
      </c>
      <c r="E245" s="385">
        <f t="shared" si="96"/>
        <v>40.543708303440894</v>
      </c>
      <c r="F245" s="385">
        <f t="shared" si="75"/>
        <v>40.597262277519789</v>
      </c>
      <c r="G245" s="110">
        <f t="shared" si="97"/>
        <v>0.77489933051684723</v>
      </c>
      <c r="H245" s="414" t="b">
        <f>Wh_hp&gt;='2021'!Maxi_hp</f>
        <v>0</v>
      </c>
      <c r="I245" s="380">
        <f>IF(H245,Wh_hp,'2021'!Maxi_hp)</f>
        <v>43.525494254603814</v>
      </c>
      <c r="J245" s="85">
        <f>IF(H245,An,'2021'!An_max)</f>
        <v>2021</v>
      </c>
      <c r="K245" s="197">
        <f t="shared" si="76"/>
        <v>44792</v>
      </c>
      <c r="L245" s="147">
        <f>IF(t&lt;Tvie,1-EXP((T0-t)*PertePVj)+'2021'!Pspv,1-EXP((T0-t)*PertePVj)+Pspv)</f>
        <v>5.4944409952266821E-2</v>
      </c>
      <c r="M245" s="843"/>
      <c r="N245" s="843"/>
      <c r="O245" s="48">
        <f>IF(t&lt;Tnet,'2021'!Resal+('2021'!Salim-'2021'!Resal)*(1-EXP(('2021'!Tnet-t)/('2021'!Tau_j))),Resal+(Salim-Resal)*(1-EXP((Tnet-t)/(Tau_j))))*Salcycl</f>
        <v>0.11259138802599732</v>
      </c>
      <c r="P245" s="339">
        <f>(INDEX(Models!$BJ245:$BT245,,T245)*(1-R245)+INDEX(Models!$BJ245:$BT245,,T245+1)*R245-ERP_i)*Q245*Ramure*Pc/MaxiM</f>
        <v>1.9424467022680022E-3</v>
      </c>
      <c r="Q245" s="305">
        <f t="shared" si="77"/>
        <v>0.8</v>
      </c>
      <c r="R245" s="177">
        <f t="shared" si="78"/>
        <v>0.56750278968502876</v>
      </c>
      <c r="S245" s="809">
        <f t="shared" si="79"/>
        <v>0</v>
      </c>
      <c r="T245" s="176">
        <f t="shared" si="80"/>
        <v>6</v>
      </c>
      <c r="U245" s="251">
        <f t="shared" si="81"/>
        <v>0.56750278968502876</v>
      </c>
      <c r="V245" s="383">
        <f t="shared" si="82"/>
        <v>43.851862317171495</v>
      </c>
      <c r="W245" s="402"/>
      <c r="X245" s="157">
        <f t="shared" si="83"/>
        <v>44792</v>
      </c>
      <c r="Y245" s="385">
        <f t="shared" si="84"/>
        <v>32.098713786464636</v>
      </c>
      <c r="Z245" s="385">
        <f t="shared" si="85"/>
        <v>33.964894895593794</v>
      </c>
      <c r="AA245" s="386">
        <f t="shared" si="86"/>
        <v>40.305616159372619</v>
      </c>
      <c r="AB245" s="197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0.15731607324167801</v>
      </c>
      <c r="AD245" s="231">
        <f>(INDEX(Models!$BJ245:$BT245,,AH245)*(1-AF245)+INDEX(Models!$BJ245:$BT245,,AH245+1)*AF245-ERP_i)*AE245*Ramure*Pc/MaxiM</f>
        <v>1.0578244661910891E-2</v>
      </c>
      <c r="AE245" s="305">
        <f t="shared" si="88"/>
        <v>0.8</v>
      </c>
      <c r="AF245" s="177">
        <f t="shared" si="89"/>
        <v>0.76821953684993227</v>
      </c>
      <c r="AG245" s="809">
        <f t="shared" si="95"/>
        <v>1</v>
      </c>
      <c r="AH245" s="176">
        <f t="shared" si="90"/>
        <v>7</v>
      </c>
      <c r="AI245" s="225">
        <f t="shared" si="91"/>
        <v>1.7682195368499323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44793</v>
      </c>
      <c r="B246" s="616">
        <v>41.003</v>
      </c>
      <c r="C246" s="839"/>
      <c r="D246" s="393">
        <f t="shared" si="74"/>
        <v>43.387897992568625</v>
      </c>
      <c r="E246" s="385">
        <f t="shared" si="96"/>
        <v>48.899530844296329</v>
      </c>
      <c r="F246" s="385">
        <f t="shared" si="75"/>
        <v>48.990722574028382</v>
      </c>
      <c r="G246" s="110">
        <f t="shared" si="97"/>
        <v>0.93994571407816674</v>
      </c>
      <c r="H246" s="414" t="b">
        <f>Wh_hp&gt;='2021'!Maxi_hp</f>
        <v>1</v>
      </c>
      <c r="I246" s="380">
        <f>IF(H246,Wh_hp,'2021'!Maxi_hp)</f>
        <v>48.990722574028382</v>
      </c>
      <c r="J246" s="85">
        <f>IF(H246,An,'2021'!An_max)</f>
        <v>2022</v>
      </c>
      <c r="K246" s="197">
        <f t="shared" si="76"/>
        <v>44793</v>
      </c>
      <c r="L246" s="147">
        <f>IF(t&lt;Tvie,1-EXP((T0-t)*PertePVj)+'2021'!Pspv,1-EXP((T0-t)*PertePVj)+Pspv)</f>
        <v>5.4966894062881494E-2</v>
      </c>
      <c r="M246" s="843"/>
      <c r="N246" s="843"/>
      <c r="O246" s="48">
        <f>IF(t&lt;Tnet,'2021'!Resal+('2021'!Salim-'2021'!Resal)*(1-EXP(('2021'!Tnet-t)/('2021'!Tau_j))),Resal+(Salim-Resal)*(1-EXP((Tnet-t)/(Tau_j))))*Salcycl</f>
        <v>0.11271340964962616</v>
      </c>
      <c r="P246" s="339">
        <f>(INDEX(Models!$BJ246:$BT246,,T246)*(1-R246)+INDEX(Models!$BJ246:$BT246,,T246+1)*R246-ERP_i)*Q246*Ramure*Pc/MaxiM</f>
        <v>2.035566093728786E-3</v>
      </c>
      <c r="Q246" s="305">
        <f t="shared" si="77"/>
        <v>0.8</v>
      </c>
      <c r="R246" s="177">
        <f t="shared" si="78"/>
        <v>0.56872686056817112</v>
      </c>
      <c r="S246" s="809">
        <f t="shared" si="79"/>
        <v>0</v>
      </c>
      <c r="T246" s="176">
        <f t="shared" si="80"/>
        <v>6</v>
      </c>
      <c r="U246" s="251">
        <f t="shared" si="81"/>
        <v>0.56872686056817112</v>
      </c>
      <c r="V246" s="383">
        <f t="shared" si="82"/>
        <v>43.615120607772887</v>
      </c>
      <c r="W246" s="402"/>
      <c r="X246" s="157">
        <f t="shared" si="83"/>
        <v>44793</v>
      </c>
      <c r="Y246" s="385">
        <f t="shared" si="84"/>
        <v>38.61778916538114</v>
      </c>
      <c r="Z246" s="385">
        <f t="shared" si="85"/>
        <v>40.863953784017724</v>
      </c>
      <c r="AA246" s="386">
        <f t="shared" si="86"/>
        <v>48.494462555212898</v>
      </c>
      <c r="AB246" s="197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0.15734804283081877</v>
      </c>
      <c r="AD246" s="231">
        <f>(INDEX(Models!$BJ246:$BT246,,AH246)*(1-AF246)+INDEX(Models!$BJ246:$BT246,,AH246+1)*AF246-ERP_i)*AE246*Ramure*Pc/MaxiM</f>
        <v>1.1077430715944971E-2</v>
      </c>
      <c r="AE246" s="305">
        <f t="shared" si="88"/>
        <v>0.8</v>
      </c>
      <c r="AF246" s="177">
        <f t="shared" si="89"/>
        <v>0.76944360773307441</v>
      </c>
      <c r="AG246" s="809">
        <f t="shared" si="95"/>
        <v>1</v>
      </c>
      <c r="AH246" s="176">
        <f t="shared" si="90"/>
        <v>7</v>
      </c>
      <c r="AI246" s="225">
        <f t="shared" si="91"/>
        <v>1.7694436077330744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44794</v>
      </c>
      <c r="B247" s="616">
        <v>26.375</v>
      </c>
      <c r="C247" s="839"/>
      <c r="D247" s="393">
        <f t="shared" si="74"/>
        <v>27.90973918834829</v>
      </c>
      <c r="E247" s="385">
        <f t="shared" si="96"/>
        <v>31.459461929076266</v>
      </c>
      <c r="F247" s="385">
        <f t="shared" si="75"/>
        <v>31.489170361400166</v>
      </c>
      <c r="G247" s="110">
        <f t="shared" si="97"/>
        <v>0.60735306696448055</v>
      </c>
      <c r="H247" s="414" t="b">
        <f>Wh_hp&gt;='2021'!Maxi_hp</f>
        <v>0</v>
      </c>
      <c r="I247" s="380">
        <f>IF(H247,Wh_hp,'2021'!Maxi_hp)</f>
        <v>48.833127388179392</v>
      </c>
      <c r="J247" s="85">
        <f>IF(H247,An,'2021'!An_max)</f>
        <v>2019</v>
      </c>
      <c r="K247" s="197">
        <f t="shared" si="76"/>
        <v>44794</v>
      </c>
      <c r="L247" s="147">
        <f>IF(t&lt;Tvie,1-EXP((T0-t)*PertePVj)+'2021'!Pspv,1-EXP((T0-t)*PertePVj)+Pspv)</f>
        <v>5.4989377650258048E-2</v>
      </c>
      <c r="M247" s="843"/>
      <c r="N247" s="843"/>
      <c r="O247" s="48">
        <f>IF(t&lt;Tnet,'2021'!Resal+('2021'!Salim-'2021'!Resal)*(1-EXP(('2021'!Tnet-t)/('2021'!Tau_j))),Resal+(Salim-Resal)*(1-EXP((Tnet-t)/(Tau_j))))*Salcycl</f>
        <v>0.11283482052969128</v>
      </c>
      <c r="P247" s="339">
        <f>(INDEX(Models!$BJ247:$BT247,,T247)*(1-R247)+INDEX(Models!$BJ247:$BT247,,T247+1)*R247-ERP_i)*Q247*Ramure*Pc/MaxiM</f>
        <v>2.1436211398910966E-3</v>
      </c>
      <c r="Q247" s="305">
        <f t="shared" si="77"/>
        <v>0.8</v>
      </c>
      <c r="R247" s="177">
        <f t="shared" si="78"/>
        <v>0.56990660994856812</v>
      </c>
      <c r="S247" s="809">
        <f t="shared" si="79"/>
        <v>0</v>
      </c>
      <c r="T247" s="176">
        <f t="shared" si="80"/>
        <v>6</v>
      </c>
      <c r="U247" s="251">
        <f t="shared" si="81"/>
        <v>0.56990660994856812</v>
      </c>
      <c r="V247" s="383">
        <f t="shared" si="82"/>
        <v>43.37397307282977</v>
      </c>
      <c r="W247" s="402"/>
      <c r="X247" s="157">
        <f t="shared" si="83"/>
        <v>44794</v>
      </c>
      <c r="Y247" s="385">
        <f t="shared" si="84"/>
        <v>24.946167026491118</v>
      </c>
      <c r="Z247" s="385">
        <f t="shared" si="85"/>
        <v>26.397763619273594</v>
      </c>
      <c r="AA247" s="386">
        <f t="shared" si="86"/>
        <v>31.328174376220883</v>
      </c>
      <c r="AB247" s="197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0.15737944693929026</v>
      </c>
      <c r="AD247" s="231">
        <f>(INDEX(Models!$BJ247:$BT247,,AH247)*(1-AF247)+INDEX(Models!$BJ247:$BT247,,AH247+1)*AF247-ERP_i)*AE247*Ramure*Pc/MaxiM</f>
        <v>1.1616715197396663E-2</v>
      </c>
      <c r="AE247" s="305">
        <f t="shared" si="88"/>
        <v>0.8</v>
      </c>
      <c r="AF247" s="177">
        <f t="shared" si="89"/>
        <v>0.77062335711347152</v>
      </c>
      <c r="AG247" s="809">
        <f t="shared" si="95"/>
        <v>1</v>
      </c>
      <c r="AH247" s="176">
        <f t="shared" si="90"/>
        <v>7</v>
      </c>
      <c r="AI247" s="225">
        <f t="shared" si="91"/>
        <v>1.7706233571134715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44795</v>
      </c>
      <c r="B248" s="616">
        <v>23.17</v>
      </c>
      <c r="C248" s="839"/>
      <c r="D248" s="393">
        <f t="shared" si="74"/>
        <v>24.518826254810417</v>
      </c>
      <c r="E248" s="385">
        <f t="shared" si="96"/>
        <v>27.641036265668195</v>
      </c>
      <c r="F248" s="385">
        <f t="shared" si="75"/>
        <v>27.662304089148144</v>
      </c>
      <c r="G248" s="110">
        <f t="shared" si="97"/>
        <v>0.53642307835093062</v>
      </c>
      <c r="H248" s="414" t="b">
        <f>Wh_hp&gt;='2021'!Maxi_hp</f>
        <v>0</v>
      </c>
      <c r="I248" s="380">
        <f>IF(H248,Wh_hp,'2021'!Maxi_hp)</f>
        <v>52.442438256662555</v>
      </c>
      <c r="J248" s="85">
        <f>IF(H248,An,'2021'!An_max)</f>
        <v>2019</v>
      </c>
      <c r="K248" s="197">
        <f t="shared" si="76"/>
        <v>44795</v>
      </c>
      <c r="L248" s="147">
        <f>IF(t&lt;Tvie,1-EXP((T0-t)*PertePVj)+'2021'!Pspv,1-EXP((T0-t)*PertePVj)+Pspv)</f>
        <v>5.5011860714408695E-2</v>
      </c>
      <c r="M248" s="843"/>
      <c r="N248" s="843"/>
      <c r="O248" s="48">
        <f>IF(t&lt;Tnet,'2021'!Resal+('2021'!Salim-'2021'!Resal)*(1-EXP(('2021'!Tnet-t)/('2021'!Tau_j))),Resal+(Salim-Resal)*(1-EXP((Tnet-t)/(Tau_j))))*Salcycl</f>
        <v>0.11295560632564811</v>
      </c>
      <c r="P248" s="339">
        <f>(INDEX(Models!$BJ248:$BT248,,T248)*(1-R248)+INDEX(Models!$BJ248:$BT248,,T248+1)*R248-ERP_i)*Q248*Ramure*Pc/MaxiM</f>
        <v>2.2686325890450905E-3</v>
      </c>
      <c r="Q248" s="305">
        <f t="shared" si="77"/>
        <v>0.8</v>
      </c>
      <c r="R248" s="177">
        <f t="shared" si="78"/>
        <v>0.57104345917051025</v>
      </c>
      <c r="S248" s="809">
        <f t="shared" si="79"/>
        <v>0</v>
      </c>
      <c r="T248" s="176">
        <f t="shared" si="80"/>
        <v>6</v>
      </c>
      <c r="U248" s="251">
        <f t="shared" si="81"/>
        <v>0.57104345917051025</v>
      </c>
      <c r="V248" s="383">
        <f t="shared" si="82"/>
        <v>43.128686943732554</v>
      </c>
      <c r="W248" s="402"/>
      <c r="X248" s="157">
        <f t="shared" si="83"/>
        <v>44795</v>
      </c>
      <c r="Y248" s="385">
        <f t="shared" si="84"/>
        <v>21.934612277733265</v>
      </c>
      <c r="Z248" s="385">
        <f t="shared" si="85"/>
        <v>23.21152125180722</v>
      </c>
      <c r="AA248" s="386">
        <f t="shared" si="86"/>
        <v>27.547832975545358</v>
      </c>
      <c r="AB248" s="197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0.15741026626622681</v>
      </c>
      <c r="AD248" s="231">
        <f>(INDEX(Models!$BJ248:$BT248,,AH248)*(1-AF248)+INDEX(Models!$BJ248:$BT248,,AH248+1)*AF248-ERP_i)*AE248*Ramure*Pc/MaxiM</f>
        <v>1.2210600631906397E-2</v>
      </c>
      <c r="AE248" s="305">
        <f t="shared" si="88"/>
        <v>0.8</v>
      </c>
      <c r="AF248" s="177">
        <f t="shared" si="89"/>
        <v>0.77176020633541365</v>
      </c>
      <c r="AG248" s="809">
        <f t="shared" si="95"/>
        <v>1</v>
      </c>
      <c r="AH248" s="176">
        <f t="shared" si="90"/>
        <v>7</v>
      </c>
      <c r="AI248" s="225">
        <f t="shared" si="91"/>
        <v>1.7717602063354136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44796</v>
      </c>
      <c r="B249" s="616">
        <v>40.530999999999999</v>
      </c>
      <c r="C249" s="839"/>
      <c r="D249" s="393">
        <f t="shared" si="74"/>
        <v>42.891505856018803</v>
      </c>
      <c r="E249" s="385">
        <f t="shared" si="96"/>
        <v>48.359830001421201</v>
      </c>
      <c r="F249" s="385">
        <f t="shared" si="75"/>
        <v>48.467316807286991</v>
      </c>
      <c r="G249" s="110">
        <f t="shared" si="97"/>
        <v>0.94505446067541443</v>
      </c>
      <c r="H249" s="414" t="b">
        <f>Wh_hp&gt;='2021'!Maxi_hp</f>
        <v>0</v>
      </c>
      <c r="I249" s="380">
        <f>IF(H249,Wh_hp,'2021'!Maxi_hp)</f>
        <v>49.838510164075387</v>
      </c>
      <c r="J249" s="85">
        <f>IF(H249,An,'2021'!An_max)</f>
        <v>2019</v>
      </c>
      <c r="K249" s="197">
        <f t="shared" si="76"/>
        <v>44796</v>
      </c>
      <c r="L249" s="147">
        <f>IF(t&lt;Tvie,1-EXP((T0-t)*PertePVj)+'2021'!Pspv,1-EXP((T0-t)*PertePVj)+Pspv)</f>
        <v>5.5034343255345647E-2</v>
      </c>
      <c r="M249" s="843"/>
      <c r="N249" s="843"/>
      <c r="O249" s="48">
        <f>IF(t&lt;Tnet,'2021'!Resal+('2021'!Salim-'2021'!Resal)*(1-EXP(('2021'!Tnet-t)/('2021'!Tau_j))),Resal+(Salim-Resal)*(1-EXP((Tnet-t)/(Tau_j))))*Salcycl</f>
        <v>0.11307575202894005</v>
      </c>
      <c r="P249" s="339">
        <f>(INDEX(Models!$BJ249:$BT249,,T249)*(1-R249)+INDEX(Models!$BJ249:$BT249,,T249+1)*R249-ERP_i)*Q249*Ramure*Pc/MaxiM</f>
        <v>2.4059566212396156E-3</v>
      </c>
      <c r="Q249" s="305">
        <f t="shared" si="77"/>
        <v>0.8</v>
      </c>
      <c r="R249" s="177">
        <f t="shared" si="78"/>
        <v>0.5721387979117738</v>
      </c>
      <c r="S249" s="809">
        <f t="shared" si="79"/>
        <v>0</v>
      </c>
      <c r="T249" s="176">
        <f t="shared" si="80"/>
        <v>6</v>
      </c>
      <c r="U249" s="251">
        <f t="shared" si="81"/>
        <v>0.5721387979117738</v>
      </c>
      <c r="V249" s="383">
        <f t="shared" si="82"/>
        <v>42.87938441604966</v>
      </c>
      <c r="W249" s="402"/>
      <c r="X249" s="157">
        <f t="shared" si="83"/>
        <v>44796</v>
      </c>
      <c r="Y249" s="385">
        <f t="shared" si="84"/>
        <v>38.132178614879741</v>
      </c>
      <c r="Z249" s="385">
        <f t="shared" si="85"/>
        <v>40.352978272504245</v>
      </c>
      <c r="AA249" s="386">
        <f t="shared" si="86"/>
        <v>47.893326638003593</v>
      </c>
      <c r="AB249" s="197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0.15744048064341473</v>
      </c>
      <c r="AD249" s="231">
        <f>(INDEX(Models!$BJ249:$BT249,,AH249)*(1-AF249)+INDEX(Models!$BJ249:$BT249,,AH249+1)*AF249-ERP_i)*AE249*Ramure*Pc/MaxiM</f>
        <v>1.2848046206137793E-2</v>
      </c>
      <c r="AE249" s="305">
        <f t="shared" si="88"/>
        <v>0.8</v>
      </c>
      <c r="AF249" s="177">
        <f t="shared" si="89"/>
        <v>0.7728555450766772</v>
      </c>
      <c r="AG249" s="809">
        <f t="shared" si="95"/>
        <v>1</v>
      </c>
      <c r="AH249" s="176">
        <f t="shared" si="90"/>
        <v>7</v>
      </c>
      <c r="AI249" s="225">
        <f t="shared" si="91"/>
        <v>1.7728555450766772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44797</v>
      </c>
      <c r="B250" s="616">
        <v>37.533999999999999</v>
      </c>
      <c r="C250" s="839"/>
      <c r="D250" s="393">
        <f t="shared" si="74"/>
        <v>39.720907038507391</v>
      </c>
      <c r="E250" s="385">
        <f t="shared" si="96"/>
        <v>44.791039605829098</v>
      </c>
      <c r="F250" s="385">
        <f t="shared" si="75"/>
        <v>44.886184337326846</v>
      </c>
      <c r="G250" s="110">
        <f t="shared" si="97"/>
        <v>0.88015805174313022</v>
      </c>
      <c r="H250" s="414" t="b">
        <f>Wh_hp&gt;='2021'!Maxi_hp</f>
        <v>0</v>
      </c>
      <c r="I250" s="380">
        <f>IF(H250,Wh_hp,'2021'!Maxi_hp)</f>
        <v>49.324626465187585</v>
      </c>
      <c r="J250" s="85">
        <f>IF(H250,An,'2021'!An_max)</f>
        <v>2019</v>
      </c>
      <c r="K250" s="197">
        <f t="shared" si="76"/>
        <v>44797</v>
      </c>
      <c r="L250" s="147">
        <f>IF(t&lt;Tvie,1-EXP((T0-t)*PertePVj)+'2021'!Pspv,1-EXP((T0-t)*PertePVj)+Pspv)</f>
        <v>5.5056825273080895E-2</v>
      </c>
      <c r="M250" s="843"/>
      <c r="N250" s="843"/>
      <c r="O250" s="48">
        <f>IF(t&lt;Tnet,'2021'!Resal+('2021'!Salim-'2021'!Resal)*(1-EXP(('2021'!Tnet-t)/('2021'!Tau_j))),Resal+(Salim-Resal)*(1-EXP((Tnet-t)/(Tau_j))))*Salcycl</f>
        <v>0.11319524199348752</v>
      </c>
      <c r="P250" s="339">
        <f>(INDEX(Models!$BJ250:$BT250,,T250)*(1-R250)+INDEX(Models!$BJ250:$BT250,,T250+1)*R250-ERP_i)*Q250*Ramure*Pc/MaxiM</f>
        <v>2.555852323891284E-3</v>
      </c>
      <c r="Q250" s="305">
        <f t="shared" si="77"/>
        <v>0.8</v>
      </c>
      <c r="R250" s="177">
        <f t="shared" si="78"/>
        <v>0.57319398377137087</v>
      </c>
      <c r="S250" s="809">
        <f t="shared" si="79"/>
        <v>0</v>
      </c>
      <c r="T250" s="176">
        <f t="shared" si="80"/>
        <v>6</v>
      </c>
      <c r="U250" s="251">
        <f t="shared" si="81"/>
        <v>0.57319398377137087</v>
      </c>
      <c r="V250" s="383">
        <f t="shared" si="82"/>
        <v>42.625974028140305</v>
      </c>
      <c r="W250" s="402"/>
      <c r="X250" s="157">
        <f t="shared" si="83"/>
        <v>44797</v>
      </c>
      <c r="Y250" s="385">
        <f t="shared" si="84"/>
        <v>35.334826391126029</v>
      </c>
      <c r="Z250" s="385">
        <f t="shared" si="85"/>
        <v>37.393599251444414</v>
      </c>
      <c r="AA250" s="386">
        <f t="shared" si="86"/>
        <v>44.382517319782757</v>
      </c>
      <c r="AB250" s="197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0.1574700690810783</v>
      </c>
      <c r="AD250" s="231">
        <f>(INDEX(Models!$BJ250:$BT250,,AH250)*(1-AF250)+INDEX(Models!$BJ250:$BT250,,AH250+1)*AF250-ERP_i)*AE250*Ramure*Pc/MaxiM</f>
        <v>1.3529898051033372E-2</v>
      </c>
      <c r="AE250" s="305">
        <f t="shared" si="88"/>
        <v>0.8</v>
      </c>
      <c r="AF250" s="177">
        <f t="shared" si="89"/>
        <v>0.77391073093627427</v>
      </c>
      <c r="AG250" s="809">
        <f t="shared" si="95"/>
        <v>1</v>
      </c>
      <c r="AH250" s="176">
        <f t="shared" si="90"/>
        <v>7</v>
      </c>
      <c r="AI250" s="225">
        <f t="shared" si="91"/>
        <v>1.7739107309362743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44798</v>
      </c>
      <c r="B251" s="616">
        <v>27.341000000000001</v>
      </c>
      <c r="C251" s="839"/>
      <c r="D251" s="393">
        <f t="shared" si="74"/>
        <v>28.934703405078622</v>
      </c>
      <c r="E251" s="385">
        <f t="shared" si="96"/>
        <v>32.632414813734968</v>
      </c>
      <c r="F251" s="385">
        <f t="shared" si="75"/>
        <v>32.67623705250292</v>
      </c>
      <c r="G251" s="110">
        <f t="shared" si="97"/>
        <v>0.64442628177507644</v>
      </c>
      <c r="H251" s="414" t="b">
        <f>Wh_hp&gt;='2021'!Maxi_hp</f>
        <v>0</v>
      </c>
      <c r="I251" s="380">
        <f>IF(H251,Wh_hp,'2021'!Maxi_hp)</f>
        <v>46.238410109379274</v>
      </c>
      <c r="J251" s="85">
        <f>IF(H251,An,'2021'!An_max)</f>
        <v>2020</v>
      </c>
      <c r="K251" s="197">
        <f t="shared" si="76"/>
        <v>44798</v>
      </c>
      <c r="L251" s="147">
        <f>IF(t&lt;Tvie,1-EXP((T0-t)*PertePVj)+'2021'!Pspv,1-EXP((T0-t)*PertePVj)+Pspv)</f>
        <v>5.5079306767626873E-2</v>
      </c>
      <c r="M251" s="843"/>
      <c r="N251" s="843"/>
      <c r="O251" s="48">
        <f>IF(t&lt;Tnet,'2021'!Resal+('2021'!Salim-'2021'!Resal)*(1-EXP(('2021'!Tnet-t)/('2021'!Tau_j))),Resal+(Salim-Resal)*(1-EXP((Tnet-t)/(Tau_j))))*Salcycl</f>
        <v>0.11331405995427535</v>
      </c>
      <c r="P251" s="339">
        <f>(INDEX(Models!$BJ251:$BT251,,T251)*(1-R251)+INDEX(Models!$BJ251:$BT251,,T251+1)*R251-ERP_i)*Q251*Ramure*Pc/MaxiM</f>
        <v>2.7185878580337068E-3</v>
      </c>
      <c r="Q251" s="305">
        <f t="shared" si="77"/>
        <v>0.8</v>
      </c>
      <c r="R251" s="177">
        <f t="shared" si="78"/>
        <v>0.57421034197292842</v>
      </c>
      <c r="S251" s="809">
        <f t="shared" si="79"/>
        <v>0</v>
      </c>
      <c r="T251" s="176">
        <f t="shared" si="80"/>
        <v>6</v>
      </c>
      <c r="U251" s="251">
        <f t="shared" si="81"/>
        <v>0.57421034197292842</v>
      </c>
      <c r="V251" s="383">
        <f t="shared" si="82"/>
        <v>42.368364567491447</v>
      </c>
      <c r="W251" s="402"/>
      <c r="X251" s="157">
        <f t="shared" si="83"/>
        <v>44798</v>
      </c>
      <c r="Y251" s="385">
        <f t="shared" si="84"/>
        <v>25.830485940561967</v>
      </c>
      <c r="Z251" s="385">
        <f t="shared" si="85"/>
        <v>27.336141673648143</v>
      </c>
      <c r="AA251" s="386">
        <f t="shared" si="86"/>
        <v>32.446420825044932</v>
      </c>
      <c r="AB251" s="197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0.15749900979685982</v>
      </c>
      <c r="AD251" s="231">
        <f>(INDEX(Models!$BJ251:$BT251,,AH251)*(1-AF251)+INDEX(Models!$BJ251:$BT251,,AH251+1)*AF251-ERP_i)*AE251*Ramure*Pc/MaxiM</f>
        <v>1.4257044439348502E-2</v>
      </c>
      <c r="AE251" s="305">
        <f t="shared" si="88"/>
        <v>0.8</v>
      </c>
      <c r="AF251" s="177">
        <f t="shared" si="89"/>
        <v>0.7749270891378317</v>
      </c>
      <c r="AG251" s="809">
        <f t="shared" si="95"/>
        <v>1</v>
      </c>
      <c r="AH251" s="176">
        <f t="shared" si="90"/>
        <v>7</v>
      </c>
      <c r="AI251" s="225">
        <f t="shared" si="91"/>
        <v>1.7749270891378317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44799</v>
      </c>
      <c r="B252" s="616">
        <v>36.338000000000001</v>
      </c>
      <c r="C252" s="839"/>
      <c r="D252" s="393">
        <f t="shared" si="74"/>
        <v>38.457052334820737</v>
      </c>
      <c r="E252" s="385">
        <f t="shared" si="96"/>
        <v>43.377451627675292</v>
      </c>
      <c r="F252" s="385">
        <f t="shared" si="75"/>
        <v>43.478668560049925</v>
      </c>
      <c r="G252" s="110">
        <f t="shared" si="97"/>
        <v>0.86251285604818795</v>
      </c>
      <c r="H252" s="414" t="b">
        <f>Wh_hp&gt;='2021'!Maxi_hp</f>
        <v>0</v>
      </c>
      <c r="I252" s="380">
        <f>IF(H252,Wh_hp,'2021'!Maxi_hp)</f>
        <v>47.616086487227513</v>
      </c>
      <c r="J252" s="85">
        <f>IF(H252,An,'2021'!An_max)</f>
        <v>2021</v>
      </c>
      <c r="K252" s="197">
        <f t="shared" si="76"/>
        <v>44799</v>
      </c>
      <c r="L252" s="147">
        <f>IF(t&lt;Tvie,1-EXP((T0-t)*PertePVj)+'2021'!Pspv,1-EXP((T0-t)*PertePVj)+Pspv)</f>
        <v>5.5101787738995572E-2</v>
      </c>
      <c r="M252" s="843"/>
      <c r="N252" s="843"/>
      <c r="O252" s="48">
        <f>IF(t&lt;Tnet,'2021'!Resal+('2021'!Salim-'2021'!Resal)*(1-EXP(('2021'!Tnet-t)/('2021'!Tau_j))),Resal+(Salim-Resal)*(1-EXP((Tnet-t)/(Tau_j))))*Salcycl</f>
        <v>0.11343218903425133</v>
      </c>
      <c r="P252" s="339">
        <f>(INDEX(Models!$BJ252:$BT252,,T252)*(1-R252)+INDEX(Models!$BJ252:$BT252,,T252+1)*R252-ERP_i)*Q252*Ramure*Pc/MaxiM</f>
        <v>2.8944387993546233E-3</v>
      </c>
      <c r="Q252" s="305">
        <f t="shared" si="77"/>
        <v>0.8</v>
      </c>
      <c r="R252" s="177">
        <f t="shared" si="78"/>
        <v>0.57518916517461283</v>
      </c>
      <c r="S252" s="809">
        <f t="shared" si="79"/>
        <v>0</v>
      </c>
      <c r="T252" s="176">
        <f t="shared" si="80"/>
        <v>6</v>
      </c>
      <c r="U252" s="251">
        <f t="shared" si="81"/>
        <v>0.57518916517461283</v>
      </c>
      <c r="V252" s="383">
        <f t="shared" si="82"/>
        <v>42.106465177594018</v>
      </c>
      <c r="W252" s="402"/>
      <c r="X252" s="157">
        <f t="shared" si="83"/>
        <v>44799</v>
      </c>
      <c r="Y252" s="385">
        <f t="shared" si="84"/>
        <v>34.192827774061541</v>
      </c>
      <c r="Z252" s="385">
        <f t="shared" si="85"/>
        <v>36.18678428043912</v>
      </c>
      <c r="AA252" s="386">
        <f t="shared" si="86"/>
        <v>42.95306356062104</v>
      </c>
      <c r="AB252" s="197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0.15752728022839294</v>
      </c>
      <c r="AD252" s="231">
        <f>(INDEX(Models!$BJ252:$BT252,,AH252)*(1-AF252)+INDEX(Models!$BJ252:$BT252,,AH252+1)*AF252-ERP_i)*AE252*Ramure*Pc/MaxiM</f>
        <v>1.5030405168285913E-2</v>
      </c>
      <c r="AE252" s="305">
        <f t="shared" si="88"/>
        <v>0.8</v>
      </c>
      <c r="AF252" s="177">
        <f t="shared" si="89"/>
        <v>0.77590591233951622</v>
      </c>
      <c r="AG252" s="809">
        <f t="shared" si="95"/>
        <v>1</v>
      </c>
      <c r="AH252" s="176">
        <f t="shared" si="90"/>
        <v>7</v>
      </c>
      <c r="AI252" s="225">
        <f t="shared" si="91"/>
        <v>1.7759059123395162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44800</v>
      </c>
      <c r="B253" s="616">
        <v>39.18</v>
      </c>
      <c r="C253" s="839"/>
      <c r="D253" s="393">
        <f t="shared" si="74"/>
        <v>41.465770239257616</v>
      </c>
      <c r="E253" s="385">
        <f t="shared" si="96"/>
        <v>46.777316348913601</v>
      </c>
      <c r="F253" s="385">
        <f t="shared" si="75"/>
        <v>46.908830165667723</v>
      </c>
      <c r="G253" s="110">
        <f t="shared" si="97"/>
        <v>0.93615731198648922</v>
      </c>
      <c r="H253" s="414" t="b">
        <f>Wh_hp&gt;='2021'!Maxi_hp</f>
        <v>1</v>
      </c>
      <c r="I253" s="380">
        <f>IF(H253,Wh_hp,'2021'!Maxi_hp)</f>
        <v>46.908830165667723</v>
      </c>
      <c r="J253" s="85">
        <f>IF(H253,An,'2021'!An_max)</f>
        <v>2022</v>
      </c>
      <c r="K253" s="197">
        <f t="shared" si="76"/>
        <v>44800</v>
      </c>
      <c r="L253" s="147">
        <f>IF(t&lt;Tvie,1-EXP((T0-t)*PertePVj)+'2021'!Pspv,1-EXP((T0-t)*PertePVj)+Pspv)</f>
        <v>5.5124268187199205E-2</v>
      </c>
      <c r="M253" s="843"/>
      <c r="N253" s="843"/>
      <c r="O253" s="48">
        <f>IF(t&lt;Tnet,'2021'!Resal+('2021'!Salim-'2021'!Resal)*(1-EXP(('2021'!Tnet-t)/('2021'!Tau_j))),Resal+(Salim-Resal)*(1-EXP((Tnet-t)/(Tau_j))))*Salcycl</f>
        <v>0.11354961173995055</v>
      </c>
      <c r="P253" s="339">
        <f>(INDEX(Models!$BJ253:$BT253,,T253)*(1-R253)+INDEX(Models!$BJ253:$BT253,,T253+1)*R253-ERP_i)*Q253*Ramure*Pc/MaxiM</f>
        <v>3.0836904574505471E-3</v>
      </c>
      <c r="Q253" s="305">
        <f t="shared" si="77"/>
        <v>0.8</v>
      </c>
      <c r="R253" s="177">
        <f t="shared" si="78"/>
        <v>0.57613171337690949</v>
      </c>
      <c r="S253" s="809">
        <f t="shared" si="79"/>
        <v>0</v>
      </c>
      <c r="T253" s="176">
        <f t="shared" si="80"/>
        <v>6</v>
      </c>
      <c r="U253" s="251">
        <f t="shared" si="81"/>
        <v>0.57613171337690949</v>
      </c>
      <c r="V253" s="383">
        <f t="shared" si="82"/>
        <v>41.84018528290909</v>
      </c>
      <c r="W253" s="402"/>
      <c r="X253" s="157">
        <f t="shared" si="83"/>
        <v>44800</v>
      </c>
      <c r="Y253" s="385">
        <f t="shared" si="84"/>
        <v>36.801597728661314</v>
      </c>
      <c r="Z253" s="385">
        <f t="shared" si="85"/>
        <v>38.948611430685432</v>
      </c>
      <c r="AA253" s="386">
        <f t="shared" si="86"/>
        <v>46.232816172909132</v>
      </c>
      <c r="AB253" s="197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0.15755485703014557</v>
      </c>
      <c r="AD253" s="231">
        <f>(INDEX(Models!$BJ253:$BT253,,AH253)*(1-AF253)+INDEX(Models!$BJ253:$BT253,,AH253+1)*AF253-ERP_i)*AE253*Ramure*Pc/MaxiM</f>
        <v>1.5850942129298169E-2</v>
      </c>
      <c r="AE253" s="305">
        <f t="shared" si="88"/>
        <v>0.8</v>
      </c>
      <c r="AF253" s="177">
        <f t="shared" si="89"/>
        <v>0.77684846054181289</v>
      </c>
      <c r="AG253" s="809">
        <f t="shared" si="95"/>
        <v>1</v>
      </c>
      <c r="AH253" s="176">
        <f t="shared" si="90"/>
        <v>7</v>
      </c>
      <c r="AI253" s="225">
        <f t="shared" si="91"/>
        <v>1.7768484605418129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44801</v>
      </c>
      <c r="B254" s="616">
        <v>38.03</v>
      </c>
      <c r="C254" s="839"/>
      <c r="D254" s="393">
        <f t="shared" si="74"/>
        <v>40.249636569508276</v>
      </c>
      <c r="E254" s="385">
        <f t="shared" si="96"/>
        <v>45.411380635973373</v>
      </c>
      <c r="F254" s="385">
        <f t="shared" si="75"/>
        <v>45.542798070873211</v>
      </c>
      <c r="G254" s="110">
        <f t="shared" si="97"/>
        <v>0.9144869063513974</v>
      </c>
      <c r="H254" s="414" t="b">
        <f>Wh_hp&gt;='2021'!Maxi_hp</f>
        <v>0</v>
      </c>
      <c r="I254" s="380">
        <f>IF(H254,Wh_hp,'2021'!Maxi_hp)</f>
        <v>48.563065558192143</v>
      </c>
      <c r="J254" s="85">
        <f>IF(H254,An,'2021'!An_max)</f>
        <v>2021</v>
      </c>
      <c r="K254" s="197">
        <f t="shared" si="76"/>
        <v>44801</v>
      </c>
      <c r="L254" s="147">
        <f>IF(t&lt;Tvie,1-EXP((T0-t)*PertePVj)+'2021'!Pspv,1-EXP((T0-t)*PertePVj)+Pspv)</f>
        <v>5.5146748112249983E-2</v>
      </c>
      <c r="M254" s="843"/>
      <c r="N254" s="843"/>
      <c r="O254" s="48">
        <f>IF(t&lt;Tnet,'2021'!Resal+('2021'!Salim-'2021'!Resal)*(1-EXP(('2021'!Tnet-t)/('2021'!Tau_j))),Resal+(Salim-Resal)*(1-EXP((Tnet-t)/(Tau_j))))*Salcycl</f>
        <v>0.11366630994645725</v>
      </c>
      <c r="P254" s="339">
        <f>(INDEX(Models!$BJ254:$BT254,,T254)*(1-R254)+INDEX(Models!$BJ254:$BT254,,T254+1)*R254-ERP_i)*Q254*Ramure*Pc/MaxiM</f>
        <v>3.2851835341226963E-3</v>
      </c>
      <c r="Q254" s="305">
        <f t="shared" si="77"/>
        <v>0.8</v>
      </c>
      <c r="R254" s="177">
        <f t="shared" si="78"/>
        <v>0.57703921391998125</v>
      </c>
      <c r="S254" s="809">
        <f t="shared" si="79"/>
        <v>0</v>
      </c>
      <c r="T254" s="176">
        <f t="shared" si="80"/>
        <v>6</v>
      </c>
      <c r="U254" s="251">
        <f t="shared" si="81"/>
        <v>0.57703921391998125</v>
      </c>
      <c r="V254" s="383">
        <f t="shared" si="82"/>
        <v>41.56949528157876</v>
      </c>
      <c r="W254" s="402"/>
      <c r="X254" s="157">
        <f t="shared" si="83"/>
        <v>44801</v>
      </c>
      <c r="Y254" s="385">
        <f t="shared" si="84"/>
        <v>35.718270412720194</v>
      </c>
      <c r="Z254" s="385">
        <f t="shared" si="85"/>
        <v>37.802981935403842</v>
      </c>
      <c r="AA254" s="386">
        <f t="shared" si="86"/>
        <v>44.87436070166445</v>
      </c>
      <c r="AB254" s="197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0.15758171605547405</v>
      </c>
      <c r="AD254" s="231">
        <f>(INDEX(Models!$BJ254:$BT254,,AH254)*(1-AF254)+INDEX(Models!$BJ254:$BT254,,AH254+1)*AF254-ERP_i)*AE254*Ramure*Pc/MaxiM</f>
        <v>1.6709650744518991E-2</v>
      </c>
      <c r="AE254" s="305">
        <f t="shared" si="88"/>
        <v>0.8</v>
      </c>
      <c r="AF254" s="177">
        <f t="shared" si="89"/>
        <v>0.77775596108488454</v>
      </c>
      <c r="AG254" s="809">
        <f t="shared" si="95"/>
        <v>1</v>
      </c>
      <c r="AH254" s="176">
        <f t="shared" si="90"/>
        <v>7</v>
      </c>
      <c r="AI254" s="225">
        <f t="shared" si="91"/>
        <v>1.7777559610848845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44802</v>
      </c>
      <c r="B255" s="616">
        <v>27.004999999999999</v>
      </c>
      <c r="C255" s="839"/>
      <c r="D255" s="393">
        <f t="shared" si="74"/>
        <v>28.581837918921845</v>
      </c>
      <c r="E255" s="385">
        <f t="shared" si="96"/>
        <v>32.251484918443857</v>
      </c>
      <c r="F255" s="385">
        <f t="shared" si="75"/>
        <v>32.308499221167317</v>
      </c>
      <c r="G255" s="110">
        <f t="shared" si="97"/>
        <v>0.65282795212956501</v>
      </c>
      <c r="H255" s="414" t="b">
        <f>Wh_hp&gt;='2021'!Maxi_hp</f>
        <v>0</v>
      </c>
      <c r="I255" s="380">
        <f>IF(H255,Wh_hp,'2021'!Maxi_hp)</f>
        <v>47.495208459406513</v>
      </c>
      <c r="J255" s="85">
        <f>IF(H255,An,'2021'!An_max)</f>
        <v>2021</v>
      </c>
      <c r="K255" s="197">
        <f t="shared" si="76"/>
        <v>44802</v>
      </c>
      <c r="L255" s="147">
        <f>IF(t&lt;Tvie,1-EXP((T0-t)*PertePVj)+'2021'!Pspv,1-EXP((T0-t)*PertePVj)+Pspv)</f>
        <v>5.5169227514160118E-2</v>
      </c>
      <c r="M255" s="843"/>
      <c r="N255" s="843"/>
      <c r="O255" s="48">
        <f>IF(t&lt;Tnet,'2021'!Resal+('2021'!Salim-'2021'!Resal)*(1-EXP(('2021'!Tnet-t)/('2021'!Tau_j))),Resal+(Salim-Resal)*(1-EXP((Tnet-t)/(Tau_j))))*Salcycl</f>
        <v>0.11378226487250603</v>
      </c>
      <c r="P255" s="339">
        <f>(INDEX(Models!$BJ255:$BT255,,T255)*(1-R255)+INDEX(Models!$BJ255:$BT255,,T255+1)*R255-ERP_i)*Q255*Ramure*Pc/MaxiM</f>
        <v>3.4899012308448889E-3</v>
      </c>
      <c r="Q255" s="305">
        <f t="shared" si="77"/>
        <v>0.8</v>
      </c>
      <c r="R255" s="177">
        <f t="shared" si="78"/>
        <v>0.5779128615627348</v>
      </c>
      <c r="S255" s="809">
        <f t="shared" si="79"/>
        <v>0</v>
      </c>
      <c r="T255" s="176">
        <f t="shared" si="80"/>
        <v>6</v>
      </c>
      <c r="U255" s="251">
        <f t="shared" si="81"/>
        <v>0.5779128615627348</v>
      </c>
      <c r="V255" s="383">
        <f t="shared" si="82"/>
        <v>41.2946903834845</v>
      </c>
      <c r="W255" s="402"/>
      <c r="X255" s="157">
        <f t="shared" si="83"/>
        <v>44802</v>
      </c>
      <c r="Y255" s="385">
        <f t="shared" si="84"/>
        <v>25.486271616691894</v>
      </c>
      <c r="Z255" s="385">
        <f t="shared" si="85"/>
        <v>26.974430087239622</v>
      </c>
      <c r="AA255" s="386">
        <f t="shared" si="86"/>
        <v>32.021226125228367</v>
      </c>
      <c r="AB255" s="197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0.15760783232508882</v>
      </c>
      <c r="AD255" s="231">
        <f>(INDEX(Models!$BJ255:$BT255,,AH255)*(1-AF255)+INDEX(Models!$BJ255:$BT255,,AH255+1)*AF255-ERP_i)*AE255*Ramure*Pc/MaxiM</f>
        <v>1.7584267161324631E-2</v>
      </c>
      <c r="AE255" s="305">
        <f t="shared" si="88"/>
        <v>0.8</v>
      </c>
      <c r="AF255" s="177">
        <f t="shared" si="89"/>
        <v>0.77862960872763809</v>
      </c>
      <c r="AG255" s="809">
        <f t="shared" si="95"/>
        <v>1</v>
      </c>
      <c r="AH255" s="176">
        <f t="shared" si="90"/>
        <v>7</v>
      </c>
      <c r="AI255" s="225">
        <f t="shared" si="91"/>
        <v>1.7786296087276381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44803</v>
      </c>
      <c r="B256" s="616">
        <v>37.986000000000004</v>
      </c>
      <c r="C256" s="839"/>
      <c r="D256" s="393">
        <f t="shared" si="74"/>
        <v>40.204981536495929</v>
      </c>
      <c r="E256" s="385">
        <f t="shared" si="96"/>
        <v>45.372831684351738</v>
      </c>
      <c r="F256" s="385">
        <f t="shared" si="75"/>
        <v>45.523410046612568</v>
      </c>
      <c r="G256" s="110">
        <f t="shared" si="97"/>
        <v>0.92577098480344078</v>
      </c>
      <c r="H256" s="414" t="b">
        <f>Wh_hp&gt;='2021'!Maxi_hp</f>
        <v>0</v>
      </c>
      <c r="I256" s="380">
        <f>IF(H256,Wh_hp,'2021'!Maxi_hp)</f>
        <v>46.563941644559634</v>
      </c>
      <c r="J256" s="85">
        <f>IF(H256,An,'2021'!An_max)</f>
        <v>2021</v>
      </c>
      <c r="K256" s="197">
        <f t="shared" si="76"/>
        <v>44803</v>
      </c>
      <c r="L256" s="147">
        <f>IF(t&lt;Tvie,1-EXP((T0-t)*PertePVj)+'2021'!Pspv,1-EXP((T0-t)*PertePVj)+Pspv)</f>
        <v>5.5191706392941714E-2</v>
      </c>
      <c r="M256" s="843"/>
      <c r="N256" s="843"/>
      <c r="O256" s="48">
        <f>IF(t&lt;Tnet,'2021'!Resal+('2021'!Salim-'2021'!Resal)*(1-EXP(('2021'!Tnet-t)/('2021'!Tau_j))),Resal+(Salim-Resal)*(1-EXP((Tnet-t)/(Tau_j))))*Salcycl</f>
        <v>0.11389745704670458</v>
      </c>
      <c r="P256" s="339">
        <f>(INDEX(Models!$BJ256:$BT256,,T256)*(1-R256)+INDEX(Models!$BJ256:$BT256,,T256+1)*R256-ERP_i)*Q256*Ramure*Pc/MaxiM</f>
        <v>3.6979312081373123E-3</v>
      </c>
      <c r="Q256" s="305">
        <f t="shared" si="77"/>
        <v>0.8</v>
      </c>
      <c r="R256" s="177">
        <f t="shared" si="78"/>
        <v>0.5787538186361445</v>
      </c>
      <c r="S256" s="809">
        <f t="shared" si="79"/>
        <v>0</v>
      </c>
      <c r="T256" s="176">
        <f t="shared" si="80"/>
        <v>6</v>
      </c>
      <c r="U256" s="251">
        <f t="shared" si="81"/>
        <v>0.5787538186361445</v>
      </c>
      <c r="V256" s="383">
        <f t="shared" si="82"/>
        <v>41.015681622370536</v>
      </c>
      <c r="W256" s="402"/>
      <c r="X256" s="157">
        <f t="shared" si="83"/>
        <v>44803</v>
      </c>
      <c r="Y256" s="385">
        <f t="shared" si="84"/>
        <v>35.632209287260757</v>
      </c>
      <c r="Z256" s="385">
        <f t="shared" si="85"/>
        <v>37.713692320825494</v>
      </c>
      <c r="AA256" s="386">
        <f t="shared" si="86"/>
        <v>44.771103781225605</v>
      </c>
      <c r="AB256" s="197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0.15763317998337087</v>
      </c>
      <c r="AD256" s="231">
        <f>(INDEX(Models!$BJ256:$BT256,,AH256)*(1-AF256)+INDEX(Models!$BJ256:$BT256,,AH256+1)*AF256-ERP_i)*AE256*Ramure*Pc/MaxiM</f>
        <v>1.8475276095995564E-2</v>
      </c>
      <c r="AE256" s="305">
        <f t="shared" si="88"/>
        <v>0.8</v>
      </c>
      <c r="AF256" s="177">
        <f t="shared" si="89"/>
        <v>0.7794705658010479</v>
      </c>
      <c r="AG256" s="809">
        <f t="shared" si="95"/>
        <v>1</v>
      </c>
      <c r="AH256" s="176">
        <f t="shared" si="90"/>
        <v>7</v>
      </c>
      <c r="AI256" s="225">
        <f t="shared" si="91"/>
        <v>1.7794705658010479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44804</v>
      </c>
      <c r="B257" s="616">
        <v>20.932000000000002</v>
      </c>
      <c r="C257" s="839"/>
      <c r="D257" s="393">
        <f t="shared" si="74"/>
        <v>22.155286057539204</v>
      </c>
      <c r="E257" s="385">
        <f t="shared" si="96"/>
        <v>25.006301116208466</v>
      </c>
      <c r="F257" s="385">
        <f t="shared" si="75"/>
        <v>25.036207873075117</v>
      </c>
      <c r="G257" s="110">
        <f t="shared" si="97"/>
        <v>0.51249411982544035</v>
      </c>
      <c r="H257" s="414" t="b">
        <f>Wh_hp&gt;='2021'!Maxi_hp</f>
        <v>0</v>
      </c>
      <c r="I257" s="380">
        <f>IF(H257,Wh_hp,'2021'!Maxi_hp)</f>
        <v>46.070387290584499</v>
      </c>
      <c r="J257" s="85">
        <f>IF(H257,An,'2021'!An_max)</f>
        <v>2021</v>
      </c>
      <c r="K257" s="197">
        <f t="shared" si="76"/>
        <v>44804</v>
      </c>
      <c r="L257" s="147">
        <f>IF(t&lt;Tvie,1-EXP((T0-t)*PertePVj)+'2021'!Pspv,1-EXP((T0-t)*PertePVj)+Pspv)</f>
        <v>5.521418474860687E-2</v>
      </c>
      <c r="M257" s="843"/>
      <c r="N257" s="843"/>
      <c r="O257" s="48">
        <f>IF(t&lt;Tnet,'2021'!Resal+('2021'!Salim-'2021'!Resal)*(1-EXP(('2021'!Tnet-t)/('2021'!Tau_j))),Resal+(Salim-Resal)*(1-EXP((Tnet-t)/(Tau_j))))*Salcycl</f>
        <v>0.11401186626603099</v>
      </c>
      <c r="P257" s="339">
        <f>(INDEX(Models!$BJ257:$BT257,,T257)*(1-R257)+INDEX(Models!$BJ257:$BT257,,T257+1)*R257-ERP_i)*Q257*Ramure*Pc/MaxiM</f>
        <v>3.9093673030339412E-3</v>
      </c>
      <c r="Q257" s="305">
        <f t="shared" si="77"/>
        <v>0.8</v>
      </c>
      <c r="R257" s="177">
        <f t="shared" si="78"/>
        <v>0.57956321526378474</v>
      </c>
      <c r="S257" s="809">
        <f t="shared" si="79"/>
        <v>0</v>
      </c>
      <c r="T257" s="176">
        <f t="shared" si="80"/>
        <v>6</v>
      </c>
      <c r="U257" s="251">
        <f t="shared" si="81"/>
        <v>0.57956321526378474</v>
      </c>
      <c r="V257" s="383">
        <f t="shared" si="82"/>
        <v>40.732380077343464</v>
      </c>
      <c r="W257" s="402"/>
      <c r="X257" s="157">
        <f t="shared" si="83"/>
        <v>44804</v>
      </c>
      <c r="Y257" s="385">
        <f t="shared" si="84"/>
        <v>19.806633462458418</v>
      </c>
      <c r="Z257" s="385">
        <f t="shared" si="85"/>
        <v>20.964152025491803</v>
      </c>
      <c r="AA257" s="386">
        <f t="shared" si="86"/>
        <v>24.887925998709974</v>
      </c>
      <c r="AB257" s="197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0.1576577322442036</v>
      </c>
      <c r="AD257" s="231">
        <f>(INDEX(Models!$BJ257:$BT257,,AH257)*(1-AF257)+INDEX(Models!$BJ257:$BT257,,AH257+1)*AF257-ERP_i)*AE257*Ramure*Pc/MaxiM</f>
        <v>1.9383188684094825E-2</v>
      </c>
      <c r="AE257" s="305">
        <f t="shared" si="88"/>
        <v>0.8</v>
      </c>
      <c r="AF257" s="177">
        <f t="shared" si="89"/>
        <v>0.78027996242868802</v>
      </c>
      <c r="AG257" s="809">
        <f t="shared" si="95"/>
        <v>1</v>
      </c>
      <c r="AH257" s="176">
        <f t="shared" si="90"/>
        <v>7</v>
      </c>
      <c r="AI257" s="225">
        <f t="shared" si="91"/>
        <v>1.780279962428688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44805</v>
      </c>
      <c r="B258" s="616">
        <v>33.689</v>
      </c>
      <c r="C258" s="839"/>
      <c r="D258" s="393">
        <f t="shared" si="74"/>
        <v>35.658665684509948</v>
      </c>
      <c r="E258" s="385">
        <f t="shared" si="96"/>
        <v>40.252501386192165</v>
      </c>
      <c r="F258" s="385">
        <f t="shared" si="75"/>
        <v>40.379298789932328</v>
      </c>
      <c r="G258" s="110">
        <f t="shared" si="97"/>
        <v>0.83214223603251691</v>
      </c>
      <c r="H258" s="414" t="b">
        <f>Wh_hp&gt;='2021'!Maxi_hp</f>
        <v>0</v>
      </c>
      <c r="I258" s="380">
        <f>IF(H258,Wh_hp,'2021'!Maxi_hp)</f>
        <v>47.663426724874789</v>
      </c>
      <c r="J258" s="85">
        <f>IF(H258,An,'2021'!An_max)</f>
        <v>2018</v>
      </c>
      <c r="K258" s="197">
        <f t="shared" si="76"/>
        <v>44805</v>
      </c>
      <c r="L258" s="147">
        <f>IF(t&lt;Tvie,1-EXP((T0-t)*PertePVj)+'2021'!Pspv,1-EXP((T0-t)*PertePVj)+Pspv)</f>
        <v>5.5236662581167911E-2</v>
      </c>
      <c r="M258" s="843"/>
      <c r="N258" s="843"/>
      <c r="O258" s="48">
        <f>IF(t&lt;Tnet,'2021'!Resal+('2021'!Salim-'2021'!Resal)*(1-EXP(('2021'!Tnet-t)/('2021'!Tau_j))),Resal+(Salim-Resal)*(1-EXP((Tnet-t)/(Tau_j))))*Salcycl</f>
        <v>0.11412547154791326</v>
      </c>
      <c r="P258" s="339">
        <f>(INDEX(Models!$BJ258:$BT258,,T258)*(1-R258)+INDEX(Models!$BJ258:$BT258,,T258+1)*R258-ERP_i)*Q258*Ramure*Pc/MaxiM</f>
        <v>4.124309796067217E-3</v>
      </c>
      <c r="Q258" s="305">
        <f t="shared" si="77"/>
        <v>0.8</v>
      </c>
      <c r="R258" s="177">
        <f t="shared" si="78"/>
        <v>0.5803421496429304</v>
      </c>
      <c r="S258" s="809">
        <f t="shared" si="79"/>
        <v>0</v>
      </c>
      <c r="T258" s="176">
        <f t="shared" si="80"/>
        <v>6</v>
      </c>
      <c r="U258" s="251">
        <f t="shared" si="81"/>
        <v>0.5803421496429304</v>
      </c>
      <c r="V258" s="383">
        <f t="shared" si="82"/>
        <v>40.444696872784654</v>
      </c>
      <c r="W258" s="402"/>
      <c r="X258" s="157">
        <f t="shared" si="83"/>
        <v>44805</v>
      </c>
      <c r="Y258" s="385">
        <f t="shared" si="84"/>
        <v>31.636646081719793</v>
      </c>
      <c r="Z258" s="385">
        <f t="shared" si="85"/>
        <v>33.486318561168559</v>
      </c>
      <c r="AA258" s="386">
        <f t="shared" si="86"/>
        <v>39.754934770841686</v>
      </c>
      <c r="AB258" s="197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0.1576814613281885</v>
      </c>
      <c r="AD258" s="231">
        <f>(INDEX(Models!$BJ258:$BT258,,AH258)*(1-AF258)+INDEX(Models!$BJ258:$BT258,,AH258+1)*AF258-ERP_i)*AE258*Ramure*Pc/MaxiM</f>
        <v>2.0308543899875537E-2</v>
      </c>
      <c r="AE258" s="305">
        <f t="shared" si="88"/>
        <v>0.8</v>
      </c>
      <c r="AF258" s="177">
        <f t="shared" si="89"/>
        <v>0.7810588968078338</v>
      </c>
      <c r="AG258" s="809">
        <f t="shared" si="95"/>
        <v>1</v>
      </c>
      <c r="AH258" s="176">
        <f t="shared" si="90"/>
        <v>7</v>
      </c>
      <c r="AI258" s="225">
        <f t="shared" si="91"/>
        <v>1.7810588968078338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44806</v>
      </c>
      <c r="B259" s="616">
        <v>32.459000000000003</v>
      </c>
      <c r="C259" s="839"/>
      <c r="D259" s="393">
        <f t="shared" si="74"/>
        <v>34.35756975329992</v>
      </c>
      <c r="E259" s="385">
        <f t="shared" si="96"/>
        <v>38.788725969583339</v>
      </c>
      <c r="F259" s="385">
        <f t="shared" si="75"/>
        <v>38.911457082826523</v>
      </c>
      <c r="G259" s="110">
        <f t="shared" si="97"/>
        <v>0.80742811273240445</v>
      </c>
      <c r="H259" s="414" t="b">
        <f>Wh_hp&gt;='2021'!Maxi_hp</f>
        <v>0</v>
      </c>
      <c r="I259" s="380">
        <f>IF(H259,Wh_hp,'2021'!Maxi_hp)</f>
        <v>47.150040214573764</v>
      </c>
      <c r="J259" s="85">
        <f>IF(H259,An,'2021'!An_max)</f>
        <v>2020</v>
      </c>
      <c r="K259" s="197">
        <f t="shared" si="76"/>
        <v>44806</v>
      </c>
      <c r="L259" s="147">
        <f>IF(t&lt;Tvie,1-EXP((T0-t)*PertePVj)+'2021'!Pspv,1-EXP((T0-t)*PertePVj)+Pspv)</f>
        <v>5.5259139890636938E-2</v>
      </c>
      <c r="M259" s="843"/>
      <c r="N259" s="843"/>
      <c r="O259" s="48">
        <f>IF(t&lt;Tnet,'2021'!Resal+('2021'!Salim-'2021'!Resal)*(1-EXP(('2021'!Tnet-t)/('2021'!Tau_j))),Resal+(Salim-Resal)*(1-EXP((Tnet-t)/(Tau_j))))*Salcycl</f>
        <v>0.11423825107734054</v>
      </c>
      <c r="P259" s="339">
        <f>(INDEX(Models!$BJ259:$BT259,,T259)*(1-R259)+INDEX(Models!$BJ259:$BT259,,T259+1)*R259-ERP_i)*Q259*Ramure*Pc/MaxiM</f>
        <v>4.342865697195498E-3</v>
      </c>
      <c r="Q259" s="305">
        <f t="shared" si="77"/>
        <v>0.8</v>
      </c>
      <c r="R259" s="177">
        <f t="shared" si="78"/>
        <v>0.58109168837997838</v>
      </c>
      <c r="S259" s="809">
        <f t="shared" si="79"/>
        <v>0</v>
      </c>
      <c r="T259" s="176">
        <f t="shared" si="80"/>
        <v>6</v>
      </c>
      <c r="U259" s="251">
        <f t="shared" si="81"/>
        <v>0.58109168837997838</v>
      </c>
      <c r="V259" s="383">
        <f t="shared" si="82"/>
        <v>40.152543192318007</v>
      </c>
      <c r="W259" s="402"/>
      <c r="X259" s="157">
        <f t="shared" si="83"/>
        <v>44806</v>
      </c>
      <c r="Y259" s="385">
        <f t="shared" si="84"/>
        <v>30.485917727671787</v>
      </c>
      <c r="Z259" s="385">
        <f t="shared" si="85"/>
        <v>32.26907929455146</v>
      </c>
      <c r="AA259" s="386">
        <f t="shared" si="86"/>
        <v>38.310869645223036</v>
      </c>
      <c r="AB259" s="197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0.15770433839329251</v>
      </c>
      <c r="AD259" s="231">
        <f>(INDEX(Models!$BJ259:$BT259,,AH259)*(1-AF259)+INDEX(Models!$BJ259:$BT259,,AH259+1)*AF259-ERP_i)*AE259*Ramure*Pc/MaxiM</f>
        <v>2.1251910065923207E-2</v>
      </c>
      <c r="AE259" s="305">
        <f t="shared" si="88"/>
        <v>0.8</v>
      </c>
      <c r="AF259" s="177">
        <f t="shared" si="89"/>
        <v>0.78180843554488177</v>
      </c>
      <c r="AG259" s="809">
        <f t="shared" si="95"/>
        <v>1</v>
      </c>
      <c r="AH259" s="176">
        <f t="shared" si="90"/>
        <v>7</v>
      </c>
      <c r="AI259" s="225">
        <f t="shared" si="91"/>
        <v>1.7818084355448818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44807</v>
      </c>
      <c r="B260" s="616">
        <v>30.222999999999999</v>
      </c>
      <c r="C260" s="839"/>
      <c r="D260" s="393">
        <f t="shared" si="74"/>
        <v>31.991544288249091</v>
      </c>
      <c r="E260" s="385">
        <f t="shared" si="96"/>
        <v>36.122114681773986</v>
      </c>
      <c r="F260" s="385">
        <f t="shared" si="75"/>
        <v>36.230404509643193</v>
      </c>
      <c r="G260" s="110">
        <f t="shared" si="97"/>
        <v>0.7571092772371657</v>
      </c>
      <c r="H260" s="414" t="b">
        <f>Wh_hp&gt;='2021'!Maxi_hp</f>
        <v>0</v>
      </c>
      <c r="I260" s="380">
        <f>IF(H260,Wh_hp,'2021'!Maxi_hp)</f>
        <v>48.613808475226271</v>
      </c>
      <c r="J260" s="85">
        <f>IF(H260,An,'2021'!An_max)</f>
        <v>2019</v>
      </c>
      <c r="K260" s="197">
        <f t="shared" si="76"/>
        <v>44807</v>
      </c>
      <c r="L260" s="147">
        <f>IF(t&lt;Tvie,1-EXP((T0-t)*PertePVj)+'2021'!Pspv,1-EXP((T0-t)*PertePVj)+Pspv)</f>
        <v>5.5281616677026163E-2</v>
      </c>
      <c r="M260" s="843"/>
      <c r="N260" s="843"/>
      <c r="O260" s="48">
        <f>IF(t&lt;Tnet,'2021'!Resal+('2021'!Salim-'2021'!Resal)*(1-EXP(('2021'!Tnet-t)/('2021'!Tau_j))),Resal+(Salim-Resal)*(1-EXP((Tnet-t)/(Tau_j))))*Salcycl</f>
        <v>0.11435018215057728</v>
      </c>
      <c r="P260" s="339">
        <f>(INDEX(Models!$BJ260:$BT260,,T260)*(1-R260)+INDEX(Models!$BJ260:$BT260,,T260+1)*R260-ERP_i)*Q260*Ramure*Pc/MaxiM</f>
        <v>4.5651490557125137E-3</v>
      </c>
      <c r="Q260" s="305">
        <f t="shared" si="77"/>
        <v>0.8</v>
      </c>
      <c r="R260" s="177">
        <f t="shared" si="78"/>
        <v>0.58181286687432898</v>
      </c>
      <c r="S260" s="809">
        <f t="shared" si="79"/>
        <v>0</v>
      </c>
      <c r="T260" s="176">
        <f t="shared" si="80"/>
        <v>6</v>
      </c>
      <c r="U260" s="251">
        <f t="shared" si="81"/>
        <v>0.58181286687432898</v>
      </c>
      <c r="V260" s="383">
        <f t="shared" si="82"/>
        <v>39.855830276803658</v>
      </c>
      <c r="W260" s="402"/>
      <c r="X260" s="157">
        <f t="shared" si="83"/>
        <v>44807</v>
      </c>
      <c r="Y260" s="385">
        <f t="shared" si="84"/>
        <v>28.409658103773829</v>
      </c>
      <c r="Z260" s="385">
        <f t="shared" si="85"/>
        <v>30.072091964427592</v>
      </c>
      <c r="AA260" s="386">
        <f t="shared" si="86"/>
        <v>35.703469263145806</v>
      </c>
      <c r="AB260" s="197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0.15772633346113207</v>
      </c>
      <c r="AD260" s="231">
        <f>(INDEX(Models!$BJ260:$BT260,,AH260)*(1-AF260)+INDEX(Models!$BJ260:$BT260,,AH260+1)*AF260-ERP_i)*AE260*Ramure*Pc/MaxiM</f>
        <v>2.2213886477635642E-2</v>
      </c>
      <c r="AE260" s="305">
        <f t="shared" si="88"/>
        <v>0.8</v>
      </c>
      <c r="AF260" s="177">
        <f t="shared" si="89"/>
        <v>0.78252961403923238</v>
      </c>
      <c r="AG260" s="809">
        <f t="shared" si="95"/>
        <v>1</v>
      </c>
      <c r="AH260" s="176">
        <f t="shared" si="90"/>
        <v>7</v>
      </c>
      <c r="AI260" s="225">
        <f t="shared" si="91"/>
        <v>1.7825296140392324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44808</v>
      </c>
      <c r="B261" s="616">
        <v>35.106999999999999</v>
      </c>
      <c r="C261" s="839"/>
      <c r="D261" s="393">
        <f t="shared" si="74"/>
        <v>37.162223036691096</v>
      </c>
      <c r="E261" s="385">
        <f t="shared" si="96"/>
        <v>41.965665154592855</v>
      </c>
      <c r="F261" s="385">
        <f t="shared" si="75"/>
        <v>42.13512056337099</v>
      </c>
      <c r="G261" s="110">
        <f t="shared" si="97"/>
        <v>0.88687889356604488</v>
      </c>
      <c r="H261" s="414" t="b">
        <f>Wh_hp&gt;='2021'!Maxi_hp</f>
        <v>0</v>
      </c>
      <c r="I261" s="380">
        <f>IF(H261,Wh_hp,'2021'!Maxi_hp)</f>
        <v>47.996366652785198</v>
      </c>
      <c r="J261" s="85">
        <f>IF(H261,An,'2021'!An_max)</f>
        <v>2019</v>
      </c>
      <c r="K261" s="197">
        <f t="shared" si="76"/>
        <v>44808</v>
      </c>
      <c r="L261" s="147">
        <f>IF(t&lt;Tvie,1-EXP((T0-t)*PertePVj)+'2021'!Pspv,1-EXP((T0-t)*PertePVj)+Pspv)</f>
        <v>5.5304092940347799E-2</v>
      </c>
      <c r="M261" s="843"/>
      <c r="N261" s="843"/>
      <c r="O261" s="48">
        <f>IF(t&lt;Tnet,'2021'!Resal+('2021'!Salim-'2021'!Resal)*(1-EXP(('2021'!Tnet-t)/('2021'!Tau_j))),Resal+(Salim-Resal)*(1-EXP((Tnet-t)/(Tau_j))))*Salcycl</f>
        <v>0.11446124111715787</v>
      </c>
      <c r="P261" s="339">
        <f>(INDEX(Models!$BJ261:$BT261,,T261)*(1-R261)+INDEX(Models!$BJ261:$BT261,,T261+1)*R261-ERP_i)*Q261*Ramure*Pc/MaxiM</f>
        <v>4.7913018329556944E-3</v>
      </c>
      <c r="Q261" s="305">
        <f t="shared" si="77"/>
        <v>0.8</v>
      </c>
      <c r="R261" s="177">
        <f t="shared" si="78"/>
        <v>0.582506689745246</v>
      </c>
      <c r="S261" s="809">
        <f t="shared" si="79"/>
        <v>0</v>
      </c>
      <c r="T261" s="176">
        <f t="shared" si="80"/>
        <v>6</v>
      </c>
      <c r="U261" s="251">
        <f t="shared" si="81"/>
        <v>0.582506689745246</v>
      </c>
      <c r="V261" s="383">
        <f t="shared" si="82"/>
        <v>39.554299060570671</v>
      </c>
      <c r="W261" s="402"/>
      <c r="X261" s="157">
        <f t="shared" si="83"/>
        <v>44808</v>
      </c>
      <c r="Y261" s="385">
        <f t="shared" si="84"/>
        <v>32.87302825262114</v>
      </c>
      <c r="Z261" s="385">
        <f t="shared" si="85"/>
        <v>34.797470812526122</v>
      </c>
      <c r="AA261" s="386">
        <f t="shared" si="86"/>
        <v>41.314768807297682</v>
      </c>
      <c r="AB261" s="197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0.1577474153412271</v>
      </c>
      <c r="AD261" s="231">
        <f>(INDEX(Models!$BJ261:$BT261,,AH261)*(1-AF261)+INDEX(Models!$BJ261:$BT261,,AH261+1)*AF261-ERP_i)*AE261*Ramure*Pc/MaxiM</f>
        <v>2.3195204572600055E-2</v>
      </c>
      <c r="AE261" s="305">
        <f t="shared" si="88"/>
        <v>0.8</v>
      </c>
      <c r="AF261" s="177">
        <f t="shared" si="89"/>
        <v>0.7832234369101494</v>
      </c>
      <c r="AG261" s="809">
        <f t="shared" si="95"/>
        <v>1</v>
      </c>
      <c r="AH261" s="176">
        <f t="shared" si="90"/>
        <v>7</v>
      </c>
      <c r="AI261" s="225">
        <f t="shared" si="91"/>
        <v>1.7832234369101494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44809</v>
      </c>
      <c r="B262" s="616">
        <v>31.341000000000001</v>
      </c>
      <c r="C262" s="839"/>
      <c r="D262" s="393">
        <f t="shared" si="74"/>
        <v>33.176544360125938</v>
      </c>
      <c r="E262" s="385">
        <f t="shared" si="96"/>
        <v>37.469474652836595</v>
      </c>
      <c r="F262" s="385">
        <f t="shared" si="75"/>
        <v>37.604045655690136</v>
      </c>
      <c r="G262" s="110">
        <f t="shared" si="97"/>
        <v>0.79738372796961532</v>
      </c>
      <c r="H262" s="414" t="b">
        <f>Wh_hp&gt;='2021'!Maxi_hp</f>
        <v>0</v>
      </c>
      <c r="I262" s="380">
        <f>IF(H262,Wh_hp,'2021'!Maxi_hp)</f>
        <v>45.417444264252914</v>
      </c>
      <c r="J262" s="85">
        <f>IF(H262,An,'2021'!An_max)</f>
        <v>2020</v>
      </c>
      <c r="K262" s="197">
        <f t="shared" si="76"/>
        <v>44809</v>
      </c>
      <c r="L262" s="147">
        <f>IF(t&lt;Tvie,1-EXP((T0-t)*PertePVj)+'2021'!Pspv,1-EXP((T0-t)*PertePVj)+Pspv)</f>
        <v>5.5326568680613836E-2</v>
      </c>
      <c r="M262" s="843"/>
      <c r="N262" s="843"/>
      <c r="O262" s="48">
        <f>IF(t&lt;Tnet,'2021'!Resal+('2021'!Salim-'2021'!Resal)*(1-EXP(('2021'!Tnet-t)/('2021'!Tau_j))),Resal+(Salim-Resal)*(1-EXP((Tnet-t)/(Tau_j))))*Salcycl</f>
        <v>0.11457140332192146</v>
      </c>
      <c r="P262" s="339">
        <f>(INDEX(Models!$BJ262:$BT262,,T262)*(1-R262)+INDEX(Models!$BJ262:$BT262,,T262+1)*R262-ERP_i)*Q262*Ramure*Pc/MaxiM</f>
        <v>5.0247289909702061E-3</v>
      </c>
      <c r="Q262" s="305">
        <f t="shared" si="77"/>
        <v>0.8</v>
      </c>
      <c r="R262" s="177">
        <f t="shared" si="78"/>
        <v>0.58317413129657236</v>
      </c>
      <c r="S262" s="809">
        <f t="shared" si="79"/>
        <v>0</v>
      </c>
      <c r="T262" s="176">
        <f t="shared" si="80"/>
        <v>6</v>
      </c>
      <c r="U262" s="251">
        <f t="shared" si="81"/>
        <v>0.58317413129657236</v>
      </c>
      <c r="V262" s="383">
        <f t="shared" si="82"/>
        <v>39.247747315112463</v>
      </c>
      <c r="W262" s="402"/>
      <c r="X262" s="157">
        <f t="shared" si="83"/>
        <v>44809</v>
      </c>
      <c r="Y262" s="385">
        <f t="shared" si="84"/>
        <v>29.403748225447281</v>
      </c>
      <c r="Z262" s="385">
        <f t="shared" si="85"/>
        <v>31.12583380732989</v>
      </c>
      <c r="AA262" s="386">
        <f t="shared" si="86"/>
        <v>36.956346035849506</v>
      </c>
      <c r="AB262" s="197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0.15776755155565783</v>
      </c>
      <c r="AD262" s="231">
        <f>(INDEX(Models!$BJ262:$BT262,,AH262)*(1-AF262)+INDEX(Models!$BJ262:$BT262,,AH262+1)*AF262-ERP_i)*AE262*Ramure*Pc/MaxiM</f>
        <v>2.4184370988121009E-2</v>
      </c>
      <c r="AE262" s="305">
        <f t="shared" si="88"/>
        <v>0.8</v>
      </c>
      <c r="AF262" s="177">
        <f t="shared" si="89"/>
        <v>0.78389087846147576</v>
      </c>
      <c r="AG262" s="809">
        <f t="shared" si="95"/>
        <v>1</v>
      </c>
      <c r="AH262" s="176">
        <f t="shared" si="90"/>
        <v>7</v>
      </c>
      <c r="AI262" s="225">
        <f t="shared" si="91"/>
        <v>1.7838908784614758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44810</v>
      </c>
      <c r="B263" s="616">
        <v>35.878999999999998</v>
      </c>
      <c r="C263" s="839"/>
      <c r="D263" s="393">
        <f t="shared" si="74"/>
        <v>37.981224459926025</v>
      </c>
      <c r="E263" s="385">
        <f t="shared" si="96"/>
        <v>42.901156697542227</v>
      </c>
      <c r="F263" s="385">
        <f t="shared" si="75"/>
        <v>43.102584432717336</v>
      </c>
      <c r="G263" s="110">
        <f t="shared" si="97"/>
        <v>0.92092945828751094</v>
      </c>
      <c r="H263" s="414" t="b">
        <f>Wh_hp&gt;='2021'!Maxi_hp</f>
        <v>0</v>
      </c>
      <c r="I263" s="380">
        <f>IF(H263,Wh_hp,'2021'!Maxi_hp)</f>
        <v>48.931389708757251</v>
      </c>
      <c r="J263" s="85">
        <f>IF(H263,An,'2021'!An_max)</f>
        <v>2019</v>
      </c>
      <c r="K263" s="197">
        <f t="shared" si="76"/>
        <v>44810</v>
      </c>
      <c r="L263" s="147">
        <f>IF(t&lt;Tvie,1-EXP((T0-t)*PertePVj)+'2021'!Pspv,1-EXP((T0-t)*PertePVj)+Pspv)</f>
        <v>5.5349043897836597E-2</v>
      </c>
      <c r="M263" s="843"/>
      <c r="N263" s="843"/>
      <c r="O263" s="48">
        <f>IF(t&lt;Tnet,'2021'!Resal+('2021'!Salim-'2021'!Resal)*(1-EXP(('2021'!Tnet-t)/('2021'!Tau_j))),Resal+(Salim-Resal)*(1-EXP((Tnet-t)/(Tau_j))))*Salcycl</f>
        <v>0.11468064304891008</v>
      </c>
      <c r="P263" s="339">
        <f>(INDEX(Models!$BJ263:$BT263,,T263)*(1-R263)+INDEX(Models!$BJ263:$BT263,,T263+1)*R263-ERP_i)*Q263*Ramure*Pc/MaxiM</f>
        <v>5.2636809681021295E-3</v>
      </c>
      <c r="Q263" s="305">
        <f t="shared" si="77"/>
        <v>0.8</v>
      </c>
      <c r="R263" s="177">
        <f t="shared" si="78"/>
        <v>0.58381613601453031</v>
      </c>
      <c r="S263" s="809">
        <f t="shared" si="79"/>
        <v>0</v>
      </c>
      <c r="T263" s="176">
        <f t="shared" si="80"/>
        <v>6</v>
      </c>
      <c r="U263" s="251">
        <f t="shared" si="81"/>
        <v>0.58381613601453031</v>
      </c>
      <c r="V263" s="383">
        <f t="shared" si="82"/>
        <v>38.936440740956357</v>
      </c>
      <c r="W263" s="402"/>
      <c r="X263" s="157">
        <f t="shared" si="83"/>
        <v>44810</v>
      </c>
      <c r="Y263" s="385">
        <f t="shared" si="84"/>
        <v>33.526111933447829</v>
      </c>
      <c r="Z263" s="385">
        <f t="shared" si="85"/>
        <v>35.490475838593234</v>
      </c>
      <c r="AA263" s="386">
        <f t="shared" si="86"/>
        <v>42.139534233127229</v>
      </c>
      <c r="AB263" s="197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0.15778670826662719</v>
      </c>
      <c r="AD263" s="231">
        <f>(INDEX(Models!$BJ263:$BT263,,AH263)*(1-AF263)+INDEX(Models!$BJ263:$BT263,,AH263+1)*AF263-ERP_i)*AE263*Ramure*Pc/MaxiM</f>
        <v>2.5166291039823589E-2</v>
      </c>
      <c r="AE263" s="305">
        <f t="shared" si="88"/>
        <v>0.8</v>
      </c>
      <c r="AF263" s="177">
        <f t="shared" si="89"/>
        <v>0.78453288317943359</v>
      </c>
      <c r="AG263" s="809">
        <f t="shared" si="95"/>
        <v>1</v>
      </c>
      <c r="AH263" s="176">
        <f t="shared" si="90"/>
        <v>7</v>
      </c>
      <c r="AI263" s="225">
        <f t="shared" si="91"/>
        <v>1.7845328831794336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44811</v>
      </c>
      <c r="B264" s="616">
        <v>30.66</v>
      </c>
      <c r="C264" s="839"/>
      <c r="D264" s="393">
        <f t="shared" si="74"/>
        <v>32.457204714282142</v>
      </c>
      <c r="E264" s="385">
        <f t="shared" si="96"/>
        <v>36.666062978038049</v>
      </c>
      <c r="F264" s="385">
        <f t="shared" si="75"/>
        <v>36.809114927148286</v>
      </c>
      <c r="G264" s="110">
        <f t="shared" si="97"/>
        <v>0.79258479544384108</v>
      </c>
      <c r="H264" s="414" t="b">
        <f>Wh_hp&gt;='2021'!Maxi_hp</f>
        <v>0</v>
      </c>
      <c r="I264" s="380">
        <f>IF(H264,Wh_hp,'2021'!Maxi_hp)</f>
        <v>44.353228487080955</v>
      </c>
      <c r="J264" s="85">
        <f>IF(H264,An,'2021'!An_max)</f>
        <v>2019</v>
      </c>
      <c r="K264" s="197">
        <f t="shared" si="76"/>
        <v>44811</v>
      </c>
      <c r="L264" s="147">
        <f>IF(t&lt;Tvie,1-EXP((T0-t)*PertePVj)+'2021'!Pspv,1-EXP((T0-t)*PertePVj)+Pspv)</f>
        <v>5.5371518592028296E-2</v>
      </c>
      <c r="M264" s="843"/>
      <c r="N264" s="843"/>
      <c r="O264" s="48">
        <f>IF(t&lt;Tnet,'2021'!Resal+('2021'!Salim-'2021'!Resal)*(1-EXP(('2021'!Tnet-t)/('2021'!Tau_j))),Resal+(Salim-Resal)*(1-EXP((Tnet-t)/(Tau_j))))*Salcycl</f>
        <v>0.11478893346899277</v>
      </c>
      <c r="P264" s="339">
        <f>(INDEX(Models!$BJ264:$BT264,,T264)*(1-R264)+INDEX(Models!$BJ264:$BT264,,T264+1)*R264-ERP_i)*Q264*Ramure*Pc/MaxiM</f>
        <v>5.5082954905189161E-3</v>
      </c>
      <c r="Q264" s="305">
        <f t="shared" si="77"/>
        <v>0.8</v>
      </c>
      <c r="R264" s="177">
        <f t="shared" si="78"/>
        <v>0.58443361909417546</v>
      </c>
      <c r="S264" s="809">
        <f t="shared" si="79"/>
        <v>0</v>
      </c>
      <c r="T264" s="176">
        <f t="shared" si="80"/>
        <v>6</v>
      </c>
      <c r="U264" s="251">
        <f t="shared" si="81"/>
        <v>0.58443361909417546</v>
      </c>
      <c r="V264" s="383">
        <f t="shared" si="82"/>
        <v>38.620569490505147</v>
      </c>
      <c r="W264" s="402"/>
      <c r="X264" s="157">
        <f t="shared" si="83"/>
        <v>44811</v>
      </c>
      <c r="Y264" s="385">
        <f t="shared" si="84"/>
        <v>28.743820368267176</v>
      </c>
      <c r="Z264" s="385">
        <f t="shared" si="85"/>
        <v>30.428703912700602</v>
      </c>
      <c r="AA264" s="386">
        <f t="shared" si="86"/>
        <v>36.130229342057817</v>
      </c>
      <c r="AB264" s="197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0.15780485020946952</v>
      </c>
      <c r="AD264" s="231">
        <f>(INDEX(Models!$BJ264:$BT264,,AH264)*(1-AF264)+INDEX(Models!$BJ264:$BT264,,AH264+1)*AF264-ERP_i)*AE264*Ramure*Pc/MaxiM</f>
        <v>2.6140870013945085E-2</v>
      </c>
      <c r="AE264" s="305">
        <f t="shared" si="88"/>
        <v>0.8</v>
      </c>
      <c r="AF264" s="177">
        <f t="shared" si="89"/>
        <v>0.78515036625907886</v>
      </c>
      <c r="AG264" s="809">
        <f t="shared" si="95"/>
        <v>1</v>
      </c>
      <c r="AH264" s="176">
        <f t="shared" si="90"/>
        <v>7</v>
      </c>
      <c r="AI264" s="225">
        <f t="shared" si="91"/>
        <v>1.7851503662590789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44812</v>
      </c>
      <c r="B265" s="616">
        <v>28.026</v>
      </c>
      <c r="C265" s="839"/>
      <c r="D265" s="393">
        <f t="shared" si="74"/>
        <v>29.669512776001525</v>
      </c>
      <c r="E265" s="385">
        <f t="shared" si="96"/>
        <v>33.52094334906937</v>
      </c>
      <c r="F265" s="385">
        <f t="shared" si="75"/>
        <v>33.640428605592746</v>
      </c>
      <c r="G265" s="110">
        <f t="shared" si="97"/>
        <v>0.730122540159167</v>
      </c>
      <c r="H265" s="414" t="b">
        <f>Wh_hp&gt;='2021'!Maxi_hp</f>
        <v>0</v>
      </c>
      <c r="I265" s="380">
        <f>IF(H265,Wh_hp,'2021'!Maxi_hp)</f>
        <v>42.753480627950061</v>
      </c>
      <c r="J265" s="85">
        <f>IF(H265,An,'2021'!An_max)</f>
        <v>2018</v>
      </c>
      <c r="K265" s="197">
        <f t="shared" si="76"/>
        <v>44812</v>
      </c>
      <c r="L265" s="147">
        <f>IF(t&lt;Tvie,1-EXP((T0-t)*PertePVj)+'2021'!Pspv,1-EXP((T0-t)*PertePVj)+Pspv)</f>
        <v>5.5393992763200922E-2</v>
      </c>
      <c r="M265" s="843"/>
      <c r="N265" s="843"/>
      <c r="O265" s="48">
        <f>IF(t&lt;Tnet,'2021'!Resal+('2021'!Salim-'2021'!Resal)*(1-EXP(('2021'!Tnet-t)/('2021'!Tau_j))),Resal+(Salim-Resal)*(1-EXP((Tnet-t)/(Tau_j))))*Salcycl</f>
        <v>0.11489624659309501</v>
      </c>
      <c r="P265" s="339">
        <f>(INDEX(Models!$BJ265:$BT265,,T265)*(1-R265)+INDEX(Models!$BJ265:$BT265,,T265+1)*R265-ERP_i)*Q265*Ramure*Pc/MaxiM</f>
        <v>5.7587121459399876E-3</v>
      </c>
      <c r="Q265" s="305">
        <f t="shared" si="77"/>
        <v>0.8</v>
      </c>
      <c r="R265" s="177">
        <f t="shared" si="78"/>
        <v>0.58502746699039043</v>
      </c>
      <c r="S265" s="809">
        <f t="shared" si="79"/>
        <v>0</v>
      </c>
      <c r="T265" s="176">
        <f t="shared" si="80"/>
        <v>6</v>
      </c>
      <c r="U265" s="251">
        <f t="shared" si="81"/>
        <v>0.58502746699039043</v>
      </c>
      <c r="V265" s="383">
        <f t="shared" si="82"/>
        <v>38.30032366234898</v>
      </c>
      <c r="W265" s="402"/>
      <c r="X265" s="157">
        <f t="shared" si="83"/>
        <v>44812</v>
      </c>
      <c r="Y265" s="385">
        <f t="shared" si="84"/>
        <v>26.314404601182396</v>
      </c>
      <c r="Z265" s="385">
        <f t="shared" si="85"/>
        <v>27.857545261815972</v>
      </c>
      <c r="AA265" s="386">
        <f t="shared" si="86"/>
        <v>33.077975556351994</v>
      </c>
      <c r="AB265" s="197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0.15782194063365335</v>
      </c>
      <c r="AD265" s="231">
        <f>(INDEX(Models!$BJ265:$BT265,,AH265)*(1-AF265)+INDEX(Models!$BJ265:$BT265,,AH265+1)*AF265-ERP_i)*AE265*Ramure*Pc/MaxiM</f>
        <v>2.7107990562417632E-2</v>
      </c>
      <c r="AE265" s="305">
        <f t="shared" si="88"/>
        <v>0.8</v>
      </c>
      <c r="AF265" s="177">
        <f t="shared" si="89"/>
        <v>0.78574421415529372</v>
      </c>
      <c r="AG265" s="809">
        <f t="shared" si="95"/>
        <v>1</v>
      </c>
      <c r="AH265" s="176">
        <f t="shared" si="90"/>
        <v>7</v>
      </c>
      <c r="AI265" s="225">
        <f t="shared" si="91"/>
        <v>1.7857442141552937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44813</v>
      </c>
      <c r="B266" s="616">
        <v>20.865000000000002</v>
      </c>
      <c r="C266" s="839"/>
      <c r="D266" s="393">
        <f t="shared" si="74"/>
        <v>22.089099860475361</v>
      </c>
      <c r="E266" s="385">
        <f t="shared" si="96"/>
        <v>24.959506878993935</v>
      </c>
      <c r="F266" s="385">
        <f t="shared" si="75"/>
        <v>25.013118009343422</v>
      </c>
      <c r="G266" s="110">
        <f t="shared" si="97"/>
        <v>0.5472956808984657</v>
      </c>
      <c r="H266" s="414" t="b">
        <f>Wh_hp&gt;='2021'!Maxi_hp</f>
        <v>0</v>
      </c>
      <c r="I266" s="380">
        <f>IF(H266,Wh_hp,'2021'!Maxi_hp)</f>
        <v>43.385482084784094</v>
      </c>
      <c r="J266" s="85">
        <f>IF(H266,An,'2021'!An_max)</f>
        <v>2020</v>
      </c>
      <c r="K266" s="197">
        <f t="shared" si="76"/>
        <v>44813</v>
      </c>
      <c r="L266" s="147">
        <f>IF(t&lt;Tvie,1-EXP((T0-t)*PertePVj)+'2021'!Pspv,1-EXP((T0-t)*PertePVj)+Pspv)</f>
        <v>5.5416466411366799E-2</v>
      </c>
      <c r="M266" s="843"/>
      <c r="N266" s="843"/>
      <c r="O266" s="48">
        <f>IF(t&lt;Tnet,'2021'!Resal+('2021'!Salim-'2021'!Resal)*(1-EXP(('2021'!Tnet-t)/('2021'!Tau_j))),Resal+(Salim-Resal)*(1-EXP((Tnet-t)/(Tau_j))))*Salcycl</f>
        <v>0.11500255323290562</v>
      </c>
      <c r="P266" s="339">
        <f>(INDEX(Models!$BJ266:$BT266,,T266)*(1-R266)+INDEX(Models!$BJ266:$BT266,,T266+1)*R266-ERP_i)*Q266*Ramure*Pc/MaxiM</f>
        <v>6.0150721868157024E-3</v>
      </c>
      <c r="Q266" s="305">
        <f t="shared" si="77"/>
        <v>0.8</v>
      </c>
      <c r="R266" s="177">
        <f t="shared" si="78"/>
        <v>0.5855985379896167</v>
      </c>
      <c r="S266" s="809">
        <f t="shared" si="79"/>
        <v>0</v>
      </c>
      <c r="T266" s="176">
        <f t="shared" si="80"/>
        <v>6</v>
      </c>
      <c r="U266" s="251">
        <f t="shared" si="81"/>
        <v>0.5855985379896167</v>
      </c>
      <c r="V266" s="383">
        <f t="shared" si="82"/>
        <v>37.975893305557349</v>
      </c>
      <c r="W266" s="402"/>
      <c r="X266" s="157">
        <f t="shared" si="83"/>
        <v>44813</v>
      </c>
      <c r="Y266" s="385">
        <f t="shared" si="84"/>
        <v>19.698745152206659</v>
      </c>
      <c r="Z266" s="385">
        <f t="shared" si="85"/>
        <v>20.85442361817147</v>
      </c>
      <c r="AA266" s="386">
        <f t="shared" si="86"/>
        <v>24.762957914812247</v>
      </c>
      <c r="AB266" s="197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0.15783794125429748</v>
      </c>
      <c r="AD266" s="231">
        <f>(INDEX(Models!$BJ266:$BT266,,AH266)*(1-AF266)+INDEX(Models!$BJ266:$BT266,,AH266+1)*AF266-ERP_i)*AE266*Ramure*Pc/MaxiM</f>
        <v>2.8067511672601807E-2</v>
      </c>
      <c r="AE266" s="305">
        <f t="shared" si="88"/>
        <v>0.8</v>
      </c>
      <c r="AF266" s="177">
        <f t="shared" si="89"/>
        <v>0.78631528515452009</v>
      </c>
      <c r="AG266" s="809">
        <f t="shared" si="95"/>
        <v>1</v>
      </c>
      <c r="AH266" s="176">
        <f t="shared" si="90"/>
        <v>7</v>
      </c>
      <c r="AI266" s="225">
        <f t="shared" si="91"/>
        <v>1.7863152851545201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44814</v>
      </c>
      <c r="B267" s="616">
        <v>35.686999999999998</v>
      </c>
      <c r="C267" s="839"/>
      <c r="D267" s="393">
        <f t="shared" si="74"/>
        <v>37.781570185086473</v>
      </c>
      <c r="E267" s="385">
        <f t="shared" si="96"/>
        <v>42.696241605313759</v>
      </c>
      <c r="F267" s="385">
        <f t="shared" si="75"/>
        <v>42.945778972423717</v>
      </c>
      <c r="G267" s="110">
        <f t="shared" si="97"/>
        <v>0.94748035848395451</v>
      </c>
      <c r="H267" s="414" t="b">
        <f>Wh_hp&gt;='2021'!Maxi_hp</f>
        <v>1</v>
      </c>
      <c r="I267" s="380">
        <f>IF(H267,Wh_hp,'2021'!Maxi_hp)</f>
        <v>42.945778972423717</v>
      </c>
      <c r="J267" s="85">
        <f>IF(H267,An,'2021'!An_max)</f>
        <v>2022</v>
      </c>
      <c r="K267" s="197">
        <f t="shared" si="76"/>
        <v>44814</v>
      </c>
      <c r="L267" s="147">
        <f>IF(t&lt;Tvie,1-EXP((T0-t)*PertePVj)+'2021'!Pspv,1-EXP((T0-t)*PertePVj)+Pspv)</f>
        <v>5.5438939536538029E-2</v>
      </c>
      <c r="M267" s="843"/>
      <c r="N267" s="843"/>
      <c r="O267" s="48">
        <f>IF(t&lt;Tnet,'2021'!Resal+('2021'!Salim-'2021'!Resal)*(1-EXP(('2021'!Tnet-t)/('2021'!Tau_j))),Resal+(Salim-Resal)*(1-EXP((Tnet-t)/(Tau_j))))*Salcycl</f>
        <v>0.11510782297090125</v>
      </c>
      <c r="P267" s="339">
        <f>(INDEX(Models!$BJ267:$BT267,,T267)*(1-R267)+INDEX(Models!$BJ267:$BT267,,T267+1)*R267-ERP_i)*Q267*Ramure*Pc/MaxiM</f>
        <v>6.2775183113184729E-3</v>
      </c>
      <c r="Q267" s="305">
        <f t="shared" si="77"/>
        <v>0.8</v>
      </c>
      <c r="R267" s="177">
        <f t="shared" si="78"/>
        <v>0.58614766279881447</v>
      </c>
      <c r="S267" s="809">
        <f t="shared" si="79"/>
        <v>0</v>
      </c>
      <c r="T267" s="176">
        <f t="shared" si="80"/>
        <v>6</v>
      </c>
      <c r="U267" s="251">
        <f t="shared" si="81"/>
        <v>0.58614766279881447</v>
      </c>
      <c r="V267" s="383">
        <f t="shared" si="82"/>
        <v>37.647468423814203</v>
      </c>
      <c r="W267" s="402"/>
      <c r="X267" s="157">
        <f t="shared" si="83"/>
        <v>44814</v>
      </c>
      <c r="Y267" s="385">
        <f t="shared" si="84"/>
        <v>33.244028106024096</v>
      </c>
      <c r="Z267" s="385">
        <f t="shared" si="85"/>
        <v>35.195213414485295</v>
      </c>
      <c r="AA267" s="386">
        <f t="shared" si="86"/>
        <v>41.792235282676202</v>
      </c>
      <c r="AB267" s="197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0.15785281221666361</v>
      </c>
      <c r="AD267" s="231">
        <f>(INDEX(Models!$BJ267:$BT267,,AH267)*(1-AF267)+INDEX(Models!$BJ267:$BT267,,AH267+1)*AF267-ERP_i)*AE267*Ramure*Pc/MaxiM</f>
        <v>2.9019267611751845E-2</v>
      </c>
      <c r="AE267" s="305">
        <f t="shared" si="88"/>
        <v>0.8</v>
      </c>
      <c r="AF267" s="177">
        <f t="shared" si="89"/>
        <v>0.78686440996371787</v>
      </c>
      <c r="AG267" s="809">
        <f t="shared" si="95"/>
        <v>1</v>
      </c>
      <c r="AH267" s="176">
        <f t="shared" si="90"/>
        <v>7</v>
      </c>
      <c r="AI267" s="225">
        <f t="shared" si="91"/>
        <v>1.7868644099637179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44815</v>
      </c>
      <c r="B268" s="616">
        <v>34.72</v>
      </c>
      <c r="C268" s="839"/>
      <c r="D268" s="393">
        <f t="shared" si="74"/>
        <v>36.758688788582788</v>
      </c>
      <c r="E268" s="385">
        <f t="shared" si="96"/>
        <v>41.545194771566806</v>
      </c>
      <c r="F268" s="385">
        <f t="shared" si="75"/>
        <v>41.791420739716244</v>
      </c>
      <c r="G268" s="110">
        <f t="shared" si="97"/>
        <v>0.92983845496327422</v>
      </c>
      <c r="H268" s="414" t="b">
        <f>Wh_hp&gt;='2021'!Maxi_hp</f>
        <v>0</v>
      </c>
      <c r="I268" s="380">
        <f>IF(H268,Wh_hp,'2021'!Maxi_hp)</f>
        <v>43.805127981597593</v>
      </c>
      <c r="J268" s="85">
        <f>IF(H268,An,'2021'!An_max)</f>
        <v>2019</v>
      </c>
      <c r="K268" s="197">
        <f t="shared" si="76"/>
        <v>44815</v>
      </c>
      <c r="L268" s="147">
        <f>IF(t&lt;Tvie,1-EXP((T0-t)*PertePVj)+'2021'!Pspv,1-EXP((T0-t)*PertePVj)+Pspv)</f>
        <v>5.5461412138726823E-2</v>
      </c>
      <c r="M268" s="843"/>
      <c r="N268" s="843"/>
      <c r="O268" s="48">
        <f>IF(t&lt;Tnet,'2021'!Resal+('2021'!Salim-'2021'!Resal)*(1-EXP(('2021'!Tnet-t)/('2021'!Tau_j))),Resal+(Salim-Resal)*(1-EXP((Tnet-t)/(Tau_j))))*Salcycl</f>
        <v>0.11521202414147458</v>
      </c>
      <c r="P268" s="339">
        <f>(INDEX(Models!$BJ268:$BT268,,T268)*(1-R268)+INDEX(Models!$BJ268:$BT268,,T268+1)*R268-ERP_i)*Q268*Ramure*Pc/MaxiM</f>
        <v>6.5417853687621905E-3</v>
      </c>
      <c r="Q268" s="305">
        <f t="shared" si="77"/>
        <v>0.8</v>
      </c>
      <c r="R268" s="177">
        <f t="shared" si="78"/>
        <v>0.58667564514841852</v>
      </c>
      <c r="S268" s="809">
        <f t="shared" si="79"/>
        <v>0</v>
      </c>
      <c r="T268" s="176">
        <f t="shared" si="80"/>
        <v>6</v>
      </c>
      <c r="U268" s="251">
        <f t="shared" si="81"/>
        <v>0.58667564514841852</v>
      </c>
      <c r="V268" s="383">
        <f t="shared" si="82"/>
        <v>37.315404591486413</v>
      </c>
      <c r="W268" s="402"/>
      <c r="X268" s="157">
        <f t="shared" si="83"/>
        <v>44815</v>
      </c>
      <c r="Y268" s="385">
        <f t="shared" si="84"/>
        <v>32.345967236110489</v>
      </c>
      <c r="Z268" s="385">
        <f t="shared" si="85"/>
        <v>34.245257580584124</v>
      </c>
      <c r="AA268" s="386">
        <f t="shared" si="86"/>
        <v>40.664880415816491</v>
      </c>
      <c r="AB268" s="197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0.1578665120759945</v>
      </c>
      <c r="AD268" s="231">
        <f>(INDEX(Models!$BJ268:$BT268,,AH268)*(1-AF268)+INDEX(Models!$BJ268:$BT268,,AH268+1)*AF268-ERP_i)*AE268*Ramure*Pc/MaxiM</f>
        <v>2.9930169687606877E-2</v>
      </c>
      <c r="AE268" s="305">
        <f t="shared" si="88"/>
        <v>0.8</v>
      </c>
      <c r="AF268" s="177">
        <f t="shared" si="89"/>
        <v>0.78739239231332192</v>
      </c>
      <c r="AG268" s="809">
        <f t="shared" si="95"/>
        <v>1</v>
      </c>
      <c r="AH268" s="176">
        <f t="shared" si="90"/>
        <v>7</v>
      </c>
      <c r="AI268" s="225">
        <f t="shared" si="91"/>
        <v>1.7873923923133219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44816</v>
      </c>
      <c r="B269" s="616">
        <v>25.007999999999999</v>
      </c>
      <c r="C269" s="839"/>
      <c r="D269" s="393">
        <f t="shared" si="74"/>
        <v>26.477049551762807</v>
      </c>
      <c r="E269" s="385">
        <f t="shared" si="96"/>
        <v>29.928226722078076</v>
      </c>
      <c r="F269" s="385">
        <f t="shared" si="75"/>
        <v>30.03817336263263</v>
      </c>
      <c r="G269" s="110">
        <f t="shared" si="97"/>
        <v>0.67412295396752586</v>
      </c>
      <c r="H269" s="414" t="b">
        <f>Wh_hp&gt;='2021'!Maxi_hp</f>
        <v>0</v>
      </c>
      <c r="I269" s="380">
        <f>IF(H269,Wh_hp,'2021'!Maxi_hp)</f>
        <v>44.561569210056845</v>
      </c>
      <c r="J269" s="85">
        <f>IF(H269,An,'2021'!An_max)</f>
        <v>2019</v>
      </c>
      <c r="K269" s="197">
        <f t="shared" si="76"/>
        <v>44816</v>
      </c>
      <c r="L269" s="147">
        <f>IF(t&lt;Tvie,1-EXP((T0-t)*PertePVj)+'2021'!Pspv,1-EXP((T0-t)*PertePVj)+Pspv)</f>
        <v>5.5483884217945284E-2</v>
      </c>
      <c r="M269" s="843"/>
      <c r="N269" s="843"/>
      <c r="O269" s="48">
        <f>IF(t&lt;Tnet,'2021'!Resal+('2021'!Salim-'2021'!Resal)*(1-EXP(('2021'!Tnet-t)/('2021'!Tau_j))),Resal+(Salim-Resal)*(1-EXP((Tnet-t)/(Tau_j))))*Salcycl</f>
        <v>0.11531512382487172</v>
      </c>
      <c r="P269" s="339">
        <f>(INDEX(Models!$BJ269:$BT269,,T269)*(1-R269)+INDEX(Models!$BJ269:$BT269,,T269+1)*R269-ERP_i)*Q269*Ramure*Pc/MaxiM</f>
        <v>6.8095406868742912E-3</v>
      </c>
      <c r="Q269" s="305">
        <f t="shared" si="77"/>
        <v>0.8</v>
      </c>
      <c r="R269" s="177">
        <f t="shared" si="78"/>
        <v>0.5871832624063229</v>
      </c>
      <c r="S269" s="809">
        <f t="shared" si="79"/>
        <v>0</v>
      </c>
      <c r="T269" s="176">
        <f t="shared" si="80"/>
        <v>6</v>
      </c>
      <c r="U269" s="251">
        <f t="shared" si="81"/>
        <v>0.5871832624063229</v>
      </c>
      <c r="V269" s="383">
        <f t="shared" si="82"/>
        <v>36.979830718913021</v>
      </c>
      <c r="W269" s="402"/>
      <c r="X269" s="157">
        <f t="shared" si="83"/>
        <v>44816</v>
      </c>
      <c r="Y269" s="385">
        <f t="shared" si="84"/>
        <v>23.496588082764706</v>
      </c>
      <c r="Z269" s="385">
        <f t="shared" si="85"/>
        <v>24.876852485793368</v>
      </c>
      <c r="AA269" s="386">
        <f t="shared" si="86"/>
        <v>29.54071020750521</v>
      </c>
      <c r="AB269" s="197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0.1578789977949456</v>
      </c>
      <c r="AD269" s="231">
        <f>(INDEX(Models!$BJ269:$BT269,,AH269)*(1-AF269)+INDEX(Models!$BJ269:$BT269,,AH269+1)*AF269-ERP_i)*AE269*Ramure*Pc/MaxiM</f>
        <v>3.081036017085137E-2</v>
      </c>
      <c r="AE269" s="305">
        <f t="shared" si="88"/>
        <v>0.8</v>
      </c>
      <c r="AF269" s="177">
        <f t="shared" si="89"/>
        <v>0.7879000095712263</v>
      </c>
      <c r="AG269" s="809">
        <f t="shared" si="95"/>
        <v>1</v>
      </c>
      <c r="AH269" s="176">
        <f t="shared" si="90"/>
        <v>7</v>
      </c>
      <c r="AI269" s="225">
        <f t="shared" si="91"/>
        <v>1.7879000095712263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44817</v>
      </c>
      <c r="B270" s="616">
        <v>12.157999999999999</v>
      </c>
      <c r="C270" s="839"/>
      <c r="D270" s="393">
        <f t="shared" si="74"/>
        <v>12.872505891732038</v>
      </c>
      <c r="E270" s="385">
        <f t="shared" si="96"/>
        <v>14.552062576616786</v>
      </c>
      <c r="F270" s="385">
        <f t="shared" si="75"/>
        <v>14.556747251681868</v>
      </c>
      <c r="G270" s="110">
        <f t="shared" si="97"/>
        <v>0.3295711942061943</v>
      </c>
      <c r="H270" s="414" t="b">
        <f>Wh_hp&gt;='2021'!Maxi_hp</f>
        <v>0</v>
      </c>
      <c r="I270" s="380">
        <f>IF(H270,Wh_hp,'2021'!Maxi_hp)</f>
        <v>41.322642207532596</v>
      </c>
      <c r="J270" s="85">
        <f>IF(H270,An,'2021'!An_max)</f>
        <v>2020</v>
      </c>
      <c r="K270" s="197">
        <f t="shared" si="76"/>
        <v>44817</v>
      </c>
      <c r="L270" s="147">
        <f>IF(t&lt;Tvie,1-EXP((T0-t)*PertePVj)+'2021'!Pspv,1-EXP((T0-t)*PertePVj)+Pspv)</f>
        <v>5.5506355774205735E-2</v>
      </c>
      <c r="M270" s="843"/>
      <c r="N270" s="843"/>
      <c r="O270" s="48">
        <f>IF(t&lt;Tnet,'2021'!Resal+('2021'!Salim-'2021'!Resal)*(1-EXP(('2021'!Tnet-t)/('2021'!Tau_j))),Resal+(Salim-Resal)*(1-EXP((Tnet-t)/(Tau_j))))*Salcycl</f>
        <v>0.1154170878555436</v>
      </c>
      <c r="P270" s="339">
        <f>(INDEX(Models!$BJ270:$BT270,,T270)*(1-R270)+INDEX(Models!$BJ270:$BT270,,T270+1)*R270-ERP_i)*Q270*Ramure*Pc/MaxiM</f>
        <v>7.0808572559796909E-3</v>
      </c>
      <c r="Q270" s="305">
        <f t="shared" si="77"/>
        <v>0.8</v>
      </c>
      <c r="R270" s="177">
        <f t="shared" si="78"/>
        <v>0.58767126620017507</v>
      </c>
      <c r="S270" s="809">
        <f t="shared" si="79"/>
        <v>0</v>
      </c>
      <c r="T270" s="176">
        <f t="shared" si="80"/>
        <v>6</v>
      </c>
      <c r="U270" s="251">
        <f t="shared" si="81"/>
        <v>0.58767126620017507</v>
      </c>
      <c r="V270" s="383">
        <f t="shared" si="82"/>
        <v>36.640936470254367</v>
      </c>
      <c r="W270" s="402"/>
      <c r="X270" s="157">
        <f t="shared" si="83"/>
        <v>44817</v>
      </c>
      <c r="Y270" s="385">
        <f t="shared" si="84"/>
        <v>11.561301806229036</v>
      </c>
      <c r="Z270" s="385">
        <f t="shared" si="85"/>
        <v>12.240740715313004</v>
      </c>
      <c r="AA270" s="386">
        <f t="shared" si="86"/>
        <v>14.53580171520351</v>
      </c>
      <c r="AB270" s="197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0.15789022476070377</v>
      </c>
      <c r="AD270" s="231">
        <f>(INDEX(Models!$BJ270:$BT270,,AH270)*(1-AF270)+INDEX(Models!$BJ270:$BT270,,AH270+1)*AF270-ERP_i)*AE270*Ramure*Pc/MaxiM</f>
        <v>3.1659048256854116E-2</v>
      </c>
      <c r="AE270" s="305">
        <f t="shared" si="88"/>
        <v>0.8</v>
      </c>
      <c r="AF270" s="177">
        <f t="shared" si="89"/>
        <v>0.78838801336507847</v>
      </c>
      <c r="AG270" s="809">
        <f t="shared" si="95"/>
        <v>1</v>
      </c>
      <c r="AH270" s="176">
        <f t="shared" si="90"/>
        <v>7</v>
      </c>
      <c r="AI270" s="225">
        <f t="shared" si="91"/>
        <v>1.7883880133650785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44818</v>
      </c>
      <c r="B271" s="616">
        <v>27.53</v>
      </c>
      <c r="C271" s="839"/>
      <c r="D271" s="393">
        <f t="shared" ref="D271:D334" si="98">Wh/(1-Ppv)</f>
        <v>29.148586829753338</v>
      </c>
      <c r="E271" s="385">
        <f t="shared" si="96"/>
        <v>32.955541099741602</v>
      </c>
      <c r="F271" s="385">
        <f t="shared" ref="F271:F334" si="99">Wh_sa/(1-Pvg*MEDIAN((-Sdif+Wh/Env_an)/Csdif,0,1))</f>
        <v>33.115065117091987</v>
      </c>
      <c r="G271" s="110">
        <f t="shared" si="97"/>
        <v>0.7564903347914711</v>
      </c>
      <c r="H271" s="414" t="b">
        <f>Wh_hp&gt;='2021'!Maxi_hp</f>
        <v>0</v>
      </c>
      <c r="I271" s="380">
        <f>IF(H271,Wh_hp,'2021'!Maxi_hp)</f>
        <v>40.506292806876168</v>
      </c>
      <c r="J271" s="85">
        <f>IF(H271,An,'2021'!An_max)</f>
        <v>2020</v>
      </c>
      <c r="K271" s="197">
        <f t="shared" ref="K271:K334" si="100">t</f>
        <v>44818</v>
      </c>
      <c r="L271" s="147">
        <f>IF(t&lt;Tvie,1-EXP((T0-t)*PertePVj)+'2021'!Pspv,1-EXP((T0-t)*PertePVj)+Pspv)</f>
        <v>5.5528826807520165E-2</v>
      </c>
      <c r="M271" s="843"/>
      <c r="N271" s="843"/>
      <c r="O271" s="48">
        <f>IF(t&lt;Tnet,'2021'!Resal+('2021'!Salim-'2021'!Resal)*(1-EXP(('2021'!Tnet-t)/('2021'!Tau_j))),Resal+(Salim-Resal)*(1-EXP((Tnet-t)/(Tau_j))))*Salcycl</f>
        <v>0.11551788084639017</v>
      </c>
      <c r="P271" s="339">
        <f>(INDEX(Models!$BJ271:$BT271,,T271)*(1-R271)+INDEX(Models!$BJ271:$BT271,,T271+1)*R271-ERP_i)*Q271*Ramure*Pc/MaxiM</f>
        <v>7.355805896311603E-3</v>
      </c>
      <c r="Q271" s="305">
        <f t="shared" ref="Q271:Q334" si="101">IF(OR(t&lt;Ttai,Notai),Dd+PousD*Croivg,Dens+PousD*(Croivg-Croi_tai))</f>
        <v>0.8</v>
      </c>
      <c r="R271" s="177">
        <f t="shared" ref="R271:R334" si="102">(Hp_vg-S271)/(INDEX(Echel_vg,T271+1)-S271)</f>
        <v>0.58814038304549776</v>
      </c>
      <c r="S271" s="809">
        <f t="shared" ref="S271:S334" si="103">INDEX(Echel_vg,T271)</f>
        <v>0</v>
      </c>
      <c r="T271" s="176">
        <f t="shared" ref="T271:T334" si="104">MIN(MATCH(Hp_vg,Echel_vg),10)</f>
        <v>6</v>
      </c>
      <c r="U271" s="251">
        <f t="shared" ref="U271:U334" si="105">IF(OR(t&lt;Ttai,Notai),Hdd+PousH*Croivg,Hdtf+PousH*(Croivg-Croi_tai))</f>
        <v>0.58814038304549776</v>
      </c>
      <c r="V271" s="383">
        <f t="shared" ref="V271:V334" si="106">MaxiM*(1-Ppv)*(1-Pvg)*(1-Psa)</f>
        <v>36.298911426535319</v>
      </c>
      <c r="W271" s="402"/>
      <c r="X271" s="157">
        <f t="shared" ref="X271:X334" si="107">t</f>
        <v>44818</v>
      </c>
      <c r="Y271" s="385">
        <f t="shared" ref="Y271:Y334" si="108">Wh_pvt_s*(1-Ppv)</f>
        <v>25.777556302526069</v>
      </c>
      <c r="Z271" s="385">
        <f t="shared" ref="Z271:Z334" si="109">Wh_sa_s*(1-Psa_s)</f>
        <v>27.293110720778657</v>
      </c>
      <c r="AA271" s="386">
        <f t="shared" ref="AA271:AA334" si="110">Wh_hp*(1-Pvg_s*MEDIAN((-Sdif+Wh/Env_an)/Csdif,0,1))</f>
        <v>32.410777199203196</v>
      </c>
      <c r="AB271" s="197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0.1579001468237039</v>
      </c>
      <c r="AD271" s="231">
        <f>(INDEX(Models!$BJ271:$BT271,,AH271)*(1-AF271)+INDEX(Models!$BJ271:$BT271,,AH271+1)*AF271-ERP_i)*AE271*Ramure*Pc/MaxiM</f>
        <v>3.2475393393137264E-2</v>
      </c>
      <c r="AE271" s="305">
        <f t="shared" ref="AE271:AE334" si="112">IF(OR(t&lt;Ttai,Notai),Dd_s+PousD*Croivg,Dens_s+PousD*(Croivg-Croi_tai))</f>
        <v>0.8</v>
      </c>
      <c r="AF271" s="177">
        <f t="shared" ref="AF271:AF334" si="113">(Hp_vg_s-AG271)/(INDEX(Echel_vg,AH271+1)-AG271)</f>
        <v>0.78885713021040127</v>
      </c>
      <c r="AG271" s="809">
        <f t="shared" si="95"/>
        <v>1</v>
      </c>
      <c r="AH271" s="176">
        <f t="shared" ref="AH271:AH334" si="114">MIN(MATCH(Hp_vg_s,Echel_vg),10)</f>
        <v>7</v>
      </c>
      <c r="AI271" s="225">
        <f t="shared" ref="AI271:AI334" si="115">IF(OR(t&lt;Ttai,Notai),Hdd_s+PousH*Croivg,Hdtai_s+PousH*(Croivg-Croi_tai))</f>
        <v>1.7888571302104013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44819</v>
      </c>
      <c r="B272" s="616">
        <v>29.992000000000001</v>
      </c>
      <c r="C272" s="839"/>
      <c r="D272" s="393">
        <f t="shared" si="98"/>
        <v>31.756092114719422</v>
      </c>
      <c r="E272" s="385">
        <f t="shared" si="96"/>
        <v>35.907642792713148</v>
      </c>
      <c r="F272" s="385">
        <f t="shared" si="99"/>
        <v>36.118064572645821</v>
      </c>
      <c r="G272" s="110">
        <f t="shared" si="97"/>
        <v>0.8326608158323483</v>
      </c>
      <c r="H272" s="414" t="b">
        <f>Wh_hp&gt;='2021'!Maxi_hp</f>
        <v>0</v>
      </c>
      <c r="I272" s="380">
        <f>IF(H272,Wh_hp,'2021'!Maxi_hp)</f>
        <v>40.691044739305312</v>
      </c>
      <c r="J272" s="85">
        <f>IF(H272,An,'2021'!An_max)</f>
        <v>2020</v>
      </c>
      <c r="K272" s="197">
        <f t="shared" si="100"/>
        <v>44819</v>
      </c>
      <c r="L272" s="147">
        <f>IF(t&lt;Tvie,1-EXP((T0-t)*PertePVj)+'2021'!Pspv,1-EXP((T0-t)*PertePVj)+Pspv)</f>
        <v>5.5551297317900789E-2</v>
      </c>
      <c r="M272" s="843"/>
      <c r="N272" s="843"/>
      <c r="O272" s="48">
        <f>IF(t&lt;Tnet,'2021'!Resal+('2021'!Salim-'2021'!Resal)*(1-EXP(('2021'!Tnet-t)/('2021'!Tau_j))),Resal+(Salim-Resal)*(1-EXP((Tnet-t)/(Tau_j))))*Salcycl</f>
        <v>0.11561746623023145</v>
      </c>
      <c r="P272" s="339">
        <f>(INDEX(Models!$BJ272:$BT272,,T272)*(1-R272)+INDEX(Models!$BJ272:$BT272,,T272+1)*R272-ERP_i)*Q272*Ramure*Pc/MaxiM</f>
        <v>7.6344549390317956E-3</v>
      </c>
      <c r="Q272" s="305">
        <f t="shared" si="101"/>
        <v>0.8</v>
      </c>
      <c r="R272" s="177">
        <f t="shared" si="102"/>
        <v>0.58859131497737538</v>
      </c>
      <c r="S272" s="809">
        <f t="shared" si="103"/>
        <v>0</v>
      </c>
      <c r="T272" s="176">
        <f t="shared" si="104"/>
        <v>6</v>
      </c>
      <c r="U272" s="251">
        <f t="shared" si="105"/>
        <v>0.58859131497737538</v>
      </c>
      <c r="V272" s="383">
        <f t="shared" si="106"/>
        <v>35.953945087755329</v>
      </c>
      <c r="W272" s="402"/>
      <c r="X272" s="157">
        <f t="shared" si="107"/>
        <v>44819</v>
      </c>
      <c r="Y272" s="385">
        <f t="shared" si="108"/>
        <v>27.996088291015877</v>
      </c>
      <c r="Z272" s="385">
        <f t="shared" si="109"/>
        <v>29.642783362940719</v>
      </c>
      <c r="AA272" s="386">
        <f t="shared" si="110"/>
        <v>35.201389610393697</v>
      </c>
      <c r="AB272" s="197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0.15790871635964393</v>
      </c>
      <c r="AD272" s="231">
        <f>(INDEX(Models!$BJ272:$BT272,,AH272)*(1-AF272)+INDEX(Models!$BJ272:$BT272,,AH272+1)*AF272-ERP_i)*AE272*Ramure*Pc/MaxiM</f>
        <v>3.3258504396700889E-2</v>
      </c>
      <c r="AE272" s="305">
        <f t="shared" si="112"/>
        <v>0.8</v>
      </c>
      <c r="AF272" s="177">
        <f t="shared" si="113"/>
        <v>0.78930806214227878</v>
      </c>
      <c r="AG272" s="809">
        <f t="shared" ref="AG272:AG335" si="119">INDEX(Echel_vg,AH272)</f>
        <v>1</v>
      </c>
      <c r="AH272" s="176">
        <f t="shared" si="114"/>
        <v>7</v>
      </c>
      <c r="AI272" s="225">
        <f t="shared" si="115"/>
        <v>1.7893080621422788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44820</v>
      </c>
      <c r="B273" s="616">
        <v>27.738</v>
      </c>
      <c r="C273" s="839"/>
      <c r="D273" s="393">
        <f t="shared" si="98"/>
        <v>29.370213405506373</v>
      </c>
      <c r="E273" s="385">
        <f t="shared" si="96"/>
        <v>33.213545617353702</v>
      </c>
      <c r="F273" s="385">
        <f t="shared" si="99"/>
        <v>33.394464771021198</v>
      </c>
      <c r="G273" s="110">
        <f t="shared" si="97"/>
        <v>0.77706348438122053</v>
      </c>
      <c r="H273" s="414" t="b">
        <f>Wh_hp&gt;='2021'!Maxi_hp</f>
        <v>0</v>
      </c>
      <c r="I273" s="380">
        <f>IF(H273,Wh_hp,'2021'!Maxi_hp)</f>
        <v>39.509966115704373</v>
      </c>
      <c r="J273" s="85">
        <f>IF(H273,An,'2021'!An_max)</f>
        <v>2018</v>
      </c>
      <c r="K273" s="197">
        <f t="shared" si="100"/>
        <v>44820</v>
      </c>
      <c r="L273" s="147">
        <f>IF(t&lt;Tvie,1-EXP((T0-t)*PertePVj)+'2021'!Pspv,1-EXP((T0-t)*PertePVj)+Pspv)</f>
        <v>5.5573767305359928E-2</v>
      </c>
      <c r="M273" s="843"/>
      <c r="N273" s="843"/>
      <c r="O273" s="48">
        <f>IF(t&lt;Tnet,'2021'!Resal+('2021'!Salim-'2021'!Resal)*(1-EXP(('2021'!Tnet-t)/('2021'!Tau_j))),Resal+(Salim-Resal)*(1-EXP((Tnet-t)/(Tau_j))))*Salcycl</f>
        <v>0.11571580631967313</v>
      </c>
      <c r="P273" s="339">
        <f>(INDEX(Models!$BJ273:$BT273,,T273)*(1-R273)+INDEX(Models!$BJ273:$BT273,,T273+1)*R273-ERP_i)*Q273*Ramure*Pc/MaxiM</f>
        <v>7.9168698985071419E-3</v>
      </c>
      <c r="Q273" s="305">
        <f t="shared" si="101"/>
        <v>0.8</v>
      </c>
      <c r="R273" s="177">
        <f t="shared" si="102"/>
        <v>0.58902474018365014</v>
      </c>
      <c r="S273" s="809">
        <f t="shared" si="103"/>
        <v>0</v>
      </c>
      <c r="T273" s="176">
        <f t="shared" si="104"/>
        <v>6</v>
      </c>
      <c r="U273" s="251">
        <f t="shared" si="105"/>
        <v>0.58902474018365014</v>
      </c>
      <c r="V273" s="383">
        <f t="shared" si="106"/>
        <v>35.606226868448303</v>
      </c>
      <c r="W273" s="402"/>
      <c r="X273" s="157">
        <f t="shared" si="107"/>
        <v>44820</v>
      </c>
      <c r="Y273" s="385">
        <f t="shared" si="108"/>
        <v>25.940104365269246</v>
      </c>
      <c r="Z273" s="385">
        <f t="shared" si="109"/>
        <v>27.46652249509933</v>
      </c>
      <c r="AA273" s="386">
        <f t="shared" si="110"/>
        <v>32.617314570887423</v>
      </c>
      <c r="AB273" s="197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0.15791588435626244</v>
      </c>
      <c r="AD273" s="231">
        <f>(INDEX(Models!$BJ273:$BT273,,AH273)*(1-AF273)+INDEX(Models!$BJ273:$BT273,,AH273+1)*AF273-ERP_i)*AE273*Ramure*Pc/MaxiM</f>
        <v>3.4007438689246786E-2</v>
      </c>
      <c r="AE273" s="305">
        <f t="shared" si="112"/>
        <v>0.8</v>
      </c>
      <c r="AF273" s="177">
        <f t="shared" si="113"/>
        <v>0.78974148734855354</v>
      </c>
      <c r="AG273" s="809">
        <f t="shared" si="119"/>
        <v>1</v>
      </c>
      <c r="AH273" s="176">
        <f t="shared" si="114"/>
        <v>7</v>
      </c>
      <c r="AI273" s="225">
        <f t="shared" si="115"/>
        <v>1.7897414873485535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44821</v>
      </c>
      <c r="B274" s="1288">
        <f>36.77*0.95</f>
        <v>34.9315</v>
      </c>
      <c r="C274" s="839"/>
      <c r="D274" s="393">
        <f t="shared" si="98"/>
        <v>36.98788734230132</v>
      </c>
      <c r="E274" s="385">
        <f t="shared" si="96"/>
        <v>41.832645792754526</v>
      </c>
      <c r="F274" s="385">
        <f t="shared" si="99"/>
        <v>42.174056181974457</v>
      </c>
      <c r="G274" s="110">
        <f t="shared" si="97"/>
        <v>0.99068968539385349</v>
      </c>
      <c r="H274" s="414" t="b">
        <f>Wh_hp&gt;='2021'!Maxi_hp</f>
        <v>1</v>
      </c>
      <c r="I274" s="380">
        <f>IF(H274,Wh_hp,'2021'!Maxi_hp)</f>
        <v>42.174056181974457</v>
      </c>
      <c r="J274" s="85">
        <f>IF(H274,An,'2021'!An_max)</f>
        <v>2022</v>
      </c>
      <c r="K274" s="197">
        <f t="shared" si="100"/>
        <v>44821</v>
      </c>
      <c r="L274" s="147">
        <f>IF(t&lt;Tvie,1-EXP((T0-t)*PertePVj)+'2021'!Pspv,1-EXP((T0-t)*PertePVj)+Pspv)</f>
        <v>5.5596236769909463E-2</v>
      </c>
      <c r="M274" s="843"/>
      <c r="N274" s="843"/>
      <c r="O274" s="48">
        <f>IF(t&lt;Tnet,'2021'!Resal+('2021'!Salim-'2021'!Resal)*(1-EXP(('2021'!Tnet-t)/('2021'!Tau_j))),Resal+(Salim-Resal)*(1-EXP((Tnet-t)/(Tau_j))))*Salcycl</f>
        <v>0.11581286238635008</v>
      </c>
      <c r="P274" s="339">
        <f>(INDEX(Models!$BJ274:$BT274,,T274)*(1-R274)+INDEX(Models!$BJ274:$BT274,,T274+1)*R274-ERP_i)*Q274*Ramure*Pc/MaxiM</f>
        <v>8.2031131355745149E-3</v>
      </c>
      <c r="Q274" s="305">
        <f t="shared" si="101"/>
        <v>0.8</v>
      </c>
      <c r="R274" s="177">
        <f t="shared" si="102"/>
        <v>0.58944131363776819</v>
      </c>
      <c r="S274" s="809">
        <f t="shared" si="103"/>
        <v>0</v>
      </c>
      <c r="T274" s="176">
        <f t="shared" si="104"/>
        <v>6</v>
      </c>
      <c r="U274" s="251">
        <f t="shared" si="105"/>
        <v>0.58944131363776819</v>
      </c>
      <c r="V274" s="383">
        <f t="shared" si="106"/>
        <v>35.255946097205573</v>
      </c>
      <c r="W274" s="402"/>
      <c r="X274" s="157">
        <f t="shared" si="107"/>
        <v>44821</v>
      </c>
      <c r="Y274" s="385">
        <f t="shared" si="108"/>
        <v>32.390205088965033</v>
      </c>
      <c r="Z274" s="385">
        <f t="shared" si="109"/>
        <v>34.296988586939399</v>
      </c>
      <c r="AA274" s="386">
        <f t="shared" si="110"/>
        <v>40.728973226680871</v>
      </c>
      <c r="AB274" s="197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0.15792160052608417</v>
      </c>
      <c r="AD274" s="231">
        <f>(INDEX(Models!$BJ274:$BT274,,AH274)*(1-AF274)+INDEX(Models!$BJ274:$BT274,,AH274+1)*AF274-ERP_i)*AE274*Ramure*Pc/MaxiM</f>
        <v>3.4721201658943629E-2</v>
      </c>
      <c r="AE274" s="305">
        <f t="shared" si="112"/>
        <v>0.8</v>
      </c>
      <c r="AF274" s="177">
        <f t="shared" si="113"/>
        <v>0.7901580608026717</v>
      </c>
      <c r="AG274" s="809">
        <f t="shared" si="119"/>
        <v>1</v>
      </c>
      <c r="AH274" s="176">
        <f t="shared" si="114"/>
        <v>7</v>
      </c>
      <c r="AI274" s="225">
        <f t="shared" si="115"/>
        <v>1.7901580608026717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44822</v>
      </c>
      <c r="B275" s="616">
        <v>35.006999999999998</v>
      </c>
      <c r="C275" s="839"/>
      <c r="D275" s="393">
        <f t="shared" si="98"/>
        <v>37.06871388889239</v>
      </c>
      <c r="E275" s="385">
        <f t="shared" si="96"/>
        <v>41.928598863421129</v>
      </c>
      <c r="F275" s="385">
        <f t="shared" si="99"/>
        <v>42.28779075370737</v>
      </c>
      <c r="G275" s="110">
        <f t="shared" si="97"/>
        <v>1.0030596920998258</v>
      </c>
      <c r="H275" s="414" t="b">
        <f>Wh_hp&gt;='2021'!Maxi_hp</f>
        <v>1</v>
      </c>
      <c r="I275" s="380">
        <f>IF(H275,Wh_hp,'2021'!Maxi_hp)</f>
        <v>42.28779075370737</v>
      </c>
      <c r="J275" s="85">
        <f>IF(H275,An,'2021'!An_max)</f>
        <v>2022</v>
      </c>
      <c r="K275" s="197">
        <f t="shared" si="100"/>
        <v>44822</v>
      </c>
      <c r="L275" s="147">
        <f>IF(t&lt;Tvie,1-EXP((T0-t)*PertePVj)+'2021'!Pspv,1-EXP((T0-t)*PertePVj)+Pspv)</f>
        <v>5.5618705711561828E-2</v>
      </c>
      <c r="M275" s="843"/>
      <c r="N275" s="843"/>
      <c r="O275" s="48">
        <f>IF(t&lt;Tnet,'2021'!Resal+('2021'!Salim-'2021'!Resal)*(1-EXP(('2021'!Tnet-t)/('2021'!Tau_j))),Resal+(Salim-Resal)*(1-EXP((Tnet-t)/(Tau_j))))*Salcycl</f>
        <v>0.1159085947603307</v>
      </c>
      <c r="P275" s="339">
        <f>(INDEX(Models!$BJ275:$BT275,,T275)*(1-R275)+INDEX(Models!$BJ275:$BT275,,T275+1)*R275-ERP_i)*Q275*Ramure*Pc/MaxiM</f>
        <v>8.493985708032099E-3</v>
      </c>
      <c r="Q275" s="305">
        <f t="shared" si="101"/>
        <v>0.8</v>
      </c>
      <c r="R275" s="177">
        <f t="shared" si="102"/>
        <v>0.58984166772959756</v>
      </c>
      <c r="S275" s="809">
        <f t="shared" si="103"/>
        <v>0</v>
      </c>
      <c r="T275" s="176">
        <f t="shared" si="104"/>
        <v>6</v>
      </c>
      <c r="U275" s="251">
        <f t="shared" si="105"/>
        <v>0.58984166772959756</v>
      </c>
      <c r="V275" s="383">
        <f t="shared" si="106"/>
        <v>34.900216084563844</v>
      </c>
      <c r="W275" s="402"/>
      <c r="X275" s="157">
        <f t="shared" si="107"/>
        <v>44822</v>
      </c>
      <c r="Y275" s="385">
        <f t="shared" si="108"/>
        <v>32.438379988832637</v>
      </c>
      <c r="Z275" s="385">
        <f t="shared" si="109"/>
        <v>34.348816717376792</v>
      </c>
      <c r="AA275" s="386">
        <f t="shared" si="110"/>
        <v>40.790725171073106</v>
      </c>
      <c r="AB275" s="197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0.15792581344605794</v>
      </c>
      <c r="AD275" s="231">
        <f>(INDEX(Models!$BJ275:$BT275,,AH275)*(1-AF275)+INDEX(Models!$BJ275:$BT275,,AH275+1)*AF275-ERP_i)*AE275*Ramure*Pc/MaxiM</f>
        <v>3.540183953693582E-2</v>
      </c>
      <c r="AE275" s="305">
        <f t="shared" si="112"/>
        <v>0.8</v>
      </c>
      <c r="AF275" s="177">
        <f t="shared" si="113"/>
        <v>0.79055841489450085</v>
      </c>
      <c r="AG275" s="809">
        <f t="shared" si="119"/>
        <v>1</v>
      </c>
      <c r="AH275" s="176">
        <f t="shared" si="114"/>
        <v>7</v>
      </c>
      <c r="AI275" s="225">
        <f t="shared" si="115"/>
        <v>1.7905584148945008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44823</v>
      </c>
      <c r="B276" s="616">
        <v>33.463000000000001</v>
      </c>
      <c r="C276" s="839"/>
      <c r="D276" s="393">
        <f t="shared" si="98"/>
        <v>35.434624089189342</v>
      </c>
      <c r="E276" s="385">
        <f t="shared" si="96"/>
        <v>40.084550744025968</v>
      </c>
      <c r="F276" s="385">
        <f t="shared" si="99"/>
        <v>40.423517538055499</v>
      </c>
      <c r="G276" s="110">
        <f t="shared" si="97"/>
        <v>0.9685120478785616</v>
      </c>
      <c r="H276" s="414" t="b">
        <f>Wh_hp&gt;='2021'!Maxi_hp</f>
        <v>1</v>
      </c>
      <c r="I276" s="380">
        <f>IF(H276,Wh_hp,'2021'!Maxi_hp)</f>
        <v>40.423517538055499</v>
      </c>
      <c r="J276" s="85">
        <f>IF(H276,An,'2021'!An_max)</f>
        <v>2022</v>
      </c>
      <c r="K276" s="197">
        <f t="shared" si="100"/>
        <v>44823</v>
      </c>
      <c r="L276" s="147">
        <f>IF(t&lt;Tvie,1-EXP((T0-t)*PertePVj)+'2021'!Pspv,1-EXP((T0-t)*PertePVj)+Pspv)</f>
        <v>5.5641174130329124E-2</v>
      </c>
      <c r="M276" s="843"/>
      <c r="N276" s="843"/>
      <c r="O276" s="48">
        <f>IF(t&lt;Tnet,'2021'!Resal+('2021'!Salim-'2021'!Resal)*(1-EXP(('2021'!Tnet-t)/('2021'!Tau_j))),Resal+(Salim-Resal)*(1-EXP((Tnet-t)/(Tau_j))))*Salcycl</f>
        <v>0.11600296295024914</v>
      </c>
      <c r="P276" s="339">
        <f>(INDEX(Models!$BJ276:$BT276,,T276)*(1-R276)+INDEX(Models!$BJ276:$BT276,,T276+1)*R276-ERP_i)*Q276*Ramure*Pc/MaxiM</f>
        <v>8.7753489255388041E-3</v>
      </c>
      <c r="Q276" s="305">
        <f t="shared" si="101"/>
        <v>0.8</v>
      </c>
      <c r="R276" s="177">
        <f t="shared" si="102"/>
        <v>0.59022641289271149</v>
      </c>
      <c r="S276" s="809">
        <f t="shared" si="103"/>
        <v>0</v>
      </c>
      <c r="T276" s="176">
        <f t="shared" si="104"/>
        <v>6</v>
      </c>
      <c r="U276" s="251">
        <f t="shared" si="105"/>
        <v>0.59022641289271149</v>
      </c>
      <c r="V276" s="383">
        <f t="shared" si="106"/>
        <v>34.537350765606803</v>
      </c>
      <c r="W276" s="402"/>
      <c r="X276" s="157">
        <f t="shared" si="107"/>
        <v>44823</v>
      </c>
      <c r="Y276" s="385">
        <f t="shared" si="108"/>
        <v>31.039407795898956</v>
      </c>
      <c r="Z276" s="385">
        <f t="shared" si="109"/>
        <v>32.868234981882452</v>
      </c>
      <c r="AA276" s="386">
        <f t="shared" si="110"/>
        <v>39.032592647052127</v>
      </c>
      <c r="AB276" s="197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0.15792847072471447</v>
      </c>
      <c r="AD276" s="231">
        <f>(INDEX(Models!$BJ276:$BT276,,AH276)*(1-AF276)+INDEX(Models!$BJ276:$BT276,,AH276+1)*AF276-ERP_i)*AE276*Ramure*Pc/MaxiM</f>
        <v>3.6008988086037724E-2</v>
      </c>
      <c r="AE276" s="305">
        <f t="shared" si="112"/>
        <v>0.8</v>
      </c>
      <c r="AF276" s="177">
        <f t="shared" si="113"/>
        <v>0.79094316005761489</v>
      </c>
      <c r="AG276" s="809">
        <f t="shared" si="119"/>
        <v>1</v>
      </c>
      <c r="AH276" s="176">
        <f t="shared" si="114"/>
        <v>7</v>
      </c>
      <c r="AI276" s="225">
        <f t="shared" si="115"/>
        <v>1.7909431600576149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44824</v>
      </c>
      <c r="B277" s="616">
        <v>34.179000000000002</v>
      </c>
      <c r="C277" s="839"/>
      <c r="D277" s="393">
        <f t="shared" si="98"/>
        <v>36.193671578352088</v>
      </c>
      <c r="E277" s="385">
        <f t="shared" si="96"/>
        <v>40.947510747108616</v>
      </c>
      <c r="F277" s="385">
        <f t="shared" si="99"/>
        <v>41.321180250587041</v>
      </c>
      <c r="G277" s="110">
        <f t="shared" si="97"/>
        <v>1.0003018215780648</v>
      </c>
      <c r="H277" s="414" t="b">
        <f>Wh_hp&gt;='2021'!Maxi_hp</f>
        <v>1</v>
      </c>
      <c r="I277" s="380">
        <f>IF(H277,Wh_hp,'2021'!Maxi_hp)</f>
        <v>41.321180250587041</v>
      </c>
      <c r="J277" s="85">
        <f>IF(H277,An,'2021'!An_max)</f>
        <v>2022</v>
      </c>
      <c r="K277" s="197">
        <f t="shared" si="100"/>
        <v>44824</v>
      </c>
      <c r="L277" s="147">
        <f>IF(t&lt;Tvie,1-EXP((T0-t)*PertePVj)+'2021'!Pspv,1-EXP((T0-t)*PertePVj)+Pspv)</f>
        <v>5.5663642026223453E-2</v>
      </c>
      <c r="M277" s="843"/>
      <c r="N277" s="843"/>
      <c r="O277" s="48">
        <f>IF(t&lt;Tnet,'2021'!Resal+('2021'!Salim-'2021'!Resal)*(1-EXP(('2021'!Tnet-t)/('2021'!Tau_j))),Resal+(Salim-Resal)*(1-EXP((Tnet-t)/(Tau_j))))*Salcycl</f>
        <v>0.11609592578450469</v>
      </c>
      <c r="P277" s="339">
        <f>(INDEX(Models!$BJ277:$BT277,,T277)*(1-R277)+INDEX(Models!$BJ277:$BT277,,T277+1)*R277-ERP_i)*Q277*Ramure*Pc/MaxiM</f>
        <v>9.0430501068060071E-3</v>
      </c>
      <c r="Q277" s="305">
        <f t="shared" si="101"/>
        <v>0.8</v>
      </c>
      <c r="R277" s="177">
        <f t="shared" si="102"/>
        <v>0.59059613822678203</v>
      </c>
      <c r="S277" s="809">
        <f t="shared" si="103"/>
        <v>0</v>
      </c>
      <c r="T277" s="176">
        <f t="shared" si="104"/>
        <v>6</v>
      </c>
      <c r="U277" s="251">
        <f t="shared" si="105"/>
        <v>0.59059613822678203</v>
      </c>
      <c r="V277" s="383">
        <f t="shared" si="106"/>
        <v>34.168687152923098</v>
      </c>
      <c r="W277" s="402"/>
      <c r="X277" s="157">
        <f t="shared" si="107"/>
        <v>44824</v>
      </c>
      <c r="Y277" s="385">
        <f t="shared" si="108"/>
        <v>31.657414684548019</v>
      </c>
      <c r="Z277" s="385">
        <f t="shared" si="109"/>
        <v>33.52345212300628</v>
      </c>
      <c r="AA277" s="386">
        <f t="shared" si="110"/>
        <v>39.810743740885627</v>
      </c>
      <c r="AB277" s="197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0.15792951919715831</v>
      </c>
      <c r="AD277" s="231">
        <f>(INDEX(Models!$BJ277:$BT277,,AH277)*(1-AF277)+INDEX(Models!$BJ277:$BT277,,AH277+1)*AF277-ERP_i)*AE277*Ramure*Pc/MaxiM</f>
        <v>3.6553566489184633E-2</v>
      </c>
      <c r="AE277" s="305">
        <f t="shared" si="112"/>
        <v>0.8</v>
      </c>
      <c r="AF277" s="177">
        <f t="shared" si="113"/>
        <v>0.79131288539168532</v>
      </c>
      <c r="AG277" s="809">
        <f t="shared" si="119"/>
        <v>1</v>
      </c>
      <c r="AH277" s="176">
        <f t="shared" si="114"/>
        <v>7</v>
      </c>
      <c r="AI277" s="225">
        <f t="shared" si="115"/>
        <v>1.7913128853916853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44825</v>
      </c>
      <c r="B278" s="616">
        <v>33.271000000000001</v>
      </c>
      <c r="C278" s="839"/>
      <c r="D278" s="393">
        <f t="shared" si="98"/>
        <v>35.232988025659594</v>
      </c>
      <c r="E278" s="385">
        <f t="shared" si="96"/>
        <v>39.864774142146089</v>
      </c>
      <c r="F278" s="385">
        <f t="shared" si="99"/>
        <v>40.230485089809569</v>
      </c>
      <c r="G278" s="110">
        <f t="shared" si="97"/>
        <v>0.98427738928177699</v>
      </c>
      <c r="H278" s="414" t="b">
        <f>Wh_hp&gt;='2021'!Maxi_hp</f>
        <v>1</v>
      </c>
      <c r="I278" s="380">
        <f>IF(H278,Wh_hp,'2021'!Maxi_hp)</f>
        <v>40.230485089809569</v>
      </c>
      <c r="J278" s="85">
        <f>IF(H278,An,'2021'!An_max)</f>
        <v>2022</v>
      </c>
      <c r="K278" s="197">
        <f t="shared" si="100"/>
        <v>44825</v>
      </c>
      <c r="L278" s="147">
        <f>IF(t&lt;Tvie,1-EXP((T0-t)*PertePVj)+'2021'!Pspv,1-EXP((T0-t)*PertePVj)+Pspv)</f>
        <v>5.5686109399257028E-2</v>
      </c>
      <c r="M278" s="843"/>
      <c r="N278" s="843"/>
      <c r="O278" s="48">
        <f>IF(t&lt;Tnet,'2021'!Resal+('2021'!Salim-'2021'!Resal)*(1-EXP(('2021'!Tnet-t)/('2021'!Tau_j))),Resal+(Salim-Resal)*(1-EXP((Tnet-t)/(Tau_j))))*Salcycl</f>
        <v>0.11618744157362845</v>
      </c>
      <c r="P278" s="339">
        <f>(INDEX(Models!$BJ278:$BT278,,T278)*(1-R278)+INDEX(Models!$BJ278:$BT278,,T278+1)*R278-ERP_i)*Q278*Ramure*Pc/MaxiM</f>
        <v>9.2964815373982237E-3</v>
      </c>
      <c r="Q278" s="305">
        <f t="shared" si="101"/>
        <v>0.8</v>
      </c>
      <c r="R278" s="177">
        <f t="shared" si="102"/>
        <v>0.59095141211388713</v>
      </c>
      <c r="S278" s="809">
        <f t="shared" si="103"/>
        <v>0</v>
      </c>
      <c r="T278" s="176">
        <f t="shared" si="104"/>
        <v>6</v>
      </c>
      <c r="U278" s="251">
        <f t="shared" si="105"/>
        <v>0.59095141211388713</v>
      </c>
      <c r="V278" s="383">
        <f t="shared" si="106"/>
        <v>33.795432782449673</v>
      </c>
      <c r="W278" s="402"/>
      <c r="X278" s="157">
        <f t="shared" si="107"/>
        <v>44825</v>
      </c>
      <c r="Y278" s="385">
        <f t="shared" si="108"/>
        <v>30.832019833912419</v>
      </c>
      <c r="Z278" s="385">
        <f t="shared" si="109"/>
        <v>32.650181407686432</v>
      </c>
      <c r="AA278" s="386">
        <f t="shared" si="110"/>
        <v>38.77366365772285</v>
      </c>
      <c r="AB278" s="197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0.15792890514788274</v>
      </c>
      <c r="AD278" s="231">
        <f>(INDEX(Models!$BJ278:$BT278,,AH278)*(1-AF278)+INDEX(Models!$BJ278:$BT278,,AH278+1)*AF278-ERP_i)*AE278*Ramure*Pc/MaxiM</f>
        <v>3.703283599577243E-2</v>
      </c>
      <c r="AE278" s="305">
        <f t="shared" si="112"/>
        <v>0.8</v>
      </c>
      <c r="AF278" s="177">
        <f t="shared" si="113"/>
        <v>0.79166815927879064</v>
      </c>
      <c r="AG278" s="809">
        <f t="shared" si="119"/>
        <v>1</v>
      </c>
      <c r="AH278" s="176">
        <f t="shared" si="114"/>
        <v>7</v>
      </c>
      <c r="AI278" s="225">
        <f t="shared" si="115"/>
        <v>1.7916681592787906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44826</v>
      </c>
      <c r="B279" s="616">
        <v>32.125</v>
      </c>
      <c r="C279" s="839"/>
      <c r="D279" s="393">
        <f t="shared" si="98"/>
        <v>34.020217903076151</v>
      </c>
      <c r="E279" s="385">
        <f t="shared" si="96"/>
        <v>38.496492600894264</v>
      </c>
      <c r="F279" s="385">
        <f t="shared" si="99"/>
        <v>38.846406402200635</v>
      </c>
      <c r="G279" s="110">
        <f t="shared" si="97"/>
        <v>0.96077389662167334</v>
      </c>
      <c r="H279" s="414" t="b">
        <f>Wh_hp&gt;='2021'!Maxi_hp</f>
        <v>1</v>
      </c>
      <c r="I279" s="380">
        <f>IF(H279,Wh_hp,'2021'!Maxi_hp)</f>
        <v>38.846406402200635</v>
      </c>
      <c r="J279" s="85">
        <f>IF(H279,An,'2021'!An_max)</f>
        <v>2022</v>
      </c>
      <c r="K279" s="197">
        <f t="shared" si="100"/>
        <v>44826</v>
      </c>
      <c r="L279" s="147">
        <f>IF(t&lt;Tvie,1-EXP((T0-t)*PertePVj)+'2021'!Pspv,1-EXP((T0-t)*PertePVj)+Pspv)</f>
        <v>5.570857624944206E-2</v>
      </c>
      <c r="M279" s="843"/>
      <c r="N279" s="843"/>
      <c r="O279" s="48">
        <f>IF(t&lt;Tnet,'2021'!Resal+('2021'!Salim-'2021'!Resal)*(1-EXP(('2021'!Tnet-t)/('2021'!Tau_j))),Resal+(Salim-Resal)*(1-EXP((Tnet-t)/(Tau_j))))*Salcycl</f>
        <v>0.11627746829367332</v>
      </c>
      <c r="P279" s="339">
        <f>(INDEX(Models!$BJ279:$BT279,,T279)*(1-R279)+INDEX(Models!$BJ279:$BT279,,T279+1)*R279-ERP_i)*Q279*Ramure*Pc/MaxiM</f>
        <v>9.5349694518923021E-3</v>
      </c>
      <c r="Q279" s="305">
        <f t="shared" si="101"/>
        <v>0.8</v>
      </c>
      <c r="R279" s="177">
        <f t="shared" si="102"/>
        <v>0.5912927828276594</v>
      </c>
      <c r="S279" s="809">
        <f t="shared" si="103"/>
        <v>0</v>
      </c>
      <c r="T279" s="176">
        <f t="shared" si="104"/>
        <v>6</v>
      </c>
      <c r="U279" s="251">
        <f t="shared" si="105"/>
        <v>0.5912927828276594</v>
      </c>
      <c r="V279" s="383">
        <f t="shared" si="106"/>
        <v>33.418794096643182</v>
      </c>
      <c r="W279" s="402"/>
      <c r="X279" s="157">
        <f t="shared" si="107"/>
        <v>44826</v>
      </c>
      <c r="Y279" s="385">
        <f t="shared" si="108"/>
        <v>29.79657115811489</v>
      </c>
      <c r="Z279" s="385">
        <f t="shared" si="109"/>
        <v>31.5544231459481</v>
      </c>
      <c r="AA279" s="386">
        <f t="shared" si="110"/>
        <v>37.472294211755056</v>
      </c>
      <c r="AB279" s="197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0.15792657456106646</v>
      </c>
      <c r="AD279" s="231">
        <f>(INDEX(Models!$BJ279:$BT279,,AH279)*(1-AF279)+INDEX(Models!$BJ279:$BT279,,AH279+1)*AF279-ERP_i)*AE279*Ramure*Pc/MaxiM</f>
        <v>3.7443843913717627E-2</v>
      </c>
      <c r="AE279" s="305">
        <f t="shared" si="112"/>
        <v>0.8</v>
      </c>
      <c r="AF279" s="177">
        <f t="shared" si="113"/>
        <v>0.79200952999256291</v>
      </c>
      <c r="AG279" s="809">
        <f t="shared" si="119"/>
        <v>1</v>
      </c>
      <c r="AH279" s="176">
        <f t="shared" si="114"/>
        <v>7</v>
      </c>
      <c r="AI279" s="225">
        <f t="shared" si="115"/>
        <v>1.7920095299925629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44827</v>
      </c>
      <c r="B280" s="616">
        <v>20.785</v>
      </c>
      <c r="C280" s="839"/>
      <c r="D280" s="393">
        <f t="shared" si="98"/>
        <v>22.011737055001404</v>
      </c>
      <c r="E280" s="385">
        <f t="shared" si="96"/>
        <v>24.910467629130483</v>
      </c>
      <c r="F280" s="385">
        <f t="shared" si="99"/>
        <v>25.025268135256969</v>
      </c>
      <c r="G280" s="110">
        <f t="shared" si="97"/>
        <v>0.62581879218261616</v>
      </c>
      <c r="H280" s="414" t="b">
        <f>Wh_hp&gt;='2021'!Maxi_hp</f>
        <v>0</v>
      </c>
      <c r="I280" s="380">
        <f>IF(H280,Wh_hp,'2021'!Maxi_hp)</f>
        <v>37.625376650076369</v>
      </c>
      <c r="J280" s="85">
        <f>IF(H280,An,'2021'!An_max)</f>
        <v>2019</v>
      </c>
      <c r="K280" s="197">
        <f t="shared" si="100"/>
        <v>44827</v>
      </c>
      <c r="L280" s="147">
        <f>IF(t&lt;Tvie,1-EXP((T0-t)*PertePVj)+'2021'!Pspv,1-EXP((T0-t)*PertePVj)+Pspv)</f>
        <v>5.5731042576790651E-2</v>
      </c>
      <c r="M280" s="843"/>
      <c r="N280" s="843"/>
      <c r="O280" s="48">
        <f>IF(t&lt;Tnet,'2021'!Resal+('2021'!Salim-'2021'!Resal)*(1-EXP(('2021'!Tnet-t)/('2021'!Tau_j))),Resal+(Salim-Resal)*(1-EXP((Tnet-t)/(Tau_j))))*Salcycl</f>
        <v>0.11636596379022934</v>
      </c>
      <c r="P280" s="339">
        <f>(INDEX(Models!$BJ280:$BT280,,T280)*(1-R280)+INDEX(Models!$BJ280:$BT280,,T280+1)*R280-ERP_i)*Q280*Ramure*Pc/MaxiM</f>
        <v>9.7578270975356932E-3</v>
      </c>
      <c r="Q280" s="305">
        <f t="shared" si="101"/>
        <v>0.8</v>
      </c>
      <c r="R280" s="177">
        <f t="shared" si="102"/>
        <v>0.59162077913433764</v>
      </c>
      <c r="S280" s="809">
        <f t="shared" si="103"/>
        <v>0</v>
      </c>
      <c r="T280" s="176">
        <f t="shared" si="104"/>
        <v>6</v>
      </c>
      <c r="U280" s="251">
        <f t="shared" si="105"/>
        <v>0.59162077913433764</v>
      </c>
      <c r="V280" s="383">
        <f t="shared" si="106"/>
        <v>33.039974708386751</v>
      </c>
      <c r="W280" s="402"/>
      <c r="X280" s="157">
        <f t="shared" si="107"/>
        <v>44827</v>
      </c>
      <c r="Y280" s="385">
        <f t="shared" si="108"/>
        <v>19.545322023960804</v>
      </c>
      <c r="Z280" s="385">
        <f t="shared" si="109"/>
        <v>20.69889290578557</v>
      </c>
      <c r="AA280" s="386">
        <f t="shared" si="110"/>
        <v>24.580744945543003</v>
      </c>
      <c r="AB280" s="197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0.15792247339767029</v>
      </c>
      <c r="AD280" s="231">
        <f>(INDEX(Models!$BJ280:$BT280,,AH280)*(1-AF280)+INDEX(Models!$BJ280:$BT280,,AH280+1)*AF280-ERP_i)*AE280*Ramure*Pc/MaxiM</f>
        <v>3.7783635041598512E-2</v>
      </c>
      <c r="AE280" s="305">
        <f t="shared" si="112"/>
        <v>0.8</v>
      </c>
      <c r="AF280" s="177">
        <f t="shared" si="113"/>
        <v>0.79233752629924092</v>
      </c>
      <c r="AG280" s="809">
        <f t="shared" si="119"/>
        <v>1</v>
      </c>
      <c r="AH280" s="176">
        <f t="shared" si="114"/>
        <v>7</v>
      </c>
      <c r="AI280" s="225">
        <f t="shared" si="115"/>
        <v>1.7923375262992409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44828</v>
      </c>
      <c r="B281" s="616">
        <v>15.148</v>
      </c>
      <c r="C281" s="839"/>
      <c r="D281" s="393">
        <f t="shared" si="98"/>
        <v>16.04242126865875</v>
      </c>
      <c r="E281" s="385">
        <f t="shared" si="96"/>
        <v>18.156837382531034</v>
      </c>
      <c r="F281" s="385">
        <f t="shared" si="99"/>
        <v>18.199273235215291</v>
      </c>
      <c r="G281" s="110">
        <f t="shared" si="97"/>
        <v>0.46025811484665019</v>
      </c>
      <c r="H281" s="414" t="b">
        <f>Wh_hp&gt;='2021'!Maxi_hp</f>
        <v>0</v>
      </c>
      <c r="I281" s="380">
        <f>IF(H281,Wh_hp,'2021'!Maxi_hp)</f>
        <v>36.227444973424483</v>
      </c>
      <c r="J281" s="85">
        <f>IF(H281,An,'2021'!An_max)</f>
        <v>2018</v>
      </c>
      <c r="K281" s="197">
        <f t="shared" si="100"/>
        <v>44828</v>
      </c>
      <c r="L281" s="147">
        <f>IF(t&lt;Tvie,1-EXP((T0-t)*PertePVj)+'2021'!Pspv,1-EXP((T0-t)*PertePVj)+Pspv)</f>
        <v>5.5753508381314903E-2</v>
      </c>
      <c r="M281" s="843"/>
      <c r="N281" s="843"/>
      <c r="O281" s="48">
        <f>IF(t&lt;Tnet,'2021'!Resal+('2021'!Salim-'2021'!Resal)*(1-EXP(('2021'!Tnet-t)/('2021'!Tau_j))),Resal+(Salim-Resal)*(1-EXP((Tnet-t)/(Tau_j))))*Salcycl</f>
        <v>0.11645288600241564</v>
      </c>
      <c r="P281" s="339">
        <f>(INDEX(Models!$BJ281:$BT281,,T281)*(1-R281)+INDEX(Models!$BJ281:$BT281,,T281+1)*R281-ERP_i)*Q281*Ramure*Pc/MaxiM</f>
        <v>9.9642823561333811E-3</v>
      </c>
      <c r="Q281" s="305">
        <f t="shared" si="101"/>
        <v>0.8</v>
      </c>
      <c r="R281" s="177">
        <f t="shared" si="102"/>
        <v>0.59193591088490094</v>
      </c>
      <c r="S281" s="809">
        <f t="shared" si="103"/>
        <v>0</v>
      </c>
      <c r="T281" s="176">
        <f t="shared" si="104"/>
        <v>6</v>
      </c>
      <c r="U281" s="251">
        <f t="shared" si="105"/>
        <v>0.59193591088490094</v>
      </c>
      <c r="V281" s="383">
        <f t="shared" si="106"/>
        <v>32.660177937021935</v>
      </c>
      <c r="W281" s="402"/>
      <c r="X281" s="157">
        <f t="shared" si="107"/>
        <v>44828</v>
      </c>
      <c r="Y281" s="385">
        <f t="shared" si="108"/>
        <v>14.342021397739261</v>
      </c>
      <c r="Z281" s="385">
        <f t="shared" si="109"/>
        <v>15.188853254994138</v>
      </c>
      <c r="AA281" s="386">
        <f t="shared" si="110"/>
        <v>18.037230415923251</v>
      </c>
      <c r="AB281" s="197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0.15791654789831633</v>
      </c>
      <c r="AD281" s="231">
        <f>(INDEX(Models!$BJ281:$BT281,,AH281)*(1-AF281)+INDEX(Models!$BJ281:$BT281,,AH281+1)*AF281-ERP_i)*AE281*Ramure*Pc/MaxiM</f>
        <v>3.8048968103069215E-2</v>
      </c>
      <c r="AE281" s="305">
        <f t="shared" si="112"/>
        <v>0.8</v>
      </c>
      <c r="AF281" s="177">
        <f t="shared" si="113"/>
        <v>0.79265265804980434</v>
      </c>
      <c r="AG281" s="809">
        <f t="shared" si="119"/>
        <v>1</v>
      </c>
      <c r="AH281" s="176">
        <f t="shared" si="114"/>
        <v>7</v>
      </c>
      <c r="AI281" s="225">
        <f t="shared" si="115"/>
        <v>1.7926526580498043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44829</v>
      </c>
      <c r="B282" s="616">
        <v>27.872</v>
      </c>
      <c r="C282" s="839"/>
      <c r="D282" s="393">
        <f t="shared" si="98"/>
        <v>29.518418534769516</v>
      </c>
      <c r="E282" s="385">
        <f t="shared" si="96"/>
        <v>33.412218058285077</v>
      </c>
      <c r="F282" s="385">
        <f t="shared" si="99"/>
        <v>33.687273536530633</v>
      </c>
      <c r="G282" s="110">
        <f t="shared" si="97"/>
        <v>0.86169755458311914</v>
      </c>
      <c r="H282" s="414" t="b">
        <f>Wh_hp&gt;='2021'!Maxi_hp</f>
        <v>0</v>
      </c>
      <c r="I282" s="380">
        <f>IF(H282,Wh_hp,'2021'!Maxi_hp)</f>
        <v>37.737616608562853</v>
      </c>
      <c r="J282" s="85">
        <f>IF(H282,An,'2021'!An_max)</f>
        <v>2018</v>
      </c>
      <c r="K282" s="197">
        <f t="shared" si="100"/>
        <v>44829</v>
      </c>
      <c r="L282" s="147">
        <f>IF(t&lt;Tvie,1-EXP((T0-t)*PertePVj)+'2021'!Pspv,1-EXP((T0-t)*PertePVj)+Pspv)</f>
        <v>5.577597366302714E-2</v>
      </c>
      <c r="M282" s="843"/>
      <c r="N282" s="843"/>
      <c r="O282" s="48">
        <f>IF(t&lt;Tnet,'2021'!Resal+('2021'!Salim-'2021'!Resal)*(1-EXP(('2021'!Tnet-t)/('2021'!Tau_j))),Resal+(Salim-Resal)*(1-EXP((Tnet-t)/(Tau_j))))*Salcycl</f>
        <v>0.11653819320594405</v>
      </c>
      <c r="P282" s="339">
        <f>(INDEX(Models!$BJ282:$BT282,,T282)*(1-R282)+INDEX(Models!$BJ282:$BT282,,T282+1)*R282-ERP_i)*Q282*Ramure*Pc/MaxiM</f>
        <v>1.014424606245534E-2</v>
      </c>
      <c r="Q282" s="305">
        <f t="shared" si="101"/>
        <v>0.8</v>
      </c>
      <c r="R282" s="177">
        <f t="shared" si="102"/>
        <v>0.59223866959756288</v>
      </c>
      <c r="S282" s="809">
        <f t="shared" si="103"/>
        <v>0</v>
      </c>
      <c r="T282" s="176">
        <f t="shared" si="104"/>
        <v>6</v>
      </c>
      <c r="U282" s="251">
        <f t="shared" si="105"/>
        <v>0.59223866959756288</v>
      </c>
      <c r="V282" s="383">
        <f t="shared" si="106"/>
        <v>32.280907897273792</v>
      </c>
      <c r="W282" s="402"/>
      <c r="X282" s="157">
        <f t="shared" si="107"/>
        <v>44829</v>
      </c>
      <c r="Y282" s="385">
        <f t="shared" si="108"/>
        <v>25.961500409361474</v>
      </c>
      <c r="Z282" s="385">
        <f t="shared" si="109"/>
        <v>27.495064397033659</v>
      </c>
      <c r="AA282" s="386">
        <f t="shared" si="110"/>
        <v>32.650932106063109</v>
      </c>
      <c r="AB282" s="197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0.15790874491059423</v>
      </c>
      <c r="AD282" s="231">
        <f>(INDEX(Models!$BJ282:$BT282,,AH282)*(1-AF282)+INDEX(Models!$BJ282:$BT282,,AH282+1)*AF282-ERP_i)*AE282*Ramure*Pc/MaxiM</f>
        <v>3.8221025599766735E-2</v>
      </c>
      <c r="AE282" s="305">
        <f t="shared" si="112"/>
        <v>0.8</v>
      </c>
      <c r="AF282" s="177">
        <f t="shared" si="113"/>
        <v>0.79295541676246639</v>
      </c>
      <c r="AG282" s="809">
        <f t="shared" si="119"/>
        <v>1</v>
      </c>
      <c r="AH282" s="176">
        <f t="shared" si="114"/>
        <v>7</v>
      </c>
      <c r="AI282" s="225">
        <f t="shared" si="115"/>
        <v>1.7929554167624664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44830</v>
      </c>
      <c r="B283" s="616">
        <v>24.187999999999999</v>
      </c>
      <c r="C283" s="839"/>
      <c r="D283" s="393">
        <f t="shared" si="98"/>
        <v>25.617411561546426</v>
      </c>
      <c r="E283" s="385">
        <f t="shared" si="96"/>
        <v>28.999371781494631</v>
      </c>
      <c r="F283" s="385">
        <f t="shared" si="99"/>
        <v>29.19623154769987</v>
      </c>
      <c r="G283" s="110">
        <f t="shared" si="97"/>
        <v>0.75545181867177269</v>
      </c>
      <c r="H283" s="414" t="b">
        <f>Wh_hp&gt;='2021'!Maxi_hp</f>
        <v>0</v>
      </c>
      <c r="I283" s="380">
        <f>IF(H283,Wh_hp,'2021'!Maxi_hp)</f>
        <v>38.347746104915672</v>
      </c>
      <c r="J283" s="85">
        <f>IF(H283,An,'2021'!An_max)</f>
        <v>2018</v>
      </c>
      <c r="K283" s="197">
        <f t="shared" si="100"/>
        <v>44830</v>
      </c>
      <c r="L283" s="147">
        <f>IF(t&lt;Tvie,1-EXP((T0-t)*PertePVj)+'2021'!Pspv,1-EXP((T0-t)*PertePVj)+Pspv)</f>
        <v>5.5798438421939461E-2</v>
      </c>
      <c r="M283" s="843"/>
      <c r="N283" s="843"/>
      <c r="O283" s="48">
        <f>IF(t&lt;Tnet,'2021'!Resal+('2021'!Salim-'2021'!Resal)*(1-EXP(('2021'!Tnet-t)/('2021'!Tau_j))),Resal+(Salim-Resal)*(1-EXP((Tnet-t)/(Tau_j))))*Salcycl</f>
        <v>0.11662184427410031</v>
      </c>
      <c r="P283" s="339">
        <f>(INDEX(Models!$BJ283:$BT283,,T283)*(1-R283)+INDEX(Models!$BJ283:$BT283,,T283+1)*R283-ERP_i)*Q283*Ramure*Pc/MaxiM</f>
        <v>1.0301561926706759E-2</v>
      </c>
      <c r="Q283" s="305">
        <f t="shared" si="101"/>
        <v>0.8</v>
      </c>
      <c r="R283" s="177">
        <f t="shared" si="102"/>
        <v>0.59252952903001632</v>
      </c>
      <c r="S283" s="809">
        <f t="shared" si="103"/>
        <v>0</v>
      </c>
      <c r="T283" s="176">
        <f t="shared" si="104"/>
        <v>6</v>
      </c>
      <c r="U283" s="251">
        <f t="shared" si="105"/>
        <v>0.59252952903001632</v>
      </c>
      <c r="V283" s="383">
        <f t="shared" si="106"/>
        <v>31.903202699696958</v>
      </c>
      <c r="W283" s="402"/>
      <c r="X283" s="157">
        <f t="shared" si="107"/>
        <v>44830</v>
      </c>
      <c r="Y283" s="385">
        <f t="shared" si="108"/>
        <v>22.631857108390104</v>
      </c>
      <c r="Z283" s="385">
        <f t="shared" si="109"/>
        <v>23.969307009580756</v>
      </c>
      <c r="AA283" s="386">
        <f t="shared" si="110"/>
        <v>28.463696585030892</v>
      </c>
      <c r="AB283" s="197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0.15789901223911104</v>
      </c>
      <c r="AD283" s="231">
        <f>(INDEX(Models!$BJ283:$BT283,,AH283)*(1-AF283)+INDEX(Models!$BJ283:$BT283,,AH283+1)*AF283-ERP_i)*AE283*Ramure*Pc/MaxiM</f>
        <v>3.8333146619430339E-2</v>
      </c>
      <c r="AE283" s="305">
        <f t="shared" si="112"/>
        <v>0.8</v>
      </c>
      <c r="AF283" s="177">
        <f t="shared" si="113"/>
        <v>0.79324627619491972</v>
      </c>
      <c r="AG283" s="809">
        <f t="shared" si="119"/>
        <v>1</v>
      </c>
      <c r="AH283" s="176">
        <f t="shared" si="114"/>
        <v>7</v>
      </c>
      <c r="AI283" s="225">
        <f t="shared" si="115"/>
        <v>1.7932462761949197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44831</v>
      </c>
      <c r="B284" s="616">
        <v>15.672000000000001</v>
      </c>
      <c r="C284" s="839"/>
      <c r="D284" s="393">
        <f t="shared" si="98"/>
        <v>16.598545809921017</v>
      </c>
      <c r="E284" s="385">
        <f t="shared" si="96"/>
        <v>18.791596511213772</v>
      </c>
      <c r="F284" s="385">
        <f t="shared" si="99"/>
        <v>18.846967008545764</v>
      </c>
      <c r="G284" s="110">
        <f t="shared" si="97"/>
        <v>0.49334013443817865</v>
      </c>
      <c r="H284" s="414" t="b">
        <f>Wh_hp&gt;='2021'!Maxi_hp</f>
        <v>0</v>
      </c>
      <c r="I284" s="380">
        <f>IF(H284,Wh_hp,'2021'!Maxi_hp)</f>
        <v>36.969576410748687</v>
      </c>
      <c r="J284" s="85">
        <f>IF(H284,An,'2021'!An_max)</f>
        <v>2018</v>
      </c>
      <c r="K284" s="197">
        <f t="shared" si="100"/>
        <v>44831</v>
      </c>
      <c r="L284" s="147">
        <f>IF(t&lt;Tvie,1-EXP((T0-t)*PertePVj)+'2021'!Pspv,1-EXP((T0-t)*PertePVj)+Pspv)</f>
        <v>5.582090265806397E-2</v>
      </c>
      <c r="M284" s="843"/>
      <c r="N284" s="843"/>
      <c r="O284" s="48">
        <f>IF(t&lt;Tnet,'2021'!Resal+('2021'!Salim-'2021'!Resal)*(1-EXP(('2021'!Tnet-t)/('2021'!Tau_j))),Resal+(Salim-Resal)*(1-EXP((Tnet-t)/(Tau_j))))*Salcycl</f>
        <v>0.11670379895524383</v>
      </c>
      <c r="P284" s="339">
        <f>(INDEX(Models!$BJ284:$BT284,,T284)*(1-R284)+INDEX(Models!$BJ284:$BT284,,T284+1)*R284-ERP_i)*Q284*Ramure*Pc/MaxiM</f>
        <v>1.0435115380675618E-2</v>
      </c>
      <c r="Q284" s="305">
        <f t="shared" si="101"/>
        <v>0.8</v>
      </c>
      <c r="R284" s="177">
        <f t="shared" si="102"/>
        <v>0.59280894574089948</v>
      </c>
      <c r="S284" s="809">
        <f t="shared" si="103"/>
        <v>0</v>
      </c>
      <c r="T284" s="176">
        <f t="shared" si="104"/>
        <v>6</v>
      </c>
      <c r="U284" s="251">
        <f t="shared" si="105"/>
        <v>0.59280894574089948</v>
      </c>
      <c r="V284" s="383">
        <f t="shared" si="106"/>
        <v>31.528262833824218</v>
      </c>
      <c r="W284" s="402"/>
      <c r="X284" s="157">
        <f t="shared" si="107"/>
        <v>44831</v>
      </c>
      <c r="Y284" s="385">
        <f t="shared" si="108"/>
        <v>14.823388959719153</v>
      </c>
      <c r="Z284" s="385">
        <f t="shared" si="109"/>
        <v>15.699763955217955</v>
      </c>
      <c r="AA284" s="386">
        <f t="shared" si="110"/>
        <v>18.643305031355261</v>
      </c>
      <c r="AB284" s="197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0.15788729901628007</v>
      </c>
      <c r="AD284" s="231">
        <f>(INDEX(Models!$BJ284:$BT284,,AH284)*(1-AF284)+INDEX(Models!$BJ284:$BT284,,AH284+1)*AF284-ERP_i)*AE284*Ramure*Pc/MaxiM</f>
        <v>3.8382104785819771E-2</v>
      </c>
      <c r="AE284" s="305">
        <f t="shared" si="112"/>
        <v>0.8</v>
      </c>
      <c r="AF284" s="177">
        <f t="shared" si="113"/>
        <v>0.79352569290580277</v>
      </c>
      <c r="AG284" s="809">
        <f t="shared" si="119"/>
        <v>1</v>
      </c>
      <c r="AH284" s="176">
        <f t="shared" si="114"/>
        <v>7</v>
      </c>
      <c r="AI284" s="225">
        <f t="shared" si="115"/>
        <v>1.7935256929058028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44832</v>
      </c>
      <c r="B285" s="616">
        <v>17.247</v>
      </c>
      <c r="C285" s="839"/>
      <c r="D285" s="393">
        <f t="shared" si="98"/>
        <v>18.26709614242316</v>
      </c>
      <c r="E285" s="385">
        <f t="shared" si="96"/>
        <v>20.682479164920348</v>
      </c>
      <c r="F285" s="385">
        <f t="shared" si="99"/>
        <v>20.761769146130831</v>
      </c>
      <c r="G285" s="110">
        <f t="shared" si="97"/>
        <v>0.54980955356441619</v>
      </c>
      <c r="H285" s="414" t="b">
        <f>Wh_hp&gt;='2021'!Maxi_hp</f>
        <v>0</v>
      </c>
      <c r="I285" s="380">
        <f>IF(H285,Wh_hp,'2021'!Maxi_hp)</f>
        <v>35.211477825551697</v>
      </c>
      <c r="J285" s="85">
        <f>IF(H285,An,'2021'!An_max)</f>
        <v>2018</v>
      </c>
      <c r="K285" s="197">
        <f t="shared" si="100"/>
        <v>44832</v>
      </c>
      <c r="L285" s="147">
        <f>IF(t&lt;Tvie,1-EXP((T0-t)*PertePVj)+'2021'!Pspv,1-EXP((T0-t)*PertePVj)+Pspv)</f>
        <v>5.5843366371412878E-2</v>
      </c>
      <c r="M285" s="843"/>
      <c r="N285" s="843"/>
      <c r="O285" s="48">
        <f>IF(t&lt;Tnet,'2021'!Resal+('2021'!Salim-'2021'!Resal)*(1-EXP(('2021'!Tnet-t)/('2021'!Tau_j))),Resal+(Salim-Resal)*(1-EXP((Tnet-t)/(Tau_j))))*Salcycl</f>
        <v>0.11678401816518834</v>
      </c>
      <c r="P285" s="339">
        <f>(INDEX(Models!$BJ285:$BT285,,T285)*(1-R285)+INDEX(Models!$BJ285:$BT285,,T285+1)*R285-ERP_i)*Q285*Ramure*Pc/MaxiM</f>
        <v>1.0543742467273973E-2</v>
      </c>
      <c r="Q285" s="305">
        <f t="shared" si="101"/>
        <v>0.8</v>
      </c>
      <c r="R285" s="177">
        <f t="shared" si="102"/>
        <v>0.59307735964004349</v>
      </c>
      <c r="S285" s="809">
        <f t="shared" si="103"/>
        <v>0</v>
      </c>
      <c r="T285" s="176">
        <f t="shared" si="104"/>
        <v>6</v>
      </c>
      <c r="U285" s="251">
        <f t="shared" si="105"/>
        <v>0.59307735964004349</v>
      </c>
      <c r="V285" s="383">
        <f t="shared" si="106"/>
        <v>31.157287598513172</v>
      </c>
      <c r="W285" s="402"/>
      <c r="X285" s="157">
        <f t="shared" si="107"/>
        <v>44832</v>
      </c>
      <c r="Y285" s="385">
        <f t="shared" si="108"/>
        <v>16.278277054348376</v>
      </c>
      <c r="Z285" s="385">
        <f t="shared" si="109"/>
        <v>17.241076824072746</v>
      </c>
      <c r="AA285" s="386">
        <f t="shared" si="110"/>
        <v>20.473263782162896</v>
      </c>
      <c r="AB285" s="197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0.15787355609153819</v>
      </c>
      <c r="AD285" s="231">
        <f>(INDEX(Models!$BJ285:$BT285,,AH285)*(1-AF285)+INDEX(Models!$BJ285:$BT285,,AH285+1)*AF285-ERP_i)*AE285*Ramure*Pc/MaxiM</f>
        <v>3.8364572820744708E-2</v>
      </c>
      <c r="AE285" s="305">
        <f t="shared" si="112"/>
        <v>0.8</v>
      </c>
      <c r="AF285" s="177">
        <f t="shared" si="113"/>
        <v>0.79379410680494678</v>
      </c>
      <c r="AG285" s="809">
        <f t="shared" si="119"/>
        <v>1</v>
      </c>
      <c r="AH285" s="176">
        <f t="shared" si="114"/>
        <v>7</v>
      </c>
      <c r="AI285" s="225">
        <f t="shared" si="115"/>
        <v>1.7937941068049468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44833</v>
      </c>
      <c r="B286" s="616">
        <v>19.902000000000001</v>
      </c>
      <c r="C286" s="839"/>
      <c r="D286" s="393">
        <f t="shared" si="98"/>
        <v>21.079631076976156</v>
      </c>
      <c r="E286" s="385">
        <f t="shared" si="96"/>
        <v>23.86902404741668</v>
      </c>
      <c r="F286" s="385">
        <f t="shared" si="99"/>
        <v>23.995182956088907</v>
      </c>
      <c r="G286" s="110">
        <f t="shared" si="97"/>
        <v>0.64285943118732003</v>
      </c>
      <c r="H286" s="414" t="b">
        <f>Wh_hp&gt;='2021'!Maxi_hp</f>
        <v>0</v>
      </c>
      <c r="I286" s="380">
        <f>IF(H286,Wh_hp,'2021'!Maxi_hp)</f>
        <v>37.209601495836544</v>
      </c>
      <c r="J286" s="85">
        <f>IF(H286,An,'2021'!An_max)</f>
        <v>2019</v>
      </c>
      <c r="K286" s="197">
        <f t="shared" si="100"/>
        <v>44833</v>
      </c>
      <c r="L286" s="147">
        <f>IF(t&lt;Tvie,1-EXP((T0-t)*PertePVj)+'2021'!Pspv,1-EXP((T0-t)*PertePVj)+Pspv)</f>
        <v>5.5865829561998398E-2</v>
      </c>
      <c r="M286" s="843"/>
      <c r="N286" s="843"/>
      <c r="O286" s="48">
        <f>IF(t&lt;Tnet,'2021'!Resal+('2021'!Salim-'2021'!Resal)*(1-EXP(('2021'!Tnet-t)/('2021'!Tau_j))),Resal+(Salim-Resal)*(1-EXP((Tnet-t)/(Tau_j))))*Salcycl</f>
        <v>0.1168624642926034</v>
      </c>
      <c r="P286" s="339">
        <f>(INDEX(Models!$BJ286:$BT286,,T286)*(1-R286)+INDEX(Models!$BJ286:$BT286,,T286+1)*R286-ERP_i)*Q286*Ramure*Pc/MaxiM</f>
        <v>1.0626238352715518E-2</v>
      </c>
      <c r="Q286" s="305">
        <f t="shared" si="101"/>
        <v>0.8</v>
      </c>
      <c r="R286" s="177">
        <f t="shared" si="102"/>
        <v>0.59333519452713568</v>
      </c>
      <c r="S286" s="809">
        <f t="shared" si="103"/>
        <v>0</v>
      </c>
      <c r="T286" s="176">
        <f t="shared" si="104"/>
        <v>6</v>
      </c>
      <c r="U286" s="251">
        <f t="shared" si="105"/>
        <v>0.59333519452713568</v>
      </c>
      <c r="V286" s="383">
        <f t="shared" si="106"/>
        <v>30.791475079572745</v>
      </c>
      <c r="W286" s="402"/>
      <c r="X286" s="157">
        <f t="shared" si="107"/>
        <v>44833</v>
      </c>
      <c r="Y286" s="385">
        <f t="shared" si="108"/>
        <v>18.717132635004479</v>
      </c>
      <c r="Z286" s="385">
        <f t="shared" si="109"/>
        <v>19.824653339600289</v>
      </c>
      <c r="AA286" s="386">
        <f t="shared" si="110"/>
        <v>23.540741508103764</v>
      </c>
      <c r="AB286" s="197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0.15785773643639189</v>
      </c>
      <c r="AD286" s="231">
        <f>(INDEX(Models!$BJ286:$BT286,,AH286)*(1-AF286)+INDEX(Models!$BJ286:$BT286,,AH286+1)*AF286-ERP_i)*AE286*Ramure*Pc/MaxiM</f>
        <v>3.8277147404543715E-2</v>
      </c>
      <c r="AE286" s="305">
        <f t="shared" si="112"/>
        <v>0.8</v>
      </c>
      <c r="AF286" s="177">
        <f t="shared" si="113"/>
        <v>0.79405194169203908</v>
      </c>
      <c r="AG286" s="809">
        <f t="shared" si="119"/>
        <v>1</v>
      </c>
      <c r="AH286" s="176">
        <f t="shared" si="114"/>
        <v>7</v>
      </c>
      <c r="AI286" s="225">
        <f t="shared" si="115"/>
        <v>1.7940519416920391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44834</v>
      </c>
      <c r="B287" s="616">
        <v>21.347000000000001</v>
      </c>
      <c r="C287" s="839"/>
      <c r="D287" s="393">
        <f t="shared" si="98"/>
        <v>22.610671835028946</v>
      </c>
      <c r="E287" s="385">
        <f t="shared" si="96"/>
        <v>25.604883959678876</v>
      </c>
      <c r="F287" s="385">
        <f t="shared" si="99"/>
        <v>25.762706140181908</v>
      </c>
      <c r="G287" s="110">
        <f t="shared" si="97"/>
        <v>0.69824992109122408</v>
      </c>
      <c r="H287" s="414" t="b">
        <f>Wh_hp&gt;='2021'!Maxi_hp</f>
        <v>0</v>
      </c>
      <c r="I287" s="380">
        <f>IF(H287,Wh_hp,'2021'!Maxi_hp)</f>
        <v>35.36597547612849</v>
      </c>
      <c r="J287" s="85">
        <f>IF(H287,An,'2021'!An_max)</f>
        <v>2018</v>
      </c>
      <c r="K287" s="197">
        <f t="shared" si="100"/>
        <v>44834</v>
      </c>
      <c r="L287" s="147">
        <f>IF(t&lt;Tvie,1-EXP((T0-t)*PertePVj)+'2021'!Pspv,1-EXP((T0-t)*PertePVj)+Pspv)</f>
        <v>5.5888292229832631E-2</v>
      </c>
      <c r="M287" s="843"/>
      <c r="N287" s="843"/>
      <c r="O287" s="48">
        <f>IF(t&lt;Tnet,'2021'!Resal+('2021'!Salim-'2021'!Resal)*(1-EXP(('2021'!Tnet-t)/('2021'!Tau_j))),Resal+(Salim-Resal)*(1-EXP((Tnet-t)/(Tau_j))))*Salcycl</f>
        <v>0.11693910151536115</v>
      </c>
      <c r="P287" s="339">
        <f>(INDEX(Models!$BJ287:$BT287,,T287)*(1-R287)+INDEX(Models!$BJ287:$BT287,,T287+1)*R287-ERP_i)*Q287*Ramure*Pc/MaxiM</f>
        <v>1.0681367409808205E-2</v>
      </c>
      <c r="Q287" s="305">
        <f t="shared" si="101"/>
        <v>0.8</v>
      </c>
      <c r="R287" s="177">
        <f t="shared" si="102"/>
        <v>0.59358285861850646</v>
      </c>
      <c r="S287" s="809">
        <f t="shared" si="103"/>
        <v>0</v>
      </c>
      <c r="T287" s="176">
        <f t="shared" si="104"/>
        <v>6</v>
      </c>
      <c r="U287" s="251">
        <f t="shared" si="105"/>
        <v>0.59358285861850646</v>
      </c>
      <c r="V287" s="383">
        <f t="shared" si="106"/>
        <v>30.432022137675652</v>
      </c>
      <c r="W287" s="402"/>
      <c r="X287" s="157">
        <f t="shared" si="107"/>
        <v>44834</v>
      </c>
      <c r="Y287" s="385">
        <f t="shared" si="108"/>
        <v>20.035968853886512</v>
      </c>
      <c r="Z287" s="385">
        <f t="shared" si="109"/>
        <v>21.222031978830231</v>
      </c>
      <c r="AA287" s="386">
        <f t="shared" si="110"/>
        <v>25.199518888455426</v>
      </c>
      <c r="AB287" s="197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0.157839795562422</v>
      </c>
      <c r="AD287" s="231">
        <f>(INDEX(Models!$BJ287:$BT287,,AH287)*(1-AF287)+INDEX(Models!$BJ287:$BT287,,AH287+1)*AF287-ERP_i)*AE287*Ramure*Pc/MaxiM</f>
        <v>3.8116378426891126E-2</v>
      </c>
      <c r="AE287" s="305">
        <f t="shared" si="112"/>
        <v>0.8</v>
      </c>
      <c r="AF287" s="177">
        <f t="shared" si="113"/>
        <v>0.79429960578340975</v>
      </c>
      <c r="AG287" s="809">
        <f t="shared" si="119"/>
        <v>1</v>
      </c>
      <c r="AH287" s="176">
        <f t="shared" si="114"/>
        <v>7</v>
      </c>
      <c r="AI287" s="225">
        <f t="shared" si="115"/>
        <v>1.7942996057834097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44835</v>
      </c>
      <c r="B288" s="616">
        <v>27.094999999999999</v>
      </c>
      <c r="C288" s="839"/>
      <c r="D288" s="393">
        <f t="shared" si="98"/>
        <v>28.699617250761779</v>
      </c>
      <c r="E288" s="385">
        <f t="shared" si="96"/>
        <v>32.502909303817106</v>
      </c>
      <c r="F288" s="385">
        <f t="shared" si="99"/>
        <v>32.804375547600038</v>
      </c>
      <c r="G288" s="110">
        <f t="shared" si="97"/>
        <v>0.89938081360319821</v>
      </c>
      <c r="H288" s="414" t="b">
        <f>Wh_hp&gt;='2021'!Maxi_hp</f>
        <v>0</v>
      </c>
      <c r="I288" s="380">
        <f>IF(H288,Wh_hp,'2021'!Maxi_hp)</f>
        <v>35.633737494395717</v>
      </c>
      <c r="J288" s="85">
        <f>IF(H288,An,'2021'!An_max)</f>
        <v>2020</v>
      </c>
      <c r="K288" s="197">
        <f t="shared" si="100"/>
        <v>44835</v>
      </c>
      <c r="L288" s="147">
        <f>IF(t&lt;Tvie,1-EXP((T0-t)*PertePVj)+'2021'!Pspv,1-EXP((T0-t)*PertePVj)+Pspv)</f>
        <v>5.591075437492779E-2</v>
      </c>
      <c r="M288" s="843"/>
      <c r="N288" s="843"/>
      <c r="O288" s="48">
        <f>IF(t&lt;Tnet,'2021'!Resal+('2021'!Salim-'2021'!Resal)*(1-EXP(('2021'!Tnet-t)/('2021'!Tau_j))),Resal+(Salim-Resal)*(1-EXP((Tnet-t)/(Tau_j))))*Salcycl</f>
        <v>0.11701389612555928</v>
      </c>
      <c r="P288" s="339">
        <f>(INDEX(Models!$BJ288:$BT288,,T288)*(1-R288)+INDEX(Models!$BJ288:$BT288,,T288+1)*R288-ERP_i)*Q288*Ramure*Pc/MaxiM</f>
        <v>1.0707875017980741E-2</v>
      </c>
      <c r="Q288" s="305">
        <f t="shared" si="101"/>
        <v>0.8</v>
      </c>
      <c r="R288" s="177">
        <f t="shared" si="102"/>
        <v>0.59382074506180438</v>
      </c>
      <c r="S288" s="809">
        <f t="shared" si="103"/>
        <v>0</v>
      </c>
      <c r="T288" s="176">
        <f t="shared" si="104"/>
        <v>6</v>
      </c>
      <c r="U288" s="251">
        <f t="shared" si="105"/>
        <v>0.59382074506180438</v>
      </c>
      <c r="V288" s="383">
        <f t="shared" si="106"/>
        <v>30.080124391217627</v>
      </c>
      <c r="W288" s="402"/>
      <c r="X288" s="157">
        <f t="shared" si="107"/>
        <v>44835</v>
      </c>
      <c r="Y288" s="385">
        <f t="shared" si="108"/>
        <v>25.234631525062838</v>
      </c>
      <c r="Z288" s="385">
        <f t="shared" si="109"/>
        <v>26.729074228946686</v>
      </c>
      <c r="AA288" s="386">
        <f t="shared" si="110"/>
        <v>31.737947293980472</v>
      </c>
      <c r="AB288" s="197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0.15781969194913201</v>
      </c>
      <c r="AD288" s="231">
        <f>(INDEX(Models!$BJ288:$BT288,,AH288)*(1-AF288)+INDEX(Models!$BJ288:$BT288,,AH288+1)*AF288-ERP_i)*AE288*Ramure*Pc/MaxiM</f>
        <v>3.7878802986724781E-2</v>
      </c>
      <c r="AE288" s="305">
        <f t="shared" si="112"/>
        <v>0.8</v>
      </c>
      <c r="AF288" s="177">
        <f t="shared" si="113"/>
        <v>0.79453749222670789</v>
      </c>
      <c r="AG288" s="809">
        <f t="shared" si="119"/>
        <v>1</v>
      </c>
      <c r="AH288" s="176">
        <f t="shared" si="114"/>
        <v>7</v>
      </c>
      <c r="AI288" s="225">
        <f t="shared" si="115"/>
        <v>1.7945374922267079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44836</v>
      </c>
      <c r="B289" s="616">
        <v>28.899000000000001</v>
      </c>
      <c r="C289" s="839"/>
      <c r="D289" s="393">
        <f t="shared" si="98"/>
        <v>30.611181846132219</v>
      </c>
      <c r="E289" s="385">
        <f t="shared" si="96"/>
        <v>34.670658939866712</v>
      </c>
      <c r="F289" s="385">
        <f t="shared" si="99"/>
        <v>35.030637529726519</v>
      </c>
      <c r="G289" s="110">
        <f t="shared" si="97"/>
        <v>0.97149700531218908</v>
      </c>
      <c r="H289" s="414" t="b">
        <f>Wh_hp&gt;='2021'!Maxi_hp</f>
        <v>0</v>
      </c>
      <c r="I289" s="380">
        <f>IF(H289,Wh_hp,'2021'!Maxi_hp)</f>
        <v>36.768753531604595</v>
      </c>
      <c r="J289" s="85">
        <f>IF(H289,An,'2021'!An_max)</f>
        <v>2018</v>
      </c>
      <c r="K289" s="197">
        <f t="shared" si="100"/>
        <v>44836</v>
      </c>
      <c r="L289" s="147">
        <f>IF(t&lt;Tvie,1-EXP((T0-t)*PertePVj)+'2021'!Pspv,1-EXP((T0-t)*PertePVj)+Pspv)</f>
        <v>5.5933215997295976E-2</v>
      </c>
      <c r="M289" s="843"/>
      <c r="N289" s="843"/>
      <c r="O289" s="48">
        <f>IF(t&lt;Tnet,'2021'!Resal+('2021'!Salim-'2021'!Resal)*(1-EXP(('2021'!Tnet-t)/('2021'!Tau_j))),Resal+(Salim-Resal)*(1-EXP((Tnet-t)/(Tau_j))))*Salcycl</f>
        <v>0.11708681686077291</v>
      </c>
      <c r="P289" s="339">
        <f>(INDEX(Models!$BJ289:$BT289,,T289)*(1-R289)+INDEX(Models!$BJ289:$BT289,,T289+1)*R289-ERP_i)*Q289*Ramure*Pc/MaxiM</f>
        <v>1.0705572901091779E-2</v>
      </c>
      <c r="Q289" s="305">
        <f t="shared" si="101"/>
        <v>0.8</v>
      </c>
      <c r="R289" s="177">
        <f t="shared" si="102"/>
        <v>0.59404923243839203</v>
      </c>
      <c r="S289" s="809">
        <f t="shared" si="103"/>
        <v>0</v>
      </c>
      <c r="T289" s="176">
        <f t="shared" si="104"/>
        <v>6</v>
      </c>
      <c r="U289" s="251">
        <f t="shared" si="105"/>
        <v>0.59404923243839203</v>
      </c>
      <c r="V289" s="383">
        <f t="shared" si="106"/>
        <v>29.733967117983795</v>
      </c>
      <c r="W289" s="402"/>
      <c r="X289" s="157">
        <f t="shared" si="107"/>
        <v>44836</v>
      </c>
      <c r="Y289" s="385">
        <f t="shared" si="108"/>
        <v>26.848395645027548</v>
      </c>
      <c r="Z289" s="385">
        <f t="shared" si="109"/>
        <v>28.439085136746691</v>
      </c>
      <c r="AA289" s="386">
        <f t="shared" si="110"/>
        <v>33.767509995718633</v>
      </c>
      <c r="AB289" s="197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0.1577973874783048</v>
      </c>
      <c r="AD289" s="231">
        <f>(INDEX(Models!$BJ289:$BT289,,AH289)*(1-AF289)+INDEX(Models!$BJ289:$BT289,,AH289+1)*AF289-ERP_i)*AE289*Ramure*Pc/MaxiM</f>
        <v>3.7564744903201046E-2</v>
      </c>
      <c r="AE289" s="305">
        <f t="shared" si="112"/>
        <v>0.8</v>
      </c>
      <c r="AF289" s="177">
        <f t="shared" si="113"/>
        <v>0.79476597960329531</v>
      </c>
      <c r="AG289" s="809">
        <f t="shared" si="119"/>
        <v>1</v>
      </c>
      <c r="AH289" s="176">
        <f t="shared" si="114"/>
        <v>7</v>
      </c>
      <c r="AI289" s="225">
        <f t="shared" si="115"/>
        <v>1.7947659796032953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44837</v>
      </c>
      <c r="B290" s="616">
        <v>27.670999999999999</v>
      </c>
      <c r="C290" s="839"/>
      <c r="D290" s="393">
        <f t="shared" si="98"/>
        <v>29.3111237774391</v>
      </c>
      <c r="E290" s="385">
        <f t="shared" si="96"/>
        <v>33.200865281929296</v>
      </c>
      <c r="F290" s="385">
        <f t="shared" si="99"/>
        <v>33.528785626812798</v>
      </c>
      <c r="G290" s="110">
        <f t="shared" si="97"/>
        <v>0.94063049822093547</v>
      </c>
      <c r="H290" s="414" t="b">
        <f>Wh_hp&gt;='2021'!Maxi_hp</f>
        <v>0</v>
      </c>
      <c r="I290" s="380">
        <f>IF(H290,Wh_hp,'2021'!Maxi_hp)</f>
        <v>34.895336094635255</v>
      </c>
      <c r="J290" s="85">
        <f>IF(H290,An,'2021'!An_max)</f>
        <v>2018</v>
      </c>
      <c r="K290" s="197">
        <f t="shared" si="100"/>
        <v>44837</v>
      </c>
      <c r="L290" s="147">
        <f>IF(t&lt;Tvie,1-EXP((T0-t)*PertePVj)+'2021'!Pspv,1-EXP((T0-t)*PertePVj)+Pspv)</f>
        <v>5.5955677096949513E-2</v>
      </c>
      <c r="M290" s="843"/>
      <c r="N290" s="843"/>
      <c r="O290" s="48">
        <f>IF(t&lt;Tnet,'2021'!Resal+('2021'!Salim-'2021'!Resal)*(1-EXP(('2021'!Tnet-t)/('2021'!Tau_j))),Resal+(Salim-Resal)*(1-EXP((Tnet-t)/(Tau_j))))*Salcycl</f>
        <v>0.11715783523893032</v>
      </c>
      <c r="P290" s="339">
        <f>(INDEX(Models!$BJ290:$BT290,,T290)*(1-R290)+INDEX(Models!$BJ290:$BT290,,T290+1)*R290-ERP_i)*Q290*Ramure*Pc/MaxiM</f>
        <v>1.0672502293701923E-2</v>
      </c>
      <c r="Q290" s="305">
        <f t="shared" si="101"/>
        <v>0.8</v>
      </c>
      <c r="R290" s="177">
        <f t="shared" si="102"/>
        <v>0.59426868525333776</v>
      </c>
      <c r="S290" s="809">
        <f t="shared" si="103"/>
        <v>0</v>
      </c>
      <c r="T290" s="176">
        <f t="shared" si="104"/>
        <v>6</v>
      </c>
      <c r="U290" s="251">
        <f t="shared" si="105"/>
        <v>0.59426868525333776</v>
      </c>
      <c r="V290" s="383">
        <f t="shared" si="106"/>
        <v>29.390995773860659</v>
      </c>
      <c r="W290" s="402"/>
      <c r="X290" s="157">
        <f t="shared" si="107"/>
        <v>44837</v>
      </c>
      <c r="Y290" s="385">
        <f t="shared" si="108"/>
        <v>25.75053531123719</v>
      </c>
      <c r="Z290" s="385">
        <f t="shared" si="109"/>
        <v>27.276828731993408</v>
      </c>
      <c r="AA290" s="386">
        <f t="shared" si="110"/>
        <v>32.386546388410224</v>
      </c>
      <c r="AB290" s="197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0.1577728478713423</v>
      </c>
      <c r="AD290" s="231">
        <f>(INDEX(Models!$BJ290:$BT290,,AH290)*(1-AF290)+INDEX(Models!$BJ290:$BT290,,AH290+1)*AF290-ERP_i)*AE290*Ramure*Pc/MaxiM</f>
        <v>3.7175341762154472E-2</v>
      </c>
      <c r="AE290" s="305">
        <f t="shared" si="112"/>
        <v>0.8</v>
      </c>
      <c r="AF290" s="177">
        <f t="shared" si="113"/>
        <v>0.79498543241824127</v>
      </c>
      <c r="AG290" s="809">
        <f t="shared" si="119"/>
        <v>1</v>
      </c>
      <c r="AH290" s="176">
        <f t="shared" si="114"/>
        <v>7</v>
      </c>
      <c r="AI290" s="225">
        <f t="shared" si="115"/>
        <v>1.7949854324182413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44838</v>
      </c>
      <c r="B291" s="616">
        <v>29.058</v>
      </c>
      <c r="C291" s="839"/>
      <c r="D291" s="393">
        <f t="shared" si="98"/>
        <v>30.78106679478817</v>
      </c>
      <c r="E291" s="385">
        <f t="shared" si="96"/>
        <v>34.868606324409349</v>
      </c>
      <c r="F291" s="385">
        <f t="shared" si="99"/>
        <v>35.243063599626076</v>
      </c>
      <c r="G291" s="110">
        <f t="shared" si="97"/>
        <v>1.0002513885874345</v>
      </c>
      <c r="H291" s="414" t="b">
        <f>Wh_hp&gt;='2021'!Maxi_hp</f>
        <v>1</v>
      </c>
      <c r="I291" s="380">
        <f>IF(H291,Wh_hp,'2021'!Maxi_hp)</f>
        <v>35.243063599626076</v>
      </c>
      <c r="J291" s="85">
        <f>IF(H291,An,'2021'!An_max)</f>
        <v>2022</v>
      </c>
      <c r="K291" s="197">
        <f t="shared" si="100"/>
        <v>44838</v>
      </c>
      <c r="L291" s="147">
        <f>IF(t&lt;Tvie,1-EXP((T0-t)*PertePVj)+'2021'!Pspv,1-EXP((T0-t)*PertePVj)+Pspv)</f>
        <v>5.597813767390028E-2</v>
      </c>
      <c r="M291" s="843"/>
      <c r="N291" s="843"/>
      <c r="O291" s="48">
        <f>IF(t&lt;Tnet,'2021'!Resal+('2021'!Salim-'2021'!Resal)*(1-EXP(('2021'!Tnet-t)/('2021'!Tau_j))),Resal+(Salim-Resal)*(1-EXP((Tnet-t)/(Tau_j))))*Salcycl</f>
        <v>0.11722692589407413</v>
      </c>
      <c r="P291" s="339">
        <f>(INDEX(Models!$BJ291:$BT291,,T291)*(1-R291)+INDEX(Models!$BJ291:$BT291,,T291+1)*R291-ERP_i)*Q291*Ramure*Pc/MaxiM</f>
        <v>1.0624992182027605E-2</v>
      </c>
      <c r="Q291" s="305">
        <f t="shared" si="101"/>
        <v>0.8</v>
      </c>
      <c r="R291" s="177">
        <f t="shared" si="102"/>
        <v>0.59447945441293426</v>
      </c>
      <c r="S291" s="809">
        <f t="shared" si="103"/>
        <v>0</v>
      </c>
      <c r="T291" s="176">
        <f t="shared" si="104"/>
        <v>6</v>
      </c>
      <c r="U291" s="251">
        <f t="shared" si="105"/>
        <v>0.59447945441293426</v>
      </c>
      <c r="V291" s="383">
        <f t="shared" si="106"/>
        <v>29.050696986320617</v>
      </c>
      <c r="W291" s="402"/>
      <c r="X291" s="157">
        <f t="shared" si="107"/>
        <v>44838</v>
      </c>
      <c r="Y291" s="385">
        <f t="shared" si="108"/>
        <v>26.991976507491604</v>
      </c>
      <c r="Z291" s="385">
        <f t="shared" si="109"/>
        <v>28.59253327140382</v>
      </c>
      <c r="AA291" s="386">
        <f t="shared" si="110"/>
        <v>33.947638996581034</v>
      </c>
      <c r="AB291" s="197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0.15774604312590174</v>
      </c>
      <c r="AD291" s="231">
        <f>(INDEX(Models!$BJ291:$BT291,,AH291)*(1-AF291)+INDEX(Models!$BJ291:$BT291,,AH291+1)*AF291-ERP_i)*AE291*Ramure*Pc/MaxiM</f>
        <v>3.6756867046563516E-2</v>
      </c>
      <c r="AE291" s="305">
        <f t="shared" si="112"/>
        <v>0.8</v>
      </c>
      <c r="AF291" s="177">
        <f t="shared" si="113"/>
        <v>0.79519620157783777</v>
      </c>
      <c r="AG291" s="809">
        <f t="shared" si="119"/>
        <v>1</v>
      </c>
      <c r="AH291" s="176">
        <f t="shared" si="114"/>
        <v>7</v>
      </c>
      <c r="AI291" s="225">
        <f t="shared" si="115"/>
        <v>1.7951962015778378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44839</v>
      </c>
      <c r="B292" s="616">
        <v>29.302</v>
      </c>
      <c r="C292" s="839"/>
      <c r="D292" s="393">
        <f t="shared" si="98"/>
        <v>31.04027389157396</v>
      </c>
      <c r="E292" s="385">
        <f t="shared" si="96"/>
        <v>35.164909091434325</v>
      </c>
      <c r="F292" s="385">
        <f t="shared" si="99"/>
        <v>35.540310062015891</v>
      </c>
      <c r="G292" s="110">
        <f t="shared" si="97"/>
        <v>1.0205110662343277</v>
      </c>
      <c r="H292" s="414" t="b">
        <f>Wh_hp&gt;='2021'!Maxi_hp</f>
        <v>1</v>
      </c>
      <c r="I292" s="380">
        <f>IF(H292,Wh_hp,'2021'!Maxi_hp)</f>
        <v>35.540310062015891</v>
      </c>
      <c r="J292" s="85">
        <f>IF(H292,An,'2021'!An_max)</f>
        <v>2022</v>
      </c>
      <c r="K292" s="197">
        <f t="shared" si="100"/>
        <v>44839</v>
      </c>
      <c r="L292" s="147">
        <f>IF(t&lt;Tvie,1-EXP((T0-t)*PertePVj)+'2021'!Pspv,1-EXP((T0-t)*PertePVj)+Pspv)</f>
        <v>5.6000597728160711E-2</v>
      </c>
      <c r="M292" s="843"/>
      <c r="N292" s="843"/>
      <c r="O292" s="48">
        <f>IF(t&lt;Tnet,'2021'!Resal+('2021'!Salim-'2021'!Resal)*(1-EXP(('2021'!Tnet-t)/('2021'!Tau_j))),Resal+(Salim-Resal)*(1-EXP((Tnet-t)/(Tau_j))))*Salcycl</f>
        <v>0.11729406691015928</v>
      </c>
      <c r="P292" s="339">
        <f>(INDEX(Models!$BJ292:$BT292,,T292)*(1-R292)+INDEX(Models!$BJ292:$BT292,,T292+1)*R292-ERP_i)*Q292*Ramure*Pc/MaxiM</f>
        <v>1.0562681358899567E-2</v>
      </c>
      <c r="Q292" s="305">
        <f t="shared" si="101"/>
        <v>0.8</v>
      </c>
      <c r="R292" s="177">
        <f t="shared" si="102"/>
        <v>0.59468187768971237</v>
      </c>
      <c r="S292" s="809">
        <f t="shared" si="103"/>
        <v>0</v>
      </c>
      <c r="T292" s="176">
        <f t="shared" si="104"/>
        <v>6</v>
      </c>
      <c r="U292" s="251">
        <f t="shared" si="105"/>
        <v>0.59468187768971237</v>
      </c>
      <c r="V292" s="383">
        <f t="shared" si="106"/>
        <v>28.713064433611663</v>
      </c>
      <c r="W292" s="402"/>
      <c r="X292" s="157">
        <f t="shared" si="107"/>
        <v>44839</v>
      </c>
      <c r="Y292" s="385">
        <f t="shared" si="108"/>
        <v>27.232587838928335</v>
      </c>
      <c r="Z292" s="385">
        <f t="shared" si="109"/>
        <v>28.848098604077599</v>
      </c>
      <c r="AA292" s="386">
        <f t="shared" si="110"/>
        <v>34.24988610871074</v>
      </c>
      <c r="AB292" s="197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0.15771694794801994</v>
      </c>
      <c r="AD292" s="231">
        <f>(INDEX(Models!$BJ292:$BT292,,AH292)*(1-AF292)+INDEX(Models!$BJ292:$BT292,,AH292+1)*AF292-ERP_i)*AE292*Ramure*Pc/MaxiM</f>
        <v>3.6308742131214711E-2</v>
      </c>
      <c r="AE292" s="305">
        <f t="shared" si="112"/>
        <v>0.8</v>
      </c>
      <c r="AF292" s="177">
        <f t="shared" si="113"/>
        <v>0.79539862485461565</v>
      </c>
      <c r="AG292" s="809">
        <f t="shared" si="119"/>
        <v>1</v>
      </c>
      <c r="AH292" s="176">
        <f t="shared" si="114"/>
        <v>7</v>
      </c>
      <c r="AI292" s="225">
        <f t="shared" si="115"/>
        <v>1.7953986248546157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44840</v>
      </c>
      <c r="B293" s="616">
        <v>10.689</v>
      </c>
      <c r="C293" s="839"/>
      <c r="D293" s="393">
        <f t="shared" si="98"/>
        <v>11.323369794362831</v>
      </c>
      <c r="E293" s="385">
        <f t="shared" si="96"/>
        <v>12.828967694950535</v>
      </c>
      <c r="F293" s="385">
        <f t="shared" si="99"/>
        <v>12.843716618359306</v>
      </c>
      <c r="G293" s="110">
        <f t="shared" si="97"/>
        <v>0.3731429048203429</v>
      </c>
      <c r="H293" s="414" t="b">
        <f>Wh_hp&gt;='2021'!Maxi_hp</f>
        <v>0</v>
      </c>
      <c r="I293" s="380">
        <f>IF(H293,Wh_hp,'2021'!Maxi_hp)</f>
        <v>31.212763298231373</v>
      </c>
      <c r="J293" s="85">
        <f>IF(H293,An,'2021'!An_max)</f>
        <v>2018</v>
      </c>
      <c r="K293" s="197">
        <f t="shared" si="100"/>
        <v>44840</v>
      </c>
      <c r="L293" s="147">
        <f>IF(t&lt;Tvie,1-EXP((T0-t)*PertePVj)+'2021'!Pspv,1-EXP((T0-t)*PertePVj)+Pspv)</f>
        <v>5.6023057259742909E-2</v>
      </c>
      <c r="M293" s="843"/>
      <c r="N293" s="843"/>
      <c r="O293" s="48">
        <f>IF(t&lt;Tnet,'2021'!Resal+('2021'!Salim-'2021'!Resal)*(1-EXP(('2021'!Tnet-t)/('2021'!Tau_j))),Resal+(Salim-Resal)*(1-EXP((Tnet-t)/(Tau_j))))*Salcycl</f>
        <v>0.11735924014995411</v>
      </c>
      <c r="P293" s="339">
        <f>(INDEX(Models!$BJ293:$BT293,,T293)*(1-R293)+INDEX(Models!$BJ293:$BT293,,T293+1)*R293-ERP_i)*Q293*Ramure*Pc/MaxiM</f>
        <v>1.0485212620103389E-2</v>
      </c>
      <c r="Q293" s="305">
        <f t="shared" si="101"/>
        <v>0.8</v>
      </c>
      <c r="R293" s="177">
        <f t="shared" si="102"/>
        <v>0.5948762801749593</v>
      </c>
      <c r="S293" s="809">
        <f t="shared" si="103"/>
        <v>0</v>
      </c>
      <c r="T293" s="176">
        <f t="shared" si="104"/>
        <v>6</v>
      </c>
      <c r="U293" s="251">
        <f t="shared" si="105"/>
        <v>0.5948762801749593</v>
      </c>
      <c r="V293" s="383">
        <f t="shared" si="106"/>
        <v>28.378091258620529</v>
      </c>
      <c r="W293" s="402"/>
      <c r="X293" s="157">
        <f t="shared" si="107"/>
        <v>44840</v>
      </c>
      <c r="Y293" s="385">
        <f t="shared" si="108"/>
        <v>10.172290942806143</v>
      </c>
      <c r="Z293" s="385">
        <f t="shared" si="109"/>
        <v>10.775995135301869</v>
      </c>
      <c r="AA293" s="386">
        <f t="shared" si="110"/>
        <v>12.793316124642876</v>
      </c>
      <c r="AB293" s="197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0.1576855421758227</v>
      </c>
      <c r="AD293" s="231">
        <f>(INDEX(Models!$BJ293:$BT293,,AH293)*(1-AF293)+INDEX(Models!$BJ293:$BT293,,AH293+1)*AF293-ERP_i)*AE293*Ramure*Pc/MaxiM</f>
        <v>3.583040457452559E-2</v>
      </c>
      <c r="AE293" s="305">
        <f t="shared" si="112"/>
        <v>0.8</v>
      </c>
      <c r="AF293" s="177">
        <f t="shared" si="113"/>
        <v>0.79559302733986259</v>
      </c>
      <c r="AG293" s="809">
        <f t="shared" si="119"/>
        <v>1</v>
      </c>
      <c r="AH293" s="176">
        <f t="shared" si="114"/>
        <v>7</v>
      </c>
      <c r="AI293" s="225">
        <f t="shared" si="115"/>
        <v>1.7955930273398626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44841</v>
      </c>
      <c r="B294" s="616">
        <v>21.56</v>
      </c>
      <c r="C294" s="839"/>
      <c r="D294" s="393">
        <f t="shared" si="98"/>
        <v>22.840084317175815</v>
      </c>
      <c r="E294" s="385">
        <f t="shared" si="96"/>
        <v>25.878840721005748</v>
      </c>
      <c r="F294" s="385">
        <f t="shared" si="99"/>
        <v>26.060193258297677</v>
      </c>
      <c r="G294" s="110">
        <f t="shared" si="97"/>
        <v>0.76608559624099326</v>
      </c>
      <c r="H294" s="414" t="b">
        <f>Wh_hp&gt;='2021'!Maxi_hp</f>
        <v>0</v>
      </c>
      <c r="I294" s="380">
        <f>IF(H294,Wh_hp,'2021'!Maxi_hp)</f>
        <v>34.247356004135384</v>
      </c>
      <c r="J294" s="85">
        <f>IF(H294,An,'2021'!An_max)</f>
        <v>2021</v>
      </c>
      <c r="K294" s="197">
        <f t="shared" si="100"/>
        <v>44841</v>
      </c>
      <c r="L294" s="147">
        <f>IF(t&lt;Tvie,1-EXP((T0-t)*PertePVj)+'2021'!Pspv,1-EXP((T0-t)*PertePVj)+Pspv)</f>
        <v>5.6045516268658863E-2</v>
      </c>
      <c r="M294" s="843"/>
      <c r="N294" s="843"/>
      <c r="O294" s="48">
        <f>IF(t&lt;Tnet,'2021'!Resal+('2021'!Salim-'2021'!Resal)*(1-EXP(('2021'!Tnet-t)/('2021'!Tau_j))),Resal+(Salim-Resal)*(1-EXP((Tnet-t)/(Tau_j))))*Salcycl</f>
        <v>0.11742243157605539</v>
      </c>
      <c r="P294" s="339">
        <f>(INDEX(Models!$BJ294:$BT294,,T294)*(1-R294)+INDEX(Models!$BJ294:$BT294,,T294+1)*R294-ERP_i)*Q294*Ramure*Pc/MaxiM</f>
        <v>1.0392233569321778E-2</v>
      </c>
      <c r="Q294" s="305">
        <f t="shared" si="101"/>
        <v>0.8</v>
      </c>
      <c r="R294" s="177">
        <f t="shared" si="102"/>
        <v>0.59506297471878677</v>
      </c>
      <c r="S294" s="809">
        <f t="shared" si="103"/>
        <v>0</v>
      </c>
      <c r="T294" s="176">
        <f t="shared" si="104"/>
        <v>6</v>
      </c>
      <c r="U294" s="251">
        <f t="shared" si="105"/>
        <v>0.59506297471878677</v>
      </c>
      <c r="V294" s="383">
        <f t="shared" si="106"/>
        <v>28.045770058274872</v>
      </c>
      <c r="W294" s="402"/>
      <c r="X294" s="157">
        <f t="shared" si="107"/>
        <v>44841</v>
      </c>
      <c r="Y294" s="385">
        <f t="shared" si="108"/>
        <v>20.231348301092854</v>
      </c>
      <c r="Z294" s="385">
        <f t="shared" si="109"/>
        <v>21.432546430756609</v>
      </c>
      <c r="AA294" s="386">
        <f t="shared" si="110"/>
        <v>25.443809003800173</v>
      </c>
      <c r="AB294" s="197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0.1576518111908661</v>
      </c>
      <c r="AD294" s="231">
        <f>(INDEX(Models!$BJ294:$BT294,,AH294)*(1-AF294)+INDEX(Models!$BJ294:$BT294,,AH294+1)*AF294-ERP_i)*AE294*Ramure*Pc/MaxiM</f>
        <v>3.5321309736510549E-2</v>
      </c>
      <c r="AE294" s="305">
        <f t="shared" si="112"/>
        <v>0.8</v>
      </c>
      <c r="AF294" s="177">
        <f t="shared" si="113"/>
        <v>0.79577972188369017</v>
      </c>
      <c r="AG294" s="809">
        <f t="shared" si="119"/>
        <v>1</v>
      </c>
      <c r="AH294" s="176">
        <f t="shared" si="114"/>
        <v>7</v>
      </c>
      <c r="AI294" s="225">
        <f t="shared" si="115"/>
        <v>1.7957797218836902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44842</v>
      </c>
      <c r="B295" s="616">
        <v>14.037000000000001</v>
      </c>
      <c r="C295" s="839"/>
      <c r="D295" s="393">
        <f t="shared" si="98"/>
        <v>14.870774191982189</v>
      </c>
      <c r="E295" s="385">
        <f t="shared" si="96"/>
        <v>16.850423089925982</v>
      </c>
      <c r="F295" s="385">
        <f t="shared" si="99"/>
        <v>16.901685320595639</v>
      </c>
      <c r="G295" s="110">
        <f t="shared" si="97"/>
        <v>0.50277346573956339</v>
      </c>
      <c r="H295" s="414" t="b">
        <f>Wh_hp&gt;='2021'!Maxi_hp</f>
        <v>0</v>
      </c>
      <c r="I295" s="380">
        <f>IF(H295,Wh_hp,'2021'!Maxi_hp)</f>
        <v>32.97035211319082</v>
      </c>
      <c r="J295" s="85">
        <f>IF(H295,An,'2021'!An_max)</f>
        <v>2019</v>
      </c>
      <c r="K295" s="197">
        <f t="shared" si="100"/>
        <v>44842</v>
      </c>
      <c r="L295" s="147">
        <f>IF(t&lt;Tvie,1-EXP((T0-t)*PertePVj)+'2021'!Pspv,1-EXP((T0-t)*PertePVj)+Pspv)</f>
        <v>5.6067974754921007E-2</v>
      </c>
      <c r="M295" s="843"/>
      <c r="N295" s="843"/>
      <c r="O295" s="48">
        <f>IF(t&lt;Tnet,'2021'!Resal+('2021'!Salim-'2021'!Resal)*(1-EXP(('2021'!Tnet-t)/('2021'!Tau_j))),Resal+(Salim-Resal)*(1-EXP((Tnet-t)/(Tau_j))))*Salcycl</f>
        <v>0.11748363156099774</v>
      </c>
      <c r="P295" s="339">
        <f>(INDEX(Models!$BJ295:$BT295,,T295)*(1-R295)+INDEX(Models!$BJ295:$BT295,,T295+1)*R295-ERP_i)*Q295*Ramure*Pc/MaxiM</f>
        <v>1.0283397381431639E-2</v>
      </c>
      <c r="Q295" s="305">
        <f t="shared" si="101"/>
        <v>0.8</v>
      </c>
      <c r="R295" s="177">
        <f t="shared" si="102"/>
        <v>0.59524226235782018</v>
      </c>
      <c r="S295" s="809">
        <f t="shared" si="103"/>
        <v>0</v>
      </c>
      <c r="T295" s="176">
        <f t="shared" si="104"/>
        <v>6</v>
      </c>
      <c r="U295" s="251">
        <f t="shared" si="105"/>
        <v>0.59524226235782018</v>
      </c>
      <c r="V295" s="383">
        <f t="shared" si="106"/>
        <v>27.716092876871308</v>
      </c>
      <c r="W295" s="402"/>
      <c r="X295" s="157">
        <f t="shared" si="107"/>
        <v>44842</v>
      </c>
      <c r="Y295" s="385">
        <f t="shared" si="108"/>
        <v>13.301569115485234</v>
      </c>
      <c r="Z295" s="385">
        <f t="shared" si="109"/>
        <v>14.091659949805882</v>
      </c>
      <c r="AA295" s="386">
        <f t="shared" si="110"/>
        <v>16.728304082289007</v>
      </c>
      <c r="AB295" s="197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0.15761574631313979</v>
      </c>
      <c r="AD295" s="231">
        <f>(INDEX(Models!$BJ295:$BT295,,AH295)*(1-AF295)+INDEX(Models!$BJ295:$BT295,,AH295+1)*AF295-ERP_i)*AE295*Ramure*Pc/MaxiM</f>
        <v>3.478093225168985E-2</v>
      </c>
      <c r="AE295" s="305">
        <f t="shared" si="112"/>
        <v>0.8</v>
      </c>
      <c r="AF295" s="177">
        <f t="shared" si="113"/>
        <v>0.79595900952272358</v>
      </c>
      <c r="AG295" s="809">
        <f t="shared" si="119"/>
        <v>1</v>
      </c>
      <c r="AH295" s="176">
        <f t="shared" si="114"/>
        <v>7</v>
      </c>
      <c r="AI295" s="225">
        <f t="shared" si="115"/>
        <v>1.7959590095227236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44843</v>
      </c>
      <c r="B296" s="616">
        <v>26.85</v>
      </c>
      <c r="C296" s="839"/>
      <c r="D296" s="393">
        <f t="shared" si="98"/>
        <v>28.445521616366623</v>
      </c>
      <c r="E296" s="385">
        <f t="shared" si="96"/>
        <v>32.234450294570046</v>
      </c>
      <c r="F296" s="385">
        <f t="shared" si="99"/>
        <v>32.555897741774473</v>
      </c>
      <c r="G296" s="110">
        <f t="shared" si="97"/>
        <v>0.98003689875167599</v>
      </c>
      <c r="H296" s="414" t="b">
        <f>Wh_hp&gt;='2021'!Maxi_hp</f>
        <v>1</v>
      </c>
      <c r="I296" s="380">
        <f>IF(H296,Wh_hp,'2021'!Maxi_hp)</f>
        <v>32.555897741774473</v>
      </c>
      <c r="J296" s="85">
        <f>IF(H296,An,'2021'!An_max)</f>
        <v>2022</v>
      </c>
      <c r="K296" s="197">
        <f t="shared" si="100"/>
        <v>44843</v>
      </c>
      <c r="L296" s="147">
        <f>IF(t&lt;Tvie,1-EXP((T0-t)*PertePVj)+'2021'!Pspv,1-EXP((T0-t)*PertePVj)+Pspv)</f>
        <v>5.6090432718541222E-2</v>
      </c>
      <c r="M296" s="843"/>
      <c r="N296" s="843"/>
      <c r="O296" s="48">
        <f>IF(t&lt;Tnet,'2021'!Resal+('2021'!Salim-'2021'!Resal)*(1-EXP(('2021'!Tnet-t)/('2021'!Tau_j))),Resal+(Salim-Resal)*(1-EXP((Tnet-t)/(Tau_j))))*Salcycl</f>
        <v>0.1175428351834395</v>
      </c>
      <c r="P296" s="339">
        <f>(INDEX(Models!$BJ296:$BT296,,T296)*(1-R296)+INDEX(Models!$BJ296:$BT296,,T296+1)*R296-ERP_i)*Q296*Ramure*Pc/MaxiM</f>
        <v>1.0159335452637339E-2</v>
      </c>
      <c r="Q296" s="305">
        <f t="shared" si="101"/>
        <v>0.8</v>
      </c>
      <c r="R296" s="177">
        <f t="shared" si="102"/>
        <v>0.59541443273061523</v>
      </c>
      <c r="S296" s="809">
        <f t="shared" si="103"/>
        <v>0</v>
      </c>
      <c r="T296" s="176">
        <f t="shared" si="104"/>
        <v>6</v>
      </c>
      <c r="U296" s="251">
        <f t="shared" si="105"/>
        <v>0.59541443273061523</v>
      </c>
      <c r="V296" s="383">
        <f t="shared" si="106"/>
        <v>27.389024306690047</v>
      </c>
      <c r="W296" s="402"/>
      <c r="X296" s="157">
        <f t="shared" si="107"/>
        <v>44843</v>
      </c>
      <c r="Y296" s="385">
        <f t="shared" si="108"/>
        <v>25.026581651285539</v>
      </c>
      <c r="Z296" s="385">
        <f t="shared" si="109"/>
        <v>26.513749323851286</v>
      </c>
      <c r="AA296" s="386">
        <f t="shared" si="110"/>
        <v>31.473214985396879</v>
      </c>
      <c r="AB296" s="197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0.15757734517578559</v>
      </c>
      <c r="AD296" s="231">
        <f>(INDEX(Models!$BJ296:$BT296,,AH296)*(1-AF296)+INDEX(Models!$BJ296:$BT296,,AH296+1)*AF296-ERP_i)*AE296*Ramure*Pc/MaxiM</f>
        <v>3.421815107410351E-2</v>
      </c>
      <c r="AE296" s="305">
        <f t="shared" si="112"/>
        <v>0.8</v>
      </c>
      <c r="AF296" s="177">
        <f t="shared" si="113"/>
        <v>0.79613117989551863</v>
      </c>
      <c r="AG296" s="809">
        <f t="shared" si="119"/>
        <v>1</v>
      </c>
      <c r="AH296" s="176">
        <f t="shared" si="114"/>
        <v>7</v>
      </c>
      <c r="AI296" s="225">
        <f t="shared" si="115"/>
        <v>1.7961311798955186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44844</v>
      </c>
      <c r="B297" s="616">
        <v>22.434000000000001</v>
      </c>
      <c r="C297" s="839"/>
      <c r="D297" s="393">
        <f t="shared" si="98"/>
        <v>23.767672813957279</v>
      </c>
      <c r="E297" s="385">
        <f t="shared" ref="E297:E360" si="120">Wh_pvt/(1-Psa)</f>
        <v>26.935260606194621</v>
      </c>
      <c r="F297" s="385">
        <f t="shared" si="99"/>
        <v>27.140956975875959</v>
      </c>
      <c r="G297" s="110">
        <f t="shared" ref="G297:G360" si="121">+Wh_hp/MaxiM</f>
        <v>0.8268682682369568</v>
      </c>
      <c r="H297" s="414" t="b">
        <f>Wh_hp&gt;='2021'!Maxi_hp</f>
        <v>0</v>
      </c>
      <c r="I297" s="380">
        <f>IF(H297,Wh_hp,'2021'!Maxi_hp)</f>
        <v>27.381561766744639</v>
      </c>
      <c r="J297" s="85">
        <f>IF(H297,An,'2021'!An_max)</f>
        <v>2021</v>
      </c>
      <c r="K297" s="197">
        <f t="shared" si="100"/>
        <v>44844</v>
      </c>
      <c r="L297" s="147">
        <f>IF(t&lt;Tvie,1-EXP((T0-t)*PertePVj)+'2021'!Pspv,1-EXP((T0-t)*PertePVj)+Pspv)</f>
        <v>5.6112890159531942E-2</v>
      </c>
      <c r="M297" s="843"/>
      <c r="N297" s="843"/>
      <c r="O297" s="48">
        <f>IF(t&lt;Tnet,'2021'!Resal+('2021'!Salim-'2021'!Resal)*(1-EXP(('2021'!Tnet-t)/('2021'!Tau_j))),Resal+(Salim-Resal)*(1-EXP((Tnet-t)/(Tau_j))))*Salcycl</f>
        <v>0.11760004250743553</v>
      </c>
      <c r="P297" s="339">
        <f>(INDEX(Models!$BJ297:$BT297,,T297)*(1-R297)+INDEX(Models!$BJ297:$BT297,,T297+1)*R297-ERP_i)*Q297*Ramure*Pc/MaxiM</f>
        <v>1.0030277233635716E-2</v>
      </c>
      <c r="Q297" s="305">
        <f t="shared" si="101"/>
        <v>0.8</v>
      </c>
      <c r="R297" s="177">
        <f t="shared" si="102"/>
        <v>0.59557976448092453</v>
      </c>
      <c r="S297" s="809">
        <f t="shared" si="103"/>
        <v>0</v>
      </c>
      <c r="T297" s="176">
        <f t="shared" si="104"/>
        <v>6</v>
      </c>
      <c r="U297" s="251">
        <f t="shared" si="105"/>
        <v>0.59557976448092453</v>
      </c>
      <c r="V297" s="383">
        <f t="shared" si="106"/>
        <v>27.064267468295238</v>
      </c>
      <c r="W297" s="402"/>
      <c r="X297" s="157">
        <f t="shared" si="107"/>
        <v>44844</v>
      </c>
      <c r="Y297" s="385">
        <f t="shared" si="108"/>
        <v>21.033481750511154</v>
      </c>
      <c r="Z297" s="385">
        <f t="shared" si="109"/>
        <v>22.283895532873785</v>
      </c>
      <c r="AA297" s="386">
        <f t="shared" si="110"/>
        <v>26.450877097195256</v>
      </c>
      <c r="AB297" s="197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0.15753661207564715</v>
      </c>
      <c r="AD297" s="231">
        <f>(INDEX(Models!$BJ297:$BT297,,AH297)*(1-AF297)+INDEX(Models!$BJ297:$BT297,,AH297+1)*AF297-ERP_i)*AE297*Ramure*Pc/MaxiM</f>
        <v>3.3650046946594611E-2</v>
      </c>
      <c r="AE297" s="305">
        <f t="shared" si="112"/>
        <v>0.8</v>
      </c>
      <c r="AF297" s="177">
        <f t="shared" si="113"/>
        <v>0.79629651164582782</v>
      </c>
      <c r="AG297" s="809">
        <f t="shared" si="119"/>
        <v>1</v>
      </c>
      <c r="AH297" s="176">
        <f t="shared" si="114"/>
        <v>7</v>
      </c>
      <c r="AI297" s="225">
        <f t="shared" si="115"/>
        <v>1.7962965116458278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44845</v>
      </c>
      <c r="B298" s="616">
        <v>18.137</v>
      </c>
      <c r="C298" s="839"/>
      <c r="D298" s="393">
        <f t="shared" si="98"/>
        <v>19.215678798702722</v>
      </c>
      <c r="E298" s="385">
        <f t="shared" si="120"/>
        <v>21.777971695599337</v>
      </c>
      <c r="F298" s="385">
        <f t="shared" si="99"/>
        <v>21.89504745030742</v>
      </c>
      <c r="G298" s="110">
        <f t="shared" si="121"/>
        <v>0.67512431053494326</v>
      </c>
      <c r="H298" s="414" t="b">
        <f>Wh_hp&gt;='2021'!Maxi_hp</f>
        <v>0</v>
      </c>
      <c r="I298" s="380">
        <f>IF(H298,Wh_hp,'2021'!Maxi_hp)</f>
        <v>33.346419914552634</v>
      </c>
      <c r="J298" s="85">
        <f>IF(H298,An,'2021'!An_max)</f>
        <v>2019</v>
      </c>
      <c r="K298" s="197">
        <f t="shared" si="100"/>
        <v>44845</v>
      </c>
      <c r="L298" s="147">
        <f>IF(t&lt;Tvie,1-EXP((T0-t)*PertePVj)+'2021'!Pspv,1-EXP((T0-t)*PertePVj)+Pspv)</f>
        <v>5.6135347077905157E-2</v>
      </c>
      <c r="M298" s="843"/>
      <c r="N298" s="843"/>
      <c r="O298" s="48">
        <f>IF(t&lt;Tnet,'2021'!Resal+('2021'!Salim-'2021'!Resal)*(1-EXP(('2021'!Tnet-t)/('2021'!Tau_j))),Resal+(Salim-Resal)*(1-EXP((Tnet-t)/(Tau_j))))*Salcycl</f>
        <v>0.11765525884186803</v>
      </c>
      <c r="P298" s="339">
        <f>(INDEX(Models!$BJ298:$BT298,,T298)*(1-R298)+INDEX(Models!$BJ298:$BT298,,T298+1)*R298-ERP_i)*Q298*Ramure*Pc/MaxiM</f>
        <v>9.8961787557407116E-3</v>
      </c>
      <c r="Q298" s="305">
        <f t="shared" si="101"/>
        <v>0.8</v>
      </c>
      <c r="R298" s="177">
        <f t="shared" si="102"/>
        <v>0.59573852564896412</v>
      </c>
      <c r="S298" s="809">
        <f t="shared" si="103"/>
        <v>0</v>
      </c>
      <c r="T298" s="176">
        <f t="shared" si="104"/>
        <v>6</v>
      </c>
      <c r="U298" s="251">
        <f t="shared" si="105"/>
        <v>0.59573852564896412</v>
      </c>
      <c r="V298" s="383">
        <f t="shared" si="106"/>
        <v>26.741816511113846</v>
      </c>
      <c r="W298" s="402"/>
      <c r="X298" s="157">
        <f t="shared" si="107"/>
        <v>44845</v>
      </c>
      <c r="Y298" s="385">
        <f t="shared" si="108"/>
        <v>17.100029747522594</v>
      </c>
      <c r="Z298" s="385">
        <f t="shared" si="109"/>
        <v>18.117035842567997</v>
      </c>
      <c r="AA298" s="386">
        <f t="shared" si="110"/>
        <v>21.503735693608228</v>
      </c>
      <c r="AB298" s="197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0.15749355829586825</v>
      </c>
      <c r="AD298" s="231">
        <f>(INDEX(Models!$BJ298:$BT298,,AH298)*(1-AF298)+INDEX(Models!$BJ298:$BT298,,AH298+1)*AF298-ERP_i)*AE298*Ramure*Pc/MaxiM</f>
        <v>3.3076798037081523E-2</v>
      </c>
      <c r="AE298" s="305">
        <f t="shared" si="112"/>
        <v>0.8</v>
      </c>
      <c r="AF298" s="177">
        <f t="shared" si="113"/>
        <v>0.79645527281386741</v>
      </c>
      <c r="AG298" s="809">
        <f t="shared" si="119"/>
        <v>1</v>
      </c>
      <c r="AH298" s="176">
        <f t="shared" si="114"/>
        <v>7</v>
      </c>
      <c r="AI298" s="225">
        <f t="shared" si="115"/>
        <v>1.7964552728138674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44846</v>
      </c>
      <c r="B299" s="616">
        <v>21.03</v>
      </c>
      <c r="C299" s="839"/>
      <c r="D299" s="393">
        <f t="shared" si="98"/>
        <v>22.281267014123589</v>
      </c>
      <c r="E299" s="385">
        <f t="shared" si="120"/>
        <v>25.253860982768561</v>
      </c>
      <c r="F299" s="385">
        <f t="shared" si="99"/>
        <v>25.429647607033299</v>
      </c>
      <c r="G299" s="110">
        <f t="shared" si="121"/>
        <v>0.79365804424808084</v>
      </c>
      <c r="H299" s="414" t="b">
        <f>Wh_hp&gt;='2021'!Maxi_hp</f>
        <v>0</v>
      </c>
      <c r="I299" s="380">
        <f>IF(H299,Wh_hp,'2021'!Maxi_hp)</f>
        <v>31.597576410466939</v>
      </c>
      <c r="J299" s="85">
        <f>IF(H299,An,'2021'!An_max)</f>
        <v>2021</v>
      </c>
      <c r="K299" s="197">
        <f t="shared" si="100"/>
        <v>44846</v>
      </c>
      <c r="L299" s="147">
        <f>IF(t&lt;Tvie,1-EXP((T0-t)*PertePVj)+'2021'!Pspv,1-EXP((T0-t)*PertePVj)+Pspv)</f>
        <v>5.6157803473673079E-2</v>
      </c>
      <c r="M299" s="843"/>
      <c r="N299" s="843"/>
      <c r="O299" s="48">
        <f>IF(t&lt;Tnet,'2021'!Resal+('2021'!Salim-'2021'!Resal)*(1-EXP(('2021'!Tnet-t)/('2021'!Tau_j))),Resal+(Salim-Resal)*(1-EXP((Tnet-t)/(Tau_j))))*Salcycl</f>
        <v>0.11770849497719413</v>
      </c>
      <c r="P299" s="339">
        <f>(INDEX(Models!$BJ299:$BT299,,T299)*(1-R299)+INDEX(Models!$BJ299:$BT299,,T299+1)*R299-ERP_i)*Q299*Ramure*Pc/MaxiM</f>
        <v>9.7570017930971691E-3</v>
      </c>
      <c r="Q299" s="305">
        <f t="shared" si="101"/>
        <v>0.8</v>
      </c>
      <c r="R299" s="177">
        <f t="shared" si="102"/>
        <v>0.5958909740508459</v>
      </c>
      <c r="S299" s="809">
        <f t="shared" si="103"/>
        <v>0</v>
      </c>
      <c r="T299" s="176">
        <f t="shared" si="104"/>
        <v>6</v>
      </c>
      <c r="U299" s="251">
        <f t="shared" si="105"/>
        <v>0.5958909740508459</v>
      </c>
      <c r="V299" s="383">
        <f t="shared" si="106"/>
        <v>26.421665314614643</v>
      </c>
      <c r="W299" s="402"/>
      <c r="X299" s="157">
        <f t="shared" si="107"/>
        <v>44846</v>
      </c>
      <c r="Y299" s="385">
        <f t="shared" si="108"/>
        <v>19.756951326895035</v>
      </c>
      <c r="Z299" s="385">
        <f t="shared" si="109"/>
        <v>20.932473033741871</v>
      </c>
      <c r="AA299" s="386">
        <f t="shared" si="110"/>
        <v>24.844137883618195</v>
      </c>
      <c r="AB299" s="197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0.15744820239689658</v>
      </c>
      <c r="AD299" s="231">
        <f>(INDEX(Models!$BJ299:$BT299,,AH299)*(1-AF299)+INDEX(Models!$BJ299:$BT299,,AH299+1)*AF299-ERP_i)*AE299*Ramure*Pc/MaxiM</f>
        <v>3.249860133063006E-2</v>
      </c>
      <c r="AE299" s="305">
        <f t="shared" si="112"/>
        <v>0.8</v>
      </c>
      <c r="AF299" s="177">
        <f t="shared" si="113"/>
        <v>0.79660772121574919</v>
      </c>
      <c r="AG299" s="809">
        <f t="shared" si="119"/>
        <v>1</v>
      </c>
      <c r="AH299" s="176">
        <f t="shared" si="114"/>
        <v>7</v>
      </c>
      <c r="AI299" s="225">
        <f t="shared" si="115"/>
        <v>1.7966077212157492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44847</v>
      </c>
      <c r="B300" s="616">
        <v>18.405999999999999</v>
      </c>
      <c r="C300" s="839"/>
      <c r="D300" s="393">
        <f t="shared" si="98"/>
        <v>19.501605240066798</v>
      </c>
      <c r="E300" s="385">
        <f t="shared" si="120"/>
        <v>22.104642839200057</v>
      </c>
      <c r="F300" s="385">
        <f t="shared" si="99"/>
        <v>22.228301613012825</v>
      </c>
      <c r="G300" s="110">
        <f t="shared" si="121"/>
        <v>0.70223649372408403</v>
      </c>
      <c r="H300" s="414" t="b">
        <f>Wh_hp&gt;='2021'!Maxi_hp</f>
        <v>0</v>
      </c>
      <c r="I300" s="380">
        <f>IF(H300,Wh_hp,'2021'!Maxi_hp)</f>
        <v>31.501015093356781</v>
      </c>
      <c r="J300" s="85">
        <f>IF(H300,An,'2021'!An_max)</f>
        <v>2019</v>
      </c>
      <c r="K300" s="197">
        <f t="shared" si="100"/>
        <v>44847</v>
      </c>
      <c r="L300" s="147">
        <f>IF(t&lt;Tvie,1-EXP((T0-t)*PertePVj)+'2021'!Pspv,1-EXP((T0-t)*PertePVj)+Pspv)</f>
        <v>5.6180259346847811E-2</v>
      </c>
      <c r="M300" s="843"/>
      <c r="N300" s="843"/>
      <c r="O300" s="48">
        <f>IF(t&lt;Tnet,'2021'!Resal+('2021'!Salim-'2021'!Resal)*(1-EXP(('2021'!Tnet-t)/('2021'!Tau_j))),Resal+(Salim-Resal)*(1-EXP((Tnet-t)/(Tau_j))))*Salcycl</f>
        <v>0.1177597673967873</v>
      </c>
      <c r="P300" s="339">
        <f>(INDEX(Models!$BJ300:$BT300,,T300)*(1-R300)+INDEX(Models!$BJ300:$BT300,,T300+1)*R300-ERP_i)*Q300*Ramure*Pc/MaxiM</f>
        <v>9.612713944164096E-3</v>
      </c>
      <c r="Q300" s="305">
        <f t="shared" si="101"/>
        <v>0.8</v>
      </c>
      <c r="R300" s="177">
        <f t="shared" si="102"/>
        <v>0.59603735764635879</v>
      </c>
      <c r="S300" s="809">
        <f t="shared" si="103"/>
        <v>0</v>
      </c>
      <c r="T300" s="176">
        <f t="shared" si="104"/>
        <v>6</v>
      </c>
      <c r="U300" s="251">
        <f t="shared" si="105"/>
        <v>0.59603735764635879</v>
      </c>
      <c r="V300" s="383">
        <f t="shared" si="106"/>
        <v>26.103807498204038</v>
      </c>
      <c r="W300" s="402"/>
      <c r="X300" s="157">
        <f t="shared" si="107"/>
        <v>44847</v>
      </c>
      <c r="Y300" s="385">
        <f t="shared" si="108"/>
        <v>17.350815565083529</v>
      </c>
      <c r="Z300" s="385">
        <f t="shared" si="109"/>
        <v>18.383611634437983</v>
      </c>
      <c r="AA300" s="386">
        <f t="shared" si="110"/>
        <v>21.817735676305013</v>
      </c>
      <c r="AB300" s="197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0.15740057047242698</v>
      </c>
      <c r="AD300" s="231">
        <f>(INDEX(Models!$BJ300:$BT300,,AH300)*(1-AF300)+INDEX(Models!$BJ300:$BT300,,AH300+1)*AF300-ERP_i)*AE300*Ramure*Pc/MaxiM</f>
        <v>3.1915672322334145E-2</v>
      </c>
      <c r="AE300" s="305">
        <f t="shared" si="112"/>
        <v>0.8</v>
      </c>
      <c r="AF300" s="177">
        <f t="shared" si="113"/>
        <v>0.7967541048112623</v>
      </c>
      <c r="AG300" s="809">
        <f t="shared" si="119"/>
        <v>1</v>
      </c>
      <c r="AH300" s="176">
        <f t="shared" si="114"/>
        <v>7</v>
      </c>
      <c r="AI300" s="225">
        <f t="shared" si="115"/>
        <v>1.7967541048112623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44848</v>
      </c>
      <c r="B301" s="616">
        <v>17.382999999999999</v>
      </c>
      <c r="C301" s="839"/>
      <c r="D301" s="393">
        <f t="shared" si="98"/>
        <v>18.418150031473584</v>
      </c>
      <c r="E301" s="385">
        <f t="shared" si="120"/>
        <v>20.877737459463773</v>
      </c>
      <c r="F301" s="385">
        <f t="shared" si="99"/>
        <v>20.98385293272036</v>
      </c>
      <c r="G301" s="110">
        <f t="shared" si="121"/>
        <v>0.67108180612926172</v>
      </c>
      <c r="H301" s="414" t="b">
        <f>Wh_hp&gt;='2021'!Maxi_hp</f>
        <v>0</v>
      </c>
      <c r="I301" s="380">
        <f>IF(H301,Wh_hp,'2021'!Maxi_hp)</f>
        <v>32.224976238135895</v>
      </c>
      <c r="J301" s="85">
        <f>IF(H301,An,'2021'!An_max)</f>
        <v>2021</v>
      </c>
      <c r="K301" s="197">
        <f t="shared" si="100"/>
        <v>44848</v>
      </c>
      <c r="L301" s="147">
        <f>IF(t&lt;Tvie,1-EXP((T0-t)*PertePVj)+'2021'!Pspv,1-EXP((T0-t)*PertePVj)+Pspv)</f>
        <v>5.6202714697441675E-2</v>
      </c>
      <c r="M301" s="843"/>
      <c r="N301" s="843"/>
      <c r="O301" s="48">
        <f>IF(t&lt;Tnet,'2021'!Resal+('2021'!Salim-'2021'!Resal)*(1-EXP(('2021'!Tnet-t)/('2021'!Tau_j))),Resal+(Salim-Resal)*(1-EXP((Tnet-t)/(Tau_j))))*Salcycl</f>
        <v>0.11780909846029651</v>
      </c>
      <c r="P301" s="339">
        <f>(INDEX(Models!$BJ301:$BT301,,T301)*(1-R301)+INDEX(Models!$BJ301:$BT301,,T301+1)*R301-ERP_i)*Q301*Ramure*Pc/MaxiM</f>
        <v>9.4632886560099376E-3</v>
      </c>
      <c r="Q301" s="305">
        <f t="shared" si="101"/>
        <v>0.8</v>
      </c>
      <c r="R301" s="177">
        <f t="shared" si="102"/>
        <v>0.59617791489529581</v>
      </c>
      <c r="S301" s="809">
        <f t="shared" si="103"/>
        <v>0</v>
      </c>
      <c r="T301" s="176">
        <f t="shared" si="104"/>
        <v>6</v>
      </c>
      <c r="U301" s="251">
        <f t="shared" si="105"/>
        <v>0.59617791489529581</v>
      </c>
      <c r="V301" s="383">
        <f t="shared" si="106"/>
        <v>25.788236435481068</v>
      </c>
      <c r="W301" s="402"/>
      <c r="X301" s="157">
        <f t="shared" si="107"/>
        <v>44848</v>
      </c>
      <c r="Y301" s="385">
        <f t="shared" si="108"/>
        <v>16.408869119113554</v>
      </c>
      <c r="Z301" s="385">
        <f t="shared" si="109"/>
        <v>17.386010083567122</v>
      </c>
      <c r="AA301" s="386">
        <f t="shared" si="110"/>
        <v>20.632557350501269</v>
      </c>
      <c r="AB301" s="197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0.15735069636703436</v>
      </c>
      <c r="AD301" s="231">
        <f>(INDEX(Models!$BJ301:$BT301,,AH301)*(1-AF301)+INDEX(Models!$BJ301:$BT301,,AH301+1)*AF301-ERP_i)*AE301*Ramure*Pc/MaxiM</f>
        <v>3.1328244563183824E-2</v>
      </c>
      <c r="AE301" s="305">
        <f t="shared" si="112"/>
        <v>0.8</v>
      </c>
      <c r="AF301" s="177">
        <f t="shared" si="113"/>
        <v>0.7968946620601991</v>
      </c>
      <c r="AG301" s="809">
        <f t="shared" si="119"/>
        <v>1</v>
      </c>
      <c r="AH301" s="176">
        <f t="shared" si="114"/>
        <v>7</v>
      </c>
      <c r="AI301" s="225">
        <f t="shared" si="115"/>
        <v>1.7968946620601991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44849</v>
      </c>
      <c r="B302" s="616">
        <v>25.112000000000002</v>
      </c>
      <c r="C302" s="839"/>
      <c r="D302" s="393">
        <f t="shared" si="98"/>
        <v>26.608041652661576</v>
      </c>
      <c r="E302" s="385">
        <f t="shared" si="120"/>
        <v>30.162940782376019</v>
      </c>
      <c r="F302" s="385">
        <f t="shared" si="99"/>
        <v>30.440535467920558</v>
      </c>
      <c r="G302" s="110">
        <f t="shared" si="121"/>
        <v>0.98556437354888826</v>
      </c>
      <c r="H302" s="414" t="b">
        <f>Wh_hp&gt;='2021'!Maxi_hp</f>
        <v>1</v>
      </c>
      <c r="I302" s="380">
        <f>IF(H302,Wh_hp,'2021'!Maxi_hp)</f>
        <v>30.440535467920558</v>
      </c>
      <c r="J302" s="85">
        <f>IF(H302,An,'2021'!An_max)</f>
        <v>2022</v>
      </c>
      <c r="K302" s="197">
        <f t="shared" si="100"/>
        <v>44849</v>
      </c>
      <c r="L302" s="147">
        <f>IF(t&lt;Tvie,1-EXP((T0-t)*PertePVj)+'2021'!Pspv,1-EXP((T0-t)*PertePVj)+Pspv)</f>
        <v>5.6225169525466662E-2</v>
      </c>
      <c r="M302" s="843"/>
      <c r="N302" s="843"/>
      <c r="O302" s="48">
        <f>IF(t&lt;Tnet,'2021'!Resal+('2021'!Salim-'2021'!Resal)*(1-EXP(('2021'!Tnet-t)/('2021'!Tau_j))),Resal+(Salim-Resal)*(1-EXP((Tnet-t)/(Tau_j))))*Salcycl</f>
        <v>0.11785651655661977</v>
      </c>
      <c r="P302" s="339">
        <f>(INDEX(Models!$BJ302:$BT302,,T302)*(1-R302)+INDEX(Models!$BJ302:$BT302,,T302+1)*R302-ERP_i)*Q302*Ramure*Pc/MaxiM</f>
        <v>9.3087051883279683E-3</v>
      </c>
      <c r="Q302" s="305">
        <f t="shared" si="101"/>
        <v>0.8</v>
      </c>
      <c r="R302" s="177">
        <f t="shared" si="102"/>
        <v>0.59631287510253506</v>
      </c>
      <c r="S302" s="809">
        <f t="shared" si="103"/>
        <v>0</v>
      </c>
      <c r="T302" s="176">
        <f t="shared" si="104"/>
        <v>6</v>
      </c>
      <c r="U302" s="251">
        <f t="shared" si="105"/>
        <v>0.59631287510253506</v>
      </c>
      <c r="V302" s="383">
        <f t="shared" si="106"/>
        <v>25.474945270639481</v>
      </c>
      <c r="W302" s="402"/>
      <c r="X302" s="157">
        <f t="shared" si="107"/>
        <v>44849</v>
      </c>
      <c r="Y302" s="385">
        <f t="shared" si="108"/>
        <v>23.480991051951229</v>
      </c>
      <c r="Z302" s="385">
        <f t="shared" si="109"/>
        <v>24.879865719818891</v>
      </c>
      <c r="AA302" s="386">
        <f t="shared" si="110"/>
        <v>29.523940941584524</v>
      </c>
      <c r="AB302" s="197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0.15729862185249283</v>
      </c>
      <c r="AD302" s="231">
        <f>(INDEX(Models!$BJ302:$BT302,,AH302)*(1-AF302)+INDEX(Models!$BJ302:$BT302,,AH302+1)*AF302-ERP_i)*AE302*Ramure*Pc/MaxiM</f>
        <v>3.073656905988683E-2</v>
      </c>
      <c r="AE302" s="305">
        <f t="shared" si="112"/>
        <v>0.8</v>
      </c>
      <c r="AF302" s="177">
        <f t="shared" si="113"/>
        <v>0.79702962226743845</v>
      </c>
      <c r="AG302" s="809">
        <f t="shared" si="119"/>
        <v>1</v>
      </c>
      <c r="AH302" s="176">
        <f t="shared" si="114"/>
        <v>7</v>
      </c>
      <c r="AI302" s="225">
        <f t="shared" si="115"/>
        <v>1.7970296222674385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44850</v>
      </c>
      <c r="B303" s="616">
        <v>23.643000000000001</v>
      </c>
      <c r="C303" s="839"/>
      <c r="D303" s="393">
        <f t="shared" si="98"/>
        <v>25.052122354354278</v>
      </c>
      <c r="E303" s="385">
        <f t="shared" si="120"/>
        <v>28.40061302843738</v>
      </c>
      <c r="F303" s="385">
        <f t="shared" si="99"/>
        <v>28.640024144561917</v>
      </c>
      <c r="G303" s="110">
        <f t="shared" si="121"/>
        <v>0.93882589304339847</v>
      </c>
      <c r="H303" s="414" t="b">
        <f>Wh_hp&gt;='2021'!Maxi_hp</f>
        <v>0</v>
      </c>
      <c r="I303" s="380">
        <f>IF(H303,Wh_hp,'2021'!Maxi_hp)</f>
        <v>30.080595648759999</v>
      </c>
      <c r="J303" s="85">
        <f>IF(H303,An,'2021'!An_max)</f>
        <v>2021</v>
      </c>
      <c r="K303" s="197">
        <f t="shared" si="100"/>
        <v>44850</v>
      </c>
      <c r="L303" s="147">
        <f>IF(t&lt;Tvie,1-EXP((T0-t)*PertePVj)+'2021'!Pspv,1-EXP((T0-t)*PertePVj)+Pspv)</f>
        <v>5.6247623830934984E-2</v>
      </c>
      <c r="M303" s="843"/>
      <c r="N303" s="843"/>
      <c r="O303" s="48">
        <f>IF(t&lt;Tnet,'2021'!Resal+('2021'!Salim-'2021'!Resal)*(1-EXP(('2021'!Tnet-t)/('2021'!Tau_j))),Resal+(Salim-Resal)*(1-EXP((Tnet-t)/(Tau_j))))*Salcycl</f>
        <v>0.11790205622428916</v>
      </c>
      <c r="P303" s="339">
        <f>(INDEX(Models!$BJ303:$BT303,,T303)*(1-R303)+INDEX(Models!$BJ303:$BT303,,T303+1)*R303-ERP_i)*Q303*Ramure*Pc/MaxiM</f>
        <v>9.1490928698982985E-3</v>
      </c>
      <c r="Q303" s="305">
        <f t="shared" si="101"/>
        <v>0.8</v>
      </c>
      <c r="R303" s="177">
        <f t="shared" si="102"/>
        <v>0.59644245875209456</v>
      </c>
      <c r="S303" s="809">
        <f t="shared" si="103"/>
        <v>0</v>
      </c>
      <c r="T303" s="176">
        <f t="shared" si="104"/>
        <v>6</v>
      </c>
      <c r="U303" s="251">
        <f t="shared" si="105"/>
        <v>0.59644245875209456</v>
      </c>
      <c r="V303" s="383">
        <f t="shared" si="106"/>
        <v>25.163526230266321</v>
      </c>
      <c r="W303" s="402"/>
      <c r="X303" s="157">
        <f t="shared" si="107"/>
        <v>44850</v>
      </c>
      <c r="Y303" s="385">
        <f t="shared" si="108"/>
        <v>22.151597594403572</v>
      </c>
      <c r="Z303" s="385">
        <f t="shared" si="109"/>
        <v>23.471832393495671</v>
      </c>
      <c r="AA303" s="386">
        <f t="shared" si="110"/>
        <v>27.851292003588227</v>
      </c>
      <c r="AB303" s="197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0.15724439676006149</v>
      </c>
      <c r="AD303" s="231">
        <f>(INDEX(Models!$BJ303:$BT303,,AH303)*(1-AF303)+INDEX(Models!$BJ303:$BT303,,AH303+1)*AF303-ERP_i)*AE303*Ramure*Pc/MaxiM</f>
        <v>3.0141389105292266E-2</v>
      </c>
      <c r="AE303" s="305">
        <f t="shared" si="112"/>
        <v>0.8</v>
      </c>
      <c r="AF303" s="177">
        <f t="shared" si="113"/>
        <v>0.79715920591699785</v>
      </c>
      <c r="AG303" s="809">
        <f t="shared" si="119"/>
        <v>1</v>
      </c>
      <c r="AH303" s="176">
        <f t="shared" si="114"/>
        <v>7</v>
      </c>
      <c r="AI303" s="225">
        <f t="shared" si="115"/>
        <v>1.7971592059169978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44851</v>
      </c>
      <c r="B304" s="616">
        <v>15.734</v>
      </c>
      <c r="C304" s="839"/>
      <c r="D304" s="393">
        <f t="shared" si="98"/>
        <v>16.672142767517549</v>
      </c>
      <c r="E304" s="385">
        <f t="shared" si="120"/>
        <v>18.901493783647219</v>
      </c>
      <c r="F304" s="385">
        <f t="shared" si="99"/>
        <v>18.98267111901178</v>
      </c>
      <c r="G304" s="110">
        <f t="shared" si="121"/>
        <v>0.63007146479932297</v>
      </c>
      <c r="H304" s="414" t="b">
        <f>Wh_hp&gt;='2021'!Maxi_hp</f>
        <v>0</v>
      </c>
      <c r="I304" s="380">
        <f>IF(H304,Wh_hp,'2021'!Maxi_hp)</f>
        <v>27.817595190845999</v>
      </c>
      <c r="J304" s="85">
        <f>IF(H304,An,'2021'!An_max)</f>
        <v>2021</v>
      </c>
      <c r="K304" s="197">
        <f t="shared" si="100"/>
        <v>44851</v>
      </c>
      <c r="L304" s="147">
        <f>IF(t&lt;Tvie,1-EXP((T0-t)*PertePVj)+'2021'!Pspv,1-EXP((T0-t)*PertePVj)+Pspv)</f>
        <v>5.6270077613858854E-2</v>
      </c>
      <c r="M304" s="843"/>
      <c r="N304" s="843"/>
      <c r="O304" s="48">
        <f>IF(t&lt;Tnet,'2021'!Resal+('2021'!Salim-'2021'!Resal)*(1-EXP(('2021'!Tnet-t)/('2021'!Tau_j))),Resal+(Salim-Resal)*(1-EXP((Tnet-t)/(Tau_j))))*Salcycl</f>
        <v>0.11794575823728874</v>
      </c>
      <c r="P304" s="339">
        <f>(INDEX(Models!$BJ304:$BT304,,T304)*(1-R304)+INDEX(Models!$BJ304:$BT304,,T304+1)*R304-ERP_i)*Q304*Ramure*Pc/MaxiM</f>
        <v>8.9876091446544348E-3</v>
      </c>
      <c r="Q304" s="305">
        <f t="shared" si="101"/>
        <v>0.8</v>
      </c>
      <c r="R304" s="177">
        <f t="shared" si="102"/>
        <v>0.59656687783038842</v>
      </c>
      <c r="S304" s="809">
        <f t="shared" si="103"/>
        <v>0</v>
      </c>
      <c r="T304" s="176">
        <f t="shared" si="104"/>
        <v>6</v>
      </c>
      <c r="U304" s="251">
        <f t="shared" si="105"/>
        <v>0.59656687783038842</v>
      </c>
      <c r="V304" s="383">
        <f t="shared" si="106"/>
        <v>24.853617761750524</v>
      </c>
      <c r="W304" s="402"/>
      <c r="X304" s="157">
        <f t="shared" si="107"/>
        <v>44851</v>
      </c>
      <c r="Y304" s="385">
        <f t="shared" si="108"/>
        <v>14.886159570119318</v>
      </c>
      <c r="Z304" s="385">
        <f t="shared" si="109"/>
        <v>15.773749689403642</v>
      </c>
      <c r="AA304" s="386">
        <f t="shared" si="110"/>
        <v>18.715622427278223</v>
      </c>
      <c r="AB304" s="197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0.15718807906632956</v>
      </c>
      <c r="AD304" s="231">
        <f>(INDEX(Models!$BJ304:$BT304,,AH304)*(1-AF304)+INDEX(Models!$BJ304:$BT304,,AH304+1)*AF304-ERP_i)*AE304*Ramure*Pc/MaxiM</f>
        <v>2.9566494799487159E-2</v>
      </c>
      <c r="AE304" s="305">
        <f t="shared" si="112"/>
        <v>0.8</v>
      </c>
      <c r="AF304" s="177">
        <f t="shared" si="113"/>
        <v>0.79728362499529171</v>
      </c>
      <c r="AG304" s="809">
        <f t="shared" si="119"/>
        <v>1</v>
      </c>
      <c r="AH304" s="176">
        <f t="shared" si="114"/>
        <v>7</v>
      </c>
      <c r="AI304" s="225">
        <f t="shared" si="115"/>
        <v>1.7972836249952917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44852</v>
      </c>
      <c r="B305" s="616">
        <v>23.382000000000001</v>
      </c>
      <c r="C305" s="839"/>
      <c r="D305" s="393">
        <f t="shared" si="98"/>
        <v>24.776745723609753</v>
      </c>
      <c r="E305" s="385">
        <f t="shared" si="120"/>
        <v>28.091155725573945</v>
      </c>
      <c r="F305" s="385">
        <f t="shared" si="99"/>
        <v>28.324235683236658</v>
      </c>
      <c r="G305" s="110">
        <f t="shared" si="121"/>
        <v>0.95203042219115785</v>
      </c>
      <c r="H305" s="414" t="b">
        <f>Wh_hp&gt;='2021'!Maxi_hp</f>
        <v>0</v>
      </c>
      <c r="I305" s="380">
        <f>IF(H305,Wh_hp,'2021'!Maxi_hp)</f>
        <v>30.068535736268366</v>
      </c>
      <c r="J305" s="85">
        <f>IF(H305,An,'2021'!An_max)</f>
        <v>2020</v>
      </c>
      <c r="K305" s="197">
        <f t="shared" si="100"/>
        <v>44852</v>
      </c>
      <c r="L305" s="147">
        <f>IF(t&lt;Tvie,1-EXP((T0-t)*PertePVj)+'2021'!Pspv,1-EXP((T0-t)*PertePVj)+Pspv)</f>
        <v>5.6292530874250374E-2</v>
      </c>
      <c r="M305" s="843"/>
      <c r="N305" s="843"/>
      <c r="O305" s="48">
        <f>IF(t&lt;Tnet,'2021'!Resal+('2021'!Salim-'2021'!Resal)*(1-EXP(('2021'!Tnet-t)/('2021'!Tau_j))),Resal+(Salim-Resal)*(1-EXP((Tnet-t)/(Tau_j))))*Salcycl</f>
        <v>0.11798766965457322</v>
      </c>
      <c r="P305" s="339">
        <f>(INDEX(Models!$BJ305:$BT305,,T305)*(1-R305)+INDEX(Models!$BJ305:$BT305,,T305+1)*R305-ERP_i)*Q305*Ramure*Pc/MaxiM</f>
        <v>8.8266262623795787E-3</v>
      </c>
      <c r="Q305" s="305">
        <f t="shared" si="101"/>
        <v>0.8</v>
      </c>
      <c r="R305" s="177">
        <f t="shared" si="102"/>
        <v>0.59668633613891697</v>
      </c>
      <c r="S305" s="809">
        <f t="shared" si="103"/>
        <v>0</v>
      </c>
      <c r="T305" s="176">
        <f t="shared" si="104"/>
        <v>6</v>
      </c>
      <c r="U305" s="251">
        <f t="shared" si="105"/>
        <v>0.59668633613891697</v>
      </c>
      <c r="V305" s="383">
        <f t="shared" si="106"/>
        <v>24.545339798503029</v>
      </c>
      <c r="W305" s="402"/>
      <c r="X305" s="157">
        <f t="shared" si="107"/>
        <v>44852</v>
      </c>
      <c r="Y305" s="385">
        <f t="shared" si="108"/>
        <v>21.920354586479235</v>
      </c>
      <c r="Z305" s="385">
        <f t="shared" si="109"/>
        <v>23.227912572087881</v>
      </c>
      <c r="AA305" s="386">
        <f t="shared" si="110"/>
        <v>27.558111295068741</v>
      </c>
      <c r="AB305" s="197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0.15712973493055413</v>
      </c>
      <c r="AD305" s="231">
        <f>(INDEX(Models!$BJ305:$BT305,,AH305)*(1-AF305)+INDEX(Models!$BJ305:$BT305,,AH305+1)*AF305-ERP_i)*AE305*Ramure*Pc/MaxiM</f>
        <v>2.9012763313772453E-2</v>
      </c>
      <c r="AE305" s="305">
        <f t="shared" si="112"/>
        <v>0.8</v>
      </c>
      <c r="AF305" s="177">
        <f t="shared" si="113"/>
        <v>0.79740308330382037</v>
      </c>
      <c r="AG305" s="809">
        <f t="shared" si="119"/>
        <v>1</v>
      </c>
      <c r="AH305" s="176">
        <f t="shared" si="114"/>
        <v>7</v>
      </c>
      <c r="AI305" s="225">
        <f t="shared" si="115"/>
        <v>1.7974030833038204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44853</v>
      </c>
      <c r="B306" s="616">
        <v>12.31</v>
      </c>
      <c r="C306" s="839"/>
      <c r="D306" s="393">
        <f t="shared" si="98"/>
        <v>13.044606819252792</v>
      </c>
      <c r="E306" s="385">
        <f t="shared" si="120"/>
        <v>14.790270563558948</v>
      </c>
      <c r="F306" s="385">
        <f t="shared" si="99"/>
        <v>14.828429884180441</v>
      </c>
      <c r="G306" s="110">
        <f t="shared" si="121"/>
        <v>0.50475962943726105</v>
      </c>
      <c r="H306" s="414" t="b">
        <f>Wh_hp&gt;='2021'!Maxi_hp</f>
        <v>0</v>
      </c>
      <c r="I306" s="380">
        <f>IF(H306,Wh_hp,'2021'!Maxi_hp)</f>
        <v>28.870083274747984</v>
      </c>
      <c r="J306" s="85">
        <f>IF(H306,An,'2021'!An_max)</f>
        <v>2021</v>
      </c>
      <c r="K306" s="197">
        <f t="shared" si="100"/>
        <v>44853</v>
      </c>
      <c r="L306" s="147">
        <f>IF(t&lt;Tvie,1-EXP((T0-t)*PertePVj)+'2021'!Pspv,1-EXP((T0-t)*PertePVj)+Pspv)</f>
        <v>5.6314983612121644E-2</v>
      </c>
      <c r="M306" s="843"/>
      <c r="N306" s="843"/>
      <c r="O306" s="48">
        <f>IF(t&lt;Tnet,'2021'!Resal+('2021'!Salim-'2021'!Resal)*(1-EXP(('2021'!Tnet-t)/('2021'!Tau_j))),Resal+(Salim-Resal)*(1-EXP((Tnet-t)/(Tau_j))))*Salcycl</f>
        <v>0.11802784383182381</v>
      </c>
      <c r="P306" s="339">
        <f>(INDEX(Models!$BJ306:$BT306,,T306)*(1-R306)+INDEX(Models!$BJ306:$BT306,,T306+1)*R306-ERP_i)*Q306*Ramure*Pc/MaxiM</f>
        <v>8.6661973662437112E-3</v>
      </c>
      <c r="Q306" s="305">
        <f t="shared" si="101"/>
        <v>0.8</v>
      </c>
      <c r="R306" s="177">
        <f t="shared" si="102"/>
        <v>0.59680102959663317</v>
      </c>
      <c r="S306" s="809">
        <f t="shared" si="103"/>
        <v>0</v>
      </c>
      <c r="T306" s="176">
        <f t="shared" si="104"/>
        <v>6</v>
      </c>
      <c r="U306" s="251">
        <f t="shared" si="105"/>
        <v>0.59680102959663317</v>
      </c>
      <c r="V306" s="383">
        <f t="shared" si="106"/>
        <v>24.238871947868006</v>
      </c>
      <c r="W306" s="402"/>
      <c r="X306" s="157">
        <f t="shared" si="107"/>
        <v>44853</v>
      </c>
      <c r="Y306" s="385">
        <f t="shared" si="108"/>
        <v>11.69567985355547</v>
      </c>
      <c r="Z306" s="385">
        <f t="shared" si="109"/>
        <v>12.393626740332019</v>
      </c>
      <c r="AA306" s="386">
        <f t="shared" si="110"/>
        <v>14.703022181270006</v>
      </c>
      <c r="AB306" s="197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0.15706943868179002</v>
      </c>
      <c r="AD306" s="231">
        <f>(INDEX(Models!$BJ306:$BT306,,AH306)*(1-AF306)+INDEX(Models!$BJ306:$BT306,,AH306+1)*AF306-ERP_i)*AE306*Ramure*Pc/MaxiM</f>
        <v>2.8480798058468849E-2</v>
      </c>
      <c r="AE306" s="305">
        <f t="shared" si="112"/>
        <v>0.8</v>
      </c>
      <c r="AF306" s="177">
        <f t="shared" si="113"/>
        <v>0.79751777676153646</v>
      </c>
      <c r="AG306" s="809">
        <f t="shared" si="119"/>
        <v>1</v>
      </c>
      <c r="AH306" s="176">
        <f t="shared" si="114"/>
        <v>7</v>
      </c>
      <c r="AI306" s="225">
        <f t="shared" si="115"/>
        <v>1.7975177767615365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44854</v>
      </c>
      <c r="B307" s="616">
        <v>5.476</v>
      </c>
      <c r="C307" s="839"/>
      <c r="D307" s="393">
        <f t="shared" si="98"/>
        <v>5.8029217306101684</v>
      </c>
      <c r="E307" s="385">
        <f t="shared" si="120"/>
        <v>6.5797712417556751</v>
      </c>
      <c r="F307" s="385">
        <f t="shared" si="99"/>
        <v>6.5797712417556751</v>
      </c>
      <c r="G307" s="110">
        <f t="shared" si="121"/>
        <v>0.22684589870374078</v>
      </c>
      <c r="H307" s="414" t="b">
        <f>Wh_hp&gt;='2021'!Maxi_hp</f>
        <v>0</v>
      </c>
      <c r="I307" s="380">
        <f>IF(H307,Wh_hp,'2021'!Maxi_hp)</f>
        <v>24.548923439144371</v>
      </c>
      <c r="J307" s="85">
        <f>IF(H307,An,'2021'!An_max)</f>
        <v>2020</v>
      </c>
      <c r="K307" s="197">
        <f t="shared" si="100"/>
        <v>44854</v>
      </c>
      <c r="L307" s="147">
        <f>IF(t&lt;Tvie,1-EXP((T0-t)*PertePVj)+'2021'!Pspv,1-EXP((T0-t)*PertePVj)+Pspv)</f>
        <v>5.6337435827484988E-2</v>
      </c>
      <c r="M307" s="843"/>
      <c r="N307" s="843"/>
      <c r="O307" s="48">
        <f>IF(t&lt;Tnet,'2021'!Resal+('2021'!Salim-'2021'!Resal)*(1-EXP(('2021'!Tnet-t)/('2021'!Tau_j))),Resal+(Salim-Resal)*(1-EXP((Tnet-t)/(Tau_j))))*Salcycl</f>
        <v>0.11806634039426284</v>
      </c>
      <c r="P307" s="339">
        <f>(INDEX(Models!$BJ307:$BT307,,T307)*(1-R307)+INDEX(Models!$BJ307:$BT307,,T307+1)*R307-ERP_i)*Q307*Ramure*Pc/MaxiM</f>
        <v>8.5063804689311396E-3</v>
      </c>
      <c r="Q307" s="305">
        <f t="shared" si="101"/>
        <v>0.8</v>
      </c>
      <c r="R307" s="177">
        <f t="shared" si="102"/>
        <v>0.59691114653222521</v>
      </c>
      <c r="S307" s="809">
        <f t="shared" si="103"/>
        <v>0</v>
      </c>
      <c r="T307" s="176">
        <f t="shared" si="104"/>
        <v>6</v>
      </c>
      <c r="U307" s="251">
        <f t="shared" si="105"/>
        <v>0.59691114653222521</v>
      </c>
      <c r="V307" s="383">
        <f t="shared" si="106"/>
        <v>23.934393751781769</v>
      </c>
      <c r="W307" s="402"/>
      <c r="X307" s="157">
        <f t="shared" si="107"/>
        <v>44854</v>
      </c>
      <c r="Y307" s="385">
        <f t="shared" si="108"/>
        <v>5.2342124876603799</v>
      </c>
      <c r="Z307" s="385">
        <f t="shared" si="109"/>
        <v>5.546699303739139</v>
      </c>
      <c r="AA307" s="386">
        <f t="shared" si="110"/>
        <v>6.5797712417556751</v>
      </c>
      <c r="AB307" s="197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0.15700727275449811</v>
      </c>
      <c r="AD307" s="231">
        <f>(INDEX(Models!$BJ307:$BT307,,AH307)*(1-AF307)+INDEX(Models!$BJ307:$BT307,,AH307+1)*AF307-ERP_i)*AE307*Ramure*Pc/MaxiM</f>
        <v>2.7971217009861493E-2</v>
      </c>
      <c r="AE307" s="305">
        <f t="shared" si="112"/>
        <v>0.8</v>
      </c>
      <c r="AF307" s="177">
        <f t="shared" si="113"/>
        <v>0.79762789369712861</v>
      </c>
      <c r="AG307" s="809">
        <f t="shared" si="119"/>
        <v>1</v>
      </c>
      <c r="AH307" s="176">
        <f t="shared" si="114"/>
        <v>7</v>
      </c>
      <c r="AI307" s="225">
        <f t="shared" si="115"/>
        <v>1.7976278936971286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44855</v>
      </c>
      <c r="B308" s="616">
        <v>12.802</v>
      </c>
      <c r="C308" s="839"/>
      <c r="D308" s="393">
        <f t="shared" si="98"/>
        <v>13.566612769734409</v>
      </c>
      <c r="E308" s="385">
        <f t="shared" si="120"/>
        <v>15.383447538227168</v>
      </c>
      <c r="F308" s="385">
        <f t="shared" si="99"/>
        <v>15.427917496206215</v>
      </c>
      <c r="G308" s="110">
        <f t="shared" si="121"/>
        <v>0.53875218778911182</v>
      </c>
      <c r="H308" s="414" t="b">
        <f>Wh_hp&gt;='2021'!Maxi_hp</f>
        <v>0</v>
      </c>
      <c r="I308" s="380">
        <f>IF(H308,Wh_hp,'2021'!Maxi_hp)</f>
        <v>22.767117495614556</v>
      </c>
      <c r="J308" s="85">
        <f>IF(H308,An,'2021'!An_max)</f>
        <v>2019</v>
      </c>
      <c r="K308" s="197">
        <f t="shared" si="100"/>
        <v>44855</v>
      </c>
      <c r="L308" s="147">
        <f>IF(t&lt;Tvie,1-EXP((T0-t)*PertePVj)+'2021'!Pspv,1-EXP((T0-t)*PertePVj)+Pspv)</f>
        <v>5.6359887520352508E-2</v>
      </c>
      <c r="M308" s="843"/>
      <c r="N308" s="843"/>
      <c r="O308" s="48">
        <f>IF(t&lt;Tnet,'2021'!Resal+('2021'!Salim-'2021'!Resal)*(1-EXP(('2021'!Tnet-t)/('2021'!Tau_j))),Resal+(Salim-Resal)*(1-EXP((Tnet-t)/(Tau_j))))*Salcycl</f>
        <v>0.1181032251696512</v>
      </c>
      <c r="P308" s="339">
        <f>(INDEX(Models!$BJ308:$BT308,,T308)*(1-R308)+INDEX(Models!$BJ308:$BT308,,T308+1)*R308-ERP_i)*Q308*Ramure*Pc/MaxiM</f>
        <v>8.3472382165977153E-3</v>
      </c>
      <c r="Q308" s="305">
        <f t="shared" si="101"/>
        <v>0.8</v>
      </c>
      <c r="R308" s="177">
        <f t="shared" si="102"/>
        <v>0.5970168679665675</v>
      </c>
      <c r="S308" s="809">
        <f t="shared" si="103"/>
        <v>0</v>
      </c>
      <c r="T308" s="176">
        <f t="shared" si="104"/>
        <v>6</v>
      </c>
      <c r="U308" s="251">
        <f t="shared" si="105"/>
        <v>0.5970168679665675</v>
      </c>
      <c r="V308" s="383">
        <f t="shared" si="106"/>
        <v>23.632084711831581</v>
      </c>
      <c r="W308" s="402"/>
      <c r="X308" s="157">
        <f t="shared" si="107"/>
        <v>44855</v>
      </c>
      <c r="Y308" s="385">
        <f t="shared" si="108"/>
        <v>12.157070822361577</v>
      </c>
      <c r="Z308" s="385">
        <f t="shared" si="109"/>
        <v>12.883164525950333</v>
      </c>
      <c r="AA308" s="386">
        <f t="shared" si="110"/>
        <v>15.281492866716414</v>
      </c>
      <c r="AB308" s="197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0.1569433275717268</v>
      </c>
      <c r="AD308" s="231">
        <f>(INDEX(Models!$BJ308:$BT308,,AH308)*(1-AF308)+INDEX(Models!$BJ308:$BT308,,AH308+1)*AF308-ERP_i)*AE308*Ramure*Pc/MaxiM</f>
        <v>2.7484650732170875E-2</v>
      </c>
      <c r="AE308" s="305">
        <f t="shared" si="112"/>
        <v>0.8</v>
      </c>
      <c r="AF308" s="177">
        <f t="shared" si="113"/>
        <v>0.7977336151314709</v>
      </c>
      <c r="AG308" s="809">
        <f t="shared" si="119"/>
        <v>1</v>
      </c>
      <c r="AH308" s="176">
        <f t="shared" si="114"/>
        <v>7</v>
      </c>
      <c r="AI308" s="225">
        <f t="shared" si="115"/>
        <v>1.7977336151314709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44856</v>
      </c>
      <c r="B309" s="616">
        <v>22.317</v>
      </c>
      <c r="C309" s="839"/>
      <c r="D309" s="393">
        <f t="shared" si="98"/>
        <v>23.650468738615277</v>
      </c>
      <c r="E309" s="385">
        <f t="shared" si="120"/>
        <v>26.818803880316121</v>
      </c>
      <c r="F309" s="385">
        <f t="shared" si="99"/>
        <v>27.02636286510641</v>
      </c>
      <c r="G309" s="110">
        <f t="shared" si="121"/>
        <v>0.9560018275101656</v>
      </c>
      <c r="H309" s="414" t="b">
        <f>Wh_hp&gt;='2021'!Maxi_hp</f>
        <v>1</v>
      </c>
      <c r="I309" s="380">
        <f>IF(H309,Wh_hp,'2021'!Maxi_hp)</f>
        <v>27.02636286510641</v>
      </c>
      <c r="J309" s="85">
        <f>IF(H309,An,'2021'!An_max)</f>
        <v>2022</v>
      </c>
      <c r="K309" s="197">
        <f t="shared" si="100"/>
        <v>44856</v>
      </c>
      <c r="L309" s="147">
        <f>IF(t&lt;Tvie,1-EXP((T0-t)*PertePVj)+'2021'!Pspv,1-EXP((T0-t)*PertePVj)+Pspv)</f>
        <v>5.6382338690736306E-2</v>
      </c>
      <c r="M309" s="843"/>
      <c r="N309" s="843"/>
      <c r="O309" s="48">
        <f>IF(t&lt;Tnet,'2021'!Resal+('2021'!Salim-'2021'!Resal)*(1-EXP(('2021'!Tnet-t)/('2021'!Tau_j))),Resal+(Salim-Resal)*(1-EXP((Tnet-t)/(Tau_j))))*Salcycl</f>
        <v>0.1181385700809077</v>
      </c>
      <c r="P309" s="339">
        <f>(INDEX(Models!$BJ309:$BT309,,T309)*(1-R309)+INDEX(Models!$BJ309:$BT309,,T309+1)*R309-ERP_i)*Q309*Ramure*Pc/MaxiM</f>
        <v>8.1888376290522695E-3</v>
      </c>
      <c r="Q309" s="305">
        <f t="shared" si="101"/>
        <v>0.8</v>
      </c>
      <c r="R309" s="177">
        <f t="shared" si="102"/>
        <v>0.5971183678855827</v>
      </c>
      <c r="S309" s="809">
        <f t="shared" si="103"/>
        <v>0</v>
      </c>
      <c r="T309" s="176">
        <f t="shared" si="104"/>
        <v>6</v>
      </c>
      <c r="U309" s="251">
        <f t="shared" si="105"/>
        <v>0.5971183678855827</v>
      </c>
      <c r="V309" s="383">
        <f t="shared" si="106"/>
        <v>23.33212431791566</v>
      </c>
      <c r="W309" s="402"/>
      <c r="X309" s="157">
        <f t="shared" si="107"/>
        <v>44856</v>
      </c>
      <c r="Y309" s="385">
        <f t="shared" si="108"/>
        <v>20.956868336777799</v>
      </c>
      <c r="Z309" s="385">
        <f t="shared" si="109"/>
        <v>22.209067502721677</v>
      </c>
      <c r="AA309" s="386">
        <f t="shared" si="110"/>
        <v>26.341454304969965</v>
      </c>
      <c r="AB309" s="197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0.15687770137537974</v>
      </c>
      <c r="AD309" s="231">
        <f>(INDEX(Models!$BJ309:$BT309,,AH309)*(1-AF309)+INDEX(Models!$BJ309:$BT309,,AH309+1)*AF309-ERP_i)*AE309*Ramure*Pc/MaxiM</f>
        <v>2.7021740327801389E-2</v>
      </c>
      <c r="AE309" s="305">
        <f t="shared" si="112"/>
        <v>0.8</v>
      </c>
      <c r="AF309" s="177">
        <f t="shared" si="113"/>
        <v>0.7978351150504861</v>
      </c>
      <c r="AG309" s="809">
        <f t="shared" si="119"/>
        <v>1</v>
      </c>
      <c r="AH309" s="176">
        <f t="shared" si="114"/>
        <v>7</v>
      </c>
      <c r="AI309" s="225">
        <f t="shared" si="115"/>
        <v>1.7978351150504861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44857</v>
      </c>
      <c r="B310" s="616">
        <v>13.846</v>
      </c>
      <c r="C310" s="839"/>
      <c r="D310" s="393">
        <f t="shared" si="98"/>
        <v>14.67366498214372</v>
      </c>
      <c r="E310" s="385">
        <f t="shared" si="120"/>
        <v>16.640061916904877</v>
      </c>
      <c r="F310" s="385">
        <f t="shared" si="99"/>
        <v>16.697767509889299</v>
      </c>
      <c r="G310" s="110">
        <f t="shared" si="121"/>
        <v>0.59833358264428904</v>
      </c>
      <c r="H310" s="414" t="b">
        <f>Wh_hp&gt;='2021'!Maxi_hp</f>
        <v>0</v>
      </c>
      <c r="I310" s="380">
        <f>IF(H310,Wh_hp,'2021'!Maxi_hp)</f>
        <v>29.192406870940115</v>
      </c>
      <c r="J310" s="85">
        <f>IF(H310,An,'2021'!An_max)</f>
        <v>2021</v>
      </c>
      <c r="K310" s="197">
        <f t="shared" si="100"/>
        <v>44857</v>
      </c>
      <c r="L310" s="147">
        <f>IF(t&lt;Tvie,1-EXP((T0-t)*PertePVj)+'2021'!Pspv,1-EXP((T0-t)*PertePVj)+Pspv)</f>
        <v>5.6404789338648481E-2</v>
      </c>
      <c r="M310" s="843"/>
      <c r="N310" s="843"/>
      <c r="O310" s="48">
        <f>IF(t&lt;Tnet,'2021'!Resal+('2021'!Salim-'2021'!Resal)*(1-EXP(('2021'!Tnet-t)/('2021'!Tau_j))),Resal+(Salim-Resal)*(1-EXP((Tnet-t)/(Tau_j))))*Salcycl</f>
        <v>0.11817245299811455</v>
      </c>
      <c r="P310" s="339">
        <f>(INDEX(Models!$BJ310:$BT310,,T310)*(1-R310)+INDEX(Models!$BJ310:$BT310,,T310+1)*R310-ERP_i)*Q310*Ramure*Pc/MaxiM</f>
        <v>8.0344033771541819E-3</v>
      </c>
      <c r="Q310" s="305">
        <f t="shared" si="101"/>
        <v>0.8</v>
      </c>
      <c r="R310" s="177">
        <f t="shared" si="102"/>
        <v>0.59721581350376873</v>
      </c>
      <c r="S310" s="809">
        <f t="shared" si="103"/>
        <v>0</v>
      </c>
      <c r="T310" s="176">
        <f t="shared" si="104"/>
        <v>6</v>
      </c>
      <c r="U310" s="251">
        <f t="shared" si="105"/>
        <v>0.59721581350376873</v>
      </c>
      <c r="V310" s="383">
        <f t="shared" si="106"/>
        <v>23.034618840422748</v>
      </c>
      <c r="W310" s="402"/>
      <c r="X310" s="157">
        <f t="shared" si="107"/>
        <v>44857</v>
      </c>
      <c r="Y310" s="385">
        <f t="shared" si="108"/>
        <v>13.133172292754535</v>
      </c>
      <c r="Z310" s="385">
        <f t="shared" si="109"/>
        <v>13.918226951946581</v>
      </c>
      <c r="AA310" s="386">
        <f t="shared" si="110"/>
        <v>16.506641688499023</v>
      </c>
      <c r="AB310" s="197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0.15681050000351773</v>
      </c>
      <c r="AD310" s="231">
        <f>(INDEX(Models!$BJ310:$BT310,,AH310)*(1-AF310)+INDEX(Models!$BJ310:$BT310,,AH310+1)*AF310-ERP_i)*AE310*Ramure*Pc/MaxiM</f>
        <v>2.6610625858293484E-2</v>
      </c>
      <c r="AE310" s="305">
        <f t="shared" si="112"/>
        <v>0.8</v>
      </c>
      <c r="AF310" s="177">
        <f t="shared" si="113"/>
        <v>0.79793256066867224</v>
      </c>
      <c r="AG310" s="809">
        <f t="shared" si="119"/>
        <v>1</v>
      </c>
      <c r="AH310" s="176">
        <f t="shared" si="114"/>
        <v>7</v>
      </c>
      <c r="AI310" s="225">
        <f t="shared" si="115"/>
        <v>1.7979325606686722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44858</v>
      </c>
      <c r="B311" s="616">
        <v>16.611000000000001</v>
      </c>
      <c r="C311" s="839"/>
      <c r="D311" s="393">
        <f t="shared" si="98"/>
        <v>17.60436576249387</v>
      </c>
      <c r="E311" s="385">
        <f t="shared" si="120"/>
        <v>19.96423762327084</v>
      </c>
      <c r="F311" s="385">
        <f t="shared" si="99"/>
        <v>20.061493660962434</v>
      </c>
      <c r="G311" s="110">
        <f t="shared" si="121"/>
        <v>0.72825430962665116</v>
      </c>
      <c r="H311" s="414" t="b">
        <f>Wh_hp&gt;='2021'!Maxi_hp</f>
        <v>0</v>
      </c>
      <c r="I311" s="380">
        <f>IF(H311,Wh_hp,'2021'!Maxi_hp)</f>
        <v>28.410947539123171</v>
      </c>
      <c r="J311" s="85">
        <f>IF(H311,An,'2021'!An_max)</f>
        <v>2018</v>
      </c>
      <c r="K311" s="197">
        <f t="shared" si="100"/>
        <v>44858</v>
      </c>
      <c r="L311" s="147">
        <f>IF(t&lt;Tvie,1-EXP((T0-t)*PertePVj)+'2021'!Pspv,1-EXP((T0-t)*PertePVj)+Pspv)</f>
        <v>5.6427239464101359E-2</v>
      </c>
      <c r="M311" s="843"/>
      <c r="N311" s="843"/>
      <c r="O311" s="48">
        <f>IF(t&lt;Tnet,'2021'!Resal+('2021'!Salim-'2021'!Resal)*(1-EXP(('2021'!Tnet-t)/('2021'!Tau_j))),Resal+(Salim-Resal)*(1-EXP((Tnet-t)/(Tau_j))))*Salcycl</f>
        <v>0.11820495755000643</v>
      </c>
      <c r="P311" s="339">
        <f>(INDEX(Models!$BJ311:$BT311,,T311)*(1-R311)+INDEX(Models!$BJ311:$BT311,,T311+1)*R311-ERP_i)*Q311*Ramure*Pc/MaxiM</f>
        <v>7.8830827880606389E-3</v>
      </c>
      <c r="Q311" s="305">
        <f t="shared" si="101"/>
        <v>0.8</v>
      </c>
      <c r="R311" s="177">
        <f t="shared" si="102"/>
        <v>0.59730936551864</v>
      </c>
      <c r="S311" s="809">
        <f t="shared" si="103"/>
        <v>0</v>
      </c>
      <c r="T311" s="176">
        <f t="shared" si="104"/>
        <v>6</v>
      </c>
      <c r="U311" s="251">
        <f t="shared" si="105"/>
        <v>0.59730936551864</v>
      </c>
      <c r="V311" s="383">
        <f t="shared" si="106"/>
        <v>22.739771926190635</v>
      </c>
      <c r="W311" s="402"/>
      <c r="X311" s="157">
        <f t="shared" si="107"/>
        <v>44858</v>
      </c>
      <c r="Y311" s="385">
        <f t="shared" si="108"/>
        <v>15.704829772834342</v>
      </c>
      <c r="Z311" s="385">
        <f t="shared" si="109"/>
        <v>16.644005030322031</v>
      </c>
      <c r="AA311" s="386">
        <f t="shared" si="110"/>
        <v>19.737733653844952</v>
      </c>
      <c r="AB311" s="197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0.15674183661507946</v>
      </c>
      <c r="AD311" s="231">
        <f>(INDEX(Models!$BJ311:$BT311,,AH311)*(1-AF311)+INDEX(Models!$BJ311:$BT311,,AH311+1)*AF311-ERP_i)*AE311*Ramure*Pc/MaxiM</f>
        <v>2.6242349576932878E-2</v>
      </c>
      <c r="AE311" s="305">
        <f t="shared" si="112"/>
        <v>0.8</v>
      </c>
      <c r="AF311" s="177">
        <f t="shared" si="113"/>
        <v>0.79802611268354351</v>
      </c>
      <c r="AG311" s="809">
        <f t="shared" si="119"/>
        <v>1</v>
      </c>
      <c r="AH311" s="176">
        <f t="shared" si="114"/>
        <v>7</v>
      </c>
      <c r="AI311" s="225">
        <f t="shared" si="115"/>
        <v>1.7980261126835435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44859</v>
      </c>
      <c r="B312" s="616">
        <v>16.692</v>
      </c>
      <c r="C312" s="839"/>
      <c r="D312" s="393">
        <f t="shared" si="98"/>
        <v>17.690630596577872</v>
      </c>
      <c r="E312" s="385">
        <f t="shared" si="120"/>
        <v>20.062776508611364</v>
      </c>
      <c r="F312" s="385">
        <f t="shared" si="99"/>
        <v>20.161603424505021</v>
      </c>
      <c r="G312" s="110">
        <f t="shared" si="121"/>
        <v>0.74147581786227479</v>
      </c>
      <c r="H312" s="414" t="b">
        <f>Wh_hp&gt;='2021'!Maxi_hp</f>
        <v>0</v>
      </c>
      <c r="I312" s="380">
        <f>IF(H312,Wh_hp,'2021'!Maxi_hp)</f>
        <v>27.544324929727701</v>
      </c>
      <c r="J312" s="85">
        <f>IF(H312,An,'2021'!An_max)</f>
        <v>2018</v>
      </c>
      <c r="K312" s="197">
        <f t="shared" si="100"/>
        <v>44859</v>
      </c>
      <c r="L312" s="147">
        <f>IF(t&lt;Tvie,1-EXP((T0-t)*PertePVj)+'2021'!Pspv,1-EXP((T0-t)*PertePVj)+Pspv)</f>
        <v>5.6449689067107039E-2</v>
      </c>
      <c r="M312" s="843"/>
      <c r="N312" s="843"/>
      <c r="O312" s="48">
        <f>IF(t&lt;Tnet,'2021'!Resal+('2021'!Salim-'2021'!Resal)*(1-EXP(('2021'!Tnet-t)/('2021'!Tau_j))),Resal+(Salim-Resal)*(1-EXP((Tnet-t)/(Tau_j))))*Salcycl</f>
        <v>0.11823617289537749</v>
      </c>
      <c r="P312" s="339">
        <f>(INDEX(Models!$BJ312:$BT312,,T312)*(1-R312)+INDEX(Models!$BJ312:$BT312,,T312+1)*R312-ERP_i)*Q312*Ramure*Pc/MaxiM</f>
        <v>7.7350566666673547E-3</v>
      </c>
      <c r="Q312" s="305">
        <f t="shared" si="101"/>
        <v>0.8</v>
      </c>
      <c r="R312" s="177">
        <f t="shared" si="102"/>
        <v>0.59739917835632983</v>
      </c>
      <c r="S312" s="809">
        <f t="shared" si="103"/>
        <v>0</v>
      </c>
      <c r="T312" s="176">
        <f t="shared" si="104"/>
        <v>6</v>
      </c>
      <c r="U312" s="251">
        <f t="shared" si="105"/>
        <v>0.59739917835632983</v>
      </c>
      <c r="V312" s="383">
        <f t="shared" si="106"/>
        <v>22.447762820395091</v>
      </c>
      <c r="W312" s="402"/>
      <c r="X312" s="157">
        <f t="shared" si="107"/>
        <v>44859</v>
      </c>
      <c r="Y312" s="385">
        <f t="shared" si="108"/>
        <v>15.779544790682253</v>
      </c>
      <c r="Z312" s="385">
        <f t="shared" si="109"/>
        <v>16.72358602169389</v>
      </c>
      <c r="AA312" s="386">
        <f t="shared" si="110"/>
        <v>19.830460600788228</v>
      </c>
      <c r="AB312" s="197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0.15667183136285012</v>
      </c>
      <c r="AD312" s="231">
        <f>(INDEX(Models!$BJ312:$BT312,,AH312)*(1-AF312)+INDEX(Models!$BJ312:$BT312,,AH312+1)*AF312-ERP_i)*AE312*Ramure*Pc/MaxiM</f>
        <v>2.591812648454846E-2</v>
      </c>
      <c r="AE312" s="305">
        <f t="shared" si="112"/>
        <v>0.8</v>
      </c>
      <c r="AF312" s="177">
        <f t="shared" si="113"/>
        <v>0.79811592552123312</v>
      </c>
      <c r="AG312" s="809">
        <f t="shared" si="119"/>
        <v>1</v>
      </c>
      <c r="AH312" s="176">
        <f t="shared" si="114"/>
        <v>7</v>
      </c>
      <c r="AI312" s="225">
        <f t="shared" si="115"/>
        <v>1.7981159255212331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44860</v>
      </c>
      <c r="B313" s="616">
        <v>10.875</v>
      </c>
      <c r="C313" s="839"/>
      <c r="D313" s="393">
        <f t="shared" si="98"/>
        <v>11.525891751251873</v>
      </c>
      <c r="E313" s="385">
        <f t="shared" si="120"/>
        <v>13.071849650879845</v>
      </c>
      <c r="F313" s="385">
        <f t="shared" si="99"/>
        <v>13.098947182318566</v>
      </c>
      <c r="G313" s="110">
        <f t="shared" si="121"/>
        <v>0.48806071703981602</v>
      </c>
      <c r="H313" s="414" t="b">
        <f>Wh_hp&gt;='2021'!Maxi_hp</f>
        <v>0</v>
      </c>
      <c r="I313" s="380">
        <f>IF(H313,Wh_hp,'2021'!Maxi_hp)</f>
        <v>27.696361546697236</v>
      </c>
      <c r="J313" s="85">
        <f>IF(H313,An,'2021'!An_max)</f>
        <v>2019</v>
      </c>
      <c r="K313" s="197">
        <f t="shared" si="100"/>
        <v>44860</v>
      </c>
      <c r="L313" s="147">
        <f>IF(t&lt;Tvie,1-EXP((T0-t)*PertePVj)+'2021'!Pspv,1-EXP((T0-t)*PertePVj)+Pspv)</f>
        <v>5.6472138147677625E-2</v>
      </c>
      <c r="M313" s="843"/>
      <c r="N313" s="843"/>
      <c r="O313" s="48">
        <f>IF(t&lt;Tnet,'2021'!Resal+('2021'!Salim-'2021'!Resal)*(1-EXP(('2021'!Tnet-t)/('2021'!Tau_j))),Resal+(Salim-Resal)*(1-EXP((Tnet-t)/(Tau_j))))*Salcycl</f>
        <v>0.11826619345517923</v>
      </c>
      <c r="P313" s="339">
        <f>(INDEX(Models!$BJ313:$BT313,,T313)*(1-R313)+INDEX(Models!$BJ313:$BT313,,T313+1)*R313-ERP_i)*Q313*Ramure*Pc/MaxiM</f>
        <v>7.5904407231486004E-3</v>
      </c>
      <c r="Q313" s="305">
        <f t="shared" si="101"/>
        <v>0.8</v>
      </c>
      <c r="R313" s="177">
        <f t="shared" si="102"/>
        <v>0.59748540040860532</v>
      </c>
      <c r="S313" s="809">
        <f t="shared" si="103"/>
        <v>0</v>
      </c>
      <c r="T313" s="176">
        <f t="shared" si="104"/>
        <v>6</v>
      </c>
      <c r="U313" s="251">
        <f t="shared" si="105"/>
        <v>0.59748540040860532</v>
      </c>
      <c r="V313" s="383">
        <f t="shared" si="106"/>
        <v>22.158772455387115</v>
      </c>
      <c r="W313" s="402"/>
      <c r="X313" s="157">
        <f t="shared" si="107"/>
        <v>44860</v>
      </c>
      <c r="Y313" s="385">
        <f t="shared" si="108"/>
        <v>10.350923152191891</v>
      </c>
      <c r="Z313" s="385">
        <f t="shared" si="109"/>
        <v>10.970447795649706</v>
      </c>
      <c r="AA313" s="386">
        <f t="shared" si="110"/>
        <v>13.007417291189332</v>
      </c>
      <c r="AB313" s="197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0.15660061101594575</v>
      </c>
      <c r="AD313" s="231">
        <f>(INDEX(Models!$BJ313:$BT313,,AH313)*(1-AF313)+INDEX(Models!$BJ313:$BT313,,AH313+1)*AF313-ERP_i)*AE313*Ramure*Pc/MaxiM</f>
        <v>2.5638948499194382E-2</v>
      </c>
      <c r="AE313" s="305">
        <f t="shared" si="112"/>
        <v>0.8</v>
      </c>
      <c r="AF313" s="177">
        <f t="shared" si="113"/>
        <v>0.79820214757350882</v>
      </c>
      <c r="AG313" s="809">
        <f t="shared" si="119"/>
        <v>1</v>
      </c>
      <c r="AH313" s="176">
        <f t="shared" si="114"/>
        <v>7</v>
      </c>
      <c r="AI313" s="225">
        <f t="shared" si="115"/>
        <v>1.7982021475735088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44861</v>
      </c>
      <c r="B314" s="616">
        <v>10.496</v>
      </c>
      <c r="C314" s="839"/>
      <c r="D314" s="393">
        <f t="shared" si="98"/>
        <v>11.124472474783207</v>
      </c>
      <c r="E314" s="385">
        <f t="shared" si="120"/>
        <v>12.617002252726998</v>
      </c>
      <c r="F314" s="385">
        <f t="shared" si="99"/>
        <v>12.641198430114075</v>
      </c>
      <c r="G314" s="110">
        <f t="shared" si="121"/>
        <v>0.47720015235282526</v>
      </c>
      <c r="H314" s="414" t="b">
        <f>Wh_hp&gt;='2021'!Maxi_hp</f>
        <v>0</v>
      </c>
      <c r="I314" s="380">
        <f>IF(H314,Wh_hp,'2021'!Maxi_hp)</f>
        <v>24.453755622088135</v>
      </c>
      <c r="J314" s="85">
        <f>IF(H314,An,'2021'!An_max)</f>
        <v>2021</v>
      </c>
      <c r="K314" s="197">
        <f t="shared" si="100"/>
        <v>44861</v>
      </c>
      <c r="L314" s="147">
        <f>IF(t&lt;Tvie,1-EXP((T0-t)*PertePVj)+'2021'!Pspv,1-EXP((T0-t)*PertePVj)+Pspv)</f>
        <v>5.6494586705825328E-2</v>
      </c>
      <c r="M314" s="843"/>
      <c r="N314" s="843"/>
      <c r="O314" s="48">
        <f>IF(t&lt;Tnet,'2021'!Resal+('2021'!Salim-'2021'!Resal)*(1-EXP(('2021'!Tnet-t)/('2021'!Tau_j))),Resal+(Salim-Resal)*(1-EXP((Tnet-t)/(Tau_j))))*Salcycl</f>
        <v>0.11829511860641861</v>
      </c>
      <c r="P314" s="339">
        <f>(INDEX(Models!$BJ314:$BT314,,T314)*(1-R314)+INDEX(Models!$BJ314:$BT314,,T314+1)*R314-ERP_i)*Q314*Ramure*Pc/MaxiM</f>
        <v>7.4493529101786792E-3</v>
      </c>
      <c r="Q314" s="305">
        <f t="shared" si="101"/>
        <v>0.8</v>
      </c>
      <c r="R314" s="177">
        <f t="shared" si="102"/>
        <v>0.59756817426153797</v>
      </c>
      <c r="S314" s="809">
        <f t="shared" si="103"/>
        <v>0</v>
      </c>
      <c r="T314" s="176">
        <f t="shared" si="104"/>
        <v>6</v>
      </c>
      <c r="U314" s="251">
        <f t="shared" si="105"/>
        <v>0.59756817426153797</v>
      </c>
      <c r="V314" s="383">
        <f t="shared" si="106"/>
        <v>21.872981878994398</v>
      </c>
      <c r="W314" s="402"/>
      <c r="X314" s="157">
        <f t="shared" si="107"/>
        <v>44861</v>
      </c>
      <c r="Y314" s="385">
        <f t="shared" si="108"/>
        <v>9.994448515088191</v>
      </c>
      <c r="Z314" s="385">
        <f t="shared" si="109"/>
        <v>10.592889425184497</v>
      </c>
      <c r="AA314" s="386">
        <f t="shared" si="110"/>
        <v>12.558678059209587</v>
      </c>
      <c r="AB314" s="197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0.15652830853351879</v>
      </c>
      <c r="AD314" s="231">
        <f>(INDEX(Models!$BJ314:$BT314,,AH314)*(1-AF314)+INDEX(Models!$BJ314:$BT314,,AH314+1)*AF314-ERP_i)*AE314*Ramure*Pc/MaxiM</f>
        <v>2.5405805029132304E-2</v>
      </c>
      <c r="AE314" s="305">
        <f t="shared" si="112"/>
        <v>0.8</v>
      </c>
      <c r="AF314" s="177">
        <f t="shared" si="113"/>
        <v>0.79828492142644136</v>
      </c>
      <c r="AG314" s="809">
        <f t="shared" si="119"/>
        <v>1</v>
      </c>
      <c r="AH314" s="176">
        <f t="shared" si="114"/>
        <v>7</v>
      </c>
      <c r="AI314" s="225">
        <f t="shared" si="115"/>
        <v>1.7982849214264414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44862</v>
      </c>
      <c r="B315" s="616">
        <v>0</v>
      </c>
      <c r="C315" s="839"/>
      <c r="D315" s="393">
        <f t="shared" si="98"/>
        <v>0</v>
      </c>
      <c r="E315" s="385">
        <f t="shared" si="120"/>
        <v>0</v>
      </c>
      <c r="F315" s="385">
        <f t="shared" si="99"/>
        <v>0</v>
      </c>
      <c r="G315" s="110">
        <f t="shared" si="121"/>
        <v>0</v>
      </c>
      <c r="H315" s="414" t="b">
        <f>Wh_hp&gt;='2021'!Maxi_hp</f>
        <v>0</v>
      </c>
      <c r="I315" s="380">
        <f>IF(H315,Wh_hp,'2021'!Maxi_hp)</f>
        <v>25.702565660135079</v>
      </c>
      <c r="J315" s="85">
        <f>IF(H315,An,'2021'!An_max)</f>
        <v>2021</v>
      </c>
      <c r="K315" s="197">
        <f t="shared" si="100"/>
        <v>44862</v>
      </c>
      <c r="L315" s="147">
        <f>IF(t&lt;Tvie,1-EXP((T0-t)*PertePVj)+'2021'!Pspv,1-EXP((T0-t)*PertePVj)+Pspv)</f>
        <v>5.651703474156225E-2</v>
      </c>
      <c r="M315" s="843"/>
      <c r="N315" s="843"/>
      <c r="O315" s="48">
        <f>IF(t&lt;Tnet,'2021'!Resal+('2021'!Salim-'2021'!Resal)*(1-EXP(('2021'!Tnet-t)/('2021'!Tau_j))),Resal+(Salim-Resal)*(1-EXP((Tnet-t)/(Tau_j))))*Salcycl</f>
        <v>0.11832305233929763</v>
      </c>
      <c r="P315" s="339">
        <f>(INDEX(Models!$BJ315:$BT315,,T315)*(1-R315)+INDEX(Models!$BJ315:$BT315,,T315+1)*R315-ERP_i)*Q315*Ramure*Pc/MaxiM</f>
        <v>7.3119129876268564E-3</v>
      </c>
      <c r="Q315" s="305">
        <f t="shared" si="101"/>
        <v>0.8</v>
      </c>
      <c r="R315" s="177">
        <f t="shared" si="102"/>
        <v>0.59764763691607659</v>
      </c>
      <c r="S315" s="809">
        <f t="shared" si="103"/>
        <v>0</v>
      </c>
      <c r="T315" s="176">
        <f t="shared" si="104"/>
        <v>6</v>
      </c>
      <c r="U315" s="251">
        <f t="shared" si="105"/>
        <v>0.59764763691607659</v>
      </c>
      <c r="V315" s="383">
        <f t="shared" si="106"/>
        <v>21.590572267493826</v>
      </c>
      <c r="W315" s="402"/>
      <c r="X315" s="157">
        <f t="shared" si="107"/>
        <v>44862</v>
      </c>
      <c r="Y315" s="385">
        <f t="shared" si="108"/>
        <v>0</v>
      </c>
      <c r="Z315" s="385">
        <f t="shared" si="109"/>
        <v>0</v>
      </c>
      <c r="AA315" s="386">
        <f t="shared" si="110"/>
        <v>0</v>
      </c>
      <c r="AB315" s="197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0.15645506259181571</v>
      </c>
      <c r="AD315" s="231">
        <f>(INDEX(Models!$BJ315:$BT315,,AH315)*(1-AF315)+INDEX(Models!$BJ315:$BT315,,AH315+1)*AF315-ERP_i)*AE315*Ramure*Pc/MaxiM</f>
        <v>2.5219679869351946E-2</v>
      </c>
      <c r="AE315" s="305">
        <f t="shared" si="112"/>
        <v>0.8</v>
      </c>
      <c r="AF315" s="177">
        <f t="shared" si="113"/>
        <v>0.79836438408097998</v>
      </c>
      <c r="AG315" s="809">
        <f t="shared" si="119"/>
        <v>1</v>
      </c>
      <c r="AH315" s="176">
        <f t="shared" si="114"/>
        <v>7</v>
      </c>
      <c r="AI315" s="225">
        <f t="shared" si="115"/>
        <v>1.79836438408098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44863</v>
      </c>
      <c r="B316" s="616">
        <v>0</v>
      </c>
      <c r="C316" s="839"/>
      <c r="D316" s="393">
        <f t="shared" si="98"/>
        <v>0</v>
      </c>
      <c r="E316" s="385">
        <f t="shared" si="120"/>
        <v>0</v>
      </c>
      <c r="F316" s="385">
        <f t="shared" si="99"/>
        <v>0</v>
      </c>
      <c r="G316" s="110">
        <f t="shared" si="121"/>
        <v>0</v>
      </c>
      <c r="H316" s="414" t="b">
        <f>Wh_hp&gt;='2021'!Maxi_hp</f>
        <v>0</v>
      </c>
      <c r="I316" s="380">
        <f>IF(H316,Wh_hp,'2021'!Maxi_hp)</f>
        <v>24.397649963595786</v>
      </c>
      <c r="J316" s="85">
        <f>IF(H316,An,'2021'!An_max)</f>
        <v>2019</v>
      </c>
      <c r="K316" s="197">
        <f t="shared" si="100"/>
        <v>44863</v>
      </c>
      <c r="L316" s="147">
        <f>IF(t&lt;Tvie,1-EXP((T0-t)*PertePVj)+'2021'!Pspv,1-EXP((T0-t)*PertePVj)+Pspv)</f>
        <v>5.6539482254900714E-2</v>
      </c>
      <c r="M316" s="843"/>
      <c r="N316" s="843"/>
      <c r="O316" s="48">
        <f>IF(t&lt;Tnet,'2021'!Resal+('2021'!Salim-'2021'!Resal)*(1-EXP(('2021'!Tnet-t)/('2021'!Tau_j))),Resal+(Salim-Resal)*(1-EXP((Tnet-t)/(Tau_j))))*Salcycl</f>
        <v>0.11835010287935709</v>
      </c>
      <c r="P316" s="339">
        <f>(INDEX(Models!$BJ316:$BT316,,T316)*(1-R316)+INDEX(Models!$BJ316:$BT316,,T316+1)*R316-ERP_i)*Q316*Ramure*Pc/MaxiM</f>
        <v>7.178242075914376E-3</v>
      </c>
      <c r="Q316" s="305">
        <f t="shared" si="101"/>
        <v>0.8</v>
      </c>
      <c r="R316" s="177">
        <f t="shared" si="102"/>
        <v>0.59772392000075991</v>
      </c>
      <c r="S316" s="809">
        <f t="shared" si="103"/>
        <v>0</v>
      </c>
      <c r="T316" s="176">
        <f t="shared" si="104"/>
        <v>6</v>
      </c>
      <c r="U316" s="251">
        <f t="shared" si="105"/>
        <v>0.59772392000075991</v>
      </c>
      <c r="V316" s="383">
        <f t="shared" si="106"/>
        <v>21.311724944730667</v>
      </c>
      <c r="W316" s="402"/>
      <c r="X316" s="157">
        <f t="shared" si="107"/>
        <v>44863</v>
      </c>
      <c r="Y316" s="385">
        <f t="shared" si="108"/>
        <v>0</v>
      </c>
      <c r="Z316" s="385">
        <f t="shared" si="109"/>
        <v>0</v>
      </c>
      <c r="AA316" s="386">
        <f t="shared" si="110"/>
        <v>0</v>
      </c>
      <c r="AB316" s="197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0.15638101706712929</v>
      </c>
      <c r="AD316" s="231">
        <f>(INDEX(Models!$BJ316:$BT316,,AH316)*(1-AF316)+INDEX(Models!$BJ316:$BT316,,AH316+1)*AF316-ERP_i)*AE316*Ramure*Pc/MaxiM</f>
        <v>2.5081548002084481E-2</v>
      </c>
      <c r="AE316" s="305">
        <f t="shared" si="112"/>
        <v>0.8</v>
      </c>
      <c r="AF316" s="177">
        <f t="shared" si="113"/>
        <v>0.79844066716566342</v>
      </c>
      <c r="AG316" s="809">
        <f t="shared" si="119"/>
        <v>1</v>
      </c>
      <c r="AH316" s="176">
        <f t="shared" si="114"/>
        <v>7</v>
      </c>
      <c r="AI316" s="225">
        <f t="shared" si="115"/>
        <v>1.7984406671656634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44864</v>
      </c>
      <c r="B317" s="616">
        <v>0</v>
      </c>
      <c r="C317" s="839"/>
      <c r="D317" s="393">
        <f t="shared" si="98"/>
        <v>0</v>
      </c>
      <c r="E317" s="385">
        <f t="shared" si="120"/>
        <v>0</v>
      </c>
      <c r="F317" s="385">
        <f t="shared" si="99"/>
        <v>0</v>
      </c>
      <c r="G317" s="110">
        <f t="shared" si="121"/>
        <v>0</v>
      </c>
      <c r="H317" s="414" t="b">
        <f>Wh_hp&gt;='2021'!Maxi_hp</f>
        <v>0</v>
      </c>
      <c r="I317" s="380">
        <f>IF(H317,Wh_hp,'2021'!Maxi_hp)</f>
        <v>23.315037308519852</v>
      </c>
      <c r="J317" s="85">
        <f>IF(H317,An,'2021'!An_max)</f>
        <v>2020</v>
      </c>
      <c r="K317" s="197">
        <f t="shared" si="100"/>
        <v>44864</v>
      </c>
      <c r="L317" s="147">
        <f>IF(t&lt;Tvie,1-EXP((T0-t)*PertePVj)+'2021'!Pspv,1-EXP((T0-t)*PertePVj)+Pspv)</f>
        <v>5.6561929245852599E-2</v>
      </c>
      <c r="M317" s="843"/>
      <c r="N317" s="843"/>
      <c r="O317" s="48">
        <f>IF(t&lt;Tnet,'2021'!Resal+('2021'!Salim-'2021'!Resal)*(1-EXP(('2021'!Tnet-t)/('2021'!Tau_j))),Resal+(Salim-Resal)*(1-EXP((Tnet-t)/(Tau_j))))*Salcycl</f>
        <v>0.118376382276702</v>
      </c>
      <c r="P317" s="339">
        <f>(INDEX(Models!$BJ317:$BT317,,T317)*(1-R317)+INDEX(Models!$BJ317:$BT317,,T317+1)*R317-ERP_i)*Q317*Ramure*Pc/MaxiM</f>
        <v>7.0490821381408988E-3</v>
      </c>
      <c r="Q317" s="305">
        <f t="shared" si="101"/>
        <v>0.8</v>
      </c>
      <c r="R317" s="177">
        <f t="shared" si="102"/>
        <v>0.5977971499768111</v>
      </c>
      <c r="S317" s="809">
        <f t="shared" si="103"/>
        <v>0</v>
      </c>
      <c r="T317" s="176">
        <f t="shared" si="104"/>
        <v>6</v>
      </c>
      <c r="U317" s="251">
        <f t="shared" si="105"/>
        <v>0.5977971499768111</v>
      </c>
      <c r="V317" s="383">
        <f t="shared" si="106"/>
        <v>21.034758187181559</v>
      </c>
      <c r="W317" s="402"/>
      <c r="X317" s="157">
        <f t="shared" si="107"/>
        <v>44864</v>
      </c>
      <c r="Y317" s="385">
        <f t="shared" si="108"/>
        <v>0</v>
      </c>
      <c r="Z317" s="385">
        <f t="shared" si="109"/>
        <v>0</v>
      </c>
      <c r="AA317" s="386">
        <f t="shared" si="110"/>
        <v>0</v>
      </c>
      <c r="AB317" s="197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0.15630632047758622</v>
      </c>
      <c r="AD317" s="231">
        <f>(INDEX(Models!$BJ317:$BT317,,AH317)*(1-AF317)+INDEX(Models!$BJ317:$BT317,,AH317+1)*AF317-ERP_i)*AE317*Ramure*Pc/MaxiM</f>
        <v>2.4994570455305336E-2</v>
      </c>
      <c r="AE317" s="305">
        <f t="shared" si="112"/>
        <v>0.8</v>
      </c>
      <c r="AF317" s="177">
        <f t="shared" si="113"/>
        <v>0.7985138971417145</v>
      </c>
      <c r="AG317" s="809">
        <f t="shared" si="119"/>
        <v>1</v>
      </c>
      <c r="AH317" s="176">
        <f t="shared" si="114"/>
        <v>7</v>
      </c>
      <c r="AI317" s="225">
        <f t="shared" si="115"/>
        <v>1.7985138971417145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44865</v>
      </c>
      <c r="B318" s="616">
        <v>0</v>
      </c>
      <c r="C318" s="839"/>
      <c r="D318" s="393">
        <f t="shared" si="98"/>
        <v>0</v>
      </c>
      <c r="E318" s="385">
        <f t="shared" si="120"/>
        <v>0</v>
      </c>
      <c r="F318" s="385">
        <f t="shared" si="99"/>
        <v>0</v>
      </c>
      <c r="G318" s="110">
        <f t="shared" si="121"/>
        <v>0</v>
      </c>
      <c r="H318" s="414" t="b">
        <f>Wh_hp&gt;='2021'!Maxi_hp</f>
        <v>0</v>
      </c>
      <c r="I318" s="380">
        <f>IF(H318,Wh_hp,'2021'!Maxi_hp)</f>
        <v>25.066473522391494</v>
      </c>
      <c r="J318" s="85">
        <f>IF(H318,An,'2021'!An_max)</f>
        <v>2020</v>
      </c>
      <c r="K318" s="197">
        <f t="shared" si="100"/>
        <v>44865</v>
      </c>
      <c r="L318" s="147">
        <f>IF(t&lt;Tvie,1-EXP((T0-t)*PertePVj)+'2021'!Pspv,1-EXP((T0-t)*PertePVj)+Pspv)</f>
        <v>5.658437571443023E-2</v>
      </c>
      <c r="M318" s="843"/>
      <c r="N318" s="843"/>
      <c r="O318" s="48">
        <f>IF(t&lt;Tnet,'2021'!Resal+('2021'!Salim-'2021'!Resal)*(1-EXP(('2021'!Tnet-t)/('2021'!Tau_j))),Resal+(Salim-Resal)*(1-EXP((Tnet-t)/(Tau_j))))*Salcycl</f>
        <v>0.11840200596467991</v>
      </c>
      <c r="P318" s="339">
        <f>(INDEX(Models!$BJ318:$BT318,,T318)*(1-R318)+INDEX(Models!$BJ318:$BT318,,T318+1)*R318-ERP_i)*Q318*Ramure*Pc/MaxiM</f>
        <v>6.9342115404942561E-3</v>
      </c>
      <c r="Q318" s="305">
        <f t="shared" si="101"/>
        <v>0.8</v>
      </c>
      <c r="R318" s="177">
        <f t="shared" si="102"/>
        <v>0.59786744833584426</v>
      </c>
      <c r="S318" s="809">
        <f t="shared" si="103"/>
        <v>0</v>
      </c>
      <c r="T318" s="176">
        <f t="shared" si="104"/>
        <v>6</v>
      </c>
      <c r="U318" s="251">
        <f t="shared" si="105"/>
        <v>0.59786744833584426</v>
      </c>
      <c r="V318" s="383">
        <f t="shared" si="106"/>
        <v>20.758107537735732</v>
      </c>
      <c r="W318" s="402"/>
      <c r="X318" s="157">
        <f t="shared" si="107"/>
        <v>44865</v>
      </c>
      <c r="Y318" s="385">
        <f t="shared" si="108"/>
        <v>0</v>
      </c>
      <c r="Z318" s="385">
        <f t="shared" si="109"/>
        <v>0</v>
      </c>
      <c r="AA318" s="386">
        <f t="shared" si="110"/>
        <v>0</v>
      </c>
      <c r="AB318" s="197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0.1562311253870822</v>
      </c>
      <c r="AD318" s="231">
        <f>(INDEX(Models!$BJ318:$BT318,,AH318)*(1-AF318)+INDEX(Models!$BJ318:$BT318,,AH318+1)*AF318-ERP_i)*AE318*Ramure*Pc/MaxiM</f>
        <v>2.4977198489167154E-2</v>
      </c>
      <c r="AE318" s="305">
        <f t="shared" si="112"/>
        <v>0.8</v>
      </c>
      <c r="AF318" s="177">
        <f t="shared" si="113"/>
        <v>0.79858419550074755</v>
      </c>
      <c r="AG318" s="809">
        <f t="shared" si="119"/>
        <v>1</v>
      </c>
      <c r="AH318" s="176">
        <f t="shared" si="114"/>
        <v>7</v>
      </c>
      <c r="AI318" s="225">
        <f t="shared" si="115"/>
        <v>1.7985841955007476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44866</v>
      </c>
      <c r="B319" s="616">
        <v>0</v>
      </c>
      <c r="C319" s="839"/>
      <c r="D319" s="393">
        <f t="shared" si="98"/>
        <v>0</v>
      </c>
      <c r="E319" s="385">
        <f t="shared" si="120"/>
        <v>0</v>
      </c>
      <c r="F319" s="385">
        <f t="shared" si="99"/>
        <v>0</v>
      </c>
      <c r="G319" s="110">
        <f t="shared" si="121"/>
        <v>0</v>
      </c>
      <c r="H319" s="414" t="b">
        <f>Wh_hp&gt;='2021'!Maxi_hp</f>
        <v>0</v>
      </c>
      <c r="I319" s="380">
        <f>IF(H319,Wh_hp,'2021'!Maxi_hp)</f>
        <v>24.353652394890183</v>
      </c>
      <c r="J319" s="85">
        <f>IF(H319,An,'2021'!An_max)</f>
        <v>2020</v>
      </c>
      <c r="K319" s="197">
        <f t="shared" si="100"/>
        <v>44866</v>
      </c>
      <c r="L319" s="147">
        <f>IF(t&lt;Tvie,1-EXP((T0-t)*PertePVj)+'2021'!Pspv,1-EXP((T0-t)*PertePVj)+Pspv)</f>
        <v>5.6606821660645817E-2</v>
      </c>
      <c r="M319" s="843"/>
      <c r="N319" s="843"/>
      <c r="O319" s="48">
        <f>IF(t&lt;Tnet,'2021'!Resal+('2021'!Salim-'2021'!Resal)*(1-EXP(('2021'!Tnet-t)/('2021'!Tau_j))),Resal+(Salim-Resal)*(1-EXP((Tnet-t)/(Tau_j))))*Salcycl</f>
        <v>0.11842709229066693</v>
      </c>
      <c r="P319" s="339">
        <f>(INDEX(Models!$BJ319:$BT319,,T319)*(1-R319)+INDEX(Models!$BJ319:$BT319,,T319+1)*R319-ERP_i)*Q319*Ramure*Pc/MaxiM</f>
        <v>6.8303618439357339E-3</v>
      </c>
      <c r="Q319" s="305">
        <f t="shared" si="101"/>
        <v>0.8</v>
      </c>
      <c r="R319" s="177">
        <f t="shared" si="102"/>
        <v>0.59793493179041424</v>
      </c>
      <c r="S319" s="809">
        <f t="shared" si="103"/>
        <v>0</v>
      </c>
      <c r="T319" s="176">
        <f t="shared" si="104"/>
        <v>6</v>
      </c>
      <c r="U319" s="251">
        <f t="shared" si="105"/>
        <v>0.59793493179041424</v>
      </c>
      <c r="V319" s="383">
        <f t="shared" si="106"/>
        <v>20.48249146199278</v>
      </c>
      <c r="W319" s="402"/>
      <c r="X319" s="157">
        <f t="shared" si="107"/>
        <v>44866</v>
      </c>
      <c r="Y319" s="385">
        <f t="shared" si="108"/>
        <v>0</v>
      </c>
      <c r="Z319" s="385">
        <f t="shared" si="109"/>
        <v>0</v>
      </c>
      <c r="AA319" s="386">
        <f t="shared" si="110"/>
        <v>0</v>
      </c>
      <c r="AB319" s="197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0.15615558777502725</v>
      </c>
      <c r="AD319" s="231">
        <f>(INDEX(Models!$BJ319:$BT319,,AH319)*(1-AF319)+INDEX(Models!$BJ319:$BT319,,AH319+1)*AF319-ERP_i)*AE319*Ramure*Pc/MaxiM</f>
        <v>2.5004573776167417E-2</v>
      </c>
      <c r="AE319" s="305">
        <f t="shared" si="112"/>
        <v>0.8</v>
      </c>
      <c r="AF319" s="177">
        <f t="shared" si="113"/>
        <v>0.79865167895531775</v>
      </c>
      <c r="AG319" s="809">
        <f t="shared" si="119"/>
        <v>1</v>
      </c>
      <c r="AH319" s="176">
        <f t="shared" si="114"/>
        <v>7</v>
      </c>
      <c r="AI319" s="225">
        <f t="shared" si="115"/>
        <v>1.7986516789553177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44867</v>
      </c>
      <c r="B320" s="616">
        <v>0</v>
      </c>
      <c r="C320" s="839"/>
      <c r="D320" s="393">
        <f t="shared" si="98"/>
        <v>0</v>
      </c>
      <c r="E320" s="385">
        <f t="shared" si="120"/>
        <v>0</v>
      </c>
      <c r="F320" s="385">
        <f t="shared" si="99"/>
        <v>0</v>
      </c>
      <c r="G320" s="110">
        <f t="shared" si="121"/>
        <v>0</v>
      </c>
      <c r="H320" s="414" t="b">
        <f>Wh_hp&gt;='2021'!Maxi_hp</f>
        <v>0</v>
      </c>
      <c r="I320" s="380">
        <f>IF(H320,Wh_hp,'2021'!Maxi_hp)</f>
        <v>23.216009548028094</v>
      </c>
      <c r="J320" s="85">
        <f>IF(H320,An,'2021'!An_max)</f>
        <v>2021</v>
      </c>
      <c r="K320" s="197">
        <f t="shared" si="100"/>
        <v>44867</v>
      </c>
      <c r="L320" s="147">
        <f>IF(t&lt;Tvie,1-EXP((T0-t)*PertePVj)+'2021'!Pspv,1-EXP((T0-t)*PertePVj)+Pspv)</f>
        <v>5.6629267084511464E-2</v>
      </c>
      <c r="M320" s="843"/>
      <c r="N320" s="843"/>
      <c r="O320" s="48">
        <f>IF(t&lt;Tnet,'2021'!Resal+('2021'!Salim-'2021'!Resal)*(1-EXP(('2021'!Tnet-t)/('2021'!Tau_j))),Resal+(Salim-Resal)*(1-EXP((Tnet-t)/(Tau_j))))*Salcycl</f>
        <v>0.11845176202187405</v>
      </c>
      <c r="P320" s="339">
        <f>(INDEX(Models!$BJ320:$BT320,,T320)*(1-R320)+INDEX(Models!$BJ320:$BT320,,T320+1)*R320-ERP_i)*Q320*Ramure*Pc/MaxiM</f>
        <v>6.7376127480906593E-3</v>
      </c>
      <c r="Q320" s="305">
        <f t="shared" si="101"/>
        <v>0.8</v>
      </c>
      <c r="R320" s="177">
        <f t="shared" si="102"/>
        <v>0.59799971245763917</v>
      </c>
      <c r="S320" s="809">
        <f t="shared" si="103"/>
        <v>0</v>
      </c>
      <c r="T320" s="176">
        <f t="shared" si="104"/>
        <v>6</v>
      </c>
      <c r="U320" s="251">
        <f t="shared" si="105"/>
        <v>0.59799971245763917</v>
      </c>
      <c r="V320" s="383">
        <f t="shared" si="106"/>
        <v>20.20855679898143</v>
      </c>
      <c r="W320" s="402"/>
      <c r="X320" s="157">
        <f t="shared" si="107"/>
        <v>44867</v>
      </c>
      <c r="Y320" s="385">
        <f t="shared" si="108"/>
        <v>0</v>
      </c>
      <c r="Z320" s="385">
        <f t="shared" si="109"/>
        <v>0</v>
      </c>
      <c r="AA320" s="386">
        <f t="shared" si="110"/>
        <v>0</v>
      </c>
      <c r="AB320" s="197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0.15607986637588431</v>
      </c>
      <c r="AD320" s="231">
        <f>(INDEX(Models!$BJ320:$BT320,,AH320)*(1-AF320)+INDEX(Models!$BJ320:$BT320,,AH320+1)*AF320-ERP_i)*AE320*Ramure*Pc/MaxiM</f>
        <v>2.5077052388335876E-2</v>
      </c>
      <c r="AE320" s="305">
        <f t="shared" si="112"/>
        <v>0.8</v>
      </c>
      <c r="AF320" s="177">
        <f t="shared" si="113"/>
        <v>0.79871645962254245</v>
      </c>
      <c r="AG320" s="809">
        <f t="shared" si="119"/>
        <v>1</v>
      </c>
      <c r="AH320" s="176">
        <f t="shared" si="114"/>
        <v>7</v>
      </c>
      <c r="AI320" s="225">
        <f t="shared" si="115"/>
        <v>1.7987164596225425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44868</v>
      </c>
      <c r="B321" s="616">
        <v>0</v>
      </c>
      <c r="C321" s="839"/>
      <c r="D321" s="393">
        <f t="shared" si="98"/>
        <v>0</v>
      </c>
      <c r="E321" s="385">
        <f t="shared" si="120"/>
        <v>0</v>
      </c>
      <c r="F321" s="385">
        <f t="shared" si="99"/>
        <v>0</v>
      </c>
      <c r="G321" s="110">
        <f t="shared" si="121"/>
        <v>0</v>
      </c>
      <c r="H321" s="414" t="b">
        <f>Wh_hp&gt;='2021'!Maxi_hp</f>
        <v>0</v>
      </c>
      <c r="I321" s="380">
        <f>IF(H321,Wh_hp,'2021'!Maxi_hp)</f>
        <v>24.561857270116509</v>
      </c>
      <c r="J321" s="85">
        <f>IF(H321,An,'2021'!An_max)</f>
        <v>2018</v>
      </c>
      <c r="K321" s="197">
        <f t="shared" si="100"/>
        <v>44868</v>
      </c>
      <c r="L321" s="147">
        <f>IF(t&lt;Tvie,1-EXP((T0-t)*PertePVj)+'2021'!Pspv,1-EXP((T0-t)*PertePVj)+Pspv)</f>
        <v>5.665171198603916E-2</v>
      </c>
      <c r="M321" s="843"/>
      <c r="N321" s="843"/>
      <c r="O321" s="48">
        <f>IF(t&lt;Tnet,'2021'!Resal+('2021'!Salim-'2021'!Resal)*(1-EXP(('2021'!Tnet-t)/('2021'!Tau_j))),Resal+(Salim-Resal)*(1-EXP((Tnet-t)/(Tau_j))))*Salcycl</f>
        <v>0.11847613782932533</v>
      </c>
      <c r="P321" s="339">
        <f>(INDEX(Models!$BJ321:$BT321,,T321)*(1-R321)+INDEX(Models!$BJ321:$BT321,,T321+1)*R321-ERP_i)*Q321*Ramure*Pc/MaxiM</f>
        <v>6.6560484443661432E-3</v>
      </c>
      <c r="Q321" s="305">
        <f t="shared" si="101"/>
        <v>0.8</v>
      </c>
      <c r="R321" s="177">
        <f t="shared" si="102"/>
        <v>0.59806189803611109</v>
      </c>
      <c r="S321" s="809">
        <f t="shared" si="103"/>
        <v>0</v>
      </c>
      <c r="T321" s="176">
        <f t="shared" si="104"/>
        <v>6</v>
      </c>
      <c r="U321" s="251">
        <f t="shared" si="105"/>
        <v>0.59806189803611109</v>
      </c>
      <c r="V321" s="383">
        <f t="shared" si="106"/>
        <v>19.936950486221651</v>
      </c>
      <c r="W321" s="402"/>
      <c r="X321" s="157">
        <f t="shared" si="107"/>
        <v>44868</v>
      </c>
      <c r="Y321" s="385">
        <f t="shared" si="108"/>
        <v>0</v>
      </c>
      <c r="Z321" s="385">
        <f t="shared" si="109"/>
        <v>0</v>
      </c>
      <c r="AA321" s="386">
        <f t="shared" si="110"/>
        <v>0</v>
      </c>
      <c r="AB321" s="197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0.1560041219927745</v>
      </c>
      <c r="AD321" s="231">
        <f>(INDEX(Models!$BJ321:$BT321,,AH321)*(1-AF321)+INDEX(Models!$BJ321:$BT321,,AH321+1)*AF321-ERP_i)*AE321*Ramure*Pc/MaxiM</f>
        <v>2.5194973419397193E-2</v>
      </c>
      <c r="AE321" s="305">
        <f t="shared" si="112"/>
        <v>0.8</v>
      </c>
      <c r="AF321" s="177">
        <f t="shared" si="113"/>
        <v>0.79877864520101438</v>
      </c>
      <c r="AG321" s="809">
        <f t="shared" si="119"/>
        <v>1</v>
      </c>
      <c r="AH321" s="176">
        <f t="shared" si="114"/>
        <v>7</v>
      </c>
      <c r="AI321" s="225">
        <f t="shared" si="115"/>
        <v>1.7987786452010144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44869</v>
      </c>
      <c r="B322" s="616">
        <v>0</v>
      </c>
      <c r="C322" s="839"/>
      <c r="D322" s="393">
        <f t="shared" si="98"/>
        <v>0</v>
      </c>
      <c r="E322" s="385">
        <f t="shared" si="120"/>
        <v>0</v>
      </c>
      <c r="F322" s="385">
        <f t="shared" si="99"/>
        <v>0</v>
      </c>
      <c r="G322" s="110">
        <f t="shared" si="121"/>
        <v>0</v>
      </c>
      <c r="H322" s="414" t="b">
        <f>Wh_hp&gt;='2021'!Maxi_hp</f>
        <v>0</v>
      </c>
      <c r="I322" s="380">
        <f>IF(H322,Wh_hp,'2021'!Maxi_hp)</f>
        <v>20.723995905929119</v>
      </c>
      <c r="J322" s="85">
        <f>IF(H322,An,'2021'!An_max)</f>
        <v>2018</v>
      </c>
      <c r="K322" s="197">
        <f t="shared" si="100"/>
        <v>44869</v>
      </c>
      <c r="L322" s="147">
        <f>IF(t&lt;Tvie,1-EXP((T0-t)*PertePVj)+'2021'!Pspv,1-EXP((T0-t)*PertePVj)+Pspv)</f>
        <v>5.667415636524134E-2</v>
      </c>
      <c r="M322" s="843"/>
      <c r="N322" s="843"/>
      <c r="O322" s="48">
        <f>IF(t&lt;Tnet,'2021'!Resal+('2021'!Salim-'2021'!Resal)*(1-EXP(('2021'!Tnet-t)/('2021'!Tau_j))),Resal+(Salim-Resal)*(1-EXP((Tnet-t)/(Tau_j))))*Salcycl</f>
        <v>0.11850034375337189</v>
      </c>
      <c r="P322" s="339">
        <f>(INDEX(Models!$BJ322:$BT322,,T322)*(1-R322)+INDEX(Models!$BJ322:$BT322,,T322+1)*R322-ERP_i)*Q322*Ramure*Pc/MaxiM</f>
        <v>6.5857550762592381E-3</v>
      </c>
      <c r="Q322" s="305">
        <f t="shared" si="101"/>
        <v>0.8</v>
      </c>
      <c r="R322" s="177">
        <f t="shared" si="102"/>
        <v>0.59812159197631787</v>
      </c>
      <c r="S322" s="809">
        <f t="shared" si="103"/>
        <v>0</v>
      </c>
      <c r="T322" s="176">
        <f t="shared" si="104"/>
        <v>6</v>
      </c>
      <c r="U322" s="251">
        <f t="shared" si="105"/>
        <v>0.59812159197631787</v>
      </c>
      <c r="V322" s="383">
        <f t="shared" si="106"/>
        <v>19.668319562596373</v>
      </c>
      <c r="W322" s="402"/>
      <c r="X322" s="157">
        <f t="shared" si="107"/>
        <v>44869</v>
      </c>
      <c r="Y322" s="385">
        <f t="shared" si="108"/>
        <v>0</v>
      </c>
      <c r="Z322" s="385">
        <f t="shared" si="109"/>
        <v>0</v>
      </c>
      <c r="AA322" s="386">
        <f t="shared" si="110"/>
        <v>0</v>
      </c>
      <c r="AB322" s="197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0.15592851678967698</v>
      </c>
      <c r="AD322" s="231">
        <f>(INDEX(Models!$BJ322:$BT322,,AH322)*(1-AF322)+INDEX(Models!$BJ322:$BT322,,AH322+1)*AF322-ERP_i)*AE322*Ramure*Pc/MaxiM</f>
        <v>2.535864595507345E-2</v>
      </c>
      <c r="AE322" s="305">
        <f t="shared" si="112"/>
        <v>0.8</v>
      </c>
      <c r="AF322" s="177">
        <f t="shared" si="113"/>
        <v>0.79883833914122127</v>
      </c>
      <c r="AG322" s="809">
        <f t="shared" si="119"/>
        <v>1</v>
      </c>
      <c r="AH322" s="176">
        <f t="shared" si="114"/>
        <v>7</v>
      </c>
      <c r="AI322" s="225">
        <f t="shared" si="115"/>
        <v>1.7988383391412213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44870</v>
      </c>
      <c r="B323" s="616">
        <v>0</v>
      </c>
      <c r="C323" s="839"/>
      <c r="D323" s="393">
        <f t="shared" si="98"/>
        <v>0</v>
      </c>
      <c r="E323" s="385">
        <f t="shared" si="120"/>
        <v>0</v>
      </c>
      <c r="F323" s="385">
        <f t="shared" si="99"/>
        <v>0</v>
      </c>
      <c r="G323" s="110">
        <f t="shared" si="121"/>
        <v>0</v>
      </c>
      <c r="H323" s="414" t="b">
        <f>Wh_hp&gt;='2021'!Maxi_hp</f>
        <v>0</v>
      </c>
      <c r="I323" s="380">
        <f>IF(H323,Wh_hp,'2021'!Maxi_hp)</f>
        <v>15.637654954165301</v>
      </c>
      <c r="J323" s="85">
        <f>IF(H323,An,'2021'!An_max)</f>
        <v>2020</v>
      </c>
      <c r="K323" s="197">
        <f t="shared" si="100"/>
        <v>44870</v>
      </c>
      <c r="L323" s="147">
        <f>IF(t&lt;Tvie,1-EXP((T0-t)*PertePVj)+'2021'!Pspv,1-EXP((T0-t)*PertePVj)+Pspv)</f>
        <v>5.6696600222129995E-2</v>
      </c>
      <c r="M323" s="843"/>
      <c r="N323" s="843"/>
      <c r="O323" s="48">
        <f>IF(t&lt;Tnet,'2021'!Resal+('2021'!Salim-'2021'!Resal)*(1-EXP(('2021'!Tnet-t)/('2021'!Tau_j))),Resal+(Salim-Resal)*(1-EXP((Tnet-t)/(Tau_j))))*Salcycl</f>
        <v>0.11852450465429086</v>
      </c>
      <c r="P323" s="339">
        <f>(INDEX(Models!$BJ323:$BT323,,T323)*(1-R323)+INDEX(Models!$BJ323:$BT323,,T323+1)*R323-ERP_i)*Q323*Ramure*Pc/MaxiM</f>
        <v>6.5268179843316143E-3</v>
      </c>
      <c r="Q323" s="305">
        <f t="shared" si="101"/>
        <v>0.8</v>
      </c>
      <c r="R323" s="177">
        <f t="shared" si="102"/>
        <v>0.59817889364478516</v>
      </c>
      <c r="S323" s="809">
        <f t="shared" si="103"/>
        <v>0</v>
      </c>
      <c r="T323" s="176">
        <f t="shared" si="104"/>
        <v>6</v>
      </c>
      <c r="U323" s="251">
        <f t="shared" si="105"/>
        <v>0.59817889364478516</v>
      </c>
      <c r="V323" s="383">
        <f t="shared" si="106"/>
        <v>19.403311152112764</v>
      </c>
      <c r="W323" s="402"/>
      <c r="X323" s="157">
        <f t="shared" si="107"/>
        <v>44870</v>
      </c>
      <c r="Y323" s="385">
        <f t="shared" si="108"/>
        <v>0</v>
      </c>
      <c r="Z323" s="385">
        <f t="shared" si="109"/>
        <v>0</v>
      </c>
      <c r="AA323" s="386">
        <f t="shared" si="110"/>
        <v>0</v>
      </c>
      <c r="AB323" s="197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0.15585321356696855</v>
      </c>
      <c r="AD323" s="231">
        <f>(INDEX(Models!$BJ323:$BT323,,AH323)*(1-AF323)+INDEX(Models!$BJ323:$BT323,,AH323+1)*AF323-ERP_i)*AE323*Ramure*Pc/MaxiM</f>
        <v>2.5568334883597953E-2</v>
      </c>
      <c r="AE323" s="305">
        <f t="shared" si="112"/>
        <v>0.8</v>
      </c>
      <c r="AF323" s="177">
        <f t="shared" si="113"/>
        <v>0.79889564080968856</v>
      </c>
      <c r="AG323" s="809">
        <f t="shared" si="119"/>
        <v>1</v>
      </c>
      <c r="AH323" s="176">
        <f t="shared" si="114"/>
        <v>7</v>
      </c>
      <c r="AI323" s="225">
        <f t="shared" si="115"/>
        <v>1.7988956408096886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44871</v>
      </c>
      <c r="B324" s="616">
        <v>0</v>
      </c>
      <c r="C324" s="839"/>
      <c r="D324" s="393">
        <f t="shared" si="98"/>
        <v>0</v>
      </c>
      <c r="E324" s="385">
        <f t="shared" si="120"/>
        <v>0</v>
      </c>
      <c r="F324" s="385">
        <f t="shared" si="99"/>
        <v>0</v>
      </c>
      <c r="G324" s="110">
        <f t="shared" si="121"/>
        <v>0</v>
      </c>
      <c r="H324" s="414" t="b">
        <f>Wh_hp&gt;='2021'!Maxi_hp</f>
        <v>0</v>
      </c>
      <c r="I324" s="380">
        <f>IF(H324,Wh_hp,'2021'!Maxi_hp)</f>
        <v>19.931335355516538</v>
      </c>
      <c r="J324" s="85">
        <f>IF(H324,An,'2021'!An_max)</f>
        <v>2020</v>
      </c>
      <c r="K324" s="197">
        <f t="shared" si="100"/>
        <v>44871</v>
      </c>
      <c r="L324" s="147">
        <f>IF(t&lt;Tvie,1-EXP((T0-t)*PertePVj)+'2021'!Pspv,1-EXP((T0-t)*PertePVj)+Pspv)</f>
        <v>5.6719043556717336E-2</v>
      </c>
      <c r="M324" s="843"/>
      <c r="N324" s="843"/>
      <c r="O324" s="48">
        <f>IF(t&lt;Tnet,'2021'!Resal+('2021'!Salim-'2021'!Resal)*(1-EXP(('2021'!Tnet-t)/('2021'!Tau_j))),Resal+(Salim-Resal)*(1-EXP((Tnet-t)/(Tau_j))))*Salcycl</f>
        <v>0.11854874565167584</v>
      </c>
      <c r="P324" s="339">
        <f>(INDEX(Models!$BJ324:$BT324,,T324)*(1-R324)+INDEX(Models!$BJ324:$BT324,,T324+1)*R324-ERP_i)*Q324*Ramure*Pc/MaxiM</f>
        <v>6.4913053239901621E-3</v>
      </c>
      <c r="Q324" s="305">
        <f t="shared" si="101"/>
        <v>0.8</v>
      </c>
      <c r="R324" s="177">
        <f t="shared" si="102"/>
        <v>0.59823389848214814</v>
      </c>
      <c r="S324" s="809">
        <f t="shared" si="103"/>
        <v>0</v>
      </c>
      <c r="T324" s="176">
        <f t="shared" si="104"/>
        <v>6</v>
      </c>
      <c r="U324" s="251">
        <f t="shared" si="105"/>
        <v>0.59823389848214814</v>
      </c>
      <c r="V324" s="383">
        <f t="shared" si="106"/>
        <v>19.142341510759348</v>
      </c>
      <c r="W324" s="402"/>
      <c r="X324" s="157">
        <f t="shared" si="107"/>
        <v>44871</v>
      </c>
      <c r="Y324" s="385">
        <f t="shared" si="108"/>
        <v>0</v>
      </c>
      <c r="Z324" s="385">
        <f t="shared" si="109"/>
        <v>0</v>
      </c>
      <c r="AA324" s="386">
        <f t="shared" si="110"/>
        <v>0</v>
      </c>
      <c r="AB324" s="197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0.15577837502523004</v>
      </c>
      <c r="AD324" s="231">
        <f>(INDEX(Models!$BJ324:$BT324,,AH324)*(1-AF324)+INDEX(Models!$BJ324:$BT324,,AH324+1)*AF324-ERP_i)*AE324*Ramure*Pc/MaxiM</f>
        <v>2.5827239995091983E-2</v>
      </c>
      <c r="AE324" s="305">
        <f t="shared" si="112"/>
        <v>0.8</v>
      </c>
      <c r="AF324" s="177">
        <f t="shared" si="113"/>
        <v>0.79895064564705143</v>
      </c>
      <c r="AG324" s="809">
        <f t="shared" si="119"/>
        <v>1</v>
      </c>
      <c r="AH324" s="176">
        <f t="shared" si="114"/>
        <v>7</v>
      </c>
      <c r="AI324" s="225">
        <f t="shared" si="115"/>
        <v>1.7989506456470514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44872</v>
      </c>
      <c r="B325" s="616">
        <v>0</v>
      </c>
      <c r="C325" s="839"/>
      <c r="D325" s="393">
        <f t="shared" si="98"/>
        <v>0</v>
      </c>
      <c r="E325" s="385">
        <f t="shared" si="120"/>
        <v>0</v>
      </c>
      <c r="F325" s="385">
        <f t="shared" si="99"/>
        <v>0</v>
      </c>
      <c r="G325" s="110">
        <f t="shared" si="121"/>
        <v>0</v>
      </c>
      <c r="H325" s="414" t="b">
        <f>Wh_hp&gt;='2021'!Maxi_hp</f>
        <v>0</v>
      </c>
      <c r="I325" s="380">
        <f>IF(H325,Wh_hp,'2021'!Maxi_hp)</f>
        <v>13.60303974842923</v>
      </c>
      <c r="J325" s="85">
        <f>IF(H325,An,'2021'!An_max)</f>
        <v>2020</v>
      </c>
      <c r="K325" s="197">
        <f t="shared" si="100"/>
        <v>44872</v>
      </c>
      <c r="L325" s="147">
        <f>IF(t&lt;Tvie,1-EXP((T0-t)*PertePVj)+'2021'!Pspv,1-EXP((T0-t)*PertePVj)+Pspv)</f>
        <v>5.6741486369015465E-2</v>
      </c>
      <c r="M325" s="843"/>
      <c r="N325" s="843"/>
      <c r="O325" s="48">
        <f>IF(t&lt;Tnet,'2021'!Resal+('2021'!Salim-'2021'!Resal)*(1-EXP(('2021'!Tnet-t)/('2021'!Tau_j))),Resal+(Salim-Resal)*(1-EXP((Tnet-t)/(Tau_j))))*Salcycl</f>
        <v>0.11857319155645096</v>
      </c>
      <c r="P325" s="339">
        <f>(INDEX(Models!$BJ325:$BT325,,T325)*(1-R325)+INDEX(Models!$BJ325:$BT325,,T325+1)*R325-ERP_i)*Q325*Ramure*Pc/MaxiM</f>
        <v>6.4760388176800538E-3</v>
      </c>
      <c r="Q325" s="305">
        <f t="shared" si="101"/>
        <v>0.8</v>
      </c>
      <c r="R325" s="177">
        <f t="shared" si="102"/>
        <v>0.59828669815535351</v>
      </c>
      <c r="S325" s="809">
        <f t="shared" si="103"/>
        <v>0</v>
      </c>
      <c r="T325" s="176">
        <f t="shared" si="104"/>
        <v>6</v>
      </c>
      <c r="U325" s="251">
        <f t="shared" si="105"/>
        <v>0.59828669815535351</v>
      </c>
      <c r="V325" s="383">
        <f t="shared" si="106"/>
        <v>18.886129032897543</v>
      </c>
      <c r="W325" s="402"/>
      <c r="X325" s="157">
        <f t="shared" si="107"/>
        <v>44872</v>
      </c>
      <c r="Y325" s="385">
        <f t="shared" si="108"/>
        <v>0</v>
      </c>
      <c r="Z325" s="385">
        <f t="shared" si="109"/>
        <v>0</v>
      </c>
      <c r="AA325" s="386">
        <f t="shared" si="110"/>
        <v>0</v>
      </c>
      <c r="AB325" s="197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0.15570416302238088</v>
      </c>
      <c r="AD325" s="231">
        <f>(INDEX(Models!$BJ325:$BT325,,AH325)*(1-AF325)+INDEX(Models!$BJ325:$BT325,,AH325+1)*AF325-ERP_i)*AE325*Ramure*Pc/MaxiM</f>
        <v>2.6105179010133529E-2</v>
      </c>
      <c r="AE325" s="305">
        <f t="shared" si="112"/>
        <v>0.8</v>
      </c>
      <c r="AF325" s="177">
        <f t="shared" si="113"/>
        <v>0.79900344532025702</v>
      </c>
      <c r="AG325" s="809">
        <f t="shared" si="119"/>
        <v>1</v>
      </c>
      <c r="AH325" s="176">
        <f t="shared" si="114"/>
        <v>7</v>
      </c>
      <c r="AI325" s="225">
        <f t="shared" si="115"/>
        <v>1.799003445320257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44873</v>
      </c>
      <c r="B326" s="616">
        <v>0.92900000000000005</v>
      </c>
      <c r="C326" s="839"/>
      <c r="D326" s="393">
        <f t="shared" si="98"/>
        <v>0.98490720215913219</v>
      </c>
      <c r="E326" s="385">
        <f t="shared" si="120"/>
        <v>1.1174324139280691</v>
      </c>
      <c r="F326" s="385">
        <f t="shared" si="99"/>
        <v>1.1174324139280691</v>
      </c>
      <c r="G326" s="110">
        <f t="shared" si="121"/>
        <v>4.9528460253204031E-2</v>
      </c>
      <c r="H326" s="414" t="b">
        <f>Wh_hp&gt;='2021'!Maxi_hp</f>
        <v>0</v>
      </c>
      <c r="I326" s="380">
        <f>IF(H326,Wh_hp,'2021'!Maxi_hp)</f>
        <v>20.0155602932596</v>
      </c>
      <c r="J326" s="85">
        <f>IF(H326,An,'2021'!An_max)</f>
        <v>2021</v>
      </c>
      <c r="K326" s="197">
        <f t="shared" si="100"/>
        <v>44873</v>
      </c>
      <c r="L326" s="147">
        <f>IF(t&lt;Tvie,1-EXP((T0-t)*PertePVj)+'2021'!Pspv,1-EXP((T0-t)*PertePVj)+Pspv)</f>
        <v>5.6763928659036483E-2</v>
      </c>
      <c r="M326" s="843"/>
      <c r="N326" s="843"/>
      <c r="O326" s="48">
        <f>IF(t&lt;Tnet,'2021'!Resal+('2021'!Salim-'2021'!Resal)*(1-EXP(('2021'!Tnet-t)/('2021'!Tau_j))),Resal+(Salim-Resal)*(1-EXP((Tnet-t)/(Tau_j))))*Salcycl</f>
        <v>0.11859796629943452</v>
      </c>
      <c r="P326" s="339">
        <f>(INDEX(Models!$BJ326:$BT326,,T326)*(1-R326)+INDEX(Models!$BJ326:$BT326,,T326+1)*R326-ERP_i)*Q326*Ramure*Pc/MaxiM</f>
        <v>6.4812420184184524E-3</v>
      </c>
      <c r="Q326" s="305">
        <f t="shared" si="101"/>
        <v>0.8</v>
      </c>
      <c r="R326" s="177">
        <f t="shared" si="102"/>
        <v>0.59833738070419273</v>
      </c>
      <c r="S326" s="809">
        <f t="shared" si="103"/>
        <v>0</v>
      </c>
      <c r="T326" s="176">
        <f t="shared" si="104"/>
        <v>6</v>
      </c>
      <c r="U326" s="251">
        <f t="shared" si="105"/>
        <v>0.59833738070419273</v>
      </c>
      <c r="V326" s="383">
        <f t="shared" si="106"/>
        <v>18.635324446719117</v>
      </c>
      <c r="W326" s="402"/>
      <c r="X326" s="157">
        <f t="shared" si="107"/>
        <v>44873</v>
      </c>
      <c r="Y326" s="385">
        <f t="shared" si="108"/>
        <v>0.88996736399982657</v>
      </c>
      <c r="Z326" s="385">
        <f t="shared" si="109"/>
        <v>0.94352558287406585</v>
      </c>
      <c r="AA326" s="386">
        <f t="shared" si="110"/>
        <v>1.1174324139280691</v>
      </c>
      <c r="AB326" s="197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0.15563073782930195</v>
      </c>
      <c r="AD326" s="231">
        <f>(INDEX(Models!$BJ326:$BT326,,AH326)*(1-AF326)+INDEX(Models!$BJ326:$BT326,,AH326+1)*AF326-ERP_i)*AE326*Ramure*Pc/MaxiM</f>
        <v>2.6401665005714496E-2</v>
      </c>
      <c r="AE326" s="305">
        <f t="shared" si="112"/>
        <v>0.8</v>
      </c>
      <c r="AF326" s="177">
        <f t="shared" si="113"/>
        <v>0.79905412786909613</v>
      </c>
      <c r="AG326" s="809">
        <f t="shared" si="119"/>
        <v>1</v>
      </c>
      <c r="AH326" s="176">
        <f t="shared" si="114"/>
        <v>7</v>
      </c>
      <c r="AI326" s="225">
        <f t="shared" si="115"/>
        <v>1.7990541278690961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44874</v>
      </c>
      <c r="B327" s="616">
        <v>7.3810000000000002</v>
      </c>
      <c r="C327" s="839"/>
      <c r="D327" s="393">
        <f t="shared" si="98"/>
        <v>7.8253746220141167</v>
      </c>
      <c r="E327" s="385">
        <f t="shared" si="120"/>
        <v>8.8785801420977606</v>
      </c>
      <c r="F327" s="385">
        <f t="shared" si="99"/>
        <v>8.886952609284382</v>
      </c>
      <c r="G327" s="110">
        <f t="shared" si="121"/>
        <v>0.39911120571425573</v>
      </c>
      <c r="H327" s="414" t="b">
        <f>Wh_hp&gt;='2021'!Maxi_hp</f>
        <v>0</v>
      </c>
      <c r="I327" s="380">
        <f>IF(H327,Wh_hp,'2021'!Maxi_hp)</f>
        <v>17.157196529957051</v>
      </c>
      <c r="J327" s="85">
        <f>IF(H327,An,'2021'!An_max)</f>
        <v>2021</v>
      </c>
      <c r="K327" s="197">
        <f t="shared" si="100"/>
        <v>44874</v>
      </c>
      <c r="L327" s="147">
        <f>IF(t&lt;Tvie,1-EXP((T0-t)*PertePVj)+'2021'!Pspv,1-EXP((T0-t)*PertePVj)+Pspv)</f>
        <v>5.6786370426792715E-2</v>
      </c>
      <c r="M327" s="843"/>
      <c r="N327" s="843"/>
      <c r="O327" s="48">
        <f>IF(t&lt;Tnet,'2021'!Resal+('2021'!Salim-'2021'!Resal)*(1-EXP(('2021'!Tnet-t)/('2021'!Tau_j))),Resal+(Salim-Resal)*(1-EXP((Tnet-t)/(Tau_j))))*Salcycl</f>
        <v>0.11862319236043982</v>
      </c>
      <c r="P327" s="339">
        <f>(INDEX(Models!$BJ327:$BT327,,T327)*(1-R327)+INDEX(Models!$BJ327:$BT327,,T327+1)*R327-ERP_i)*Q327*Ramure*Pc/MaxiM</f>
        <v>6.5071159546858642E-3</v>
      </c>
      <c r="Q327" s="305">
        <f t="shared" si="101"/>
        <v>0.8</v>
      </c>
      <c r="R327" s="177">
        <f t="shared" si="102"/>
        <v>0.59838603068235618</v>
      </c>
      <c r="S327" s="809">
        <f t="shared" si="103"/>
        <v>0</v>
      </c>
      <c r="T327" s="176">
        <f t="shared" si="104"/>
        <v>6</v>
      </c>
      <c r="U327" s="251">
        <f t="shared" si="105"/>
        <v>0.59838603068235618</v>
      </c>
      <c r="V327" s="383">
        <f t="shared" si="106"/>
        <v>18.390578454559211</v>
      </c>
      <c r="W327" s="402"/>
      <c r="X327" s="157">
        <f t="shared" si="107"/>
        <v>44874</v>
      </c>
      <c r="Y327" s="385">
        <f t="shared" si="108"/>
        <v>7.0509806231714665</v>
      </c>
      <c r="Z327" s="385">
        <f t="shared" si="109"/>
        <v>7.4754863607748643</v>
      </c>
      <c r="AA327" s="386">
        <f t="shared" si="110"/>
        <v>8.8525779619351468</v>
      </c>
      <c r="AB327" s="197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0.15555825738915649</v>
      </c>
      <c r="AD327" s="231">
        <f>(INDEX(Models!$BJ327:$BT327,,AH327)*(1-AF327)+INDEX(Models!$BJ327:$BT327,,AH327+1)*AF327-ERP_i)*AE327*Ramure*Pc/MaxiM</f>
        <v>2.6716117390145008E-2</v>
      </c>
      <c r="AE327" s="305">
        <f t="shared" si="112"/>
        <v>0.8</v>
      </c>
      <c r="AF327" s="177">
        <f t="shared" si="113"/>
        <v>0.79910277784725947</v>
      </c>
      <c r="AG327" s="809">
        <f t="shared" si="119"/>
        <v>1</v>
      </c>
      <c r="AH327" s="176">
        <f t="shared" si="114"/>
        <v>7</v>
      </c>
      <c r="AI327" s="225">
        <f t="shared" si="115"/>
        <v>1.7991027778472595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44875</v>
      </c>
      <c r="B328" s="616">
        <v>16.519000000000002</v>
      </c>
      <c r="C328" s="839"/>
      <c r="D328" s="393">
        <f t="shared" si="98"/>
        <v>17.513946487655922</v>
      </c>
      <c r="E328" s="385">
        <f t="shared" si="120"/>
        <v>19.871704114423789</v>
      </c>
      <c r="F328" s="385">
        <f t="shared" si="99"/>
        <v>19.985849148012122</v>
      </c>
      <c r="G328" s="110">
        <f t="shared" si="121"/>
        <v>0.90923918211788013</v>
      </c>
      <c r="H328" s="414" t="b">
        <f>Wh_hp&gt;='2021'!Maxi_hp</f>
        <v>1</v>
      </c>
      <c r="I328" s="380">
        <f>IF(H328,Wh_hp,'2021'!Maxi_hp)</f>
        <v>19.985849148012122</v>
      </c>
      <c r="J328" s="85">
        <f>IF(H328,An,'2021'!An_max)</f>
        <v>2022</v>
      </c>
      <c r="K328" s="197">
        <f t="shared" si="100"/>
        <v>44875</v>
      </c>
      <c r="L328" s="147">
        <f>IF(t&lt;Tvie,1-EXP((T0-t)*PertePVj)+'2021'!Pspv,1-EXP((T0-t)*PertePVj)+Pspv)</f>
        <v>5.6808811672296261E-2</v>
      </c>
      <c r="M328" s="843"/>
      <c r="N328" s="843"/>
      <c r="O328" s="48">
        <f>IF(t&lt;Tnet,'2021'!Resal+('2021'!Salim-'2021'!Resal)*(1-EXP(('2021'!Tnet-t)/('2021'!Tau_j))),Resal+(Salim-Resal)*(1-EXP((Tnet-t)/(Tau_j))))*Salcycl</f>
        <v>0.11864899020192733</v>
      </c>
      <c r="P328" s="339">
        <f>(INDEX(Models!$BJ328:$BT328,,T328)*(1-R328)+INDEX(Models!$BJ328:$BT328,,T328+1)*R328-ERP_i)*Q328*Ramure*Pc/MaxiM</f>
        <v>6.5538316780825202E-3</v>
      </c>
      <c r="Q328" s="305">
        <f t="shared" si="101"/>
        <v>0.8</v>
      </c>
      <c r="R328" s="177">
        <f t="shared" si="102"/>
        <v>0.59843272929319835</v>
      </c>
      <c r="S328" s="809">
        <f t="shared" si="103"/>
        <v>0</v>
      </c>
      <c r="T328" s="176">
        <f t="shared" si="104"/>
        <v>6</v>
      </c>
      <c r="U328" s="251">
        <f t="shared" si="105"/>
        <v>0.59843272929319835</v>
      </c>
      <c r="V328" s="383">
        <f t="shared" si="106"/>
        <v>18.152541681878979</v>
      </c>
      <c r="W328" s="402"/>
      <c r="X328" s="157">
        <f t="shared" si="107"/>
        <v>44875</v>
      </c>
      <c r="Y328" s="385">
        <f t="shared" si="108"/>
        <v>15.544242373286432</v>
      </c>
      <c r="Z328" s="385">
        <f t="shared" si="109"/>
        <v>16.480478789084824</v>
      </c>
      <c r="AA328" s="386">
        <f t="shared" si="110"/>
        <v>19.514769317561502</v>
      </c>
      <c r="AB328" s="197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0.1554868765856276</v>
      </c>
      <c r="AD328" s="231">
        <f>(INDEX(Models!$BJ328:$BT328,,AH328)*(1-AF328)+INDEX(Models!$BJ328:$BT328,,AH328+1)*AF328-ERP_i)*AE328*Ramure*Pc/MaxiM</f>
        <v>2.7047851480316878E-2</v>
      </c>
      <c r="AE328" s="305">
        <f t="shared" si="112"/>
        <v>0.8</v>
      </c>
      <c r="AF328" s="177">
        <f t="shared" si="113"/>
        <v>0.79914947645810175</v>
      </c>
      <c r="AG328" s="809">
        <f t="shared" si="119"/>
        <v>1</v>
      </c>
      <c r="AH328" s="176">
        <f t="shared" si="114"/>
        <v>7</v>
      </c>
      <c r="AI328" s="225">
        <f t="shared" si="115"/>
        <v>1.7991494764581017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44876</v>
      </c>
      <c r="B329" s="616">
        <v>17.884</v>
      </c>
      <c r="C329" s="839"/>
      <c r="D329" s="393">
        <f t="shared" si="98"/>
        <v>18.961612166882823</v>
      </c>
      <c r="E329" s="385">
        <f t="shared" si="120"/>
        <v>21.514903633499099</v>
      </c>
      <c r="F329" s="385">
        <f t="shared" si="99"/>
        <v>21.657878919803085</v>
      </c>
      <c r="G329" s="110">
        <f t="shared" si="121"/>
        <v>0.99786716168818257</v>
      </c>
      <c r="H329" s="414" t="b">
        <f>Wh_hp&gt;='2021'!Maxi_hp</f>
        <v>1</v>
      </c>
      <c r="I329" s="380">
        <f>IF(H329,Wh_hp,'2021'!Maxi_hp)</f>
        <v>21.657878919803085</v>
      </c>
      <c r="J329" s="85">
        <f>IF(H329,An,'2021'!An_max)</f>
        <v>2022</v>
      </c>
      <c r="K329" s="197">
        <f t="shared" si="100"/>
        <v>44876</v>
      </c>
      <c r="L329" s="147">
        <f>IF(t&lt;Tvie,1-EXP((T0-t)*PertePVj)+'2021'!Pspv,1-EXP((T0-t)*PertePVj)+Pspv)</f>
        <v>5.6831252395559223E-2</v>
      </c>
      <c r="M329" s="843"/>
      <c r="N329" s="843"/>
      <c r="O329" s="48">
        <f>IF(t&lt;Tnet,'2021'!Resal+('2021'!Salim-'2021'!Resal)*(1-EXP(('2021'!Tnet-t)/('2021'!Tau_j))),Resal+(Salim-Resal)*(1-EXP((Tnet-t)/(Tau_j))))*Salcycl</f>
        <v>0.11867547771121571</v>
      </c>
      <c r="P329" s="339">
        <f>(INDEX(Models!$BJ329:$BT329,,T329)*(1-R329)+INDEX(Models!$BJ329:$BT329,,T329+1)*R329-ERP_i)*Q329*Ramure*Pc/MaxiM</f>
        <v>6.6215221671610007E-3</v>
      </c>
      <c r="Q329" s="305">
        <f t="shared" si="101"/>
        <v>0.8</v>
      </c>
      <c r="R329" s="177">
        <f t="shared" si="102"/>
        <v>0.59847755452039486</v>
      </c>
      <c r="S329" s="809">
        <f t="shared" si="103"/>
        <v>0</v>
      </c>
      <c r="T329" s="176">
        <f t="shared" si="104"/>
        <v>6</v>
      </c>
      <c r="U329" s="251">
        <f t="shared" si="105"/>
        <v>0.59847755452039486</v>
      </c>
      <c r="V329" s="383">
        <f t="shared" si="106"/>
        <v>17.921864647376896</v>
      </c>
      <c r="W329" s="402"/>
      <c r="X329" s="157">
        <f t="shared" si="107"/>
        <v>44876</v>
      </c>
      <c r="Y329" s="385">
        <f t="shared" si="108"/>
        <v>16.781111800137335</v>
      </c>
      <c r="Z329" s="385">
        <f t="shared" si="109"/>
        <v>17.792268714119047</v>
      </c>
      <c r="AA329" s="386">
        <f t="shared" si="110"/>
        <v>21.066329033779553</v>
      </c>
      <c r="AB329" s="197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0.15541674652525359</v>
      </c>
      <c r="AD329" s="231">
        <f>(INDEX(Models!$BJ329:$BT329,,AH329)*(1-AF329)+INDEX(Models!$BJ329:$BT329,,AH329+1)*AF329-ERP_i)*AE329*Ramure*Pc/MaxiM</f>
        <v>2.7396068121579492E-2</v>
      </c>
      <c r="AE329" s="305">
        <f t="shared" si="112"/>
        <v>0.8</v>
      </c>
      <c r="AF329" s="177">
        <f t="shared" si="113"/>
        <v>0.79919430168529826</v>
      </c>
      <c r="AG329" s="809">
        <f t="shared" si="119"/>
        <v>1</v>
      </c>
      <c r="AH329" s="176">
        <f t="shared" si="114"/>
        <v>7</v>
      </c>
      <c r="AI329" s="225">
        <f t="shared" si="115"/>
        <v>1.7991943016852983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44877</v>
      </c>
      <c r="B330" s="616">
        <v>18.091000000000001</v>
      </c>
      <c r="C330" s="839"/>
      <c r="D330" s="393">
        <f t="shared" si="98"/>
        <v>19.181541461797874</v>
      </c>
      <c r="E330" s="385">
        <f t="shared" si="120"/>
        <v>21.765121688052549</v>
      </c>
      <c r="F330" s="385">
        <f t="shared" si="99"/>
        <v>21.912158265711366</v>
      </c>
      <c r="G330" s="110">
        <f t="shared" si="121"/>
        <v>1.0221367254498741</v>
      </c>
      <c r="H330" s="414" t="b">
        <f>Wh_hp&gt;='2021'!Maxi_hp</f>
        <v>1</v>
      </c>
      <c r="I330" s="380">
        <f>IF(H330,Wh_hp,'2021'!Maxi_hp)</f>
        <v>21.912158265711366</v>
      </c>
      <c r="J330" s="85">
        <f>IF(H330,An,'2021'!An_max)</f>
        <v>2022</v>
      </c>
      <c r="K330" s="197">
        <f t="shared" si="100"/>
        <v>44877</v>
      </c>
      <c r="L330" s="147">
        <f>IF(t&lt;Tvie,1-EXP((T0-t)*PertePVj)+'2021'!Pspv,1-EXP((T0-t)*PertePVj)+Pspv)</f>
        <v>5.6853692596593702E-2</v>
      </c>
      <c r="M330" s="843"/>
      <c r="N330" s="843"/>
      <c r="O330" s="48">
        <f>IF(t&lt;Tnet,'2021'!Resal+('2021'!Salim-'2021'!Resal)*(1-EXP(('2021'!Tnet-t)/('2021'!Tau_j))),Resal+(Salim-Resal)*(1-EXP((Tnet-t)/(Tau_j))))*Salcycl</f>
        <v>0.11870276965521734</v>
      </c>
      <c r="P330" s="339">
        <f>(INDEX(Models!$BJ330:$BT330,,T330)*(1-R330)+INDEX(Models!$BJ330:$BT330,,T330+1)*R330-ERP_i)*Q330*Ramure*Pc/MaxiM</f>
        <v>6.710273624159678E-3</v>
      </c>
      <c r="Q330" s="305">
        <f t="shared" si="101"/>
        <v>0.8</v>
      </c>
      <c r="R330" s="177">
        <f t="shared" si="102"/>
        <v>0.5985205812536708</v>
      </c>
      <c r="S330" s="809">
        <f t="shared" si="103"/>
        <v>0</v>
      </c>
      <c r="T330" s="176">
        <f t="shared" si="104"/>
        <v>6</v>
      </c>
      <c r="U330" s="251">
        <f t="shared" si="105"/>
        <v>0.5985205812536708</v>
      </c>
      <c r="V330" s="383">
        <f t="shared" si="106"/>
        <v>17.699197719402548</v>
      </c>
      <c r="W330" s="402"/>
      <c r="X330" s="157">
        <f t="shared" si="107"/>
        <v>44877</v>
      </c>
      <c r="Y330" s="385">
        <f t="shared" si="108"/>
        <v>16.97131862659845</v>
      </c>
      <c r="Z330" s="385">
        <f t="shared" si="109"/>
        <v>17.99436470606825</v>
      </c>
      <c r="AA330" s="386">
        <f t="shared" si="110"/>
        <v>21.303880178927891</v>
      </c>
      <c r="AB330" s="197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0.1553480138389603</v>
      </c>
      <c r="AD330" s="231">
        <f>(INDEX(Models!$BJ330:$BT330,,AH330)*(1-AF330)+INDEX(Models!$BJ330:$BT330,,AH330+1)*AF330-ERP_i)*AE330*Ramure*Pc/MaxiM</f>
        <v>2.7759843617747238E-2</v>
      </c>
      <c r="AE330" s="305">
        <f t="shared" si="112"/>
        <v>0.8</v>
      </c>
      <c r="AF330" s="177">
        <f t="shared" si="113"/>
        <v>0.79923732841857431</v>
      </c>
      <c r="AG330" s="809">
        <f t="shared" si="119"/>
        <v>1</v>
      </c>
      <c r="AH330" s="176">
        <f t="shared" si="114"/>
        <v>7</v>
      </c>
      <c r="AI330" s="225">
        <f t="shared" si="115"/>
        <v>1.7992373284185743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44878</v>
      </c>
      <c r="B331" s="616">
        <v>17.437000000000001</v>
      </c>
      <c r="C331" s="839"/>
      <c r="D331" s="393">
        <f t="shared" si="98"/>
        <v>18.488557650512107</v>
      </c>
      <c r="E331" s="385">
        <f t="shared" si="120"/>
        <v>20.979470707768616</v>
      </c>
      <c r="F331" s="385">
        <f t="shared" si="99"/>
        <v>21.123000933531273</v>
      </c>
      <c r="G331" s="110">
        <f t="shared" si="121"/>
        <v>0.99732150400007114</v>
      </c>
      <c r="H331" s="414" t="b">
        <f>Wh_hp&gt;='2021'!Maxi_hp</f>
        <v>1</v>
      </c>
      <c r="I331" s="380">
        <f>IF(H331,Wh_hp,'2021'!Maxi_hp)</f>
        <v>21.123000933531273</v>
      </c>
      <c r="J331" s="85">
        <f>IF(H331,An,'2021'!An_max)</f>
        <v>2022</v>
      </c>
      <c r="K331" s="197">
        <f t="shared" si="100"/>
        <v>44878</v>
      </c>
      <c r="L331" s="147">
        <f>IF(t&lt;Tvie,1-EXP((T0-t)*PertePVj)+'2021'!Pspv,1-EXP((T0-t)*PertePVj)+Pspv)</f>
        <v>5.6876132275411911E-2</v>
      </c>
      <c r="M331" s="843"/>
      <c r="N331" s="843"/>
      <c r="O331" s="48">
        <f>IF(t&lt;Tnet,'2021'!Resal+('2021'!Salim-'2021'!Resal)*(1-EXP(('2021'!Tnet-t)/('2021'!Tau_j))),Resal+(Salim-Resal)*(1-EXP((Tnet-t)/(Tau_j))))*Salcycl</f>
        <v>0.11873097715158917</v>
      </c>
      <c r="P331" s="339">
        <f>(INDEX(Models!$BJ331:$BT331,,T331)*(1-R331)+INDEX(Models!$BJ331:$BT331,,T331+1)*R331-ERP_i)*Q331*Ramure*Pc/MaxiM</f>
        <v>6.8208196658353102E-3</v>
      </c>
      <c r="Q331" s="305">
        <f t="shared" si="101"/>
        <v>0.8</v>
      </c>
      <c r="R331" s="177">
        <f t="shared" si="102"/>
        <v>0.59856188140977162</v>
      </c>
      <c r="S331" s="809">
        <f t="shared" si="103"/>
        <v>0</v>
      </c>
      <c r="T331" s="176">
        <f t="shared" si="104"/>
        <v>6</v>
      </c>
      <c r="U331" s="251">
        <f t="shared" si="105"/>
        <v>0.59856188140977162</v>
      </c>
      <c r="V331" s="383">
        <f t="shared" si="106"/>
        <v>17.483375383290731</v>
      </c>
      <c r="W331" s="402"/>
      <c r="X331" s="157">
        <f t="shared" si="107"/>
        <v>44878</v>
      </c>
      <c r="Y331" s="385">
        <f t="shared" si="108"/>
        <v>16.356395746553847</v>
      </c>
      <c r="Z331" s="385">
        <f t="shared" si="109"/>
        <v>17.342786357444044</v>
      </c>
      <c r="AA331" s="386">
        <f t="shared" si="110"/>
        <v>20.53083056265335</v>
      </c>
      <c r="AB331" s="197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0.15528082000776547</v>
      </c>
      <c r="AD331" s="231">
        <f>(INDEX(Models!$BJ331:$BT331,,AH331)*(1-AF331)+INDEX(Models!$BJ331:$BT331,,AH331+1)*AF331-ERP_i)*AE331*Ramure*Pc/MaxiM</f>
        <v>2.8141022490190876E-2</v>
      </c>
      <c r="AE331" s="305">
        <f t="shared" si="112"/>
        <v>0.8</v>
      </c>
      <c r="AF331" s="177">
        <f t="shared" si="113"/>
        <v>0.79927862857467513</v>
      </c>
      <c r="AG331" s="809">
        <f t="shared" si="119"/>
        <v>1</v>
      </c>
      <c r="AH331" s="176">
        <f t="shared" si="114"/>
        <v>7</v>
      </c>
      <c r="AI331" s="225">
        <f t="shared" si="115"/>
        <v>1.7992786285746751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44879</v>
      </c>
      <c r="B332" s="616">
        <v>7.2119999999999997</v>
      </c>
      <c r="C332" s="839"/>
      <c r="D332" s="393">
        <f t="shared" si="98"/>
        <v>7.6471096125374975</v>
      </c>
      <c r="E332" s="385">
        <f t="shared" si="120"/>
        <v>8.6776717014714038</v>
      </c>
      <c r="F332" s="385">
        <f t="shared" si="99"/>
        <v>8.6878126655188233</v>
      </c>
      <c r="G332" s="110">
        <f t="shared" si="121"/>
        <v>0.41511455300026223</v>
      </c>
      <c r="H332" s="414" t="b">
        <f>Wh_hp&gt;='2021'!Maxi_hp</f>
        <v>0</v>
      </c>
      <c r="I332" s="380">
        <f>IF(H332,Wh_hp,'2021'!Maxi_hp)</f>
        <v>16.142697199455277</v>
      </c>
      <c r="J332" s="85">
        <f>IF(H332,An,'2021'!An_max)</f>
        <v>2020</v>
      </c>
      <c r="K332" s="197">
        <f t="shared" si="100"/>
        <v>44879</v>
      </c>
      <c r="L332" s="147">
        <f>IF(t&lt;Tvie,1-EXP((T0-t)*PertePVj)+'2021'!Pspv,1-EXP((T0-t)*PertePVj)+Pspv)</f>
        <v>5.6898571432026063E-2</v>
      </c>
      <c r="M332" s="843"/>
      <c r="N332" s="843"/>
      <c r="O332" s="48">
        <f>IF(t&lt;Tnet,'2021'!Resal+('2021'!Salim-'2021'!Resal)*(1-EXP(('2021'!Tnet-t)/('2021'!Tau_j))),Resal+(Salim-Resal)*(1-EXP((Tnet-t)/(Tau_j))))*Salcycl</f>
        <v>0.11876020716007987</v>
      </c>
      <c r="P332" s="339">
        <f>(INDEX(Models!$BJ332:$BT332,,T332)*(1-R332)+INDEX(Models!$BJ332:$BT332,,T332+1)*R332-ERP_i)*Q332*Ramure*Pc/MaxiM</f>
        <v>6.95197480957089E-3</v>
      </c>
      <c r="Q332" s="305">
        <f t="shared" si="101"/>
        <v>0.8</v>
      </c>
      <c r="R332" s="177">
        <f t="shared" si="102"/>
        <v>0.59860152404884559</v>
      </c>
      <c r="S332" s="809">
        <f t="shared" si="103"/>
        <v>0</v>
      </c>
      <c r="T332" s="176">
        <f t="shared" si="104"/>
        <v>6</v>
      </c>
      <c r="U332" s="251">
        <f t="shared" si="105"/>
        <v>0.59860152404884559</v>
      </c>
      <c r="V332" s="383">
        <f t="shared" si="106"/>
        <v>17.272899380947731</v>
      </c>
      <c r="W332" s="402"/>
      <c r="X332" s="157">
        <f t="shared" si="107"/>
        <v>44879</v>
      </c>
      <c r="Y332" s="385">
        <f t="shared" si="108"/>
        <v>6.8885815231899707</v>
      </c>
      <c r="Z332" s="385">
        <f t="shared" si="109"/>
        <v>7.3041788661583782</v>
      </c>
      <c r="AA332" s="386">
        <f t="shared" si="110"/>
        <v>8.6462016563056707</v>
      </c>
      <c r="AB332" s="197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0.15521530071746084</v>
      </c>
      <c r="AD332" s="231">
        <f>(INDEX(Models!$BJ332:$BT332,,AH332)*(1-AF332)+INDEX(Models!$BJ332:$BT332,,AH332+1)*AF332-ERP_i)*AE332*Ramure*Pc/MaxiM</f>
        <v>2.8525758152575111E-2</v>
      </c>
      <c r="AE332" s="305">
        <f t="shared" si="112"/>
        <v>0.8</v>
      </c>
      <c r="AF332" s="177">
        <f t="shared" si="113"/>
        <v>0.79931827121374899</v>
      </c>
      <c r="AG332" s="809">
        <f t="shared" si="119"/>
        <v>1</v>
      </c>
      <c r="AH332" s="176">
        <f t="shared" si="114"/>
        <v>7</v>
      </c>
      <c r="AI332" s="225">
        <f t="shared" si="115"/>
        <v>1.799318271213749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44880</v>
      </c>
      <c r="B333" s="616">
        <v>9.8460000000000001</v>
      </c>
      <c r="C333" s="839"/>
      <c r="D333" s="393">
        <f t="shared" si="98"/>
        <v>10.44027075684693</v>
      </c>
      <c r="E333" s="385">
        <f t="shared" si="120"/>
        <v>11.84766107421086</v>
      </c>
      <c r="F333" s="385">
        <f t="shared" si="99"/>
        <v>11.880997311142718</v>
      </c>
      <c r="G333" s="110">
        <f t="shared" si="121"/>
        <v>0.57438707625356578</v>
      </c>
      <c r="H333" s="414" t="b">
        <f>Wh_hp&gt;='2021'!Maxi_hp</f>
        <v>0</v>
      </c>
      <c r="I333" s="380">
        <f>IF(H333,Wh_hp,'2021'!Maxi_hp)</f>
        <v>20.45344773267831</v>
      </c>
      <c r="J333" s="85">
        <f>IF(H333,An,'2021'!An_max)</f>
        <v>2020</v>
      </c>
      <c r="K333" s="197">
        <f t="shared" si="100"/>
        <v>44880</v>
      </c>
      <c r="L333" s="147">
        <f>IF(t&lt;Tvie,1-EXP((T0-t)*PertePVj)+'2021'!Pspv,1-EXP((T0-t)*PertePVj)+Pspv)</f>
        <v>5.6921010066448258E-2</v>
      </c>
      <c r="M333" s="843"/>
      <c r="N333" s="843"/>
      <c r="O333" s="48">
        <f>IF(t&lt;Tnet,'2021'!Resal+('2021'!Salim-'2021'!Resal)*(1-EXP(('2021'!Tnet-t)/('2021'!Tau_j))),Resal+(Salim-Resal)*(1-EXP((Tnet-t)/(Tau_j))))*Salcycl</f>
        <v>0.11879056199771248</v>
      </c>
      <c r="P333" s="339">
        <f>(INDEX(Models!$BJ333:$BT333,,T333)*(1-R333)+INDEX(Models!$BJ333:$BT333,,T333+1)*R333-ERP_i)*Q333*Ramure*Pc/MaxiM</f>
        <v>7.0939707845477902E-3</v>
      </c>
      <c r="Q333" s="305">
        <f t="shared" si="101"/>
        <v>0.8</v>
      </c>
      <c r="R333" s="177">
        <f t="shared" si="102"/>
        <v>0.59863957548639979</v>
      </c>
      <c r="S333" s="809">
        <f t="shared" si="103"/>
        <v>0</v>
      </c>
      <c r="T333" s="176">
        <f t="shared" si="104"/>
        <v>6</v>
      </c>
      <c r="U333" s="251">
        <f t="shared" si="105"/>
        <v>0.59863957548639979</v>
      </c>
      <c r="V333" s="383">
        <f t="shared" si="106"/>
        <v>17.068037774982571</v>
      </c>
      <c r="W333" s="402"/>
      <c r="X333" s="157">
        <f t="shared" si="107"/>
        <v>44880</v>
      </c>
      <c r="Y333" s="385">
        <f t="shared" si="108"/>
        <v>9.3580946243186016</v>
      </c>
      <c r="Z333" s="385">
        <f t="shared" si="109"/>
        <v>9.9229170877594903</v>
      </c>
      <c r="AA333" s="386">
        <f t="shared" si="110"/>
        <v>11.745204127132094</v>
      </c>
      <c r="AB333" s="197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0.15515158524686823</v>
      </c>
      <c r="AD333" s="231">
        <f>(INDEX(Models!$BJ333:$BT333,,AH333)*(1-AF333)+INDEX(Models!$BJ333:$BT333,,AH333+1)*AF333-ERP_i)*AE333*Ramure*Pc/MaxiM</f>
        <v>2.88968692561547E-2</v>
      </c>
      <c r="AE333" s="305">
        <f t="shared" si="112"/>
        <v>0.8</v>
      </c>
      <c r="AF333" s="177">
        <f t="shared" si="113"/>
        <v>0.79935632265130319</v>
      </c>
      <c r="AG333" s="809">
        <f t="shared" si="119"/>
        <v>1</v>
      </c>
      <c r="AH333" s="176">
        <f t="shared" si="114"/>
        <v>7</v>
      </c>
      <c r="AI333" s="225">
        <f t="shared" si="115"/>
        <v>1.7993563226513032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44881</v>
      </c>
      <c r="B334" s="616">
        <v>17.64</v>
      </c>
      <c r="C334" s="839"/>
      <c r="D334" s="393">
        <f t="shared" si="98"/>
        <v>18.705134878637093</v>
      </c>
      <c r="E334" s="385">
        <f t="shared" si="120"/>
        <v>21.227422639612517</v>
      </c>
      <c r="F334" s="385">
        <f t="shared" si="99"/>
        <v>21.38237855654209</v>
      </c>
      <c r="G334" s="110">
        <f t="shared" si="121"/>
        <v>1.0457124086047511</v>
      </c>
      <c r="H334" s="414" t="b">
        <f>Wh_hp&gt;='2021'!Maxi_hp</f>
        <v>1</v>
      </c>
      <c r="I334" s="380">
        <f>IF(H334,Wh_hp,'2021'!Maxi_hp)</f>
        <v>21.38237855654209</v>
      </c>
      <c r="J334" s="85">
        <f>IF(H334,An,'2021'!An_max)</f>
        <v>2022</v>
      </c>
      <c r="K334" s="197">
        <f t="shared" si="100"/>
        <v>44881</v>
      </c>
      <c r="L334" s="147">
        <f>IF(t&lt;Tvie,1-EXP((T0-t)*PertePVj)+'2021'!Pspv,1-EXP((T0-t)*PertePVj)+Pspv)</f>
        <v>5.6943448178690709E-2</v>
      </c>
      <c r="M334" s="843"/>
      <c r="N334" s="843"/>
      <c r="O334" s="48">
        <f>IF(t&lt;Tnet,'2021'!Resal+('2021'!Salim-'2021'!Resal)*(1-EXP(('2021'!Tnet-t)/('2021'!Tau_j))),Resal+(Salim-Resal)*(1-EXP((Tnet-t)/(Tau_j))))*Salcycl</f>
        <v>0.11882213888126861</v>
      </c>
      <c r="P334" s="339">
        <f>(INDEX(Models!$BJ334:$BT334,,T334)*(1-R334)+INDEX(Models!$BJ334:$BT334,,T334+1)*R334-ERP_i)*Q334*Ramure*Pc/MaxiM</f>
        <v>7.2468980249236602E-3</v>
      </c>
      <c r="Q334" s="305">
        <f t="shared" si="101"/>
        <v>0.8</v>
      </c>
      <c r="R334" s="177">
        <f t="shared" si="102"/>
        <v>0.59867609940098721</v>
      </c>
      <c r="S334" s="809">
        <f t="shared" si="103"/>
        <v>0</v>
      </c>
      <c r="T334" s="176">
        <f t="shared" si="104"/>
        <v>6</v>
      </c>
      <c r="U334" s="251">
        <f t="shared" si="105"/>
        <v>0.59867609940098721</v>
      </c>
      <c r="V334" s="383">
        <f t="shared" si="106"/>
        <v>16.868882739506066</v>
      </c>
      <c r="W334" s="402"/>
      <c r="X334" s="157">
        <f t="shared" si="107"/>
        <v>44881</v>
      </c>
      <c r="Y334" s="385">
        <f t="shared" si="108"/>
        <v>16.5390265041367</v>
      </c>
      <c r="Z334" s="385">
        <f t="shared" si="109"/>
        <v>17.537682625920105</v>
      </c>
      <c r="AA334" s="386">
        <f t="shared" si="110"/>
        <v>20.756859771242897</v>
      </c>
      <c r="AB334" s="197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0.15508979589401697</v>
      </c>
      <c r="AD334" s="231">
        <f>(INDEX(Models!$BJ334:$BT334,,AH334)*(1-AF334)+INDEX(Models!$BJ334:$BT334,,AH334+1)*AF334-ERP_i)*AE334*Ramure*Pc/MaxiM</f>
        <v>2.9253938407512201E-2</v>
      </c>
      <c r="AE334" s="305">
        <f t="shared" si="112"/>
        <v>0.8</v>
      </c>
      <c r="AF334" s="177">
        <f t="shared" si="113"/>
        <v>0.7993928465658906</v>
      </c>
      <c r="AG334" s="809">
        <f t="shared" si="119"/>
        <v>1</v>
      </c>
      <c r="AH334" s="176">
        <f t="shared" si="114"/>
        <v>7</v>
      </c>
      <c r="AI334" s="225">
        <f t="shared" si="115"/>
        <v>1.7993928465658906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44882</v>
      </c>
      <c r="B335" s="616">
        <v>10.322000000000001</v>
      </c>
      <c r="C335" s="839"/>
      <c r="D335" s="393">
        <f t="shared" ref="D335:D379" si="122">Wh/(1-Ppv)</f>
        <v>10.945521317025248</v>
      </c>
      <c r="E335" s="385">
        <f t="shared" si="120"/>
        <v>12.421930197046295</v>
      </c>
      <c r="F335" s="385">
        <f t="shared" ref="F335:F379" si="123">Wh_sa/(1-Pvg*MEDIAN((-Sdif+Wh/Env_an)/Csdif,0,1))</f>
        <v>12.464022782474192</v>
      </c>
      <c r="G335" s="110">
        <f t="shared" si="121"/>
        <v>0.61648566462586851</v>
      </c>
      <c r="H335" s="414" t="b">
        <f>Wh_hp&gt;='2021'!Maxi_hp</f>
        <v>0</v>
      </c>
      <c r="I335" s="380">
        <f>IF(H335,Wh_hp,'2021'!Maxi_hp)</f>
        <v>19.633088626435899</v>
      </c>
      <c r="J335" s="85">
        <f>IF(H335,An,'2021'!An_max)</f>
        <v>2018</v>
      </c>
      <c r="K335" s="197">
        <f t="shared" ref="K335:K379" si="124">t</f>
        <v>44882</v>
      </c>
      <c r="L335" s="147">
        <f>IF(t&lt;Tvie,1-EXP((T0-t)*PertePVj)+'2021'!Pspv,1-EXP((T0-t)*PertePVj)+Pspv)</f>
        <v>5.6965885768765406E-2</v>
      </c>
      <c r="M335" s="843"/>
      <c r="N335" s="843"/>
      <c r="O335" s="48">
        <f>IF(t&lt;Tnet,'2021'!Resal+('2021'!Salim-'2021'!Resal)*(1-EXP(('2021'!Tnet-t)/('2021'!Tau_j))),Resal+(Salim-Resal)*(1-EXP((Tnet-t)/(Tau_j))))*Salcycl</f>
        <v>0.11885502950033562</v>
      </c>
      <c r="P335" s="339">
        <f>(INDEX(Models!$BJ335:$BT335,,T335)*(1-R335)+INDEX(Models!$BJ335:$BT335,,T335+1)*R335-ERP_i)*Q335*Ramure*Pc/MaxiM</f>
        <v>7.4108332540644018E-3</v>
      </c>
      <c r="Q335" s="305">
        <f t="shared" ref="Q335:Q379" si="125">IF(OR(t&lt;Ttai,Notai),Dd+PousD*Croivg,Dens+PousD*(Croivg-Croi_tai))</f>
        <v>0.8</v>
      </c>
      <c r="R335" s="177">
        <f t="shared" ref="R335:R379" si="126">(Hp_vg-S335)/(INDEX(Echel_vg,T335+1)-S335)</f>
        <v>0.59871115693778032</v>
      </c>
      <c r="S335" s="809">
        <f t="shared" ref="S335:S379" si="127">INDEX(Echel_vg,T335)</f>
        <v>0</v>
      </c>
      <c r="T335" s="176">
        <f t="shared" ref="T335:T379" si="128">MIN(MATCH(Hp_vg,Echel_vg),10)</f>
        <v>6</v>
      </c>
      <c r="U335" s="251">
        <f t="shared" ref="U335:U379" si="129">IF(OR(t&lt;Ttai,Notai),Hdd+PousH*Croivg,Hdtf+PousH*(Croivg-Croi_tai))</f>
        <v>0.59871115693778032</v>
      </c>
      <c r="V335" s="383">
        <f t="shared" ref="V335:V379" si="130">MaxiM*(1-Ppv)*(1-Pvg)*(1-Psa)</f>
        <v>16.675526432595095</v>
      </c>
      <c r="W335" s="402"/>
      <c r="X335" s="157">
        <f t="shared" ref="X335:X379" si="131">t</f>
        <v>44882</v>
      </c>
      <c r="Y335" s="385">
        <f t="shared" ref="Y335:Y379" si="132">Wh_pvt_s*(1-Ppv)</f>
        <v>9.7978240689671345</v>
      </c>
      <c r="Z335" s="385">
        <f t="shared" ref="Z335:Z379" si="133">Wh_sa_s*(1-Psa_s)</f>
        <v>10.389681477169425</v>
      </c>
      <c r="AA335" s="386">
        <f t="shared" ref="AA335:AA379" si="134">Wh_hp*(1-Pvg_s*MEDIAN((-Sdif+Wh/Env_an)/Csdif,0,1))</f>
        <v>12.295918269927553</v>
      </c>
      <c r="AB335" s="197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0.15503004744430193</v>
      </c>
      <c r="AD335" s="231">
        <f>(INDEX(Models!$BJ335:$BT335,,AH335)*(1-AF335)+INDEX(Models!$BJ335:$BT335,,AH335+1)*AF335-ERP_i)*AE335*Ramure*Pc/MaxiM</f>
        <v>2.959653105350174E-2</v>
      </c>
      <c r="AE335" s="305">
        <f t="shared" ref="AE335:AE379" si="136">IF(OR(t&lt;Ttai,Notai),Dd_s+PousD*Croivg,Dens_s+PousD*(Croivg-Croi_tai))</f>
        <v>0.8</v>
      </c>
      <c r="AF335" s="177">
        <f t="shared" ref="AF335:AF379" si="137">(Hp_vg_s-AG335)/(INDEX(Echel_vg,AH335+1)-AG335)</f>
        <v>0.79942790410268372</v>
      </c>
      <c r="AG335" s="809">
        <f t="shared" si="119"/>
        <v>1</v>
      </c>
      <c r="AH335" s="176">
        <f t="shared" ref="AH335:AH379" si="138">MIN(MATCH(Hp_vg_s,Echel_vg),10)</f>
        <v>7</v>
      </c>
      <c r="AI335" s="225">
        <f t="shared" ref="AI335:AI379" si="139">IF(OR(t&lt;Ttai,Notai),Hdd_s+PousH*Croivg,Hdtai_s+PousH*(Croivg-Croi_tai))</f>
        <v>1.7994279041026837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44883</v>
      </c>
      <c r="B336" s="616">
        <v>10.700000000000001</v>
      </c>
      <c r="C336" s="839"/>
      <c r="D336" s="393">
        <f t="shared" si="122"/>
        <v>11.346625136378798</v>
      </c>
      <c r="E336" s="385">
        <f t="shared" si="120"/>
        <v>12.877638858646147</v>
      </c>
      <c r="F336" s="385">
        <f t="shared" si="123"/>
        <v>12.926521639370128</v>
      </c>
      <c r="G336" s="110">
        <f t="shared" si="121"/>
        <v>0.64647626044915285</v>
      </c>
      <c r="H336" s="414" t="b">
        <f>Wh_hp&gt;='2021'!Maxi_hp</f>
        <v>0</v>
      </c>
      <c r="I336" s="380">
        <f>IF(H336,Wh_hp,'2021'!Maxi_hp)</f>
        <v>18.436950655926712</v>
      </c>
      <c r="J336" s="85">
        <f>IF(H336,An,'2021'!An_max)</f>
        <v>2020</v>
      </c>
      <c r="K336" s="197">
        <f t="shared" si="124"/>
        <v>44883</v>
      </c>
      <c r="L336" s="147">
        <f>IF(t&lt;Tvie,1-EXP((T0-t)*PertePVj)+'2021'!Pspv,1-EXP((T0-t)*PertePVj)+Pspv)</f>
        <v>5.6988322836684674E-2</v>
      </c>
      <c r="M336" s="843"/>
      <c r="N336" s="843"/>
      <c r="O336" s="48">
        <f>IF(t&lt;Tnet,'2021'!Resal+('2021'!Salim-'2021'!Resal)*(1-EXP(('2021'!Tnet-t)/('2021'!Tau_j))),Resal+(Salim-Resal)*(1-EXP((Tnet-t)/(Tau_j))))*Salcycl</f>
        <v>0.11888931962394764</v>
      </c>
      <c r="P336" s="339">
        <f>(INDEX(Models!$BJ336:$BT336,,T336)*(1-R336)+INDEX(Models!$BJ336:$BT336,,T336+1)*R336-ERP_i)*Q336*Ramure*Pc/MaxiM</f>
        <v>7.5858380387628082E-3</v>
      </c>
      <c r="Q336" s="305">
        <f t="shared" si="125"/>
        <v>0.8</v>
      </c>
      <c r="R336" s="177">
        <f t="shared" si="126"/>
        <v>0.59874480680817643</v>
      </c>
      <c r="S336" s="809">
        <f t="shared" si="127"/>
        <v>0</v>
      </c>
      <c r="T336" s="176">
        <f t="shared" si="128"/>
        <v>6</v>
      </c>
      <c r="U336" s="251">
        <f t="shared" si="129"/>
        <v>0.59874480680817643</v>
      </c>
      <c r="V336" s="383">
        <f t="shared" si="130"/>
        <v>16.488060989062426</v>
      </c>
      <c r="W336" s="402"/>
      <c r="X336" s="157">
        <f t="shared" si="131"/>
        <v>44883</v>
      </c>
      <c r="Y336" s="385">
        <f t="shared" si="132"/>
        <v>10.147107614948361</v>
      </c>
      <c r="Z336" s="385">
        <f t="shared" si="133"/>
        <v>10.760320217319043</v>
      </c>
      <c r="AA336" s="386">
        <f t="shared" si="134"/>
        <v>12.733691552540163</v>
      </c>
      <c r="AB336" s="197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0.15497244668436042</v>
      </c>
      <c r="AD336" s="231">
        <f>(INDEX(Models!$BJ336:$BT336,,AH336)*(1-AF336)+INDEX(Models!$BJ336:$BT336,,AH336+1)*AF336-ERP_i)*AE336*Ramure*Pc/MaxiM</f>
        <v>2.9924193878255977E-2</v>
      </c>
      <c r="AE336" s="305">
        <f t="shared" si="136"/>
        <v>0.8</v>
      </c>
      <c r="AF336" s="177">
        <f t="shared" si="137"/>
        <v>0.79946155397307983</v>
      </c>
      <c r="AG336" s="809">
        <f t="shared" ref="AG336:AG379" si="143">INDEX(Echel_vg,AH336)</f>
        <v>1</v>
      </c>
      <c r="AH336" s="176">
        <f t="shared" si="138"/>
        <v>7</v>
      </c>
      <c r="AI336" s="225">
        <f t="shared" si="139"/>
        <v>1.7994615539730798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44884</v>
      </c>
      <c r="B337" s="616">
        <v>7.0190000000000001</v>
      </c>
      <c r="C337" s="839"/>
      <c r="D337" s="393">
        <f t="shared" si="122"/>
        <v>7.4433510984742908</v>
      </c>
      <c r="E337" s="385">
        <f t="shared" si="120"/>
        <v>8.4480343309970145</v>
      </c>
      <c r="F337" s="385">
        <f t="shared" si="123"/>
        <v>8.4602869095898914</v>
      </c>
      <c r="G337" s="110">
        <f t="shared" si="121"/>
        <v>0.42771385140137214</v>
      </c>
      <c r="H337" s="414" t="b">
        <f>Wh_hp&gt;='2021'!Maxi_hp</f>
        <v>0</v>
      </c>
      <c r="I337" s="380">
        <f>IF(H337,Wh_hp,'2021'!Maxi_hp)</f>
        <v>19.188007096665945</v>
      </c>
      <c r="J337" s="85">
        <f>IF(H337,An,'2021'!An_max)</f>
        <v>2021</v>
      </c>
      <c r="K337" s="197">
        <f t="shared" si="124"/>
        <v>44884</v>
      </c>
      <c r="L337" s="147">
        <f>IF(t&lt;Tvie,1-EXP((T0-t)*PertePVj)+'2021'!Pspv,1-EXP((T0-t)*PertePVj)+Pspv)</f>
        <v>5.7010759382460502E-2</v>
      </c>
      <c r="M337" s="843"/>
      <c r="N337" s="843"/>
      <c r="O337" s="48">
        <f>IF(t&lt;Tnet,'2021'!Resal+('2021'!Salim-'2021'!Resal)*(1-EXP(('2021'!Tnet-t)/('2021'!Tau_j))),Resal+(Salim-Resal)*(1-EXP((Tnet-t)/(Tau_j))))*Salcycl</f>
        <v>0.11892508874359094</v>
      </c>
      <c r="P337" s="339">
        <f>(INDEX(Models!$BJ337:$BT337,,T337)*(1-R337)+INDEX(Models!$BJ337:$BT337,,T337+1)*R337-ERP_i)*Q337*Ramure*Pc/MaxiM</f>
        <v>7.7719572209286117E-3</v>
      </c>
      <c r="Q337" s="305">
        <f t="shared" si="125"/>
        <v>0.8</v>
      </c>
      <c r="R337" s="177">
        <f t="shared" si="126"/>
        <v>0.59877710538558104</v>
      </c>
      <c r="S337" s="809">
        <f t="shared" si="127"/>
        <v>0</v>
      </c>
      <c r="T337" s="176">
        <f t="shared" si="128"/>
        <v>6</v>
      </c>
      <c r="U337" s="251">
        <f t="shared" si="129"/>
        <v>0.59877710538558104</v>
      </c>
      <c r="V337" s="383">
        <f t="shared" si="130"/>
        <v>16.306578508987837</v>
      </c>
      <c r="W337" s="402"/>
      <c r="X337" s="157">
        <f t="shared" si="131"/>
        <v>44884</v>
      </c>
      <c r="Y337" s="385">
        <f t="shared" si="132"/>
        <v>6.7040503254795949</v>
      </c>
      <c r="Z337" s="385">
        <f t="shared" si="133"/>
        <v>7.1093603582255973</v>
      </c>
      <c r="AA337" s="386">
        <f t="shared" si="134"/>
        <v>8.4126187982630238</v>
      </c>
      <c r="AB337" s="197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0.1549170919650506</v>
      </c>
      <c r="AD337" s="231">
        <f>(INDEX(Models!$BJ337:$BT337,,AH337)*(1-AF337)+INDEX(Models!$BJ337:$BT337,,AH337+1)*AF337-ERP_i)*AE337*Ramure*Pc/MaxiM</f>
        <v>3.0236453431136689E-2</v>
      </c>
      <c r="AE337" s="305">
        <f t="shared" si="136"/>
        <v>0.8</v>
      </c>
      <c r="AF337" s="177">
        <f t="shared" si="137"/>
        <v>0.79949385255048444</v>
      </c>
      <c r="AG337" s="809">
        <f t="shared" si="143"/>
        <v>1</v>
      </c>
      <c r="AH337" s="176">
        <f t="shared" si="138"/>
        <v>7</v>
      </c>
      <c r="AI337" s="225">
        <f t="shared" si="139"/>
        <v>1.7994938525504844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44885</v>
      </c>
      <c r="B338" s="616">
        <v>11.173</v>
      </c>
      <c r="C338" s="839"/>
      <c r="D338" s="393">
        <f t="shared" si="122"/>
        <v>11.848773409167727</v>
      </c>
      <c r="E338" s="385">
        <f t="shared" si="120"/>
        <v>13.448658196154437</v>
      </c>
      <c r="F338" s="385">
        <f t="shared" si="123"/>
        <v>13.508959097627148</v>
      </c>
      <c r="G338" s="110">
        <f t="shared" si="121"/>
        <v>0.69019527482845244</v>
      </c>
      <c r="H338" s="414" t="b">
        <f>Wh_hp&gt;='2021'!Maxi_hp</f>
        <v>0</v>
      </c>
      <c r="I338" s="380">
        <f>IF(H338,Wh_hp,'2021'!Maxi_hp)</f>
        <v>20.296414509075642</v>
      </c>
      <c r="J338" s="85">
        <f>IF(H338,An,'2021'!An_max)</f>
        <v>2019</v>
      </c>
      <c r="K338" s="197">
        <f t="shared" si="124"/>
        <v>44885</v>
      </c>
      <c r="L338" s="147">
        <f>IF(t&lt;Tvie,1-EXP((T0-t)*PertePVj)+'2021'!Pspv,1-EXP((T0-t)*PertePVj)+Pspv)</f>
        <v>5.7033195406105214E-2</v>
      </c>
      <c r="M338" s="843"/>
      <c r="N338" s="843"/>
      <c r="O338" s="48">
        <f>IF(t&lt;Tnet,'2021'!Resal+('2021'!Salim-'2021'!Resal)*(1-EXP(('2021'!Tnet-t)/('2021'!Tau_j))),Resal+(Salim-Resal)*(1-EXP((Tnet-t)/(Tau_j))))*Salcycl</f>
        <v>0.11896240975506303</v>
      </c>
      <c r="P338" s="339">
        <f>(INDEX(Models!$BJ338:$BT338,,T338)*(1-R338)+INDEX(Models!$BJ338:$BT338,,T338+1)*R338-ERP_i)*Q338*Ramure*Pc/MaxiM</f>
        <v>7.958300159171974E-3</v>
      </c>
      <c r="Q338" s="305">
        <f t="shared" si="125"/>
        <v>0.8</v>
      </c>
      <c r="R338" s="177">
        <f t="shared" si="126"/>
        <v>0.59880810679750784</v>
      </c>
      <c r="S338" s="809">
        <f t="shared" si="127"/>
        <v>0</v>
      </c>
      <c r="T338" s="176">
        <f t="shared" si="128"/>
        <v>6</v>
      </c>
      <c r="U338" s="251">
        <f t="shared" si="129"/>
        <v>0.59880810679750784</v>
      </c>
      <c r="V338" s="383">
        <f t="shared" si="130"/>
        <v>16.131348571176357</v>
      </c>
      <c r="W338" s="402"/>
      <c r="X338" s="157">
        <f t="shared" si="131"/>
        <v>44885</v>
      </c>
      <c r="Y338" s="385">
        <f t="shared" si="132"/>
        <v>10.581512735193815</v>
      </c>
      <c r="Z338" s="385">
        <f t="shared" si="133"/>
        <v>11.221511386873189</v>
      </c>
      <c r="AA338" s="386">
        <f t="shared" si="134"/>
        <v>13.277759264442134</v>
      </c>
      <c r="AB338" s="197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0.15486407281653172</v>
      </c>
      <c r="AD338" s="231">
        <f>(INDEX(Models!$BJ338:$BT338,,AH338)*(1-AF338)+INDEX(Models!$BJ338:$BT338,,AH338+1)*AF338-ERP_i)*AE338*Ramure*Pc/MaxiM</f>
        <v>3.0512938020826677E-2</v>
      </c>
      <c r="AE338" s="305">
        <f t="shared" si="136"/>
        <v>0.8</v>
      </c>
      <c r="AF338" s="177">
        <f t="shared" si="137"/>
        <v>0.79952485396241135</v>
      </c>
      <c r="AG338" s="809">
        <f t="shared" si="143"/>
        <v>1</v>
      </c>
      <c r="AH338" s="176">
        <f t="shared" si="138"/>
        <v>7</v>
      </c>
      <c r="AI338" s="225">
        <f t="shared" si="139"/>
        <v>1.7995248539624114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44886</v>
      </c>
      <c r="B339" s="616">
        <v>3.0369999999999999</v>
      </c>
      <c r="C339" s="839"/>
      <c r="D339" s="393">
        <f t="shared" si="122"/>
        <v>3.220762644696912</v>
      </c>
      <c r="E339" s="385">
        <f t="shared" si="120"/>
        <v>3.6558088254462748</v>
      </c>
      <c r="F339" s="385">
        <f t="shared" si="123"/>
        <v>3.6558088254462748</v>
      </c>
      <c r="G339" s="110">
        <f t="shared" si="121"/>
        <v>0.18870928744695004</v>
      </c>
      <c r="H339" s="414" t="b">
        <f>Wh_hp&gt;='2021'!Maxi_hp</f>
        <v>0</v>
      </c>
      <c r="I339" s="380">
        <f>IF(H339,Wh_hp,'2021'!Maxi_hp)</f>
        <v>20.252187824566644</v>
      </c>
      <c r="J339" s="85">
        <f>IF(H339,An,'2021'!An_max)</f>
        <v>2019</v>
      </c>
      <c r="K339" s="197">
        <f t="shared" si="124"/>
        <v>44886</v>
      </c>
      <c r="L339" s="147">
        <f>IF(t&lt;Tvie,1-EXP((T0-t)*PertePVj)+'2021'!Pspv,1-EXP((T0-t)*PertePVj)+Pspv)</f>
        <v>5.7055630907630911E-2</v>
      </c>
      <c r="M339" s="843"/>
      <c r="N339" s="843"/>
      <c r="O339" s="48">
        <f>IF(t&lt;Tnet,'2021'!Resal+('2021'!Salim-'2021'!Resal)*(1-EXP(('2021'!Tnet-t)/('2021'!Tau_j))),Resal+(Salim-Resal)*(1-EXP((Tnet-t)/(Tau_j))))*Salcycl</f>
        <v>0.1190013486813702</v>
      </c>
      <c r="P339" s="339">
        <f>(INDEX(Models!$BJ339:$BT339,,T339)*(1-R339)+INDEX(Models!$BJ339:$BT339,,T339+1)*R339-ERP_i)*Q339*Ramure*Pc/MaxiM</f>
        <v>8.1317665538154782E-3</v>
      </c>
      <c r="Q339" s="305">
        <f t="shared" si="125"/>
        <v>0.8</v>
      </c>
      <c r="R339" s="177">
        <f t="shared" si="126"/>
        <v>0.59883786301413</v>
      </c>
      <c r="S339" s="809">
        <f t="shared" si="127"/>
        <v>0</v>
      </c>
      <c r="T339" s="176">
        <f t="shared" si="128"/>
        <v>6</v>
      </c>
      <c r="U339" s="251">
        <f t="shared" si="129"/>
        <v>0.59883786301413</v>
      </c>
      <c r="V339" s="383">
        <f t="shared" si="130"/>
        <v>15.96266864090026</v>
      </c>
      <c r="W339" s="402"/>
      <c r="X339" s="157">
        <f t="shared" si="131"/>
        <v>44886</v>
      </c>
      <c r="Y339" s="385">
        <f t="shared" si="132"/>
        <v>2.9135475848097303</v>
      </c>
      <c r="Z339" s="385">
        <f t="shared" si="133"/>
        <v>3.0898403769186986</v>
      </c>
      <c r="AA339" s="386">
        <f t="shared" si="134"/>
        <v>3.6558088254462748</v>
      </c>
      <c r="AB339" s="197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0.15481346961803644</v>
      </c>
      <c r="AD339" s="231">
        <f>(INDEX(Models!$BJ339:$BT339,,AH339)*(1-AF339)+INDEX(Models!$BJ339:$BT339,,AH339+1)*AF339-ERP_i)*AE339*Ramure*Pc/MaxiM</f>
        <v>3.0749660231499894E-2</v>
      </c>
      <c r="AE339" s="305">
        <f t="shared" si="136"/>
        <v>0.8</v>
      </c>
      <c r="AF339" s="177">
        <f t="shared" si="137"/>
        <v>0.7995546101790334</v>
      </c>
      <c r="AG339" s="809">
        <f t="shared" si="143"/>
        <v>1</v>
      </c>
      <c r="AH339" s="176">
        <f t="shared" si="138"/>
        <v>7</v>
      </c>
      <c r="AI339" s="225">
        <f t="shared" si="139"/>
        <v>1.7995546101790334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44887</v>
      </c>
      <c r="B340" s="616">
        <v>6.7700000000000005</v>
      </c>
      <c r="C340" s="839"/>
      <c r="D340" s="393">
        <f t="shared" si="122"/>
        <v>7.179809648153797</v>
      </c>
      <c r="E340" s="385">
        <f t="shared" si="120"/>
        <v>8.1500018824140401</v>
      </c>
      <c r="F340" s="385">
        <f t="shared" si="123"/>
        <v>8.1624231225207389</v>
      </c>
      <c r="G340" s="110">
        <f t="shared" si="121"/>
        <v>0.42555884546369255</v>
      </c>
      <c r="H340" s="414" t="b">
        <f>Wh_hp&gt;='2021'!Maxi_hp</f>
        <v>0</v>
      </c>
      <c r="I340" s="380">
        <f>IF(H340,Wh_hp,'2021'!Maxi_hp)</f>
        <v>19.238098983375799</v>
      </c>
      <c r="J340" s="85">
        <f>IF(H340,An,'2021'!An_max)</f>
        <v>2020</v>
      </c>
      <c r="K340" s="197">
        <f t="shared" si="124"/>
        <v>44887</v>
      </c>
      <c r="L340" s="147">
        <f>IF(t&lt;Tvie,1-EXP((T0-t)*PertePVj)+'2021'!Pspv,1-EXP((T0-t)*PertePVj)+Pspv)</f>
        <v>5.7078065887049584E-2</v>
      </c>
      <c r="M340" s="843"/>
      <c r="N340" s="843"/>
      <c r="O340" s="48">
        <f>IF(t&lt;Tnet,'2021'!Resal+('2021'!Salim-'2021'!Resal)*(1-EXP(('2021'!Tnet-t)/('2021'!Tau_j))),Resal+(Salim-Resal)*(1-EXP((Tnet-t)/(Tau_j))))*Salcycl</f>
        <v>0.11904196443852488</v>
      </c>
      <c r="P340" s="339">
        <f>(INDEX(Models!$BJ340:$BT340,,T340)*(1-R340)+INDEX(Models!$BJ340:$BT340,,T340+1)*R340-ERP_i)*Q340*Ramure*Pc/MaxiM</f>
        <v>8.2920541841605775E-3</v>
      </c>
      <c r="Q340" s="305">
        <f t="shared" si="125"/>
        <v>0.8</v>
      </c>
      <c r="R340" s="177">
        <f t="shared" si="126"/>
        <v>0.59886642393341227</v>
      </c>
      <c r="S340" s="809">
        <f t="shared" si="127"/>
        <v>0</v>
      </c>
      <c r="T340" s="176">
        <f t="shared" si="128"/>
        <v>6</v>
      </c>
      <c r="U340" s="251">
        <f t="shared" si="129"/>
        <v>0.59886642393341227</v>
      </c>
      <c r="V340" s="383">
        <f t="shared" si="130"/>
        <v>15.800623854243886</v>
      </c>
      <c r="W340" s="402"/>
      <c r="X340" s="157">
        <f t="shared" si="131"/>
        <v>44887</v>
      </c>
      <c r="Y340" s="385">
        <f t="shared" si="132"/>
        <v>6.4684267786585004</v>
      </c>
      <c r="Z340" s="385">
        <f t="shared" si="133"/>
        <v>6.8599812398506179</v>
      </c>
      <c r="AA340" s="386">
        <f t="shared" si="134"/>
        <v>8.1160672563913945</v>
      </c>
      <c r="AB340" s="197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0.1547653533244947</v>
      </c>
      <c r="AD340" s="231">
        <f>(INDEX(Models!$BJ340:$BT340,,AH340)*(1-AF340)+INDEX(Models!$BJ340:$BT340,,AH340+1)*AF340-ERP_i)*AE340*Ramure*Pc/MaxiM</f>
        <v>3.0945811400178727E-2</v>
      </c>
      <c r="AE340" s="305">
        <f t="shared" si="136"/>
        <v>0.8</v>
      </c>
      <c r="AF340" s="177">
        <f t="shared" si="137"/>
        <v>0.79958317109831567</v>
      </c>
      <c r="AG340" s="809">
        <f t="shared" si="143"/>
        <v>1</v>
      </c>
      <c r="AH340" s="176">
        <f t="shared" si="138"/>
        <v>7</v>
      </c>
      <c r="AI340" s="225">
        <f t="shared" si="139"/>
        <v>1.7995831710983157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44888</v>
      </c>
      <c r="B341" s="616">
        <v>9.2970000000000006</v>
      </c>
      <c r="C341" s="839"/>
      <c r="D341" s="393">
        <f t="shared" si="122"/>
        <v>9.8600115955046412</v>
      </c>
      <c r="E341" s="385">
        <f t="shared" si="120"/>
        <v>11.19291175339017</v>
      </c>
      <c r="F341" s="385">
        <f t="shared" si="123"/>
        <v>11.232755947689736</v>
      </c>
      <c r="G341" s="110">
        <f t="shared" si="121"/>
        <v>0.59131879883594107</v>
      </c>
      <c r="H341" s="414" t="b">
        <f>Wh_hp&gt;='2021'!Maxi_hp</f>
        <v>0</v>
      </c>
      <c r="I341" s="380">
        <f>IF(H341,Wh_hp,'2021'!Maxi_hp)</f>
        <v>18.879598059880493</v>
      </c>
      <c r="J341" s="85">
        <f>IF(H341,An,'2021'!An_max)</f>
        <v>2020</v>
      </c>
      <c r="K341" s="197">
        <f t="shared" si="124"/>
        <v>44888</v>
      </c>
      <c r="L341" s="147">
        <f>IF(t&lt;Tvie,1-EXP((T0-t)*PertePVj)+'2021'!Pspv,1-EXP((T0-t)*PertePVj)+Pspv)</f>
        <v>5.7100500344373667E-2</v>
      </c>
      <c r="M341" s="843"/>
      <c r="N341" s="843"/>
      <c r="O341" s="48">
        <f>IF(t&lt;Tnet,'2021'!Resal+('2021'!Salim-'2021'!Resal)*(1-EXP(('2021'!Tnet-t)/('2021'!Tau_j))),Resal+(Salim-Resal)*(1-EXP((Tnet-t)/(Tau_j))))*Salcycl</f>
        <v>0.1190843086457653</v>
      </c>
      <c r="P341" s="339">
        <f>(INDEX(Models!$BJ341:$BT341,,T341)*(1-R341)+INDEX(Models!$BJ341:$BT341,,T341+1)*R341-ERP_i)*Q341*Ramure*Pc/MaxiM</f>
        <v>8.4388066043551372E-3</v>
      </c>
      <c r="Q341" s="305">
        <f t="shared" si="125"/>
        <v>0.8</v>
      </c>
      <c r="R341" s="177">
        <f t="shared" si="126"/>
        <v>0.59889383746295199</v>
      </c>
      <c r="S341" s="809">
        <f t="shared" si="127"/>
        <v>0</v>
      </c>
      <c r="T341" s="176">
        <f t="shared" si="128"/>
        <v>6</v>
      </c>
      <c r="U341" s="251">
        <f t="shared" si="129"/>
        <v>0.59889383746295199</v>
      </c>
      <c r="V341" s="383">
        <f t="shared" si="130"/>
        <v>15.645300527214829</v>
      </c>
      <c r="W341" s="402"/>
      <c r="X341" s="157">
        <f t="shared" si="131"/>
        <v>44888</v>
      </c>
      <c r="Y341" s="385">
        <f t="shared" si="132"/>
        <v>8.8356319740636522</v>
      </c>
      <c r="Z341" s="385">
        <f t="shared" si="133"/>
        <v>9.3707038526276403</v>
      </c>
      <c r="AA341" s="386">
        <f t="shared" si="134"/>
        <v>11.085914101772961</v>
      </c>
      <c r="AB341" s="197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0.1547197852517195</v>
      </c>
      <c r="AD341" s="231">
        <f>(INDEX(Models!$BJ341:$BT341,,AH341)*(1-AF341)+INDEX(Models!$BJ341:$BT341,,AH341+1)*AF341-ERP_i)*AE341*Ramure*Pc/MaxiM</f>
        <v>3.1100388924960337E-2</v>
      </c>
      <c r="AE341" s="305">
        <f t="shared" si="136"/>
        <v>0.8</v>
      </c>
      <c r="AF341" s="177">
        <f t="shared" si="137"/>
        <v>0.79961058462785539</v>
      </c>
      <c r="AG341" s="809">
        <f t="shared" si="143"/>
        <v>1</v>
      </c>
      <c r="AH341" s="176">
        <f t="shared" si="138"/>
        <v>7</v>
      </c>
      <c r="AI341" s="225">
        <f t="shared" si="139"/>
        <v>1.7996105846278554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44889</v>
      </c>
      <c r="B342" s="616">
        <v>10.318</v>
      </c>
      <c r="C342" s="839"/>
      <c r="D342" s="393">
        <f t="shared" si="122"/>
        <v>10.943102102199031</v>
      </c>
      <c r="E342" s="385">
        <f t="shared" si="120"/>
        <v>12.4230392020302</v>
      </c>
      <c r="F342" s="385">
        <f t="shared" si="123"/>
        <v>12.478938795409583</v>
      </c>
      <c r="G342" s="110">
        <f t="shared" si="121"/>
        <v>0.66307863152158975</v>
      </c>
      <c r="H342" s="414" t="b">
        <f>Wh_hp&gt;='2021'!Maxi_hp</f>
        <v>0</v>
      </c>
      <c r="I342" s="380">
        <f>IF(H342,Wh_hp,'2021'!Maxi_hp)</f>
        <v>17.858943426555001</v>
      </c>
      <c r="J342" s="85">
        <f>IF(H342,An,'2021'!An_max)</f>
        <v>2020</v>
      </c>
      <c r="K342" s="197">
        <f t="shared" si="124"/>
        <v>44889</v>
      </c>
      <c r="L342" s="147">
        <f>IF(t&lt;Tvie,1-EXP((T0-t)*PertePVj)+'2021'!Pspv,1-EXP((T0-t)*PertePVj)+Pspv)</f>
        <v>5.712293427961504E-2</v>
      </c>
      <c r="M342" s="843"/>
      <c r="N342" s="843"/>
      <c r="O342" s="48">
        <f>IF(t&lt;Tnet,'2021'!Resal+('2021'!Salim-'2021'!Resal)*(1-EXP(('2021'!Tnet-t)/('2021'!Tau_j))),Resal+(Salim-Resal)*(1-EXP((Tnet-t)/(Tau_j))))*Salcycl</f>
        <v>0.11912842548136807</v>
      </c>
      <c r="P342" s="339">
        <f>(INDEX(Models!$BJ342:$BT342,,T342)*(1-R342)+INDEX(Models!$BJ342:$BT342,,T342+1)*R342-ERP_i)*Q342*Ramure*Pc/MaxiM</f>
        <v>8.5716986486682224E-3</v>
      </c>
      <c r="Q342" s="305">
        <f t="shared" si="125"/>
        <v>0.8</v>
      </c>
      <c r="R342" s="177">
        <f t="shared" si="126"/>
        <v>0.59892014959864959</v>
      </c>
      <c r="S342" s="809">
        <f t="shared" si="127"/>
        <v>0</v>
      </c>
      <c r="T342" s="176">
        <f t="shared" si="128"/>
        <v>6</v>
      </c>
      <c r="U342" s="251">
        <f t="shared" si="129"/>
        <v>0.59892014959864959</v>
      </c>
      <c r="V342" s="383">
        <f t="shared" si="130"/>
        <v>15.496784800795622</v>
      </c>
      <c r="W342" s="402"/>
      <c r="X342" s="157">
        <f t="shared" si="131"/>
        <v>44889</v>
      </c>
      <c r="Y342" s="385">
        <f t="shared" si="132"/>
        <v>9.7839250446594068</v>
      </c>
      <c r="Z342" s="385">
        <f t="shared" si="133"/>
        <v>10.376670936612728</v>
      </c>
      <c r="AA342" s="386">
        <f t="shared" si="134"/>
        <v>12.275389039753676</v>
      </c>
      <c r="AB342" s="197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0.15467681692140084</v>
      </c>
      <c r="AD342" s="231">
        <f>(INDEX(Models!$BJ342:$BT342,,AH342)*(1-AF342)+INDEX(Models!$BJ342:$BT342,,AH342+1)*AF342-ERP_i)*AE342*Ramure*Pc/MaxiM</f>
        <v>3.1212519805841412E-2</v>
      </c>
      <c r="AE342" s="305">
        <f t="shared" si="136"/>
        <v>0.8</v>
      </c>
      <c r="AF342" s="177">
        <f t="shared" si="137"/>
        <v>0.79963689676355298</v>
      </c>
      <c r="AG342" s="809">
        <f t="shared" si="143"/>
        <v>1</v>
      </c>
      <c r="AH342" s="176">
        <f t="shared" si="138"/>
        <v>7</v>
      </c>
      <c r="AI342" s="225">
        <f t="shared" si="139"/>
        <v>1.799636896763553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44890</v>
      </c>
      <c r="B343" s="616">
        <v>4.9660000000000002</v>
      </c>
      <c r="C343" s="839"/>
      <c r="D343" s="393">
        <f t="shared" si="122"/>
        <v>5.2669837213907957</v>
      </c>
      <c r="E343" s="385">
        <f t="shared" si="120"/>
        <v>5.9795984947391512</v>
      </c>
      <c r="F343" s="385">
        <f t="shared" si="123"/>
        <v>5.9813368079670877</v>
      </c>
      <c r="G343" s="110">
        <f t="shared" si="121"/>
        <v>0.32069177639528496</v>
      </c>
      <c r="H343" s="414" t="b">
        <f>Wh_hp&gt;='2021'!Maxi_hp</f>
        <v>0</v>
      </c>
      <c r="I343" s="380">
        <f>IF(H343,Wh_hp,'2021'!Maxi_hp)</f>
        <v>17.941310299000229</v>
      </c>
      <c r="J343" s="85">
        <f>IF(H343,An,'2021'!An_max)</f>
        <v>2020</v>
      </c>
      <c r="K343" s="197">
        <f t="shared" si="124"/>
        <v>44890</v>
      </c>
      <c r="L343" s="147">
        <f>IF(t&lt;Tvie,1-EXP((T0-t)*PertePVj)+'2021'!Pspv,1-EXP((T0-t)*PertePVj)+Pspv)</f>
        <v>5.7145367692786025E-2</v>
      </c>
      <c r="M343" s="843"/>
      <c r="N343" s="843"/>
      <c r="O343" s="48">
        <f>IF(t&lt;Tnet,'2021'!Resal+('2021'!Salim-'2021'!Resal)*(1-EXP(('2021'!Tnet-t)/('2021'!Tau_j))),Resal+(Salim-Resal)*(1-EXP((Tnet-t)/(Tau_j))))*Salcycl</f>
        <v>0.11917435158486203</v>
      </c>
      <c r="P343" s="339">
        <f>(INDEX(Models!$BJ343:$BT343,,T343)*(1-R343)+INDEX(Models!$BJ343:$BT343,,T343+1)*R343-ERP_i)*Q343*Ramure*Pc/MaxiM</f>
        <v>8.6904493180592953E-3</v>
      </c>
      <c r="Q343" s="305">
        <f t="shared" si="125"/>
        <v>0.8</v>
      </c>
      <c r="R343" s="177">
        <f t="shared" si="126"/>
        <v>0.59894540450032629</v>
      </c>
      <c r="S343" s="809">
        <f t="shared" si="127"/>
        <v>0</v>
      </c>
      <c r="T343" s="176">
        <f t="shared" si="128"/>
        <v>6</v>
      </c>
      <c r="U343" s="251">
        <f t="shared" si="129"/>
        <v>0.59894540450032629</v>
      </c>
      <c r="V343" s="383">
        <f t="shared" si="130"/>
        <v>15.355162488864693</v>
      </c>
      <c r="W343" s="402"/>
      <c r="X343" s="157">
        <f t="shared" si="131"/>
        <v>44890</v>
      </c>
      <c r="Y343" s="385">
        <f t="shared" si="132"/>
        <v>4.7624665644644724</v>
      </c>
      <c r="Z343" s="385">
        <f t="shared" si="133"/>
        <v>5.0511143513295051</v>
      </c>
      <c r="AA343" s="386">
        <f t="shared" si="134"/>
        <v>5.9750797040321979</v>
      </c>
      <c r="AB343" s="197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0.15463648996668081</v>
      </c>
      <c r="AD343" s="231">
        <f>(INDEX(Models!$BJ343:$BT343,,AH343)*(1-AF343)+INDEX(Models!$BJ343:$BT343,,AH343+1)*AF343-ERP_i)*AE343*Ramure*Pc/MaxiM</f>
        <v>3.1281499645789176E-2</v>
      </c>
      <c r="AE343" s="305">
        <f t="shared" si="136"/>
        <v>0.8</v>
      </c>
      <c r="AF343" s="177">
        <f t="shared" si="137"/>
        <v>0.7996621516652298</v>
      </c>
      <c r="AG343" s="809">
        <f t="shared" si="143"/>
        <v>1</v>
      </c>
      <c r="AH343" s="176">
        <f t="shared" si="138"/>
        <v>7</v>
      </c>
      <c r="AI343" s="225">
        <f t="shared" si="139"/>
        <v>1.7996621516652298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44891</v>
      </c>
      <c r="B344" s="616">
        <v>9.5090000000000003</v>
      </c>
      <c r="C344" s="839"/>
      <c r="D344" s="393">
        <f t="shared" si="122"/>
        <v>10.085569845714804</v>
      </c>
      <c r="E344" s="385">
        <f t="shared" si="120"/>
        <v>11.450752827695281</v>
      </c>
      <c r="F344" s="385">
        <f t="shared" si="123"/>
        <v>11.497664839825743</v>
      </c>
      <c r="G344" s="110">
        <f t="shared" si="121"/>
        <v>0.62179116767955001</v>
      </c>
      <c r="H344" s="414" t="b">
        <f>Wh_hp&gt;='2021'!Maxi_hp</f>
        <v>0</v>
      </c>
      <c r="I344" s="380">
        <f>IF(H344,Wh_hp,'2021'!Maxi_hp)</f>
        <v>17.978894299225775</v>
      </c>
      <c r="J344" s="85">
        <f>IF(H344,An,'2021'!An_max)</f>
        <v>2020</v>
      </c>
      <c r="K344" s="197">
        <f t="shared" si="124"/>
        <v>44891</v>
      </c>
      <c r="L344" s="147">
        <f>IF(t&lt;Tvie,1-EXP((T0-t)*PertePVj)+'2021'!Pspv,1-EXP((T0-t)*PertePVj)+Pspv)</f>
        <v>5.7167800583898615E-2</v>
      </c>
      <c r="M344" s="843"/>
      <c r="N344" s="843"/>
      <c r="O344" s="48">
        <f>IF(t&lt;Tnet,'2021'!Resal+('2021'!Salim-'2021'!Resal)*(1-EXP(('2021'!Tnet-t)/('2021'!Tau_j))),Resal+(Salim-Resal)*(1-EXP((Tnet-t)/(Tau_j))))*Salcycl</f>
        <v>0.11922211600608355</v>
      </c>
      <c r="P344" s="339">
        <f>(INDEX(Models!$BJ344:$BT344,,T344)*(1-R344)+INDEX(Models!$BJ344:$BT344,,T344+1)*R344-ERP_i)*Q344*Ramure*Pc/MaxiM</f>
        <v>8.7947809903339991E-3</v>
      </c>
      <c r="Q344" s="305">
        <f t="shared" si="125"/>
        <v>0.8</v>
      </c>
      <c r="R344" s="177">
        <f t="shared" si="126"/>
        <v>0.59896964456440438</v>
      </c>
      <c r="S344" s="809">
        <f t="shared" si="127"/>
        <v>0</v>
      </c>
      <c r="T344" s="176">
        <f t="shared" si="128"/>
        <v>6</v>
      </c>
      <c r="U344" s="251">
        <f t="shared" si="129"/>
        <v>0.59896964456440438</v>
      </c>
      <c r="V344" s="383">
        <f t="shared" si="130"/>
        <v>15.220519757361648</v>
      </c>
      <c r="W344" s="402"/>
      <c r="X344" s="157">
        <f t="shared" si="131"/>
        <v>44891</v>
      </c>
      <c r="Y344" s="385">
        <f t="shared" si="132"/>
        <v>9.0313557610280242</v>
      </c>
      <c r="Z344" s="385">
        <f t="shared" si="133"/>
        <v>9.5789640687082684</v>
      </c>
      <c r="AA344" s="386">
        <f t="shared" si="134"/>
        <v>11.330672913321807</v>
      </c>
      <c r="AB344" s="197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0.15459883609860486</v>
      </c>
      <c r="AD344" s="231">
        <f>(INDEX(Models!$BJ344:$BT344,,AH344)*(1-AF344)+INDEX(Models!$BJ344:$BT344,,AH344+1)*AF344-ERP_i)*AE344*Ramure*Pc/MaxiM</f>
        <v>3.1306638834243755E-2</v>
      </c>
      <c r="AE344" s="305">
        <f t="shared" si="136"/>
        <v>0.8</v>
      </c>
      <c r="AF344" s="177">
        <f t="shared" si="137"/>
        <v>0.79968639172930778</v>
      </c>
      <c r="AG344" s="809">
        <f t="shared" si="143"/>
        <v>1</v>
      </c>
      <c r="AH344" s="176">
        <f t="shared" si="138"/>
        <v>7</v>
      </c>
      <c r="AI344" s="225">
        <f t="shared" si="139"/>
        <v>1.7996863917293078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44892</v>
      </c>
      <c r="B345" s="616">
        <v>10.718999999999999</v>
      </c>
      <c r="C345" s="839"/>
      <c r="D345" s="393">
        <f t="shared" si="122"/>
        <v>11.369207633023226</v>
      </c>
      <c r="E345" s="385">
        <f t="shared" si="120"/>
        <v>12.908871160350568</v>
      </c>
      <c r="F345" s="385">
        <f t="shared" si="123"/>
        <v>12.9764449417946</v>
      </c>
      <c r="G345" s="110">
        <f t="shared" si="121"/>
        <v>0.70763152796768447</v>
      </c>
      <c r="H345" s="414" t="b">
        <f>Wh_hp&gt;='2021'!Maxi_hp</f>
        <v>0</v>
      </c>
      <c r="I345" s="380">
        <f>IF(H345,Wh_hp,'2021'!Maxi_hp)</f>
        <v>16.263070033899286</v>
      </c>
      <c r="J345" s="85">
        <f>IF(H345,An,'2021'!An_max)</f>
        <v>2018</v>
      </c>
      <c r="K345" s="197">
        <f t="shared" si="124"/>
        <v>44892</v>
      </c>
      <c r="L345" s="147">
        <f>IF(t&lt;Tvie,1-EXP((T0-t)*PertePVj)+'2021'!Pspv,1-EXP((T0-t)*PertePVj)+Pspv)</f>
        <v>5.7190232952965131E-2</v>
      </c>
      <c r="M345" s="843"/>
      <c r="N345" s="843"/>
      <c r="O345" s="48">
        <f>IF(t&lt;Tnet,'2021'!Resal+('2021'!Salim-'2021'!Resal)*(1-EXP(('2021'!Tnet-t)/('2021'!Tau_j))),Resal+(Salim-Resal)*(1-EXP((Tnet-t)/(Tau_j))))*Salcycl</f>
        <v>0.11927174020114147</v>
      </c>
      <c r="P345" s="339">
        <f>(INDEX(Models!$BJ345:$BT345,,T345)*(1-R345)+INDEX(Models!$BJ345:$BT345,,T345+1)*R345-ERP_i)*Q345*Ramure*Pc/MaxiM</f>
        <v>8.8851381825643706E-3</v>
      </c>
      <c r="Q345" s="305">
        <f t="shared" si="125"/>
        <v>0.8</v>
      </c>
      <c r="R345" s="177">
        <f t="shared" si="126"/>
        <v>0.59899291049375702</v>
      </c>
      <c r="S345" s="809">
        <f t="shared" si="127"/>
        <v>0</v>
      </c>
      <c r="T345" s="176">
        <f t="shared" si="128"/>
        <v>6</v>
      </c>
      <c r="U345" s="251">
        <f t="shared" si="129"/>
        <v>0.59899291049375702</v>
      </c>
      <c r="V345" s="383">
        <f t="shared" si="130"/>
        <v>15.091713333228123</v>
      </c>
      <c r="W345" s="402"/>
      <c r="X345" s="157">
        <f t="shared" si="131"/>
        <v>44892</v>
      </c>
      <c r="Y345" s="385">
        <f t="shared" si="132"/>
        <v>10.153655215769842</v>
      </c>
      <c r="Z345" s="385">
        <f t="shared" si="133"/>
        <v>10.769569398471553</v>
      </c>
      <c r="AA345" s="386">
        <f t="shared" si="134"/>
        <v>12.738477937225658</v>
      </c>
      <c r="AB345" s="197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0.15456387713326128</v>
      </c>
      <c r="AD345" s="231">
        <f>(INDEX(Models!$BJ345:$BT345,,AH345)*(1-AF345)+INDEX(Models!$BJ345:$BT345,,AH345+1)*AF345-ERP_i)*AE345*Ramure*Pc/MaxiM</f>
        <v>3.1289794256034002E-2</v>
      </c>
      <c r="AE345" s="305">
        <f t="shared" si="136"/>
        <v>0.8</v>
      </c>
      <c r="AF345" s="177">
        <f t="shared" si="137"/>
        <v>0.79970965765866042</v>
      </c>
      <c r="AG345" s="809">
        <f t="shared" si="143"/>
        <v>1</v>
      </c>
      <c r="AH345" s="176">
        <f t="shared" si="138"/>
        <v>7</v>
      </c>
      <c r="AI345" s="225">
        <f t="shared" si="139"/>
        <v>1.7997096576586604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44893</v>
      </c>
      <c r="B346" s="616">
        <v>9.120000000000001</v>
      </c>
      <c r="C346" s="839"/>
      <c r="D346" s="393">
        <f t="shared" si="122"/>
        <v>9.6734434792394506</v>
      </c>
      <c r="E346" s="385">
        <f t="shared" si="120"/>
        <v>10.984102110398522</v>
      </c>
      <c r="F346" s="385">
        <f t="shared" si="123"/>
        <v>11.027756853466162</v>
      </c>
      <c r="G346" s="110">
        <f t="shared" si="121"/>
        <v>0.60624545627367465</v>
      </c>
      <c r="H346" s="414" t="b">
        <f>Wh_hp&gt;='2021'!Maxi_hp</f>
        <v>0</v>
      </c>
      <c r="I346" s="380">
        <f>IF(H346,Wh_hp,'2021'!Maxi_hp)</f>
        <v>12.704962668086491</v>
      </c>
      <c r="J346" s="85">
        <f>IF(H346,An,'2021'!An_max)</f>
        <v>2018</v>
      </c>
      <c r="K346" s="197">
        <f t="shared" si="124"/>
        <v>44893</v>
      </c>
      <c r="L346" s="147">
        <f>IF(t&lt;Tvie,1-EXP((T0-t)*PertePVj)+'2021'!Pspv,1-EXP((T0-t)*PertePVj)+Pspv)</f>
        <v>5.7212664799997676E-2</v>
      </c>
      <c r="M346" s="843"/>
      <c r="N346" s="843"/>
      <c r="O346" s="48">
        <f>IF(t&lt;Tnet,'2021'!Resal+('2021'!Salim-'2021'!Resal)*(1-EXP(('2021'!Tnet-t)/('2021'!Tau_j))),Resal+(Salim-Resal)*(1-EXP((Tnet-t)/(Tau_j))))*Salcycl</f>
        <v>0.11932323807498905</v>
      </c>
      <c r="P346" s="339">
        <f>(INDEX(Models!$BJ346:$BT346,,T346)*(1-R346)+INDEX(Models!$BJ346:$BT346,,T346+1)*R346-ERP_i)*Q346*Ramure*Pc/MaxiM</f>
        <v>8.9589346984923889E-3</v>
      </c>
      <c r="Q346" s="305">
        <f t="shared" si="125"/>
        <v>0.8</v>
      </c>
      <c r="R346" s="177">
        <f t="shared" si="126"/>
        <v>0.59901524136483875</v>
      </c>
      <c r="S346" s="809">
        <f t="shared" si="127"/>
        <v>0</v>
      </c>
      <c r="T346" s="176">
        <f t="shared" si="128"/>
        <v>6</v>
      </c>
      <c r="U346" s="251">
        <f t="shared" si="129"/>
        <v>0.59901524136483875</v>
      </c>
      <c r="V346" s="383">
        <f t="shared" si="130"/>
        <v>14.967891026128413</v>
      </c>
      <c r="W346" s="402"/>
      <c r="X346" s="157">
        <f t="shared" si="131"/>
        <v>44893</v>
      </c>
      <c r="Y346" s="385">
        <f t="shared" si="132"/>
        <v>8.6688790560636342</v>
      </c>
      <c r="Z346" s="385">
        <f t="shared" si="133"/>
        <v>9.1949464448677851</v>
      </c>
      <c r="AA346" s="386">
        <f t="shared" si="134"/>
        <v>10.875565210498106</v>
      </c>
      <c r="AB346" s="197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0.15453162507894597</v>
      </c>
      <c r="AD346" s="231">
        <f>(INDEX(Models!$BJ346:$BT346,,AH346)*(1-AF346)+INDEX(Models!$BJ346:$BT346,,AH346+1)*AF346-ERP_i)*AE346*Ramure*Pc/MaxiM</f>
        <v>3.1233146622682336E-2</v>
      </c>
      <c r="AE346" s="305">
        <f t="shared" si="136"/>
        <v>0.8</v>
      </c>
      <c r="AF346" s="177">
        <f t="shared" si="137"/>
        <v>0.79973198852974203</v>
      </c>
      <c r="AG346" s="809">
        <f t="shared" si="143"/>
        <v>1</v>
      </c>
      <c r="AH346" s="176">
        <f t="shared" si="138"/>
        <v>7</v>
      </c>
      <c r="AI346" s="225">
        <f t="shared" si="139"/>
        <v>1.799731988529742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44894</v>
      </c>
      <c r="B347" s="616">
        <v>12.168000000000001</v>
      </c>
      <c r="C347" s="839"/>
      <c r="D347" s="393">
        <f t="shared" si="122"/>
        <v>12.906717199576034</v>
      </c>
      <c r="E347" s="385">
        <f t="shared" si="120"/>
        <v>14.656341672390758</v>
      </c>
      <c r="F347" s="385">
        <f t="shared" si="123"/>
        <v>14.755076777402753</v>
      </c>
      <c r="G347" s="110">
        <f t="shared" si="121"/>
        <v>0.81750378159830017</v>
      </c>
      <c r="H347" s="414" t="b">
        <f>Wh_hp&gt;='2021'!Maxi_hp</f>
        <v>0</v>
      </c>
      <c r="I347" s="380">
        <f>IF(H347,Wh_hp,'2021'!Maxi_hp)</f>
        <v>18.062192612165116</v>
      </c>
      <c r="J347" s="85">
        <f>IF(H347,An,'2021'!An_max)</f>
        <v>2018</v>
      </c>
      <c r="K347" s="197">
        <f t="shared" si="124"/>
        <v>44894</v>
      </c>
      <c r="L347" s="147">
        <f>IF(t&lt;Tvie,1-EXP((T0-t)*PertePVj)+'2021'!Pspv,1-EXP((T0-t)*PertePVj)+Pspv)</f>
        <v>5.723509612500835E-2</v>
      </c>
      <c r="M347" s="843"/>
      <c r="N347" s="843"/>
      <c r="O347" s="48">
        <f>IF(t&lt;Tnet,'2021'!Resal+('2021'!Salim-'2021'!Resal)*(1-EXP(('2021'!Tnet-t)/('2021'!Tau_j))),Resal+(Salim-Resal)*(1-EXP((Tnet-t)/(Tau_j))))*Salcycl</f>
        <v>0.11937661606993115</v>
      </c>
      <c r="P347" s="339">
        <f>(INDEX(Models!$BJ347:$BT347,,T347)*(1-R347)+INDEX(Models!$BJ347:$BT347,,T347+1)*R347-ERP_i)*Q347*Ramure*Pc/MaxiM</f>
        <v>9.0179347440281568E-3</v>
      </c>
      <c r="Q347" s="305">
        <f t="shared" si="125"/>
        <v>0.8</v>
      </c>
      <c r="R347" s="177">
        <f t="shared" si="126"/>
        <v>0.59903667469219379</v>
      </c>
      <c r="S347" s="809">
        <f t="shared" si="127"/>
        <v>0</v>
      </c>
      <c r="T347" s="176">
        <f t="shared" si="128"/>
        <v>6</v>
      </c>
      <c r="U347" s="251">
        <f t="shared" si="129"/>
        <v>0.59903667469219379</v>
      </c>
      <c r="V347" s="383">
        <f t="shared" si="130"/>
        <v>14.849475642219691</v>
      </c>
      <c r="W347" s="402"/>
      <c r="X347" s="157">
        <f t="shared" si="131"/>
        <v>44894</v>
      </c>
      <c r="Y347" s="385">
        <f t="shared" si="132"/>
        <v>11.489476240421073</v>
      </c>
      <c r="Z347" s="385">
        <f t="shared" si="133"/>
        <v>12.187000378563678</v>
      </c>
      <c r="AA347" s="386">
        <f t="shared" si="134"/>
        <v>14.413992185172427</v>
      </c>
      <c r="AB347" s="197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0.15450208228221737</v>
      </c>
      <c r="AD347" s="231">
        <f>(INDEX(Models!$BJ347:$BT347,,AH347)*(1-AF347)+INDEX(Models!$BJ347:$BT347,,AH347+1)*AF347-ERP_i)*AE347*Ramure*Pc/MaxiM</f>
        <v>3.1152836618271045E-2</v>
      </c>
      <c r="AE347" s="305">
        <f t="shared" si="136"/>
        <v>0.8</v>
      </c>
      <c r="AF347" s="177">
        <f t="shared" si="137"/>
        <v>0.79975342185709719</v>
      </c>
      <c r="AG347" s="809">
        <f t="shared" si="143"/>
        <v>1</v>
      </c>
      <c r="AH347" s="176">
        <f t="shared" si="138"/>
        <v>7</v>
      </c>
      <c r="AI347" s="225">
        <f t="shared" si="139"/>
        <v>1.7997534218570972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44895</v>
      </c>
      <c r="B348" s="616">
        <v>3.645</v>
      </c>
      <c r="C348" s="839"/>
      <c r="D348" s="393">
        <f t="shared" si="122"/>
        <v>3.8663793179090771</v>
      </c>
      <c r="E348" s="385">
        <f t="shared" si="120"/>
        <v>4.3907781813479971</v>
      </c>
      <c r="F348" s="385">
        <f t="shared" si="123"/>
        <v>4.3907781813479971</v>
      </c>
      <c r="G348" s="110">
        <f t="shared" si="121"/>
        <v>0.24509661195742624</v>
      </c>
      <c r="H348" s="414" t="b">
        <f>Wh_hp&gt;='2021'!Maxi_hp</f>
        <v>0</v>
      </c>
      <c r="I348" s="380">
        <f>IF(H348,Wh_hp,'2021'!Maxi_hp)</f>
        <v>16.943177507664462</v>
      </c>
      <c r="J348" s="85">
        <f>IF(H348,An,'2021'!An_max)</f>
        <v>2021</v>
      </c>
      <c r="K348" s="197">
        <f t="shared" si="124"/>
        <v>44895</v>
      </c>
      <c r="L348" s="147">
        <f>IF(t&lt;Tvie,1-EXP((T0-t)*PertePVj)+'2021'!Pspv,1-EXP((T0-t)*PertePVj)+Pspv)</f>
        <v>5.7257526928009256E-2</v>
      </c>
      <c r="M348" s="843"/>
      <c r="N348" s="843"/>
      <c r="O348" s="48">
        <f>IF(t&lt;Tnet,'2021'!Resal+('2021'!Salim-'2021'!Resal)*(1-EXP(('2021'!Tnet-t)/('2021'!Tau_j))),Resal+(Salim-Resal)*(1-EXP((Tnet-t)/(Tau_j))))*Salcycl</f>
        <v>0.11943187329903465</v>
      </c>
      <c r="P348" s="339">
        <f>(INDEX(Models!$BJ348:$BT348,,T348)*(1-R348)+INDEX(Models!$BJ348:$BT348,,T348+1)*R348-ERP_i)*Q348*Ramure*Pc/MaxiM</f>
        <v>9.0616890502238385E-3</v>
      </c>
      <c r="Q348" s="305">
        <f t="shared" si="125"/>
        <v>0.8</v>
      </c>
      <c r="R348" s="177">
        <f t="shared" si="126"/>
        <v>0.59905724649044467</v>
      </c>
      <c r="S348" s="809">
        <f t="shared" si="127"/>
        <v>0</v>
      </c>
      <c r="T348" s="176">
        <f t="shared" si="128"/>
        <v>6</v>
      </c>
      <c r="U348" s="251">
        <f t="shared" si="129"/>
        <v>0.59905724649044467</v>
      </c>
      <c r="V348" s="383">
        <f t="shared" si="130"/>
        <v>14.736924001378446</v>
      </c>
      <c r="W348" s="402"/>
      <c r="X348" s="157">
        <f t="shared" si="131"/>
        <v>44895</v>
      </c>
      <c r="Y348" s="385">
        <f t="shared" si="132"/>
        <v>3.4999424244442392</v>
      </c>
      <c r="Z348" s="385">
        <f t="shared" si="133"/>
        <v>3.7125116608350504</v>
      </c>
      <c r="AA348" s="386">
        <f t="shared" si="134"/>
        <v>4.3907781813479971</v>
      </c>
      <c r="AB348" s="197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0.15447524163124868</v>
      </c>
      <c r="AD348" s="231">
        <f>(INDEX(Models!$BJ348:$BT348,,AH348)*(1-AF348)+INDEX(Models!$BJ348:$BT348,,AH348+1)*AF348-ERP_i)*AE348*Ramure*Pc/MaxiM</f>
        <v>3.1047665839326315E-2</v>
      </c>
      <c r="AE348" s="305">
        <f t="shared" si="136"/>
        <v>0.8</v>
      </c>
      <c r="AF348" s="177">
        <f t="shared" si="137"/>
        <v>0.79977399365534807</v>
      </c>
      <c r="AG348" s="809">
        <f t="shared" si="143"/>
        <v>1</v>
      </c>
      <c r="AH348" s="176">
        <f t="shared" si="138"/>
        <v>7</v>
      </c>
      <c r="AI348" s="225">
        <f t="shared" si="139"/>
        <v>1.7997739936553481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44896</v>
      </c>
      <c r="B349" s="616">
        <v>3.2640000000000002</v>
      </c>
      <c r="C349" s="839"/>
      <c r="D349" s="393">
        <f t="shared" si="122"/>
        <v>3.4623216351025108</v>
      </c>
      <c r="E349" s="385">
        <f t="shared" si="120"/>
        <v>3.9321730698172681</v>
      </c>
      <c r="F349" s="385">
        <f t="shared" si="123"/>
        <v>3.9321730698172681</v>
      </c>
      <c r="G349" s="110">
        <f t="shared" si="121"/>
        <v>0.22106478840188895</v>
      </c>
      <c r="H349" s="414" t="b">
        <f>Wh_hp&gt;='2021'!Maxi_hp</f>
        <v>0</v>
      </c>
      <c r="I349" s="380">
        <f>IF(H349,Wh_hp,'2021'!Maxi_hp)</f>
        <v>17.003353982063814</v>
      </c>
      <c r="J349" s="85">
        <f>IF(H349,An,'2021'!An_max)</f>
        <v>2020</v>
      </c>
      <c r="K349" s="197">
        <f t="shared" si="124"/>
        <v>44896</v>
      </c>
      <c r="L349" s="147">
        <f>IF(t&lt;Tvie,1-EXP((T0-t)*PertePVj)+'2021'!Pspv,1-EXP((T0-t)*PertePVj)+Pspv)</f>
        <v>5.7279957209012716E-2</v>
      </c>
      <c r="M349" s="843"/>
      <c r="N349" s="843"/>
      <c r="O349" s="48">
        <f>IF(t&lt;Tnet,'2021'!Resal+('2021'!Salim-'2021'!Resal)*(1-EXP(('2021'!Tnet-t)/('2021'!Tau_j))),Resal+(Salim-Resal)*(1-EXP((Tnet-t)/(Tau_j))))*Salcycl</f>
        <v>0.11948900172305783</v>
      </c>
      <c r="P349" s="339">
        <f>(INDEX(Models!$BJ349:$BT349,,T349)*(1-R349)+INDEX(Models!$BJ349:$BT349,,T349+1)*R349-ERP_i)*Q349*Ramure*Pc/MaxiM</f>
        <v>9.0897383333176859E-3</v>
      </c>
      <c r="Q349" s="305">
        <f t="shared" si="125"/>
        <v>0.8</v>
      </c>
      <c r="R349" s="177">
        <f t="shared" si="126"/>
        <v>0.59907699133385528</v>
      </c>
      <c r="S349" s="809">
        <f t="shared" si="127"/>
        <v>0</v>
      </c>
      <c r="T349" s="176">
        <f t="shared" si="128"/>
        <v>6</v>
      </c>
      <c r="U349" s="251">
        <f t="shared" si="129"/>
        <v>0.59907699133385528</v>
      </c>
      <c r="V349" s="383">
        <f t="shared" si="130"/>
        <v>14.630693189365541</v>
      </c>
      <c r="W349" s="402"/>
      <c r="X349" s="157">
        <f t="shared" si="131"/>
        <v>44896</v>
      </c>
      <c r="Y349" s="385">
        <f t="shared" si="132"/>
        <v>3.1343977054669621</v>
      </c>
      <c r="Z349" s="385">
        <f t="shared" si="133"/>
        <v>3.3248446656415225</v>
      </c>
      <c r="AA349" s="386">
        <f t="shared" si="134"/>
        <v>3.9321730698172681</v>
      </c>
      <c r="AB349" s="197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0.15445108681443881</v>
      </c>
      <c r="AD349" s="231">
        <f>(INDEX(Models!$BJ349:$BT349,,AH349)*(1-AF349)+INDEX(Models!$BJ349:$BT349,,AH349+1)*AF349-ERP_i)*AE349*Ramure*Pc/MaxiM</f>
        <v>3.0916416590884597E-2</v>
      </c>
      <c r="AE349" s="305">
        <f t="shared" si="136"/>
        <v>0.8</v>
      </c>
      <c r="AF349" s="177">
        <f t="shared" si="137"/>
        <v>0.79979373849875879</v>
      </c>
      <c r="AG349" s="809">
        <f t="shared" si="143"/>
        <v>1</v>
      </c>
      <c r="AH349" s="176">
        <f t="shared" si="138"/>
        <v>7</v>
      </c>
      <c r="AI349" s="225">
        <f t="shared" si="139"/>
        <v>1.7997937384987588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44897</v>
      </c>
      <c r="B350" s="616">
        <v>5.45</v>
      </c>
      <c r="C350" s="839"/>
      <c r="D350" s="393">
        <f t="shared" si="122"/>
        <v>5.7812812132528189</v>
      </c>
      <c r="E350" s="385">
        <f t="shared" si="120"/>
        <v>6.5662649681631979</v>
      </c>
      <c r="F350" s="385">
        <f t="shared" si="123"/>
        <v>6.5726790864302416</v>
      </c>
      <c r="G350" s="110">
        <f t="shared" si="121"/>
        <v>0.37200343829547905</v>
      </c>
      <c r="H350" s="414" t="b">
        <f>Wh_hp&gt;='2021'!Maxi_hp</f>
        <v>0</v>
      </c>
      <c r="I350" s="380">
        <f>IF(H350,Wh_hp,'2021'!Maxi_hp)</f>
        <v>9.0516021673760747</v>
      </c>
      <c r="J350" s="85">
        <f>IF(H350,An,'2021'!An_max)</f>
        <v>2021</v>
      </c>
      <c r="K350" s="197">
        <f t="shared" si="124"/>
        <v>44897</v>
      </c>
      <c r="L350" s="147">
        <f>IF(t&lt;Tvie,1-EXP((T0-t)*PertePVj)+'2021'!Pspv,1-EXP((T0-t)*PertePVj)+Pspv)</f>
        <v>5.7302386968030722E-2</v>
      </c>
      <c r="M350" s="843"/>
      <c r="N350" s="843"/>
      <c r="O350" s="48">
        <f>IF(t&lt;Tnet,'2021'!Resal+('2021'!Salim-'2021'!Resal)*(1-EXP(('2021'!Tnet-t)/('2021'!Tau_j))),Resal+(Salim-Resal)*(1-EXP((Tnet-t)/(Tau_j))))*Salcycl</f>
        <v>0.11954798636917703</v>
      </c>
      <c r="P350" s="339">
        <f>(INDEX(Models!$BJ350:$BT350,,T350)*(1-R350)+INDEX(Models!$BJ350:$BT350,,T350+1)*R350-ERP_i)*Q350*Ramure*Pc/MaxiM</f>
        <v>9.1016197072703829E-3</v>
      </c>
      <c r="Q350" s="305">
        <f t="shared" si="125"/>
        <v>0.8</v>
      </c>
      <c r="R350" s="177">
        <f t="shared" si="126"/>
        <v>0.59909594241356157</v>
      </c>
      <c r="S350" s="809">
        <f t="shared" si="127"/>
        <v>0</v>
      </c>
      <c r="T350" s="176">
        <f t="shared" si="128"/>
        <v>6</v>
      </c>
      <c r="U350" s="251">
        <f t="shared" si="129"/>
        <v>0.59909594241356157</v>
      </c>
      <c r="V350" s="383">
        <f t="shared" si="130"/>
        <v>14.531240520629769</v>
      </c>
      <c r="W350" s="402"/>
      <c r="X350" s="157">
        <f t="shared" si="131"/>
        <v>44897</v>
      </c>
      <c r="Y350" s="385">
        <f t="shared" si="132"/>
        <v>5.2219174538120168</v>
      </c>
      <c r="Z350" s="385">
        <f t="shared" si="133"/>
        <v>5.5393345454826433</v>
      </c>
      <c r="AA350" s="386">
        <f t="shared" si="134"/>
        <v>6.5510033194322919</v>
      </c>
      <c r="AB350" s="197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0.15442959263182282</v>
      </c>
      <c r="AD350" s="231">
        <f>(INDEX(Models!$BJ350:$BT350,,AH350)*(1-AF350)+INDEX(Models!$BJ350:$BT350,,AH350+1)*AF350-ERP_i)*AE350*Ramure*Pc/MaxiM</f>
        <v>3.0757865674598456E-2</v>
      </c>
      <c r="AE350" s="305">
        <f t="shared" si="136"/>
        <v>0.8</v>
      </c>
      <c r="AF350" s="177">
        <f t="shared" si="137"/>
        <v>0.79981268957846496</v>
      </c>
      <c r="AG350" s="809">
        <f t="shared" si="143"/>
        <v>1</v>
      </c>
      <c r="AH350" s="176">
        <f t="shared" si="138"/>
        <v>7</v>
      </c>
      <c r="AI350" s="225">
        <f t="shared" si="139"/>
        <v>1.799812689578465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44898</v>
      </c>
      <c r="B351" s="616">
        <v>6.1210000000000004</v>
      </c>
      <c r="C351" s="839"/>
      <c r="D351" s="393">
        <f t="shared" si="122"/>
        <v>6.4932228038068311</v>
      </c>
      <c r="E351" s="385">
        <f t="shared" si="120"/>
        <v>7.3753836306306724</v>
      </c>
      <c r="F351" s="385">
        <f t="shared" si="123"/>
        <v>7.3872802161937825</v>
      </c>
      <c r="G351" s="110">
        <f t="shared" si="121"/>
        <v>0.42074184996190878</v>
      </c>
      <c r="H351" s="414" t="b">
        <f>Wh_hp&gt;='2021'!Maxi_hp</f>
        <v>0</v>
      </c>
      <c r="I351" s="380">
        <f>IF(H351,Wh_hp,'2021'!Maxi_hp)</f>
        <v>12.664538267846305</v>
      </c>
      <c r="J351" s="85">
        <f>IF(H351,An,'2021'!An_max)</f>
        <v>2021</v>
      </c>
      <c r="K351" s="197">
        <f t="shared" si="124"/>
        <v>44898</v>
      </c>
      <c r="L351" s="147">
        <f>IF(t&lt;Tvie,1-EXP((T0-t)*PertePVj)+'2021'!Pspv,1-EXP((T0-t)*PertePVj)+Pspv)</f>
        <v>5.7324816205075374E-2</v>
      </c>
      <c r="M351" s="843"/>
      <c r="N351" s="843"/>
      <c r="O351" s="48">
        <f>IF(t&lt;Tnet,'2021'!Resal+('2021'!Salim-'2021'!Resal)*(1-EXP(('2021'!Tnet-t)/('2021'!Tau_j))),Resal+(Salim-Resal)*(1-EXP((Tnet-t)/(Tau_j))))*Salcycl</f>
        <v>0.11960880558946695</v>
      </c>
      <c r="P351" s="339">
        <f>(INDEX(Models!$BJ351:$BT351,,T351)*(1-R351)+INDEX(Models!$BJ351:$BT351,,T351+1)*R351-ERP_i)*Q351*Ramure*Pc/MaxiM</f>
        <v>9.0968738904459948E-3</v>
      </c>
      <c r="Q351" s="305">
        <f t="shared" si="125"/>
        <v>0.8</v>
      </c>
      <c r="R351" s="177">
        <f t="shared" si="126"/>
        <v>0.59911413159255666</v>
      </c>
      <c r="S351" s="809">
        <f t="shared" si="127"/>
        <v>0</v>
      </c>
      <c r="T351" s="176">
        <f t="shared" si="128"/>
        <v>6</v>
      </c>
      <c r="U351" s="251">
        <f t="shared" si="129"/>
        <v>0.59911413159255666</v>
      </c>
      <c r="V351" s="383">
        <f t="shared" si="130"/>
        <v>14.439023522199053</v>
      </c>
      <c r="W351" s="402"/>
      <c r="X351" s="157">
        <f t="shared" si="131"/>
        <v>44898</v>
      </c>
      <c r="Y351" s="385">
        <f t="shared" si="132"/>
        <v>5.8566511697706174</v>
      </c>
      <c r="Z351" s="385">
        <f t="shared" si="133"/>
        <v>6.2127987141801215</v>
      </c>
      <c r="AA351" s="386">
        <f t="shared" si="134"/>
        <v>7.3473007528375209</v>
      </c>
      <c r="AB351" s="197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0.15441072535641823</v>
      </c>
      <c r="AD351" s="231">
        <f>(INDEX(Models!$BJ351:$BT351,,AH351)*(1-AF351)+INDEX(Models!$BJ351:$BT351,,AH351+1)*AF351-ERP_i)*AE351*Ramure*Pc/MaxiM</f>
        <v>3.057079986776708E-2</v>
      </c>
      <c r="AE351" s="305">
        <f t="shared" si="136"/>
        <v>0.8</v>
      </c>
      <c r="AF351" s="177">
        <f t="shared" si="137"/>
        <v>0.79983087875746017</v>
      </c>
      <c r="AG351" s="809">
        <f t="shared" si="143"/>
        <v>1</v>
      </c>
      <c r="AH351" s="176">
        <f t="shared" si="138"/>
        <v>7</v>
      </c>
      <c r="AI351" s="225">
        <f t="shared" si="139"/>
        <v>1.7998308787574602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44899</v>
      </c>
      <c r="B352" s="616">
        <v>11.936</v>
      </c>
      <c r="C352" s="839"/>
      <c r="D352" s="393">
        <f t="shared" si="122"/>
        <v>12.662138773454327</v>
      </c>
      <c r="E352" s="385">
        <f t="shared" si="120"/>
        <v>14.383423672106392</v>
      </c>
      <c r="F352" s="385">
        <f t="shared" si="123"/>
        <v>14.483247185091793</v>
      </c>
      <c r="G352" s="110">
        <f t="shared" si="121"/>
        <v>0.82968869908091802</v>
      </c>
      <c r="H352" s="414" t="b">
        <f>Wh_hp&gt;='2021'!Maxi_hp</f>
        <v>1</v>
      </c>
      <c r="I352" s="380">
        <f>IF(H352,Wh_hp,'2021'!Maxi_hp)</f>
        <v>14.483247185091793</v>
      </c>
      <c r="J352" s="85">
        <f>IF(H352,An,'2021'!An_max)</f>
        <v>2022</v>
      </c>
      <c r="K352" s="197">
        <f t="shared" si="124"/>
        <v>44899</v>
      </c>
      <c r="L352" s="147">
        <f>IF(t&lt;Tvie,1-EXP((T0-t)*PertePVj)+'2021'!Pspv,1-EXP((T0-t)*PertePVj)+Pspv)</f>
        <v>5.7347244920158996E-2</v>
      </c>
      <c r="M352" s="843"/>
      <c r="N352" s="843"/>
      <c r="O352" s="48">
        <f>IF(t&lt;Tnet,'2021'!Resal+('2021'!Salim-'2021'!Resal)*(1-EXP(('2021'!Tnet-t)/('2021'!Tau_j))),Resal+(Salim-Resal)*(1-EXP((Tnet-t)/(Tau_j))))*Salcycl</f>
        <v>0.119671431356787</v>
      </c>
      <c r="P352" s="339">
        <f>(INDEX(Models!$BJ352:$BT352,,T352)*(1-R352)+INDEX(Models!$BJ352:$BT352,,T352+1)*R352-ERP_i)*Q352*Ramure*Pc/MaxiM</f>
        <v>9.0770973914662823E-3</v>
      </c>
      <c r="Q352" s="305">
        <f t="shared" si="125"/>
        <v>0.8</v>
      </c>
      <c r="R352" s="177">
        <f t="shared" si="126"/>
        <v>0.59913158945851863</v>
      </c>
      <c r="S352" s="809">
        <f t="shared" si="127"/>
        <v>0</v>
      </c>
      <c r="T352" s="176">
        <f t="shared" si="128"/>
        <v>6</v>
      </c>
      <c r="U352" s="251">
        <f t="shared" si="129"/>
        <v>0.59913158945851863</v>
      </c>
      <c r="V352" s="383">
        <f t="shared" si="130"/>
        <v>14.354470307787455</v>
      </c>
      <c r="W352" s="402"/>
      <c r="X352" s="157">
        <f t="shared" si="131"/>
        <v>44899</v>
      </c>
      <c r="Y352" s="385">
        <f t="shared" si="132"/>
        <v>11.278613810113416</v>
      </c>
      <c r="Z352" s="385">
        <f t="shared" si="133"/>
        <v>11.964759822038751</v>
      </c>
      <c r="AA352" s="386">
        <f t="shared" si="134"/>
        <v>14.149339162930541</v>
      </c>
      <c r="AB352" s="197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0.15439444314227121</v>
      </c>
      <c r="AD352" s="231">
        <f>(INDEX(Models!$BJ352:$BT352,,AH352)*(1-AF352)+INDEX(Models!$BJ352:$BT352,,AH352+1)*AF352-ERP_i)*AE352*Ramure*Pc/MaxiM</f>
        <v>3.0362742667579989E-2</v>
      </c>
      <c r="AE352" s="305">
        <f t="shared" si="136"/>
        <v>0.8</v>
      </c>
      <c r="AF352" s="177">
        <f t="shared" si="137"/>
        <v>0.79984833662342192</v>
      </c>
      <c r="AG352" s="809">
        <f t="shared" si="143"/>
        <v>1</v>
      </c>
      <c r="AH352" s="176">
        <f t="shared" si="138"/>
        <v>7</v>
      </c>
      <c r="AI352" s="225">
        <f t="shared" si="139"/>
        <v>1.7998483366234219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44900</v>
      </c>
      <c r="B353" s="616">
        <v>14.934000000000001</v>
      </c>
      <c r="C353" s="839"/>
      <c r="D353" s="393">
        <f t="shared" si="122"/>
        <v>15.842902115534102</v>
      </c>
      <c r="E353" s="385">
        <f t="shared" si="120"/>
        <v>17.997895004919933</v>
      </c>
      <c r="F353" s="385">
        <f t="shared" si="123"/>
        <v>18.162323905204573</v>
      </c>
      <c r="G353" s="110">
        <f t="shared" si="121"/>
        <v>1.0459540036296504</v>
      </c>
      <c r="H353" s="414" t="b">
        <f>Wh_hp&gt;='2021'!Maxi_hp</f>
        <v>1</v>
      </c>
      <c r="I353" s="380">
        <f>IF(H353,Wh_hp,'2021'!Maxi_hp)</f>
        <v>18.162323905204573</v>
      </c>
      <c r="J353" s="85">
        <f>IF(H353,An,'2021'!An_max)</f>
        <v>2022</v>
      </c>
      <c r="K353" s="197">
        <f t="shared" si="124"/>
        <v>44900</v>
      </c>
      <c r="L353" s="147">
        <f>IF(t&lt;Tvie,1-EXP((T0-t)*PertePVj)+'2021'!Pspv,1-EXP((T0-t)*PertePVj)+Pspv)</f>
        <v>5.736967311329369E-2</v>
      </c>
      <c r="M353" s="843"/>
      <c r="N353" s="843"/>
      <c r="O353" s="48">
        <f>IF(t&lt;Tnet,'2021'!Resal+('2021'!Salim-'2021'!Resal)*(1-EXP(('2021'!Tnet-t)/('2021'!Tau_j))),Resal+(Salim-Resal)*(1-EXP((Tnet-t)/(Tau_j))))*Salcycl</f>
        <v>0.11973582959544644</v>
      </c>
      <c r="P353" s="339">
        <f>(INDEX(Models!$BJ353:$BT353,,T353)*(1-R353)+INDEX(Models!$BJ353:$BT353,,T353+1)*R353-ERP_i)*Q353*Ramure*Pc/MaxiM</f>
        <v>9.0532963261118014E-3</v>
      </c>
      <c r="Q353" s="305">
        <f t="shared" si="125"/>
        <v>0.8</v>
      </c>
      <c r="R353" s="177">
        <f t="shared" si="126"/>
        <v>0.59914834537456141</v>
      </c>
      <c r="S353" s="809">
        <f t="shared" si="127"/>
        <v>0</v>
      </c>
      <c r="T353" s="176">
        <f t="shared" si="128"/>
        <v>6</v>
      </c>
      <c r="U353" s="251">
        <f t="shared" si="129"/>
        <v>0.59914834537456141</v>
      </c>
      <c r="V353" s="383">
        <f t="shared" si="130"/>
        <v>14.277874503253786</v>
      </c>
      <c r="W353" s="402"/>
      <c r="X353" s="157">
        <f t="shared" si="131"/>
        <v>44900</v>
      </c>
      <c r="Y353" s="385">
        <f t="shared" si="132"/>
        <v>14.040764916712769</v>
      </c>
      <c r="Z353" s="385">
        <f t="shared" si="133"/>
        <v>14.895303616091182</v>
      </c>
      <c r="AA353" s="386">
        <f t="shared" si="134"/>
        <v>17.614668390386115</v>
      </c>
      <c r="AB353" s="197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0.15438069647562208</v>
      </c>
      <c r="AD353" s="231">
        <f>(INDEX(Models!$BJ353:$BT353,,AH353)*(1-AF353)+INDEX(Models!$BJ353:$BT353,,AH353+1)*AF353-ERP_i)*AE353*Ramure*Pc/MaxiM</f>
        <v>3.015338332676271E-2</v>
      </c>
      <c r="AE353" s="305">
        <f t="shared" si="136"/>
        <v>0.8</v>
      </c>
      <c r="AF353" s="177">
        <f t="shared" si="137"/>
        <v>0.79986509253946481</v>
      </c>
      <c r="AG353" s="809">
        <f t="shared" si="143"/>
        <v>1</v>
      </c>
      <c r="AH353" s="176">
        <f t="shared" si="138"/>
        <v>7</v>
      </c>
      <c r="AI353" s="225">
        <f t="shared" si="139"/>
        <v>1.7998650925394648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44901</v>
      </c>
      <c r="B354" s="616">
        <v>8.322000000000001</v>
      </c>
      <c r="C354" s="839"/>
      <c r="D354" s="393">
        <f t="shared" si="122"/>
        <v>8.8286974965158258</v>
      </c>
      <c r="E354" s="385">
        <f t="shared" si="120"/>
        <v>10.030353512227727</v>
      </c>
      <c r="F354" s="385">
        <f t="shared" si="123"/>
        <v>10.067431625195068</v>
      </c>
      <c r="G354" s="110">
        <f t="shared" si="121"/>
        <v>0.58251620716091768</v>
      </c>
      <c r="H354" s="414" t="b">
        <f>Wh_hp&gt;='2021'!Maxi_hp</f>
        <v>0</v>
      </c>
      <c r="I354" s="380">
        <f>IF(H354,Wh_hp,'2021'!Maxi_hp)</f>
        <v>13.343805020579753</v>
      </c>
      <c r="J354" s="85">
        <f>IF(H354,An,'2021'!An_max)</f>
        <v>2020</v>
      </c>
      <c r="K354" s="197">
        <f t="shared" si="124"/>
        <v>44901</v>
      </c>
      <c r="L354" s="147">
        <f>IF(t&lt;Tvie,1-EXP((T0-t)*PertePVj)+'2021'!Pspv,1-EXP((T0-t)*PertePVj)+Pspv)</f>
        <v>5.7392100784491556E-2</v>
      </c>
      <c r="M354" s="843"/>
      <c r="N354" s="843"/>
      <c r="O354" s="48">
        <f>IF(t&lt;Tnet,'2021'!Resal+('2021'!Salim-'2021'!Resal)*(1-EXP(('2021'!Tnet-t)/('2021'!Tau_j))),Resal+(Salim-Resal)*(1-EXP((Tnet-t)/(Tau_j))))*Salcycl</f>
        <v>0.11980196054376306</v>
      </c>
      <c r="P354" s="339">
        <f>(INDEX(Models!$BJ354:$BT354,,T354)*(1-R354)+INDEX(Models!$BJ354:$BT354,,T354+1)*R354-ERP_i)*Q354*Ramure*Pc/MaxiM</f>
        <v>9.0251195960266723E-3</v>
      </c>
      <c r="Q354" s="305">
        <f t="shared" si="125"/>
        <v>0.8</v>
      </c>
      <c r="R354" s="177">
        <f t="shared" si="126"/>
        <v>0.59916442752798893</v>
      </c>
      <c r="S354" s="809">
        <f t="shared" si="127"/>
        <v>0</v>
      </c>
      <c r="T354" s="176">
        <f t="shared" si="128"/>
        <v>6</v>
      </c>
      <c r="U354" s="251">
        <f t="shared" si="129"/>
        <v>0.59916442752798893</v>
      </c>
      <c r="V354" s="383">
        <f t="shared" si="130"/>
        <v>14.209696214397308</v>
      </c>
      <c r="W354" s="402"/>
      <c r="X354" s="157">
        <f t="shared" si="131"/>
        <v>44901</v>
      </c>
      <c r="Y354" s="385">
        <f t="shared" si="132"/>
        <v>7.9266788513328539</v>
      </c>
      <c r="Z354" s="385">
        <f t="shared" si="133"/>
        <v>8.409306624663218</v>
      </c>
      <c r="AA354" s="386">
        <f t="shared" si="134"/>
        <v>9.9444212516943136</v>
      </c>
      <c r="AB354" s="197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0.15436942866529765</v>
      </c>
      <c r="AD354" s="231">
        <f>(INDEX(Models!$BJ354:$BT354,,AH354)*(1-AF354)+INDEX(Models!$BJ354:$BT354,,AH354+1)*AF354-ERP_i)*AE354*Ramure*Pc/MaxiM</f>
        <v>2.9941743080994156E-2</v>
      </c>
      <c r="AE354" s="305">
        <f t="shared" si="136"/>
        <v>0.8</v>
      </c>
      <c r="AF354" s="177">
        <f t="shared" si="137"/>
        <v>0.79988117469289222</v>
      </c>
      <c r="AG354" s="809">
        <f t="shared" si="143"/>
        <v>1</v>
      </c>
      <c r="AH354" s="176">
        <f t="shared" si="138"/>
        <v>7</v>
      </c>
      <c r="AI354" s="225">
        <f t="shared" si="139"/>
        <v>1.7998811746928922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44902</v>
      </c>
      <c r="B355" s="616">
        <v>13.284000000000001</v>
      </c>
      <c r="C355" s="839"/>
      <c r="D355" s="393">
        <f t="shared" si="122"/>
        <v>14.093151649027895</v>
      </c>
      <c r="E355" s="385">
        <f t="shared" si="120"/>
        <v>16.01257554290493</v>
      </c>
      <c r="F355" s="385">
        <f t="shared" si="123"/>
        <v>16.145056868445899</v>
      </c>
      <c r="G355" s="110">
        <f t="shared" si="121"/>
        <v>0.93802786882841083</v>
      </c>
      <c r="H355" s="414" t="b">
        <f>Wh_hp&gt;='2021'!Maxi_hp</f>
        <v>1</v>
      </c>
      <c r="I355" s="380">
        <f>IF(H355,Wh_hp,'2021'!Maxi_hp)</f>
        <v>16.145056868445899</v>
      </c>
      <c r="J355" s="85">
        <f>IF(H355,An,'2021'!An_max)</f>
        <v>2022</v>
      </c>
      <c r="K355" s="197">
        <f t="shared" si="124"/>
        <v>44902</v>
      </c>
      <c r="L355" s="147">
        <f>IF(t&lt;Tvie,1-EXP((T0-t)*PertePVj)+'2021'!Pspv,1-EXP((T0-t)*PertePVj)+Pspv)</f>
        <v>5.7414527933764697E-2</v>
      </c>
      <c r="M355" s="843"/>
      <c r="N355" s="843"/>
      <c r="O355" s="48">
        <f>IF(t&lt;Tnet,'2021'!Resal+('2021'!Salim-'2021'!Resal)*(1-EXP(('2021'!Tnet-t)/('2021'!Tau_j))),Resal+(Salim-Resal)*(1-EXP((Tnet-t)/(Tau_j))))*Salcycl</f>
        <v>0.11986977914539922</v>
      </c>
      <c r="P355" s="339">
        <f>(INDEX(Models!$BJ355:$BT355,,T355)*(1-R355)+INDEX(Models!$BJ355:$BT355,,T355+1)*R355-ERP_i)*Q355*Ramure*Pc/MaxiM</f>
        <v>8.9922218924350285E-3</v>
      </c>
      <c r="Q355" s="305">
        <f t="shared" si="125"/>
        <v>0.8</v>
      </c>
      <c r="R355" s="177">
        <f t="shared" si="126"/>
        <v>0.59917986297713099</v>
      </c>
      <c r="S355" s="809">
        <f t="shared" si="127"/>
        <v>0</v>
      </c>
      <c r="T355" s="176">
        <f t="shared" si="128"/>
        <v>6</v>
      </c>
      <c r="U355" s="251">
        <f t="shared" si="129"/>
        <v>0.59917986297713099</v>
      </c>
      <c r="V355" s="383">
        <f t="shared" si="130"/>
        <v>14.1503954216768</v>
      </c>
      <c r="W355" s="402"/>
      <c r="X355" s="157">
        <f t="shared" si="131"/>
        <v>44902</v>
      </c>
      <c r="Y355" s="385">
        <f t="shared" si="132"/>
        <v>12.519927807429129</v>
      </c>
      <c r="Z355" s="385">
        <f t="shared" si="133"/>
        <v>13.282538484265283</v>
      </c>
      <c r="AA355" s="386">
        <f t="shared" si="134"/>
        <v>15.707094670704523</v>
      </c>
      <c r="AB355" s="197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0.15436057636816228</v>
      </c>
      <c r="AD355" s="231">
        <f>(INDEX(Models!$BJ355:$BT355,,AH355)*(1-AF355)+INDEX(Models!$BJ355:$BT355,,AH355+1)*AF355-ERP_i)*AE355*Ramure*Pc/MaxiM</f>
        <v>2.9726855815396105E-2</v>
      </c>
      <c r="AE355" s="305">
        <f t="shared" si="136"/>
        <v>0.8</v>
      </c>
      <c r="AF355" s="177">
        <f t="shared" si="137"/>
        <v>0.79989661014203439</v>
      </c>
      <c r="AG355" s="809">
        <f t="shared" si="143"/>
        <v>1</v>
      </c>
      <c r="AH355" s="176">
        <f t="shared" si="138"/>
        <v>7</v>
      </c>
      <c r="AI355" s="225">
        <f t="shared" si="139"/>
        <v>1.7998966101420344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44903</v>
      </c>
      <c r="B356" s="616">
        <v>3.903</v>
      </c>
      <c r="C356" s="839"/>
      <c r="D356" s="393">
        <f t="shared" si="122"/>
        <v>4.1408370706732844</v>
      </c>
      <c r="E356" s="385">
        <f t="shared" si="120"/>
        <v>4.7051717762541534</v>
      </c>
      <c r="F356" s="385">
        <f t="shared" si="123"/>
        <v>4.7051717762541534</v>
      </c>
      <c r="G356" s="110">
        <f t="shared" si="121"/>
        <v>0.2743214889781998</v>
      </c>
      <c r="H356" s="414" t="b">
        <f>Wh_hp&gt;='2021'!Maxi_hp</f>
        <v>0</v>
      </c>
      <c r="I356" s="380">
        <f>IF(H356,Wh_hp,'2021'!Maxi_hp)</f>
        <v>13.163873636421526</v>
      </c>
      <c r="J356" s="85">
        <f>IF(H356,An,'2021'!An_max)</f>
        <v>2019</v>
      </c>
      <c r="K356" s="197">
        <f t="shared" si="124"/>
        <v>44903</v>
      </c>
      <c r="L356" s="147">
        <f>IF(t&lt;Tvie,1-EXP((T0-t)*PertePVj)+'2021'!Pspv,1-EXP((T0-t)*PertePVj)+Pspv)</f>
        <v>5.7436954561125325E-2</v>
      </c>
      <c r="M356" s="843"/>
      <c r="N356" s="843"/>
      <c r="O356" s="48">
        <f>IF(t&lt;Tnet,'2021'!Resal+('2021'!Salim-'2021'!Resal)*(1-EXP(('2021'!Tnet-t)/('2021'!Tau_j))),Resal+(Salim-Resal)*(1-EXP((Tnet-t)/(Tau_j))))*Salcycl</f>
        <v>0.11993923546615824</v>
      </c>
      <c r="P356" s="339">
        <f>(INDEX(Models!$BJ356:$BT356,,T356)*(1-R356)+INDEX(Models!$BJ356:$BT356,,T356+1)*R356-ERP_i)*Q356*Ramure*Pc/MaxiM</f>
        <v>8.954268012210732E-3</v>
      </c>
      <c r="Q356" s="305">
        <f t="shared" si="125"/>
        <v>0.8</v>
      </c>
      <c r="R356" s="177">
        <f t="shared" si="126"/>
        <v>0.59919467769633183</v>
      </c>
      <c r="S356" s="809">
        <f t="shared" si="127"/>
        <v>0</v>
      </c>
      <c r="T356" s="176">
        <f t="shared" si="128"/>
        <v>6</v>
      </c>
      <c r="U356" s="251">
        <f t="shared" si="129"/>
        <v>0.59919467769633183</v>
      </c>
      <c r="V356" s="383">
        <f t="shared" si="130"/>
        <v>14.100431965268799</v>
      </c>
      <c r="W356" s="402"/>
      <c r="X356" s="157">
        <f t="shared" si="131"/>
        <v>44903</v>
      </c>
      <c r="Y356" s="385">
        <f t="shared" si="132"/>
        <v>3.7503729256370919</v>
      </c>
      <c r="Z356" s="385">
        <f t="shared" si="133"/>
        <v>3.9789093618569029</v>
      </c>
      <c r="AA356" s="386">
        <f t="shared" si="134"/>
        <v>4.7051717762541534</v>
      </c>
      <c r="AB356" s="197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0.15435407014522165</v>
      </c>
      <c r="AD356" s="231">
        <f>(INDEX(Models!$BJ356:$BT356,,AH356)*(1-AF356)+INDEX(Models!$BJ356:$BT356,,AH356+1)*AF356-ERP_i)*AE356*Ramure*Pc/MaxiM</f>
        <v>2.9507777071084408E-2</v>
      </c>
      <c r="AE356" s="305">
        <f t="shared" si="136"/>
        <v>0.8</v>
      </c>
      <c r="AF356" s="177">
        <f t="shared" si="137"/>
        <v>0.79991142486123534</v>
      </c>
      <c r="AG356" s="809">
        <f t="shared" si="143"/>
        <v>1</v>
      </c>
      <c r="AH356" s="176">
        <f t="shared" si="138"/>
        <v>7</v>
      </c>
      <c r="AI356" s="225">
        <f t="shared" si="139"/>
        <v>1.7999114248612353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44904</v>
      </c>
      <c r="B357" s="616">
        <v>4.617</v>
      </c>
      <c r="C357" s="839"/>
      <c r="D357" s="393">
        <f t="shared" si="122"/>
        <v>4.8984626288734852</v>
      </c>
      <c r="E357" s="385">
        <f t="shared" si="120"/>
        <v>5.5664998015885221</v>
      </c>
      <c r="F357" s="385">
        <f t="shared" si="123"/>
        <v>5.5685110101047144</v>
      </c>
      <c r="G357" s="110">
        <f t="shared" si="121"/>
        <v>0.32556365873615084</v>
      </c>
      <c r="H357" s="414" t="b">
        <f>Wh_hp&gt;='2021'!Maxi_hp</f>
        <v>0</v>
      </c>
      <c r="I357" s="380">
        <f>IF(H357,Wh_hp,'2021'!Maxi_hp)</f>
        <v>9.5730272396475531</v>
      </c>
      <c r="J357" s="85">
        <f>IF(H357,An,'2021'!An_max)</f>
        <v>2019</v>
      </c>
      <c r="K357" s="197">
        <f t="shared" si="124"/>
        <v>44904</v>
      </c>
      <c r="L357" s="147">
        <f>IF(t&lt;Tvie,1-EXP((T0-t)*PertePVj)+'2021'!Pspv,1-EXP((T0-t)*PertePVj)+Pspv)</f>
        <v>5.7459380666585541E-2</v>
      </c>
      <c r="M357" s="843"/>
      <c r="N357" s="843"/>
      <c r="O357" s="48">
        <f>IF(t&lt;Tnet,'2021'!Resal+('2021'!Salim-'2021'!Resal)*(1-EXP(('2021'!Tnet-t)/('2021'!Tau_j))),Resal+(Salim-Resal)*(1-EXP((Tnet-t)/(Tau_j))))*Salcycl</f>
        <v>0.12001027513275003</v>
      </c>
      <c r="P357" s="339">
        <f>(INDEX(Models!$BJ357:$BT357,,T357)*(1-R357)+INDEX(Models!$BJ357:$BT357,,T357+1)*R357-ERP_i)*Q357*Ramure*Pc/MaxiM</f>
        <v>8.9109374327851418E-3</v>
      </c>
      <c r="Q357" s="305">
        <f t="shared" si="125"/>
        <v>0.8</v>
      </c>
      <c r="R357" s="177">
        <f t="shared" si="126"/>
        <v>0.59920889661916399</v>
      </c>
      <c r="S357" s="809">
        <f t="shared" si="127"/>
        <v>0</v>
      </c>
      <c r="T357" s="176">
        <f t="shared" si="128"/>
        <v>6</v>
      </c>
      <c r="U357" s="251">
        <f t="shared" si="129"/>
        <v>0.59920889661916399</v>
      </c>
      <c r="V357" s="383">
        <f t="shared" si="130"/>
        <v>14.060265521126304</v>
      </c>
      <c r="W357" s="402"/>
      <c r="X357" s="157">
        <f t="shared" si="131"/>
        <v>44904</v>
      </c>
      <c r="Y357" s="385">
        <f t="shared" si="132"/>
        <v>4.4331672886854125</v>
      </c>
      <c r="Z357" s="385">
        <f t="shared" si="133"/>
        <v>4.7034230650140536</v>
      </c>
      <c r="AA357" s="386">
        <f t="shared" si="134"/>
        <v>5.5619016703645103</v>
      </c>
      <c r="AB357" s="197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0.15434983504377459</v>
      </c>
      <c r="AD357" s="231">
        <f>(INDEX(Models!$BJ357:$BT357,,AH357)*(1-AF357)+INDEX(Models!$BJ357:$BT357,,AH357+1)*AF357-ERP_i)*AE357*Ramure*Pc/MaxiM</f>
        <v>2.9283593631800713E-2</v>
      </c>
      <c r="AE357" s="305">
        <f t="shared" si="136"/>
        <v>0.8</v>
      </c>
      <c r="AF357" s="177">
        <f t="shared" si="137"/>
        <v>0.79992564378406739</v>
      </c>
      <c r="AG357" s="809">
        <f t="shared" si="143"/>
        <v>1</v>
      </c>
      <c r="AH357" s="176">
        <f t="shared" si="138"/>
        <v>7</v>
      </c>
      <c r="AI357" s="225">
        <f t="shared" si="139"/>
        <v>1.7999256437840674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44905</v>
      </c>
      <c r="B358" s="616">
        <v>9.4109999999999996</v>
      </c>
      <c r="C358" s="839"/>
      <c r="D358" s="393">
        <f t="shared" si="122"/>
        <v>9.9849531419207924</v>
      </c>
      <c r="E358" s="385">
        <f t="shared" si="120"/>
        <v>11.347605880917945</v>
      </c>
      <c r="F358" s="385">
        <f t="shared" si="123"/>
        <v>11.401120263671883</v>
      </c>
      <c r="G358" s="110">
        <f t="shared" si="121"/>
        <v>0.66795089655432938</v>
      </c>
      <c r="H358" s="414" t="b">
        <f>Wh_hp&gt;='2021'!Maxi_hp</f>
        <v>0</v>
      </c>
      <c r="I358" s="380">
        <f>IF(H358,Wh_hp,'2021'!Maxi_hp)</f>
        <v>15.549770066457318</v>
      </c>
      <c r="J358" s="85">
        <f>IF(H358,An,'2021'!An_max)</f>
        <v>2019</v>
      </c>
      <c r="K358" s="197">
        <f t="shared" si="124"/>
        <v>44905</v>
      </c>
      <c r="L358" s="147">
        <f>IF(t&lt;Tvie,1-EXP((T0-t)*PertePVj)+'2021'!Pspv,1-EXP((T0-t)*PertePVj)+Pspv)</f>
        <v>5.7481806250157558E-2</v>
      </c>
      <c r="M358" s="843"/>
      <c r="N358" s="843"/>
      <c r="O358" s="48">
        <f>IF(t&lt;Tnet,'2021'!Resal+('2021'!Salim-'2021'!Resal)*(1-EXP(('2021'!Tnet-t)/('2021'!Tau_j))),Resal+(Salim-Resal)*(1-EXP((Tnet-t)/(Tau_j))))*Salcycl</f>
        <v>0.12008283978989603</v>
      </c>
      <c r="P358" s="339">
        <f>(INDEX(Models!$BJ358:$BT358,,T358)*(1-R358)+INDEX(Models!$BJ358:$BT358,,T358+1)*R358-ERP_i)*Q358*Ramure*Pc/MaxiM</f>
        <v>8.8619290652598194E-3</v>
      </c>
      <c r="Q358" s="305">
        <f t="shared" si="125"/>
        <v>0.8</v>
      </c>
      <c r="R358" s="177">
        <f t="shared" si="126"/>
        <v>0.59922254367993744</v>
      </c>
      <c r="S358" s="809">
        <f t="shared" si="127"/>
        <v>0</v>
      </c>
      <c r="T358" s="176">
        <f t="shared" si="128"/>
        <v>6</v>
      </c>
      <c r="U358" s="251">
        <f t="shared" si="129"/>
        <v>0.59922254367993744</v>
      </c>
      <c r="V358" s="383">
        <f t="shared" si="130"/>
        <v>14.030355578068328</v>
      </c>
      <c r="W358" s="402"/>
      <c r="X358" s="157">
        <f t="shared" si="131"/>
        <v>44905</v>
      </c>
      <c r="Y358" s="385">
        <f t="shared" si="132"/>
        <v>8.9473417255570613</v>
      </c>
      <c r="Z358" s="385">
        <f t="shared" si="133"/>
        <v>9.4930175193326942</v>
      </c>
      <c r="AA358" s="386">
        <f t="shared" si="134"/>
        <v>11.225675780842655</v>
      </c>
      <c r="AB358" s="197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0.15434779120085168</v>
      </c>
      <c r="AD358" s="231">
        <f>(INDEX(Models!$BJ358:$BT358,,AH358)*(1-AF358)+INDEX(Models!$BJ358:$BT358,,AH358+1)*AF358-ERP_i)*AE358*Ramure*Pc/MaxiM</f>
        <v>2.905343352034466E-2</v>
      </c>
      <c r="AE358" s="305">
        <f t="shared" si="136"/>
        <v>0.8</v>
      </c>
      <c r="AF358" s="177">
        <f t="shared" si="137"/>
        <v>0.79993929084484083</v>
      </c>
      <c r="AG358" s="809">
        <f t="shared" si="143"/>
        <v>1</v>
      </c>
      <c r="AH358" s="176">
        <f t="shared" si="138"/>
        <v>7</v>
      </c>
      <c r="AI358" s="225">
        <f t="shared" si="139"/>
        <v>1.7999392908448408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44906</v>
      </c>
      <c r="B359" s="616">
        <v>11.446</v>
      </c>
      <c r="C359" s="839"/>
      <c r="D359" s="393">
        <f t="shared" si="122"/>
        <v>12.144351603754794</v>
      </c>
      <c r="E359" s="385">
        <f t="shared" si="120"/>
        <v>13.802860028289276</v>
      </c>
      <c r="F359" s="385">
        <f t="shared" si="123"/>
        <v>13.893205844550531</v>
      </c>
      <c r="G359" s="110">
        <f t="shared" si="121"/>
        <v>0.81499217444268779</v>
      </c>
      <c r="H359" s="414" t="b">
        <f>Wh_hp&gt;='2021'!Maxi_hp</f>
        <v>0</v>
      </c>
      <c r="I359" s="380">
        <f>IF(H359,Wh_hp,'2021'!Maxi_hp)</f>
        <v>14.841331638958879</v>
      </c>
      <c r="J359" s="85">
        <f>IF(H359,An,'2021'!An_max)</f>
        <v>2018</v>
      </c>
      <c r="K359" s="197">
        <f t="shared" si="124"/>
        <v>44906</v>
      </c>
      <c r="L359" s="147">
        <f>IF(t&lt;Tvie,1-EXP((T0-t)*PertePVj)+'2021'!Pspv,1-EXP((T0-t)*PertePVj)+Pspv)</f>
        <v>5.7504231311853476E-2</v>
      </c>
      <c r="M359" s="843"/>
      <c r="N359" s="843"/>
      <c r="O359" s="48">
        <f>IF(t&lt;Tnet,'2021'!Resal+('2021'!Salim-'2021'!Resal)*(1-EXP(('2021'!Tnet-t)/('2021'!Tau_j))),Resal+(Salim-Resal)*(1-EXP((Tnet-t)/(Tau_j))))*Salcycl</f>
        <v>0.12015686757203432</v>
      </c>
      <c r="P359" s="339">
        <f>(INDEX(Models!$BJ359:$BT359,,T359)*(1-R359)+INDEX(Models!$BJ359:$BT359,,T359+1)*R359-ERP_i)*Q359*Ramure*Pc/MaxiM</f>
        <v>8.8066052622683046E-3</v>
      </c>
      <c r="Q359" s="305">
        <f t="shared" si="125"/>
        <v>0.8</v>
      </c>
      <c r="R359" s="177">
        <f t="shared" si="126"/>
        <v>0.59923564185356692</v>
      </c>
      <c r="S359" s="809">
        <f t="shared" si="127"/>
        <v>0</v>
      </c>
      <c r="T359" s="176">
        <f t="shared" si="128"/>
        <v>6</v>
      </c>
      <c r="U359" s="251">
        <f t="shared" si="129"/>
        <v>0.59923564185356692</v>
      </c>
      <c r="V359" s="383">
        <f t="shared" si="130"/>
        <v>14.011740599896141</v>
      </c>
      <c r="W359" s="402"/>
      <c r="X359" s="157">
        <f t="shared" si="131"/>
        <v>44906</v>
      </c>
      <c r="Y359" s="385">
        <f t="shared" si="132"/>
        <v>10.837602485119938</v>
      </c>
      <c r="Z359" s="385">
        <f t="shared" si="133"/>
        <v>11.498834101085379</v>
      </c>
      <c r="AA359" s="386">
        <f t="shared" si="134"/>
        <v>13.597593480690996</v>
      </c>
      <c r="AB359" s="197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0.15434785446306507</v>
      </c>
      <c r="AD359" s="231">
        <f>(INDEX(Models!$BJ359:$BT359,,AH359)*(1-AF359)+INDEX(Models!$BJ359:$BT359,,AH359+1)*AF359-ERP_i)*AE359*Ramure*Pc/MaxiM</f>
        <v>2.8815295570840602E-2</v>
      </c>
      <c r="AE359" s="305">
        <f t="shared" si="136"/>
        <v>0.8</v>
      </c>
      <c r="AF359" s="177">
        <f t="shared" si="137"/>
        <v>0.79995238901847032</v>
      </c>
      <c r="AG359" s="809">
        <f t="shared" si="143"/>
        <v>1</v>
      </c>
      <c r="AH359" s="176">
        <f t="shared" si="138"/>
        <v>7</v>
      </c>
      <c r="AI359" s="225">
        <f t="shared" si="139"/>
        <v>1.7999523890184703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44907</v>
      </c>
      <c r="B360" s="616">
        <v>3.823</v>
      </c>
      <c r="C360" s="839"/>
      <c r="D360" s="393">
        <f t="shared" si="122"/>
        <v>4.0563481436758648</v>
      </c>
      <c r="E360" s="385">
        <f t="shared" si="120"/>
        <v>4.610703614263107</v>
      </c>
      <c r="F360" s="385">
        <f t="shared" si="123"/>
        <v>4.610703614263107</v>
      </c>
      <c r="G360" s="110">
        <f t="shared" si="121"/>
        <v>0.2705941704476727</v>
      </c>
      <c r="H360" s="414" t="b">
        <f>Wh_hp&gt;='2021'!Maxi_hp</f>
        <v>0</v>
      </c>
      <c r="I360" s="380">
        <f>IF(H360,Wh_hp,'2021'!Maxi_hp)</f>
        <v>16.842886191960798</v>
      </c>
      <c r="J360" s="85">
        <f>IF(H360,An,'2021'!An_max)</f>
        <v>2021</v>
      </c>
      <c r="K360" s="197">
        <f t="shared" si="124"/>
        <v>44907</v>
      </c>
      <c r="L360" s="147">
        <f>IF(t&lt;Tvie,1-EXP((T0-t)*PertePVj)+'2021'!Pspv,1-EXP((T0-t)*PertePVj)+Pspv)</f>
        <v>5.752665585168551E-2</v>
      </c>
      <c r="M360" s="843"/>
      <c r="N360" s="843"/>
      <c r="O360" s="48">
        <f>IF(t&lt;Tnet,'2021'!Resal+('2021'!Salim-'2021'!Resal)*(1-EXP(('2021'!Tnet-t)/('2021'!Tau_j))),Resal+(Salim-Resal)*(1-EXP((Tnet-t)/(Tau_j))))*Salcycl</f>
        <v>0.12023229358581111</v>
      </c>
      <c r="P360" s="339">
        <f>(INDEX(Models!$BJ360:$BT360,,T360)*(1-R360)+INDEX(Models!$BJ360:$BT360,,T360+1)*R360-ERP_i)*Q360*Ramure*Pc/MaxiM</f>
        <v>8.7448864808990761E-3</v>
      </c>
      <c r="Q360" s="305">
        <f t="shared" si="125"/>
        <v>0.8</v>
      </c>
      <c r="R360" s="177">
        <f t="shared" si="126"/>
        <v>0.59924821319386468</v>
      </c>
      <c r="S360" s="809">
        <f t="shared" si="127"/>
        <v>0</v>
      </c>
      <c r="T360" s="176">
        <f t="shared" si="128"/>
        <v>6</v>
      </c>
      <c r="U360" s="251">
        <f t="shared" si="129"/>
        <v>0.59924821319386468</v>
      </c>
      <c r="V360" s="383">
        <f t="shared" si="130"/>
        <v>14.004619141329016</v>
      </c>
      <c r="W360" s="402"/>
      <c r="X360" s="157">
        <f t="shared" si="131"/>
        <v>44907</v>
      </c>
      <c r="Y360" s="385">
        <f t="shared" si="132"/>
        <v>3.6747429659101938</v>
      </c>
      <c r="Z360" s="385">
        <f t="shared" si="133"/>
        <v>3.8990418017932922</v>
      </c>
      <c r="AA360" s="386">
        <f t="shared" si="134"/>
        <v>4.610703614263107</v>
      </c>
      <c r="AB360" s="197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0.15434993701792182</v>
      </c>
      <c r="AD360" s="231">
        <f>(INDEX(Models!$BJ360:$BT360,,AH360)*(1-AF360)+INDEX(Models!$BJ360:$BT360,,AH360+1)*AF360-ERP_i)*AE360*Ramure*Pc/MaxiM</f>
        <v>2.8568975859448165E-2</v>
      </c>
      <c r="AE360" s="305">
        <f t="shared" si="136"/>
        <v>0.8</v>
      </c>
      <c r="AF360" s="177">
        <f t="shared" si="137"/>
        <v>0.79996496035876818</v>
      </c>
      <c r="AG360" s="809">
        <f t="shared" si="143"/>
        <v>1</v>
      </c>
      <c r="AH360" s="176">
        <f t="shared" si="138"/>
        <v>7</v>
      </c>
      <c r="AI360" s="225">
        <f t="shared" si="139"/>
        <v>1.7999649603587682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44908</v>
      </c>
      <c r="B361" s="616">
        <v>4.9649999999999999</v>
      </c>
      <c r="C361" s="839"/>
      <c r="D361" s="393">
        <f t="shared" si="122"/>
        <v>5.2681788451258287</v>
      </c>
      <c r="E361" s="385">
        <f t="shared" ref="E361:E379" si="144">Wh_pvt/(1-Psa)</f>
        <v>5.9886700522704395</v>
      </c>
      <c r="F361" s="385">
        <f t="shared" si="123"/>
        <v>5.9927164234030919</v>
      </c>
      <c r="G361" s="110">
        <f t="shared" ref="G361:G379" si="145">+Wh_hp/MaxiM</f>
        <v>0.35159733614183841</v>
      </c>
      <c r="H361" s="414" t="b">
        <f>Wh_hp&gt;='2021'!Maxi_hp</f>
        <v>0</v>
      </c>
      <c r="I361" s="380">
        <f>IF(H361,Wh_hp,'2021'!Maxi_hp)</f>
        <v>17.504311781575961</v>
      </c>
      <c r="J361" s="85">
        <f>IF(H361,An,'2021'!An_max)</f>
        <v>2021</v>
      </c>
      <c r="K361" s="197">
        <f t="shared" si="124"/>
        <v>44908</v>
      </c>
      <c r="L361" s="147">
        <f>IF(t&lt;Tvie,1-EXP((T0-t)*PertePVj)+'2021'!Pspv,1-EXP((T0-t)*PertePVj)+Pspv)</f>
        <v>5.7549079869665648E-2</v>
      </c>
      <c r="M361" s="843"/>
      <c r="N361" s="843"/>
      <c r="O361" s="48">
        <f>IF(t&lt;Tnet,'2021'!Resal+('2021'!Salim-'2021'!Resal)*(1-EXP(('2021'!Tnet-t)/('2021'!Tau_j))),Resal+(Salim-Resal)*(1-EXP((Tnet-t)/(Tau_j))))*Salcycl</f>
        <v>0.12030905039950499</v>
      </c>
      <c r="P361" s="339">
        <f>(INDEX(Models!$BJ361:$BT361,,T361)*(1-R361)+INDEX(Models!$BJ361:$BT361,,T361+1)*R361-ERP_i)*Q361*Ramure*Pc/MaxiM</f>
        <v>8.6824693976468859E-3</v>
      </c>
      <c r="Q361" s="305">
        <f t="shared" si="125"/>
        <v>0.8</v>
      </c>
      <c r="R361" s="177">
        <f t="shared" si="126"/>
        <v>0.59926027887031574</v>
      </c>
      <c r="S361" s="809">
        <f t="shared" si="127"/>
        <v>0</v>
      </c>
      <c r="T361" s="176">
        <f t="shared" si="128"/>
        <v>6</v>
      </c>
      <c r="U361" s="251">
        <f t="shared" si="129"/>
        <v>0.59926027887031574</v>
      </c>
      <c r="V361" s="383">
        <f t="shared" si="130"/>
        <v>14.008118415327772</v>
      </c>
      <c r="W361" s="402"/>
      <c r="X361" s="157">
        <f t="shared" si="131"/>
        <v>44908</v>
      </c>
      <c r="Y361" s="385">
        <f t="shared" si="132"/>
        <v>4.7655540465571411</v>
      </c>
      <c r="Z361" s="385">
        <f t="shared" si="133"/>
        <v>5.0565540812439318</v>
      </c>
      <c r="AA361" s="386">
        <f t="shared" si="134"/>
        <v>5.9795159800888511</v>
      </c>
      <c r="AB361" s="197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0.1543539480316273</v>
      </c>
      <c r="AD361" s="231">
        <f>(INDEX(Models!$BJ361:$BT361,,AH361)*(1-AF361)+INDEX(Models!$BJ361:$BT361,,AH361+1)*AF361-ERP_i)*AE361*Ramure*Pc/MaxiM</f>
        <v>2.8324748609043039E-2</v>
      </c>
      <c r="AE361" s="305">
        <f t="shared" si="136"/>
        <v>0.8</v>
      </c>
      <c r="AF361" s="177">
        <f t="shared" si="137"/>
        <v>0.79997702603521903</v>
      </c>
      <c r="AG361" s="809">
        <f t="shared" si="143"/>
        <v>1</v>
      </c>
      <c r="AH361" s="176">
        <f t="shared" si="138"/>
        <v>7</v>
      </c>
      <c r="AI361" s="225">
        <f t="shared" si="139"/>
        <v>1.799977026035219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44909</v>
      </c>
      <c r="B362" s="616">
        <v>13.248000000000001</v>
      </c>
      <c r="C362" s="839"/>
      <c r="D362" s="393">
        <f t="shared" si="122"/>
        <v>14.057299887804909</v>
      </c>
      <c r="E362" s="385">
        <f t="shared" si="144"/>
        <v>15.981233773360691</v>
      </c>
      <c r="F362" s="385">
        <f t="shared" si="123"/>
        <v>16.109150446649508</v>
      </c>
      <c r="G362" s="110">
        <f t="shared" si="145"/>
        <v>0.94419190503419825</v>
      </c>
      <c r="H362" s="414" t="b">
        <f>Wh_hp&gt;='2021'!Maxi_hp</f>
        <v>0</v>
      </c>
      <c r="I362" s="380">
        <f>IF(H362,Wh_hp,'2021'!Maxi_hp)</f>
        <v>17.825188760800483</v>
      </c>
      <c r="J362" s="85">
        <f>IF(H362,An,'2021'!An_max)</f>
        <v>2021</v>
      </c>
      <c r="K362" s="197">
        <f t="shared" si="124"/>
        <v>44909</v>
      </c>
      <c r="L362" s="147">
        <f>IF(t&lt;Tvie,1-EXP((T0-t)*PertePVj)+'2021'!Pspv,1-EXP((T0-t)*PertePVj)+Pspv)</f>
        <v>5.7571503365806215E-2</v>
      </c>
      <c r="M362" s="843"/>
      <c r="N362" s="843"/>
      <c r="O362" s="48">
        <f>IF(t&lt;Tnet,'2021'!Resal+('2021'!Salim-'2021'!Resal)*(1-EXP(('2021'!Tnet-t)/('2021'!Tau_j))),Resal+(Salim-Resal)*(1-EXP((Tnet-t)/(Tau_j))))*Salcycl</f>
        <v>0.12038706853552257</v>
      </c>
      <c r="P362" s="339">
        <f>(INDEX(Models!$BJ362:$BT362,,T362)*(1-R362)+INDEX(Models!$BJ362:$BT362,,T362+1)*R362-ERP_i)*Q362*Ramure*Pc/MaxiM</f>
        <v>8.6198830682899623E-3</v>
      </c>
      <c r="Q362" s="305">
        <f t="shared" si="125"/>
        <v>0.8</v>
      </c>
      <c r="R362" s="177">
        <f t="shared" si="126"/>
        <v>0.59927185920339898</v>
      </c>
      <c r="S362" s="809">
        <f t="shared" si="127"/>
        <v>0</v>
      </c>
      <c r="T362" s="176">
        <f t="shared" si="128"/>
        <v>6</v>
      </c>
      <c r="U362" s="251">
        <f t="shared" si="129"/>
        <v>0.59927185920339898</v>
      </c>
      <c r="V362" s="383">
        <f t="shared" si="130"/>
        <v>14.021438914490629</v>
      </c>
      <c r="W362" s="402"/>
      <c r="X362" s="157">
        <f t="shared" si="131"/>
        <v>44909</v>
      </c>
      <c r="Y362" s="385">
        <f t="shared" si="132"/>
        <v>12.506132282662143</v>
      </c>
      <c r="Z362" s="385">
        <f t="shared" si="133"/>
        <v>13.270112615786525</v>
      </c>
      <c r="AA362" s="386">
        <f t="shared" si="134"/>
        <v>15.692386107186239</v>
      </c>
      <c r="AB362" s="197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0.1543597942884192</v>
      </c>
      <c r="AD362" s="231">
        <f>(INDEX(Models!$BJ362:$BT362,,AH362)*(1-AF362)+INDEX(Models!$BJ362:$BT362,,AH362+1)*AF362-ERP_i)*AE362*Ramure*Pc/MaxiM</f>
        <v>2.80843754050361E-2</v>
      </c>
      <c r="AE362" s="305">
        <f t="shared" si="136"/>
        <v>0.8</v>
      </c>
      <c r="AF362" s="177">
        <f t="shared" si="137"/>
        <v>0.79998860636830238</v>
      </c>
      <c r="AG362" s="809">
        <f t="shared" si="143"/>
        <v>1</v>
      </c>
      <c r="AH362" s="176">
        <f t="shared" si="138"/>
        <v>7</v>
      </c>
      <c r="AI362" s="225">
        <f t="shared" si="139"/>
        <v>1.7999886063683024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44910</v>
      </c>
      <c r="B363" s="616">
        <v>5.1970000000000001</v>
      </c>
      <c r="C363" s="839"/>
      <c r="D363" s="393">
        <f t="shared" si="122"/>
        <v>5.5146079224820701</v>
      </c>
      <c r="E363" s="385">
        <f t="shared" si="144"/>
        <v>6.2699220939873381</v>
      </c>
      <c r="F363" s="385">
        <f t="shared" si="123"/>
        <v>6.2752966455649073</v>
      </c>
      <c r="G363" s="110">
        <f t="shared" si="145"/>
        <v>0.36720470782614828</v>
      </c>
      <c r="H363" s="414" t="b">
        <f>Wh_hp&gt;='2021'!Maxi_hp</f>
        <v>0</v>
      </c>
      <c r="I363" s="380">
        <f>IF(H363,Wh_hp,'2021'!Maxi_hp)</f>
        <v>16.523910631894243</v>
      </c>
      <c r="J363" s="85">
        <f>IF(H363,An,'2021'!An_max)</f>
        <v>2019</v>
      </c>
      <c r="K363" s="197">
        <f t="shared" si="124"/>
        <v>44910</v>
      </c>
      <c r="L363" s="147">
        <f>IF(t&lt;Tvie,1-EXP((T0-t)*PertePVj)+'2021'!Pspv,1-EXP((T0-t)*PertePVj)+Pspv)</f>
        <v>5.75939263401192E-2</v>
      </c>
      <c r="M363" s="843"/>
      <c r="N363" s="843"/>
      <c r="O363" s="48">
        <f>IF(t&lt;Tnet,'2021'!Resal+('2021'!Salim-'2021'!Resal)*(1-EXP(('2021'!Tnet-t)/('2021'!Tau_j))),Resal+(Salim-Resal)*(1-EXP((Tnet-t)/(Tau_j))))*Salcycl</f>
        <v>0.12046627696213187</v>
      </c>
      <c r="P363" s="339">
        <f>(INDEX(Models!$BJ363:$BT363,,T363)*(1-R363)+INDEX(Models!$BJ363:$BT363,,T363+1)*R363-ERP_i)*Q363*Ramure*Pc/MaxiM</f>
        <v>8.5576457580312567E-3</v>
      </c>
      <c r="Q363" s="305">
        <f t="shared" si="125"/>
        <v>0.8</v>
      </c>
      <c r="R363" s="177">
        <f t="shared" si="126"/>
        <v>0.59928297369850669</v>
      </c>
      <c r="S363" s="809">
        <f t="shared" si="127"/>
        <v>0</v>
      </c>
      <c r="T363" s="176">
        <f t="shared" si="128"/>
        <v>6</v>
      </c>
      <c r="U363" s="251">
        <f t="shared" si="129"/>
        <v>0.59928297369850669</v>
      </c>
      <c r="V363" s="383">
        <f t="shared" si="130"/>
        <v>14.04378138196331</v>
      </c>
      <c r="W363" s="402"/>
      <c r="X363" s="157">
        <f t="shared" si="131"/>
        <v>44910</v>
      </c>
      <c r="Y363" s="385">
        <f t="shared" si="132"/>
        <v>4.9870290436050322</v>
      </c>
      <c r="Z363" s="385">
        <f t="shared" si="133"/>
        <v>5.2918048630964964</v>
      </c>
      <c r="AA363" s="386">
        <f t="shared" si="134"/>
        <v>6.2578059823056273</v>
      </c>
      <c r="AB363" s="197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0.15436738082653323</v>
      </c>
      <c r="AD363" s="231">
        <f>(INDEX(Models!$BJ363:$BT363,,AH363)*(1-AF363)+INDEX(Models!$BJ363:$BT363,,AH363+1)*AF363-ERP_i)*AE363*Ramure*Pc/MaxiM</f>
        <v>2.7849560672300284E-2</v>
      </c>
      <c r="AE363" s="305">
        <f t="shared" si="136"/>
        <v>0.8</v>
      </c>
      <c r="AF363" s="177">
        <f t="shared" si="137"/>
        <v>0.79999972086340998</v>
      </c>
      <c r="AG363" s="809">
        <f t="shared" si="143"/>
        <v>1</v>
      </c>
      <c r="AH363" s="176">
        <f t="shared" si="138"/>
        <v>7</v>
      </c>
      <c r="AI363" s="225">
        <f t="shared" si="139"/>
        <v>1.79999972086341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44911</v>
      </c>
      <c r="B364" s="616">
        <v>4.3920000000000003</v>
      </c>
      <c r="C364" s="839"/>
      <c r="D364" s="393">
        <f t="shared" si="122"/>
        <v>4.6605222770715136</v>
      </c>
      <c r="E364" s="385">
        <f t="shared" si="144"/>
        <v>5.2993396762655625</v>
      </c>
      <c r="F364" s="385">
        <f t="shared" si="123"/>
        <v>5.3001153130734471</v>
      </c>
      <c r="G364" s="110">
        <f t="shared" si="145"/>
        <v>0.30945107780995984</v>
      </c>
      <c r="H364" s="414" t="b">
        <f>Wh_hp&gt;='2021'!Maxi_hp</f>
        <v>0</v>
      </c>
      <c r="I364" s="380">
        <f>IF(H364,Wh_hp,'2021'!Maxi_hp)</f>
        <v>16.953885897183909</v>
      </c>
      <c r="J364" s="85">
        <f>IF(H364,An,'2021'!An_max)</f>
        <v>2021</v>
      </c>
      <c r="K364" s="197">
        <f t="shared" si="124"/>
        <v>44911</v>
      </c>
      <c r="L364" s="147">
        <f>IF(t&lt;Tvie,1-EXP((T0-t)*PertePVj)+'2021'!Pspv,1-EXP((T0-t)*PertePVj)+Pspv)</f>
        <v>5.7616348792616817E-2</v>
      </c>
      <c r="M364" s="843"/>
      <c r="N364" s="843"/>
      <c r="O364" s="48">
        <f>IF(t&lt;Tnet,'2021'!Resal+('2021'!Salim-'2021'!Resal)*(1-EXP(('2021'!Tnet-t)/('2021'!Tau_j))),Resal+(Salim-Resal)*(1-EXP((Tnet-t)/(Tau_j))))*Salcycl</f>
        <v>0.1205466035806602</v>
      </c>
      <c r="P364" s="339">
        <f>(INDEX(Models!$BJ364:$BT364,,T364)*(1-R364)+INDEX(Models!$BJ364:$BT364,,T364+1)*R364-ERP_i)*Q364*Ramure*Pc/MaxiM</f>
        <v>8.4962618163694839E-3</v>
      </c>
      <c r="Q364" s="305">
        <f t="shared" si="125"/>
        <v>0.8</v>
      </c>
      <c r="R364" s="177">
        <f t="shared" si="126"/>
        <v>0.59929364107852101</v>
      </c>
      <c r="S364" s="809">
        <f t="shared" si="127"/>
        <v>0</v>
      </c>
      <c r="T364" s="176">
        <f t="shared" si="128"/>
        <v>6</v>
      </c>
      <c r="U364" s="251">
        <f t="shared" si="129"/>
        <v>0.59929364107852101</v>
      </c>
      <c r="V364" s="383">
        <f t="shared" si="130"/>
        <v>14.074346812597927</v>
      </c>
      <c r="W364" s="402"/>
      <c r="X364" s="157">
        <f t="shared" si="131"/>
        <v>44911</v>
      </c>
      <c r="Y364" s="385">
        <f t="shared" si="132"/>
        <v>4.2216611649327795</v>
      </c>
      <c r="Z364" s="385">
        <f t="shared" si="133"/>
        <v>4.4797691041477448</v>
      </c>
      <c r="AA364" s="386">
        <f t="shared" si="134"/>
        <v>5.2975936633491036</v>
      </c>
      <c r="AB364" s="197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0.1543766115660021</v>
      </c>
      <c r="AD364" s="231">
        <f>(INDEX(Models!$BJ364:$BT364,,AH364)*(1-AF364)+INDEX(Models!$BJ364:$BT364,,AH364+1)*AF364-ERP_i)*AE364*Ramure*Pc/MaxiM</f>
        <v>2.7621943736315626E-2</v>
      </c>
      <c r="AE364" s="305">
        <f t="shared" si="136"/>
        <v>0.8</v>
      </c>
      <c r="AF364" s="177">
        <f t="shared" si="137"/>
        <v>0.80001038824342441</v>
      </c>
      <c r="AG364" s="809">
        <f t="shared" si="143"/>
        <v>1</v>
      </c>
      <c r="AH364" s="176">
        <f t="shared" si="138"/>
        <v>7</v>
      </c>
      <c r="AI364" s="225">
        <f t="shared" si="139"/>
        <v>1.8000103882434244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44912</v>
      </c>
      <c r="B365" s="616">
        <v>3.2640000000000002</v>
      </c>
      <c r="C365" s="839"/>
      <c r="D365" s="393">
        <f t="shared" si="122"/>
        <v>3.4636399488816938</v>
      </c>
      <c r="E365" s="385">
        <f t="shared" si="144"/>
        <v>3.9387652247141496</v>
      </c>
      <c r="F365" s="385">
        <f t="shared" si="123"/>
        <v>3.9387652247141496</v>
      </c>
      <c r="G365" s="110">
        <f t="shared" si="145"/>
        <v>0.22933581477412529</v>
      </c>
      <c r="H365" s="414" t="b">
        <f>Wh_hp&gt;='2021'!Maxi_hp</f>
        <v>0</v>
      </c>
      <c r="I365" s="380">
        <f>IF(H365,Wh_hp,'2021'!Maxi_hp)</f>
        <v>16.997202859341002</v>
      </c>
      <c r="J365" s="85">
        <f>IF(H365,An,'2021'!An_max)</f>
        <v>2021</v>
      </c>
      <c r="K365" s="197">
        <f t="shared" si="124"/>
        <v>44912</v>
      </c>
      <c r="L365" s="147">
        <f>IF(t&lt;Tvie,1-EXP((T0-t)*PertePVj)+'2021'!Pspv,1-EXP((T0-t)*PertePVj)+Pspv)</f>
        <v>5.7638770723311278E-2</v>
      </c>
      <c r="M365" s="843"/>
      <c r="N365" s="843"/>
      <c r="O365" s="48">
        <f>IF(t&lt;Tnet,'2021'!Resal+('2021'!Salim-'2021'!Resal)*(1-EXP(('2021'!Tnet-t)/('2021'!Tau_j))),Resal+(Salim-Resal)*(1-EXP((Tnet-t)/(Tau_j))))*Salcycl</f>
        <v>0.12062797570447653</v>
      </c>
      <c r="P365" s="339">
        <f>(INDEX(Models!$BJ365:$BT365,,T365)*(1-R365)+INDEX(Models!$BJ365:$BT365,,T365+1)*R365-ERP_i)*Q365*Ramure*Pc/MaxiM</f>
        <v>8.4362192490643178E-3</v>
      </c>
      <c r="Q365" s="305">
        <f t="shared" si="125"/>
        <v>0.8</v>
      </c>
      <c r="R365" s="177">
        <f t="shared" si="126"/>
        <v>0.59930387931509588</v>
      </c>
      <c r="S365" s="809">
        <f t="shared" si="127"/>
        <v>0</v>
      </c>
      <c r="T365" s="176">
        <f t="shared" si="128"/>
        <v>6</v>
      </c>
      <c r="U365" s="251">
        <f t="shared" si="129"/>
        <v>0.59930387931509588</v>
      </c>
      <c r="V365" s="383">
        <f t="shared" si="130"/>
        <v>14.112336459783545</v>
      </c>
      <c r="W365" s="402"/>
      <c r="X365" s="157">
        <f t="shared" si="131"/>
        <v>44912</v>
      </c>
      <c r="Y365" s="385">
        <f t="shared" si="132"/>
        <v>3.1386938440535466</v>
      </c>
      <c r="Z365" s="385">
        <f t="shared" si="133"/>
        <v>3.3306695421485637</v>
      </c>
      <c r="AA365" s="386">
        <f t="shared" si="134"/>
        <v>3.9387652247141496</v>
      </c>
      <c r="AB365" s="197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0.15438738992363207</v>
      </c>
      <c r="AD365" s="231">
        <f>(INDEX(Models!$BJ365:$BT365,,AH365)*(1-AF365)+INDEX(Models!$BJ365:$BT365,,AH365+1)*AF365-ERP_i)*AE365*Ramure*Pc/MaxiM</f>
        <v>2.7403093319005541E-2</v>
      </c>
      <c r="AE365" s="305">
        <f t="shared" si="136"/>
        <v>0.8</v>
      </c>
      <c r="AF365" s="177">
        <f t="shared" si="137"/>
        <v>0.80002062647999939</v>
      </c>
      <c r="AG365" s="809">
        <f t="shared" si="143"/>
        <v>1</v>
      </c>
      <c r="AH365" s="176">
        <f t="shared" si="138"/>
        <v>7</v>
      </c>
      <c r="AI365" s="225">
        <f t="shared" si="139"/>
        <v>1.8000206264799994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44913</v>
      </c>
      <c r="B366" s="616">
        <v>13.118</v>
      </c>
      <c r="C366" s="839"/>
      <c r="D366" s="393">
        <f t="shared" si="122"/>
        <v>13.920683187909754</v>
      </c>
      <c r="E366" s="385">
        <f t="shared" si="144"/>
        <v>15.831737268018953</v>
      </c>
      <c r="F366" s="385">
        <f t="shared" si="123"/>
        <v>15.95139754745205</v>
      </c>
      <c r="G366" s="110">
        <f t="shared" si="145"/>
        <v>0.92579364534308228</v>
      </c>
      <c r="H366" s="414" t="b">
        <f>Wh_hp&gt;='2021'!Maxi_hp</f>
        <v>0</v>
      </c>
      <c r="I366" s="380">
        <f>IF(H366,Wh_hp,'2021'!Maxi_hp)</f>
        <v>17.776988276378741</v>
      </c>
      <c r="J366" s="85">
        <f>IF(H366,An,'2021'!An_max)</f>
        <v>2021</v>
      </c>
      <c r="K366" s="197">
        <f t="shared" si="124"/>
        <v>44913</v>
      </c>
      <c r="L366" s="147">
        <f>IF(t&lt;Tvie,1-EXP((T0-t)*PertePVj)+'2021'!Pspv,1-EXP((T0-t)*PertePVj)+Pspv)</f>
        <v>5.7661192132214573E-2</v>
      </c>
      <c r="M366" s="843"/>
      <c r="N366" s="843"/>
      <c r="O366" s="48">
        <f>IF(t&lt;Tnet,'2021'!Resal+('2021'!Salim-'2021'!Resal)*(1-EXP(('2021'!Tnet-t)/('2021'!Tau_j))),Resal+(Salim-Resal)*(1-EXP((Tnet-t)/(Tau_j))))*Salcycl</f>
        <v>0.12071032052620287</v>
      </c>
      <c r="P366" s="339">
        <f>(INDEX(Models!$BJ366:$BT366,,T366)*(1-R366)+INDEX(Models!$BJ366:$BT366,,T366+1)*R366-ERP_i)*Q366*Ramure*Pc/MaxiM</f>
        <v>8.3801020693823596E-3</v>
      </c>
      <c r="Q366" s="305">
        <f t="shared" si="125"/>
        <v>0.8</v>
      </c>
      <c r="R366" s="177">
        <f t="shared" si="126"/>
        <v>0.59931370565869901</v>
      </c>
      <c r="S366" s="809">
        <f t="shared" si="127"/>
        <v>0</v>
      </c>
      <c r="T366" s="176">
        <f t="shared" si="128"/>
        <v>6</v>
      </c>
      <c r="U366" s="251">
        <f t="shared" si="129"/>
        <v>0.59931370565869901</v>
      </c>
      <c r="V366" s="383">
        <f t="shared" si="130"/>
        <v>14.15692165613464</v>
      </c>
      <c r="W366" s="402"/>
      <c r="X366" s="157">
        <f t="shared" si="131"/>
        <v>44913</v>
      </c>
      <c r="Y366" s="385">
        <f t="shared" si="132"/>
        <v>12.401217970991176</v>
      </c>
      <c r="Z366" s="385">
        <f t="shared" si="133"/>
        <v>13.16004166171529</v>
      </c>
      <c r="AA366" s="386">
        <f t="shared" si="134"/>
        <v>15.562956171500016</v>
      </c>
      <c r="AB366" s="197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0.15439961941068195</v>
      </c>
      <c r="AD366" s="231">
        <f>(INDEX(Models!$BJ366:$BT366,,AH366)*(1-AF366)+INDEX(Models!$BJ366:$BT366,,AH366+1)*AF366-ERP_i)*AE366*Ramure*Pc/MaxiM</f>
        <v>2.7203499723309436E-2</v>
      </c>
      <c r="AE366" s="305">
        <f t="shared" si="136"/>
        <v>0.8</v>
      </c>
      <c r="AF366" s="177">
        <f t="shared" si="137"/>
        <v>0.80003045282360241</v>
      </c>
      <c r="AG366" s="809">
        <f t="shared" si="143"/>
        <v>1</v>
      </c>
      <c r="AH366" s="176">
        <f t="shared" si="138"/>
        <v>7</v>
      </c>
      <c r="AI366" s="225">
        <f t="shared" si="139"/>
        <v>1.8000304528236024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44914</v>
      </c>
      <c r="B367" s="616">
        <v>10.914</v>
      </c>
      <c r="C367" s="839"/>
      <c r="D367" s="393">
        <f t="shared" si="122"/>
        <v>11.582097213622992</v>
      </c>
      <c r="E367" s="385">
        <f t="shared" si="144"/>
        <v>13.173353560735221</v>
      </c>
      <c r="F367" s="385">
        <f t="shared" si="123"/>
        <v>13.247127756879603</v>
      </c>
      <c r="G367" s="110">
        <f t="shared" si="145"/>
        <v>0.76606487425541858</v>
      </c>
      <c r="H367" s="414" t="b">
        <f>Wh_hp&gt;='2021'!Maxi_hp</f>
        <v>0</v>
      </c>
      <c r="I367" s="380">
        <f>IF(H367,Wh_hp,'2021'!Maxi_hp)</f>
        <v>17.087258276429306</v>
      </c>
      <c r="J367" s="85">
        <f>IF(H367,An,'2021'!An_max)</f>
        <v>2021</v>
      </c>
      <c r="K367" s="197">
        <f t="shared" si="124"/>
        <v>44914</v>
      </c>
      <c r="L367" s="147">
        <f>IF(t&lt;Tvie,1-EXP((T0-t)*PertePVj)+'2021'!Pspv,1-EXP((T0-t)*PertePVj)+Pspv)</f>
        <v>5.7683613019338914E-2</v>
      </c>
      <c r="M367" s="843"/>
      <c r="N367" s="843"/>
      <c r="O367" s="48">
        <f>IF(t&lt;Tnet,'2021'!Resal+('2021'!Salim-'2021'!Resal)*(1-EXP(('2021'!Tnet-t)/('2021'!Tau_j))),Resal+(Salim-Resal)*(1-EXP((Tnet-t)/(Tau_j))))*Salcycl</f>
        <v>0.1207935655697545</v>
      </c>
      <c r="P367" s="339">
        <f>(INDEX(Models!$BJ367:$BT367,,T367)*(1-R367)+INDEX(Models!$BJ367:$BT367,,T367+1)*R367-ERP_i)*Q367*Ramure*Pc/MaxiM</f>
        <v>8.3263404240627586E-3</v>
      </c>
      <c r="Q367" s="305">
        <f t="shared" si="125"/>
        <v>0.8</v>
      </c>
      <c r="R367" s="177">
        <f t="shared" si="126"/>
        <v>0.59932313666745851</v>
      </c>
      <c r="S367" s="809">
        <f t="shared" si="127"/>
        <v>0</v>
      </c>
      <c r="T367" s="176">
        <f t="shared" si="128"/>
        <v>6</v>
      </c>
      <c r="U367" s="251">
        <f t="shared" si="129"/>
        <v>0.59932313666745851</v>
      </c>
      <c r="V367" s="383">
        <f t="shared" si="130"/>
        <v>14.207332825843192</v>
      </c>
      <c r="W367" s="402"/>
      <c r="X367" s="157">
        <f t="shared" si="131"/>
        <v>44914</v>
      </c>
      <c r="Y367" s="385">
        <f t="shared" si="132"/>
        <v>10.36471473438335</v>
      </c>
      <c r="Z367" s="385">
        <f t="shared" si="133"/>
        <v>10.999187616373334</v>
      </c>
      <c r="AA367" s="386">
        <f t="shared" si="134"/>
        <v>13.007757064233791</v>
      </c>
      <c r="AB367" s="197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0.15441320420898955</v>
      </c>
      <c r="AD367" s="231">
        <f>(INDEX(Models!$BJ367:$BT367,,AH367)*(1-AF367)+INDEX(Models!$BJ367:$BT367,,AH367+1)*AF367-ERP_i)*AE367*Ramure*Pc/MaxiM</f>
        <v>2.7015975485684175E-2</v>
      </c>
      <c r="AE367" s="305">
        <f t="shared" si="136"/>
        <v>0.8</v>
      </c>
      <c r="AF367" s="177">
        <f t="shared" si="137"/>
        <v>0.80003988383236191</v>
      </c>
      <c r="AG367" s="809">
        <f t="shared" si="143"/>
        <v>1</v>
      </c>
      <c r="AH367" s="176">
        <f t="shared" si="138"/>
        <v>7</v>
      </c>
      <c r="AI367" s="225">
        <f t="shared" si="139"/>
        <v>1.8000398838323619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44915</v>
      </c>
      <c r="B368" s="616">
        <v>4.4130000000000003</v>
      </c>
      <c r="C368" s="839"/>
      <c r="D368" s="393">
        <f t="shared" si="122"/>
        <v>4.6832518899079725</v>
      </c>
      <c r="E368" s="385">
        <f t="shared" si="144"/>
        <v>5.3271900458103536</v>
      </c>
      <c r="F368" s="385">
        <f t="shared" si="123"/>
        <v>5.3277825368163283</v>
      </c>
      <c r="G368" s="110">
        <f t="shared" si="145"/>
        <v>0.30688056783393713</v>
      </c>
      <c r="H368" s="414" t="b">
        <f>Wh_hp&gt;='2021'!Maxi_hp</f>
        <v>0</v>
      </c>
      <c r="I368" s="380">
        <f>IF(H368,Wh_hp,'2021'!Maxi_hp)</f>
        <v>17.638070585315422</v>
      </c>
      <c r="J368" s="85">
        <f>IF(H368,An,'2021'!An_max)</f>
        <v>2021</v>
      </c>
      <c r="K368" s="197">
        <f t="shared" si="124"/>
        <v>44915</v>
      </c>
      <c r="L368" s="147">
        <f>IF(t&lt;Tvie,1-EXP((T0-t)*PertePVj)+'2021'!Pspv,1-EXP((T0-t)*PertePVj)+Pspv)</f>
        <v>5.7706033384696515E-2</v>
      </c>
      <c r="M368" s="843"/>
      <c r="N368" s="843"/>
      <c r="O368" s="48">
        <f>IF(t&lt;Tnet,'2021'!Resal+('2021'!Salim-'2021'!Resal)*(1-EXP(('2021'!Tnet-t)/('2021'!Tau_j))),Resal+(Salim-Resal)*(1-EXP((Tnet-t)/(Tau_j))))*Salcycl</f>
        <v>0.12087763912399091</v>
      </c>
      <c r="P368" s="339">
        <f>(INDEX(Models!$BJ368:$BT368,,T368)*(1-R368)+INDEX(Models!$BJ368:$BT368,,T368+1)*R368-ERP_i)*Q368*Ramure*Pc/MaxiM</f>
        <v>8.2753626541580225E-3</v>
      </c>
      <c r="Q368" s="305">
        <f t="shared" si="125"/>
        <v>0.8</v>
      </c>
      <c r="R368" s="177">
        <f t="shared" si="126"/>
        <v>0.59933218823486456</v>
      </c>
      <c r="S368" s="809">
        <f t="shared" si="127"/>
        <v>0</v>
      </c>
      <c r="T368" s="176">
        <f t="shared" si="128"/>
        <v>6</v>
      </c>
      <c r="U368" s="251">
        <f t="shared" si="129"/>
        <v>0.59933218823486456</v>
      </c>
      <c r="V368" s="383">
        <f t="shared" si="130"/>
        <v>14.262772023858815</v>
      </c>
      <c r="W368" s="402"/>
      <c r="X368" s="157">
        <f t="shared" si="131"/>
        <v>44915</v>
      </c>
      <c r="Y368" s="385">
        <f t="shared" si="132"/>
        <v>4.2435251921171844</v>
      </c>
      <c r="Z368" s="385">
        <f t="shared" si="133"/>
        <v>4.5033984536267608</v>
      </c>
      <c r="AA368" s="386">
        <f t="shared" si="134"/>
        <v>5.3258607409384089</v>
      </c>
      <c r="AB368" s="197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0.15442804972154256</v>
      </c>
      <c r="AD368" s="231">
        <f>(INDEX(Models!$BJ368:$BT368,,AH368)*(1-AF368)+INDEX(Models!$BJ368:$BT368,,AH368+1)*AF368-ERP_i)*AE368*Ramure*Pc/MaxiM</f>
        <v>2.6841855279957139E-2</v>
      </c>
      <c r="AE368" s="305">
        <f t="shared" si="136"/>
        <v>0.8</v>
      </c>
      <c r="AF368" s="177">
        <f t="shared" si="137"/>
        <v>0.80004893539976796</v>
      </c>
      <c r="AG368" s="809">
        <f t="shared" si="143"/>
        <v>1</v>
      </c>
      <c r="AH368" s="176">
        <f t="shared" si="138"/>
        <v>7</v>
      </c>
      <c r="AI368" s="225">
        <f t="shared" si="139"/>
        <v>1.800048935399768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44916</v>
      </c>
      <c r="B369" s="616">
        <v>13.875999999999999</v>
      </c>
      <c r="C369" s="839"/>
      <c r="D369" s="393">
        <f t="shared" si="122"/>
        <v>14.726115892536829</v>
      </c>
      <c r="E369" s="385">
        <f t="shared" si="144"/>
        <v>16.752545142764561</v>
      </c>
      <c r="F369" s="385">
        <f t="shared" si="123"/>
        <v>16.885283849711772</v>
      </c>
      <c r="G369" s="110">
        <f t="shared" si="145"/>
        <v>0.96847146255194427</v>
      </c>
      <c r="H369" s="414" t="b">
        <f>Wh_hp&gt;='2021'!Maxi_hp</f>
        <v>1</v>
      </c>
      <c r="I369" s="380">
        <f>IF(H369,Wh_hp,'2021'!Maxi_hp)</f>
        <v>16.885283849711772</v>
      </c>
      <c r="J369" s="85">
        <f>IF(H369,An,'2021'!An_max)</f>
        <v>2022</v>
      </c>
      <c r="K369" s="197">
        <f t="shared" si="124"/>
        <v>44916</v>
      </c>
      <c r="L369" s="147">
        <f>IF(t&lt;Tvie,1-EXP((T0-t)*PertePVj)+'2021'!Pspv,1-EXP((T0-t)*PertePVj)+Pspv)</f>
        <v>5.7728453228299476E-2</v>
      </c>
      <c r="M369" s="843"/>
      <c r="N369" s="843"/>
      <c r="O369" s="48">
        <f>IF(t&lt;Tnet,'2021'!Resal+('2021'!Salim-'2021'!Resal)*(1-EXP(('2021'!Tnet-t)/('2021'!Tau_j))),Resal+(Salim-Resal)*(1-EXP((Tnet-t)/(Tau_j))))*Salcycl</f>
        <v>0.12096247065497091</v>
      </c>
      <c r="P369" s="339">
        <f>(INDEX(Models!$BJ369:$BT369,,T369)*(1-R369)+INDEX(Models!$BJ369:$BT369,,T369+1)*R369-ERP_i)*Q369*Ramure*Pc/MaxiM</f>
        <v>8.2275781181650083E-3</v>
      </c>
      <c r="Q369" s="305">
        <f t="shared" si="125"/>
        <v>0.8</v>
      </c>
      <c r="R369" s="177">
        <f t="shared" si="126"/>
        <v>0.59934087561636884</v>
      </c>
      <c r="S369" s="809">
        <f t="shared" si="127"/>
        <v>0</v>
      </c>
      <c r="T369" s="176">
        <f t="shared" si="128"/>
        <v>6</v>
      </c>
      <c r="U369" s="251">
        <f t="shared" si="129"/>
        <v>0.59934087561636884</v>
      </c>
      <c r="V369" s="383">
        <f t="shared" si="130"/>
        <v>14.322441585188329</v>
      </c>
      <c r="W369" s="402"/>
      <c r="X369" s="157">
        <f t="shared" si="131"/>
        <v>44916</v>
      </c>
      <c r="Y369" s="385">
        <f t="shared" si="132"/>
        <v>13.110256654420251</v>
      </c>
      <c r="Z369" s="385">
        <f t="shared" si="133"/>
        <v>13.913459128992129</v>
      </c>
      <c r="AA369" s="386">
        <f t="shared" si="134"/>
        <v>16.454806266158645</v>
      </c>
      <c r="AB369" s="197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0.154444063093779</v>
      </c>
      <c r="AD369" s="231">
        <f>(INDEX(Models!$BJ369:$BT369,,AH369)*(1-AF369)+INDEX(Models!$BJ369:$BT369,,AH369+1)*AF369-ERP_i)*AE369*Ramure*Pc/MaxiM</f>
        <v>2.6682405066751465E-2</v>
      </c>
      <c r="AE369" s="305">
        <f t="shared" si="136"/>
        <v>0.8</v>
      </c>
      <c r="AF369" s="177">
        <f t="shared" si="137"/>
        <v>0.80005762278127213</v>
      </c>
      <c r="AG369" s="809">
        <f t="shared" si="143"/>
        <v>1</v>
      </c>
      <c r="AH369" s="176">
        <f t="shared" si="138"/>
        <v>7</v>
      </c>
      <c r="AI369" s="225">
        <f t="shared" si="139"/>
        <v>1.8000576227812721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44917</v>
      </c>
      <c r="B370" s="616">
        <v>10.244</v>
      </c>
      <c r="C370" s="839"/>
      <c r="D370" s="393">
        <f t="shared" si="122"/>
        <v>10.871859364545106</v>
      </c>
      <c r="E370" s="385">
        <f t="shared" si="144"/>
        <v>12.369116010456924</v>
      </c>
      <c r="F370" s="385">
        <f t="shared" si="123"/>
        <v>12.428995373058894</v>
      </c>
      <c r="G370" s="110">
        <f t="shared" si="145"/>
        <v>0.70969545216871988</v>
      </c>
      <c r="H370" s="414" t="b">
        <f>Wh_hp&gt;='2021'!Maxi_hp</f>
        <v>0</v>
      </c>
      <c r="I370" s="380">
        <f>IF(H370,Wh_hp,'2021'!Maxi_hp)</f>
        <v>16.570747847760565</v>
      </c>
      <c r="J370" s="85">
        <f>IF(H370,An,'2021'!An_max)</f>
        <v>2021</v>
      </c>
      <c r="K370" s="197">
        <f t="shared" si="124"/>
        <v>44917</v>
      </c>
      <c r="L370" s="147">
        <f>IF(t&lt;Tvie,1-EXP((T0-t)*PertePVj)+'2021'!Pspv,1-EXP((T0-t)*PertePVj)+Pspv)</f>
        <v>5.7750872550159899E-2</v>
      </c>
      <c r="M370" s="843"/>
      <c r="N370" s="843"/>
      <c r="O370" s="48">
        <f>IF(t&lt;Tnet,'2021'!Resal+('2021'!Salim-'2021'!Resal)*(1-EXP(('2021'!Tnet-t)/('2021'!Tau_j))),Resal+(Salim-Resal)*(1-EXP((Tnet-t)/(Tau_j))))*Salcycl</f>
        <v>0.12104799119403749</v>
      </c>
      <c r="P370" s="339">
        <f>(INDEX(Models!$BJ370:$BT370,,T370)*(1-R370)+INDEX(Models!$BJ370:$BT370,,T370+1)*R370-ERP_i)*Q370*Ramure*Pc/MaxiM</f>
        <v>8.183377958741668E-3</v>
      </c>
      <c r="Q370" s="305">
        <f t="shared" si="125"/>
        <v>0.8</v>
      </c>
      <c r="R370" s="177">
        <f t="shared" si="126"/>
        <v>0.59934921345492553</v>
      </c>
      <c r="S370" s="809">
        <f t="shared" si="127"/>
        <v>0</v>
      </c>
      <c r="T370" s="176">
        <f t="shared" si="128"/>
        <v>6</v>
      </c>
      <c r="U370" s="251">
        <f t="shared" si="129"/>
        <v>0.59934921345492553</v>
      </c>
      <c r="V370" s="383">
        <f t="shared" si="130"/>
        <v>14.385544127597871</v>
      </c>
      <c r="W370" s="402"/>
      <c r="X370" s="157">
        <f t="shared" si="131"/>
        <v>44917</v>
      </c>
      <c r="Y370" s="385">
        <f t="shared" si="132"/>
        <v>9.7475704635278255</v>
      </c>
      <c r="Z370" s="385">
        <f t="shared" si="133"/>
        <v>10.345003438643916</v>
      </c>
      <c r="AA370" s="386">
        <f t="shared" si="134"/>
        <v>12.23480563186398</v>
      </c>
      <c r="AB370" s="197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0.15446115370221472</v>
      </c>
      <c r="AD370" s="231">
        <f>(INDEX(Models!$BJ370:$BT370,,AH370)*(1-AF370)+INDEX(Models!$BJ370:$BT370,,AH370+1)*AF370-ERP_i)*AE370*Ramure*Pc/MaxiM</f>
        <v>2.6538827049169704E-2</v>
      </c>
      <c r="AE370" s="305">
        <f t="shared" si="136"/>
        <v>0.8</v>
      </c>
      <c r="AF370" s="177">
        <f t="shared" si="137"/>
        <v>0.80006596061982904</v>
      </c>
      <c r="AG370" s="809">
        <f t="shared" si="143"/>
        <v>1</v>
      </c>
      <c r="AH370" s="176">
        <f t="shared" si="138"/>
        <v>7</v>
      </c>
      <c r="AI370" s="225">
        <f t="shared" si="139"/>
        <v>1.800065960619829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44918</v>
      </c>
      <c r="B371" s="616">
        <v>11.011000000000001</v>
      </c>
      <c r="C371" s="839"/>
      <c r="D371" s="393">
        <f t="shared" si="122"/>
        <v>11.68614718614768</v>
      </c>
      <c r="E371" s="385">
        <f t="shared" si="144"/>
        <v>13.296849535567457</v>
      </c>
      <c r="F371" s="385">
        <f t="shared" si="123"/>
        <v>13.368688789312936</v>
      </c>
      <c r="G371" s="110">
        <f t="shared" si="145"/>
        <v>0.75981774545908731</v>
      </c>
      <c r="H371" s="414" t="b">
        <f>Wh_hp&gt;='2021'!Maxi_hp</f>
        <v>0</v>
      </c>
      <c r="I371" s="380">
        <f>IF(H371,Wh_hp,'2021'!Maxi_hp)</f>
        <v>14.372652723691925</v>
      </c>
      <c r="J371" s="85">
        <f>IF(H371,An,'2021'!An_max)</f>
        <v>2020</v>
      </c>
      <c r="K371" s="197">
        <f t="shared" si="124"/>
        <v>44918</v>
      </c>
      <c r="L371" s="147">
        <f>IF(t&lt;Tvie,1-EXP((T0-t)*PertePVj)+'2021'!Pspv,1-EXP((T0-t)*PertePVj)+Pspv)</f>
        <v>5.7773291350289885E-2</v>
      </c>
      <c r="M371" s="843"/>
      <c r="N371" s="843"/>
      <c r="O371" s="48">
        <f>IF(t&lt;Tnet,'2021'!Resal+('2021'!Salim-'2021'!Resal)*(1-EXP(('2021'!Tnet-t)/('2021'!Tau_j))),Resal+(Salim-Resal)*(1-EXP((Tnet-t)/(Tau_j))))*Salcycl</f>
        <v>0.12113413369921525</v>
      </c>
      <c r="P371" s="339">
        <f>(INDEX(Models!$BJ371:$BT371,,T371)*(1-R371)+INDEX(Models!$BJ371:$BT371,,T371+1)*R371-ERP_i)*Q371*Ramure*Pc/MaxiM</f>
        <v>8.1430332598326233E-3</v>
      </c>
      <c r="Q371" s="305">
        <f t="shared" si="125"/>
        <v>0.8</v>
      </c>
      <c r="R371" s="177">
        <f t="shared" si="126"/>
        <v>0.59934921345492553</v>
      </c>
      <c r="S371" s="809">
        <f t="shared" si="127"/>
        <v>0</v>
      </c>
      <c r="T371" s="176">
        <f t="shared" si="128"/>
        <v>6</v>
      </c>
      <c r="U371" s="251">
        <f t="shared" si="129"/>
        <v>0.59934921345492553</v>
      </c>
      <c r="V371" s="383">
        <f t="shared" si="130"/>
        <v>14.451284052959776</v>
      </c>
      <c r="W371" s="402"/>
      <c r="X371" s="157">
        <f t="shared" si="131"/>
        <v>44918</v>
      </c>
      <c r="Y371" s="385">
        <f t="shared" si="132"/>
        <v>10.464828666852405</v>
      </c>
      <c r="Z371" s="385">
        <f t="shared" si="133"/>
        <v>11.10648697472117</v>
      </c>
      <c r="AA371" s="386">
        <f t="shared" si="134"/>
        <v>13.135676160984218</v>
      </c>
      <c r="AB371" s="197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0.15447923360733989</v>
      </c>
      <c r="AD371" s="231">
        <f>(INDEX(Models!$BJ371:$BT371,,AH371)*(1-AF371)+INDEX(Models!$BJ371:$BT371,,AH371+1)*AF371-ERP_i)*AE371*Ramure*Pc/MaxiM</f>
        <v>2.6412156077849285E-2</v>
      </c>
      <c r="AE371" s="305">
        <f t="shared" si="136"/>
        <v>0.8</v>
      </c>
      <c r="AF371" s="177">
        <f t="shared" si="137"/>
        <v>0.80006596061982904</v>
      </c>
      <c r="AG371" s="809">
        <f t="shared" si="143"/>
        <v>1</v>
      </c>
      <c r="AH371" s="176">
        <f t="shared" si="138"/>
        <v>7</v>
      </c>
      <c r="AI371" s="225">
        <f t="shared" si="139"/>
        <v>1.800065960619829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44919</v>
      </c>
      <c r="B372" s="616">
        <v>14.637</v>
      </c>
      <c r="C372" s="839"/>
      <c r="D372" s="393">
        <f t="shared" si="122"/>
        <v>15.534847537397583</v>
      </c>
      <c r="E372" s="385">
        <f t="shared" si="144"/>
        <v>17.677760383514961</v>
      </c>
      <c r="F372" s="385">
        <f t="shared" si="123"/>
        <v>17.822245305266634</v>
      </c>
      <c r="G372" s="110">
        <f t="shared" si="145"/>
        <v>1.008136783112872</v>
      </c>
      <c r="H372" s="414" t="b">
        <f>Wh_hp&gt;='2021'!Maxi_hp</f>
        <v>1</v>
      </c>
      <c r="I372" s="380">
        <f>IF(H372,Wh_hp,'2021'!Maxi_hp)</f>
        <v>17.822245305266634</v>
      </c>
      <c r="J372" s="85">
        <f>IF(H372,An,'2021'!An_max)</f>
        <v>2022</v>
      </c>
      <c r="K372" s="197">
        <f t="shared" si="124"/>
        <v>44919</v>
      </c>
      <c r="L372" s="147">
        <f>IF(t&lt;Tvie,1-EXP((T0-t)*PertePVj)+'2021'!Pspv,1-EXP((T0-t)*PertePVj)+Pspv)</f>
        <v>5.7795709628701758E-2</v>
      </c>
      <c r="M372" s="843"/>
      <c r="N372" s="843"/>
      <c r="O372" s="48">
        <f>IF(t&lt;Tnet,'2021'!Resal+('2021'!Salim-'2021'!Resal)*(1-EXP(('2021'!Tnet-t)/('2021'!Tau_j))),Resal+(Salim-Resal)*(1-EXP((Tnet-t)/(Tau_j))))*Salcycl</f>
        <v>0.12122083338767886</v>
      </c>
      <c r="P372" s="339">
        <f>(INDEX(Models!$BJ372:$BT372,,T372)*(1-R372)+INDEX(Models!$BJ372:$BT372,,T372+1)*R372-ERP_i)*Q372*Ramure*Pc/MaxiM</f>
        <v>8.1069988251690848E-3</v>
      </c>
      <c r="Q372" s="305">
        <f t="shared" si="125"/>
        <v>0.8</v>
      </c>
      <c r="R372" s="177">
        <f t="shared" si="126"/>
        <v>0.59934921345492553</v>
      </c>
      <c r="S372" s="809">
        <f t="shared" si="127"/>
        <v>0</v>
      </c>
      <c r="T372" s="176">
        <f t="shared" si="128"/>
        <v>6</v>
      </c>
      <c r="U372" s="251">
        <f t="shared" si="129"/>
        <v>0.59934921345492553</v>
      </c>
      <c r="V372" s="383">
        <f t="shared" si="130"/>
        <v>14.518863159426282</v>
      </c>
      <c r="W372" s="402"/>
      <c r="X372" s="157">
        <f t="shared" si="131"/>
        <v>44919</v>
      </c>
      <c r="Y372" s="385">
        <f t="shared" si="132"/>
        <v>13.824378075529623</v>
      </c>
      <c r="Z372" s="385">
        <f t="shared" si="133"/>
        <v>14.672378609188666</v>
      </c>
      <c r="AA372" s="386">
        <f t="shared" si="134"/>
        <v>17.353456753134193</v>
      </c>
      <c r="AB372" s="197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0.15449821796808874</v>
      </c>
      <c r="AD372" s="231">
        <f>(INDEX(Models!$BJ372:$BT372,,AH372)*(1-AF372)+INDEX(Models!$BJ372:$BT372,,AH372+1)*AF372-ERP_i)*AE372*Ramure*Pc/MaxiM</f>
        <v>2.6303562996852624E-2</v>
      </c>
      <c r="AE372" s="305">
        <f t="shared" si="136"/>
        <v>0.8</v>
      </c>
      <c r="AF372" s="177">
        <f t="shared" si="137"/>
        <v>0.80006596061982904</v>
      </c>
      <c r="AG372" s="809">
        <f t="shared" si="143"/>
        <v>1</v>
      </c>
      <c r="AH372" s="176">
        <f t="shared" si="138"/>
        <v>7</v>
      </c>
      <c r="AI372" s="225">
        <f t="shared" si="139"/>
        <v>1.800065960619829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44920</v>
      </c>
      <c r="B373" s="616">
        <v>8.7870000000000008</v>
      </c>
      <c r="C373" s="839"/>
      <c r="D373" s="393">
        <f t="shared" si="122"/>
        <v>9.3262248567951342</v>
      </c>
      <c r="E373" s="385">
        <f t="shared" si="144"/>
        <v>10.613759035448963</v>
      </c>
      <c r="F373" s="385">
        <f t="shared" si="123"/>
        <v>10.650902143998623</v>
      </c>
      <c r="G373" s="110">
        <f t="shared" si="145"/>
        <v>0.59953873619264431</v>
      </c>
      <c r="H373" s="414" t="b">
        <f>Wh_hp&gt;='2021'!Maxi_hp</f>
        <v>0</v>
      </c>
      <c r="I373" s="380">
        <f>IF(H373,Wh_hp,'2021'!Maxi_hp)</f>
        <v>13.575447760552157</v>
      </c>
      <c r="J373" s="85">
        <f>IF(H373,An,'2021'!An_max)</f>
        <v>2018</v>
      </c>
      <c r="K373" s="197">
        <f t="shared" si="124"/>
        <v>44920</v>
      </c>
      <c r="L373" s="147">
        <f>IF(t&lt;Tvie,1-EXP((T0-t)*PertePVj)+'2021'!Pspv,1-EXP((T0-t)*PertePVj)+Pspv)</f>
        <v>5.7818127385407397E-2</v>
      </c>
      <c r="M373" s="843"/>
      <c r="N373" s="843"/>
      <c r="O373" s="48">
        <f>IF(t&lt;Tnet,'2021'!Resal+('2021'!Salim-'2021'!Resal)*(1-EXP(('2021'!Tnet-t)/('2021'!Tau_j))),Resal+(Salim-Resal)*(1-EXP((Tnet-t)/(Tau_j))))*Salcycl</f>
        <v>0.12130802803734141</v>
      </c>
      <c r="P373" s="339">
        <f>(INDEX(Models!$BJ373:$BT373,,T373)*(1-R373)+INDEX(Models!$BJ373:$BT373,,T373+1)*R373-ERP_i)*Q373*Ramure*Pc/MaxiM</f>
        <v>8.074863198798082E-3</v>
      </c>
      <c r="Q373" s="305">
        <f t="shared" si="125"/>
        <v>0.8</v>
      </c>
      <c r="R373" s="177">
        <f t="shared" si="126"/>
        <v>0.59934921345492553</v>
      </c>
      <c r="S373" s="809">
        <f t="shared" si="127"/>
        <v>0</v>
      </c>
      <c r="T373" s="176">
        <f t="shared" si="128"/>
        <v>6</v>
      </c>
      <c r="U373" s="251">
        <f t="shared" si="129"/>
        <v>0.59934921345492553</v>
      </c>
      <c r="V373" s="383">
        <f t="shared" si="130"/>
        <v>14.588795794488572</v>
      </c>
      <c r="W373" s="402"/>
      <c r="X373" s="157">
        <f t="shared" si="131"/>
        <v>44920</v>
      </c>
      <c r="Y373" s="385">
        <f t="shared" si="132"/>
        <v>8.3884397359183751</v>
      </c>
      <c r="Z373" s="385">
        <f t="shared" si="133"/>
        <v>8.9032064612324984</v>
      </c>
      <c r="AA373" s="386">
        <f t="shared" si="134"/>
        <v>10.530332672803093</v>
      </c>
      <c r="AB373" s="197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0.15451802541556994</v>
      </c>
      <c r="AD373" s="231">
        <f>(INDEX(Models!$BJ373:$BT373,,AH373)*(1-AF373)+INDEX(Models!$BJ373:$BT373,,AH373+1)*AF373-ERP_i)*AE373*Ramure*Pc/MaxiM</f>
        <v>2.6211645278791641E-2</v>
      </c>
      <c r="AE373" s="305">
        <f t="shared" si="136"/>
        <v>0.8</v>
      </c>
      <c r="AF373" s="177">
        <f t="shared" si="137"/>
        <v>0.80006596061982904</v>
      </c>
      <c r="AG373" s="809">
        <f t="shared" si="143"/>
        <v>1</v>
      </c>
      <c r="AH373" s="176">
        <f t="shared" si="138"/>
        <v>7</v>
      </c>
      <c r="AI373" s="225">
        <f t="shared" si="139"/>
        <v>1.800065960619829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44921</v>
      </c>
      <c r="B374" s="616">
        <v>14.442</v>
      </c>
      <c r="C374" s="839"/>
      <c r="D374" s="393">
        <f t="shared" si="122"/>
        <v>15.328615466881402</v>
      </c>
      <c r="E374" s="385">
        <f t="shared" si="144"/>
        <v>17.446551011178951</v>
      </c>
      <c r="F374" s="385">
        <f t="shared" si="123"/>
        <v>17.584999794203402</v>
      </c>
      <c r="G374" s="110">
        <f t="shared" si="145"/>
        <v>0.98480208011735937</v>
      </c>
      <c r="H374" s="414" t="b">
        <f>Wh_hp&gt;='2021'!Maxi_hp</f>
        <v>1</v>
      </c>
      <c r="I374" s="380">
        <f>IF(H374,Wh_hp,'2021'!Maxi_hp)</f>
        <v>17.584999794203402</v>
      </c>
      <c r="J374" s="85">
        <f>IF(H374,An,'2021'!An_max)</f>
        <v>2022</v>
      </c>
      <c r="K374" s="197">
        <f t="shared" si="124"/>
        <v>44921</v>
      </c>
      <c r="L374" s="147">
        <f>IF(t&lt;Tvie,1-EXP((T0-t)*PertePVj)+'2021'!Pspv,1-EXP((T0-t)*PertePVj)+Pspv)</f>
        <v>5.7840544620419237E-2</v>
      </c>
      <c r="M374" s="843"/>
      <c r="N374" s="843"/>
      <c r="O374" s="48">
        <f>IF(t&lt;Tnet,'2021'!Resal+('2021'!Salim-'2021'!Resal)*(1-EXP(('2021'!Tnet-t)/('2021'!Tau_j))),Resal+(Salim-Resal)*(1-EXP((Tnet-t)/(Tau_j))))*Salcycl</f>
        <v>0.12139565825591959</v>
      </c>
      <c r="P374" s="339">
        <f>(INDEX(Models!$BJ374:$BT374,,T374)*(1-R374)+INDEX(Models!$BJ374:$BT374,,T374+1)*R374-ERP_i)*Q374*Ramure*Pc/MaxiM</f>
        <v>8.0458329920359093E-3</v>
      </c>
      <c r="Q374" s="305">
        <f t="shared" si="125"/>
        <v>0.8</v>
      </c>
      <c r="R374" s="177">
        <f t="shared" si="126"/>
        <v>0.59934921345492553</v>
      </c>
      <c r="S374" s="809">
        <f t="shared" si="127"/>
        <v>0</v>
      </c>
      <c r="T374" s="176">
        <f t="shared" si="128"/>
        <v>6</v>
      </c>
      <c r="U374" s="251">
        <f t="shared" si="129"/>
        <v>0.59934921345492553</v>
      </c>
      <c r="V374" s="383">
        <f t="shared" si="130"/>
        <v>14.662322664906096</v>
      </c>
      <c r="W374" s="402"/>
      <c r="X374" s="157">
        <f t="shared" si="131"/>
        <v>44921</v>
      </c>
      <c r="Y374" s="385">
        <f t="shared" si="132"/>
        <v>13.649287754745098</v>
      </c>
      <c r="Z374" s="385">
        <f t="shared" si="133"/>
        <v>14.487237459444719</v>
      </c>
      <c r="AA374" s="386">
        <f t="shared" si="134"/>
        <v>17.135302793303744</v>
      </c>
      <c r="AB374" s="197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0.15453857838414475</v>
      </c>
      <c r="AD374" s="231">
        <f>(INDEX(Models!$BJ374:$BT374,,AH374)*(1-AF374)+INDEX(Models!$BJ374:$BT374,,AH374+1)*AF374-ERP_i)*AE374*Ramure*Pc/MaxiM</f>
        <v>2.613375782161317E-2</v>
      </c>
      <c r="AE374" s="305">
        <f t="shared" si="136"/>
        <v>0.8</v>
      </c>
      <c r="AF374" s="177">
        <f t="shared" si="137"/>
        <v>0.80006596061982904</v>
      </c>
      <c r="AG374" s="809">
        <f t="shared" si="143"/>
        <v>1</v>
      </c>
      <c r="AH374" s="176">
        <f t="shared" si="138"/>
        <v>7</v>
      </c>
      <c r="AI374" s="225">
        <f t="shared" si="139"/>
        <v>1.800065960619829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44922</v>
      </c>
      <c r="B375" s="616">
        <v>6.43</v>
      </c>
      <c r="C375" s="839"/>
      <c r="D375" s="393">
        <f t="shared" si="122"/>
        <v>6.8249094729390078</v>
      </c>
      <c r="E375" s="385">
        <f t="shared" si="144"/>
        <v>7.7686768272099078</v>
      </c>
      <c r="F375" s="385">
        <f t="shared" si="123"/>
        <v>7.7808241314752982</v>
      </c>
      <c r="G375" s="110">
        <f t="shared" si="145"/>
        <v>0.43341391287454023</v>
      </c>
      <c r="H375" s="414" t="b">
        <f>Wh_hp&gt;='2021'!Maxi_hp</f>
        <v>0</v>
      </c>
      <c r="I375" s="380">
        <f>IF(H375,Wh_hp,'2021'!Maxi_hp)</f>
        <v>16.697654329104385</v>
      </c>
      <c r="J375" s="85">
        <f>IF(H375,An,'2021'!An_max)</f>
        <v>2018</v>
      </c>
      <c r="K375" s="197">
        <f t="shared" si="124"/>
        <v>44922</v>
      </c>
      <c r="L375" s="147">
        <f>IF(t&lt;Tvie,1-EXP((T0-t)*PertePVj)+'2021'!Pspv,1-EXP((T0-t)*PertePVj)+Pspv)</f>
        <v>5.7862961333749158E-2</v>
      </c>
      <c r="M375" s="843"/>
      <c r="N375" s="843"/>
      <c r="O375" s="48">
        <f>IF(t&lt;Tnet,'2021'!Resal+('2021'!Salim-'2021'!Resal)*(1-EXP(('2021'!Tnet-t)/('2021'!Tau_j))),Resal+(Salim-Resal)*(1-EXP((Tnet-t)/(Tau_j))))*Salcycl</f>
        <v>0.12148366771614706</v>
      </c>
      <c r="P375" s="339">
        <f>(INDEX(Models!$BJ375:$BT375,,T375)*(1-R375)+INDEX(Models!$BJ375:$BT375,,T375+1)*R375-ERP_i)*Q375*Ramure*Pc/MaxiM</f>
        <v>8.0215565549935346E-3</v>
      </c>
      <c r="Q375" s="305">
        <f t="shared" si="125"/>
        <v>0.8</v>
      </c>
      <c r="R375" s="177">
        <f t="shared" si="126"/>
        <v>0.59934921345492553</v>
      </c>
      <c r="S375" s="809">
        <f t="shared" si="127"/>
        <v>0</v>
      </c>
      <c r="T375" s="176">
        <f t="shared" si="128"/>
        <v>6</v>
      </c>
      <c r="U375" s="251">
        <f t="shared" si="129"/>
        <v>0.59934921345492553</v>
      </c>
      <c r="V375" s="383">
        <f t="shared" si="130"/>
        <v>14.739708778255883</v>
      </c>
      <c r="W375" s="402"/>
      <c r="X375" s="157">
        <f t="shared" si="131"/>
        <v>44922</v>
      </c>
      <c r="Y375" s="385">
        <f t="shared" si="132"/>
        <v>6.1661319805695083</v>
      </c>
      <c r="Z375" s="385">
        <f t="shared" si="133"/>
        <v>6.5448355467466568</v>
      </c>
      <c r="AA375" s="386">
        <f t="shared" si="134"/>
        <v>7.7413347189480888</v>
      </c>
      <c r="AB375" s="197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0.15455980339834929</v>
      </c>
      <c r="AD375" s="231">
        <f>(INDEX(Models!$BJ375:$BT375,,AH375)*(1-AF375)+INDEX(Models!$BJ375:$BT375,,AH375+1)*AF375-ERP_i)*AE375*Ramure*Pc/MaxiM</f>
        <v>2.6077107232177994E-2</v>
      </c>
      <c r="AE375" s="305">
        <f t="shared" si="136"/>
        <v>0.8</v>
      </c>
      <c r="AF375" s="177">
        <f t="shared" si="137"/>
        <v>0.80006596061982904</v>
      </c>
      <c r="AG375" s="809">
        <f t="shared" si="143"/>
        <v>1</v>
      </c>
      <c r="AH375" s="176">
        <f t="shared" si="138"/>
        <v>7</v>
      </c>
      <c r="AI375" s="225">
        <f t="shared" si="139"/>
        <v>1.800065960619829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44923</v>
      </c>
      <c r="B376" s="616">
        <v>13.566000000000001</v>
      </c>
      <c r="C376" s="839"/>
      <c r="D376" s="393">
        <f t="shared" si="122"/>
        <v>14.399521752849012</v>
      </c>
      <c r="E376" s="385">
        <f t="shared" si="144"/>
        <v>16.392375707359065</v>
      </c>
      <c r="F376" s="385">
        <f t="shared" si="123"/>
        <v>16.508460643102687</v>
      </c>
      <c r="G376" s="110">
        <f t="shared" si="145"/>
        <v>0.91441353564554773</v>
      </c>
      <c r="H376" s="414" t="b">
        <f>Wh_hp&gt;='2021'!Maxi_hp</f>
        <v>1</v>
      </c>
      <c r="I376" s="380">
        <f>IF(H376,Wh_hp,'2021'!Maxi_hp)</f>
        <v>16.508460643102687</v>
      </c>
      <c r="J376" s="85">
        <f>IF(H376,An,'2021'!An_max)</f>
        <v>2022</v>
      </c>
      <c r="K376" s="197">
        <f t="shared" si="124"/>
        <v>44923</v>
      </c>
      <c r="L376" s="147">
        <f>IF(t&lt;Tvie,1-EXP((T0-t)*PertePVj)+'2021'!Pspv,1-EXP((T0-t)*PertePVj)+Pspv)</f>
        <v>5.7885377525409482E-2</v>
      </c>
      <c r="M376" s="843"/>
      <c r="N376" s="843"/>
      <c r="O376" s="48">
        <f>IF(t&lt;Tnet,'2021'!Resal+('2021'!Salim-'2021'!Resal)*(1-EXP(('2021'!Tnet-t)/('2021'!Tau_j))),Resal+(Salim-Resal)*(1-EXP((Tnet-t)/(Tau_j))))*Salcycl</f>
        <v>0.12157200335613326</v>
      </c>
      <c r="P376" s="339">
        <f>(INDEX(Models!$BJ376:$BT376,,T376)*(1-R376)+INDEX(Models!$BJ376:$BT376,,T376+1)*R376-ERP_i)*Q376*Ramure*Pc/MaxiM</f>
        <v>7.999749019023077E-3</v>
      </c>
      <c r="Q376" s="305">
        <f t="shared" si="125"/>
        <v>0.8</v>
      </c>
      <c r="R376" s="177">
        <f t="shared" si="126"/>
        <v>0.59934921345492553</v>
      </c>
      <c r="S376" s="809">
        <f t="shared" si="127"/>
        <v>0</v>
      </c>
      <c r="T376" s="176">
        <f t="shared" si="128"/>
        <v>6</v>
      </c>
      <c r="U376" s="251">
        <f t="shared" si="129"/>
        <v>0.59934921345492553</v>
      </c>
      <c r="V376" s="383">
        <f t="shared" si="130"/>
        <v>14.82127713456582</v>
      </c>
      <c r="W376" s="402"/>
      <c r="X376" s="157">
        <f t="shared" si="131"/>
        <v>44923</v>
      </c>
      <c r="Y376" s="385">
        <f t="shared" si="132"/>
        <v>12.847801227058772</v>
      </c>
      <c r="Z376" s="385">
        <f t="shared" si="133"/>
        <v>13.637195433091037</v>
      </c>
      <c r="AA376" s="386">
        <f t="shared" si="134"/>
        <v>16.130706332174988</v>
      </c>
      <c r="AB376" s="197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0.15458163131457478</v>
      </c>
      <c r="AD376" s="231">
        <f>(INDEX(Models!$BJ376:$BT376,,AH376)*(1-AF376)+INDEX(Models!$BJ376:$BT376,,AH376+1)*AF376-ERP_i)*AE376*Ramure*Pc/MaxiM</f>
        <v>2.6032143265769119E-2</v>
      </c>
      <c r="AE376" s="305">
        <f t="shared" si="136"/>
        <v>0.8</v>
      </c>
      <c r="AF376" s="177">
        <f t="shared" si="137"/>
        <v>0.80006596061982904</v>
      </c>
      <c r="AG376" s="809">
        <f t="shared" si="143"/>
        <v>1</v>
      </c>
      <c r="AH376" s="176">
        <f t="shared" si="138"/>
        <v>7</v>
      </c>
      <c r="AI376" s="225">
        <f t="shared" si="139"/>
        <v>1.800065960619829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44924</v>
      </c>
      <c r="B377" s="616">
        <v>7.9510000000000005</v>
      </c>
      <c r="C377" s="839"/>
      <c r="D377" s="393">
        <f t="shared" si="122"/>
        <v>8.4397259021687514</v>
      </c>
      <c r="E377" s="385">
        <f t="shared" si="144"/>
        <v>9.6087298959020782</v>
      </c>
      <c r="F377" s="385">
        <f t="shared" si="123"/>
        <v>9.6343610024624873</v>
      </c>
      <c r="G377" s="110">
        <f t="shared" si="145"/>
        <v>0.53051717443018942</v>
      </c>
      <c r="H377" s="414" t="b">
        <f>Wh_hp&gt;='2021'!Maxi_hp</f>
        <v>0</v>
      </c>
      <c r="I377" s="380">
        <f>IF(H377,Wh_hp,'2021'!Maxi_hp)</f>
        <v>18.884024419131489</v>
      </c>
      <c r="J377" s="85">
        <f>IF(H377,An,'2021'!An_max)</f>
        <v>2019</v>
      </c>
      <c r="K377" s="197">
        <f t="shared" si="124"/>
        <v>44924</v>
      </c>
      <c r="L377" s="147">
        <f>IF(t&lt;Tvie,1-EXP((T0-t)*PertePVj)+'2021'!Pspv,1-EXP((T0-t)*PertePVj)+Pspv)</f>
        <v>5.7907793195412199E-2</v>
      </c>
      <c r="M377" s="843"/>
      <c r="N377" s="843"/>
      <c r="O377" s="48">
        <f>IF(t&lt;Tnet,'2021'!Resal+('2021'!Salim-'2021'!Resal)*(1-EXP(('2021'!Tnet-t)/('2021'!Tau_j))),Resal+(Salim-Resal)*(1-EXP((Tnet-t)/(Tau_j))))*Salcycl</f>
        <v>0.12166061554419191</v>
      </c>
      <c r="P377" s="339">
        <f>(INDEX(Models!$BJ377:$BT377,,T377)*(1-R377)+INDEX(Models!$BJ377:$BT377,,T377+1)*R377-ERP_i)*Q377*Ramure*Pc/MaxiM</f>
        <v>7.9801697366741094E-3</v>
      </c>
      <c r="Q377" s="305">
        <f t="shared" si="125"/>
        <v>0.8</v>
      </c>
      <c r="R377" s="177">
        <f t="shared" si="126"/>
        <v>0.59934921345492553</v>
      </c>
      <c r="S377" s="809">
        <f t="shared" si="127"/>
        <v>0</v>
      </c>
      <c r="T377" s="176">
        <f t="shared" si="128"/>
        <v>6</v>
      </c>
      <c r="U377" s="251">
        <f t="shared" si="129"/>
        <v>0.59934921345492553</v>
      </c>
      <c r="V377" s="383">
        <f t="shared" si="130"/>
        <v>14.907320520863571</v>
      </c>
      <c r="W377" s="402"/>
      <c r="X377" s="157">
        <f t="shared" si="131"/>
        <v>44924</v>
      </c>
      <c r="Y377" s="385">
        <f t="shared" si="132"/>
        <v>7.606695817018803</v>
      </c>
      <c r="Z377" s="385">
        <f t="shared" si="133"/>
        <v>8.0742582966686314</v>
      </c>
      <c r="AA377" s="386">
        <f t="shared" si="134"/>
        <v>9.5508593285895937</v>
      </c>
      <c r="AB377" s="197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0.15460399751684101</v>
      </c>
      <c r="AD377" s="231">
        <f>(INDEX(Models!$BJ377:$BT377,,AH377)*(1-AF377)+INDEX(Models!$BJ377:$BT377,,AH377+1)*AF377-ERP_i)*AE377*Ramure*Pc/MaxiM</f>
        <v>2.5998000875677465E-2</v>
      </c>
      <c r="AE377" s="305">
        <f t="shared" si="136"/>
        <v>0.8</v>
      </c>
      <c r="AF377" s="177">
        <f t="shared" si="137"/>
        <v>0.80006596061982904</v>
      </c>
      <c r="AG377" s="809">
        <f t="shared" si="143"/>
        <v>1</v>
      </c>
      <c r="AH377" s="176">
        <f t="shared" si="138"/>
        <v>7</v>
      </c>
      <c r="AI377" s="225">
        <f t="shared" si="139"/>
        <v>1.800065960619829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44925</v>
      </c>
      <c r="B378" s="616">
        <v>10.326000000000001</v>
      </c>
      <c r="C378" s="839"/>
      <c r="D378" s="393">
        <f t="shared" si="122"/>
        <v>10.960971354198829</v>
      </c>
      <c r="E378" s="385">
        <f t="shared" si="144"/>
        <v>12.480460680196447</v>
      </c>
      <c r="F378" s="385">
        <f t="shared" si="123"/>
        <v>12.535857547108893</v>
      </c>
      <c r="G378" s="110">
        <f t="shared" si="145"/>
        <v>0.68603527731754577</v>
      </c>
      <c r="H378" s="414" t="b">
        <f>Wh_hp&gt;='2021'!Maxi_hp</f>
        <v>0</v>
      </c>
      <c r="I378" s="380">
        <f>IF(H378,Wh_hp,'2021'!Maxi_hp)</f>
        <v>17.411891706814348</v>
      </c>
      <c r="J378" s="85">
        <f>IF(H378,An,'2021'!An_max)</f>
        <v>2019</v>
      </c>
      <c r="K378" s="197">
        <f t="shared" si="124"/>
        <v>44925</v>
      </c>
      <c r="L378" s="147">
        <f>IF(t&lt;Tvie,1-EXP((T0-t)*PertePVj)+'2021'!Pspv,1-EXP((T0-t)*PertePVj)+Pspv)</f>
        <v>5.7930208343769635E-2</v>
      </c>
      <c r="M378" s="843"/>
      <c r="N378" s="843"/>
      <c r="O378" s="48">
        <f>IF(t&lt;Tnet,'2021'!Resal+('2021'!Salim-'2021'!Resal)*(1-EXP(('2021'!Tnet-t)/('2021'!Tau_j))),Resal+(Salim-Resal)*(1-EXP((Tnet-t)/(Tau_j))))*Salcycl</f>
        <v>0.12174945820779605</v>
      </c>
      <c r="P378" s="339">
        <f>(INDEX(Models!$BJ378:$BT378,,T378)*(1-R378)+INDEX(Models!$BJ378:$BT378,,T378+1)*R378-ERP_i)*Q378*Ramure*Pc/MaxiM</f>
        <v>7.9625850824228163E-3</v>
      </c>
      <c r="Q378" s="305">
        <f t="shared" si="125"/>
        <v>0.8</v>
      </c>
      <c r="R378" s="177">
        <f t="shared" si="126"/>
        <v>0.59934921345492553</v>
      </c>
      <c r="S378" s="809">
        <f t="shared" si="127"/>
        <v>0</v>
      </c>
      <c r="T378" s="176">
        <f t="shared" si="128"/>
        <v>6</v>
      </c>
      <c r="U378" s="251">
        <f t="shared" si="129"/>
        <v>0.59934921345492553</v>
      </c>
      <c r="V378" s="383">
        <f t="shared" si="130"/>
        <v>14.998131465324949</v>
      </c>
      <c r="W378" s="402"/>
      <c r="X378" s="157">
        <f t="shared" si="131"/>
        <v>44925</v>
      </c>
      <c r="Y378" s="385">
        <f t="shared" si="132"/>
        <v>9.8396508517722072</v>
      </c>
      <c r="Z378" s="385">
        <f t="shared" si="133"/>
        <v>10.444715390431268</v>
      </c>
      <c r="AA378" s="386">
        <f t="shared" si="134"/>
        <v>12.355153806825609</v>
      </c>
      <c r="AB378" s="197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0.15462684206641922</v>
      </c>
      <c r="AD378" s="231">
        <f>(INDEX(Models!$BJ378:$BT378,,AH378)*(1-AF378)+INDEX(Models!$BJ378:$BT378,,AH378+1)*AF378-ERP_i)*AE378*Ramure*Pc/MaxiM</f>
        <v>2.5973831859332719E-2</v>
      </c>
      <c r="AE378" s="305">
        <f t="shared" si="136"/>
        <v>0.8</v>
      </c>
      <c r="AF378" s="177">
        <f t="shared" si="137"/>
        <v>0.80006596061982904</v>
      </c>
      <c r="AG378" s="809">
        <f t="shared" si="143"/>
        <v>1</v>
      </c>
      <c r="AH378" s="176">
        <f t="shared" si="138"/>
        <v>7</v>
      </c>
      <c r="AI378" s="225">
        <f t="shared" si="139"/>
        <v>1.800065960619829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44926</v>
      </c>
      <c r="B379" s="616">
        <v>8.4760000000000009</v>
      </c>
      <c r="C379" s="839"/>
      <c r="D379" s="393">
        <f t="shared" si="122"/>
        <v>8.9974243405111896</v>
      </c>
      <c r="E379" s="385">
        <f t="shared" si="144"/>
        <v>10.245751182506083</v>
      </c>
      <c r="F379" s="385">
        <f t="shared" si="123"/>
        <v>10.276263726273191</v>
      </c>
      <c r="G379" s="110">
        <f t="shared" si="145"/>
        <v>0.5587441003395307</v>
      </c>
      <c r="H379" s="414" t="b">
        <f>Wh_hp&gt;='2021'!Maxi_hp</f>
        <v>0</v>
      </c>
      <c r="I379" s="380">
        <f>IF(H379,Wh_hp,'2021'!Maxi_hp)</f>
        <v>17.60535838608622</v>
      </c>
      <c r="J379" s="85">
        <f>IF(H379,An,'2021'!An_max)</f>
        <v>2021</v>
      </c>
      <c r="K379" s="197">
        <f t="shared" si="124"/>
        <v>44926</v>
      </c>
      <c r="L379" s="147">
        <f>IF(t&lt;Tvie,1-EXP((T0-t)*PertePVj)+'2021'!Pspv,1-EXP((T0-t)*PertePVj)+Pspv)</f>
        <v>5.7952622970493778E-2</v>
      </c>
      <c r="M379" s="843"/>
      <c r="N379" s="843"/>
      <c r="O379" s="48">
        <f>IF(t&lt;Tnet,'2021'!Resal+('2021'!Salim-'2021'!Resal)*(1-EXP(('2021'!Tnet-t)/('2021'!Tau_j))),Resal+(Salim-Resal)*(1-EXP((Tnet-t)/(Tau_j))))*Salcycl</f>
        <v>0.12183848892664172</v>
      </c>
      <c r="P379" s="339">
        <f>(INDEX(Models!$BJ379:$BT379,,T379)*(1-R379)+INDEX(Models!$BJ379:$BT379,,T379+1)*R379-ERP_i)*Q379*Ramure*Pc/MaxiM</f>
        <v>7.9467683868016965E-3</v>
      </c>
      <c r="Q379" s="306">
        <f t="shared" si="125"/>
        <v>0.8</v>
      </c>
      <c r="R379" s="177">
        <f t="shared" si="126"/>
        <v>0.59934921345492553</v>
      </c>
      <c r="S379" s="809">
        <f t="shared" si="127"/>
        <v>0</v>
      </c>
      <c r="T379" s="176">
        <f t="shared" si="128"/>
        <v>6</v>
      </c>
      <c r="U379" s="307">
        <f t="shared" si="129"/>
        <v>0.59934921345492553</v>
      </c>
      <c r="V379" s="383">
        <f t="shared" si="130"/>
        <v>15.09400224050315</v>
      </c>
      <c r="W379" s="402"/>
      <c r="X379" s="157">
        <f t="shared" si="131"/>
        <v>44926</v>
      </c>
      <c r="Y379" s="385">
        <f t="shared" si="132"/>
        <v>8.1042271072951557</v>
      </c>
      <c r="Z379" s="385">
        <f t="shared" si="133"/>
        <v>8.6027808206946688</v>
      </c>
      <c r="AA379" s="386">
        <f t="shared" si="134"/>
        <v>10.176591870988556</v>
      </c>
      <c r="AB379" s="197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0.15465010980547539</v>
      </c>
      <c r="AD379" s="231">
        <f>(INDEX(Models!$BJ379:$BT379,,AH379)*(1-AF379)+INDEX(Models!$BJ379:$BT379,,AH379+1)*AF379-ERP_i)*AE379*Ramure*Pc/MaxiM</f>
        <v>2.5958804178222647E-2</v>
      </c>
      <c r="AE379" s="306">
        <f t="shared" si="136"/>
        <v>0.8</v>
      </c>
      <c r="AF379" s="177">
        <f t="shared" si="137"/>
        <v>0.80006596061982904</v>
      </c>
      <c r="AG379" s="809">
        <f t="shared" si="143"/>
        <v>1</v>
      </c>
      <c r="AH379" s="176">
        <f t="shared" si="138"/>
        <v>7</v>
      </c>
      <c r="AI379" s="222">
        <f t="shared" si="139"/>
        <v>1.800065960619829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1289">
        <f>(33.16+36.77)*0.05</f>
        <v>3.4965000000000006</v>
      </c>
      <c r="C380" s="847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11.335499542840072</v>
      </c>
      <c r="J380" s="85">
        <f>IF(H380,An,'2021'!An_max)</f>
        <v>2020</v>
      </c>
      <c r="K380" s="234"/>
      <c r="L380" s="214"/>
      <c r="M380" s="848"/>
      <c r="N380" s="848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46">MIN(L15:L380)</f>
        <v>3.9759139641842564E-2</v>
      </c>
      <c r="M381" s="845"/>
      <c r="N381" s="845"/>
      <c r="O381" s="47">
        <f t="shared" si="146"/>
        <v>7.1699902384405739E-2</v>
      </c>
      <c r="P381" s="341">
        <f t="shared" si="146"/>
        <v>0</v>
      </c>
      <c r="Q381" s="310">
        <f t="shared" si="146"/>
        <v>0.8</v>
      </c>
      <c r="R381" s="311">
        <f t="shared" si="146"/>
        <v>0</v>
      </c>
      <c r="S381" s="809">
        <f t="shared" si="146"/>
        <v>0</v>
      </c>
      <c r="T381" s="176">
        <f t="shared" si="146"/>
        <v>6</v>
      </c>
      <c r="U381" s="252">
        <f>+MIN(U15:U380)</f>
        <v>0</v>
      </c>
      <c r="V381" s="373">
        <f>MIN(V15:V380)</f>
        <v>14.004619141329016</v>
      </c>
      <c r="W381" s="392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47">MIN(AC15:AC380)</f>
        <v>0.13859120935677227</v>
      </c>
      <c r="AD381" s="168">
        <f t="shared" si="147"/>
        <v>3.359387385285839E-3</v>
      </c>
      <c r="AE381" s="310">
        <f t="shared" si="147"/>
        <v>0.8</v>
      </c>
      <c r="AF381" s="311">
        <f t="shared" si="147"/>
        <v>0.2007167471649034</v>
      </c>
      <c r="AG381" s="809">
        <f t="shared" si="147"/>
        <v>1</v>
      </c>
      <c r="AH381" s="176">
        <f t="shared" si="147"/>
        <v>7</v>
      </c>
      <c r="AI381" s="226">
        <f>MIN(AI15:AI380)</f>
        <v>1.2007167471649034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25.165098360655737</v>
      </c>
      <c r="C382" s="375"/>
      <c r="D382" s="375">
        <f>AVERAGE(D15:D380)</f>
        <v>26.507104915431025</v>
      </c>
      <c r="E382" s="375">
        <f>AVERAGE(E15:E380)</f>
        <v>29.518204511476981</v>
      </c>
      <c r="F382" s="376">
        <f>AVERAGE(F15:F380)</f>
        <v>29.578660534523422</v>
      </c>
      <c r="G382" s="126">
        <f>AVERAGE(G15:G380)</f>
        <v>0.68500469287480503</v>
      </c>
      <c r="H382" s="94"/>
      <c r="I382" s="376">
        <f>AVERAGE(I15:I380)</f>
        <v>38.99445133522044</v>
      </c>
      <c r="J382" s="59">
        <f>AVERAGE(J15:J380)</f>
        <v>2020.2295081967213</v>
      </c>
      <c r="K382" s="200" t="s">
        <v>8</v>
      </c>
      <c r="L382" s="147">
        <f t="shared" ref="L382:V382" si="148">AVERAGE(L15:L380)</f>
        <v>4.8902745155186444E-2</v>
      </c>
      <c r="M382" s="843"/>
      <c r="N382" s="843"/>
      <c r="O382" s="48">
        <f t="shared" si="148"/>
        <v>0.10197273035616627</v>
      </c>
      <c r="P382" s="169">
        <f t="shared" si="148"/>
        <v>3.9037364307583054E-3</v>
      </c>
      <c r="Q382" s="312">
        <f t="shared" si="148"/>
        <v>0.80000000000000548</v>
      </c>
      <c r="R382" s="177">
        <f t="shared" si="148"/>
        <v>0.34290978204609446</v>
      </c>
      <c r="S382" s="809">
        <f t="shared" si="148"/>
        <v>3.8356164383561646E-2</v>
      </c>
      <c r="T382" s="176">
        <f t="shared" si="148"/>
        <v>6.0383561643835613</v>
      </c>
      <c r="U382" s="251">
        <f t="shared" si="148"/>
        <v>0.381265946429656</v>
      </c>
      <c r="V382" s="375">
        <f t="shared" si="148"/>
        <v>35.340049498420171</v>
      </c>
      <c r="W382" s="392"/>
      <c r="X382" s="112" t="s">
        <v>8</v>
      </c>
      <c r="Y382" s="375">
        <f>AVERAGE(Y15:Y380)</f>
        <v>23.652520327287089</v>
      </c>
      <c r="Z382" s="375">
        <f>AVERAGE(Z15:Z380)</f>
        <v>24.855937281157317</v>
      </c>
      <c r="AA382" s="375">
        <f>AVERAGE(AA15:AA380)</f>
        <v>29.294245737267286</v>
      </c>
      <c r="AB382" s="200" t="s">
        <v>8</v>
      </c>
      <c r="AC382" s="48">
        <f t="shared" ref="AC382:AH382" si="149">AVERAGE(AC15:AC380)</f>
        <v>0.15075572699078696</v>
      </c>
      <c r="AD382" s="169">
        <f t="shared" si="149"/>
        <v>1.6907714154608611E-2</v>
      </c>
      <c r="AE382" s="312">
        <f t="shared" si="149"/>
        <v>0.80000000000000548</v>
      </c>
      <c r="AF382" s="177">
        <f t="shared" si="149"/>
        <v>0.54359648969819396</v>
      </c>
      <c r="AG382" s="809">
        <f t="shared" si="149"/>
        <v>1.0383561643835617</v>
      </c>
      <c r="AH382" s="176">
        <f t="shared" si="149"/>
        <v>7.0383561643835613</v>
      </c>
      <c r="AI382" s="225">
        <f>AVERAGE(AI15:AI380)</f>
        <v>1.5819526540817546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52.872</v>
      </c>
      <c r="C383" s="377"/>
      <c r="D383" s="377">
        <f>MAX(D15:D380)</f>
        <v>55.292397894151527</v>
      </c>
      <c r="E383" s="377">
        <f>MAX(E15:E380)</f>
        <v>61.796604497424646</v>
      </c>
      <c r="F383" s="378">
        <f>MAX(F15:F380)</f>
        <v>61.907521444604441</v>
      </c>
      <c r="G383" s="127">
        <f>+MAX(G15:G380)</f>
        <v>1.0459540036296504</v>
      </c>
      <c r="H383" s="94"/>
      <c r="I383" s="378">
        <f>MAX(I15:I380)</f>
        <v>64.737412852018437</v>
      </c>
      <c r="J383" s="60">
        <f>MAX(J15:J380)</f>
        <v>2022</v>
      </c>
      <c r="K383" s="200" t="s">
        <v>9</v>
      </c>
      <c r="L383" s="148">
        <f t="shared" ref="L383:T383" si="150">MAX(L15:L380)</f>
        <v>5.7952622970493778E-2</v>
      </c>
      <c r="M383" s="846"/>
      <c r="N383" s="846"/>
      <c r="O383" s="49">
        <f t="shared" si="150"/>
        <v>0.12183848892664172</v>
      </c>
      <c r="P383" s="170">
        <f t="shared" si="150"/>
        <v>1.6415227505194072E-2</v>
      </c>
      <c r="Q383" s="313">
        <f t="shared" si="150"/>
        <v>0.8</v>
      </c>
      <c r="R383" s="314">
        <f t="shared" si="150"/>
        <v>0.59934921345492553</v>
      </c>
      <c r="S383" s="810">
        <f t="shared" si="150"/>
        <v>1</v>
      </c>
      <c r="T383" s="233">
        <f t="shared" si="150"/>
        <v>7</v>
      </c>
      <c r="U383" s="253">
        <f>+MAX(U15:U380)</f>
        <v>1.2006570532246967</v>
      </c>
      <c r="V383" s="377">
        <f>MAX(V15:V380)</f>
        <v>53.673586683010285</v>
      </c>
      <c r="W383" s="392"/>
      <c r="X383" s="112" t="s">
        <v>9</v>
      </c>
      <c r="Y383" s="377">
        <f>MAX(Y15:Y380)</f>
        <v>49.633526915126559</v>
      </c>
      <c r="Z383" s="377">
        <f>MAX(Z15:Z380)</f>
        <v>51.905672550333954</v>
      </c>
      <c r="AA383" s="377">
        <f>MAX(AA15:AA380)</f>
        <v>61.399970546258309</v>
      </c>
      <c r="AB383" s="200" t="s">
        <v>9</v>
      </c>
      <c r="AC383" s="49">
        <f t="shared" ref="AC383:AH383" si="151">MAX(AC15:AC380)</f>
        <v>0.15792951919715831</v>
      </c>
      <c r="AD383" s="170">
        <f t="shared" si="151"/>
        <v>3.8382104785819771E-2</v>
      </c>
      <c r="AE383" s="313">
        <f t="shared" si="151"/>
        <v>0.8</v>
      </c>
      <c r="AF383" s="314">
        <f t="shared" si="151"/>
        <v>0.80006596061982904</v>
      </c>
      <c r="AG383" s="810">
        <f t="shared" si="151"/>
        <v>2</v>
      </c>
      <c r="AH383" s="233">
        <f t="shared" si="151"/>
        <v>8</v>
      </c>
      <c r="AI383" s="227">
        <f>MAX(AI15:AI380)</f>
        <v>2.400590627377218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4" priority="3" stopIfTrue="1" operator="lessThan">
      <formula>0.01</formula>
    </cfRule>
    <cfRule type="cellIs" dxfId="1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2023-01-22T17:26:03Z</dcterms:modified>
</cp:coreProperties>
</file>